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harts/chart1.xml" ContentType="application/vnd.openxmlformats-officedocument.drawingml.chart+xml"/>
  <Override PartName="/xl/drawings/drawing6.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comments3.xml" ContentType="application/vnd.openxmlformats-officedocument.spreadsheetml.comments+xml"/>
  <Override PartName="/xl/threadedComments/threadedComment1.xml" ContentType="application/vnd.ms-excel.threadedcomments+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threadedComments/threadedComment3.xml" ContentType="application/vnd.ms-excel.threadedcomments+xml"/>
  <Override PartName="/xl/comments6.xml" ContentType="application/vnd.openxmlformats-officedocument.spreadsheetml.comments+xml"/>
  <Override PartName="/xl/threadedComments/threadedComment4.xml" ContentType="application/vnd.ms-excel.threadedcomments+xml"/>
  <Override PartName="/xl/comments7.xml" ContentType="application/vnd.openxmlformats-officedocument.spreadsheetml.comments+xml"/>
  <Override PartName="/xl/threadedComments/threadedComment5.xml" ContentType="application/vnd.ms-excel.threadedcomments+xml"/>
  <Override PartName="/xl/comments8.xml" ContentType="application/vnd.openxmlformats-officedocument.spreadsheetml.comments+xml"/>
  <Override PartName="/xl/threadedComments/threadedComment6.xml" ContentType="application/vnd.ms-excel.threadedcomments+xml"/>
  <Override PartName="/xl/comments9.xml" ContentType="application/vnd.openxmlformats-officedocument.spreadsheetml.comments+xml"/>
  <Override PartName="/xl/threadedComments/threadedComment7.xml" ContentType="application/vnd.ms-excel.threadedcomments+xml"/>
  <Override PartName="/xl/comments10.xml" ContentType="application/vnd.openxmlformats-officedocument.spreadsheetml.comments+xml"/>
  <Override PartName="/xl/threadedComments/threadedComment8.xml" ContentType="application/vnd.ms-excel.threadedcomments+xml"/>
  <Override PartName="/xl/comments11.xml" ContentType="application/vnd.openxmlformats-officedocument.spreadsheetml.comments+xml"/>
  <Override PartName="/xl/threadedComments/threadedComment9.xml" ContentType="application/vnd.ms-excel.threadedcomments+xml"/>
  <Override PartName="/xl/comments12.xml" ContentType="application/vnd.openxmlformats-officedocument.spreadsheetml.comments+xml"/>
  <Override PartName="/xl/threadedComments/threadedComment10.xml" ContentType="application/vnd.ms-excel.threadedcomments+xml"/>
  <Override PartName="/xl/comments13.xml" ContentType="application/vnd.openxmlformats-officedocument.spreadsheetml.comments+xml"/>
  <Override PartName="/xl/threadedComments/threadedComment1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B6124F1A-AFFB-F854-7757-9A1D4C6FC43C}"/>
  <workbookPr codeName="ThisWorkbook" hidePivotFieldList="1" defaultThemeVersion="124226"/>
  <mc:AlternateContent xmlns:mc="http://schemas.openxmlformats.org/markup-compatibility/2006">
    <mc:Choice Requires="x15">
      <x15ac:absPath xmlns:x15ac="http://schemas.microsoft.com/office/spreadsheetml/2010/11/ac" url="C:\Users\MRudolph\C Drive Testing\EDS Testing\CCIpole\"/>
    </mc:Choice>
  </mc:AlternateContent>
  <xr:revisionPtr revIDLastSave="0" documentId="13_ncr:1_{CAC5CFA8-B052-40D1-8F9A-141613863A07}" xr6:coauthVersionLast="47" xr6:coauthVersionMax="47" xr10:uidLastSave="{00000000-0000-0000-0000-000000000000}"/>
  <bookViews>
    <workbookView xWindow="28680" yWindow="-1245" windowWidth="29040" windowHeight="15840" tabRatio="876" xr2:uid="{00000000-000D-0000-FFFF-FFFF00000000}"/>
  </bookViews>
  <sheets>
    <sheet name="Input" sheetId="25" r:id="rId1"/>
    <sheet name="Results" sheetId="30" r:id="rId2"/>
    <sheet name="Materials" sheetId="28" r:id="rId3"/>
    <sheet name="Reinforcements" sheetId="32" r:id="rId4"/>
    <sheet name="Bolts" sheetId="41" r:id="rId5"/>
    <sheet name="Calculations" sheetId="27" r:id="rId6"/>
    <sheet name="Import" sheetId="47" state="veryHidden" r:id="rId7"/>
    <sheet name="Controls" sheetId="34" state="veryHidden" r:id="rId8"/>
    <sheet name="Macro References" sheetId="26" state="veryHidden" r:id="rId9"/>
    <sheet name="Geometry 2" sheetId="31" state="veryHidden" r:id="rId10"/>
    <sheet name="Raw TNX File" sheetId="40" state="veryHidden" r:id="rId11"/>
    <sheet name="TNX Integration" sheetId="33" state="veryHidden" r:id="rId12"/>
    <sheet name="New TNX Lines" sheetId="35" state="veryHidden" r:id="rId13"/>
    <sheet name="TNX Forces" sheetId="36" state="veryHidden" r:id="rId14"/>
    <sheet name="Phi Factors" sheetId="39" state="hidden" r:id="rId15"/>
    <sheet name="Cross Section" sheetId="45" state="hidden" r:id="rId16"/>
    <sheet name="Detailed Plot" sheetId="43" state="veryHidden" r:id="rId17"/>
    <sheet name="r_arr" sheetId="44" state="veryHidden" r:id="rId18"/>
    <sheet name="Import Ranges" sheetId="46" state="hidden" r:id="rId19"/>
    <sheet name="Revisions" sheetId="37" r:id="rId20"/>
    <sheet name="Modified Ranges" sheetId="59" r:id="rId21"/>
    <sheet name="General (SAPI)" sheetId="50" r:id="rId22"/>
    <sheet name="Unreinf Pole (SAPI)" sheetId="48" r:id="rId23"/>
    <sheet name="Reinf Pole (SAPI)" sheetId="49" r:id="rId24"/>
    <sheet name="Reinf Groups (SAPI)" sheetId="51" r:id="rId25"/>
    <sheet name="Reinf ID (SAPI)" sheetId="52" r:id="rId26"/>
    <sheet name="Interference Groups (SAPI)" sheetId="54" r:id="rId27"/>
    <sheet name="Interference ID (SAPI)" sheetId="53" r:id="rId28"/>
    <sheet name="Section Results (DNU)" sheetId="55" r:id="rId29"/>
    <sheet name="Reinf Results (SAPI)" sheetId="56" r:id="rId30"/>
    <sheet name="Materials (SAPI)" sheetId="60" r:id="rId31"/>
    <sheet name="Bolts (SAPI)" sheetId="58" r:id="rId32"/>
    <sheet name="Reinforcements (SAPI)" sheetId="57" r:id="rId33"/>
  </sheets>
  <functionGroups builtInGroupCount="19"/>
  <definedNames>
    <definedName name="ASIF">'Phi Factors'!$E$3</definedName>
    <definedName name="Bd_1">Input!$W$8</definedName>
    <definedName name="Bd_10">Input!$W$17</definedName>
    <definedName name="Bd_2">Input!$W$9</definedName>
    <definedName name="Bd_3">Input!$W$10</definedName>
    <definedName name="Bd_4">Input!$W$11</definedName>
    <definedName name="Bd_5">Input!$W$12</definedName>
    <definedName name="Bd_6">Input!$W$13</definedName>
    <definedName name="Bd_7">Input!$W$14</definedName>
    <definedName name="Bd_8">Input!$W$15</definedName>
    <definedName name="Bd_9">Input!$W$16</definedName>
    <definedName name="Bolt">Bolts!$B$4:$B$15</definedName>
    <definedName name="BP_FP_Fy">'Macro References'!$G$74</definedName>
    <definedName name="br_1">Input!$AE$8</definedName>
    <definedName name="br_10">Input!$AE$17</definedName>
    <definedName name="br_2">Input!$AE$9</definedName>
    <definedName name="br_3">Input!$AE$10</definedName>
    <definedName name="br_4">Input!$AE$11</definedName>
    <definedName name="br_5">Input!$AE$12</definedName>
    <definedName name="br_6">Input!$AE$13</definedName>
    <definedName name="br_7">Input!$AE$14</definedName>
    <definedName name="br_8">Input!$AE$15</definedName>
    <definedName name="br_9">Input!$AE$16</definedName>
    <definedName name="BU">Input!$R$4</definedName>
    <definedName name="Cp_1">Input!$C$9</definedName>
    <definedName name="Cp_2">Input!$C$10</definedName>
    <definedName name="Cp_3">Input!$C$11</definedName>
    <definedName name="Cp_4">Input!$C$12</definedName>
    <definedName name="Cp_5">Input!$C$13</definedName>
    <definedName name="Cp_6">Input!$C$14</definedName>
    <definedName name="Cp_7">Input!$C$15</definedName>
    <definedName name="Cp_8">Input!$C$16</definedName>
    <definedName name="Cp_9">Input!$C$17</definedName>
    <definedName name="CS">'Cross Section'!$B$3:$K$41</definedName>
    <definedName name="EDS_Import">'Macro References'!$A$136</definedName>
    <definedName name="elev_list">Results!$G$5:$G$34</definedName>
    <definedName name="ErrHnd">Controls!$C$28</definedName>
    <definedName name="filename_search_keyword">'Import Ranges'!$U$1</definedName>
    <definedName name="Gp">Input!$AI$8</definedName>
    <definedName name="Hba_1">Input!$C$21</definedName>
    <definedName name="Hba_10">Input!$C$30</definedName>
    <definedName name="Hba_11">Input!$C$31</definedName>
    <definedName name="Hba_12">Input!$C$32</definedName>
    <definedName name="Hba_13">Input!$C$33</definedName>
    <definedName name="Hba_14">Input!$C$34</definedName>
    <definedName name="Hba_15">Input!$C$35</definedName>
    <definedName name="Hba_16">Input!$C$36</definedName>
    <definedName name="Hba_17">Input!$C$37</definedName>
    <definedName name="Hba_18">Input!$C$38</definedName>
    <definedName name="Hba_19">Input!$C$39</definedName>
    <definedName name="Hba_2">Input!$C$22</definedName>
    <definedName name="Hba_20">Input!$C$40</definedName>
    <definedName name="Hba_21">Input!$C$41</definedName>
    <definedName name="Hba_22">Input!$C$42</definedName>
    <definedName name="Hba_23">Input!$C$43</definedName>
    <definedName name="Hba_24">Input!$C$44</definedName>
    <definedName name="Hba_25">Input!$C$45</definedName>
    <definedName name="Hba_26">Input!$C$46</definedName>
    <definedName name="Hba_27">Input!$C$47</definedName>
    <definedName name="Hba_28">Input!$C$48</definedName>
    <definedName name="Hba_29">Input!$C$49</definedName>
    <definedName name="Hba_3">Input!$C$23</definedName>
    <definedName name="Hba_30">Input!$C$50</definedName>
    <definedName name="Hba_4">Input!$C$24</definedName>
    <definedName name="Hba_5">Input!$C$25</definedName>
    <definedName name="Hba_6">Input!$C$26</definedName>
    <definedName name="Hba_7">Input!$C$27</definedName>
    <definedName name="Hba_8">Input!$C$28</definedName>
    <definedName name="Hba_9">Input!$C$29</definedName>
    <definedName name="Ht">Input!$C$8</definedName>
    <definedName name="Hta_1">Input!$G$21</definedName>
    <definedName name="Hta_10">Input!$G$30</definedName>
    <definedName name="Hta_11">Input!$G$31</definedName>
    <definedName name="Hta_12">Input!$G$32</definedName>
    <definedName name="Hta_13">Input!$G$33</definedName>
    <definedName name="Hta_14">Input!$G$34</definedName>
    <definedName name="Hta_15">Input!$G$35</definedName>
    <definedName name="Hta_16">Input!$G$36</definedName>
    <definedName name="Hta_17">Input!$G$37</definedName>
    <definedName name="Hta_18">Input!$G$38</definedName>
    <definedName name="Hta_19">Input!$G$39</definedName>
    <definedName name="Hta_2">Input!$G$22</definedName>
    <definedName name="Hta_20">Input!$G$40</definedName>
    <definedName name="Hta_21">Input!$G$41</definedName>
    <definedName name="Hta_22">Input!$G$42</definedName>
    <definedName name="Hta_23">Input!$G$43</definedName>
    <definedName name="Hta_24">Input!$G$44</definedName>
    <definedName name="Hta_25">Input!$G$45</definedName>
    <definedName name="Hta_26">Input!$G$46</definedName>
    <definedName name="Hta_27">Input!$G$47</definedName>
    <definedName name="Hta_28">Input!$G$48</definedName>
    <definedName name="Hta_29">Input!$G$49</definedName>
    <definedName name="Hta_3">Input!$G$23</definedName>
    <definedName name="Hta_30">Input!$G$50</definedName>
    <definedName name="Hta_4">Input!$G$24</definedName>
    <definedName name="Hta_5">Input!$G$25</definedName>
    <definedName name="Hta_6">Input!$G$26</definedName>
    <definedName name="Hta_7">Input!$G$27</definedName>
    <definedName name="Hta_8">Input!$G$28</definedName>
    <definedName name="Hta_9">Input!$G$29</definedName>
    <definedName name="ID_pole">'Macro References'!$A$135</definedName>
    <definedName name="inc">Results!$G$3</definedName>
    <definedName name="LastRow_ModRng" localSheetId="20">'Modified Ranges'!$G$2</definedName>
    <definedName name="mat_10">Input!$AI$17</definedName>
    <definedName name="mat_2">Input!$AI$9</definedName>
    <definedName name="mat_3">Input!$AI$10</definedName>
    <definedName name="mat_4">Input!$AI$11</definedName>
    <definedName name="mat_5">Input!$AI$12</definedName>
    <definedName name="mat_6">Input!$AI$13</definedName>
    <definedName name="mat_7">Input!$AI$14</definedName>
    <definedName name="mat_8">Input!$AI$15</definedName>
    <definedName name="mat_9">Input!$AI$16</definedName>
    <definedName name="Material">Materials!$B$3:$B$19</definedName>
    <definedName name="modified">'Macro References'!$A$134</definedName>
    <definedName name="New_TNX_File" localSheetId="10">'Raw TNX File'!$A$1:$A$4674</definedName>
    <definedName name="num">Input!$O$8</definedName>
    <definedName name="O_1">Input!$K$8</definedName>
    <definedName name="O_10">Input!$K$17</definedName>
    <definedName name="O_2">Input!$K$9</definedName>
    <definedName name="O_3">Input!$K$10</definedName>
    <definedName name="O_4">Input!$K$11</definedName>
    <definedName name="O_5">Input!$K$12</definedName>
    <definedName name="O_6">Input!$K$13</definedName>
    <definedName name="O_7">Input!$K$14</definedName>
    <definedName name="O_8">Input!$K$15</definedName>
    <definedName name="O_9">Input!$K$16</definedName>
    <definedName name="Old_TNX_File" localSheetId="10">'Raw TNX File'!$A$1:$A$4674</definedName>
    <definedName name="Old_TNX_File_1" localSheetId="10">'Raw TNX File'!$A$1:$A$4527</definedName>
    <definedName name="Old_TNX_File_2" localSheetId="10">'Raw TNX File'!$A$1:$A$4527</definedName>
    <definedName name="_xlnm.Print_Area" localSheetId="0">Input!$B$1:$AL$116</definedName>
    <definedName name="_xlnm.Print_Area" localSheetId="3">Reinforcements[#All]</definedName>
    <definedName name="_xlnm.Print_Area" localSheetId="1">Results!$BU$3:$FP$106</definedName>
    <definedName name="pwd">'Macro References'!$A$25</definedName>
    <definedName name="R_arr">'Macro References'!$V$45:$AY$47</definedName>
    <definedName name="Reinforcement">'Reinforcements'!$B$3:$B$60</definedName>
    <definedName name="Rev">Input!$U$3</definedName>
    <definedName name="rpcp">Input!$C$9:$C$18,Input!$C$21:$D$31</definedName>
    <definedName name="Sh_1">Input!$G$8</definedName>
    <definedName name="Sh_10">Input!$G$17</definedName>
    <definedName name="Sh_2">Input!$G$9</definedName>
    <definedName name="Sh_3">Input!$G$10</definedName>
    <definedName name="Sh_4">Input!$G$11</definedName>
    <definedName name="Sh_5">Input!$G$12</definedName>
    <definedName name="Sh_6">Input!$G$13</definedName>
    <definedName name="Sh_7">Input!$G$14</definedName>
    <definedName name="Sh_8">Input!$G$15</definedName>
    <definedName name="Sh_9">Input!$G$16</definedName>
    <definedName name="solver_adj" localSheetId="5" hidden="1">Calculations!$BR$5:$BR$18</definedName>
    <definedName name="solver_cvg" localSheetId="5" hidden="1">0.000001</definedName>
    <definedName name="solver_drv" localSheetId="5" hidden="1">1</definedName>
    <definedName name="solver_eng" localSheetId="5" hidden="1">3</definedName>
    <definedName name="solver_est" localSheetId="5" hidden="1">1</definedName>
    <definedName name="solver_itr" localSheetId="5" hidden="1">1000</definedName>
    <definedName name="solver_lhs1" localSheetId="5" hidden="1">Calculations!$BR$5:$BR$18</definedName>
    <definedName name="solver_lhs10" localSheetId="5" hidden="1">Calculations!$BR$33</definedName>
    <definedName name="solver_lhs11" localSheetId="5" hidden="1">Calculations!$BR$33</definedName>
    <definedName name="solver_lhs12" localSheetId="5" hidden="1">Calculations!$BR$33</definedName>
    <definedName name="solver_lhs13" localSheetId="5" hidden="1">Calculations!$BR$33</definedName>
    <definedName name="solver_lhs2" localSheetId="5" hidden="1">Calculations!$BR$5:$BR$18</definedName>
    <definedName name="solver_lhs3" localSheetId="5" hidden="1">Calculations!$BM$29</definedName>
    <definedName name="solver_lhs4" localSheetId="5" hidden="1">Calculations!$BO$29</definedName>
    <definedName name="solver_lhs5" localSheetId="5" hidden="1">Calculations!$BR$33</definedName>
    <definedName name="solver_lhs6" localSheetId="5" hidden="1">Calculations!$BR$30</definedName>
    <definedName name="solver_lhs7" localSheetId="5" hidden="1">Calculations!$BR$31</definedName>
    <definedName name="solver_lhs8" localSheetId="5" hidden="1">Calculations!$BR$32</definedName>
    <definedName name="solver_lhs9" localSheetId="5" hidden="1">Calculations!$BR$33</definedName>
    <definedName name="solver_lin" localSheetId="5" hidden="1">2</definedName>
    <definedName name="solver_mip" localSheetId="5" hidden="1">2147483647</definedName>
    <definedName name="solver_mni" localSheetId="5" hidden="1">60</definedName>
    <definedName name="solver_mrt" localSheetId="5" hidden="1">0.075</definedName>
    <definedName name="solver_msl" localSheetId="5" hidden="1">2</definedName>
    <definedName name="solver_neg" localSheetId="5" hidden="1">2</definedName>
    <definedName name="solver_nod" localSheetId="5" hidden="1">2147483647</definedName>
    <definedName name="solver_num" localSheetId="5" hidden="1">1</definedName>
    <definedName name="solver_nwt" localSheetId="5" hidden="1">1</definedName>
    <definedName name="solver_opt" localSheetId="5" hidden="1">Calculations!$BM$32</definedName>
    <definedName name="solver_pre" localSheetId="5" hidden="1">0.000001</definedName>
    <definedName name="solver_rbv" localSheetId="5" hidden="1">1</definedName>
    <definedName name="solver_rel1" localSheetId="5" hidden="1">5</definedName>
    <definedName name="solver_rel10" localSheetId="5" hidden="1">4</definedName>
    <definedName name="solver_rel11" localSheetId="5" hidden="1">4</definedName>
    <definedName name="solver_rel12" localSheetId="5" hidden="1">4</definedName>
    <definedName name="solver_rel13" localSheetId="5" hidden="1">4</definedName>
    <definedName name="solver_rel2" localSheetId="5" hidden="1">4</definedName>
    <definedName name="solver_rel3" localSheetId="5" hidden="1">4</definedName>
    <definedName name="solver_rel4" localSheetId="5" hidden="1">4</definedName>
    <definedName name="solver_rel5" localSheetId="5" hidden="1">4</definedName>
    <definedName name="solver_rel6" localSheetId="5" hidden="1">4</definedName>
    <definedName name="solver_rel7" localSheetId="5" hidden="1">4</definedName>
    <definedName name="solver_rel8" localSheetId="5" hidden="1">4</definedName>
    <definedName name="solver_rel9" localSheetId="5" hidden="1">4</definedName>
    <definedName name="solver_rhs1" localSheetId="5" hidden="1">binary</definedName>
    <definedName name="solver_rhs10" localSheetId="5" hidden="1">integer</definedName>
    <definedName name="solver_rhs11" localSheetId="5" hidden="1">integer</definedName>
    <definedName name="solver_rhs12" localSheetId="5" hidden="1">integer</definedName>
    <definedName name="solver_rhs13" localSheetId="5" hidden="1">integer</definedName>
    <definedName name="solver_rhs2" localSheetId="5" hidden="1">integer</definedName>
    <definedName name="solver_rhs3" localSheetId="5" hidden="1">integer</definedName>
    <definedName name="solver_rhs4" localSheetId="5" hidden="1">integer</definedName>
    <definedName name="solver_rhs5" localSheetId="5" hidden="1">integer</definedName>
    <definedName name="solver_rhs6" localSheetId="5" hidden="1">integer</definedName>
    <definedName name="solver_rhs7" localSheetId="5" hidden="1">integer</definedName>
    <definedName name="solver_rhs8" localSheetId="5" hidden="1">integer</definedName>
    <definedName name="solver_rhs9" localSheetId="5" hidden="1">integer</definedName>
    <definedName name="solver_rlx" localSheetId="5" hidden="1">2</definedName>
    <definedName name="solver_rsd" localSheetId="5" hidden="1">0</definedName>
    <definedName name="solver_scl" localSheetId="5" hidden="1">2</definedName>
    <definedName name="solver_sho" localSheetId="5" hidden="1">1</definedName>
    <definedName name="solver_ssz" localSheetId="5" hidden="1">200</definedName>
    <definedName name="solver_tim" localSheetId="5" hidden="1">100</definedName>
    <definedName name="solver_tol" localSheetId="5" hidden="1">0.05</definedName>
    <definedName name="solver_typ" localSheetId="5" hidden="1">3</definedName>
    <definedName name="solver_val" localSheetId="5" hidden="1">2.82938223531905</definedName>
    <definedName name="solver_ver" localSheetId="5" hidden="1">3</definedName>
    <definedName name="source_rev_rng">'Import Ranges'!$B$1</definedName>
    <definedName name="St_1">Input!$AA$8</definedName>
    <definedName name="St_10">Input!$AA$17</definedName>
    <definedName name="St_2">Input!$AA$9</definedName>
    <definedName name="St_3">Input!$AA$10</definedName>
    <definedName name="St_4">Input!$AA$11</definedName>
    <definedName name="St_5">Input!$AA$12</definedName>
    <definedName name="St_6">Input!$AA$13</definedName>
    <definedName name="St_7">Input!$AA$14</definedName>
    <definedName name="St_8">Input!$AA$15</definedName>
    <definedName name="St_9">Input!$AA$16</definedName>
    <definedName name="taper_1">Input!$AM$8</definedName>
    <definedName name="taper_10">Input!$AM$17</definedName>
    <definedName name="taper_2">Input!$AM$9</definedName>
    <definedName name="taper_3">Input!$AM$10</definedName>
    <definedName name="taper_4">Input!$AM$11</definedName>
    <definedName name="taper_5">Input!$AM$12</definedName>
    <definedName name="taper_6">Input!$AM$13</definedName>
    <definedName name="taper_7">Input!$AM$14</definedName>
    <definedName name="taper_8">Input!$AM$15</definedName>
    <definedName name="taper_9">Input!$AM$16</definedName>
    <definedName name="Td_1">Input!$S$8</definedName>
    <definedName name="Td_10">Input!$S$17</definedName>
    <definedName name="Td_2">Input!$S$9</definedName>
    <definedName name="Td_3">Input!$S$10</definedName>
    <definedName name="Td_4">Input!$S$11</definedName>
    <definedName name="Td_5">Input!$S$12</definedName>
    <definedName name="Td_6">Input!$S$13</definedName>
    <definedName name="Td_7">Input!$S$14</definedName>
    <definedName name="Td_8">Input!$S$15</definedName>
    <definedName name="Td_9">Input!$S$16</definedName>
    <definedName name="valid_revs">Revisions!$B$40:$B$50</definedName>
    <definedName name="vnum">Revisions!$I$2</definedName>
    <definedName name="WO">Input!$R$5</definedName>
    <definedName name="φ_bolt_bearing">'Phi Factors'!$B$8</definedName>
    <definedName name="φ_bolt_shear">'Phi Factors'!$B$7</definedName>
    <definedName name="φ_c">'Phi Factors'!$B$3</definedName>
    <definedName name="φ_f">'Phi Factors'!$B$2</definedName>
    <definedName name="φ_shear_rupture">'Phi Factors'!$B$12</definedName>
    <definedName name="φ_shear_yield">'Phi Factors'!$B$11</definedName>
    <definedName name="φ_t_r">'Phi Factors'!$B$5</definedName>
    <definedName name="φ_t_y">'Phi Factors'!$B$4</definedName>
    <definedName name="φ_v">'Phi Factors'!$B$6</definedName>
    <definedName name="φ_weld_shear">'Phi Factors'!$B$9</definedName>
    <definedName name="φ_weld_tension">'Phi Factors'!$B$10</definedName>
    <definedName name="Ω_bolt">'Phi Factors'!$E$2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01" i="52" l="1"/>
  <c r="C201" i="53"/>
  <c r="E16" i="41" l="1"/>
  <c r="F16" i="41"/>
  <c r="J16" i="41"/>
  <c r="L16" i="41"/>
  <c r="M16" i="41"/>
  <c r="N16" i="41"/>
  <c r="O16" i="41"/>
  <c r="P16" i="41"/>
  <c r="Q16" i="41"/>
  <c r="R16" i="41"/>
  <c r="S16" i="41"/>
  <c r="T16" i="41"/>
  <c r="U16" i="41"/>
  <c r="V16" i="41"/>
  <c r="W16" i="41"/>
  <c r="X16" i="41"/>
  <c r="Y16" i="41"/>
  <c r="Z16" i="41"/>
  <c r="AA16" i="41"/>
  <c r="AB16" i="41"/>
  <c r="AC16" i="41"/>
  <c r="AD16" i="41"/>
  <c r="AE16" i="41"/>
  <c r="AF16" i="41"/>
  <c r="AG16" i="41"/>
  <c r="AH16" i="41"/>
  <c r="AI16" i="41"/>
  <c r="AJ16" i="41"/>
  <c r="AK16" i="41"/>
  <c r="AL16" i="41"/>
  <c r="AM16" i="41"/>
  <c r="AO16" i="41"/>
  <c r="E17" i="41"/>
  <c r="F17" i="41"/>
  <c r="J17" i="41"/>
  <c r="L17" i="41"/>
  <c r="M17" i="41"/>
  <c r="N17" i="41"/>
  <c r="O17" i="41"/>
  <c r="P17" i="41"/>
  <c r="Q17" i="41"/>
  <c r="R17" i="41"/>
  <c r="S17" i="41"/>
  <c r="T17" i="41"/>
  <c r="U17" i="41"/>
  <c r="V17" i="41"/>
  <c r="W17" i="41"/>
  <c r="X17" i="41"/>
  <c r="Y17" i="41"/>
  <c r="Z17" i="41"/>
  <c r="AA17" i="41"/>
  <c r="AB17" i="41"/>
  <c r="AC17" i="41"/>
  <c r="AD17" i="41"/>
  <c r="AE17" i="41"/>
  <c r="AF17" i="41"/>
  <c r="AG17" i="41"/>
  <c r="AH17" i="41"/>
  <c r="AI17" i="41"/>
  <c r="AJ17" i="41"/>
  <c r="AK17" i="41"/>
  <c r="AL17" i="41"/>
  <c r="AM17" i="41"/>
  <c r="AO17" i="41"/>
  <c r="E18" i="41"/>
  <c r="F18" i="41"/>
  <c r="J18" i="41"/>
  <c r="L18" i="41"/>
  <c r="M18" i="41"/>
  <c r="N18" i="41"/>
  <c r="O18" i="41"/>
  <c r="P18" i="41"/>
  <c r="Q18" i="41"/>
  <c r="R18" i="41"/>
  <c r="S18" i="41"/>
  <c r="T18" i="41"/>
  <c r="U18" i="41"/>
  <c r="V18" i="41"/>
  <c r="W18" i="41"/>
  <c r="X18" i="41"/>
  <c r="Y18" i="41"/>
  <c r="Z18" i="41"/>
  <c r="AA18" i="41"/>
  <c r="AB18" i="41"/>
  <c r="AC18" i="41"/>
  <c r="AD18" i="41"/>
  <c r="AE18" i="41"/>
  <c r="AF18" i="41"/>
  <c r="AG18" i="41"/>
  <c r="AH18" i="41"/>
  <c r="AI18" i="41"/>
  <c r="AJ18" i="41"/>
  <c r="AK18" i="41"/>
  <c r="AL18" i="41"/>
  <c r="AM18" i="41"/>
  <c r="AO18" i="41"/>
  <c r="E19" i="41"/>
  <c r="F19" i="41"/>
  <c r="J19" i="41"/>
  <c r="L19" i="41"/>
  <c r="M19" i="41"/>
  <c r="N19" i="41"/>
  <c r="O19" i="41"/>
  <c r="P19" i="41"/>
  <c r="Q19" i="41"/>
  <c r="R19" i="41"/>
  <c r="S19" i="41"/>
  <c r="T19" i="41"/>
  <c r="U19" i="41"/>
  <c r="V19" i="41"/>
  <c r="W19" i="41"/>
  <c r="X19" i="41"/>
  <c r="Y19" i="41"/>
  <c r="Z19" i="41"/>
  <c r="AA19" i="41"/>
  <c r="AB19" i="41"/>
  <c r="AC19" i="41"/>
  <c r="AD19" i="41"/>
  <c r="AE19" i="41"/>
  <c r="AF19" i="41"/>
  <c r="AG19" i="41"/>
  <c r="AH19" i="41"/>
  <c r="AI19" i="41"/>
  <c r="AJ19" i="41"/>
  <c r="AK19" i="41"/>
  <c r="AL19" i="41"/>
  <c r="AM19" i="41"/>
  <c r="AO19" i="41"/>
  <c r="D61" i="32"/>
  <c r="EA61" i="32" s="1"/>
  <c r="E61" i="32"/>
  <c r="EB61" i="32" s="1"/>
  <c r="F61" i="32"/>
  <c r="G61" i="32"/>
  <c r="ED61" i="32" s="1"/>
  <c r="H61" i="32"/>
  <c r="EE61" i="32" s="1"/>
  <c r="I61" i="32"/>
  <c r="J61" i="32"/>
  <c r="K61" i="32"/>
  <c r="L61" i="32"/>
  <c r="M61" i="32"/>
  <c r="FD61" i="32" s="1"/>
  <c r="P61" i="32"/>
  <c r="Q61" i="32"/>
  <c r="EN61" i="32" s="1"/>
  <c r="R61" i="32"/>
  <c r="S61" i="32"/>
  <c r="EO61" i="32" s="1"/>
  <c r="U61" i="32"/>
  <c r="EL61" i="32" s="1"/>
  <c r="V61" i="32"/>
  <c r="EM61" i="32" s="1"/>
  <c r="W61" i="32"/>
  <c r="X61" i="32" s="1"/>
  <c r="Y61" i="32"/>
  <c r="Z61" i="32"/>
  <c r="AB61" i="32"/>
  <c r="AC61" i="32"/>
  <c r="AD61" i="32"/>
  <c r="AE61" i="32"/>
  <c r="GJ61" i="32" s="1"/>
  <c r="AF61" i="32"/>
  <c r="AG61" i="32"/>
  <c r="AH61" i="32"/>
  <c r="AI61" i="32"/>
  <c r="AL61" i="32" s="1"/>
  <c r="AN61" i="32"/>
  <c r="AO61" i="32"/>
  <c r="AP61" i="32"/>
  <c r="AQ61" i="32"/>
  <c r="AR61" i="32"/>
  <c r="AS61" i="32"/>
  <c r="AT61" i="32"/>
  <c r="AU61" i="32"/>
  <c r="AV61" i="32"/>
  <c r="AW61" i="32"/>
  <c r="AX61" i="32"/>
  <c r="AY61" i="32"/>
  <c r="BA61" i="32"/>
  <c r="BB61" i="32"/>
  <c r="BC61" i="32"/>
  <c r="BD61" i="32"/>
  <c r="BE61" i="32"/>
  <c r="GM61" i="32" s="1"/>
  <c r="BF61" i="32"/>
  <c r="BG61" i="32"/>
  <c r="BH61" i="32"/>
  <c r="BM61" i="32" s="1"/>
  <c r="BI61" i="32"/>
  <c r="BN61" i="32"/>
  <c r="BO61" i="32"/>
  <c r="BP61" i="32"/>
  <c r="BQ61" i="32"/>
  <c r="BR61" i="32"/>
  <c r="BS61" i="32"/>
  <c r="BT61" i="32"/>
  <c r="BU61" i="32"/>
  <c r="BV61" i="32"/>
  <c r="BW61" i="32"/>
  <c r="BX61" i="32"/>
  <c r="BY61" i="32"/>
  <c r="BZ61" i="32"/>
  <c r="CA61" i="32"/>
  <c r="CB61" i="32"/>
  <c r="CC61" i="32"/>
  <c r="CD61" i="32"/>
  <c r="CE61" i="32"/>
  <c r="CF61" i="32"/>
  <c r="CG61" i="32"/>
  <c r="CN61" i="32"/>
  <c r="CO61" i="32"/>
  <c r="CP61" i="32"/>
  <c r="CQ61" i="32"/>
  <c r="CR61" i="32"/>
  <c r="CS61" i="32"/>
  <c r="DD61" i="32"/>
  <c r="DE61" i="32"/>
  <c r="DF61" i="32"/>
  <c r="DG61" i="32"/>
  <c r="DH61" i="32"/>
  <c r="DI61" i="32"/>
  <c r="DJ61" i="32"/>
  <c r="GF61" i="32" s="1"/>
  <c r="DK61" i="32"/>
  <c r="GG61" i="32" s="1"/>
  <c r="DL61" i="32"/>
  <c r="GH61" i="32" s="1"/>
  <c r="DW61" i="32"/>
  <c r="GW61" i="32" s="1"/>
  <c r="DX61" i="32"/>
  <c r="GX61" i="32" s="1"/>
  <c r="DY61" i="32"/>
  <c r="GY61" i="32" s="1"/>
  <c r="DZ61" i="32"/>
  <c r="GZ61" i="32" s="1"/>
  <c r="EF61" i="32"/>
  <c r="EG61" i="32"/>
  <c r="EI61" i="32"/>
  <c r="EJ61" i="32"/>
  <c r="EK61" i="32"/>
  <c r="ET61" i="32" s="1"/>
  <c r="EY61" i="32"/>
  <c r="EZ61" i="32"/>
  <c r="FA61" i="32"/>
  <c r="FB61" i="32"/>
  <c r="FC61" i="32"/>
  <c r="FE61" i="32"/>
  <c r="FF61" i="32"/>
  <c r="FG61" i="32"/>
  <c r="FH61" i="32"/>
  <c r="FI61" i="32"/>
  <c r="FJ61" i="32"/>
  <c r="FK61" i="32"/>
  <c r="FL61" i="32"/>
  <c r="FM61" i="32"/>
  <c r="FN61" i="32"/>
  <c r="FP61" i="32"/>
  <c r="FQ61" i="32"/>
  <c r="FR61" i="32"/>
  <c r="FS61" i="32"/>
  <c r="FT61" i="32"/>
  <c r="FU61" i="32"/>
  <c r="FX61" i="32"/>
  <c r="FY61" i="32"/>
  <c r="FZ61" i="32"/>
  <c r="GA61" i="32"/>
  <c r="GB61" i="32"/>
  <c r="GC61" i="32"/>
  <c r="GD61" i="32"/>
  <c r="GE61" i="32"/>
  <c r="HB61" i="32"/>
  <c r="D62" i="32"/>
  <c r="E62" i="32"/>
  <c r="EB62" i="32" s="1"/>
  <c r="F62" i="32"/>
  <c r="G62" i="32"/>
  <c r="ED62" i="32" s="1"/>
  <c r="H62" i="32"/>
  <c r="EE62" i="32" s="1"/>
  <c r="I62" i="32"/>
  <c r="J62" i="32"/>
  <c r="K62" i="32"/>
  <c r="L62" i="32"/>
  <c r="M62" i="32"/>
  <c r="FD62" i="32" s="1"/>
  <c r="P62" i="32"/>
  <c r="Q62" i="32"/>
  <c r="EN62" i="32" s="1"/>
  <c r="R62" i="32"/>
  <c r="S62" i="32"/>
  <c r="EO62" i="32" s="1"/>
  <c r="U62" i="32"/>
  <c r="V62" i="32"/>
  <c r="EM62" i="32" s="1"/>
  <c r="W62" i="32"/>
  <c r="X62" i="32" s="1"/>
  <c r="Y62" i="32"/>
  <c r="Z62" i="32"/>
  <c r="AB62" i="32"/>
  <c r="AC62" i="32"/>
  <c r="AD62" i="32"/>
  <c r="AE62" i="32"/>
  <c r="GJ62" i="32" s="1"/>
  <c r="AF62" i="32"/>
  <c r="AG62" i="32"/>
  <c r="AH62" i="32"/>
  <c r="AM62" i="32" s="1"/>
  <c r="AI62" i="32"/>
  <c r="AL62" i="32" s="1"/>
  <c r="AN62" i="32"/>
  <c r="AO62" i="32"/>
  <c r="AP62" i="32"/>
  <c r="AQ62" i="32"/>
  <c r="AR62" i="32"/>
  <c r="AS62" i="32"/>
  <c r="AT62" i="32"/>
  <c r="AU62" i="32"/>
  <c r="AV62" i="32"/>
  <c r="AW62" i="32"/>
  <c r="AX62" i="32"/>
  <c r="AY62" i="32"/>
  <c r="BA62" i="32"/>
  <c r="BB62" i="32"/>
  <c r="BC62" i="32"/>
  <c r="BD62" i="32"/>
  <c r="BE62" i="32"/>
  <c r="GM62" i="32" s="1"/>
  <c r="BF62" i="32"/>
  <c r="BG62" i="32"/>
  <c r="BH62" i="32"/>
  <c r="BM62" i="32" s="1"/>
  <c r="BI62" i="32"/>
  <c r="BL62" i="32" s="1"/>
  <c r="BN62" i="32"/>
  <c r="BO62" i="32"/>
  <c r="BP62" i="32"/>
  <c r="BQ62" i="32"/>
  <c r="BR62" i="32"/>
  <c r="BS62" i="32"/>
  <c r="BT62" i="32"/>
  <c r="BU62" i="32"/>
  <c r="BV62" i="32"/>
  <c r="BW62" i="32"/>
  <c r="BX62" i="32"/>
  <c r="BY62" i="32"/>
  <c r="BZ62" i="32"/>
  <c r="CA62" i="32"/>
  <c r="CB62" i="32"/>
  <c r="CC62" i="32"/>
  <c r="CD62" i="32"/>
  <c r="CE62" i="32"/>
  <c r="CF62" i="32"/>
  <c r="CG62" i="32"/>
  <c r="CN62" i="32"/>
  <c r="CO62" i="32"/>
  <c r="CP62" i="32"/>
  <c r="CQ62" i="32"/>
  <c r="CR62" i="32"/>
  <c r="CS62" i="32"/>
  <c r="DD62" i="32"/>
  <c r="DE62" i="32"/>
  <c r="DF62" i="32"/>
  <c r="DG62" i="32"/>
  <c r="DH62" i="32"/>
  <c r="DI62" i="32"/>
  <c r="DJ62" i="32"/>
  <c r="GF62" i="32" s="1"/>
  <c r="DK62" i="32"/>
  <c r="GG62" i="32" s="1"/>
  <c r="DL62" i="32"/>
  <c r="GH62" i="32" s="1"/>
  <c r="DW62" i="32"/>
  <c r="GW62" i="32" s="1"/>
  <c r="DX62" i="32"/>
  <c r="GX62" i="32" s="1"/>
  <c r="DY62" i="32"/>
  <c r="GY62" i="32" s="1"/>
  <c r="DZ62" i="32"/>
  <c r="GZ62" i="32" s="1"/>
  <c r="EF62" i="32"/>
  <c r="EG62" i="32"/>
  <c r="EI62" i="32"/>
  <c r="EJ62" i="32"/>
  <c r="EK62" i="32"/>
  <c r="ET62" i="32" s="1"/>
  <c r="EY62" i="32"/>
  <c r="EZ62" i="32"/>
  <c r="FA62" i="32"/>
  <c r="FB62" i="32"/>
  <c r="FC62" i="32"/>
  <c r="FE62" i="32"/>
  <c r="FF62" i="32"/>
  <c r="FG62" i="32"/>
  <c r="FH62" i="32"/>
  <c r="FI62" i="32"/>
  <c r="FJ62" i="32"/>
  <c r="FK62" i="32"/>
  <c r="FL62" i="32"/>
  <c r="FM62" i="32"/>
  <c r="FN62" i="32"/>
  <c r="FP62" i="32"/>
  <c r="FQ62" i="32"/>
  <c r="FR62" i="32"/>
  <c r="FS62" i="32"/>
  <c r="FT62" i="32"/>
  <c r="FU62" i="32"/>
  <c r="FX62" i="32"/>
  <c r="FY62" i="32"/>
  <c r="FZ62" i="32"/>
  <c r="GA62" i="32"/>
  <c r="GB62" i="32"/>
  <c r="GC62" i="32"/>
  <c r="GD62" i="32"/>
  <c r="GE62" i="32"/>
  <c r="HB62" i="32"/>
  <c r="D63" i="32"/>
  <c r="EA63" i="32" s="1"/>
  <c r="E63" i="32"/>
  <c r="EB63" i="32" s="1"/>
  <c r="F63" i="32"/>
  <c r="G63" i="32"/>
  <c r="ED63" i="32" s="1"/>
  <c r="H63" i="32"/>
  <c r="EE63" i="32" s="1"/>
  <c r="I63" i="32"/>
  <c r="J63" i="32"/>
  <c r="K63" i="32"/>
  <c r="L63" i="32"/>
  <c r="M63" i="32"/>
  <c r="FD63" i="32" s="1"/>
  <c r="P63" i="32"/>
  <c r="Q63" i="32"/>
  <c r="EN63" i="32" s="1"/>
  <c r="R63" i="32"/>
  <c r="S63" i="32"/>
  <c r="EO63" i="32" s="1"/>
  <c r="U63" i="32"/>
  <c r="V63" i="32"/>
  <c r="EM63" i="32" s="1"/>
  <c r="W63" i="32"/>
  <c r="X63" i="32" s="1"/>
  <c r="Y63" i="32"/>
  <c r="Z63" i="32"/>
  <c r="AB63" i="32"/>
  <c r="AC63" i="32"/>
  <c r="AD63" i="32"/>
  <c r="AE63" i="32"/>
  <c r="AF63" i="32"/>
  <c r="AG63" i="32"/>
  <c r="AH63" i="32"/>
  <c r="AI63" i="32"/>
  <c r="AN63" i="32"/>
  <c r="AO63" i="32"/>
  <c r="AP63" i="32"/>
  <c r="AQ63" i="32"/>
  <c r="AR63" i="32"/>
  <c r="AS63" i="32"/>
  <c r="AT63" i="32"/>
  <c r="AU63" i="32"/>
  <c r="AV63" i="32"/>
  <c r="AW63" i="32"/>
  <c r="AX63" i="32"/>
  <c r="AY63" i="32"/>
  <c r="BA63" i="32"/>
  <c r="BB63" i="32"/>
  <c r="BC63" i="32"/>
  <c r="BD63" i="32"/>
  <c r="BE63" i="32"/>
  <c r="GM63" i="32" s="1"/>
  <c r="BF63" i="32"/>
  <c r="BG63" i="32"/>
  <c r="BH63" i="32"/>
  <c r="BI63" i="32"/>
  <c r="BN63" i="32"/>
  <c r="BO63" i="32"/>
  <c r="BP63" i="32"/>
  <c r="BQ63" i="32"/>
  <c r="BR63" i="32"/>
  <c r="BS63" i="32"/>
  <c r="BT63" i="32"/>
  <c r="BU63" i="32"/>
  <c r="BV63" i="32"/>
  <c r="BW63" i="32"/>
  <c r="BX63" i="32"/>
  <c r="BY63" i="32"/>
  <c r="BZ63" i="32"/>
  <c r="CA63" i="32"/>
  <c r="CB63" i="32"/>
  <c r="CC63" i="32"/>
  <c r="CD63" i="32"/>
  <c r="CE63" i="32"/>
  <c r="CF63" i="32"/>
  <c r="CG63" i="32"/>
  <c r="CN63" i="32"/>
  <c r="CO63" i="32"/>
  <c r="CP63" i="32"/>
  <c r="CQ63" i="32"/>
  <c r="CR63" i="32"/>
  <c r="CS63" i="32"/>
  <c r="DD63" i="32"/>
  <c r="DE63" i="32"/>
  <c r="DF63" i="32"/>
  <c r="DG63" i="32"/>
  <c r="DH63" i="32"/>
  <c r="DI63" i="32"/>
  <c r="DJ63" i="32"/>
  <c r="GF63" i="32" s="1"/>
  <c r="DK63" i="32"/>
  <c r="GG63" i="32" s="1"/>
  <c r="DL63" i="32"/>
  <c r="GH63" i="32" s="1"/>
  <c r="DW63" i="32"/>
  <c r="GW63" i="32" s="1"/>
  <c r="DX63" i="32"/>
  <c r="GX63" i="32" s="1"/>
  <c r="DY63" i="32"/>
  <c r="GY63" i="32" s="1"/>
  <c r="DZ63" i="32"/>
  <c r="GZ63" i="32" s="1"/>
  <c r="EF63" i="32"/>
  <c r="EG63" i="32"/>
  <c r="EI63" i="32"/>
  <c r="EJ63" i="32"/>
  <c r="EK63" i="32"/>
  <c r="ET63" i="32" s="1"/>
  <c r="EY63" i="32"/>
  <c r="EZ63" i="32"/>
  <c r="FA63" i="32"/>
  <c r="FB63" i="32"/>
  <c r="FC63" i="32"/>
  <c r="FE63" i="32"/>
  <c r="FF63" i="32"/>
  <c r="FG63" i="32"/>
  <c r="FH63" i="32"/>
  <c r="FI63" i="32"/>
  <c r="FJ63" i="32"/>
  <c r="FK63" i="32"/>
  <c r="FL63" i="32"/>
  <c r="FM63" i="32"/>
  <c r="FN63" i="32"/>
  <c r="FP63" i="32"/>
  <c r="FQ63" i="32"/>
  <c r="FR63" i="32"/>
  <c r="FS63" i="32"/>
  <c r="FT63" i="32"/>
  <c r="FU63" i="32"/>
  <c r="FX63" i="32"/>
  <c r="FY63" i="32"/>
  <c r="FZ63" i="32"/>
  <c r="GA63" i="32"/>
  <c r="GB63" i="32"/>
  <c r="GC63" i="32"/>
  <c r="GD63" i="32"/>
  <c r="GE63" i="32"/>
  <c r="HB63" i="32"/>
  <c r="D64" i="32"/>
  <c r="EA64" i="32" s="1"/>
  <c r="E64" i="32"/>
  <c r="EB64" i="32" s="1"/>
  <c r="F64" i="32"/>
  <c r="G64" i="32"/>
  <c r="ED64" i="32" s="1"/>
  <c r="H64" i="32"/>
  <c r="EE64" i="32" s="1"/>
  <c r="I64" i="32"/>
  <c r="J64" i="32"/>
  <c r="K64" i="32"/>
  <c r="L64" i="32"/>
  <c r="M64" i="32"/>
  <c r="FD64" i="32" s="1"/>
  <c r="P64" i="32"/>
  <c r="Q64" i="32"/>
  <c r="EN64" i="32" s="1"/>
  <c r="R64" i="32"/>
  <c r="S64" i="32"/>
  <c r="EO64" i="32" s="1"/>
  <c r="U64" i="32"/>
  <c r="EL64" i="32" s="1"/>
  <c r="V64" i="32"/>
  <c r="EM64" i="32" s="1"/>
  <c r="W64" i="32"/>
  <c r="X64" i="32" s="1"/>
  <c r="Y64" i="32"/>
  <c r="Z64" i="32"/>
  <c r="AB64" i="32"/>
  <c r="AC64" i="32"/>
  <c r="AD64" i="32"/>
  <c r="AE64" i="32"/>
  <c r="GJ64" i="32" s="1"/>
  <c r="AF64" i="32"/>
  <c r="AG64" i="32"/>
  <c r="AH64" i="32"/>
  <c r="AM64" i="32" s="1"/>
  <c r="AI64" i="32"/>
  <c r="AL64" i="32" s="1"/>
  <c r="AN64" i="32"/>
  <c r="AO64" i="32"/>
  <c r="AP64" i="32"/>
  <c r="AQ64" i="32"/>
  <c r="AR64" i="32"/>
  <c r="AS64" i="32"/>
  <c r="AT64" i="32"/>
  <c r="AU64" i="32"/>
  <c r="AV64" i="32"/>
  <c r="AW64" i="32"/>
  <c r="AX64" i="32"/>
  <c r="AY64" i="32"/>
  <c r="BA64" i="32"/>
  <c r="BB64" i="32"/>
  <c r="BC64" i="32"/>
  <c r="BD64" i="32"/>
  <c r="BE64" i="32"/>
  <c r="GM64" i="32" s="1"/>
  <c r="BF64" i="32"/>
  <c r="BG64" i="32"/>
  <c r="BH64" i="32"/>
  <c r="BM64" i="32" s="1"/>
  <c r="BI64" i="32"/>
  <c r="BN64" i="32"/>
  <c r="BO64" i="32"/>
  <c r="BP64" i="32"/>
  <c r="BQ64" i="32"/>
  <c r="BR64" i="32"/>
  <c r="BS64" i="32"/>
  <c r="BT64" i="32"/>
  <c r="BU64" i="32"/>
  <c r="BV64" i="32"/>
  <c r="BW64" i="32"/>
  <c r="BX64" i="32"/>
  <c r="BY64" i="32"/>
  <c r="BZ64" i="32"/>
  <c r="CA64" i="32"/>
  <c r="CB64" i="32"/>
  <c r="CC64" i="32"/>
  <c r="CD64" i="32"/>
  <c r="CE64" i="32"/>
  <c r="CF64" i="32"/>
  <c r="CG64" i="32"/>
  <c r="CN64" i="32"/>
  <c r="CO64" i="32"/>
  <c r="CP64" i="32"/>
  <c r="CQ64" i="32"/>
  <c r="CR64" i="32"/>
  <c r="CS64" i="32"/>
  <c r="DD64" i="32"/>
  <c r="DE64" i="32"/>
  <c r="DF64" i="32"/>
  <c r="DG64" i="32"/>
  <c r="DH64" i="32"/>
  <c r="DI64" i="32"/>
  <c r="DJ64" i="32"/>
  <c r="GF64" i="32" s="1"/>
  <c r="DK64" i="32"/>
  <c r="GG64" i="32" s="1"/>
  <c r="DL64" i="32"/>
  <c r="GH64" i="32" s="1"/>
  <c r="DW64" i="32"/>
  <c r="GW64" i="32" s="1"/>
  <c r="DX64" i="32"/>
  <c r="GX64" i="32" s="1"/>
  <c r="DY64" i="32"/>
  <c r="GY64" i="32" s="1"/>
  <c r="DZ64" i="32"/>
  <c r="GZ64" i="32" s="1"/>
  <c r="EF64" i="32"/>
  <c r="EG64" i="32"/>
  <c r="EI64" i="32"/>
  <c r="EJ64" i="32"/>
  <c r="EK64" i="32"/>
  <c r="ET64" i="32" s="1"/>
  <c r="EY64" i="32"/>
  <c r="EZ64" i="32"/>
  <c r="FA64" i="32"/>
  <c r="FB64" i="32"/>
  <c r="FC64" i="32"/>
  <c r="FE64" i="32"/>
  <c r="FF64" i="32"/>
  <c r="FG64" i="32"/>
  <c r="FH64" i="32"/>
  <c r="FI64" i="32"/>
  <c r="FJ64" i="32"/>
  <c r="FK64" i="32"/>
  <c r="FL64" i="32"/>
  <c r="FM64" i="32"/>
  <c r="FN64" i="32"/>
  <c r="FP64" i="32"/>
  <c r="FQ64" i="32"/>
  <c r="FR64" i="32"/>
  <c r="FS64" i="32"/>
  <c r="FT64" i="32"/>
  <c r="FU64" i="32"/>
  <c r="FX64" i="32"/>
  <c r="FY64" i="32"/>
  <c r="FZ64" i="32"/>
  <c r="GA64" i="32"/>
  <c r="GB64" i="32"/>
  <c r="GC64" i="32"/>
  <c r="GD64" i="32"/>
  <c r="GE64" i="32"/>
  <c r="HB64" i="32"/>
  <c r="D65" i="32"/>
  <c r="EA65" i="32" s="1"/>
  <c r="E65" i="32"/>
  <c r="EB65" i="32" s="1"/>
  <c r="F65" i="32"/>
  <c r="G65" i="32"/>
  <c r="ED65" i="32" s="1"/>
  <c r="H65" i="32"/>
  <c r="EE65" i="32" s="1"/>
  <c r="I65" i="32"/>
  <c r="J65" i="32"/>
  <c r="K65" i="32"/>
  <c r="L65" i="32"/>
  <c r="M65" i="32"/>
  <c r="FD65" i="32" s="1"/>
  <c r="P65" i="32"/>
  <c r="Q65" i="32"/>
  <c r="EN65" i="32" s="1"/>
  <c r="R65" i="32"/>
  <c r="S65" i="32"/>
  <c r="EO65" i="32" s="1"/>
  <c r="U65" i="32"/>
  <c r="EL65" i="32" s="1"/>
  <c r="V65" i="32"/>
  <c r="W65" i="32"/>
  <c r="X65" i="32" s="1"/>
  <c r="Y65" i="32"/>
  <c r="Z65" i="32"/>
  <c r="AB65" i="32"/>
  <c r="AC65" i="32"/>
  <c r="AD65" i="32"/>
  <c r="AE65" i="32"/>
  <c r="AF65" i="32"/>
  <c r="AG65" i="32"/>
  <c r="AH65" i="32"/>
  <c r="AM65" i="32" s="1"/>
  <c r="AI65" i="32"/>
  <c r="AN65" i="32"/>
  <c r="AO65" i="32"/>
  <c r="AP65" i="32"/>
  <c r="AQ65" i="32"/>
  <c r="AR65" i="32"/>
  <c r="AS65" i="32"/>
  <c r="AT65" i="32"/>
  <c r="AU65" i="32"/>
  <c r="AV65" i="32"/>
  <c r="AW65" i="32"/>
  <c r="AX65" i="32"/>
  <c r="AY65" i="32"/>
  <c r="BA65" i="32"/>
  <c r="BB65" i="32"/>
  <c r="BC65" i="32"/>
  <c r="BD65" i="32"/>
  <c r="BE65" i="32"/>
  <c r="BF65" i="32"/>
  <c r="BG65" i="32"/>
  <c r="BH65" i="32"/>
  <c r="BI65" i="32"/>
  <c r="BL65" i="32" s="1"/>
  <c r="BN65" i="32"/>
  <c r="BO65" i="32"/>
  <c r="BP65" i="32"/>
  <c r="BQ65" i="32"/>
  <c r="BR65" i="32"/>
  <c r="BS65" i="32"/>
  <c r="BT65" i="32"/>
  <c r="BU65" i="32"/>
  <c r="BV65" i="32"/>
  <c r="BW65" i="32"/>
  <c r="BX65" i="32"/>
  <c r="BY65" i="32"/>
  <c r="BZ65" i="32"/>
  <c r="CA65" i="32"/>
  <c r="CB65" i="32"/>
  <c r="CC65" i="32"/>
  <c r="CD65" i="32"/>
  <c r="CE65" i="32"/>
  <c r="CF65" i="32"/>
  <c r="CG65" i="32"/>
  <c r="CN65" i="32"/>
  <c r="CO65" i="32"/>
  <c r="CP65" i="32"/>
  <c r="CQ65" i="32"/>
  <c r="CR65" i="32"/>
  <c r="CS65" i="32"/>
  <c r="DD65" i="32"/>
  <c r="DE65" i="32"/>
  <c r="DF65" i="32"/>
  <c r="DG65" i="32"/>
  <c r="DH65" i="32"/>
  <c r="DI65" i="32"/>
  <c r="DJ65" i="32"/>
  <c r="GF65" i="32" s="1"/>
  <c r="DK65" i="32"/>
  <c r="GG65" i="32" s="1"/>
  <c r="DL65" i="32"/>
  <c r="GH65" i="32" s="1"/>
  <c r="DW65" i="32"/>
  <c r="GW65" i="32" s="1"/>
  <c r="DX65" i="32"/>
  <c r="GX65" i="32" s="1"/>
  <c r="DY65" i="32"/>
  <c r="GY65" i="32" s="1"/>
  <c r="DZ65" i="32"/>
  <c r="GZ65" i="32" s="1"/>
  <c r="EF65" i="32"/>
  <c r="EG65" i="32"/>
  <c r="EI65" i="32"/>
  <c r="EJ65" i="32"/>
  <c r="EK65" i="32"/>
  <c r="ET65" i="32" s="1"/>
  <c r="EY65" i="32"/>
  <c r="EZ65" i="32"/>
  <c r="FA65" i="32"/>
  <c r="FB65" i="32"/>
  <c r="FC65" i="32"/>
  <c r="FE65" i="32"/>
  <c r="FF65" i="32"/>
  <c r="FG65" i="32"/>
  <c r="FH65" i="32"/>
  <c r="FI65" i="32"/>
  <c r="FJ65" i="32"/>
  <c r="FK65" i="32"/>
  <c r="FL65" i="32"/>
  <c r="FM65" i="32"/>
  <c r="FN65" i="32"/>
  <c r="FP65" i="32"/>
  <c r="FQ65" i="32"/>
  <c r="FR65" i="32"/>
  <c r="FS65" i="32"/>
  <c r="FT65" i="32"/>
  <c r="FU65" i="32"/>
  <c r="FX65" i="32"/>
  <c r="FY65" i="32"/>
  <c r="FZ65" i="32"/>
  <c r="GA65" i="32"/>
  <c r="GB65" i="32"/>
  <c r="GC65" i="32"/>
  <c r="GD65" i="32"/>
  <c r="GE65" i="32"/>
  <c r="HB65" i="32"/>
  <c r="D66" i="32"/>
  <c r="EA66" i="32" s="1"/>
  <c r="E66" i="32"/>
  <c r="EB66" i="32" s="1"/>
  <c r="F66" i="32"/>
  <c r="G66" i="32"/>
  <c r="ED66" i="32" s="1"/>
  <c r="H66" i="32"/>
  <c r="EE66" i="32" s="1"/>
  <c r="I66" i="32"/>
  <c r="J66" i="32"/>
  <c r="K66" i="32"/>
  <c r="L66" i="32"/>
  <c r="M66" i="32"/>
  <c r="FD66" i="32" s="1"/>
  <c r="P66" i="32"/>
  <c r="Q66" i="32"/>
  <c r="EN66" i="32" s="1"/>
  <c r="R66" i="32"/>
  <c r="S66" i="32"/>
  <c r="EO66" i="32" s="1"/>
  <c r="U66" i="32"/>
  <c r="EL66" i="32" s="1"/>
  <c r="V66" i="32"/>
  <c r="W66" i="32"/>
  <c r="X66" i="32" s="1"/>
  <c r="Y66" i="32"/>
  <c r="Z66" i="32"/>
  <c r="AB66" i="32"/>
  <c r="AC66" i="32"/>
  <c r="AD66" i="32"/>
  <c r="AE66" i="32"/>
  <c r="GJ66" i="32" s="1"/>
  <c r="AF66" i="32"/>
  <c r="AG66" i="32"/>
  <c r="AH66" i="32"/>
  <c r="AM66" i="32" s="1"/>
  <c r="AI66" i="32"/>
  <c r="AL66" i="32" s="1"/>
  <c r="AN66" i="32"/>
  <c r="AO66" i="32"/>
  <c r="AP66" i="32"/>
  <c r="AQ66" i="32"/>
  <c r="AR66" i="32"/>
  <c r="AS66" i="32"/>
  <c r="AT66" i="32"/>
  <c r="AU66" i="32"/>
  <c r="AV66" i="32"/>
  <c r="AW66" i="32"/>
  <c r="AX66" i="32"/>
  <c r="AY66" i="32"/>
  <c r="BA66" i="32"/>
  <c r="BB66" i="32"/>
  <c r="BC66" i="32"/>
  <c r="BD66" i="32"/>
  <c r="BE66" i="32"/>
  <c r="GM66" i="32" s="1"/>
  <c r="BF66" i="32"/>
  <c r="BG66" i="32"/>
  <c r="BH66" i="32"/>
  <c r="BM66" i="32" s="1"/>
  <c r="BI66" i="32"/>
  <c r="BN66" i="32"/>
  <c r="BO66" i="32"/>
  <c r="BP66" i="32"/>
  <c r="BQ66" i="32"/>
  <c r="BR66" i="32"/>
  <c r="BS66" i="32"/>
  <c r="BT66" i="32"/>
  <c r="BU66" i="32"/>
  <c r="BV66" i="32"/>
  <c r="BW66" i="32"/>
  <c r="BX66" i="32"/>
  <c r="BY66" i="32"/>
  <c r="BZ66" i="32"/>
  <c r="CA66" i="32"/>
  <c r="CB66" i="32"/>
  <c r="CC66" i="32"/>
  <c r="CD66" i="32"/>
  <c r="CE66" i="32"/>
  <c r="CF66" i="32"/>
  <c r="CG66" i="32"/>
  <c r="CN66" i="32"/>
  <c r="CO66" i="32"/>
  <c r="CP66" i="32"/>
  <c r="CQ66" i="32"/>
  <c r="CR66" i="32"/>
  <c r="CS66" i="32"/>
  <c r="DD66" i="32"/>
  <c r="DE66" i="32"/>
  <c r="DF66" i="32"/>
  <c r="DG66" i="32"/>
  <c r="DH66" i="32"/>
  <c r="DI66" i="32"/>
  <c r="DJ66" i="32"/>
  <c r="GF66" i="32" s="1"/>
  <c r="DK66" i="32"/>
  <c r="GG66" i="32" s="1"/>
  <c r="DL66" i="32"/>
  <c r="GH66" i="32" s="1"/>
  <c r="DW66" i="32"/>
  <c r="GW66" i="32" s="1"/>
  <c r="DX66" i="32"/>
  <c r="GX66" i="32" s="1"/>
  <c r="DY66" i="32"/>
  <c r="GY66" i="32" s="1"/>
  <c r="DZ66" i="32"/>
  <c r="GZ66" i="32" s="1"/>
  <c r="EF66" i="32"/>
  <c r="EG66" i="32"/>
  <c r="EI66" i="32"/>
  <c r="EJ66" i="32"/>
  <c r="EK66" i="32"/>
  <c r="ET66" i="32" s="1"/>
  <c r="EY66" i="32"/>
  <c r="EZ66" i="32"/>
  <c r="FA66" i="32"/>
  <c r="FB66" i="32"/>
  <c r="FC66" i="32"/>
  <c r="FE66" i="32"/>
  <c r="FF66" i="32"/>
  <c r="FG66" i="32"/>
  <c r="FH66" i="32"/>
  <c r="FI66" i="32"/>
  <c r="FJ66" i="32"/>
  <c r="FK66" i="32"/>
  <c r="FL66" i="32"/>
  <c r="FM66" i="32"/>
  <c r="FN66" i="32"/>
  <c r="FP66" i="32"/>
  <c r="FQ66" i="32"/>
  <c r="FR66" i="32"/>
  <c r="FS66" i="32"/>
  <c r="FT66" i="32"/>
  <c r="FU66" i="32"/>
  <c r="FX66" i="32"/>
  <c r="FY66" i="32"/>
  <c r="FZ66" i="32"/>
  <c r="GA66" i="32"/>
  <c r="GB66" i="32"/>
  <c r="GC66" i="32"/>
  <c r="GD66" i="32"/>
  <c r="GE66" i="32"/>
  <c r="HB66" i="32"/>
  <c r="D67" i="32"/>
  <c r="EA67" i="32" s="1"/>
  <c r="E67" i="32"/>
  <c r="EB67" i="32" s="1"/>
  <c r="F67" i="32"/>
  <c r="G67" i="32"/>
  <c r="ED67" i="32" s="1"/>
  <c r="H67" i="32"/>
  <c r="EE67" i="32" s="1"/>
  <c r="I67" i="32"/>
  <c r="J67" i="32"/>
  <c r="K67" i="32"/>
  <c r="L67" i="32"/>
  <c r="M67" i="32"/>
  <c r="FD67" i="32" s="1"/>
  <c r="P67" i="32"/>
  <c r="Q67" i="32"/>
  <c r="EN67" i="32" s="1"/>
  <c r="R67" i="32"/>
  <c r="S67" i="32"/>
  <c r="U67" i="32"/>
  <c r="EL67" i="32" s="1"/>
  <c r="V67" i="32"/>
  <c r="W67" i="32"/>
  <c r="Y67" i="32"/>
  <c r="Z67" i="32"/>
  <c r="AB67" i="32"/>
  <c r="AC67" i="32"/>
  <c r="AD67" i="32"/>
  <c r="AE67" i="32"/>
  <c r="GJ67" i="32" s="1"/>
  <c r="AF67" i="32"/>
  <c r="AG67" i="32"/>
  <c r="AH67" i="32"/>
  <c r="AM67" i="32" s="1"/>
  <c r="AI67" i="32"/>
  <c r="AL67" i="32" s="1"/>
  <c r="AN67" i="32"/>
  <c r="AO67" i="32"/>
  <c r="AP67" i="32"/>
  <c r="AQ67" i="32"/>
  <c r="AR67" i="32"/>
  <c r="AS67" i="32"/>
  <c r="AT67" i="32"/>
  <c r="AU67" i="32"/>
  <c r="AV67" i="32"/>
  <c r="AW67" i="32"/>
  <c r="AX67" i="32"/>
  <c r="AY67" i="32"/>
  <c r="BA67" i="32"/>
  <c r="BB67" i="32"/>
  <c r="BC67" i="32"/>
  <c r="BD67" i="32"/>
  <c r="BE67" i="32"/>
  <c r="GM67" i="32" s="1"/>
  <c r="BF67" i="32"/>
  <c r="BG67" i="32"/>
  <c r="BH67" i="32"/>
  <c r="BM67" i="32" s="1"/>
  <c r="BI67" i="32"/>
  <c r="BL67" i="32" s="1"/>
  <c r="BN67" i="32"/>
  <c r="BO67" i="32"/>
  <c r="BP67" i="32"/>
  <c r="BQ67" i="32"/>
  <c r="BR67" i="32"/>
  <c r="BS67" i="32"/>
  <c r="BT67" i="32"/>
  <c r="BU67" i="32"/>
  <c r="BV67" i="32"/>
  <c r="BW67" i="32"/>
  <c r="BX67" i="32"/>
  <c r="BY67" i="32"/>
  <c r="BZ67" i="32"/>
  <c r="CA67" i="32"/>
  <c r="CB67" i="32"/>
  <c r="CC67" i="32"/>
  <c r="CD67" i="32"/>
  <c r="CE67" i="32"/>
  <c r="CF67" i="32"/>
  <c r="CG67" i="32"/>
  <c r="CN67" i="32"/>
  <c r="CO67" i="32"/>
  <c r="CP67" i="32"/>
  <c r="CQ67" i="32"/>
  <c r="CR67" i="32"/>
  <c r="CS67" i="32"/>
  <c r="DD67" i="32"/>
  <c r="DE67" i="32"/>
  <c r="DF67" i="32"/>
  <c r="DG67" i="32"/>
  <c r="DH67" i="32"/>
  <c r="DI67" i="32"/>
  <c r="DJ67" i="32"/>
  <c r="GF67" i="32" s="1"/>
  <c r="DK67" i="32"/>
  <c r="GG67" i="32" s="1"/>
  <c r="DL67" i="32"/>
  <c r="GH67" i="32" s="1"/>
  <c r="DW67" i="32"/>
  <c r="GW67" i="32" s="1"/>
  <c r="DX67" i="32"/>
  <c r="GX67" i="32" s="1"/>
  <c r="DY67" i="32"/>
  <c r="GY67" i="32" s="1"/>
  <c r="DZ67" i="32"/>
  <c r="GZ67" i="32" s="1"/>
  <c r="EF67" i="32"/>
  <c r="EG67" i="32"/>
  <c r="EI67" i="32"/>
  <c r="EJ67" i="32"/>
  <c r="EK67" i="32"/>
  <c r="ET67" i="32" s="1"/>
  <c r="EY67" i="32"/>
  <c r="EZ67" i="32"/>
  <c r="FA67" i="32"/>
  <c r="FB67" i="32"/>
  <c r="FC67" i="32"/>
  <c r="FE67" i="32"/>
  <c r="FF67" i="32"/>
  <c r="FG67" i="32"/>
  <c r="FH67" i="32"/>
  <c r="FI67" i="32"/>
  <c r="FJ67" i="32"/>
  <c r="FK67" i="32"/>
  <c r="FL67" i="32"/>
  <c r="FM67" i="32"/>
  <c r="FN67" i="32"/>
  <c r="FP67" i="32"/>
  <c r="FQ67" i="32"/>
  <c r="FR67" i="32"/>
  <c r="FS67" i="32"/>
  <c r="FT67" i="32"/>
  <c r="FU67" i="32"/>
  <c r="FX67" i="32"/>
  <c r="FY67" i="32"/>
  <c r="FZ67" i="32"/>
  <c r="GA67" i="32"/>
  <c r="GB67" i="32"/>
  <c r="GC67" i="32"/>
  <c r="GD67" i="32"/>
  <c r="GE67" i="32"/>
  <c r="HB67" i="32"/>
  <c r="D68" i="32"/>
  <c r="EA68" i="32" s="1"/>
  <c r="E68" i="32"/>
  <c r="EB68" i="32" s="1"/>
  <c r="F68" i="32"/>
  <c r="G68" i="32"/>
  <c r="ED68" i="32" s="1"/>
  <c r="H68" i="32"/>
  <c r="EE68" i="32" s="1"/>
  <c r="I68" i="32"/>
  <c r="J68" i="32"/>
  <c r="K68" i="32"/>
  <c r="L68" i="32"/>
  <c r="M68" i="32"/>
  <c r="FD68" i="32" s="1"/>
  <c r="P68" i="32"/>
  <c r="Q68" i="32"/>
  <c r="EN68" i="32" s="1"/>
  <c r="R68" i="32"/>
  <c r="S68" i="32"/>
  <c r="EO68" i="32" s="1"/>
  <c r="U68" i="32"/>
  <c r="V68" i="32"/>
  <c r="EM68" i="32" s="1"/>
  <c r="W68" i="32"/>
  <c r="Y68" i="32"/>
  <c r="Z68" i="32"/>
  <c r="AB68" i="32"/>
  <c r="AC68" i="32"/>
  <c r="AD68" i="32"/>
  <c r="AE68" i="32"/>
  <c r="GJ68" i="32" s="1"/>
  <c r="AF68" i="32"/>
  <c r="AG68" i="32"/>
  <c r="AH68" i="32"/>
  <c r="AI68" i="32"/>
  <c r="AN68" i="32"/>
  <c r="AO68" i="32"/>
  <c r="AP68" i="32"/>
  <c r="AQ68" i="32"/>
  <c r="AR68" i="32"/>
  <c r="AS68" i="32"/>
  <c r="AT68" i="32"/>
  <c r="AU68" i="32"/>
  <c r="AV68" i="32"/>
  <c r="AW68" i="32"/>
  <c r="AX68" i="32"/>
  <c r="AY68" i="32"/>
  <c r="BA68" i="32"/>
  <c r="BB68" i="32"/>
  <c r="BC68" i="32"/>
  <c r="BD68" i="32"/>
  <c r="BE68" i="32"/>
  <c r="BF68" i="32"/>
  <c r="BG68" i="32"/>
  <c r="BH68" i="32"/>
  <c r="BI68" i="32"/>
  <c r="BL68" i="32" s="1"/>
  <c r="BN68" i="32"/>
  <c r="BO68" i="32"/>
  <c r="BP68" i="32"/>
  <c r="BQ68" i="32"/>
  <c r="BR68" i="32"/>
  <c r="BS68" i="32"/>
  <c r="BT68" i="32"/>
  <c r="BU68" i="32"/>
  <c r="BV68" i="32"/>
  <c r="BW68" i="32"/>
  <c r="BX68" i="32"/>
  <c r="BY68" i="32"/>
  <c r="BZ68" i="32"/>
  <c r="CA68" i="32"/>
  <c r="CB68" i="32"/>
  <c r="CC68" i="32"/>
  <c r="CD68" i="32"/>
  <c r="CE68" i="32"/>
  <c r="CF68" i="32"/>
  <c r="CG68" i="32"/>
  <c r="CN68" i="32"/>
  <c r="CO68" i="32"/>
  <c r="CP68" i="32"/>
  <c r="CQ68" i="32"/>
  <c r="CR68" i="32"/>
  <c r="CS68" i="32"/>
  <c r="DD68" i="32"/>
  <c r="DE68" i="32"/>
  <c r="DF68" i="32"/>
  <c r="DG68" i="32"/>
  <c r="DH68" i="32"/>
  <c r="DI68" i="32"/>
  <c r="DJ68" i="32"/>
  <c r="GF68" i="32" s="1"/>
  <c r="DK68" i="32"/>
  <c r="GG68" i="32" s="1"/>
  <c r="DL68" i="32"/>
  <c r="GH68" i="32" s="1"/>
  <c r="DW68" i="32"/>
  <c r="GW68" i="32" s="1"/>
  <c r="DX68" i="32"/>
  <c r="GX68" i="32" s="1"/>
  <c r="DY68" i="32"/>
  <c r="GY68" i="32" s="1"/>
  <c r="DZ68" i="32"/>
  <c r="GZ68" i="32" s="1"/>
  <c r="EF68" i="32"/>
  <c r="EG68" i="32"/>
  <c r="EI68" i="32"/>
  <c r="EJ68" i="32"/>
  <c r="EK68" i="32"/>
  <c r="ET68" i="32" s="1"/>
  <c r="EY68" i="32"/>
  <c r="EZ68" i="32"/>
  <c r="FA68" i="32"/>
  <c r="FB68" i="32"/>
  <c r="FC68" i="32"/>
  <c r="FE68" i="32"/>
  <c r="FF68" i="32"/>
  <c r="FG68" i="32"/>
  <c r="FH68" i="32"/>
  <c r="FI68" i="32"/>
  <c r="FJ68" i="32"/>
  <c r="FK68" i="32"/>
  <c r="FL68" i="32"/>
  <c r="FM68" i="32"/>
  <c r="FN68" i="32"/>
  <c r="FP68" i="32"/>
  <c r="FQ68" i="32"/>
  <c r="FR68" i="32"/>
  <c r="FS68" i="32"/>
  <c r="FT68" i="32"/>
  <c r="FU68" i="32"/>
  <c r="FX68" i="32"/>
  <c r="FY68" i="32"/>
  <c r="FZ68" i="32"/>
  <c r="GA68" i="32"/>
  <c r="GB68" i="32"/>
  <c r="GC68" i="32"/>
  <c r="GD68" i="32"/>
  <c r="GE68" i="32"/>
  <c r="HB68" i="32"/>
  <c r="D69" i="32"/>
  <c r="EA69" i="32" s="1"/>
  <c r="E69" i="32"/>
  <c r="EB69" i="32" s="1"/>
  <c r="F69" i="32"/>
  <c r="G69" i="32"/>
  <c r="ED69" i="32" s="1"/>
  <c r="H69" i="32"/>
  <c r="EE69" i="32" s="1"/>
  <c r="I69" i="32"/>
  <c r="J69" i="32"/>
  <c r="K69" i="32"/>
  <c r="L69" i="32"/>
  <c r="M69" i="32"/>
  <c r="FD69" i="32" s="1"/>
  <c r="P69" i="32"/>
  <c r="Q69" i="32"/>
  <c r="EN69" i="32" s="1"/>
  <c r="R69" i="32"/>
  <c r="S69" i="32"/>
  <c r="EO69" i="32" s="1"/>
  <c r="U69" i="32"/>
  <c r="EL69" i="32" s="1"/>
  <c r="V69" i="32"/>
  <c r="W69" i="32"/>
  <c r="X69" i="32" s="1"/>
  <c r="Y69" i="32"/>
  <c r="Z69" i="32"/>
  <c r="AB69" i="32"/>
  <c r="AC69" i="32"/>
  <c r="AD69" i="32"/>
  <c r="AE69" i="32"/>
  <c r="GJ69" i="32" s="1"/>
  <c r="AF69" i="32"/>
  <c r="AG69" i="32"/>
  <c r="AH69" i="32"/>
  <c r="AM69" i="32" s="1"/>
  <c r="AI69" i="32"/>
  <c r="AN69" i="32"/>
  <c r="AO69" i="32"/>
  <c r="AP69" i="32"/>
  <c r="AQ69" i="32"/>
  <c r="AR69" i="32"/>
  <c r="AS69" i="32"/>
  <c r="AT69" i="32"/>
  <c r="AU69" i="32"/>
  <c r="AV69" i="32"/>
  <c r="AW69" i="32"/>
  <c r="AX69" i="32"/>
  <c r="AY69" i="32"/>
  <c r="BA69" i="32"/>
  <c r="BB69" i="32"/>
  <c r="BC69" i="32"/>
  <c r="BD69" i="32"/>
  <c r="BE69" i="32"/>
  <c r="BF69" i="32"/>
  <c r="BG69" i="32"/>
  <c r="BH69" i="32"/>
  <c r="BM69" i="32" s="1"/>
  <c r="BI69" i="32"/>
  <c r="BN69" i="32"/>
  <c r="BO69" i="32"/>
  <c r="BP69" i="32"/>
  <c r="BQ69" i="32"/>
  <c r="BR69" i="32"/>
  <c r="BS69" i="32"/>
  <c r="BT69" i="32"/>
  <c r="BU69" i="32"/>
  <c r="BV69" i="32"/>
  <c r="BW69" i="32"/>
  <c r="BX69" i="32"/>
  <c r="BY69" i="32"/>
  <c r="BZ69" i="32"/>
  <c r="CA69" i="32"/>
  <c r="CB69" i="32"/>
  <c r="CC69" i="32"/>
  <c r="CD69" i="32"/>
  <c r="CE69" i="32"/>
  <c r="CF69" i="32"/>
  <c r="CG69" i="32"/>
  <c r="CN69" i="32"/>
  <c r="CO69" i="32"/>
  <c r="CP69" i="32"/>
  <c r="CQ69" i="32"/>
  <c r="CR69" i="32"/>
  <c r="CS69" i="32"/>
  <c r="DD69" i="32"/>
  <c r="DE69" i="32"/>
  <c r="DF69" i="32"/>
  <c r="DG69" i="32"/>
  <c r="DH69" i="32"/>
  <c r="DI69" i="32"/>
  <c r="DJ69" i="32"/>
  <c r="GF69" i="32" s="1"/>
  <c r="DK69" i="32"/>
  <c r="GG69" i="32" s="1"/>
  <c r="DL69" i="32"/>
  <c r="GH69" i="32" s="1"/>
  <c r="DW69" i="32"/>
  <c r="GW69" i="32" s="1"/>
  <c r="DX69" i="32"/>
  <c r="GX69" i="32" s="1"/>
  <c r="DY69" i="32"/>
  <c r="GY69" i="32" s="1"/>
  <c r="DZ69" i="32"/>
  <c r="GZ69" i="32" s="1"/>
  <c r="EF69" i="32"/>
  <c r="EG69" i="32"/>
  <c r="EI69" i="32"/>
  <c r="EJ69" i="32"/>
  <c r="EK69" i="32"/>
  <c r="ET69" i="32" s="1"/>
  <c r="EY69" i="32"/>
  <c r="EZ69" i="32"/>
  <c r="FA69" i="32"/>
  <c r="FB69" i="32"/>
  <c r="FC69" i="32"/>
  <c r="FE69" i="32"/>
  <c r="FF69" i="32"/>
  <c r="FG69" i="32"/>
  <c r="FH69" i="32"/>
  <c r="FI69" i="32"/>
  <c r="FJ69" i="32"/>
  <c r="FK69" i="32"/>
  <c r="FL69" i="32"/>
  <c r="FM69" i="32"/>
  <c r="FN69" i="32"/>
  <c r="FP69" i="32"/>
  <c r="FQ69" i="32"/>
  <c r="FR69" i="32"/>
  <c r="FS69" i="32"/>
  <c r="FT69" i="32"/>
  <c r="FU69" i="32"/>
  <c r="FX69" i="32"/>
  <c r="FY69" i="32"/>
  <c r="FZ69" i="32"/>
  <c r="GA69" i="32"/>
  <c r="GB69" i="32"/>
  <c r="GC69" i="32"/>
  <c r="GD69" i="32"/>
  <c r="GE69" i="32"/>
  <c r="HB69" i="32"/>
  <c r="D70" i="32"/>
  <c r="EA70" i="32" s="1"/>
  <c r="E70" i="32"/>
  <c r="EB70" i="32" s="1"/>
  <c r="F70" i="32"/>
  <c r="G70" i="32"/>
  <c r="ED70" i="32" s="1"/>
  <c r="H70" i="32"/>
  <c r="EE70" i="32" s="1"/>
  <c r="I70" i="32"/>
  <c r="J70" i="32"/>
  <c r="K70" i="32"/>
  <c r="L70" i="32"/>
  <c r="M70" i="32"/>
  <c r="FD70" i="32" s="1"/>
  <c r="P70" i="32"/>
  <c r="Q70" i="32"/>
  <c r="EN70" i="32" s="1"/>
  <c r="R70" i="32"/>
  <c r="S70" i="32"/>
  <c r="EO70" i="32" s="1"/>
  <c r="U70" i="32"/>
  <c r="V70" i="32"/>
  <c r="W70" i="32"/>
  <c r="Y70" i="32"/>
  <c r="Z70" i="32"/>
  <c r="AB70" i="32"/>
  <c r="AC70" i="32"/>
  <c r="AD70" i="32"/>
  <c r="AE70" i="32"/>
  <c r="GJ70" i="32" s="1"/>
  <c r="AF70" i="32"/>
  <c r="AG70" i="32"/>
  <c r="AH70" i="32"/>
  <c r="AI70" i="32"/>
  <c r="AL70" i="32" s="1"/>
  <c r="AN70" i="32"/>
  <c r="AO70" i="32"/>
  <c r="AP70" i="32"/>
  <c r="AQ70" i="32"/>
  <c r="AR70" i="32"/>
  <c r="AS70" i="32"/>
  <c r="AT70" i="32"/>
  <c r="AU70" i="32"/>
  <c r="AV70" i="32"/>
  <c r="AW70" i="32"/>
  <c r="AX70" i="32"/>
  <c r="AY70" i="32"/>
  <c r="BA70" i="32"/>
  <c r="BB70" i="32"/>
  <c r="BC70" i="32"/>
  <c r="BD70" i="32"/>
  <c r="BE70" i="32"/>
  <c r="GM70" i="32" s="1"/>
  <c r="BF70" i="32"/>
  <c r="BG70" i="32"/>
  <c r="BH70" i="32"/>
  <c r="BI70" i="32"/>
  <c r="BN70" i="32"/>
  <c r="BO70" i="32"/>
  <c r="BP70" i="32"/>
  <c r="BQ70" i="32"/>
  <c r="BR70" i="32"/>
  <c r="BS70" i="32"/>
  <c r="BT70" i="32"/>
  <c r="BU70" i="32"/>
  <c r="BV70" i="32"/>
  <c r="BW70" i="32"/>
  <c r="BX70" i="32"/>
  <c r="BY70" i="32"/>
  <c r="BZ70" i="32"/>
  <c r="CA70" i="32"/>
  <c r="CB70" i="32"/>
  <c r="CC70" i="32"/>
  <c r="CD70" i="32"/>
  <c r="CE70" i="32"/>
  <c r="CF70" i="32"/>
  <c r="CG70" i="32"/>
  <c r="CN70" i="32"/>
  <c r="CO70" i="32"/>
  <c r="CP70" i="32"/>
  <c r="CQ70" i="32"/>
  <c r="CR70" i="32"/>
  <c r="CS70" i="32"/>
  <c r="DD70" i="32"/>
  <c r="DE70" i="32"/>
  <c r="DF70" i="32"/>
  <c r="DG70" i="32"/>
  <c r="DH70" i="32"/>
  <c r="DI70" i="32"/>
  <c r="DJ70" i="32"/>
  <c r="GF70" i="32" s="1"/>
  <c r="DK70" i="32"/>
  <c r="GG70" i="32" s="1"/>
  <c r="DL70" i="32"/>
  <c r="GH70" i="32" s="1"/>
  <c r="DW70" i="32"/>
  <c r="GW70" i="32" s="1"/>
  <c r="DX70" i="32"/>
  <c r="GX70" i="32" s="1"/>
  <c r="DY70" i="32"/>
  <c r="GY70" i="32" s="1"/>
  <c r="DZ70" i="32"/>
  <c r="GZ70" i="32" s="1"/>
  <c r="EF70" i="32"/>
  <c r="EG70" i="32"/>
  <c r="EI70" i="32"/>
  <c r="EJ70" i="32"/>
  <c r="EK70" i="32"/>
  <c r="ET70" i="32" s="1"/>
  <c r="EY70" i="32"/>
  <c r="EZ70" i="32"/>
  <c r="FA70" i="32"/>
  <c r="FB70" i="32"/>
  <c r="FC70" i="32"/>
  <c r="FE70" i="32"/>
  <c r="FF70" i="32"/>
  <c r="FG70" i="32"/>
  <c r="FH70" i="32"/>
  <c r="FI70" i="32"/>
  <c r="FJ70" i="32"/>
  <c r="FK70" i="32"/>
  <c r="FL70" i="32"/>
  <c r="FM70" i="32"/>
  <c r="FN70" i="32"/>
  <c r="FP70" i="32"/>
  <c r="FQ70" i="32"/>
  <c r="FR70" i="32"/>
  <c r="FS70" i="32"/>
  <c r="FT70" i="32"/>
  <c r="FU70" i="32"/>
  <c r="FX70" i="32"/>
  <c r="FY70" i="32"/>
  <c r="FZ70" i="32"/>
  <c r="GA70" i="32"/>
  <c r="GB70" i="32"/>
  <c r="GC70" i="32"/>
  <c r="GD70" i="32"/>
  <c r="GE70" i="32"/>
  <c r="HB70" i="32"/>
  <c r="D71" i="32"/>
  <c r="EA71" i="32" s="1"/>
  <c r="E71" i="32"/>
  <c r="EB71" i="32" s="1"/>
  <c r="F71" i="32"/>
  <c r="G71" i="32"/>
  <c r="ED71" i="32" s="1"/>
  <c r="H71" i="32"/>
  <c r="EE71" i="32" s="1"/>
  <c r="I71" i="32"/>
  <c r="J71" i="32"/>
  <c r="K71" i="32"/>
  <c r="L71" i="32"/>
  <c r="M71" i="32"/>
  <c r="FD71" i="32" s="1"/>
  <c r="P71" i="32"/>
  <c r="Q71" i="32"/>
  <c r="EN71" i="32" s="1"/>
  <c r="R71" i="32"/>
  <c r="S71" i="32"/>
  <c r="U71" i="32"/>
  <c r="EL71" i="32" s="1"/>
  <c r="V71" i="32"/>
  <c r="EM71" i="32" s="1"/>
  <c r="W71" i="32"/>
  <c r="Y71" i="32"/>
  <c r="Z71" i="32"/>
  <c r="AB71" i="32"/>
  <c r="AC71" i="32"/>
  <c r="AD71" i="32"/>
  <c r="AE71" i="32"/>
  <c r="GJ71" i="32" s="1"/>
  <c r="AF71" i="32"/>
  <c r="AG71" i="32"/>
  <c r="AH71" i="32"/>
  <c r="AM71" i="32" s="1"/>
  <c r="AI71" i="32"/>
  <c r="AL71" i="32" s="1"/>
  <c r="AN71" i="32"/>
  <c r="AO71" i="32"/>
  <c r="AP71" i="32"/>
  <c r="AQ71" i="32"/>
  <c r="AR71" i="32"/>
  <c r="AS71" i="32"/>
  <c r="AT71" i="32"/>
  <c r="AU71" i="32"/>
  <c r="AV71" i="32"/>
  <c r="AW71" i="32"/>
  <c r="AX71" i="32"/>
  <c r="AY71" i="32"/>
  <c r="BA71" i="32"/>
  <c r="BB71" i="32"/>
  <c r="BC71" i="32"/>
  <c r="BD71" i="32"/>
  <c r="BE71" i="32"/>
  <c r="BF71" i="32"/>
  <c r="BG71" i="32"/>
  <c r="BH71" i="32"/>
  <c r="BM71" i="32" s="1"/>
  <c r="BI71" i="32"/>
  <c r="BL71" i="32" s="1"/>
  <c r="BN71" i="32"/>
  <c r="BO71" i="32"/>
  <c r="BP71" i="32"/>
  <c r="BQ71" i="32"/>
  <c r="BR71" i="32"/>
  <c r="BS71" i="32"/>
  <c r="BT71" i="32"/>
  <c r="BU71" i="32"/>
  <c r="BV71" i="32"/>
  <c r="BW71" i="32"/>
  <c r="BX71" i="32"/>
  <c r="BY71" i="32"/>
  <c r="BZ71" i="32"/>
  <c r="CA71" i="32"/>
  <c r="CB71" i="32"/>
  <c r="CC71" i="32"/>
  <c r="CD71" i="32"/>
  <c r="CE71" i="32"/>
  <c r="CF71" i="32"/>
  <c r="CG71" i="32"/>
  <c r="CN71" i="32"/>
  <c r="CO71" i="32"/>
  <c r="CP71" i="32"/>
  <c r="CQ71" i="32"/>
  <c r="CR71" i="32"/>
  <c r="CS71" i="32"/>
  <c r="DD71" i="32"/>
  <c r="DE71" i="32"/>
  <c r="DF71" i="32"/>
  <c r="DG71" i="32"/>
  <c r="DH71" i="32"/>
  <c r="DI71" i="32"/>
  <c r="DJ71" i="32"/>
  <c r="GF71" i="32" s="1"/>
  <c r="DK71" i="32"/>
  <c r="GG71" i="32" s="1"/>
  <c r="DL71" i="32"/>
  <c r="GH71" i="32" s="1"/>
  <c r="DW71" i="32"/>
  <c r="GW71" i="32" s="1"/>
  <c r="DX71" i="32"/>
  <c r="GX71" i="32" s="1"/>
  <c r="DY71" i="32"/>
  <c r="GY71" i="32" s="1"/>
  <c r="DZ71" i="32"/>
  <c r="GZ71" i="32" s="1"/>
  <c r="EF71" i="32"/>
  <c r="EG71" i="32"/>
  <c r="EI71" i="32"/>
  <c r="EJ71" i="32"/>
  <c r="EK71" i="32"/>
  <c r="ET71" i="32" s="1"/>
  <c r="EY71" i="32"/>
  <c r="EZ71" i="32"/>
  <c r="FA71" i="32"/>
  <c r="FB71" i="32"/>
  <c r="FC71" i="32"/>
  <c r="FE71" i="32"/>
  <c r="FF71" i="32"/>
  <c r="FG71" i="32"/>
  <c r="FH71" i="32"/>
  <c r="FI71" i="32"/>
  <c r="FJ71" i="32"/>
  <c r="FK71" i="32"/>
  <c r="FL71" i="32"/>
  <c r="FM71" i="32"/>
  <c r="FN71" i="32"/>
  <c r="FP71" i="32"/>
  <c r="FQ71" i="32"/>
  <c r="FR71" i="32"/>
  <c r="FS71" i="32"/>
  <c r="FT71" i="32"/>
  <c r="FU71" i="32"/>
  <c r="FX71" i="32"/>
  <c r="FY71" i="32"/>
  <c r="FZ71" i="32"/>
  <c r="GA71" i="32"/>
  <c r="GB71" i="32"/>
  <c r="GC71" i="32"/>
  <c r="GD71" i="32"/>
  <c r="GE71" i="32"/>
  <c r="HB71" i="32"/>
  <c r="F20" i="28"/>
  <c r="F21" i="28"/>
  <c r="F22" i="28"/>
  <c r="F23" i="28"/>
  <c r="AK61" i="32" l="1"/>
  <c r="DO61" i="32" s="1"/>
  <c r="GO61" i="32" s="1"/>
  <c r="CK71" i="32"/>
  <c r="CM71" i="32" s="1"/>
  <c r="BK65" i="32"/>
  <c r="DN67" i="32"/>
  <c r="BJ64" i="32"/>
  <c r="GL61" i="32"/>
  <c r="EP69" i="32"/>
  <c r="ER69" i="32" s="1"/>
  <c r="AJ69" i="32"/>
  <c r="GI69" i="32"/>
  <c r="BJ69" i="32"/>
  <c r="GL66" i="32"/>
  <c r="AK63" i="32"/>
  <c r="DP63" i="32" s="1"/>
  <c r="GP63" i="32" s="1"/>
  <c r="AJ65" i="32"/>
  <c r="BJ65" i="32"/>
  <c r="CK66" i="32"/>
  <c r="CM66" i="32" s="1"/>
  <c r="CT65" i="32"/>
  <c r="GL63" i="32"/>
  <c r="CJ62" i="32"/>
  <c r="CL62" i="32" s="1"/>
  <c r="EC61" i="32"/>
  <c r="EO71" i="32"/>
  <c r="EQ71" i="32" s="1"/>
  <c r="AJ66" i="32"/>
  <c r="BJ61" i="32"/>
  <c r="CU69" i="32"/>
  <c r="CU65" i="32"/>
  <c r="EC62" i="32"/>
  <c r="BK61" i="32"/>
  <c r="DQ61" i="32" s="1"/>
  <c r="GQ61" i="32" s="1"/>
  <c r="BJ66" i="32"/>
  <c r="CT67" i="32"/>
  <c r="GK68" i="32"/>
  <c r="GK71" i="32"/>
  <c r="BJ71" i="32"/>
  <c r="EC65" i="32"/>
  <c r="EC63" i="32"/>
  <c r="CU62" i="32"/>
  <c r="AJ67" i="32"/>
  <c r="CK67" i="32"/>
  <c r="CM67" i="32" s="1"/>
  <c r="CK69" i="32"/>
  <c r="CM69" i="32" s="1"/>
  <c r="DN64" i="32"/>
  <c r="CH68" i="32"/>
  <c r="EP67" i="32"/>
  <c r="ER67" i="32" s="1"/>
  <c r="CK64" i="32"/>
  <c r="CM64" i="32" s="1"/>
  <c r="CU64" i="32"/>
  <c r="CI62" i="32"/>
  <c r="EP61" i="32"/>
  <c r="ER61" i="32" s="1"/>
  <c r="GI71" i="32"/>
  <c r="CI67" i="32"/>
  <c r="CJ66" i="32"/>
  <c r="CL66" i="32" s="1"/>
  <c r="CH65" i="32"/>
  <c r="CI64" i="32"/>
  <c r="AJ70" i="32"/>
  <c r="CV68" i="32"/>
  <c r="EM67" i="32"/>
  <c r="DB67" i="32"/>
  <c r="CX67" i="32"/>
  <c r="CU66" i="32"/>
  <c r="AJ63" i="32"/>
  <c r="EA62" i="32"/>
  <c r="GN62" i="32"/>
  <c r="BL61" i="32"/>
  <c r="DB61" i="32" s="1"/>
  <c r="CI71" i="32"/>
  <c r="GL67" i="32"/>
  <c r="CK61" i="32"/>
  <c r="CM61" i="32" s="1"/>
  <c r="CK62" i="32"/>
  <c r="CM62" i="32" s="1"/>
  <c r="CT70" i="32"/>
  <c r="CH67" i="32"/>
  <c r="CU67" i="32"/>
  <c r="BJ63" i="32"/>
  <c r="CW69" i="32"/>
  <c r="EL68" i="32"/>
  <c r="EP68" i="32" s="1"/>
  <c r="ER68" i="32" s="1"/>
  <c r="GN67" i="32"/>
  <c r="BK63" i="32"/>
  <c r="DQ63" i="32" s="1"/>
  <c r="GQ63" i="32" s="1"/>
  <c r="DM63" i="32"/>
  <c r="DN61" i="32"/>
  <c r="CW65" i="32"/>
  <c r="GK69" i="32"/>
  <c r="CJ69" i="32"/>
  <c r="CL69" i="32" s="1"/>
  <c r="DN68" i="32"/>
  <c r="AJ64" i="32"/>
  <c r="CZ62" i="32"/>
  <c r="CW64" i="32"/>
  <c r="CY62" i="32"/>
  <c r="DC71" i="32"/>
  <c r="CX71" i="32"/>
  <c r="DN69" i="32"/>
  <c r="BJ68" i="32"/>
  <c r="BK67" i="32"/>
  <c r="DQ67" i="32" s="1"/>
  <c r="GQ67" i="32" s="1"/>
  <c r="BL66" i="32"/>
  <c r="DC66" i="32" s="1"/>
  <c r="DC62" i="32"/>
  <c r="DA71" i="32"/>
  <c r="BK71" i="32"/>
  <c r="X71" i="32"/>
  <c r="X68" i="32"/>
  <c r="CJ67" i="32"/>
  <c r="CL67" i="32" s="1"/>
  <c r="BJ67" i="32"/>
  <c r="AK67" i="32"/>
  <c r="X67" i="32"/>
  <c r="EP65" i="32"/>
  <c r="EU65" i="32" s="1"/>
  <c r="EW65" i="32" s="1"/>
  <c r="EQ64" i="32"/>
  <c r="EV64" i="32" s="1"/>
  <c r="EX64" i="32" s="1"/>
  <c r="CH63" i="32"/>
  <c r="AJ61" i="32"/>
  <c r="AJ71" i="32"/>
  <c r="EC70" i="32"/>
  <c r="CY69" i="32"/>
  <c r="AJ68" i="32"/>
  <c r="EQ68" i="32"/>
  <c r="ES68" i="32" s="1"/>
  <c r="CW67" i="32"/>
  <c r="BK66" i="32"/>
  <c r="DR66" i="32" s="1"/>
  <c r="GR66" i="32" s="1"/>
  <c r="DN65" i="32"/>
  <c r="CZ64" i="32"/>
  <c r="EP64" i="32"/>
  <c r="ER64" i="32" s="1"/>
  <c r="EQ62" i="32"/>
  <c r="EV62" i="32" s="1"/>
  <c r="EX62" i="32" s="1"/>
  <c r="CX69" i="32"/>
  <c r="CH69" i="32"/>
  <c r="DM68" i="32"/>
  <c r="AK68" i="32"/>
  <c r="DO68" i="32" s="1"/>
  <c r="GO68" i="32" s="1"/>
  <c r="CV67" i="32"/>
  <c r="GL64" i="32"/>
  <c r="CY64" i="32"/>
  <c r="DM64" i="32"/>
  <c r="DN63" i="32"/>
  <c r="CT63" i="32"/>
  <c r="AJ62" i="32"/>
  <c r="DB71" i="32"/>
  <c r="CI70" i="32"/>
  <c r="CI66" i="32"/>
  <c r="CZ66" i="32"/>
  <c r="CX64" i="32"/>
  <c r="BK62" i="32"/>
  <c r="DM71" i="32"/>
  <c r="CV69" i="32"/>
  <c r="CT68" i="32"/>
  <c r="CT66" i="32"/>
  <c r="GI64" i="32"/>
  <c r="BJ62" i="32"/>
  <c r="DM61" i="32"/>
  <c r="CZ71" i="32"/>
  <c r="DM69" i="32"/>
  <c r="AK70" i="32"/>
  <c r="DO70" i="32" s="1"/>
  <c r="GO70" i="32" s="1"/>
  <c r="BK68" i="32"/>
  <c r="DR68" i="32" s="1"/>
  <c r="GR68" i="32" s="1"/>
  <c r="DM67" i="32"/>
  <c r="DA66" i="32"/>
  <c r="CT62" i="32"/>
  <c r="CH70" i="32"/>
  <c r="EM70" i="32"/>
  <c r="EQ70" i="32" s="1"/>
  <c r="ES70" i="32" s="1"/>
  <c r="CV70" i="32"/>
  <c r="CT69" i="32"/>
  <c r="EM66" i="32"/>
  <c r="EQ66" i="32" s="1"/>
  <c r="ES66" i="32" s="1"/>
  <c r="DN66" i="32"/>
  <c r="CY66" i="32"/>
  <c r="AK65" i="32"/>
  <c r="DP65" i="32" s="1"/>
  <c r="GP65" i="32" s="1"/>
  <c r="GJ63" i="32"/>
  <c r="GK63" i="32" s="1"/>
  <c r="CX62" i="32"/>
  <c r="DB62" i="32"/>
  <c r="DM62" i="32"/>
  <c r="CY71" i="32"/>
  <c r="BJ70" i="32"/>
  <c r="CU68" i="32"/>
  <c r="DM66" i="32"/>
  <c r="GJ65" i="32"/>
  <c r="GK65" i="32" s="1"/>
  <c r="CI65" i="32"/>
  <c r="CW62" i="32"/>
  <c r="EC67" i="32"/>
  <c r="GK66" i="32"/>
  <c r="CJ65" i="32"/>
  <c r="CL65" i="32" s="1"/>
  <c r="AK71" i="32"/>
  <c r="DO71" i="32" s="1"/>
  <c r="GO71" i="32" s="1"/>
  <c r="DA64" i="32"/>
  <c r="BK70" i="32"/>
  <c r="DQ70" i="32" s="1"/>
  <c r="GQ70" i="32" s="1"/>
  <c r="EC69" i="32"/>
  <c r="CV65" i="32"/>
  <c r="EC64" i="32"/>
  <c r="CT71" i="32"/>
  <c r="GN70" i="32"/>
  <c r="BL69" i="32"/>
  <c r="DB69" i="32" s="1"/>
  <c r="EO67" i="32"/>
  <c r="GI66" i="32"/>
  <c r="CI63" i="32"/>
  <c r="GN64" i="32"/>
  <c r="GN63" i="32"/>
  <c r="GN61" i="32"/>
  <c r="GN66" i="32"/>
  <c r="EP66" i="32"/>
  <c r="EQ61" i="32"/>
  <c r="DQ65" i="32"/>
  <c r="GQ65" i="32" s="1"/>
  <c r="DR65" i="32"/>
  <c r="GR65" i="32" s="1"/>
  <c r="EP71" i="32"/>
  <c r="EQ63" i="32"/>
  <c r="GL70" i="32"/>
  <c r="DN70" i="32"/>
  <c r="CI69" i="32"/>
  <c r="BK69" i="32"/>
  <c r="AL69" i="32"/>
  <c r="DA69" i="32" s="1"/>
  <c r="CX66" i="32"/>
  <c r="GM65" i="32"/>
  <c r="GN65" i="32" s="1"/>
  <c r="CV64" i="32"/>
  <c r="CJ64" i="32"/>
  <c r="CL64" i="32" s="1"/>
  <c r="BL64" i="32"/>
  <c r="EL63" i="32"/>
  <c r="EP63" i="32" s="1"/>
  <c r="CH62" i="32"/>
  <c r="AK62" i="32"/>
  <c r="GI61" i="32"/>
  <c r="CY61" i="32"/>
  <c r="CV71" i="32"/>
  <c r="CJ71" i="32"/>
  <c r="CL71" i="32" s="1"/>
  <c r="GK70" i="32"/>
  <c r="EL70" i="32"/>
  <c r="EP70" i="32" s="1"/>
  <c r="DM70" i="32"/>
  <c r="AK69" i="32"/>
  <c r="DP69" i="32" s="1"/>
  <c r="GP69" i="32" s="1"/>
  <c r="GI68" i="32"/>
  <c r="CY68" i="32"/>
  <c r="CW66" i="32"/>
  <c r="GL65" i="32"/>
  <c r="EM65" i="32"/>
  <c r="EQ65" i="32" s="1"/>
  <c r="BK64" i="32"/>
  <c r="DU64" i="32" s="1"/>
  <c r="GU64" i="32" s="1"/>
  <c r="CX61" i="32"/>
  <c r="CX68" i="32"/>
  <c r="DC67" i="32"/>
  <c r="CV66" i="32"/>
  <c r="DM65" i="32"/>
  <c r="CT64" i="32"/>
  <c r="CH64" i="32"/>
  <c r="AK64" i="32"/>
  <c r="GI63" i="32"/>
  <c r="CY63" i="32"/>
  <c r="CW61" i="32"/>
  <c r="CU71" i="32"/>
  <c r="CY70" i="32"/>
  <c r="CX63" i="32"/>
  <c r="CV61" i="32"/>
  <c r="CJ61" i="32"/>
  <c r="CL61" i="32" s="1"/>
  <c r="AM61" i="32"/>
  <c r="CZ61" i="32" s="1"/>
  <c r="CW71" i="32"/>
  <c r="CW68" i="32"/>
  <c r="CK68" i="32"/>
  <c r="CM68" i="32" s="1"/>
  <c r="BM68" i="32"/>
  <c r="DB68" i="32" s="1"/>
  <c r="EC71" i="32"/>
  <c r="CX70" i="32"/>
  <c r="GM69" i="32"/>
  <c r="GN69" i="32" s="1"/>
  <c r="CJ68" i="32"/>
  <c r="CL68" i="32" s="1"/>
  <c r="AM68" i="32"/>
  <c r="GK67" i="32"/>
  <c r="DA67" i="32"/>
  <c r="CH66" i="32"/>
  <c r="AK66" i="32"/>
  <c r="GI65" i="32"/>
  <c r="CY65" i="32"/>
  <c r="CW63" i="32"/>
  <c r="CK63" i="32"/>
  <c r="CM63" i="32" s="1"/>
  <c r="BM63" i="32"/>
  <c r="GL62" i="32"/>
  <c r="DN62" i="32"/>
  <c r="CU61" i="32"/>
  <c r="CI61" i="32"/>
  <c r="CH71" i="32"/>
  <c r="GI70" i="32"/>
  <c r="CW70" i="32"/>
  <c r="CK70" i="32"/>
  <c r="CM70" i="32" s="1"/>
  <c r="BM70" i="32"/>
  <c r="GL69" i="32"/>
  <c r="EM69" i="32"/>
  <c r="EQ69" i="32" s="1"/>
  <c r="CI68" i="32"/>
  <c r="AL68" i="32"/>
  <c r="CZ67" i="32"/>
  <c r="EC66" i="32"/>
  <c r="CX65" i="32"/>
  <c r="CV63" i="32"/>
  <c r="CJ63" i="32"/>
  <c r="CL63" i="32" s="1"/>
  <c r="BL63" i="32"/>
  <c r="AM63" i="32"/>
  <c r="GK62" i="32"/>
  <c r="EL62" i="32"/>
  <c r="EP62" i="32" s="1"/>
  <c r="DA62" i="32"/>
  <c r="CT61" i="32"/>
  <c r="CH61" i="32"/>
  <c r="AM70" i="32"/>
  <c r="CZ70" i="32" s="1"/>
  <c r="GI67" i="32"/>
  <c r="CY67" i="32"/>
  <c r="CK65" i="32"/>
  <c r="CM65" i="32" s="1"/>
  <c r="BM65" i="32"/>
  <c r="DB65" i="32" s="1"/>
  <c r="CU63" i="32"/>
  <c r="AL63" i="32"/>
  <c r="GM71" i="32"/>
  <c r="GN71" i="32" s="1"/>
  <c r="CJ70" i="32"/>
  <c r="CL70" i="32" s="1"/>
  <c r="BL70" i="32"/>
  <c r="GL71" i="32"/>
  <c r="DN71" i="32"/>
  <c r="CU70" i="32"/>
  <c r="EC68" i="32"/>
  <c r="GK64" i="32"/>
  <c r="GI62" i="32"/>
  <c r="DP61" i="32"/>
  <c r="GP61" i="32" s="1"/>
  <c r="X70" i="32"/>
  <c r="AL65" i="32"/>
  <c r="GM68" i="32"/>
  <c r="GN68" i="32" s="1"/>
  <c r="GL68" i="32"/>
  <c r="CV62" i="32"/>
  <c r="GK61" i="32"/>
  <c r="DT61" i="32" l="1"/>
  <c r="GT61" i="32" s="1"/>
  <c r="ES62" i="32"/>
  <c r="DV71" i="32"/>
  <c r="GV71" i="32" s="1"/>
  <c r="ER65" i="32"/>
  <c r="CZ63" i="32"/>
  <c r="DS64" i="32"/>
  <c r="GS64" i="32" s="1"/>
  <c r="DS61" i="32"/>
  <c r="GS61" i="32" s="1"/>
  <c r="DC69" i="32"/>
  <c r="DR71" i="32"/>
  <c r="GR71" i="32" s="1"/>
  <c r="DQ71" i="32"/>
  <c r="GQ71" i="32" s="1"/>
  <c r="EU64" i="32"/>
  <c r="EW64" i="32" s="1"/>
  <c r="EU61" i="32"/>
  <c r="EW61" i="32" s="1"/>
  <c r="ES64" i="32"/>
  <c r="DU65" i="32"/>
  <c r="GU65" i="32" s="1"/>
  <c r="DU62" i="32"/>
  <c r="GU62" i="32" s="1"/>
  <c r="DS66" i="32"/>
  <c r="GS66" i="32" s="1"/>
  <c r="EU69" i="32"/>
  <c r="EW69" i="32" s="1"/>
  <c r="DU69" i="32"/>
  <c r="GU69" i="32" s="1"/>
  <c r="DT63" i="32"/>
  <c r="GT63" i="32" s="1"/>
  <c r="DS63" i="32"/>
  <c r="GS63" i="32" s="1"/>
  <c r="DO63" i="32"/>
  <c r="GO63" i="32" s="1"/>
  <c r="EV66" i="32"/>
  <c r="EX66" i="32" s="1"/>
  <c r="DR62" i="32"/>
  <c r="GR62" i="32" s="1"/>
  <c r="DC61" i="32"/>
  <c r="DV65" i="32"/>
  <c r="GV65" i="32" s="1"/>
  <c r="DO69" i="32"/>
  <c r="GO69" i="32" s="1"/>
  <c r="DQ62" i="32"/>
  <c r="GQ62" i="32" s="1"/>
  <c r="DV62" i="32"/>
  <c r="GV62" i="32" s="1"/>
  <c r="DV66" i="32"/>
  <c r="GV66" i="32" s="1"/>
  <c r="DS71" i="32"/>
  <c r="GS71" i="32" s="1"/>
  <c r="DR61" i="32"/>
  <c r="GR61" i="32" s="1"/>
  <c r="DV61" i="32"/>
  <c r="GV61" i="32" s="1"/>
  <c r="DU61" i="32"/>
  <c r="GU61" i="32" s="1"/>
  <c r="DU70" i="32"/>
  <c r="GU70" i="32" s="1"/>
  <c r="DP71" i="32"/>
  <c r="GP71" i="32" s="1"/>
  <c r="DV67" i="32"/>
  <c r="GV67" i="32" s="1"/>
  <c r="DR67" i="32"/>
  <c r="GR67" i="32" s="1"/>
  <c r="DT62" i="32"/>
  <c r="GT62" i="32" s="1"/>
  <c r="EQ67" i="32"/>
  <c r="ES67" i="32" s="1"/>
  <c r="DS68" i="32"/>
  <c r="GS68" i="32" s="1"/>
  <c r="EU67" i="32"/>
  <c r="EW67" i="32" s="1"/>
  <c r="DB66" i="32"/>
  <c r="ES71" i="32"/>
  <c r="EV71" i="32"/>
  <c r="EX71" i="32" s="1"/>
  <c r="DU67" i="32"/>
  <c r="GU67" i="32" s="1"/>
  <c r="EV68" i="32"/>
  <c r="EX68" i="32" s="1"/>
  <c r="DT71" i="32"/>
  <c r="GT71" i="32" s="1"/>
  <c r="DV63" i="32"/>
  <c r="GV63" i="32" s="1"/>
  <c r="EV70" i="32"/>
  <c r="EX70" i="32" s="1"/>
  <c r="DO65" i="32"/>
  <c r="GO65" i="32" s="1"/>
  <c r="DV70" i="32"/>
  <c r="GV70" i="32" s="1"/>
  <c r="DT65" i="32"/>
  <c r="GT65" i="32" s="1"/>
  <c r="DT67" i="32"/>
  <c r="GT67" i="32" s="1"/>
  <c r="DT68" i="32"/>
  <c r="GT68" i="32" s="1"/>
  <c r="DR70" i="32"/>
  <c r="GR70" i="32" s="1"/>
  <c r="DU71" i="32"/>
  <c r="GU71" i="32" s="1"/>
  <c r="DU63" i="32"/>
  <c r="GU63" i="32" s="1"/>
  <c r="DS65" i="32"/>
  <c r="GS65" i="32" s="1"/>
  <c r="DC68" i="32"/>
  <c r="DP68" i="32"/>
  <c r="GP68" i="32" s="1"/>
  <c r="DT70" i="32"/>
  <c r="GT70" i="32" s="1"/>
  <c r="DP70" i="32"/>
  <c r="GP70" i="32" s="1"/>
  <c r="DC70" i="32"/>
  <c r="DS70" i="32"/>
  <c r="GS70" i="32" s="1"/>
  <c r="EU68" i="32"/>
  <c r="EW68" i="32" s="1"/>
  <c r="DR63" i="32"/>
  <c r="GR63" i="32" s="1"/>
  <c r="DQ68" i="32"/>
  <c r="GQ68" i="32" s="1"/>
  <c r="DP66" i="32"/>
  <c r="GP66" i="32" s="1"/>
  <c r="DU66" i="32"/>
  <c r="GU66" i="32" s="1"/>
  <c r="DP64" i="32"/>
  <c r="GP64" i="32" s="1"/>
  <c r="DP67" i="32"/>
  <c r="GP67" i="32" s="1"/>
  <c r="DO67" i="32"/>
  <c r="GO67" i="32" s="1"/>
  <c r="DQ66" i="32"/>
  <c r="GQ66" i="32" s="1"/>
  <c r="DV68" i="32"/>
  <c r="GV68" i="32" s="1"/>
  <c r="DA61" i="32"/>
  <c r="DU68" i="32"/>
  <c r="GU68" i="32" s="1"/>
  <c r="DS67" i="32"/>
  <c r="GS67" i="32" s="1"/>
  <c r="DT64" i="32"/>
  <c r="GT64" i="32" s="1"/>
  <c r="DO64" i="32"/>
  <c r="GO64" i="32" s="1"/>
  <c r="ES65" i="32"/>
  <c r="EV65" i="32"/>
  <c r="EX65" i="32" s="1"/>
  <c r="DS62" i="32"/>
  <c r="GS62" i="32" s="1"/>
  <c r="EU71" i="32"/>
  <c r="EW71" i="32" s="1"/>
  <c r="ER71" i="32"/>
  <c r="DQ64" i="32"/>
  <c r="GQ64" i="32" s="1"/>
  <c r="DR64" i="32"/>
  <c r="GR64" i="32" s="1"/>
  <c r="DO62" i="32"/>
  <c r="GO62" i="32" s="1"/>
  <c r="DP62" i="32"/>
  <c r="GP62" i="32" s="1"/>
  <c r="DV64" i="32"/>
  <c r="GV64" i="32" s="1"/>
  <c r="DS69" i="32"/>
  <c r="GS69" i="32" s="1"/>
  <c r="DQ69" i="32"/>
  <c r="GQ69" i="32" s="1"/>
  <c r="DR69" i="32"/>
  <c r="GR69" i="32" s="1"/>
  <c r="ES63" i="32"/>
  <c r="EV63" i="32"/>
  <c r="EX63" i="32" s="1"/>
  <c r="DT69" i="32"/>
  <c r="GT69" i="32" s="1"/>
  <c r="CZ65" i="32"/>
  <c r="DA65" i="32"/>
  <c r="DA63" i="32"/>
  <c r="CZ69" i="32"/>
  <c r="DO66" i="32"/>
  <c r="GO66" i="32" s="1"/>
  <c r="EU62" i="32"/>
  <c r="EW62" i="32" s="1"/>
  <c r="ER62" i="32"/>
  <c r="DA68" i="32"/>
  <c r="CZ68" i="32"/>
  <c r="ER63" i="32"/>
  <c r="EU63" i="32"/>
  <c r="EW63" i="32" s="1"/>
  <c r="DB70" i="32"/>
  <c r="DV69" i="32"/>
  <c r="GV69" i="32" s="1"/>
  <c r="DT66" i="32"/>
  <c r="GT66" i="32" s="1"/>
  <c r="ES61" i="32"/>
  <c r="EV61" i="32"/>
  <c r="EX61" i="32" s="1"/>
  <c r="DA70" i="32"/>
  <c r="ER70" i="32"/>
  <c r="EU70" i="32"/>
  <c r="EW70" i="32" s="1"/>
  <c r="DB64" i="32"/>
  <c r="DC64" i="32"/>
  <c r="ES69" i="32"/>
  <c r="EV69" i="32"/>
  <c r="EX69" i="32" s="1"/>
  <c r="DC63" i="32"/>
  <c r="DB63" i="32"/>
  <c r="DC65" i="32"/>
  <c r="ER66" i="32"/>
  <c r="EU66" i="32"/>
  <c r="EW66" i="32" s="1"/>
  <c r="EV67" i="32" l="1"/>
  <c r="EX67" i="32" s="1"/>
  <c r="AO4" i="41"/>
  <c r="AO5" i="41"/>
  <c r="AO6" i="41"/>
  <c r="AO7" i="41"/>
  <c r="AO8" i="41"/>
  <c r="AO9" i="41"/>
  <c r="AO10" i="41"/>
  <c r="AO11" i="41"/>
  <c r="AO12" i="41"/>
  <c r="AO13" i="41"/>
  <c r="AO14" i="41"/>
  <c r="AO15" i="41"/>
  <c r="AO20" i="41"/>
  <c r="AO21" i="41"/>
  <c r="AO22" i="41"/>
  <c r="AO23" i="41"/>
  <c r="AO24" i="41"/>
  <c r="HB49" i="32"/>
  <c r="HB72" i="32"/>
  <c r="HB73" i="32"/>
  <c r="HB74" i="32"/>
  <c r="HB75" i="32"/>
  <c r="HB76" i="32"/>
  <c r="HB77" i="32"/>
  <c r="HB78" i="32"/>
  <c r="HB79" i="32"/>
  <c r="HB80" i="32"/>
  <c r="HB81" i="32"/>
  <c r="HB82" i="32"/>
  <c r="HB83" i="32"/>
  <c r="F3" i="28"/>
  <c r="F4" i="28"/>
  <c r="F5" i="28"/>
  <c r="F6" i="28"/>
  <c r="F7" i="28"/>
  <c r="F8" i="28"/>
  <c r="F9" i="28"/>
  <c r="F10" i="28"/>
  <c r="F11" i="28"/>
  <c r="F12" i="28"/>
  <c r="F13" i="28"/>
  <c r="F14" i="28"/>
  <c r="F15" i="28"/>
  <c r="F16" i="28"/>
  <c r="F17" i="28"/>
  <c r="F18" i="28"/>
  <c r="F19" i="28"/>
  <c r="F24" i="28"/>
  <c r="F25" i="28"/>
  <c r="F26" i="28"/>
  <c r="F27" i="28"/>
  <c r="F28" i="28"/>
  <c r="F29" i="28"/>
  <c r="F30" i="28"/>
  <c r="AM24" i="41"/>
  <c r="AM23" i="41"/>
  <c r="AM22" i="41"/>
  <c r="AM21" i="41"/>
  <c r="AM20" i="41"/>
  <c r="AM6" i="41"/>
  <c r="AM7" i="41"/>
  <c r="AM8" i="41"/>
  <c r="AM9" i="41"/>
  <c r="AM10" i="41"/>
  <c r="AM11" i="41"/>
  <c r="AM5" i="41"/>
  <c r="EB60" i="57" l="1"/>
  <c r="B60" i="57" l="1"/>
  <c r="C60" i="57"/>
  <c r="D60" i="57"/>
  <c r="E60" i="57"/>
  <c r="F60" i="57"/>
  <c r="G60" i="57"/>
  <c r="H60" i="57"/>
  <c r="I60" i="57"/>
  <c r="J60" i="57"/>
  <c r="K60" i="57"/>
  <c r="L60" i="57"/>
  <c r="M60" i="57"/>
  <c r="N60" i="57"/>
  <c r="O60" i="57"/>
  <c r="P60" i="57"/>
  <c r="Q60" i="57"/>
  <c r="R60" i="57"/>
  <c r="S60" i="57"/>
  <c r="T60" i="57"/>
  <c r="U60" i="57"/>
  <c r="V60" i="57"/>
  <c r="W60" i="57"/>
  <c r="X60" i="57"/>
  <c r="Y60" i="57"/>
  <c r="Z60" i="57"/>
  <c r="AA60" i="57"/>
  <c r="AB60" i="57"/>
  <c r="AC60" i="57"/>
  <c r="AD60" i="57"/>
  <c r="AE60" i="57"/>
  <c r="AF60" i="57"/>
  <c r="AG60" i="57"/>
  <c r="AH60" i="57"/>
  <c r="AI60" i="57"/>
  <c r="AJ60" i="57"/>
  <c r="AK60" i="57"/>
  <c r="AL60" i="57"/>
  <c r="AM60" i="57"/>
  <c r="AN60" i="57"/>
  <c r="AO60" i="57"/>
  <c r="AP60" i="57"/>
  <c r="AQ60" i="57"/>
  <c r="AR60" i="57"/>
  <c r="AS60" i="57"/>
  <c r="AT60" i="57"/>
  <c r="AU60" i="57"/>
  <c r="AV60" i="57"/>
  <c r="AW60" i="57"/>
  <c r="AX60" i="57"/>
  <c r="AY60" i="57"/>
  <c r="AZ60" i="57"/>
  <c r="BA60" i="57"/>
  <c r="BB60" i="57"/>
  <c r="BC60" i="57"/>
  <c r="BD60" i="57"/>
  <c r="BE60" i="57"/>
  <c r="BF60" i="57"/>
  <c r="BG60" i="57"/>
  <c r="BH60" i="57"/>
  <c r="BI60" i="57"/>
  <c r="BJ60" i="57"/>
  <c r="BK60" i="57"/>
  <c r="BL60" i="57"/>
  <c r="BM60" i="57"/>
  <c r="BN60" i="57"/>
  <c r="BO60" i="57"/>
  <c r="BP60" i="57"/>
  <c r="BQ60" i="57"/>
  <c r="BR60" i="57"/>
  <c r="BS60" i="57"/>
  <c r="BT60" i="57"/>
  <c r="BU60" i="57"/>
  <c r="BV60" i="57"/>
  <c r="BW60" i="57"/>
  <c r="BX60" i="57"/>
  <c r="BY60" i="57"/>
  <c r="BZ60" i="57"/>
  <c r="CA60" i="57"/>
  <c r="CB60" i="57"/>
  <c r="CC60" i="57"/>
  <c r="CD60" i="57"/>
  <c r="CE60" i="57"/>
  <c r="CF60" i="57"/>
  <c r="CG60" i="57"/>
  <c r="CH60" i="57"/>
  <c r="CI60" i="57"/>
  <c r="CJ60" i="57"/>
  <c r="CK60" i="57"/>
  <c r="CL60" i="57"/>
  <c r="CM60" i="57"/>
  <c r="CN60" i="57"/>
  <c r="CO60" i="57"/>
  <c r="CP60" i="57"/>
  <c r="CQ60" i="57"/>
  <c r="CR60" i="57"/>
  <c r="CS60" i="57"/>
  <c r="CT60" i="57"/>
  <c r="CU60" i="57"/>
  <c r="CV60" i="57"/>
  <c r="CW60" i="57"/>
  <c r="CX60" i="57"/>
  <c r="CY60" i="57"/>
  <c r="CZ60" i="57"/>
  <c r="DA60" i="57"/>
  <c r="DB60" i="57"/>
  <c r="DC60" i="57"/>
  <c r="DD60" i="57"/>
  <c r="DE60" i="57"/>
  <c r="DF60" i="57"/>
  <c r="DG60" i="57"/>
  <c r="DH60" i="57"/>
  <c r="DI60" i="57"/>
  <c r="DJ60" i="57"/>
  <c r="DK60" i="57"/>
  <c r="DL60" i="57"/>
  <c r="DM60" i="57"/>
  <c r="DN60" i="57"/>
  <c r="DO60" i="57"/>
  <c r="DP60" i="57"/>
  <c r="DQ60" i="57"/>
  <c r="DR60" i="57"/>
  <c r="DS60" i="57"/>
  <c r="DT60" i="57"/>
  <c r="DU60" i="57"/>
  <c r="DV60" i="57"/>
  <c r="DW60" i="57"/>
  <c r="DX60" i="57"/>
  <c r="DY60" i="57"/>
  <c r="DZ60" i="57"/>
  <c r="EA60" i="57"/>
  <c r="A60" i="57"/>
  <c r="C3" i="50"/>
  <c r="BY72" i="32" l="1"/>
  <c r="BY73" i="32"/>
  <c r="BY74" i="32"/>
  <c r="BY75" i="32"/>
  <c r="BY76" i="32"/>
  <c r="BY77" i="32"/>
  <c r="BY78" i="32"/>
  <c r="BY79" i="32"/>
  <c r="BY80" i="32"/>
  <c r="BY81" i="32"/>
  <c r="BY82" i="32"/>
  <c r="BY83" i="32"/>
  <c r="BU72" i="32"/>
  <c r="BU73" i="32"/>
  <c r="BU74" i="32"/>
  <c r="BU75" i="32"/>
  <c r="BU76" i="32"/>
  <c r="BU77" i="32"/>
  <c r="BU78" i="32"/>
  <c r="BU79" i="32"/>
  <c r="BU80" i="32"/>
  <c r="BU81" i="32"/>
  <c r="BU82" i="32"/>
  <c r="BU83" i="32"/>
  <c r="BO27" i="32" l="1"/>
  <c r="BO28" i="32"/>
  <c r="BO29" i="32"/>
  <c r="BO30" i="32"/>
  <c r="BO31" i="32"/>
  <c r="BO32" i="32"/>
  <c r="BO33" i="32"/>
  <c r="BO34" i="32"/>
  <c r="BO35" i="32"/>
  <c r="BO36" i="32"/>
  <c r="BO37" i="32"/>
  <c r="BO38" i="32"/>
  <c r="BO39" i="32"/>
  <c r="BO40" i="32"/>
  <c r="BO49" i="32"/>
  <c r="BO72" i="32"/>
  <c r="BO73" i="32"/>
  <c r="BO74" i="32"/>
  <c r="BO75" i="32"/>
  <c r="BO76" i="32"/>
  <c r="BO77" i="32"/>
  <c r="BO78" i="32"/>
  <c r="BO79" i="32"/>
  <c r="BO80" i="32"/>
  <c r="BO81" i="32"/>
  <c r="BO82" i="32"/>
  <c r="BO83" i="32"/>
  <c r="BN72" i="32"/>
  <c r="BN73" i="32"/>
  <c r="BN74" i="32"/>
  <c r="BN75" i="32"/>
  <c r="BN76" i="32"/>
  <c r="BN77" i="32"/>
  <c r="BN78" i="32"/>
  <c r="BN79" i="32"/>
  <c r="BN80" i="32"/>
  <c r="BN81" i="32"/>
  <c r="BN82" i="32"/>
  <c r="BN83" i="32"/>
  <c r="BN27" i="32"/>
  <c r="BN28" i="32"/>
  <c r="BN29" i="32"/>
  <c r="BN30" i="32"/>
  <c r="BN31" i="32"/>
  <c r="BN32" i="32"/>
  <c r="BN33" i="32"/>
  <c r="BN34" i="32"/>
  <c r="BN35" i="32"/>
  <c r="BN36" i="32"/>
  <c r="BN37" i="32"/>
  <c r="BN38" i="32"/>
  <c r="BN39" i="32"/>
  <c r="BN40" i="32"/>
  <c r="BN49" i="32"/>
  <c r="BI72" i="32"/>
  <c r="BI73" i="32"/>
  <c r="BI74" i="32"/>
  <c r="BI75" i="32"/>
  <c r="BI76" i="32"/>
  <c r="BI77" i="32"/>
  <c r="BI78" i="32"/>
  <c r="BI79" i="32"/>
  <c r="BI80" i="32"/>
  <c r="BI81" i="32"/>
  <c r="BI82" i="32"/>
  <c r="BI83" i="32"/>
  <c r="BH72" i="32"/>
  <c r="BH73" i="32"/>
  <c r="BH74" i="32"/>
  <c r="BH75" i="32"/>
  <c r="BH76" i="32"/>
  <c r="BH77" i="32"/>
  <c r="BH78" i="32"/>
  <c r="BH79" i="32"/>
  <c r="BH80" i="32"/>
  <c r="BH81" i="32"/>
  <c r="BH82" i="32"/>
  <c r="BH83" i="32"/>
  <c r="BG72" i="32"/>
  <c r="BG73" i="32"/>
  <c r="BG74" i="32"/>
  <c r="BG75" i="32"/>
  <c r="BG76" i="32"/>
  <c r="BG77" i="32"/>
  <c r="BG78" i="32"/>
  <c r="BG79" i="32"/>
  <c r="BG80" i="32"/>
  <c r="BG81" i="32"/>
  <c r="BG82" i="32"/>
  <c r="BG83" i="32"/>
  <c r="BF72" i="32"/>
  <c r="BF73" i="32"/>
  <c r="BF74" i="32"/>
  <c r="BF75" i="32"/>
  <c r="BF76" i="32"/>
  <c r="BF77" i="32"/>
  <c r="BF78" i="32"/>
  <c r="BF79" i="32"/>
  <c r="BF80" i="32"/>
  <c r="BF81" i="32"/>
  <c r="BF82" i="32"/>
  <c r="BF83" i="32"/>
  <c r="BE72" i="32"/>
  <c r="BE73" i="32"/>
  <c r="BE74" i="32"/>
  <c r="BE75" i="32"/>
  <c r="BE76" i="32"/>
  <c r="BE77" i="32"/>
  <c r="BE78" i="32"/>
  <c r="BE79" i="32"/>
  <c r="BE80" i="32"/>
  <c r="BE81" i="32"/>
  <c r="BE82" i="32"/>
  <c r="BE83" i="32"/>
  <c r="BD27" i="32"/>
  <c r="BD28" i="32"/>
  <c r="BD29" i="32"/>
  <c r="BD30" i="32"/>
  <c r="BD31" i="32"/>
  <c r="BD32" i="32"/>
  <c r="BD33" i="32"/>
  <c r="BD34" i="32"/>
  <c r="BD35" i="32"/>
  <c r="BD36" i="32"/>
  <c r="BD37" i="32"/>
  <c r="BD38" i="32"/>
  <c r="BD39" i="32"/>
  <c r="BD40" i="32"/>
  <c r="BD49" i="32"/>
  <c r="BD72" i="32"/>
  <c r="BD73" i="32"/>
  <c r="BD74" i="32"/>
  <c r="BD75" i="32"/>
  <c r="BD76" i="32"/>
  <c r="BD77" i="32"/>
  <c r="BD78" i="32"/>
  <c r="BD79" i="32"/>
  <c r="BD80" i="32"/>
  <c r="BD81" i="32"/>
  <c r="BD82" i="32"/>
  <c r="BD83" i="32"/>
  <c r="BC27" i="32"/>
  <c r="BC28" i="32"/>
  <c r="BC29" i="32"/>
  <c r="BC30" i="32"/>
  <c r="BC31" i="32"/>
  <c r="BC32" i="32"/>
  <c r="BC33" i="32"/>
  <c r="BC34" i="32"/>
  <c r="BC35" i="32"/>
  <c r="BC36" i="32"/>
  <c r="BC37" i="32"/>
  <c r="BC38" i="32"/>
  <c r="BC39" i="32"/>
  <c r="BC40" i="32"/>
  <c r="BC49" i="32"/>
  <c r="BC72" i="32"/>
  <c r="BC73" i="32"/>
  <c r="BC74" i="32"/>
  <c r="BC75" i="32"/>
  <c r="BC76" i="32"/>
  <c r="BC77" i="32"/>
  <c r="BC78" i="32"/>
  <c r="BC79" i="32"/>
  <c r="BC80" i="32"/>
  <c r="BC81" i="32"/>
  <c r="BC82" i="32"/>
  <c r="BC83" i="32"/>
  <c r="BB27" i="32"/>
  <c r="BB28" i="32"/>
  <c r="BB29" i="32"/>
  <c r="BB30" i="32"/>
  <c r="BB31" i="32"/>
  <c r="BB32" i="32"/>
  <c r="BB33" i="32"/>
  <c r="BB34" i="32"/>
  <c r="BB35" i="32"/>
  <c r="BB36" i="32"/>
  <c r="BB37" i="32"/>
  <c r="BB38" i="32"/>
  <c r="BB39" i="32"/>
  <c r="BB40" i="32"/>
  <c r="BB49" i="32"/>
  <c r="BB72" i="32"/>
  <c r="BB73" i="32"/>
  <c r="BB74" i="32"/>
  <c r="BB75" i="32"/>
  <c r="BB76" i="32"/>
  <c r="BB77" i="32"/>
  <c r="BB78" i="32"/>
  <c r="BB79" i="32"/>
  <c r="BB80" i="32"/>
  <c r="BB81" i="32"/>
  <c r="BB82" i="32"/>
  <c r="BB83" i="32"/>
  <c r="AY27" i="32"/>
  <c r="AY28" i="32"/>
  <c r="AY29" i="32"/>
  <c r="AY30" i="32"/>
  <c r="AY31" i="32"/>
  <c r="AY32" i="32"/>
  <c r="AY33" i="32"/>
  <c r="AY34" i="32"/>
  <c r="AY35" i="32"/>
  <c r="AY36" i="32"/>
  <c r="AY37" i="32"/>
  <c r="AY38" i="32"/>
  <c r="AY39" i="32"/>
  <c r="AY40" i="32"/>
  <c r="AY72" i="32"/>
  <c r="AY73" i="32"/>
  <c r="AY74" i="32"/>
  <c r="AY75" i="32"/>
  <c r="AY76" i="32"/>
  <c r="AY77" i="32"/>
  <c r="AY78" i="32"/>
  <c r="AY79" i="32"/>
  <c r="AY80" i="32"/>
  <c r="AY81" i="32"/>
  <c r="AY82" i="32"/>
  <c r="AY83" i="32"/>
  <c r="AX27" i="32"/>
  <c r="AX28" i="32"/>
  <c r="AX29" i="32"/>
  <c r="AX30" i="32"/>
  <c r="AX31" i="32"/>
  <c r="AX32" i="32"/>
  <c r="AX33" i="32"/>
  <c r="AX34" i="32"/>
  <c r="AX35" i="32"/>
  <c r="AX36" i="32"/>
  <c r="AX37" i="32"/>
  <c r="AX38" i="32"/>
  <c r="AX39" i="32"/>
  <c r="AX40" i="32"/>
  <c r="AX72" i="32"/>
  <c r="AX73" i="32"/>
  <c r="AX74" i="32"/>
  <c r="AX75" i="32"/>
  <c r="AX76" i="32"/>
  <c r="AX77" i="32"/>
  <c r="AX78" i="32"/>
  <c r="AX79" i="32"/>
  <c r="AX80" i="32"/>
  <c r="AX81" i="32"/>
  <c r="AX82" i="32"/>
  <c r="AX83" i="32"/>
  <c r="AW27" i="32"/>
  <c r="AW28" i="32"/>
  <c r="AW29" i="32"/>
  <c r="AW30" i="32"/>
  <c r="AW31" i="32"/>
  <c r="AW32" i="32"/>
  <c r="AW33" i="32"/>
  <c r="AW34" i="32"/>
  <c r="AW35" i="32"/>
  <c r="AW36" i="32"/>
  <c r="AW37" i="32"/>
  <c r="AW38" i="32"/>
  <c r="AW39" i="32"/>
  <c r="AW40" i="32"/>
  <c r="AW72" i="32"/>
  <c r="AW73" i="32"/>
  <c r="AW74" i="32"/>
  <c r="AW75" i="32"/>
  <c r="AW76" i="32"/>
  <c r="AW77" i="32"/>
  <c r="AW78" i="32"/>
  <c r="AW79" i="32"/>
  <c r="AW80" i="32"/>
  <c r="AW81" i="32"/>
  <c r="AW82" i="32"/>
  <c r="AW83" i="32"/>
  <c r="AV72" i="32"/>
  <c r="AV73" i="32"/>
  <c r="AV74" i="32"/>
  <c r="AV75" i="32"/>
  <c r="AV76" i="32"/>
  <c r="AV77" i="32"/>
  <c r="AV78" i="32"/>
  <c r="AV79" i="32"/>
  <c r="AV80" i="32"/>
  <c r="AV81" i="32"/>
  <c r="AV82" i="32"/>
  <c r="AV83" i="32"/>
  <c r="AU27" i="32"/>
  <c r="AU28" i="32"/>
  <c r="AU29" i="32"/>
  <c r="AU30" i="32"/>
  <c r="AU31" i="32"/>
  <c r="AU32" i="32"/>
  <c r="AU33" i="32"/>
  <c r="AU34" i="32"/>
  <c r="AU35" i="32"/>
  <c r="AU36" i="32"/>
  <c r="AU37" i="32"/>
  <c r="AU38" i="32"/>
  <c r="AU39" i="32"/>
  <c r="AU40" i="32"/>
  <c r="AU72" i="32"/>
  <c r="AU73" i="32"/>
  <c r="AU74" i="32"/>
  <c r="AU75" i="32"/>
  <c r="AU76" i="32"/>
  <c r="AU77" i="32"/>
  <c r="AU78" i="32"/>
  <c r="AU79" i="32"/>
  <c r="AU80" i="32"/>
  <c r="AU81" i="32"/>
  <c r="AU82" i="32"/>
  <c r="AU83" i="32"/>
  <c r="AT72" i="32"/>
  <c r="AT73" i="32"/>
  <c r="AT74" i="32"/>
  <c r="AT75" i="32"/>
  <c r="AT76" i="32"/>
  <c r="AT77" i="32"/>
  <c r="AT78" i="32"/>
  <c r="AT79" i="32"/>
  <c r="AT80" i="32"/>
  <c r="AT81" i="32"/>
  <c r="AT82" i="32"/>
  <c r="AT83" i="32"/>
  <c r="AQ72" i="32"/>
  <c r="AQ73" i="32"/>
  <c r="AQ74" i="32"/>
  <c r="AQ75" i="32"/>
  <c r="AQ76" i="32"/>
  <c r="AQ77" i="32"/>
  <c r="AQ78" i="32"/>
  <c r="AQ79" i="32"/>
  <c r="AQ80" i="32"/>
  <c r="AQ81" i="32"/>
  <c r="AQ82" i="32"/>
  <c r="AQ83" i="32"/>
  <c r="AR72" i="32"/>
  <c r="AR73" i="32"/>
  <c r="AR74" i="32"/>
  <c r="AR75" i="32"/>
  <c r="AR76" i="32"/>
  <c r="AR77" i="32"/>
  <c r="AR78" i="32"/>
  <c r="AR79" i="32"/>
  <c r="AR80" i="32"/>
  <c r="AR81" i="32"/>
  <c r="AR82" i="32"/>
  <c r="AR83" i="32"/>
  <c r="AS72" i="32"/>
  <c r="AS73" i="32"/>
  <c r="AS74" i="32"/>
  <c r="AS75" i="32"/>
  <c r="AS76" i="32"/>
  <c r="AS77" i="32"/>
  <c r="AS78" i="32"/>
  <c r="AS79" i="32"/>
  <c r="AS80" i="32"/>
  <c r="AS81" i="32"/>
  <c r="AS82" i="32"/>
  <c r="AS83" i="32"/>
  <c r="AP72" i="32"/>
  <c r="AP73" i="32"/>
  <c r="AP74" i="32"/>
  <c r="AP75" i="32"/>
  <c r="AP76" i="32"/>
  <c r="AP77" i="32"/>
  <c r="AP78" i="32"/>
  <c r="AP79" i="32"/>
  <c r="AP80" i="32"/>
  <c r="AP81" i="32"/>
  <c r="AP82" i="32"/>
  <c r="AP83" i="32"/>
  <c r="AO72" i="32"/>
  <c r="AO73" i="32"/>
  <c r="AO74" i="32"/>
  <c r="AO75" i="32"/>
  <c r="AO76" i="32"/>
  <c r="AO77" i="32"/>
  <c r="AO78" i="32"/>
  <c r="AO79" i="32"/>
  <c r="AO80" i="32"/>
  <c r="AO81" i="32"/>
  <c r="AO82" i="32"/>
  <c r="AO83" i="32"/>
  <c r="AF72" i="32"/>
  <c r="AF73" i="32"/>
  <c r="AF74" i="32"/>
  <c r="AF75" i="32"/>
  <c r="AF76" i="32"/>
  <c r="AF77" i="32"/>
  <c r="AF78" i="32"/>
  <c r="AF79" i="32"/>
  <c r="AF80" i="32"/>
  <c r="AF81" i="32"/>
  <c r="AF82" i="32"/>
  <c r="AF83" i="32"/>
  <c r="AE72" i="32"/>
  <c r="AE73" i="32"/>
  <c r="AE74" i="32"/>
  <c r="AE75" i="32"/>
  <c r="AE76" i="32"/>
  <c r="AE77" i="32"/>
  <c r="AE78" i="32"/>
  <c r="AE79" i="32"/>
  <c r="AE80" i="32"/>
  <c r="AE81" i="32"/>
  <c r="AE82" i="32"/>
  <c r="AE83" i="32"/>
  <c r="G2" i="59" l="1" a="1"/>
  <c r="G2" i="59" s="1"/>
  <c r="BC2" i="26" l="1"/>
  <c r="BC3" i="26"/>
  <c r="BC4" i="26"/>
  <c r="BC5" i="26"/>
  <c r="BC6" i="26"/>
  <c r="BC7" i="26"/>
  <c r="BC8" i="26"/>
  <c r="BC9" i="26"/>
  <c r="BC10" i="26"/>
  <c r="BC11" i="26"/>
  <c r="BC12" i="26"/>
  <c r="BC13" i="26"/>
  <c r="BC14" i="26"/>
  <c r="BC15" i="26"/>
  <c r="BC16" i="26"/>
  <c r="BC17" i="26"/>
  <c r="BC18" i="26"/>
  <c r="BC19" i="26"/>
  <c r="BC20" i="26"/>
  <c r="BC21" i="26"/>
  <c r="BC22" i="26"/>
  <c r="BC23" i="26"/>
  <c r="BC24" i="26"/>
  <c r="BC25" i="26"/>
  <c r="BC26" i="26"/>
  <c r="BC27" i="26"/>
  <c r="BC28" i="26"/>
  <c r="BC29" i="26"/>
  <c r="BC30" i="26"/>
  <c r="BC31" i="26"/>
  <c r="BC32" i="26"/>
  <c r="BC33" i="26"/>
  <c r="BC34" i="26"/>
  <c r="BC35" i="26"/>
  <c r="BC36" i="26"/>
  <c r="BC37" i="26"/>
  <c r="BC38" i="26"/>
  <c r="BC39" i="26"/>
  <c r="BC40" i="26"/>
  <c r="BC41" i="26"/>
  <c r="BC42" i="26"/>
  <c r="BC43" i="26"/>
  <c r="BC44" i="26"/>
  <c r="BC45" i="26"/>
  <c r="BC46" i="26"/>
  <c r="BC47" i="26"/>
  <c r="BC48" i="26"/>
  <c r="BC49" i="26"/>
  <c r="BC50" i="26"/>
  <c r="BC51" i="26"/>
  <c r="BC52" i="26"/>
  <c r="BC53" i="26"/>
  <c r="BC54" i="26"/>
  <c r="BC55" i="26"/>
  <c r="BC56" i="26"/>
  <c r="BC57" i="26"/>
  <c r="BC58" i="26"/>
  <c r="BC59" i="26"/>
  <c r="BC60" i="26"/>
  <c r="BC61" i="26"/>
  <c r="BC62" i="26"/>
  <c r="BC63" i="26"/>
  <c r="BC64" i="26"/>
  <c r="BC65" i="26"/>
  <c r="BC66" i="26"/>
  <c r="BC67" i="26"/>
  <c r="BC68" i="26"/>
  <c r="BC69" i="26"/>
  <c r="BC70" i="26"/>
  <c r="BC71" i="26"/>
  <c r="BC72" i="26"/>
  <c r="BC73" i="26"/>
  <c r="BC74" i="26"/>
  <c r="BC75" i="26"/>
  <c r="BC76" i="26"/>
  <c r="BC77" i="26"/>
  <c r="BC78" i="26"/>
  <c r="BC79" i="26"/>
  <c r="BC80" i="26"/>
  <c r="BC81" i="26"/>
  <c r="BC82" i="26"/>
  <c r="BC83" i="26"/>
  <c r="BC84" i="26"/>
  <c r="BC85" i="26"/>
  <c r="BC86" i="26"/>
  <c r="BC87" i="26"/>
  <c r="BC88" i="26"/>
  <c r="BC89" i="26"/>
  <c r="BC90" i="26"/>
  <c r="BC91" i="26"/>
  <c r="BC92" i="26"/>
  <c r="BC93" i="26"/>
  <c r="BC94" i="26"/>
  <c r="BC95" i="26"/>
  <c r="BC96" i="26"/>
  <c r="BC97" i="26"/>
  <c r="BC98" i="26"/>
  <c r="BC99" i="26"/>
  <c r="BC100" i="26"/>
  <c r="BC101" i="26"/>
  <c r="AM81" i="25" l="1"/>
  <c r="AM27" i="25"/>
  <c r="AM28" i="25"/>
  <c r="AM29" i="25"/>
  <c r="AM30" i="25"/>
  <c r="AM31" i="25"/>
  <c r="AM32" i="25"/>
  <c r="AM33" i="25"/>
  <c r="AM34" i="25"/>
  <c r="AM35" i="25"/>
  <c r="AM36" i="25"/>
  <c r="AM37" i="25"/>
  <c r="AM38" i="25"/>
  <c r="AM39" i="25"/>
  <c r="AM40" i="25"/>
  <c r="AM41" i="25"/>
  <c r="AM42" i="25"/>
  <c r="AM43" i="25"/>
  <c r="AM44" i="25"/>
  <c r="AM45" i="25"/>
  <c r="AM46" i="25"/>
  <c r="AM47" i="25"/>
  <c r="AM48" i="25"/>
  <c r="AM49" i="25"/>
  <c r="AM50" i="25"/>
  <c r="AM54" i="25"/>
  <c r="AM55" i="25"/>
  <c r="AM56" i="25"/>
  <c r="AM57" i="25"/>
  <c r="AM58" i="25"/>
  <c r="AM59" i="25"/>
  <c r="AM60" i="25"/>
  <c r="AM61" i="25"/>
  <c r="AM62" i="25"/>
  <c r="AM63" i="25"/>
  <c r="AM64" i="25"/>
  <c r="AM65" i="25"/>
  <c r="AM66" i="25"/>
  <c r="AM67" i="25"/>
  <c r="AM68" i="25"/>
  <c r="AM69" i="25"/>
  <c r="AM70" i="25"/>
  <c r="AM71" i="25"/>
  <c r="AM72" i="25"/>
  <c r="AM73" i="25"/>
  <c r="AM74" i="25"/>
  <c r="AM75" i="25"/>
  <c r="AM76" i="25"/>
  <c r="AM77" i="25"/>
  <c r="AM78" i="25"/>
  <c r="AM79" i="25"/>
  <c r="AM80" i="25"/>
  <c r="AE27" i="32"/>
  <c r="HB27" i="32" s="1"/>
  <c r="AE28" i="32"/>
  <c r="HB28" i="32" s="1"/>
  <c r="AE38" i="32"/>
  <c r="HB38" i="32" s="1"/>
  <c r="AE39" i="32"/>
  <c r="HB39" i="32" s="1"/>
  <c r="AE40" i="32"/>
  <c r="HB40" i="32" s="1"/>
  <c r="AE29" i="32"/>
  <c r="HB29" i="32" s="1"/>
  <c r="AE30" i="32"/>
  <c r="HB30" i="32" s="1"/>
  <c r="AE31" i="32"/>
  <c r="HB31" i="32" s="1"/>
  <c r="AE32" i="32"/>
  <c r="HB32" i="32" s="1"/>
  <c r="AE33" i="32"/>
  <c r="HB33" i="32" s="1"/>
  <c r="AE34" i="32"/>
  <c r="HB34" i="32" s="1"/>
  <c r="AE35" i="32"/>
  <c r="HB35" i="32" s="1"/>
  <c r="AE36" i="32"/>
  <c r="HB36" i="32" s="1"/>
  <c r="AL4" i="41" l="1"/>
  <c r="AK4" i="41"/>
  <c r="AG4" i="41"/>
  <c r="AF4" i="41"/>
  <c r="AE4" i="41"/>
  <c r="AD4" i="41"/>
  <c r="F4" i="41"/>
  <c r="F12" i="41"/>
  <c r="F13" i="41"/>
  <c r="F14" i="41"/>
  <c r="F20" i="41"/>
  <c r="F21" i="41"/>
  <c r="F22" i="41"/>
  <c r="F23" i="41"/>
  <c r="F24" i="41"/>
  <c r="E4" i="41"/>
  <c r="E12" i="41"/>
  <c r="E13" i="41"/>
  <c r="E14" i="41"/>
  <c r="E20" i="41"/>
  <c r="E21" i="41"/>
  <c r="E22" i="41"/>
  <c r="E23" i="41"/>
  <c r="E24" i="41"/>
  <c r="AB4" i="41"/>
  <c r="Y4" i="41"/>
  <c r="X4" i="41"/>
  <c r="V4" i="41"/>
  <c r="S4" i="41"/>
  <c r="R4" i="41"/>
  <c r="M4" i="41"/>
  <c r="P4" i="41" s="1"/>
  <c r="L4" i="41"/>
  <c r="J4" i="41"/>
  <c r="J20" i="41"/>
  <c r="L20" i="41"/>
  <c r="M20" i="41"/>
  <c r="N20" i="41"/>
  <c r="O20" i="41"/>
  <c r="P20" i="41"/>
  <c r="Q20" i="41"/>
  <c r="R20" i="41"/>
  <c r="S20" i="41"/>
  <c r="T20" i="41"/>
  <c r="U20" i="41"/>
  <c r="V20" i="41"/>
  <c r="W20" i="41"/>
  <c r="X20" i="41"/>
  <c r="Y20" i="41"/>
  <c r="Z20" i="41"/>
  <c r="AA20" i="41"/>
  <c r="AB20" i="41"/>
  <c r="AC20" i="41"/>
  <c r="AD20" i="41"/>
  <c r="AE20" i="41"/>
  <c r="AF20" i="41"/>
  <c r="AG20" i="41"/>
  <c r="AH20" i="41"/>
  <c r="AI20" i="41"/>
  <c r="AJ20" i="41"/>
  <c r="AK20" i="41"/>
  <c r="AL20" i="41"/>
  <c r="J21" i="41"/>
  <c r="L21" i="41"/>
  <c r="M21" i="41"/>
  <c r="N21" i="41"/>
  <c r="O21" i="41"/>
  <c r="P21" i="41"/>
  <c r="Q21" i="41"/>
  <c r="R21" i="41"/>
  <c r="S21" i="41"/>
  <c r="T21" i="41"/>
  <c r="U21" i="41"/>
  <c r="V21" i="41"/>
  <c r="W21" i="41"/>
  <c r="X21" i="41"/>
  <c r="Y21" i="41"/>
  <c r="Z21" i="41"/>
  <c r="AA21" i="41"/>
  <c r="AB21" i="41"/>
  <c r="AC21" i="41"/>
  <c r="AD21" i="41"/>
  <c r="AE21" i="41"/>
  <c r="AF21" i="41"/>
  <c r="AG21" i="41"/>
  <c r="AH21" i="41"/>
  <c r="AI21" i="41"/>
  <c r="AJ21" i="41"/>
  <c r="AK21" i="41"/>
  <c r="AL21" i="41"/>
  <c r="J22" i="41"/>
  <c r="L22" i="41"/>
  <c r="M22" i="41"/>
  <c r="N22" i="41"/>
  <c r="O22" i="41"/>
  <c r="P22" i="41"/>
  <c r="Q22" i="41"/>
  <c r="R22" i="41"/>
  <c r="S22" i="41"/>
  <c r="T22" i="41"/>
  <c r="U22" i="41"/>
  <c r="V22" i="41"/>
  <c r="W22" i="41"/>
  <c r="X22" i="41"/>
  <c r="Y22" i="41"/>
  <c r="Z22" i="41"/>
  <c r="AA22" i="41"/>
  <c r="AB22" i="41"/>
  <c r="AC22" i="41"/>
  <c r="AD22" i="41"/>
  <c r="AE22" i="41"/>
  <c r="AF22" i="41"/>
  <c r="AG22" i="41"/>
  <c r="AH22" i="41"/>
  <c r="AI22" i="41"/>
  <c r="AJ22" i="41"/>
  <c r="AK22" i="41"/>
  <c r="AL22" i="41"/>
  <c r="J23" i="41"/>
  <c r="L23" i="41"/>
  <c r="M23" i="41"/>
  <c r="N23" i="41"/>
  <c r="O23" i="41"/>
  <c r="P23" i="41"/>
  <c r="Q23" i="41"/>
  <c r="R23" i="41"/>
  <c r="S23" i="41"/>
  <c r="T23" i="41"/>
  <c r="U23" i="41"/>
  <c r="V23" i="41"/>
  <c r="W23" i="41"/>
  <c r="X23" i="41"/>
  <c r="Y23" i="41"/>
  <c r="Z23" i="41"/>
  <c r="AA23" i="41"/>
  <c r="AB23" i="41"/>
  <c r="AC23" i="41"/>
  <c r="AD23" i="41"/>
  <c r="AE23" i="41"/>
  <c r="AF23" i="41"/>
  <c r="AG23" i="41"/>
  <c r="AH23" i="41"/>
  <c r="AI23" i="41"/>
  <c r="AJ23" i="41"/>
  <c r="AK23" i="41"/>
  <c r="AL23" i="41"/>
  <c r="AA4" i="41" l="1"/>
  <c r="AI4" i="41" s="1"/>
  <c r="N4" i="41"/>
  <c r="AC4" i="41"/>
  <c r="AJ4" i="41" s="1"/>
  <c r="W4" i="41"/>
  <c r="T4" i="41"/>
  <c r="Q4" i="41"/>
  <c r="U4" i="41"/>
  <c r="Z4" i="41"/>
  <c r="AH4" i="41" s="1"/>
  <c r="O4" i="41"/>
  <c r="B8" i="25" l="1"/>
  <c r="B9" i="25" s="1"/>
  <c r="O1" i="33"/>
  <c r="L60" i="32" l="1"/>
  <c r="I2" i="37" l="1" a="1"/>
  <c r="I2" i="37" s="1"/>
  <c r="B119" i="25" l="1"/>
  <c r="AE8" i="25" l="1"/>
  <c r="D72" i="32" l="1"/>
  <c r="EA72" i="32" s="1"/>
  <c r="E72" i="32"/>
  <c r="EB72" i="32" s="1"/>
  <c r="F72" i="32"/>
  <c r="G72" i="32"/>
  <c r="ED72" i="32" s="1"/>
  <c r="H72" i="32"/>
  <c r="EE72" i="32" s="1"/>
  <c r="I72" i="32"/>
  <c r="J72" i="32"/>
  <c r="K72" i="32"/>
  <c r="L72" i="32"/>
  <c r="M72" i="32"/>
  <c r="FD72" i="32" s="1"/>
  <c r="P72" i="32"/>
  <c r="Q72" i="32"/>
  <c r="EN72" i="32" s="1"/>
  <c r="R72" i="32"/>
  <c r="S72" i="32"/>
  <c r="U72" i="32"/>
  <c r="EL72" i="32" s="1"/>
  <c r="V72" i="32"/>
  <c r="EM72" i="32" s="1"/>
  <c r="W72" i="32"/>
  <c r="X72" i="32" s="1"/>
  <c r="Y72" i="32"/>
  <c r="Z72" i="32"/>
  <c r="AB72" i="32"/>
  <c r="AC72" i="32"/>
  <c r="AD72" i="32"/>
  <c r="GJ72" i="32"/>
  <c r="AG72" i="32"/>
  <c r="AH72" i="32"/>
  <c r="AM72" i="32" s="1"/>
  <c r="AI72" i="32"/>
  <c r="AL72" i="32" s="1"/>
  <c r="AN72" i="32"/>
  <c r="BA72" i="32"/>
  <c r="BP72" i="32"/>
  <c r="BQ72" i="32"/>
  <c r="BR72" i="32"/>
  <c r="BS72" i="32"/>
  <c r="BT72" i="32"/>
  <c r="BV72" i="32"/>
  <c r="BW72" i="32"/>
  <c r="BX72" i="32"/>
  <c r="BZ72" i="32"/>
  <c r="CA72" i="32"/>
  <c r="CB72" i="32"/>
  <c r="CC72" i="32"/>
  <c r="CD72" i="32"/>
  <c r="CE72" i="32"/>
  <c r="CF72" i="32"/>
  <c r="CG72" i="32"/>
  <c r="CN72" i="32"/>
  <c r="CO72" i="32"/>
  <c r="CP72" i="32"/>
  <c r="CQ72" i="32"/>
  <c r="CR72" i="32"/>
  <c r="CS72" i="32"/>
  <c r="DD72" i="32"/>
  <c r="DE72" i="32"/>
  <c r="DF72" i="32"/>
  <c r="DG72" i="32"/>
  <c r="DH72" i="32"/>
  <c r="DI72" i="32"/>
  <c r="DJ72" i="32"/>
  <c r="GF72" i="32" s="1"/>
  <c r="DK72" i="32"/>
  <c r="GG72" i="32" s="1"/>
  <c r="DL72" i="32"/>
  <c r="GH72" i="32" s="1"/>
  <c r="DW72" i="32"/>
  <c r="GW72" i="32" s="1"/>
  <c r="DX72" i="32"/>
  <c r="GX72" i="32" s="1"/>
  <c r="DY72" i="32"/>
  <c r="GY72" i="32" s="1"/>
  <c r="DZ72" i="32"/>
  <c r="GZ72" i="32" s="1"/>
  <c r="EF72" i="32"/>
  <c r="EG72" i="32"/>
  <c r="EI72" i="32"/>
  <c r="EJ72" i="32"/>
  <c r="EK72" i="32"/>
  <c r="ET72" i="32" s="1"/>
  <c r="EY72" i="32"/>
  <c r="EZ72" i="32"/>
  <c r="FA72" i="32"/>
  <c r="FB72" i="32"/>
  <c r="FC72" i="32"/>
  <c r="FE72" i="32"/>
  <c r="FF72" i="32"/>
  <c r="FG72" i="32"/>
  <c r="FH72" i="32"/>
  <c r="FI72" i="32"/>
  <c r="FJ72" i="32"/>
  <c r="FK72" i="32"/>
  <c r="FL72" i="32"/>
  <c r="FM72" i="32"/>
  <c r="FN72" i="32"/>
  <c r="FP72" i="32"/>
  <c r="FQ72" i="32"/>
  <c r="FR72" i="32"/>
  <c r="FS72" i="32"/>
  <c r="FT72" i="32"/>
  <c r="FU72" i="32"/>
  <c r="FX72" i="32"/>
  <c r="FY72" i="32"/>
  <c r="FZ72" i="32"/>
  <c r="GA72" i="32"/>
  <c r="GB72" i="32"/>
  <c r="GC72" i="32"/>
  <c r="GD72" i="32"/>
  <c r="GE72" i="32"/>
  <c r="DA72" i="32" l="1"/>
  <c r="CH72" i="32"/>
  <c r="CK72" i="32"/>
  <c r="CM72" i="32" s="1"/>
  <c r="AJ72" i="32"/>
  <c r="EO72" i="32"/>
  <c r="EQ72" i="32" s="1"/>
  <c r="EV72" i="32" s="1"/>
  <c r="EX72" i="32" s="1"/>
  <c r="DM72" i="32"/>
  <c r="CV72" i="32"/>
  <c r="GM72" i="32"/>
  <c r="GK72" i="32"/>
  <c r="BM72" i="32"/>
  <c r="EP72" i="32"/>
  <c r="AK72" i="32"/>
  <c r="DP72" i="32" s="1"/>
  <c r="GP72" i="32" s="1"/>
  <c r="CZ72" i="32"/>
  <c r="CI72" i="32"/>
  <c r="CJ72" i="32"/>
  <c r="CL72" i="32" s="1"/>
  <c r="CW72" i="32"/>
  <c r="CT72" i="32"/>
  <c r="GI72" i="32"/>
  <c r="EC72" i="32"/>
  <c r="B143" i="25"/>
  <c r="B163" i="25"/>
  <c r="B161" i="25"/>
  <c r="B159" i="25"/>
  <c r="B157" i="25"/>
  <c r="B155" i="25"/>
  <c r="B153" i="25"/>
  <c r="B151" i="25"/>
  <c r="F152" i="25" s="1"/>
  <c r="B149" i="25"/>
  <c r="B147" i="25"/>
  <c r="B145" i="25"/>
  <c r="B141" i="25"/>
  <c r="B139" i="25"/>
  <c r="B137" i="25"/>
  <c r="B135" i="25"/>
  <c r="B133" i="25"/>
  <c r="B131" i="25"/>
  <c r="B129" i="25"/>
  <c r="B121" i="25"/>
  <c r="B123" i="25"/>
  <c r="B125" i="25"/>
  <c r="B127" i="25"/>
  <c r="AK118" i="25"/>
  <c r="C85" i="25"/>
  <c r="T88" i="25"/>
  <c r="T90" i="25"/>
  <c r="T91" i="25"/>
  <c r="T92" i="25"/>
  <c r="T93" i="25"/>
  <c r="T94" i="25"/>
  <c r="T95" i="25"/>
  <c r="T96" i="25"/>
  <c r="T97" i="25"/>
  <c r="T98" i="25"/>
  <c r="T99" i="25"/>
  <c r="T100" i="25"/>
  <c r="T101" i="25"/>
  <c r="T102" i="25"/>
  <c r="T103" i="25"/>
  <c r="T104" i="25"/>
  <c r="T105" i="25"/>
  <c r="T106" i="25"/>
  <c r="T107" i="25"/>
  <c r="T108" i="25"/>
  <c r="T109" i="25"/>
  <c r="T110" i="25"/>
  <c r="T111" i="25"/>
  <c r="T112" i="25"/>
  <c r="T113" i="25"/>
  <c r="T114" i="25"/>
  <c r="L86" i="25"/>
  <c r="L87" i="25"/>
  <c r="L88" i="25"/>
  <c r="L89" i="25"/>
  <c r="L90" i="25"/>
  <c r="L91" i="25"/>
  <c r="L92" i="25"/>
  <c r="L93" i="25"/>
  <c r="L94" i="25"/>
  <c r="L95" i="25"/>
  <c r="L96" i="25"/>
  <c r="L97" i="25"/>
  <c r="L98" i="25"/>
  <c r="L99" i="25"/>
  <c r="L100" i="25"/>
  <c r="L101" i="25"/>
  <c r="L102" i="25"/>
  <c r="L103" i="25"/>
  <c r="L104" i="25"/>
  <c r="L105" i="25"/>
  <c r="L106" i="25"/>
  <c r="L107" i="25"/>
  <c r="L108" i="25"/>
  <c r="L109" i="25"/>
  <c r="L110" i="25"/>
  <c r="L111" i="25"/>
  <c r="L112" i="25"/>
  <c r="L113" i="25"/>
  <c r="L114" i="25"/>
  <c r="L85" i="25"/>
  <c r="BZ3" i="32"/>
  <c r="BZ4" i="32"/>
  <c r="BZ5" i="32"/>
  <c r="BZ6" i="32"/>
  <c r="BZ7" i="32"/>
  <c r="BZ8" i="32"/>
  <c r="BZ9" i="32"/>
  <c r="BZ10" i="32"/>
  <c r="BZ11" i="32"/>
  <c r="BZ12" i="32"/>
  <c r="BZ13" i="32"/>
  <c r="BZ14" i="32"/>
  <c r="BZ15" i="32"/>
  <c r="BZ16" i="32"/>
  <c r="BZ17" i="32"/>
  <c r="BZ18" i="32"/>
  <c r="BZ19" i="32"/>
  <c r="BZ20" i="32"/>
  <c r="BZ21" i="32"/>
  <c r="BZ22" i="32"/>
  <c r="BZ23" i="32"/>
  <c r="BZ24" i="32"/>
  <c r="BZ25" i="32"/>
  <c r="BZ26" i="32"/>
  <c r="BZ27" i="32"/>
  <c r="BZ28" i="32"/>
  <c r="BZ29" i="32"/>
  <c r="BZ30" i="32"/>
  <c r="BZ31" i="32"/>
  <c r="BZ32" i="32"/>
  <c r="BZ33" i="32"/>
  <c r="BZ34" i="32"/>
  <c r="BZ35" i="32"/>
  <c r="BZ36" i="32"/>
  <c r="BZ37" i="32"/>
  <c r="BZ38" i="32"/>
  <c r="BZ39" i="32"/>
  <c r="BZ40" i="32"/>
  <c r="BZ41" i="32"/>
  <c r="BZ42" i="32"/>
  <c r="BZ43" i="32"/>
  <c r="BZ44" i="32"/>
  <c r="BZ45" i="32"/>
  <c r="BZ46" i="32"/>
  <c r="BZ47" i="32"/>
  <c r="BZ48" i="32"/>
  <c r="BZ49" i="32"/>
  <c r="BZ50" i="32"/>
  <c r="BZ51" i="32"/>
  <c r="BZ52" i="32"/>
  <c r="BZ53" i="32"/>
  <c r="BZ54" i="32"/>
  <c r="BZ55" i="32"/>
  <c r="BZ56" i="32"/>
  <c r="BZ57" i="32"/>
  <c r="BZ58" i="32"/>
  <c r="BZ59" i="32"/>
  <c r="BZ60" i="32"/>
  <c r="BZ73" i="32"/>
  <c r="BZ74" i="32"/>
  <c r="BZ75" i="32"/>
  <c r="BZ76" i="32"/>
  <c r="BZ77" i="32"/>
  <c r="BZ78" i="32"/>
  <c r="BZ79" i="32"/>
  <c r="BZ80" i="32"/>
  <c r="BZ81" i="32"/>
  <c r="BZ82" i="32"/>
  <c r="BZ83" i="32"/>
  <c r="ES72" i="32" l="1"/>
  <c r="DO72" i="32"/>
  <c r="GO72" i="32" s="1"/>
  <c r="BK72" i="32"/>
  <c r="DQ72" i="32" s="1"/>
  <c r="GQ72" i="32" s="1"/>
  <c r="DT72" i="32"/>
  <c r="GT72" i="32" s="1"/>
  <c r="DS72" i="32"/>
  <c r="GS72" i="32" s="1"/>
  <c r="CU72" i="32"/>
  <c r="DN72" i="32"/>
  <c r="GN72" i="32"/>
  <c r="GL72" i="32"/>
  <c r="CX72" i="32"/>
  <c r="BL72" i="32"/>
  <c r="DB72" i="32" s="1"/>
  <c r="BJ72" i="32"/>
  <c r="CY72" i="32"/>
  <c r="ER72" i="32"/>
  <c r="EU72" i="32"/>
  <c r="EW72" i="32" s="1"/>
  <c r="A164" i="25"/>
  <c r="F128" i="25"/>
  <c r="F162" i="25"/>
  <c r="F139" i="25"/>
  <c r="F150" i="25"/>
  <c r="F123" i="25"/>
  <c r="F125" i="25"/>
  <c r="F160" i="25"/>
  <c r="F164" i="25"/>
  <c r="F161" i="25"/>
  <c r="F159" i="25"/>
  <c r="F140" i="25"/>
  <c r="F137" i="25"/>
  <c r="F138" i="25"/>
  <c r="F135" i="25"/>
  <c r="F134" i="25"/>
  <c r="F133" i="25"/>
  <c r="F130" i="25"/>
  <c r="F129" i="25"/>
  <c r="F142" i="25"/>
  <c r="F132" i="25"/>
  <c r="F131" i="25"/>
  <c r="F149" i="25"/>
  <c r="F154" i="25"/>
  <c r="F153" i="25"/>
  <c r="F124" i="25"/>
  <c r="F146" i="25"/>
  <c r="F155" i="25"/>
  <c r="F151" i="25"/>
  <c r="F156" i="25"/>
  <c r="F157" i="25"/>
  <c r="F143" i="25"/>
  <c r="F148" i="25"/>
  <c r="F145" i="25"/>
  <c r="F158" i="25"/>
  <c r="F144" i="25"/>
  <c r="F163" i="25"/>
  <c r="F147" i="25"/>
  <c r="F141" i="25"/>
  <c r="F121" i="25"/>
  <c r="F127" i="25"/>
  <c r="F122" i="25"/>
  <c r="F136" i="25"/>
  <c r="F126" i="25"/>
  <c r="F119" i="25"/>
  <c r="F120" i="25"/>
  <c r="CN105" i="30"/>
  <c r="DR72" i="32" l="1"/>
  <c r="GR72" i="32" s="1"/>
  <c r="DC72" i="32"/>
  <c r="DU72" i="32"/>
  <c r="GU72" i="32" s="1"/>
  <c r="DV72" i="32"/>
  <c r="GV72" i="32" s="1"/>
  <c r="C86" i="25"/>
  <c r="E86" i="25"/>
  <c r="G86" i="25"/>
  <c r="I86" i="25"/>
  <c r="AB86" i="25"/>
  <c r="AF86" i="25"/>
  <c r="AI86" i="25"/>
  <c r="C87" i="25"/>
  <c r="E87" i="25"/>
  <c r="AB87" i="25"/>
  <c r="AF87" i="25"/>
  <c r="AI87" i="25"/>
  <c r="C88" i="25"/>
  <c r="E88" i="25"/>
  <c r="G88" i="25"/>
  <c r="I88" i="25"/>
  <c r="Q88" i="25"/>
  <c r="Y88" i="25"/>
  <c r="AB88" i="25"/>
  <c r="AD88" i="25"/>
  <c r="AF88" i="25"/>
  <c r="AI88" i="25"/>
  <c r="C89" i="25"/>
  <c r="E89" i="25"/>
  <c r="AB89" i="25"/>
  <c r="AF89" i="25"/>
  <c r="AI89" i="25"/>
  <c r="C90" i="25"/>
  <c r="E90" i="25"/>
  <c r="AB90" i="25"/>
  <c r="AF90" i="25"/>
  <c r="AI90" i="25"/>
  <c r="C91" i="25"/>
  <c r="E91" i="25"/>
  <c r="G91" i="25"/>
  <c r="I91" i="25"/>
  <c r="Q91" i="25"/>
  <c r="Y91" i="25"/>
  <c r="AB91" i="25"/>
  <c r="AD91" i="25"/>
  <c r="AF91" i="25"/>
  <c r="AI91" i="25"/>
  <c r="C92" i="25"/>
  <c r="E92" i="25"/>
  <c r="G92" i="25"/>
  <c r="I92" i="25"/>
  <c r="Q92" i="25"/>
  <c r="Y92" i="25"/>
  <c r="AB92" i="25"/>
  <c r="AD92" i="25"/>
  <c r="AF92" i="25"/>
  <c r="AI92" i="25"/>
  <c r="C93" i="25"/>
  <c r="E93" i="25"/>
  <c r="G93" i="25"/>
  <c r="I93" i="25"/>
  <c r="Q93" i="25"/>
  <c r="Y93" i="25"/>
  <c r="AB93" i="25"/>
  <c r="AD93" i="25"/>
  <c r="AF93" i="25"/>
  <c r="AI93" i="25"/>
  <c r="C94" i="25"/>
  <c r="E94" i="25"/>
  <c r="G94" i="25"/>
  <c r="I94" i="25"/>
  <c r="Q94" i="25"/>
  <c r="Y94" i="25"/>
  <c r="AB94" i="25"/>
  <c r="AD94" i="25"/>
  <c r="AF94" i="25"/>
  <c r="AI94" i="25"/>
  <c r="C95" i="25"/>
  <c r="E95" i="25"/>
  <c r="G95" i="25"/>
  <c r="I95" i="25"/>
  <c r="Q95" i="25"/>
  <c r="Y95" i="25"/>
  <c r="AB95" i="25"/>
  <c r="AD95" i="25"/>
  <c r="AF95" i="25"/>
  <c r="AI95" i="25"/>
  <c r="C96" i="25"/>
  <c r="E96" i="25"/>
  <c r="G96" i="25"/>
  <c r="I96" i="25"/>
  <c r="Q96" i="25"/>
  <c r="Y96" i="25"/>
  <c r="AB96" i="25"/>
  <c r="AD96" i="25"/>
  <c r="AF96" i="25"/>
  <c r="AI96" i="25"/>
  <c r="C97" i="25"/>
  <c r="E97" i="25"/>
  <c r="G97" i="25"/>
  <c r="I97" i="25"/>
  <c r="Q97" i="25"/>
  <c r="Y97" i="25"/>
  <c r="AB97" i="25"/>
  <c r="AD97" i="25"/>
  <c r="AF97" i="25"/>
  <c r="AI97" i="25"/>
  <c r="C98" i="25"/>
  <c r="E98" i="25"/>
  <c r="G98" i="25"/>
  <c r="I98" i="25"/>
  <c r="Q98" i="25"/>
  <c r="Y98" i="25"/>
  <c r="AB98" i="25"/>
  <c r="AD98" i="25"/>
  <c r="AF98" i="25"/>
  <c r="AI98" i="25"/>
  <c r="C99" i="25"/>
  <c r="E99" i="25"/>
  <c r="G99" i="25"/>
  <c r="I99" i="25"/>
  <c r="Q99" i="25"/>
  <c r="Y99" i="25"/>
  <c r="AB99" i="25"/>
  <c r="AD99" i="25"/>
  <c r="AF99" i="25"/>
  <c r="AI99" i="25"/>
  <c r="C100" i="25"/>
  <c r="E100" i="25"/>
  <c r="G100" i="25"/>
  <c r="I100" i="25"/>
  <c r="Q100" i="25"/>
  <c r="Y100" i="25"/>
  <c r="AB100" i="25"/>
  <c r="AD100" i="25"/>
  <c r="AF100" i="25"/>
  <c r="AI100" i="25"/>
  <c r="C101" i="25"/>
  <c r="E101" i="25"/>
  <c r="G101" i="25"/>
  <c r="I101" i="25"/>
  <c r="Q101" i="25"/>
  <c r="Y101" i="25"/>
  <c r="AB101" i="25"/>
  <c r="AD101" i="25"/>
  <c r="AF101" i="25"/>
  <c r="AI101" i="25"/>
  <c r="C102" i="25"/>
  <c r="E102" i="25"/>
  <c r="G102" i="25"/>
  <c r="I102" i="25"/>
  <c r="Q102" i="25"/>
  <c r="Y102" i="25"/>
  <c r="AB102" i="25"/>
  <c r="AD102" i="25"/>
  <c r="AF102" i="25"/>
  <c r="AI102" i="25"/>
  <c r="C103" i="25"/>
  <c r="E103" i="25"/>
  <c r="G103" i="25"/>
  <c r="I103" i="25"/>
  <c r="Q103" i="25"/>
  <c r="Y103" i="25"/>
  <c r="AB103" i="25"/>
  <c r="AD103" i="25"/>
  <c r="AF103" i="25"/>
  <c r="AI103" i="25"/>
  <c r="C104" i="25"/>
  <c r="E104" i="25"/>
  <c r="G104" i="25"/>
  <c r="I104" i="25"/>
  <c r="Q104" i="25"/>
  <c r="Y104" i="25"/>
  <c r="AB104" i="25"/>
  <c r="AD104" i="25"/>
  <c r="AF104" i="25"/>
  <c r="AI104" i="25"/>
  <c r="C105" i="25"/>
  <c r="E105" i="25"/>
  <c r="G105" i="25"/>
  <c r="I105" i="25"/>
  <c r="Q105" i="25"/>
  <c r="Y105" i="25"/>
  <c r="AB105" i="25"/>
  <c r="AD105" i="25"/>
  <c r="AF105" i="25"/>
  <c r="AI105" i="25"/>
  <c r="C106" i="25"/>
  <c r="E106" i="25"/>
  <c r="G106" i="25"/>
  <c r="I106" i="25"/>
  <c r="Q106" i="25"/>
  <c r="Y106" i="25"/>
  <c r="AB106" i="25"/>
  <c r="AD106" i="25"/>
  <c r="AF106" i="25"/>
  <c r="AI106" i="25"/>
  <c r="C107" i="25"/>
  <c r="E107" i="25"/>
  <c r="G107" i="25"/>
  <c r="I107" i="25"/>
  <c r="Q107" i="25"/>
  <c r="Y107" i="25"/>
  <c r="AB107" i="25"/>
  <c r="AD107" i="25"/>
  <c r="AF107" i="25"/>
  <c r="AI107" i="25"/>
  <c r="C108" i="25"/>
  <c r="E108" i="25"/>
  <c r="G108" i="25"/>
  <c r="I108" i="25"/>
  <c r="Q108" i="25"/>
  <c r="Y108" i="25"/>
  <c r="AB108" i="25"/>
  <c r="AD108" i="25"/>
  <c r="AF108" i="25"/>
  <c r="AI108" i="25"/>
  <c r="C109" i="25"/>
  <c r="E109" i="25"/>
  <c r="G109" i="25"/>
  <c r="I109" i="25"/>
  <c r="Q109" i="25"/>
  <c r="Y109" i="25"/>
  <c r="AB109" i="25"/>
  <c r="AD109" i="25"/>
  <c r="AF109" i="25"/>
  <c r="AI109" i="25"/>
  <c r="C110" i="25"/>
  <c r="E110" i="25"/>
  <c r="G110" i="25"/>
  <c r="I110" i="25"/>
  <c r="Q110" i="25"/>
  <c r="Y110" i="25"/>
  <c r="AB110" i="25"/>
  <c r="AD110" i="25"/>
  <c r="AF110" i="25"/>
  <c r="AI110" i="25"/>
  <c r="C111" i="25"/>
  <c r="E111" i="25"/>
  <c r="G111" i="25"/>
  <c r="I111" i="25"/>
  <c r="Q111" i="25"/>
  <c r="Y111" i="25"/>
  <c r="AB111" i="25"/>
  <c r="AD111" i="25"/>
  <c r="AF111" i="25"/>
  <c r="AI111" i="25"/>
  <c r="C112" i="25"/>
  <c r="E112" i="25"/>
  <c r="G112" i="25"/>
  <c r="I112" i="25"/>
  <c r="Q112" i="25"/>
  <c r="Y112" i="25"/>
  <c r="AB112" i="25"/>
  <c r="AD112" i="25"/>
  <c r="AF112" i="25"/>
  <c r="AI112" i="25"/>
  <c r="C113" i="25"/>
  <c r="E113" i="25"/>
  <c r="G113" i="25"/>
  <c r="I113" i="25"/>
  <c r="Q113" i="25"/>
  <c r="Y113" i="25"/>
  <c r="AB113" i="25"/>
  <c r="AD113" i="25"/>
  <c r="AF113" i="25"/>
  <c r="AI113" i="25"/>
  <c r="C114" i="25"/>
  <c r="E114" i="25"/>
  <c r="G114" i="25"/>
  <c r="I114" i="25"/>
  <c r="Q114" i="25"/>
  <c r="Y114" i="25"/>
  <c r="AB114" i="25"/>
  <c r="AD114" i="25"/>
  <c r="AF114" i="25"/>
  <c r="AI114" i="25"/>
  <c r="AB85" i="25"/>
  <c r="AF85" i="25"/>
  <c r="AI85" i="25"/>
  <c r="E85" i="25"/>
  <c r="GL27" i="32" l="1"/>
  <c r="GL28" i="32"/>
  <c r="GL29" i="32"/>
  <c r="GL30" i="32"/>
  <c r="GL31" i="32"/>
  <c r="GL32" i="32"/>
  <c r="GL33" i="32"/>
  <c r="GL34" i="32"/>
  <c r="GL35" i="32"/>
  <c r="GL36" i="32"/>
  <c r="GL37" i="32"/>
  <c r="GL38" i="32"/>
  <c r="GL39" i="32"/>
  <c r="GL40" i="32"/>
  <c r="GL49" i="32"/>
  <c r="GJ27" i="32"/>
  <c r="GJ29" i="32"/>
  <c r="GJ31" i="32"/>
  <c r="GJ32" i="32"/>
  <c r="GJ33" i="32"/>
  <c r="GJ34" i="32"/>
  <c r="GJ36" i="32"/>
  <c r="GJ38" i="32"/>
  <c r="GJ39" i="32"/>
  <c r="GJ40" i="32"/>
  <c r="GI3" i="32"/>
  <c r="GL3" i="32" s="1"/>
  <c r="GI4" i="32"/>
  <c r="GL4" i="32" s="1"/>
  <c r="GI5" i="32"/>
  <c r="GL5" i="32" s="1"/>
  <c r="GI6" i="32"/>
  <c r="GL6" i="32" s="1"/>
  <c r="GI7" i="32"/>
  <c r="GL7" i="32" s="1"/>
  <c r="GI8" i="32"/>
  <c r="GL8" i="32" s="1"/>
  <c r="GI9" i="32"/>
  <c r="GL9" i="32" s="1"/>
  <c r="GI10" i="32"/>
  <c r="GL10" i="32" s="1"/>
  <c r="GI11" i="32"/>
  <c r="GL11" i="32" s="1"/>
  <c r="GI12" i="32"/>
  <c r="GL12" i="32" s="1"/>
  <c r="GI13" i="32"/>
  <c r="GL13" i="32" s="1"/>
  <c r="GI14" i="32"/>
  <c r="GL14" i="32" s="1"/>
  <c r="GI15" i="32"/>
  <c r="GL15" i="32" s="1"/>
  <c r="GI16" i="32"/>
  <c r="GL16" i="32" s="1"/>
  <c r="GI17" i="32"/>
  <c r="GL17" i="32" s="1"/>
  <c r="GI18" i="32"/>
  <c r="GL18" i="32" s="1"/>
  <c r="GI19" i="32"/>
  <c r="GL19" i="32" s="1"/>
  <c r="GI20" i="32"/>
  <c r="GL20" i="32" s="1"/>
  <c r="GI21" i="32"/>
  <c r="GL21" i="32" s="1"/>
  <c r="GI22" i="32"/>
  <c r="GL22" i="32" s="1"/>
  <c r="GI23" i="32"/>
  <c r="GL23" i="32" s="1"/>
  <c r="GI24" i="32"/>
  <c r="GL24" i="32" s="1"/>
  <c r="GI25" i="32"/>
  <c r="GL25" i="32" s="1"/>
  <c r="GI26" i="32"/>
  <c r="GL26" i="32" s="1"/>
  <c r="GI41" i="32"/>
  <c r="GL41" i="32" s="1"/>
  <c r="GI42" i="32"/>
  <c r="GL42" i="32" s="1"/>
  <c r="GI43" i="32"/>
  <c r="GL43" i="32" s="1"/>
  <c r="GI44" i="32"/>
  <c r="GL44" i="32" s="1"/>
  <c r="GI45" i="32"/>
  <c r="GL45" i="32" s="1"/>
  <c r="GI46" i="32"/>
  <c r="GL46" i="32" s="1"/>
  <c r="GI47" i="32"/>
  <c r="GL47" i="32" s="1"/>
  <c r="GI48" i="32"/>
  <c r="GL48" i="32" s="1"/>
  <c r="GI49" i="32"/>
  <c r="GI50" i="32"/>
  <c r="GL50" i="32" s="1"/>
  <c r="GI51" i="32"/>
  <c r="GL51" i="32" s="1"/>
  <c r="GI52" i="32"/>
  <c r="GL52" i="32" s="1"/>
  <c r="GI53" i="32"/>
  <c r="GL53" i="32" s="1"/>
  <c r="GI54" i="32"/>
  <c r="GL54" i="32" s="1"/>
  <c r="GI55" i="32"/>
  <c r="GL55" i="32" s="1"/>
  <c r="GI56" i="32"/>
  <c r="GL56" i="32" s="1"/>
  <c r="GI57" i="32"/>
  <c r="GL57" i="32" s="1"/>
  <c r="GI58" i="32"/>
  <c r="GL58" i="32" s="1"/>
  <c r="GI59" i="32"/>
  <c r="GL59" i="32" s="1"/>
  <c r="GI60" i="32"/>
  <c r="GL60" i="32" s="1"/>
  <c r="AL11" i="41" l="1"/>
  <c r="AK11" i="41"/>
  <c r="AL10" i="41"/>
  <c r="AG10" i="41"/>
  <c r="AF10" i="41"/>
  <c r="AK10" i="41"/>
  <c r="AG8" i="41" l="1"/>
  <c r="AF8" i="41"/>
  <c r="AG7" i="41"/>
  <c r="AF7" i="41"/>
  <c r="V5" i="41"/>
  <c r="R5" i="41"/>
  <c r="S5" i="41"/>
  <c r="R6" i="41"/>
  <c r="S6" i="41"/>
  <c r="GM27" i="32" l="1"/>
  <c r="GM39" i="32"/>
  <c r="GJ45" i="32"/>
  <c r="GM28" i="32"/>
  <c r="GM40" i="32"/>
  <c r="GJ10" i="32"/>
  <c r="GJ22" i="32"/>
  <c r="GJ46" i="32"/>
  <c r="GJ58" i="32"/>
  <c r="GJ11" i="32"/>
  <c r="GJ23" i="32"/>
  <c r="GJ47" i="32"/>
  <c r="GJ59" i="32"/>
  <c r="GJ49" i="32"/>
  <c r="GM29" i="32"/>
  <c r="GM30" i="32"/>
  <c r="GM31" i="32"/>
  <c r="GM32" i="32"/>
  <c r="GJ14" i="32"/>
  <c r="GJ26" i="32"/>
  <c r="GJ50" i="32"/>
  <c r="GJ3" i="32"/>
  <c r="GJ15" i="32"/>
  <c r="GJ51" i="32"/>
  <c r="GJ57" i="32"/>
  <c r="GJ48" i="32"/>
  <c r="GM33" i="32"/>
  <c r="GM34" i="32"/>
  <c r="GJ4" i="32"/>
  <c r="GJ16" i="32"/>
  <c r="GJ52" i="32"/>
  <c r="GJ5" i="32"/>
  <c r="GJ17" i="32"/>
  <c r="GJ41" i="32"/>
  <c r="GJ53" i="32"/>
  <c r="GJ21" i="32"/>
  <c r="GJ24" i="32"/>
  <c r="GJ25" i="32"/>
  <c r="GM35" i="32"/>
  <c r="GM36" i="32"/>
  <c r="GJ6" i="32"/>
  <c r="GJ18" i="32"/>
  <c r="GJ42" i="32"/>
  <c r="GJ54" i="32"/>
  <c r="GM49" i="32"/>
  <c r="GJ7" i="32"/>
  <c r="GJ19" i="32"/>
  <c r="GJ43" i="32"/>
  <c r="GJ55" i="32"/>
  <c r="GJ8" i="32"/>
  <c r="GJ44" i="32"/>
  <c r="GJ12" i="32"/>
  <c r="GJ13" i="32"/>
  <c r="GM37" i="32"/>
  <c r="GM38" i="32"/>
  <c r="GJ20" i="32"/>
  <c r="GJ56" i="32"/>
  <c r="GJ9" i="32"/>
  <c r="GJ60" i="32"/>
  <c r="AK120" i="25"/>
  <c r="J120" i="25"/>
  <c r="H120" i="25"/>
  <c r="N120" i="25"/>
  <c r="P120" i="25"/>
  <c r="X120" i="25"/>
  <c r="AF120" i="25"/>
  <c r="AK119" i="25"/>
  <c r="J119" i="25"/>
  <c r="H119" i="25"/>
  <c r="P119" i="25"/>
  <c r="R119" i="25"/>
  <c r="AF119" i="25"/>
  <c r="AK122" i="25"/>
  <c r="J122" i="25"/>
  <c r="H122" i="25"/>
  <c r="N122" i="25"/>
  <c r="P122" i="25"/>
  <c r="X122" i="25"/>
  <c r="AI122" i="25"/>
  <c r="AK121" i="25"/>
  <c r="H121" i="25"/>
  <c r="P121" i="25"/>
  <c r="U121" i="25"/>
  <c r="AF121" i="25"/>
  <c r="AK124" i="25"/>
  <c r="J124" i="25"/>
  <c r="H124" i="25"/>
  <c r="P124" i="25"/>
  <c r="AK123" i="25"/>
  <c r="P123" i="25"/>
  <c r="AF123" i="25" l="1"/>
  <c r="AF124" i="25"/>
  <c r="AI123" i="25"/>
  <c r="N124" i="25"/>
  <c r="U123" i="25"/>
  <c r="R123" i="25"/>
  <c r="AD124" i="25"/>
  <c r="R124" i="25"/>
  <c r="L124" i="25"/>
  <c r="AI124" i="25"/>
  <c r="AA124" i="25"/>
  <c r="X124" i="25"/>
  <c r="AF122" i="25"/>
  <c r="AI121" i="25"/>
  <c r="X121" i="25"/>
  <c r="AA122" i="25"/>
  <c r="L121" i="25"/>
  <c r="AA121" i="25"/>
  <c r="R121" i="25"/>
  <c r="AD122" i="25"/>
  <c r="R122" i="25"/>
  <c r="L122" i="25"/>
  <c r="AA120" i="25"/>
  <c r="AI119" i="25"/>
  <c r="X123" i="25"/>
  <c r="AA123" i="25"/>
  <c r="AD121" i="25"/>
  <c r="N119" i="25"/>
  <c r="L119" i="25"/>
  <c r="R120" i="25"/>
  <c r="AD119" i="25"/>
  <c r="AA119" i="25"/>
  <c r="X119" i="25"/>
  <c r="U119" i="25"/>
  <c r="L120" i="25"/>
  <c r="J121" i="25"/>
  <c r="N123" i="25"/>
  <c r="J123" i="25"/>
  <c r="N121" i="25"/>
  <c r="U124" i="25"/>
  <c r="U122" i="25"/>
  <c r="U120" i="25"/>
  <c r="H123" i="25" l="1"/>
  <c r="L123" i="25"/>
  <c r="AD123" i="25"/>
  <c r="AI120" i="25"/>
  <c r="AD120" i="25"/>
  <c r="BE23" i="32"/>
  <c r="GM23" i="32" s="1"/>
  <c r="BE22" i="32"/>
  <c r="GM22" i="32" s="1"/>
  <c r="L24" i="41" l="1"/>
  <c r="L14" i="41"/>
  <c r="L13" i="41"/>
  <c r="L12" i="41"/>
  <c r="L9" i="41"/>
  <c r="L8" i="41"/>
  <c r="L7" i="41"/>
  <c r="L6" i="41"/>
  <c r="M24" i="41"/>
  <c r="M14" i="41"/>
  <c r="M13" i="41"/>
  <c r="M12" i="41"/>
  <c r="P12" i="41" s="1"/>
  <c r="M9" i="41"/>
  <c r="M8" i="41"/>
  <c r="M7" i="41"/>
  <c r="M6" i="41"/>
  <c r="P6" i="41" s="1"/>
  <c r="Q11" i="41"/>
  <c r="Q10" i="41"/>
  <c r="R24" i="41"/>
  <c r="R14" i="41"/>
  <c r="R13" i="41"/>
  <c r="R12" i="41"/>
  <c r="R9" i="41"/>
  <c r="R8" i="41"/>
  <c r="S24" i="41"/>
  <c r="S14" i="41"/>
  <c r="S13" i="41"/>
  <c r="S12" i="41"/>
  <c r="S9" i="41"/>
  <c r="S8" i="41"/>
  <c r="V24" i="41"/>
  <c r="W24" i="41" s="1"/>
  <c r="V14" i="41"/>
  <c r="V13" i="41"/>
  <c r="V12" i="41"/>
  <c r="V9" i="41"/>
  <c r="V8" i="41"/>
  <c r="W8" i="41" s="1"/>
  <c r="V7" i="41"/>
  <c r="W7" i="41" s="1"/>
  <c r="W11" i="41"/>
  <c r="W10" i="41"/>
  <c r="AB5" i="41"/>
  <c r="AB6" i="41"/>
  <c r="AB7" i="41"/>
  <c r="AC7" i="41" s="1"/>
  <c r="AB8" i="41"/>
  <c r="AC8" i="41" s="1"/>
  <c r="AB9" i="41"/>
  <c r="AB10" i="41"/>
  <c r="AC10" i="41" s="1"/>
  <c r="AB11" i="41"/>
  <c r="AC11" i="41" s="1"/>
  <c r="AB12" i="41"/>
  <c r="AB13" i="41"/>
  <c r="AB14" i="41"/>
  <c r="AB24" i="41"/>
  <c r="Y5" i="41"/>
  <c r="Y6" i="41"/>
  <c r="Y7" i="41"/>
  <c r="Y8" i="41"/>
  <c r="Y9" i="41"/>
  <c r="Y10" i="41"/>
  <c r="Y11" i="41"/>
  <c r="Y12" i="41"/>
  <c r="Y13" i="41"/>
  <c r="Y14" i="41"/>
  <c r="Y24" i="41"/>
  <c r="X5" i="41"/>
  <c r="X6" i="41"/>
  <c r="X7" i="41"/>
  <c r="X8" i="41"/>
  <c r="X9" i="41"/>
  <c r="X10" i="41"/>
  <c r="X11" i="41"/>
  <c r="X12" i="41"/>
  <c r="X13" i="41"/>
  <c r="X14" i="41"/>
  <c r="X24" i="41"/>
  <c r="V6" i="41"/>
  <c r="S7" i="41"/>
  <c r="R7" i="41"/>
  <c r="M5" i="41"/>
  <c r="P5" i="41" s="1"/>
  <c r="L5" i="41"/>
  <c r="J24" i="41"/>
  <c r="J14" i="41"/>
  <c r="J13" i="41"/>
  <c r="J12" i="41"/>
  <c r="AC24" i="41" l="1"/>
  <c r="P24" i="41"/>
  <c r="Q24" i="41" s="1"/>
  <c r="W14" i="41"/>
  <c r="W13" i="41"/>
  <c r="AC12" i="41"/>
  <c r="Q12" i="41"/>
  <c r="AC13" i="41"/>
  <c r="AJ13" i="41" s="1"/>
  <c r="AC14" i="41"/>
  <c r="P7" i="41"/>
  <c r="Q7" i="41" s="1"/>
  <c r="P8" i="41"/>
  <c r="Q8" i="41" s="1"/>
  <c r="W12" i="41"/>
  <c r="P13" i="41"/>
  <c r="Q13" i="41" s="1"/>
  <c r="P14" i="41"/>
  <c r="Q14" i="41" s="1"/>
  <c r="D6" i="41" l="1"/>
  <c r="H6" i="41"/>
  <c r="I6" i="41"/>
  <c r="D7" i="41"/>
  <c r="H7" i="41"/>
  <c r="I7" i="41"/>
  <c r="D8" i="41"/>
  <c r="H8" i="41"/>
  <c r="I8" i="41"/>
  <c r="AJ8" i="41"/>
  <c r="D9" i="41"/>
  <c r="H9" i="41"/>
  <c r="I9" i="41"/>
  <c r="H10" i="41"/>
  <c r="I10" i="41"/>
  <c r="H5" i="41"/>
  <c r="DW3" i="32"/>
  <c r="AJ24" i="41"/>
  <c r="F8" i="41" l="1"/>
  <c r="Z8" i="41" s="1"/>
  <c r="AH8" i="41" s="1"/>
  <c r="E8" i="41"/>
  <c r="E6" i="41"/>
  <c r="F6" i="41"/>
  <c r="O6" i="41" s="1"/>
  <c r="E9" i="41"/>
  <c r="F9" i="41"/>
  <c r="AA9" i="41" s="1"/>
  <c r="E7" i="41"/>
  <c r="F7" i="41"/>
  <c r="Z7" i="41" s="1"/>
  <c r="AH7" i="41" s="1"/>
  <c r="J6" i="41"/>
  <c r="W6" i="41" s="1"/>
  <c r="J9" i="41"/>
  <c r="AJ7" i="41"/>
  <c r="T7" i="41" l="1"/>
  <c r="O7" i="41"/>
  <c r="AA6" i="41"/>
  <c r="Z6" i="41"/>
  <c r="AH6" i="41" s="1"/>
  <c r="U6" i="41"/>
  <c r="N7" i="41"/>
  <c r="U7" i="41"/>
  <c r="T6" i="41"/>
  <c r="N6" i="41"/>
  <c r="Z9" i="41"/>
  <c r="O9" i="41"/>
  <c r="N9" i="41"/>
  <c r="T9" i="41"/>
  <c r="AA7" i="41"/>
  <c r="AI7" i="41" s="1"/>
  <c r="U9" i="41"/>
  <c r="U8" i="41"/>
  <c r="O8" i="41"/>
  <c r="N8" i="41"/>
  <c r="AA8" i="41"/>
  <c r="AI8" i="41" s="1"/>
  <c r="T8" i="41"/>
  <c r="Q6" i="41"/>
  <c r="AC6" i="41"/>
  <c r="Q9" i="41"/>
  <c r="AC9" i="41"/>
  <c r="W9" i="41"/>
  <c r="I11" i="41"/>
  <c r="H11" i="41"/>
  <c r="D11" i="41"/>
  <c r="D10" i="41"/>
  <c r="AJ10" i="41"/>
  <c r="AJ11" i="41"/>
  <c r="E10" i="41" l="1"/>
  <c r="F10" i="41"/>
  <c r="O10" i="41" s="1"/>
  <c r="E11" i="41"/>
  <c r="F11" i="41"/>
  <c r="U11" i="41" s="1"/>
  <c r="N24" i="41"/>
  <c r="AD24" i="41" s="1"/>
  <c r="T24" i="41"/>
  <c r="AF24" i="41" s="1"/>
  <c r="Z24" i="41"/>
  <c r="AH24" i="41" s="1"/>
  <c r="AK24" i="41" s="1"/>
  <c r="AA24" i="41"/>
  <c r="AI24" i="41" s="1"/>
  <c r="AL24" i="41" s="1"/>
  <c r="U24" i="41"/>
  <c r="AG24" i="41" s="1"/>
  <c r="O24" i="41"/>
  <c r="AE24" i="41" s="1"/>
  <c r="AA13" i="41"/>
  <c r="T13" i="41"/>
  <c r="O13" i="41"/>
  <c r="Z13" i="41"/>
  <c r="AH13" i="41" s="1"/>
  <c r="N13" i="41"/>
  <c r="U13" i="41"/>
  <c r="AA14" i="41"/>
  <c r="T14" i="41"/>
  <c r="Z14" i="41"/>
  <c r="AH14" i="41" s="1"/>
  <c r="U14" i="41"/>
  <c r="N14" i="41"/>
  <c r="O14" i="41"/>
  <c r="Z12" i="41"/>
  <c r="AH12" i="41" s="1"/>
  <c r="AA12" i="41"/>
  <c r="U12" i="41"/>
  <c r="N12" i="41"/>
  <c r="T12" i="41"/>
  <c r="O12" i="41"/>
  <c r="AJ9" i="41"/>
  <c r="AJ6" i="41"/>
  <c r="AK6" i="41" s="1"/>
  <c r="AJ14" i="41"/>
  <c r="AH9" i="41"/>
  <c r="AJ12" i="41"/>
  <c r="G1" i="33"/>
  <c r="O11" i="41" l="1"/>
  <c r="T11" i="41"/>
  <c r="U10" i="41"/>
  <c r="T10" i="41"/>
  <c r="AA11" i="41"/>
  <c r="Z11" i="41"/>
  <c r="AH11" i="41" s="1"/>
  <c r="N11" i="41"/>
  <c r="N10" i="41"/>
  <c r="Z10" i="41"/>
  <c r="AH10" i="41" s="1"/>
  <c r="AA10" i="41"/>
  <c r="AK9" i="41"/>
  <c r="AE9" i="41"/>
  <c r="AD9" i="41"/>
  <c r="AF6" i="41"/>
  <c r="AE6" i="41"/>
  <c r="AD6" i="41"/>
  <c r="R21" i="25" l="1"/>
  <c r="BR104" i="30" l="1"/>
  <c r="BR103" i="30"/>
  <c r="BR102" i="30"/>
  <c r="BR101" i="30"/>
  <c r="BR100" i="30"/>
  <c r="BR99" i="30"/>
  <c r="BR98" i="30"/>
  <c r="BR97" i="30"/>
  <c r="BR96" i="30"/>
  <c r="BR95" i="30"/>
  <c r="BR94" i="30"/>
  <c r="BR93" i="30"/>
  <c r="BR92" i="30"/>
  <c r="BR91" i="30"/>
  <c r="BR90" i="30"/>
  <c r="BR89" i="30"/>
  <c r="BR88" i="30"/>
  <c r="BR87" i="30"/>
  <c r="BR86" i="30"/>
  <c r="BR85" i="30"/>
  <c r="BR84" i="30"/>
  <c r="BR83" i="30"/>
  <c r="BR82" i="30"/>
  <c r="BR81" i="30"/>
  <c r="BR80" i="30"/>
  <c r="BR79" i="30"/>
  <c r="BR78" i="30"/>
  <c r="BR77" i="30"/>
  <c r="BR76" i="30"/>
  <c r="BR75" i="30"/>
  <c r="BR74" i="30"/>
  <c r="BR73" i="30"/>
  <c r="BR72" i="30"/>
  <c r="BR71" i="30"/>
  <c r="BR70" i="30"/>
  <c r="BR69" i="30"/>
  <c r="BR68" i="30"/>
  <c r="BR67" i="30"/>
  <c r="BR66" i="30"/>
  <c r="BR65" i="30"/>
  <c r="BR64" i="30"/>
  <c r="BR63" i="30"/>
  <c r="BR62" i="30"/>
  <c r="BR61" i="30"/>
  <c r="BR60" i="30"/>
  <c r="BR59" i="30"/>
  <c r="BR58" i="30"/>
  <c r="BR57" i="30"/>
  <c r="BR56" i="30"/>
  <c r="BR55" i="30"/>
  <c r="BR54" i="30"/>
  <c r="BR53" i="30"/>
  <c r="BR52" i="30"/>
  <c r="BR51" i="30"/>
  <c r="BR50" i="30"/>
  <c r="BR49" i="30"/>
  <c r="BR48" i="30"/>
  <c r="BR47" i="30"/>
  <c r="BR46" i="30"/>
  <c r="BR45" i="30"/>
  <c r="BR44" i="30"/>
  <c r="BR43" i="30"/>
  <c r="BR42" i="30"/>
  <c r="BR41" i="30"/>
  <c r="BR40" i="30"/>
  <c r="BR39" i="30"/>
  <c r="BR38" i="30"/>
  <c r="BR37" i="30"/>
  <c r="BR36" i="30"/>
  <c r="BR35" i="30"/>
  <c r="BR34" i="30"/>
  <c r="BR33" i="30"/>
  <c r="BR32" i="30"/>
  <c r="BR31" i="30"/>
  <c r="BR30" i="30"/>
  <c r="BR29" i="30"/>
  <c r="BR28" i="30"/>
  <c r="BR27" i="30"/>
  <c r="BR26" i="30"/>
  <c r="BR25" i="30"/>
  <c r="BR24" i="30"/>
  <c r="BR23" i="30"/>
  <c r="BR22" i="30"/>
  <c r="BR21" i="30"/>
  <c r="BR20" i="30"/>
  <c r="BR19" i="30"/>
  <c r="BR18" i="30"/>
  <c r="BR17" i="30"/>
  <c r="BR16" i="30"/>
  <c r="BR15" i="30"/>
  <c r="BR14" i="30"/>
  <c r="BR13" i="30"/>
  <c r="BR12" i="30"/>
  <c r="BR11" i="30"/>
  <c r="BR10" i="30"/>
  <c r="BR9" i="30"/>
  <c r="BR8" i="30"/>
  <c r="BR7" i="30"/>
  <c r="BR6" i="30"/>
  <c r="BR5" i="30"/>
  <c r="CN106" i="30" l="1"/>
  <c r="EK3" i="32" l="1"/>
  <c r="EK4" i="32"/>
  <c r="EK5" i="32"/>
  <c r="EK6" i="32"/>
  <c r="EK7" i="32"/>
  <c r="EK8" i="32"/>
  <c r="EK9" i="32"/>
  <c r="EK10" i="32"/>
  <c r="EK11" i="32"/>
  <c r="EK12" i="32"/>
  <c r="EK20" i="32"/>
  <c r="EK22" i="32"/>
  <c r="EK24" i="32"/>
  <c r="EK25" i="32"/>
  <c r="EK26" i="32"/>
  <c r="EK13" i="32"/>
  <c r="EK15" i="32"/>
  <c r="EK17" i="32"/>
  <c r="EK18" i="32"/>
  <c r="EK19" i="32"/>
  <c r="EK34" i="32"/>
  <c r="EK36" i="32"/>
  <c r="EK38" i="32"/>
  <c r="EK39" i="32"/>
  <c r="EK40" i="32"/>
  <c r="EK27" i="32"/>
  <c r="EK29" i="32"/>
  <c r="EK31" i="32"/>
  <c r="EK32" i="32"/>
  <c r="EK33" i="32"/>
  <c r="EK41" i="32"/>
  <c r="EK42" i="32"/>
  <c r="EK43" i="32"/>
  <c r="EK44" i="32"/>
  <c r="EK45" i="32"/>
  <c r="EK46" i="32"/>
  <c r="EK47" i="32"/>
  <c r="EK48" i="32"/>
  <c r="EK49" i="32"/>
  <c r="EK50" i="32"/>
  <c r="EK51" i="32"/>
  <c r="EK52" i="32"/>
  <c r="EK53" i="32"/>
  <c r="EK54" i="32"/>
  <c r="EK55" i="32"/>
  <c r="EK56" i="32"/>
  <c r="EK57" i="32"/>
  <c r="EK58" i="32"/>
  <c r="EK59" i="32"/>
  <c r="EK60" i="32"/>
  <c r="EK21" i="32"/>
  <c r="EK23" i="32"/>
  <c r="EK14" i="32"/>
  <c r="EK16" i="32"/>
  <c r="EK35" i="32"/>
  <c r="EK37" i="32"/>
  <c r="EK28" i="32"/>
  <c r="EK30" i="32"/>
  <c r="EK73" i="32"/>
  <c r="EK74" i="32"/>
  <c r="EK75" i="32"/>
  <c r="EK76" i="32"/>
  <c r="EK77" i="32"/>
  <c r="EK78" i="32"/>
  <c r="EK79" i="32"/>
  <c r="EK80" i="32"/>
  <c r="EK81" i="32"/>
  <c r="EK82" i="32"/>
  <c r="EK83" i="32"/>
  <c r="C3" i="33" l="1"/>
  <c r="EE3" i="32" l="1"/>
  <c r="EE4" i="32"/>
  <c r="EE5" i="32"/>
  <c r="EE6" i="32"/>
  <c r="EE7" i="32"/>
  <c r="EE8" i="32"/>
  <c r="EE9" i="32"/>
  <c r="EE10" i="32"/>
  <c r="EE11" i="32"/>
  <c r="EE12" i="32"/>
  <c r="EE20" i="32"/>
  <c r="EE22" i="32"/>
  <c r="EE24" i="32"/>
  <c r="EE25" i="32"/>
  <c r="EE26" i="32"/>
  <c r="EE13" i="32"/>
  <c r="EE15" i="32"/>
  <c r="EE17" i="32"/>
  <c r="EE18" i="32"/>
  <c r="EE19" i="32"/>
  <c r="EE34" i="32"/>
  <c r="EE36" i="32"/>
  <c r="EE38" i="32"/>
  <c r="EE39" i="32"/>
  <c r="EE40" i="32"/>
  <c r="EE27" i="32"/>
  <c r="EE29" i="32"/>
  <c r="EE31" i="32"/>
  <c r="EE32" i="32"/>
  <c r="EE33" i="32"/>
  <c r="EE41" i="32"/>
  <c r="EE42" i="32"/>
  <c r="EE43" i="32"/>
  <c r="EE44" i="32"/>
  <c r="EE45" i="32"/>
  <c r="EE46" i="32"/>
  <c r="EE47" i="32"/>
  <c r="EE48" i="32"/>
  <c r="EE49" i="32"/>
  <c r="EE50" i="32"/>
  <c r="EE51" i="32"/>
  <c r="EE52" i="32"/>
  <c r="EE53" i="32"/>
  <c r="EE54" i="32"/>
  <c r="EE55" i="32"/>
  <c r="EE56" i="32"/>
  <c r="EE57" i="32"/>
  <c r="EE58" i="32"/>
  <c r="EE59" i="32"/>
  <c r="EE60" i="32"/>
  <c r="ED3" i="32"/>
  <c r="ED4" i="32"/>
  <c r="ED5" i="32"/>
  <c r="ED6" i="32"/>
  <c r="ED7" i="32"/>
  <c r="ED8" i="32"/>
  <c r="ED9" i="32"/>
  <c r="ED10" i="32"/>
  <c r="ED11" i="32"/>
  <c r="ED12" i="32"/>
  <c r="ED20" i="32"/>
  <c r="ED22" i="32"/>
  <c r="ED24" i="32"/>
  <c r="ED25" i="32"/>
  <c r="ED26" i="32"/>
  <c r="ED13" i="32"/>
  <c r="ED15" i="32"/>
  <c r="ED17" i="32"/>
  <c r="ED18" i="32"/>
  <c r="ED19" i="32"/>
  <c r="ED34" i="32"/>
  <c r="ED36" i="32"/>
  <c r="ED38" i="32"/>
  <c r="ED39" i="32"/>
  <c r="ED40" i="32"/>
  <c r="ED27" i="32"/>
  <c r="ED29" i="32"/>
  <c r="ED31" i="32"/>
  <c r="ED32" i="32"/>
  <c r="ED33" i="32"/>
  <c r="ED41" i="32"/>
  <c r="ED42" i="32"/>
  <c r="ED43" i="32"/>
  <c r="ED44" i="32"/>
  <c r="ED45" i="32"/>
  <c r="ED46" i="32"/>
  <c r="ED47" i="32"/>
  <c r="ED48" i="32"/>
  <c r="ED49" i="32"/>
  <c r="ED50" i="32"/>
  <c r="ED51" i="32"/>
  <c r="ED52" i="32"/>
  <c r="ED53" i="32"/>
  <c r="ED54" i="32"/>
  <c r="ED55" i="32"/>
  <c r="ED56" i="32"/>
  <c r="ED57" i="32"/>
  <c r="ED58" i="32"/>
  <c r="ED59" i="32"/>
  <c r="ED60" i="32"/>
  <c r="EB3" i="32"/>
  <c r="EB4" i="32"/>
  <c r="EB5" i="32"/>
  <c r="EB6" i="32"/>
  <c r="EB7" i="32"/>
  <c r="EB8" i="32"/>
  <c r="EB9" i="32"/>
  <c r="EB10" i="32"/>
  <c r="EB11" i="32"/>
  <c r="EB12" i="32"/>
  <c r="EB20" i="32"/>
  <c r="EB22" i="32"/>
  <c r="EB24" i="32"/>
  <c r="EB25" i="32"/>
  <c r="EB26" i="32"/>
  <c r="EB13" i="32"/>
  <c r="EB15" i="32"/>
  <c r="EB17" i="32"/>
  <c r="EB18" i="32"/>
  <c r="EB19" i="32"/>
  <c r="EB34" i="32"/>
  <c r="EB36" i="32"/>
  <c r="EB38" i="32"/>
  <c r="EB39" i="32"/>
  <c r="EB40" i="32"/>
  <c r="EB27" i="32"/>
  <c r="EB29" i="32"/>
  <c r="EB31" i="32"/>
  <c r="EB32" i="32"/>
  <c r="EB33" i="32"/>
  <c r="EB41" i="32"/>
  <c r="EB42" i="32"/>
  <c r="EB43" i="32"/>
  <c r="EB44" i="32"/>
  <c r="EB45" i="32"/>
  <c r="EB46" i="32"/>
  <c r="EB47" i="32"/>
  <c r="EB48" i="32"/>
  <c r="EB49" i="32"/>
  <c r="EB50" i="32"/>
  <c r="EB51" i="32"/>
  <c r="EB52" i="32"/>
  <c r="EB53" i="32"/>
  <c r="EB54" i="32"/>
  <c r="EB55" i="32"/>
  <c r="EB56" i="32"/>
  <c r="EB57" i="32"/>
  <c r="EB58" i="32"/>
  <c r="EB59" i="32"/>
  <c r="EB60" i="32"/>
  <c r="EA3" i="32"/>
  <c r="EA4" i="32"/>
  <c r="EA5" i="32"/>
  <c r="EA6" i="32"/>
  <c r="EA7" i="32"/>
  <c r="EA8" i="32"/>
  <c r="EA9" i="32"/>
  <c r="EA10" i="32"/>
  <c r="EA11" i="32"/>
  <c r="EA12" i="32"/>
  <c r="EA20" i="32"/>
  <c r="EA22" i="32"/>
  <c r="EA24" i="32"/>
  <c r="EA25" i="32"/>
  <c r="EA26" i="32"/>
  <c r="EA13" i="32"/>
  <c r="EA15" i="32"/>
  <c r="EA17" i="32"/>
  <c r="EA18" i="32"/>
  <c r="EA19" i="32"/>
  <c r="EA34" i="32"/>
  <c r="EA36" i="32"/>
  <c r="EA38" i="32"/>
  <c r="EA39" i="32"/>
  <c r="EA40" i="32"/>
  <c r="EA27" i="32"/>
  <c r="EA29" i="32"/>
  <c r="EA31" i="32"/>
  <c r="EA32" i="32"/>
  <c r="EA33" i="32"/>
  <c r="EA41" i="32"/>
  <c r="EA42" i="32"/>
  <c r="EA43" i="32"/>
  <c r="EA44" i="32"/>
  <c r="EA45" i="32"/>
  <c r="EA46" i="32"/>
  <c r="EA47" i="32"/>
  <c r="EA48" i="32"/>
  <c r="EA49" i="32"/>
  <c r="EA50" i="32"/>
  <c r="EA51" i="32"/>
  <c r="EA52" i="32"/>
  <c r="EA53" i="32"/>
  <c r="EA54" i="32"/>
  <c r="EA55" i="32"/>
  <c r="EA56" i="32"/>
  <c r="EA57" i="32"/>
  <c r="EA58" i="32"/>
  <c r="EA59" i="32"/>
  <c r="EA60" i="32"/>
  <c r="FE3" i="32"/>
  <c r="FE4" i="32"/>
  <c r="FE5" i="32"/>
  <c r="FE6" i="32"/>
  <c r="FE7" i="32"/>
  <c r="FE8" i="32"/>
  <c r="FE9" i="32"/>
  <c r="FE10" i="32"/>
  <c r="FE11" i="32"/>
  <c r="FE12" i="32"/>
  <c r="FE20" i="32"/>
  <c r="FE22" i="32"/>
  <c r="FE24" i="32"/>
  <c r="FE25" i="32"/>
  <c r="FE26" i="32"/>
  <c r="FE13" i="32"/>
  <c r="FE15" i="32"/>
  <c r="FE17" i="32"/>
  <c r="FE18" i="32"/>
  <c r="FE19" i="32"/>
  <c r="FE34" i="32"/>
  <c r="FE36" i="32"/>
  <c r="FE38" i="32"/>
  <c r="FE39" i="32"/>
  <c r="FE40" i="32"/>
  <c r="FE27" i="32"/>
  <c r="FE29" i="32"/>
  <c r="FE31" i="32"/>
  <c r="FE32" i="32"/>
  <c r="FE33" i="32"/>
  <c r="FE51" i="32"/>
  <c r="FE52" i="32"/>
  <c r="FE53" i="32"/>
  <c r="FE54" i="32"/>
  <c r="FE55" i="32"/>
  <c r="FE56" i="32"/>
  <c r="FE57" i="32"/>
  <c r="FE58" i="32"/>
  <c r="FE59" i="32"/>
  <c r="FE60" i="32"/>
  <c r="FE23" i="32"/>
  <c r="FE14" i="32"/>
  <c r="FE16" i="32"/>
  <c r="FE35" i="32"/>
  <c r="FE37" i="32"/>
  <c r="FE28" i="32"/>
  <c r="FE30" i="32"/>
  <c r="FE73" i="32"/>
  <c r="FE74" i="32"/>
  <c r="FE75" i="32"/>
  <c r="FE76" i="32"/>
  <c r="FE77" i="32"/>
  <c r="FE78" i="32"/>
  <c r="FE79" i="32"/>
  <c r="FE80" i="32"/>
  <c r="FE81" i="32"/>
  <c r="FE82" i="32"/>
  <c r="FE83" i="32"/>
  <c r="FC3" i="32"/>
  <c r="FC4" i="32"/>
  <c r="FC5" i="32"/>
  <c r="FC6" i="32"/>
  <c r="FC7" i="32"/>
  <c r="FC8" i="32"/>
  <c r="FC9" i="32"/>
  <c r="FC10" i="32"/>
  <c r="FC11" i="32"/>
  <c r="FC12" i="32"/>
  <c r="FC20" i="32"/>
  <c r="FC22" i="32"/>
  <c r="FC24" i="32"/>
  <c r="FC25" i="32"/>
  <c r="FC26" i="32"/>
  <c r="FC13" i="32"/>
  <c r="FC15" i="32"/>
  <c r="FC17" i="32"/>
  <c r="FC18" i="32"/>
  <c r="FC19" i="32"/>
  <c r="FC34" i="32"/>
  <c r="FC36" i="32"/>
  <c r="FC38" i="32"/>
  <c r="FC39" i="32"/>
  <c r="FC40" i="32"/>
  <c r="FC27" i="32"/>
  <c r="FC29" i="32"/>
  <c r="FC31" i="32"/>
  <c r="FC32" i="32"/>
  <c r="FC33" i="32"/>
  <c r="FC51" i="32"/>
  <c r="FC52" i="32"/>
  <c r="FC53" i="32"/>
  <c r="FC54" i="32"/>
  <c r="FC55" i="32"/>
  <c r="FC56" i="32"/>
  <c r="FC57" i="32"/>
  <c r="FC58" i="32"/>
  <c r="FC59" i="32"/>
  <c r="FC60" i="32"/>
  <c r="FC23" i="32"/>
  <c r="FC14" i="32"/>
  <c r="FC16" i="32"/>
  <c r="FC35" i="32"/>
  <c r="FC37" i="32"/>
  <c r="FC28" i="32"/>
  <c r="FC30" i="32"/>
  <c r="FC73" i="32"/>
  <c r="FC74" i="32"/>
  <c r="FC75" i="32"/>
  <c r="FC76" i="32"/>
  <c r="FC77" i="32"/>
  <c r="FC78" i="32"/>
  <c r="FC79" i="32"/>
  <c r="FC80" i="32"/>
  <c r="FC81" i="32"/>
  <c r="FC82" i="32"/>
  <c r="FC83" i="32"/>
  <c r="FQ3" i="32" l="1"/>
  <c r="FQ4" i="32"/>
  <c r="FQ5" i="32"/>
  <c r="FQ6" i="32"/>
  <c r="FQ7" i="32"/>
  <c r="FQ8" i="32"/>
  <c r="FQ9" i="32"/>
  <c r="FQ10" i="32"/>
  <c r="FQ11" i="32"/>
  <c r="FQ12" i="32"/>
  <c r="FQ20" i="32"/>
  <c r="FQ22" i="32"/>
  <c r="FQ24" i="32"/>
  <c r="FQ25" i="32"/>
  <c r="FQ26" i="32"/>
  <c r="FQ13" i="32"/>
  <c r="FQ15" i="32"/>
  <c r="FQ17" i="32"/>
  <c r="FQ18" i="32"/>
  <c r="FQ19" i="32"/>
  <c r="FQ34" i="32"/>
  <c r="FQ36" i="32"/>
  <c r="FQ38" i="32"/>
  <c r="FQ39" i="32"/>
  <c r="FQ40" i="32"/>
  <c r="FQ27" i="32"/>
  <c r="FQ29" i="32"/>
  <c r="FQ31" i="32"/>
  <c r="FQ32" i="32"/>
  <c r="FQ33" i="32"/>
  <c r="FQ51" i="32"/>
  <c r="FQ52" i="32"/>
  <c r="FQ53" i="32"/>
  <c r="FQ54" i="32"/>
  <c r="FQ55" i="32"/>
  <c r="FQ56" i="32"/>
  <c r="FQ57" i="32"/>
  <c r="FQ58" i="32"/>
  <c r="FQ59" i="32"/>
  <c r="FQ60" i="32"/>
  <c r="FQ23" i="32"/>
  <c r="FQ14" i="32"/>
  <c r="FQ16" i="32"/>
  <c r="FQ35" i="32"/>
  <c r="FQ37" i="32"/>
  <c r="FQ28" i="32"/>
  <c r="FQ30" i="32"/>
  <c r="FQ73" i="32"/>
  <c r="FQ74" i="32"/>
  <c r="FQ75" i="32"/>
  <c r="FQ76" i="32"/>
  <c r="FQ77" i="32"/>
  <c r="FQ78" i="32"/>
  <c r="FQ79" i="32"/>
  <c r="FQ80" i="32"/>
  <c r="FQ81" i="32"/>
  <c r="FQ82" i="32"/>
  <c r="FQ83" i="32"/>
  <c r="K3" i="32"/>
  <c r="K4" i="32"/>
  <c r="K5" i="32"/>
  <c r="K6" i="32"/>
  <c r="K7" i="32"/>
  <c r="K8" i="32"/>
  <c r="K9" i="32"/>
  <c r="K10" i="32"/>
  <c r="K11" i="32"/>
  <c r="K12" i="32"/>
  <c r="K20" i="32"/>
  <c r="K22" i="32"/>
  <c r="K24" i="32"/>
  <c r="K25" i="32"/>
  <c r="K26" i="32"/>
  <c r="K13" i="32"/>
  <c r="K15" i="32"/>
  <c r="K17" i="32"/>
  <c r="K18" i="32"/>
  <c r="K19" i="32"/>
  <c r="K34" i="32"/>
  <c r="K36" i="32"/>
  <c r="K38" i="32"/>
  <c r="K39" i="32"/>
  <c r="K40" i="32"/>
  <c r="K27" i="32"/>
  <c r="K29" i="32"/>
  <c r="K31" i="32"/>
  <c r="K32" i="32"/>
  <c r="K33" i="32"/>
  <c r="K51" i="32"/>
  <c r="K52" i="32"/>
  <c r="K53" i="32"/>
  <c r="K54" i="32"/>
  <c r="K55" i="32"/>
  <c r="K56" i="32"/>
  <c r="K57" i="32"/>
  <c r="K58" i="32"/>
  <c r="K59" i="32"/>
  <c r="K60" i="32"/>
  <c r="K23" i="32"/>
  <c r="K14" i="32"/>
  <c r="K16" i="32"/>
  <c r="K35" i="32"/>
  <c r="K37" i="32"/>
  <c r="K28" i="32"/>
  <c r="K30" i="32"/>
  <c r="K73" i="32"/>
  <c r="K74" i="32"/>
  <c r="K75" i="32"/>
  <c r="K76" i="32"/>
  <c r="K77" i="32"/>
  <c r="K78" i="32"/>
  <c r="K79" i="32"/>
  <c r="K80" i="32"/>
  <c r="K81" i="32"/>
  <c r="K82" i="32"/>
  <c r="K83" i="32"/>
  <c r="J3" i="32"/>
  <c r="J4" i="32"/>
  <c r="J5" i="32"/>
  <c r="J6" i="32"/>
  <c r="J7" i="32"/>
  <c r="J8" i="32"/>
  <c r="J9" i="32"/>
  <c r="J10" i="32"/>
  <c r="J11" i="32"/>
  <c r="J12" i="32"/>
  <c r="J20" i="32"/>
  <c r="J22" i="32"/>
  <c r="J24" i="32"/>
  <c r="J25" i="32"/>
  <c r="J26" i="32"/>
  <c r="J13" i="32"/>
  <c r="J15" i="32"/>
  <c r="J17" i="32"/>
  <c r="J18" i="32"/>
  <c r="J19" i="32"/>
  <c r="J34" i="32"/>
  <c r="J36" i="32"/>
  <c r="J38" i="32"/>
  <c r="J39" i="32"/>
  <c r="J40" i="32"/>
  <c r="J27" i="32"/>
  <c r="J29" i="32"/>
  <c r="J31" i="32"/>
  <c r="J32" i="32"/>
  <c r="J33" i="32"/>
  <c r="J51" i="32"/>
  <c r="J52" i="32"/>
  <c r="J53" i="32"/>
  <c r="J54" i="32"/>
  <c r="J55" i="32"/>
  <c r="J56" i="32"/>
  <c r="J57" i="32"/>
  <c r="J58" i="32"/>
  <c r="J59" i="32"/>
  <c r="J60" i="32"/>
  <c r="J23" i="32"/>
  <c r="J14" i="32"/>
  <c r="J16" i="32"/>
  <c r="J35" i="32"/>
  <c r="J37" i="32"/>
  <c r="J28" i="32"/>
  <c r="J30" i="32"/>
  <c r="J73" i="32"/>
  <c r="J74" i="32"/>
  <c r="J75" i="32"/>
  <c r="J76" i="32"/>
  <c r="J77" i="32"/>
  <c r="J78" i="32"/>
  <c r="J79" i="32"/>
  <c r="J80" i="32"/>
  <c r="J81" i="32"/>
  <c r="J82" i="32"/>
  <c r="J83" i="32"/>
  <c r="I3" i="32"/>
  <c r="I4" i="32"/>
  <c r="I5" i="32"/>
  <c r="I6" i="32"/>
  <c r="I7" i="32"/>
  <c r="I8" i="32"/>
  <c r="I9" i="32"/>
  <c r="I10" i="32"/>
  <c r="I11" i="32"/>
  <c r="I12" i="32"/>
  <c r="I20" i="32"/>
  <c r="I22" i="32"/>
  <c r="I24" i="32"/>
  <c r="I25" i="32"/>
  <c r="I26" i="32"/>
  <c r="I13" i="32"/>
  <c r="I15" i="32"/>
  <c r="I17" i="32"/>
  <c r="I18" i="32"/>
  <c r="I19" i="32"/>
  <c r="I34" i="32"/>
  <c r="I36" i="32"/>
  <c r="I38" i="32"/>
  <c r="I39" i="32"/>
  <c r="I40" i="32"/>
  <c r="I27" i="32"/>
  <c r="I29" i="32"/>
  <c r="I31" i="32"/>
  <c r="I32" i="32"/>
  <c r="I33" i="32"/>
  <c r="I51" i="32"/>
  <c r="I52" i="32"/>
  <c r="I53" i="32"/>
  <c r="I54" i="32"/>
  <c r="I55" i="32"/>
  <c r="I56" i="32"/>
  <c r="I57" i="32"/>
  <c r="I58" i="32"/>
  <c r="I59" i="32"/>
  <c r="I60" i="32"/>
  <c r="I23" i="32"/>
  <c r="I14" i="32"/>
  <c r="I16" i="32"/>
  <c r="I35" i="32"/>
  <c r="I37" i="32"/>
  <c r="I28" i="32"/>
  <c r="I30" i="32"/>
  <c r="I73" i="32"/>
  <c r="I74" i="32"/>
  <c r="I75" i="32"/>
  <c r="I76" i="32"/>
  <c r="I77" i="32"/>
  <c r="I78" i="32"/>
  <c r="I79" i="32"/>
  <c r="I80" i="32"/>
  <c r="I81" i="32"/>
  <c r="I82" i="32"/>
  <c r="I83" i="32"/>
  <c r="EC3" i="32"/>
  <c r="EC4" i="32"/>
  <c r="EC5" i="32"/>
  <c r="EC6" i="32"/>
  <c r="EC7" i="32"/>
  <c r="EC8" i="32"/>
  <c r="EC9" i="32"/>
  <c r="EC10" i="32"/>
  <c r="EC11" i="32"/>
  <c r="EC12" i="32"/>
  <c r="EC20" i="32"/>
  <c r="EC22" i="32"/>
  <c r="EC24" i="32"/>
  <c r="EC25" i="32"/>
  <c r="EC26" i="32"/>
  <c r="EC13" i="32"/>
  <c r="EC15" i="32"/>
  <c r="EC17" i="32"/>
  <c r="EC18" i="32"/>
  <c r="EC19" i="32"/>
  <c r="EC34" i="32"/>
  <c r="EC36" i="32"/>
  <c r="EC38" i="32"/>
  <c r="EC39" i="32"/>
  <c r="EC40" i="32"/>
  <c r="EC27" i="32"/>
  <c r="EC29" i="32"/>
  <c r="EC31" i="32"/>
  <c r="EC32" i="32"/>
  <c r="EC33" i="32"/>
  <c r="EC41" i="32"/>
  <c r="EC42" i="32"/>
  <c r="EC43" i="32"/>
  <c r="EC44" i="32"/>
  <c r="EC45" i="32"/>
  <c r="EC46" i="32"/>
  <c r="EC47" i="32"/>
  <c r="EC48" i="32"/>
  <c r="EC49" i="32"/>
  <c r="EC50" i="32"/>
  <c r="EC51" i="32"/>
  <c r="EC52" i="32"/>
  <c r="EC53" i="32"/>
  <c r="EC54" i="32"/>
  <c r="EC55" i="32"/>
  <c r="EC56" i="32"/>
  <c r="EC57" i="32"/>
  <c r="EC58" i="32"/>
  <c r="EC59" i="32"/>
  <c r="EC60" i="32"/>
  <c r="H3" i="32"/>
  <c r="H4" i="32"/>
  <c r="H5" i="32"/>
  <c r="H6" i="32"/>
  <c r="H7" i="32"/>
  <c r="H8" i="32"/>
  <c r="H9" i="32"/>
  <c r="H10" i="32"/>
  <c r="H11" i="32"/>
  <c r="H12" i="32"/>
  <c r="H20" i="32"/>
  <c r="H22" i="32"/>
  <c r="H24" i="32"/>
  <c r="H25" i="32"/>
  <c r="H26" i="32"/>
  <c r="H13" i="32"/>
  <c r="H15" i="32"/>
  <c r="H17" i="32"/>
  <c r="H18" i="32"/>
  <c r="H19" i="32"/>
  <c r="H34" i="32"/>
  <c r="H36" i="32"/>
  <c r="H38" i="32"/>
  <c r="H39" i="32"/>
  <c r="H40" i="32"/>
  <c r="H27" i="32"/>
  <c r="H29" i="32"/>
  <c r="H31" i="32"/>
  <c r="H32" i="32"/>
  <c r="H33" i="32"/>
  <c r="H51" i="32"/>
  <c r="H52" i="32"/>
  <c r="H53" i="32"/>
  <c r="H54" i="32"/>
  <c r="H55" i="32"/>
  <c r="H56" i="32"/>
  <c r="H57" i="32"/>
  <c r="H58" i="32"/>
  <c r="H59" i="32"/>
  <c r="H60" i="32"/>
  <c r="H21" i="32"/>
  <c r="EE21" i="32" s="1"/>
  <c r="H23" i="32"/>
  <c r="EE23" i="32" s="1"/>
  <c r="H14" i="32"/>
  <c r="EE14" i="32" s="1"/>
  <c r="H16" i="32"/>
  <c r="EE16" i="32" s="1"/>
  <c r="H35" i="32"/>
  <c r="EE35" i="32" s="1"/>
  <c r="H37" i="32"/>
  <c r="EE37" i="32" s="1"/>
  <c r="H28" i="32"/>
  <c r="EE28" i="32" s="1"/>
  <c r="H30" i="32"/>
  <c r="EE30" i="32" s="1"/>
  <c r="H73" i="32"/>
  <c r="EE73" i="32" s="1"/>
  <c r="H74" i="32"/>
  <c r="EE74" i="32" s="1"/>
  <c r="H75" i="32"/>
  <c r="EE75" i="32" s="1"/>
  <c r="H76" i="32"/>
  <c r="EE76" i="32" s="1"/>
  <c r="H77" i="32"/>
  <c r="EE77" i="32" s="1"/>
  <c r="H78" i="32"/>
  <c r="EE78" i="32" s="1"/>
  <c r="H79" i="32"/>
  <c r="EE79" i="32" s="1"/>
  <c r="H80" i="32"/>
  <c r="EE80" i="32" s="1"/>
  <c r="H81" i="32"/>
  <c r="EE81" i="32" s="1"/>
  <c r="H82" i="32"/>
  <c r="EE82" i="32" s="1"/>
  <c r="H83" i="32"/>
  <c r="EE83" i="32" s="1"/>
  <c r="F21" i="32" l="1"/>
  <c r="G21" i="32"/>
  <c r="ED21" i="32" s="1"/>
  <c r="EM21" i="32"/>
  <c r="X21" i="32"/>
  <c r="AB21" i="32"/>
  <c r="BB21" i="32" s="1"/>
  <c r="AC21" i="32"/>
  <c r="AD21" i="32"/>
  <c r="AM21" i="32"/>
  <c r="CA21" i="32"/>
  <c r="Q89" i="25" s="1"/>
  <c r="AN21" i="32"/>
  <c r="BN21" i="32" s="1"/>
  <c r="AO21" i="32"/>
  <c r="BO21" i="32" s="1"/>
  <c r="AP21" i="32"/>
  <c r="AV21" i="32"/>
  <c r="BA21" i="32"/>
  <c r="CG21" i="32"/>
  <c r="CN21" i="32"/>
  <c r="DD21" i="32"/>
  <c r="DE21" i="32"/>
  <c r="DW21" i="32"/>
  <c r="GW21" i="32" s="1"/>
  <c r="DX21" i="32"/>
  <c r="GX21" i="32" s="1"/>
  <c r="EI21" i="32"/>
  <c r="EJ21" i="32"/>
  <c r="ET21" i="32"/>
  <c r="EL21" i="32"/>
  <c r="EY21" i="32"/>
  <c r="FB21" i="32"/>
  <c r="FJ21" i="32"/>
  <c r="FK21" i="32"/>
  <c r="FL21" i="32"/>
  <c r="EB23" i="32"/>
  <c r="F23" i="32"/>
  <c r="G23" i="32"/>
  <c r="ED23" i="32" s="1"/>
  <c r="L23" i="32"/>
  <c r="M23" i="32"/>
  <c r="P23" i="32"/>
  <c r="R23" i="32"/>
  <c r="EL23" i="32"/>
  <c r="EM23" i="32"/>
  <c r="X23" i="32"/>
  <c r="AB23" i="32"/>
  <c r="BB23" i="32" s="1"/>
  <c r="AC23" i="32"/>
  <c r="AD23" i="32"/>
  <c r="AN23" i="32"/>
  <c r="BN23" i="32" s="1"/>
  <c r="AO23" i="32"/>
  <c r="BO23" i="32" s="1"/>
  <c r="AP23" i="32"/>
  <c r="AV23" i="32"/>
  <c r="BA23" i="32"/>
  <c r="HB23" i="32" s="1"/>
  <c r="Z23" i="32"/>
  <c r="CA23" i="32"/>
  <c r="Q87" i="25" s="1"/>
  <c r="CC23" i="32"/>
  <c r="CD23" i="32"/>
  <c r="CG23" i="32"/>
  <c r="CN23" i="32"/>
  <c r="DD23" i="32"/>
  <c r="DF23" i="32" s="1"/>
  <c r="DE23" i="32"/>
  <c r="DW23" i="32"/>
  <c r="GW23" i="32" s="1"/>
  <c r="DX23" i="32"/>
  <c r="GX23" i="32" s="1"/>
  <c r="EF23" i="32"/>
  <c r="EG23" i="32"/>
  <c r="EI23" i="32"/>
  <c r="EJ23" i="32"/>
  <c r="ET23" i="32"/>
  <c r="EY23" i="32"/>
  <c r="EZ23" i="32"/>
  <c r="FA23" i="32"/>
  <c r="FB23" i="32"/>
  <c r="FF23" i="32"/>
  <c r="FG23" i="32"/>
  <c r="FH23" i="32"/>
  <c r="FI23" i="32"/>
  <c r="FJ23" i="32"/>
  <c r="FK23" i="32"/>
  <c r="FL23" i="32"/>
  <c r="FM23" i="32"/>
  <c r="FN23" i="32"/>
  <c r="FP23" i="32"/>
  <c r="FR23" i="32"/>
  <c r="FS23" i="32"/>
  <c r="FT23" i="32"/>
  <c r="FU23" i="32"/>
  <c r="FX23" i="32"/>
  <c r="FY23" i="32"/>
  <c r="FZ23" i="32"/>
  <c r="GA23" i="32"/>
  <c r="GB23" i="32"/>
  <c r="GC23" i="32"/>
  <c r="L14" i="32"/>
  <c r="EB14" i="32"/>
  <c r="F14" i="32"/>
  <c r="G14" i="32"/>
  <c r="ED14" i="32" s="1"/>
  <c r="EL14" i="32"/>
  <c r="X14" i="32"/>
  <c r="AB14" i="32"/>
  <c r="BB14" i="32" s="1"/>
  <c r="AC14" i="32"/>
  <c r="AD14" i="32"/>
  <c r="AN14" i="32"/>
  <c r="BN14" i="32" s="1"/>
  <c r="AO14" i="32"/>
  <c r="BO14" i="32" s="1"/>
  <c r="AP14" i="32"/>
  <c r="AV14" i="32"/>
  <c r="BA14" i="32"/>
  <c r="Z14" i="32"/>
  <c r="CA14" i="32"/>
  <c r="CC14" i="32"/>
  <c r="CG14" i="32"/>
  <c r="CN14" i="32"/>
  <c r="DD14" i="32"/>
  <c r="DF14" i="32" s="1"/>
  <c r="DE14" i="32"/>
  <c r="DG14" i="32" s="1"/>
  <c r="DW14" i="32"/>
  <c r="GW14" i="32" s="1"/>
  <c r="DX14" i="32"/>
  <c r="GX14" i="32" s="1"/>
  <c r="EF14" i="32"/>
  <c r="EG14" i="32"/>
  <c r="EI14" i="32"/>
  <c r="EJ14" i="32"/>
  <c r="ET14" i="32"/>
  <c r="EY14" i="32"/>
  <c r="EZ14" i="32"/>
  <c r="FA14" i="32"/>
  <c r="FB14" i="32"/>
  <c r="FF14" i="32"/>
  <c r="FG14" i="32"/>
  <c r="FH14" i="32"/>
  <c r="FI14" i="32"/>
  <c r="FJ14" i="32"/>
  <c r="FK14" i="32"/>
  <c r="FL14" i="32"/>
  <c r="FM14" i="32"/>
  <c r="FN14" i="32"/>
  <c r="FP14" i="32"/>
  <c r="FR14" i="32"/>
  <c r="FS14" i="32"/>
  <c r="FT14" i="32"/>
  <c r="FU14" i="32"/>
  <c r="FX14" i="32"/>
  <c r="FY14" i="32"/>
  <c r="FZ14" i="32"/>
  <c r="GA14" i="32"/>
  <c r="GB14" i="32"/>
  <c r="GC14" i="32"/>
  <c r="L16" i="32"/>
  <c r="EB16" i="32"/>
  <c r="F16" i="32"/>
  <c r="G16" i="32"/>
  <c r="ED16" i="32" s="1"/>
  <c r="R16" i="32"/>
  <c r="EL16" i="32"/>
  <c r="EM16" i="32"/>
  <c r="X16" i="32"/>
  <c r="AB16" i="32"/>
  <c r="BB16" i="32" s="1"/>
  <c r="AC16" i="32"/>
  <c r="AD16" i="32"/>
  <c r="AM16" i="32"/>
  <c r="CA16" i="32"/>
  <c r="AN16" i="32"/>
  <c r="BN16" i="32" s="1"/>
  <c r="AO16" i="32"/>
  <c r="BO16" i="32" s="1"/>
  <c r="AP16" i="32"/>
  <c r="AV16" i="32"/>
  <c r="BA16" i="32"/>
  <c r="Z16" i="32"/>
  <c r="CG16" i="32"/>
  <c r="CN16" i="32"/>
  <c r="DD16" i="32"/>
  <c r="DE16" i="32"/>
  <c r="DW16" i="32"/>
  <c r="GW16" i="32" s="1"/>
  <c r="DX16" i="32"/>
  <c r="GX16" i="32" s="1"/>
  <c r="EF16" i="32"/>
  <c r="EG16" i="32"/>
  <c r="EI16" i="32"/>
  <c r="EJ16" i="32"/>
  <c r="ET16" i="32"/>
  <c r="EY16" i="32"/>
  <c r="EZ16" i="32"/>
  <c r="FA16" i="32"/>
  <c r="FB16" i="32"/>
  <c r="FF16" i="32"/>
  <c r="FG16" i="32"/>
  <c r="FH16" i="32"/>
  <c r="FI16" i="32"/>
  <c r="FJ16" i="32"/>
  <c r="FK16" i="32"/>
  <c r="FL16" i="32"/>
  <c r="FM16" i="32"/>
  <c r="FN16" i="32"/>
  <c r="FP16" i="32"/>
  <c r="FR16" i="32"/>
  <c r="FS16" i="32"/>
  <c r="FT16" i="32"/>
  <c r="FU16" i="32"/>
  <c r="FX16" i="32"/>
  <c r="FY16" i="32"/>
  <c r="FZ16" i="32"/>
  <c r="GA16" i="32"/>
  <c r="GB16" i="32"/>
  <c r="GC16" i="32"/>
  <c r="EB35" i="32"/>
  <c r="F35" i="32"/>
  <c r="G35" i="32"/>
  <c r="ED35" i="32" s="1"/>
  <c r="M35" i="32"/>
  <c r="FD35" i="32" s="1"/>
  <c r="EL35" i="32"/>
  <c r="EM35" i="32"/>
  <c r="X35" i="32"/>
  <c r="AB35" i="32"/>
  <c r="AC35" i="32"/>
  <c r="AD35" i="32"/>
  <c r="GJ35" i="32"/>
  <c r="AF35" i="32"/>
  <c r="AG35" i="32"/>
  <c r="AH35" i="32"/>
  <c r="AK35" i="32" s="1"/>
  <c r="AI35" i="32"/>
  <c r="BV35" i="32"/>
  <c r="Z35" i="32"/>
  <c r="CA35" i="32"/>
  <c r="CC35" i="32"/>
  <c r="CD35" i="32"/>
  <c r="CG35" i="32"/>
  <c r="CN35" i="32"/>
  <c r="DG35" i="32"/>
  <c r="EF35" i="32"/>
  <c r="EG35" i="32"/>
  <c r="EI35" i="32"/>
  <c r="EJ35" i="32"/>
  <c r="ET35" i="32"/>
  <c r="EY35" i="32"/>
  <c r="EZ35" i="32"/>
  <c r="FA35" i="32"/>
  <c r="FB35" i="32"/>
  <c r="FF35" i="32"/>
  <c r="FG35" i="32"/>
  <c r="FH35" i="32"/>
  <c r="FI35" i="32"/>
  <c r="FJ35" i="32"/>
  <c r="FK35" i="32"/>
  <c r="FL35" i="32"/>
  <c r="FM35" i="32"/>
  <c r="FN35" i="32"/>
  <c r="FP35" i="32"/>
  <c r="FR35" i="32"/>
  <c r="FS35" i="32"/>
  <c r="FT35" i="32"/>
  <c r="FU35" i="32"/>
  <c r="FX35" i="32"/>
  <c r="FY35" i="32"/>
  <c r="FZ35" i="32"/>
  <c r="GA35" i="32"/>
  <c r="GB35" i="32"/>
  <c r="GC35" i="32"/>
  <c r="CC37" i="32"/>
  <c r="EB37" i="32"/>
  <c r="F37" i="32"/>
  <c r="G37" i="32"/>
  <c r="ED37" i="32" s="1"/>
  <c r="M37" i="32"/>
  <c r="FD37" i="32" s="1"/>
  <c r="EL37" i="32"/>
  <c r="EM37" i="32"/>
  <c r="X37" i="32"/>
  <c r="AB37" i="32"/>
  <c r="AC37" i="32"/>
  <c r="AD37" i="32"/>
  <c r="AE37" i="32"/>
  <c r="HB37" i="32" s="1"/>
  <c r="AF37" i="32"/>
  <c r="AG37" i="32"/>
  <c r="AH37" i="32"/>
  <c r="AI37" i="32"/>
  <c r="BP37" i="32"/>
  <c r="BV37" i="32"/>
  <c r="Z37" i="32"/>
  <c r="CA37" i="32"/>
  <c r="CD37" i="32"/>
  <c r="CG37" i="32"/>
  <c r="CN37" i="32"/>
  <c r="DG37" i="32"/>
  <c r="DY37" i="32"/>
  <c r="GY37" i="32" s="1"/>
  <c r="DZ37" i="32"/>
  <c r="GZ37" i="32" s="1"/>
  <c r="EF37" i="32"/>
  <c r="EG37" i="32"/>
  <c r="EI37" i="32"/>
  <c r="EJ37" i="32"/>
  <c r="ET37" i="32"/>
  <c r="EY37" i="32"/>
  <c r="EZ37" i="32"/>
  <c r="FA37" i="32"/>
  <c r="FB37" i="32"/>
  <c r="FF37" i="32"/>
  <c r="FG37" i="32"/>
  <c r="FH37" i="32"/>
  <c r="FI37" i="32"/>
  <c r="FJ37" i="32"/>
  <c r="FK37" i="32"/>
  <c r="FL37" i="32"/>
  <c r="FM37" i="32"/>
  <c r="FN37" i="32"/>
  <c r="FP37" i="32"/>
  <c r="FR37" i="32"/>
  <c r="FS37" i="32"/>
  <c r="FT37" i="32"/>
  <c r="FU37" i="32"/>
  <c r="FX37" i="32"/>
  <c r="FY37" i="32"/>
  <c r="FZ37" i="32"/>
  <c r="GA37" i="32"/>
  <c r="GB37" i="32"/>
  <c r="GC37" i="32"/>
  <c r="L28" i="32"/>
  <c r="EB28" i="32"/>
  <c r="F28" i="32"/>
  <c r="G28" i="32"/>
  <c r="ED28" i="32" s="1"/>
  <c r="EL28" i="32"/>
  <c r="EM28" i="32"/>
  <c r="AB28" i="32"/>
  <c r="AC28" i="32"/>
  <c r="AD28" i="32"/>
  <c r="GJ28" i="32"/>
  <c r="AF28" i="32"/>
  <c r="AG28" i="32"/>
  <c r="AH28" i="32"/>
  <c r="AM28" i="32" s="1"/>
  <c r="AI28" i="32"/>
  <c r="AL28" i="32" s="1"/>
  <c r="Z28" i="32"/>
  <c r="CA28" i="32"/>
  <c r="CD28" i="32"/>
  <c r="CG28" i="32"/>
  <c r="CN28" i="32"/>
  <c r="EF28" i="32"/>
  <c r="EG28" i="32"/>
  <c r="EI28" i="32"/>
  <c r="EJ28" i="32"/>
  <c r="ET28" i="32"/>
  <c r="EY28" i="32"/>
  <c r="EZ28" i="32"/>
  <c r="FA28" i="32"/>
  <c r="FB28" i="32"/>
  <c r="FF28" i="32"/>
  <c r="FG28" i="32"/>
  <c r="FH28" i="32"/>
  <c r="FI28" i="32"/>
  <c r="FJ28" i="32"/>
  <c r="FK28" i="32"/>
  <c r="FL28" i="32"/>
  <c r="FM28" i="32"/>
  <c r="FN28" i="32"/>
  <c r="FP28" i="32"/>
  <c r="FR28" i="32"/>
  <c r="FS28" i="32"/>
  <c r="FT28" i="32"/>
  <c r="FU28" i="32"/>
  <c r="FX28" i="32"/>
  <c r="FY28" i="32"/>
  <c r="FZ28" i="32"/>
  <c r="GA28" i="32"/>
  <c r="GB28" i="32"/>
  <c r="GC28" i="32"/>
  <c r="L30" i="32"/>
  <c r="G90" i="25" s="1"/>
  <c r="EB30" i="32"/>
  <c r="F30" i="32"/>
  <c r="G30" i="32"/>
  <c r="ED30" i="32" s="1"/>
  <c r="M30" i="32"/>
  <c r="P30" i="32"/>
  <c r="R30" i="32"/>
  <c r="EM30" i="32"/>
  <c r="X30" i="32"/>
  <c r="AB30" i="32"/>
  <c r="AC30" i="32"/>
  <c r="AD30" i="32"/>
  <c r="GJ30" i="32"/>
  <c r="AF30" i="32"/>
  <c r="AG30" i="32"/>
  <c r="AH30" i="32"/>
  <c r="AI30" i="32"/>
  <c r="Z30" i="32"/>
  <c r="CA30" i="32"/>
  <c r="Q90" i="25" s="1"/>
  <c r="CC30" i="32"/>
  <c r="CD30" i="32"/>
  <c r="CG30" i="32"/>
  <c r="CN30" i="32"/>
  <c r="EF30" i="32"/>
  <c r="EG30" i="32"/>
  <c r="EI30" i="32"/>
  <c r="EJ30" i="32"/>
  <c r="ET30" i="32"/>
  <c r="EY30" i="32"/>
  <c r="EZ30" i="32"/>
  <c r="FA30" i="32"/>
  <c r="FB30" i="32"/>
  <c r="FF30" i="32"/>
  <c r="FG30" i="32"/>
  <c r="FH30" i="32"/>
  <c r="FI30" i="32"/>
  <c r="FJ30" i="32"/>
  <c r="FK30" i="32"/>
  <c r="FL30" i="32"/>
  <c r="FM30" i="32"/>
  <c r="FN30" i="32"/>
  <c r="FP30" i="32"/>
  <c r="FR30" i="32"/>
  <c r="FS30" i="32"/>
  <c r="FT30" i="32"/>
  <c r="FU30" i="32"/>
  <c r="FX30" i="32"/>
  <c r="FY30" i="32"/>
  <c r="FZ30" i="32"/>
  <c r="GA30" i="32"/>
  <c r="GB30" i="32"/>
  <c r="GC30" i="32"/>
  <c r="AK126" i="25"/>
  <c r="J126" i="25"/>
  <c r="L126" i="25"/>
  <c r="P126" i="25"/>
  <c r="X126" i="25"/>
  <c r="AF126" i="25"/>
  <c r="AK125" i="25"/>
  <c r="P125" i="25"/>
  <c r="AA125" i="25"/>
  <c r="AI125" i="25"/>
  <c r="AK128" i="25"/>
  <c r="J128" i="25"/>
  <c r="H128" i="25"/>
  <c r="L128" i="25"/>
  <c r="P128" i="25"/>
  <c r="AF128" i="25"/>
  <c r="AK127" i="25"/>
  <c r="P127" i="25"/>
  <c r="AI127" i="25"/>
  <c r="AK130" i="25"/>
  <c r="J130" i="25"/>
  <c r="H130" i="25"/>
  <c r="L130" i="25"/>
  <c r="P130" i="25"/>
  <c r="AI130" i="25"/>
  <c r="AF130" i="25"/>
  <c r="AK129" i="25"/>
  <c r="P129" i="25"/>
  <c r="AF129" i="25"/>
  <c r="AI129" i="25"/>
  <c r="AK132" i="25"/>
  <c r="J132" i="25"/>
  <c r="L132" i="25"/>
  <c r="N132" i="25"/>
  <c r="P132" i="25"/>
  <c r="X132" i="25"/>
  <c r="AA132" i="25"/>
  <c r="AF132" i="25"/>
  <c r="H131" i="25"/>
  <c r="AK131" i="25"/>
  <c r="P131" i="25"/>
  <c r="X131" i="25"/>
  <c r="AF131" i="25"/>
  <c r="AI131" i="25"/>
  <c r="AK134" i="25"/>
  <c r="J134" i="25"/>
  <c r="H134" i="25"/>
  <c r="N134" i="25"/>
  <c r="P134" i="25"/>
  <c r="X134" i="25"/>
  <c r="AI134" i="25"/>
  <c r="H133" i="25"/>
  <c r="AK133" i="25"/>
  <c r="P133" i="25"/>
  <c r="R133" i="25"/>
  <c r="AI133" i="25"/>
  <c r="AF133" i="25"/>
  <c r="AK136" i="25"/>
  <c r="J136" i="25"/>
  <c r="H136" i="25"/>
  <c r="P136" i="25"/>
  <c r="X136" i="25"/>
  <c r="H135" i="25"/>
  <c r="AK135" i="25"/>
  <c r="P135" i="25"/>
  <c r="U135" i="25"/>
  <c r="AA135" i="25"/>
  <c r="AD135" i="25"/>
  <c r="AF135" i="25"/>
  <c r="AK138" i="25"/>
  <c r="J138" i="25"/>
  <c r="P138" i="25"/>
  <c r="AI138" i="25"/>
  <c r="AF138" i="25"/>
  <c r="AK137" i="25"/>
  <c r="P137" i="25"/>
  <c r="X137" i="25"/>
  <c r="AD137" i="25"/>
  <c r="AI137" i="25"/>
  <c r="AK140" i="25"/>
  <c r="J140" i="25"/>
  <c r="H140" i="25"/>
  <c r="L140" i="25"/>
  <c r="P140" i="25"/>
  <c r="AF140" i="25"/>
  <c r="L139" i="25"/>
  <c r="AK139" i="25"/>
  <c r="P139" i="25"/>
  <c r="AF139" i="25"/>
  <c r="AK142" i="25"/>
  <c r="J142" i="25"/>
  <c r="H142" i="25"/>
  <c r="L142" i="25"/>
  <c r="P142" i="25"/>
  <c r="AA142" i="25"/>
  <c r="AF142" i="25"/>
  <c r="AK141" i="25"/>
  <c r="P141" i="25"/>
  <c r="AF141" i="25"/>
  <c r="D73" i="32"/>
  <c r="E73" i="32"/>
  <c r="EB73" i="32" s="1"/>
  <c r="F73" i="32"/>
  <c r="G73" i="32"/>
  <c r="ED73" i="32" s="1"/>
  <c r="L73" i="32"/>
  <c r="M73" i="32"/>
  <c r="FD73" i="32" s="1"/>
  <c r="P73" i="32"/>
  <c r="Q73" i="32"/>
  <c r="EN73" i="32" s="1"/>
  <c r="R73" i="32"/>
  <c r="S73" i="32"/>
  <c r="EO73" i="32" s="1"/>
  <c r="U73" i="32"/>
  <c r="EL73" i="32" s="1"/>
  <c r="V73" i="32"/>
  <c r="W73" i="32"/>
  <c r="Y73" i="32"/>
  <c r="DK73" i="32" s="1"/>
  <c r="GG73" i="32" s="1"/>
  <c r="Z73" i="32"/>
  <c r="AB73" i="32"/>
  <c r="AC73" i="32"/>
  <c r="AD73" i="32"/>
  <c r="AK144" i="25" s="1"/>
  <c r="GJ73" i="32"/>
  <c r="J144" i="25"/>
  <c r="AG73" i="32"/>
  <c r="AH73" i="32"/>
  <c r="AI73" i="32"/>
  <c r="AN73" i="32"/>
  <c r="P144" i="25"/>
  <c r="X144" i="25"/>
  <c r="AA144" i="25"/>
  <c r="AF144" i="25"/>
  <c r="BA73" i="32"/>
  <c r="GM73" i="32" s="1"/>
  <c r="AK143" i="25"/>
  <c r="P143" i="25"/>
  <c r="BP73" i="32"/>
  <c r="BR73" i="32" s="1"/>
  <c r="X143" i="25" s="1"/>
  <c r="BV73" i="32"/>
  <c r="BW73" i="32" s="1"/>
  <c r="AF143" i="25" s="1"/>
  <c r="CA73" i="32"/>
  <c r="CB73" i="32"/>
  <c r="CC73" i="32"/>
  <c r="CD73" i="32"/>
  <c r="CE73" i="32"/>
  <c r="CF73" i="32"/>
  <c r="CG73" i="32"/>
  <c r="CN73" i="32"/>
  <c r="CQ73" i="32"/>
  <c r="CR73" i="32"/>
  <c r="CS73" i="32"/>
  <c r="DD73" i="32"/>
  <c r="DE73" i="32"/>
  <c r="DF73" i="32"/>
  <c r="DG73" i="32"/>
  <c r="DJ73" i="32"/>
  <c r="GF73" i="32" s="1"/>
  <c r="DL73" i="32"/>
  <c r="GH73" i="32" s="1"/>
  <c r="DW73" i="32"/>
  <c r="GW73" i="32" s="1"/>
  <c r="DX73" i="32"/>
  <c r="GX73" i="32" s="1"/>
  <c r="DY73" i="32"/>
  <c r="GY73" i="32" s="1"/>
  <c r="DZ73" i="32"/>
  <c r="GZ73" i="32" s="1"/>
  <c r="EF73" i="32"/>
  <c r="EG73" i="32"/>
  <c r="EI73" i="32"/>
  <c r="EJ73" i="32"/>
  <c r="ET73" i="32"/>
  <c r="EY73" i="32"/>
  <c r="EZ73" i="32"/>
  <c r="FA73" i="32"/>
  <c r="FB73" i="32"/>
  <c r="FF73" i="32"/>
  <c r="FG73" i="32"/>
  <c r="FH73" i="32"/>
  <c r="FI73" i="32"/>
  <c r="FJ73" i="32"/>
  <c r="FK73" i="32"/>
  <c r="FL73" i="32"/>
  <c r="FM73" i="32"/>
  <c r="FN73" i="32"/>
  <c r="FP73" i="32"/>
  <c r="FR73" i="32"/>
  <c r="FS73" i="32"/>
  <c r="FT73" i="32"/>
  <c r="FU73" i="32"/>
  <c r="FX73" i="32"/>
  <c r="FY73" i="32"/>
  <c r="FZ73" i="32"/>
  <c r="GA73" i="32"/>
  <c r="GB73" i="32"/>
  <c r="GC73" i="32"/>
  <c r="D74" i="32"/>
  <c r="E74" i="32"/>
  <c r="EB74" i="32" s="1"/>
  <c r="F74" i="32"/>
  <c r="G74" i="32"/>
  <c r="ED74" i="32" s="1"/>
  <c r="L74" i="32"/>
  <c r="M74" i="32"/>
  <c r="FD74" i="32" s="1"/>
  <c r="P74" i="32"/>
  <c r="Q74" i="32"/>
  <c r="EN74" i="32" s="1"/>
  <c r="R74" i="32"/>
  <c r="S74" i="32"/>
  <c r="EO74" i="32" s="1"/>
  <c r="U74" i="32"/>
  <c r="EL74" i="32" s="1"/>
  <c r="V74" i="32"/>
  <c r="EM74" i="32" s="1"/>
  <c r="W74" i="32"/>
  <c r="Y74" i="32"/>
  <c r="DK74" i="32" s="1"/>
  <c r="GG74" i="32" s="1"/>
  <c r="Z74" i="32"/>
  <c r="AB74" i="32"/>
  <c r="AC74" i="32"/>
  <c r="AD74" i="32"/>
  <c r="AK146" i="25" s="1"/>
  <c r="GJ74" i="32"/>
  <c r="AG74" i="32"/>
  <c r="H146" i="25" s="1"/>
  <c r="AH74" i="32"/>
  <c r="AI74" i="32"/>
  <c r="N146" i="25" s="1"/>
  <c r="AN74" i="32"/>
  <c r="P146" i="25"/>
  <c r="AA146" i="25"/>
  <c r="AI146" i="25"/>
  <c r="BA74" i="32"/>
  <c r="H145" i="25" s="1"/>
  <c r="AK145" i="25"/>
  <c r="P145" i="25"/>
  <c r="BP74" i="32"/>
  <c r="R145" i="25" s="1"/>
  <c r="BT74" i="32"/>
  <c r="AD145" i="25" s="1"/>
  <c r="BV74" i="32"/>
  <c r="BW74" i="32" s="1"/>
  <c r="AF145" i="25" s="1"/>
  <c r="CA74" i="32"/>
  <c r="CB74" i="32"/>
  <c r="CC74" i="32"/>
  <c r="CD74" i="32"/>
  <c r="CE74" i="32"/>
  <c r="CF74" i="32"/>
  <c r="CG74" i="32"/>
  <c r="CN74" i="32"/>
  <c r="CQ74" i="32"/>
  <c r="CS74" i="32"/>
  <c r="DD74" i="32"/>
  <c r="DE74" i="32"/>
  <c r="DF74" i="32"/>
  <c r="DG74" i="32"/>
  <c r="DJ74" i="32"/>
  <c r="GF74" i="32" s="1"/>
  <c r="DL74" i="32"/>
  <c r="GH74" i="32" s="1"/>
  <c r="DW74" i="32"/>
  <c r="GW74" i="32" s="1"/>
  <c r="DX74" i="32"/>
  <c r="GX74" i="32" s="1"/>
  <c r="DY74" i="32"/>
  <c r="GY74" i="32" s="1"/>
  <c r="DZ74" i="32"/>
  <c r="GZ74" i="32" s="1"/>
  <c r="EF74" i="32"/>
  <c r="EG74" i="32"/>
  <c r="EI74" i="32"/>
  <c r="EJ74" i="32"/>
  <c r="ET74" i="32"/>
  <c r="EY74" i="32"/>
  <c r="EZ74" i="32"/>
  <c r="FA74" i="32"/>
  <c r="FB74" i="32"/>
  <c r="FF74" i="32"/>
  <c r="FG74" i="32"/>
  <c r="FH74" i="32"/>
  <c r="FI74" i="32"/>
  <c r="FJ74" i="32"/>
  <c r="FK74" i="32"/>
  <c r="FL74" i="32"/>
  <c r="FM74" i="32"/>
  <c r="FN74" i="32"/>
  <c r="FP74" i="32"/>
  <c r="FR74" i="32"/>
  <c r="FS74" i="32"/>
  <c r="FT74" i="32"/>
  <c r="FU74" i="32"/>
  <c r="FX74" i="32"/>
  <c r="FY74" i="32"/>
  <c r="FZ74" i="32"/>
  <c r="GA74" i="32"/>
  <c r="GB74" i="32"/>
  <c r="GC74" i="32"/>
  <c r="D75" i="32"/>
  <c r="E75" i="32"/>
  <c r="EB75" i="32" s="1"/>
  <c r="F75" i="32"/>
  <c r="G75" i="32"/>
  <c r="ED75" i="32" s="1"/>
  <c r="L75" i="32"/>
  <c r="M75" i="32"/>
  <c r="FD75" i="32" s="1"/>
  <c r="P75" i="32"/>
  <c r="Q75" i="32"/>
  <c r="EN75" i="32" s="1"/>
  <c r="R75" i="32"/>
  <c r="S75" i="32"/>
  <c r="EO75" i="32" s="1"/>
  <c r="U75" i="32"/>
  <c r="EL75" i="32" s="1"/>
  <c r="V75" i="32"/>
  <c r="EM75" i="32" s="1"/>
  <c r="W75" i="32"/>
  <c r="X75" i="32" s="1"/>
  <c r="Y75" i="32"/>
  <c r="CR75" i="32" s="1"/>
  <c r="Z75" i="32"/>
  <c r="AB75" i="32"/>
  <c r="AC75" i="32"/>
  <c r="AD75" i="32"/>
  <c r="AK148" i="25" s="1"/>
  <c r="GJ75" i="32"/>
  <c r="J148" i="25"/>
  <c r="AG75" i="32"/>
  <c r="H148" i="25" s="1"/>
  <c r="AH75" i="32"/>
  <c r="AI75" i="32"/>
  <c r="N148" i="25" s="1"/>
  <c r="AN75" i="32"/>
  <c r="P148" i="25"/>
  <c r="AA148" i="25"/>
  <c r="AI148" i="25"/>
  <c r="BA75" i="32"/>
  <c r="J147" i="25" s="1"/>
  <c r="AK147" i="25"/>
  <c r="P147" i="25"/>
  <c r="BP75" i="32"/>
  <c r="BS75" i="32" s="1"/>
  <c r="AA147" i="25" s="1"/>
  <c r="BQ75" i="32"/>
  <c r="U147" i="25" s="1"/>
  <c r="BT75" i="32"/>
  <c r="AD147" i="25" s="1"/>
  <c r="BV75" i="32"/>
  <c r="BW75" i="32" s="1"/>
  <c r="AF147" i="25" s="1"/>
  <c r="CA75" i="32"/>
  <c r="CB75" i="32"/>
  <c r="CC75" i="32"/>
  <c r="CD75" i="32"/>
  <c r="CE75" i="32"/>
  <c r="CF75" i="32"/>
  <c r="CG75" i="32"/>
  <c r="CN75" i="32"/>
  <c r="CQ75" i="32"/>
  <c r="CS75" i="32"/>
  <c r="DD75" i="32"/>
  <c r="DE75" i="32"/>
  <c r="DF75" i="32"/>
  <c r="DG75" i="32"/>
  <c r="DJ75" i="32"/>
  <c r="GF75" i="32" s="1"/>
  <c r="DL75" i="32"/>
  <c r="GH75" i="32" s="1"/>
  <c r="DW75" i="32"/>
  <c r="GW75" i="32" s="1"/>
  <c r="DX75" i="32"/>
  <c r="GX75" i="32" s="1"/>
  <c r="DY75" i="32"/>
  <c r="GY75" i="32" s="1"/>
  <c r="DZ75" i="32"/>
  <c r="GZ75" i="32" s="1"/>
  <c r="EF75" i="32"/>
  <c r="EG75" i="32"/>
  <c r="EI75" i="32"/>
  <c r="EJ75" i="32"/>
  <c r="ET75" i="32"/>
  <c r="EY75" i="32"/>
  <c r="EZ75" i="32"/>
  <c r="FA75" i="32"/>
  <c r="FB75" i="32"/>
  <c r="FF75" i="32"/>
  <c r="FG75" i="32"/>
  <c r="FH75" i="32"/>
  <c r="FI75" i="32"/>
  <c r="FJ75" i="32"/>
  <c r="FK75" i="32"/>
  <c r="FL75" i="32"/>
  <c r="FM75" i="32"/>
  <c r="FN75" i="32"/>
  <c r="FP75" i="32"/>
  <c r="FR75" i="32"/>
  <c r="FS75" i="32"/>
  <c r="FT75" i="32"/>
  <c r="FU75" i="32"/>
  <c r="FX75" i="32"/>
  <c r="FY75" i="32"/>
  <c r="FZ75" i="32"/>
  <c r="GA75" i="32"/>
  <c r="GB75" i="32"/>
  <c r="GC75" i="32"/>
  <c r="D76" i="32"/>
  <c r="E76" i="32"/>
  <c r="EB76" i="32" s="1"/>
  <c r="F76" i="32"/>
  <c r="G76" i="32"/>
  <c r="ED76" i="32" s="1"/>
  <c r="L76" i="32"/>
  <c r="M76" i="32"/>
  <c r="FD76" i="32" s="1"/>
  <c r="P76" i="32"/>
  <c r="Q76" i="32"/>
  <c r="EN76" i="32" s="1"/>
  <c r="R76" i="32"/>
  <c r="S76" i="32"/>
  <c r="EO76" i="32" s="1"/>
  <c r="U76" i="32"/>
  <c r="V76" i="32"/>
  <c r="EM76" i="32" s="1"/>
  <c r="W76" i="32"/>
  <c r="X76" i="32" s="1"/>
  <c r="Y76" i="32"/>
  <c r="Z76" i="32"/>
  <c r="DK76" i="32" s="1"/>
  <c r="GG76" i="32" s="1"/>
  <c r="AB76" i="32"/>
  <c r="AC76" i="32"/>
  <c r="AD76" i="32"/>
  <c r="AK150" i="25" s="1"/>
  <c r="GJ76" i="32"/>
  <c r="J150" i="25"/>
  <c r="AG76" i="32"/>
  <c r="AH76" i="32"/>
  <c r="AI76" i="32"/>
  <c r="AN76" i="32"/>
  <c r="P150" i="25"/>
  <c r="X150" i="25"/>
  <c r="AF150" i="25"/>
  <c r="AI150" i="25"/>
  <c r="BA76" i="32"/>
  <c r="J149" i="25" s="1"/>
  <c r="AK149" i="25"/>
  <c r="P149" i="25"/>
  <c r="BP76" i="32"/>
  <c r="R149" i="25" s="1"/>
  <c r="BS76" i="32"/>
  <c r="AA149" i="25" s="1"/>
  <c r="BT76" i="32"/>
  <c r="BV76" i="32"/>
  <c r="BX76" i="32" s="1"/>
  <c r="CA76" i="32"/>
  <c r="CB76" i="32"/>
  <c r="CC76" i="32"/>
  <c r="CD76" i="32"/>
  <c r="CE76" i="32"/>
  <c r="CF76" i="32"/>
  <c r="CG76" i="32"/>
  <c r="CN76" i="32"/>
  <c r="CQ76" i="32"/>
  <c r="CR76" i="32"/>
  <c r="CS76" i="32"/>
  <c r="DD76" i="32"/>
  <c r="DE76" i="32"/>
  <c r="DF76" i="32"/>
  <c r="DG76" i="32"/>
  <c r="DJ76" i="32"/>
  <c r="GF76" i="32" s="1"/>
  <c r="DL76" i="32"/>
  <c r="GH76" i="32" s="1"/>
  <c r="DW76" i="32"/>
  <c r="GW76" i="32" s="1"/>
  <c r="DX76" i="32"/>
  <c r="GX76" i="32" s="1"/>
  <c r="DY76" i="32"/>
  <c r="GY76" i="32" s="1"/>
  <c r="DZ76" i="32"/>
  <c r="GZ76" i="32" s="1"/>
  <c r="EF76" i="32"/>
  <c r="EG76" i="32"/>
  <c r="EI76" i="32"/>
  <c r="EJ76" i="32"/>
  <c r="ET76" i="32"/>
  <c r="EY76" i="32"/>
  <c r="EZ76" i="32"/>
  <c r="FA76" i="32"/>
  <c r="FB76" i="32"/>
  <c r="FF76" i="32"/>
  <c r="FG76" i="32"/>
  <c r="FH76" i="32"/>
  <c r="FI76" i="32"/>
  <c r="FJ76" i="32"/>
  <c r="FK76" i="32"/>
  <c r="FL76" i="32"/>
  <c r="FM76" i="32"/>
  <c r="FN76" i="32"/>
  <c r="FP76" i="32"/>
  <c r="FR76" i="32"/>
  <c r="FS76" i="32"/>
  <c r="FT76" i="32"/>
  <c r="FU76" i="32"/>
  <c r="FX76" i="32"/>
  <c r="FY76" i="32"/>
  <c r="FZ76" i="32"/>
  <c r="GA76" i="32"/>
  <c r="GB76" i="32"/>
  <c r="GC76" i="32"/>
  <c r="D77" i="32"/>
  <c r="E77" i="32"/>
  <c r="EB77" i="32" s="1"/>
  <c r="F77" i="32"/>
  <c r="G77" i="32"/>
  <c r="ED77" i="32" s="1"/>
  <c r="L77" i="32"/>
  <c r="M77" i="32"/>
  <c r="FD77" i="32" s="1"/>
  <c r="P77" i="32"/>
  <c r="Q77" i="32"/>
  <c r="EN77" i="32" s="1"/>
  <c r="R77" i="32"/>
  <c r="S77" i="32"/>
  <c r="EO77" i="32" s="1"/>
  <c r="U77" i="32"/>
  <c r="V77" i="32"/>
  <c r="EM77" i="32" s="1"/>
  <c r="W77" i="32"/>
  <c r="X77" i="32" s="1"/>
  <c r="Y77" i="32"/>
  <c r="CR77" i="32" s="1"/>
  <c r="Z77" i="32"/>
  <c r="AB77" i="32"/>
  <c r="AC77" i="32"/>
  <c r="AD77" i="32"/>
  <c r="AK152" i="25" s="1"/>
  <c r="GJ77" i="32"/>
  <c r="J152" i="25"/>
  <c r="AG77" i="32"/>
  <c r="H152" i="25" s="1"/>
  <c r="AH77" i="32"/>
  <c r="AI77" i="32"/>
  <c r="N152" i="25" s="1"/>
  <c r="AN77" i="32"/>
  <c r="P152" i="25"/>
  <c r="X152" i="25"/>
  <c r="AF152" i="25"/>
  <c r="BA77" i="32"/>
  <c r="J151" i="25" s="1"/>
  <c r="AK151" i="25"/>
  <c r="P151" i="25"/>
  <c r="BP77" i="32"/>
  <c r="BQ77" i="32" s="1"/>
  <c r="U151" i="25" s="1"/>
  <c r="BV77" i="32"/>
  <c r="BW77" i="32" s="1"/>
  <c r="AF151" i="25" s="1"/>
  <c r="CA77" i="32"/>
  <c r="CB77" i="32"/>
  <c r="CC77" i="32"/>
  <c r="CD77" i="32"/>
  <c r="CE77" i="32"/>
  <c r="CF77" i="32"/>
  <c r="CG77" i="32"/>
  <c r="CN77" i="32"/>
  <c r="CQ77" i="32"/>
  <c r="CS77" i="32"/>
  <c r="DD77" i="32"/>
  <c r="DE77" i="32"/>
  <c r="DF77" i="32"/>
  <c r="DG77" i="32"/>
  <c r="DJ77" i="32"/>
  <c r="GF77" i="32" s="1"/>
  <c r="DL77" i="32"/>
  <c r="GH77" i="32" s="1"/>
  <c r="DW77" i="32"/>
  <c r="GW77" i="32" s="1"/>
  <c r="DX77" i="32"/>
  <c r="GX77" i="32" s="1"/>
  <c r="DY77" i="32"/>
  <c r="GY77" i="32" s="1"/>
  <c r="DZ77" i="32"/>
  <c r="GZ77" i="32" s="1"/>
  <c r="EF77" i="32"/>
  <c r="EG77" i="32"/>
  <c r="EI77" i="32"/>
  <c r="EJ77" i="32"/>
  <c r="ET77" i="32"/>
  <c r="EY77" i="32"/>
  <c r="EZ77" i="32"/>
  <c r="FA77" i="32"/>
  <c r="FB77" i="32"/>
  <c r="FF77" i="32"/>
  <c r="FG77" i="32"/>
  <c r="FH77" i="32"/>
  <c r="FI77" i="32"/>
  <c r="FJ77" i="32"/>
  <c r="FK77" i="32"/>
  <c r="FL77" i="32"/>
  <c r="FM77" i="32"/>
  <c r="FN77" i="32"/>
  <c r="FP77" i="32"/>
  <c r="FR77" i="32"/>
  <c r="FS77" i="32"/>
  <c r="FT77" i="32"/>
  <c r="FU77" i="32"/>
  <c r="FX77" i="32"/>
  <c r="FY77" i="32"/>
  <c r="FZ77" i="32"/>
  <c r="GA77" i="32"/>
  <c r="GB77" i="32"/>
  <c r="GC77" i="32"/>
  <c r="D78" i="32"/>
  <c r="E78" i="32"/>
  <c r="EB78" i="32" s="1"/>
  <c r="F78" i="32"/>
  <c r="G78" i="32"/>
  <c r="ED78" i="32" s="1"/>
  <c r="L78" i="32"/>
  <c r="M78" i="32"/>
  <c r="FD78" i="32" s="1"/>
  <c r="P78" i="32"/>
  <c r="Q78" i="32"/>
  <c r="EN78" i="32" s="1"/>
  <c r="R78" i="32"/>
  <c r="S78" i="32"/>
  <c r="EO78" i="32" s="1"/>
  <c r="U78" i="32"/>
  <c r="V78" i="32"/>
  <c r="EM78" i="32" s="1"/>
  <c r="W78" i="32"/>
  <c r="X78" i="32" s="1"/>
  <c r="Y78" i="32"/>
  <c r="Z78" i="32"/>
  <c r="DK78" i="32" s="1"/>
  <c r="GG78" i="32" s="1"/>
  <c r="AB78" i="32"/>
  <c r="AC78" i="32"/>
  <c r="AD78" i="32"/>
  <c r="AK154" i="25" s="1"/>
  <c r="GJ78" i="32"/>
  <c r="J154" i="25"/>
  <c r="AG78" i="32"/>
  <c r="H154" i="25" s="1"/>
  <c r="AH78" i="32"/>
  <c r="AI78" i="32"/>
  <c r="N154" i="25" s="1"/>
  <c r="AN78" i="32"/>
  <c r="P154" i="25"/>
  <c r="X154" i="25"/>
  <c r="BA78" i="32"/>
  <c r="J153" i="25" s="1"/>
  <c r="AK153" i="25"/>
  <c r="P153" i="25"/>
  <c r="BP78" i="32"/>
  <c r="BQ78" i="32"/>
  <c r="U153" i="25" s="1"/>
  <c r="BS78" i="32"/>
  <c r="AA153" i="25" s="1"/>
  <c r="BV78" i="32"/>
  <c r="BW78" i="32" s="1"/>
  <c r="AF153" i="25" s="1"/>
  <c r="CA78" i="32"/>
  <c r="CB78" i="32"/>
  <c r="CC78" i="32"/>
  <c r="CD78" i="32"/>
  <c r="CE78" i="32"/>
  <c r="CF78" i="32"/>
  <c r="CG78" i="32"/>
  <c r="CN78" i="32"/>
  <c r="CQ78" i="32"/>
  <c r="CS78" i="32"/>
  <c r="DD78" i="32"/>
  <c r="DE78" i="32"/>
  <c r="DF78" i="32"/>
  <c r="DG78" i="32"/>
  <c r="DJ78" i="32"/>
  <c r="GF78" i="32" s="1"/>
  <c r="DL78" i="32"/>
  <c r="GH78" i="32" s="1"/>
  <c r="DW78" i="32"/>
  <c r="GW78" i="32" s="1"/>
  <c r="DX78" i="32"/>
  <c r="GX78" i="32" s="1"/>
  <c r="DY78" i="32"/>
  <c r="GY78" i="32" s="1"/>
  <c r="DZ78" i="32"/>
  <c r="GZ78" i="32" s="1"/>
  <c r="EF78" i="32"/>
  <c r="EG78" i="32"/>
  <c r="EI78" i="32"/>
  <c r="EJ78" i="32"/>
  <c r="ET78" i="32"/>
  <c r="EY78" i="32"/>
  <c r="EZ78" i="32"/>
  <c r="FA78" i="32"/>
  <c r="FB78" i="32"/>
  <c r="FF78" i="32"/>
  <c r="FG78" i="32"/>
  <c r="FH78" i="32"/>
  <c r="FI78" i="32"/>
  <c r="FJ78" i="32"/>
  <c r="FK78" i="32"/>
  <c r="FL78" i="32"/>
  <c r="FM78" i="32"/>
  <c r="FN78" i="32"/>
  <c r="FP78" i="32"/>
  <c r="FR78" i="32"/>
  <c r="FS78" i="32"/>
  <c r="FT78" i="32"/>
  <c r="FU78" i="32"/>
  <c r="FX78" i="32"/>
  <c r="FY78" i="32"/>
  <c r="FZ78" i="32"/>
  <c r="GA78" i="32"/>
  <c r="GB78" i="32"/>
  <c r="GC78" i="32"/>
  <c r="DG3" i="30"/>
  <c r="DJ23" i="32" l="1"/>
  <c r="GF23" i="32" s="1"/>
  <c r="G87" i="25"/>
  <c r="T87" i="25"/>
  <c r="FD23" i="32"/>
  <c r="I87" i="25"/>
  <c r="FD30" i="32"/>
  <c r="I90" i="25"/>
  <c r="BW37" i="32"/>
  <c r="BY37" i="32"/>
  <c r="BT37" i="32"/>
  <c r="BU37" i="32"/>
  <c r="BW35" i="32"/>
  <c r="BY35" i="32"/>
  <c r="AW16" i="32"/>
  <c r="AX16" i="32"/>
  <c r="AY16" i="32"/>
  <c r="BY16" i="32" s="1"/>
  <c r="AQ16" i="32"/>
  <c r="BQ16" i="32" s="1"/>
  <c r="AU16" i="32"/>
  <c r="BU16" i="32" s="1"/>
  <c r="AQ21" i="32"/>
  <c r="AU21" i="32"/>
  <c r="BU21" i="32" s="1"/>
  <c r="BD14" i="32"/>
  <c r="BC14" i="32"/>
  <c r="AQ23" i="32"/>
  <c r="AU23" i="32"/>
  <c r="BU23" i="32" s="1"/>
  <c r="BC21" i="32"/>
  <c r="BD21" i="32"/>
  <c r="BC23" i="32"/>
  <c r="BD23" i="32"/>
  <c r="BC16" i="32"/>
  <c r="BD16" i="32"/>
  <c r="AW14" i="32"/>
  <c r="BW14" i="32" s="1"/>
  <c r="AX14" i="32"/>
  <c r="AY14" i="32"/>
  <c r="BY14" i="32" s="1"/>
  <c r="AY23" i="32"/>
  <c r="BY23" i="32" s="1"/>
  <c r="AW23" i="32"/>
  <c r="BW23" i="32" s="1"/>
  <c r="AX23" i="32"/>
  <c r="BX23" i="32" s="1"/>
  <c r="AT14" i="32"/>
  <c r="AU14" i="32"/>
  <c r="BU14" i="32" s="1"/>
  <c r="AY21" i="32"/>
  <c r="BY21" i="32" s="1"/>
  <c r="AW21" i="32"/>
  <c r="AX21" i="32"/>
  <c r="BE16" i="32"/>
  <c r="GM16" i="32" s="1"/>
  <c r="GJ37" i="32"/>
  <c r="GK37" i="32" s="1"/>
  <c r="BE14" i="32"/>
  <c r="GM14" i="32" s="1"/>
  <c r="BE21" i="32"/>
  <c r="GM21" i="32" s="1"/>
  <c r="GI28" i="32"/>
  <c r="GI37" i="32"/>
  <c r="GI30" i="32"/>
  <c r="DL23" i="32"/>
  <c r="GH23" i="32" s="1"/>
  <c r="GI35" i="32"/>
  <c r="AD125" i="25"/>
  <c r="AF127" i="25"/>
  <c r="AI126" i="25"/>
  <c r="X146" i="25"/>
  <c r="U130" i="25"/>
  <c r="R130" i="25"/>
  <c r="AD154" i="25"/>
  <c r="R154" i="25"/>
  <c r="DK77" i="32"/>
  <c r="GG77" i="32" s="1"/>
  <c r="BX73" i="32"/>
  <c r="N140" i="25"/>
  <c r="U148" i="25"/>
  <c r="R148" i="25"/>
  <c r="GK74" i="32"/>
  <c r="J146" i="25"/>
  <c r="AD144" i="25"/>
  <c r="R144" i="25"/>
  <c r="AA136" i="25"/>
  <c r="U129" i="25"/>
  <c r="R129" i="25"/>
  <c r="AI128" i="25"/>
  <c r="BR78" i="32"/>
  <c r="X153" i="25" s="1"/>
  <c r="R153" i="25"/>
  <c r="AM77" i="32"/>
  <c r="L152" i="25"/>
  <c r="BW76" i="32"/>
  <c r="AF149" i="25" s="1"/>
  <c r="BR75" i="32"/>
  <c r="X147" i="25" s="1"/>
  <c r="R147" i="25"/>
  <c r="X135" i="25"/>
  <c r="R135" i="25"/>
  <c r="L134" i="25"/>
  <c r="N130" i="25"/>
  <c r="AI149" i="25"/>
  <c r="BS73" i="32"/>
  <c r="AA143" i="25" s="1"/>
  <c r="R143" i="25"/>
  <c r="AD136" i="25"/>
  <c r="R136" i="25"/>
  <c r="GI76" i="32"/>
  <c r="H150" i="25"/>
  <c r="AD149" i="25"/>
  <c r="AL73" i="32"/>
  <c r="N144" i="25"/>
  <c r="U142" i="25"/>
  <c r="R142" i="25"/>
  <c r="AA137" i="25"/>
  <c r="AD128" i="25"/>
  <c r="R128" i="25"/>
  <c r="AI152" i="25"/>
  <c r="AM75" i="32"/>
  <c r="L148" i="25"/>
  <c r="AM73" i="32"/>
  <c r="L144" i="25"/>
  <c r="AD138" i="25"/>
  <c r="R138" i="25"/>
  <c r="AD132" i="25"/>
  <c r="R132" i="25"/>
  <c r="U127" i="25"/>
  <c r="R127" i="25"/>
  <c r="BT77" i="32"/>
  <c r="BR76" i="32"/>
  <c r="X149" i="25" s="1"/>
  <c r="U150" i="25"/>
  <c r="R150" i="25"/>
  <c r="DK75" i="32"/>
  <c r="GG75" i="32" s="1"/>
  <c r="BR74" i="32"/>
  <c r="X145" i="25" s="1"/>
  <c r="GI73" i="32"/>
  <c r="H144" i="25"/>
  <c r="AI141" i="25"/>
  <c r="U137" i="25"/>
  <c r="R137" i="25"/>
  <c r="N136" i="25"/>
  <c r="BS77" i="32"/>
  <c r="AA151" i="25" s="1"/>
  <c r="BQ76" i="32"/>
  <c r="U149" i="25" s="1"/>
  <c r="BQ74" i="32"/>
  <c r="U145" i="25" s="1"/>
  <c r="AD146" i="25"/>
  <c r="R146" i="25"/>
  <c r="U141" i="25"/>
  <c r="R141" i="25"/>
  <c r="N142" i="25"/>
  <c r="AI139" i="25"/>
  <c r="L136" i="25"/>
  <c r="AA131" i="25"/>
  <c r="R131" i="25"/>
  <c r="N128" i="25"/>
  <c r="AA152" i="25"/>
  <c r="N138" i="25"/>
  <c r="AD133" i="25"/>
  <c r="AA134" i="25"/>
  <c r="AM74" i="32"/>
  <c r="L146" i="25"/>
  <c r="AM78" i="32"/>
  <c r="L154" i="25"/>
  <c r="AF154" i="25"/>
  <c r="BR77" i="32"/>
  <c r="X151" i="25" s="1"/>
  <c r="R151" i="25"/>
  <c r="AL76" i="32"/>
  <c r="N150" i="25"/>
  <c r="AD140" i="25"/>
  <c r="R140" i="25"/>
  <c r="L138" i="25"/>
  <c r="AI136" i="25"/>
  <c r="X133" i="25"/>
  <c r="BX78" i="32"/>
  <c r="AI153" i="25" s="1"/>
  <c r="AI154" i="25"/>
  <c r="AD152" i="25"/>
  <c r="R152" i="25"/>
  <c r="AM76" i="32"/>
  <c r="L150" i="25"/>
  <c r="AF148" i="25"/>
  <c r="U139" i="25"/>
  <c r="R139" i="25"/>
  <c r="H138" i="25"/>
  <c r="AF136" i="25"/>
  <c r="U133" i="25"/>
  <c r="U134" i="25"/>
  <c r="R134" i="25"/>
  <c r="H132" i="25"/>
  <c r="AA130" i="25"/>
  <c r="N126" i="25"/>
  <c r="H126" i="25"/>
  <c r="U125" i="25"/>
  <c r="R125" i="25"/>
  <c r="AD126" i="25"/>
  <c r="R126" i="25"/>
  <c r="BX77" i="32"/>
  <c r="GI75" i="32"/>
  <c r="BS74" i="32"/>
  <c r="AF146" i="25"/>
  <c r="BQ73" i="32"/>
  <c r="U143" i="25" s="1"/>
  <c r="X142" i="25"/>
  <c r="AF137" i="25"/>
  <c r="AF134" i="25"/>
  <c r="U131" i="25"/>
  <c r="X130" i="25"/>
  <c r="AF125" i="25"/>
  <c r="CR78" i="32"/>
  <c r="GI77" i="32"/>
  <c r="AD139" i="25"/>
  <c r="AD127" i="25"/>
  <c r="BT78" i="32"/>
  <c r="AA150" i="25"/>
  <c r="X148" i="25"/>
  <c r="CR74" i="32"/>
  <c r="AA139" i="25"/>
  <c r="AA127" i="25"/>
  <c r="BX74" i="32"/>
  <c r="AI145" i="25" s="1"/>
  <c r="AI142" i="25"/>
  <c r="X139" i="25"/>
  <c r="AA138" i="25"/>
  <c r="X127" i="25"/>
  <c r="AA126" i="25"/>
  <c r="AA141" i="25"/>
  <c r="X138" i="25"/>
  <c r="AA129" i="25"/>
  <c r="BX75" i="32"/>
  <c r="AI147" i="25" s="1"/>
  <c r="BT73" i="32"/>
  <c r="AI144" i="25"/>
  <c r="X141" i="25"/>
  <c r="AA140" i="25"/>
  <c r="AI132" i="25"/>
  <c r="X129" i="25"/>
  <c r="AA128" i="25"/>
  <c r="GI74" i="32"/>
  <c r="X128" i="25"/>
  <c r="GK73" i="32"/>
  <c r="GK78" i="32"/>
  <c r="GI78" i="32"/>
  <c r="GK77" i="32"/>
  <c r="GK76" i="32"/>
  <c r="GK75" i="32"/>
  <c r="GK30" i="32"/>
  <c r="GK28" i="32"/>
  <c r="GK35" i="32"/>
  <c r="CJ77" i="32"/>
  <c r="CL77" i="32" s="1"/>
  <c r="DH77" i="32" s="1"/>
  <c r="S23" i="32"/>
  <c r="EO23" i="32" s="1"/>
  <c r="EQ23" i="32" s="1"/>
  <c r="ES23" i="32" s="1"/>
  <c r="CE30" i="32"/>
  <c r="Q23" i="32"/>
  <c r="EN23" i="32" s="1"/>
  <c r="EP23" i="32" s="1"/>
  <c r="BV14" i="32"/>
  <c r="CJ78" i="32"/>
  <c r="CL78" i="32" s="1"/>
  <c r="DH78" i="32" s="1"/>
  <c r="S30" i="32"/>
  <c r="EO30" i="32" s="1"/>
  <c r="EQ30" i="32" s="1"/>
  <c r="ES30" i="32" s="1"/>
  <c r="DZ23" i="32"/>
  <c r="GZ23" i="32" s="1"/>
  <c r="DY16" i="32"/>
  <c r="GY16" i="32" s="1"/>
  <c r="DY14" i="32"/>
  <c r="GY14" i="32" s="1"/>
  <c r="BP21" i="32"/>
  <c r="N153" i="25"/>
  <c r="CV77" i="32"/>
  <c r="DZ30" i="32"/>
  <c r="GZ30" i="32" s="1"/>
  <c r="DY30" i="32"/>
  <c r="GY30" i="32" s="1"/>
  <c r="DG30" i="32"/>
  <c r="DF30" i="32"/>
  <c r="BV30" i="32"/>
  <c r="BP30" i="32"/>
  <c r="CF30" i="32"/>
  <c r="CQ30" i="32"/>
  <c r="Q30" i="32"/>
  <c r="EN30" i="32" s="1"/>
  <c r="CS30" i="32"/>
  <c r="Y30" i="32"/>
  <c r="DL30" i="32"/>
  <c r="GH30" i="32" s="1"/>
  <c r="DJ30" i="32"/>
  <c r="GF30" i="32" s="1"/>
  <c r="DY28" i="32"/>
  <c r="GY28" i="32" s="1"/>
  <c r="DF28" i="32"/>
  <c r="DZ28" i="32"/>
  <c r="GZ28" i="32" s="1"/>
  <c r="DG28" i="32"/>
  <c r="BV28" i="32"/>
  <c r="BP28" i="32"/>
  <c r="DJ28" i="32"/>
  <c r="GF28" i="32" s="1"/>
  <c r="DL28" i="32"/>
  <c r="GH28" i="32" s="1"/>
  <c r="CQ28" i="32"/>
  <c r="Y28" i="32"/>
  <c r="DK28" i="32" s="1"/>
  <c r="GG28" i="32" s="1"/>
  <c r="CS28" i="32"/>
  <c r="CC28" i="32"/>
  <c r="P28" i="32"/>
  <c r="Q28" i="32" s="1"/>
  <c r="EN28" i="32" s="1"/>
  <c r="EP28" i="32" s="1"/>
  <c r="M28" i="32"/>
  <c r="FD28" i="32" s="1"/>
  <c r="R28" i="32"/>
  <c r="S28" i="32" s="1"/>
  <c r="EO28" i="32" s="1"/>
  <c r="EQ28" i="32" s="1"/>
  <c r="ES28" i="32" s="1"/>
  <c r="DF37" i="32"/>
  <c r="BQ37" i="32"/>
  <c r="BS37" i="32"/>
  <c r="BR37" i="32"/>
  <c r="CE37" i="32"/>
  <c r="CF37" i="32"/>
  <c r="R37" i="32"/>
  <c r="P37" i="32"/>
  <c r="L37" i="32"/>
  <c r="BX37" i="32"/>
  <c r="DF35" i="32"/>
  <c r="DY35" i="32"/>
  <c r="GY35" i="32" s="1"/>
  <c r="BP35" i="32"/>
  <c r="DZ35" i="32"/>
  <c r="GZ35" i="32" s="1"/>
  <c r="CE35" i="32"/>
  <c r="CF35" i="32"/>
  <c r="L35" i="32"/>
  <c r="R35" i="32"/>
  <c r="P35" i="32"/>
  <c r="DM35" i="32"/>
  <c r="BX35" i="32"/>
  <c r="BP14" i="32"/>
  <c r="DZ14" i="32"/>
  <c r="GZ14" i="32" s="1"/>
  <c r="DY21" i="32"/>
  <c r="GY21" i="32" s="1"/>
  <c r="BV23" i="32"/>
  <c r="Y23" i="32"/>
  <c r="DZ16" i="32"/>
  <c r="GZ16" i="32" s="1"/>
  <c r="BV16" i="32"/>
  <c r="BP16" i="32"/>
  <c r="DG16" i="32"/>
  <c r="DF16" i="32"/>
  <c r="AS16" i="32"/>
  <c r="DL16" i="32"/>
  <c r="GH16" i="32" s="1"/>
  <c r="CQ16" i="32"/>
  <c r="Y16" i="32"/>
  <c r="DK16" i="32" s="1"/>
  <c r="GG16" i="32" s="1"/>
  <c r="CS16" i="32"/>
  <c r="DJ16" i="32"/>
  <c r="GF16" i="32" s="1"/>
  <c r="S16" i="32"/>
  <c r="EO16" i="32" s="1"/>
  <c r="EQ16" i="32" s="1"/>
  <c r="ES16" i="32" s="1"/>
  <c r="CD16" i="32"/>
  <c r="CC16" i="32"/>
  <c r="M16" i="32"/>
  <c r="FD16" i="32" s="1"/>
  <c r="P16" i="32"/>
  <c r="Q16" i="32" s="1"/>
  <c r="EN16" i="32" s="1"/>
  <c r="EP16" i="32" s="1"/>
  <c r="AR16" i="32"/>
  <c r="BR16" i="32" s="1"/>
  <c r="DJ14" i="32"/>
  <c r="GF14" i="32" s="1"/>
  <c r="Y14" i="32"/>
  <c r="CR14" i="32" s="1"/>
  <c r="DL14" i="32"/>
  <c r="GH14" i="32" s="1"/>
  <c r="CS14" i="32"/>
  <c r="CQ14" i="32"/>
  <c r="R14" i="32"/>
  <c r="S14" i="32" s="1"/>
  <c r="EO14" i="32" s="1"/>
  <c r="P14" i="32"/>
  <c r="Q14" i="32" s="1"/>
  <c r="CJ14" i="32" s="1"/>
  <c r="CL14" i="32" s="1"/>
  <c r="DH14" i="32" s="1"/>
  <c r="M14" i="32"/>
  <c r="FD14" i="32" s="1"/>
  <c r="CD14" i="32"/>
  <c r="CF14" i="32" s="1"/>
  <c r="AS14" i="32"/>
  <c r="BS14" i="32" s="1"/>
  <c r="AR14" i="32"/>
  <c r="BR14" i="32" s="1"/>
  <c r="DY23" i="32"/>
  <c r="GY23" i="32" s="1"/>
  <c r="BP23" i="32"/>
  <c r="DG23" i="32"/>
  <c r="CE23" i="32"/>
  <c r="CS23" i="32"/>
  <c r="CQ23" i="32"/>
  <c r="CF23" i="32"/>
  <c r="AS23" i="32"/>
  <c r="AR23" i="32"/>
  <c r="BR23" i="32" s="1"/>
  <c r="DZ21" i="32"/>
  <c r="GZ21" i="32" s="1"/>
  <c r="BH21" i="32"/>
  <c r="BK21" i="32" s="1"/>
  <c r="DG21" i="32"/>
  <c r="DF21" i="32"/>
  <c r="BV21" i="32"/>
  <c r="BW21" i="32"/>
  <c r="EA74" i="32"/>
  <c r="EC74" i="32"/>
  <c r="EA35" i="32"/>
  <c r="EC35" i="32"/>
  <c r="EA23" i="32"/>
  <c r="EC23" i="32"/>
  <c r="EA77" i="32"/>
  <c r="EC77" i="32"/>
  <c r="EA37" i="32"/>
  <c r="EC37" i="32"/>
  <c r="AM35" i="32"/>
  <c r="EA75" i="32"/>
  <c r="EC75" i="32"/>
  <c r="BJ74" i="32"/>
  <c r="EA14" i="32"/>
  <c r="EC14" i="32"/>
  <c r="BM74" i="32"/>
  <c r="EA30" i="32"/>
  <c r="EC30" i="32"/>
  <c r="CH73" i="32"/>
  <c r="CO73" i="32" s="1"/>
  <c r="EA73" i="32"/>
  <c r="EC73" i="32"/>
  <c r="EA78" i="32"/>
  <c r="EC78" i="32"/>
  <c r="EA16" i="32"/>
  <c r="EC16" i="32"/>
  <c r="AK14" i="32"/>
  <c r="EA76" i="32"/>
  <c r="EC76" i="32"/>
  <c r="U138" i="25"/>
  <c r="EA28" i="32"/>
  <c r="EC28" i="32"/>
  <c r="R21" i="32"/>
  <c r="FG21" i="32" s="1"/>
  <c r="EB21" i="32"/>
  <c r="P21" i="32"/>
  <c r="FF21" i="32" s="1"/>
  <c r="EA21" i="32"/>
  <c r="FA21" i="32" s="1"/>
  <c r="EC21" i="32"/>
  <c r="EG21" i="32" s="1"/>
  <c r="L21" i="32"/>
  <c r="G89" i="25" s="1"/>
  <c r="M21" i="32"/>
  <c r="I89" i="25" s="1"/>
  <c r="AT21" i="32"/>
  <c r="AS21" i="32"/>
  <c r="BS21" i="32" s="1"/>
  <c r="AR21" i="32"/>
  <c r="BR21" i="32" s="1"/>
  <c r="BL30" i="32"/>
  <c r="AK30" i="32"/>
  <c r="DP30" i="32" s="1"/>
  <c r="GP30" i="32" s="1"/>
  <c r="CI77" i="32"/>
  <c r="CP77" i="32" s="1"/>
  <c r="J143" i="25"/>
  <c r="U128" i="25"/>
  <c r="CV28" i="32"/>
  <c r="AK28" i="32"/>
  <c r="DO28" i="32" s="1"/>
  <c r="GO28" i="32" s="1"/>
  <c r="BI16" i="32"/>
  <c r="BJ16" i="32" s="1"/>
  <c r="BH16" i="32"/>
  <c r="BK16" i="32" s="1"/>
  <c r="GM74" i="32"/>
  <c r="BI21" i="32"/>
  <c r="BL21" i="32" s="1"/>
  <c r="GM76" i="32"/>
  <c r="J145" i="25"/>
  <c r="L143" i="25"/>
  <c r="H141" i="25"/>
  <c r="J135" i="25"/>
  <c r="AK16" i="32"/>
  <c r="CH74" i="32"/>
  <c r="CO74" i="32" s="1"/>
  <c r="EQ78" i="32"/>
  <c r="ES78" i="32" s="1"/>
  <c r="H151" i="25"/>
  <c r="BJ37" i="32"/>
  <c r="DO35" i="32"/>
  <c r="GO35" i="32" s="1"/>
  <c r="BI14" i="32"/>
  <c r="BJ14" i="32" s="1"/>
  <c r="U154" i="25"/>
  <c r="EQ77" i="32"/>
  <c r="ES77" i="32" s="1"/>
  <c r="DM37" i="32"/>
  <c r="CI76" i="32"/>
  <c r="CP76" i="32" s="1"/>
  <c r="AK76" i="32"/>
  <c r="DP76" i="32" s="1"/>
  <c r="GP76" i="32" s="1"/>
  <c r="L141" i="25"/>
  <c r="J139" i="25"/>
  <c r="DM28" i="32"/>
  <c r="CW37" i="32"/>
  <c r="EQ74" i="32"/>
  <c r="EV74" i="32" s="1"/>
  <c r="EX74" i="32" s="1"/>
  <c r="GE74" i="32" s="1"/>
  <c r="J141" i="25"/>
  <c r="CT37" i="32"/>
  <c r="BJ35" i="32"/>
  <c r="BK35" i="32"/>
  <c r="CT76" i="32"/>
  <c r="EQ76" i="32"/>
  <c r="ES76" i="32" s="1"/>
  <c r="AJ75" i="32"/>
  <c r="CT28" i="32"/>
  <c r="BM37" i="32"/>
  <c r="AM37" i="32"/>
  <c r="EM14" i="32"/>
  <c r="AT23" i="32"/>
  <c r="AJ77" i="32"/>
  <c r="GM75" i="32"/>
  <c r="AK37" i="32"/>
  <c r="DP37" i="32" s="1"/>
  <c r="GP37" i="32" s="1"/>
  <c r="CW75" i="32"/>
  <c r="U136" i="25"/>
  <c r="CT30" i="32"/>
  <c r="CW35" i="32"/>
  <c r="CV78" i="32"/>
  <c r="DM78" i="32"/>
  <c r="AK78" i="32"/>
  <c r="DP78" i="32" s="1"/>
  <c r="GP78" i="32" s="1"/>
  <c r="CV76" i="32"/>
  <c r="H149" i="25"/>
  <c r="CJ76" i="32"/>
  <c r="CL76" i="32" s="1"/>
  <c r="DH76" i="32" s="1"/>
  <c r="CJ73" i="32"/>
  <c r="CL73" i="32" s="1"/>
  <c r="DH73" i="32" s="1"/>
  <c r="U140" i="25"/>
  <c r="U132" i="25"/>
  <c r="DP35" i="32"/>
  <c r="GP35" i="32" s="1"/>
  <c r="CT35" i="32"/>
  <c r="AM23" i="32"/>
  <c r="AK21" i="32"/>
  <c r="AJ78" i="32"/>
  <c r="U152" i="25"/>
  <c r="U146" i="25"/>
  <c r="X74" i="32"/>
  <c r="U144" i="25"/>
  <c r="X73" i="32"/>
  <c r="CW28" i="32"/>
  <c r="AQ14" i="32"/>
  <c r="BQ14" i="32" s="1"/>
  <c r="AK23" i="32"/>
  <c r="CT77" i="32"/>
  <c r="DM73" i="32"/>
  <c r="U126" i="25"/>
  <c r="X28" i="32"/>
  <c r="CI78" i="32"/>
  <c r="CP78" i="32" s="1"/>
  <c r="L153" i="25"/>
  <c r="CT78" i="32"/>
  <c r="GM77" i="32"/>
  <c r="AJ76" i="32"/>
  <c r="AK75" i="32"/>
  <c r="DO75" i="32" s="1"/>
  <c r="GO75" i="32" s="1"/>
  <c r="EP74" i="32"/>
  <c r="EP73" i="32"/>
  <c r="ER73" i="32" s="1"/>
  <c r="H137" i="25"/>
  <c r="L125" i="25"/>
  <c r="EL30" i="32"/>
  <c r="AM30" i="32"/>
  <c r="CV37" i="32"/>
  <c r="AT16" i="32"/>
  <c r="BH14" i="32"/>
  <c r="BM14" i="32" s="1"/>
  <c r="BG21" i="32"/>
  <c r="H153" i="25"/>
  <c r="AL77" i="32"/>
  <c r="CJ75" i="32"/>
  <c r="CL75" i="32" s="1"/>
  <c r="DH75" i="32" s="1"/>
  <c r="J137" i="25"/>
  <c r="H129" i="25"/>
  <c r="N127" i="25"/>
  <c r="H125" i="25"/>
  <c r="CV35" i="32"/>
  <c r="AM14" i="32"/>
  <c r="BF21" i="32"/>
  <c r="GM78" i="32"/>
  <c r="AK77" i="32"/>
  <c r="DP77" i="32" s="1"/>
  <c r="GP77" i="32" s="1"/>
  <c r="EQ75" i="32"/>
  <c r="EV75" i="32" s="1"/>
  <c r="EX75" i="32" s="1"/>
  <c r="GE75" i="32" s="1"/>
  <c r="CI75" i="32"/>
  <c r="CP75" i="32" s="1"/>
  <c r="EP75" i="32"/>
  <c r="ER75" i="32" s="1"/>
  <c r="AK74" i="32"/>
  <c r="DO74" i="32" s="1"/>
  <c r="GO74" i="32" s="1"/>
  <c r="AK73" i="32"/>
  <c r="DP73" i="32" s="1"/>
  <c r="GP73" i="32" s="1"/>
  <c r="CW30" i="32"/>
  <c r="BI23" i="32"/>
  <c r="BJ23" i="32" s="1"/>
  <c r="AL78" i="32"/>
  <c r="H127" i="25"/>
  <c r="BH23" i="32"/>
  <c r="BM23" i="32" s="1"/>
  <c r="CH76" i="32"/>
  <c r="CO76" i="32" s="1"/>
  <c r="CT75" i="32"/>
  <c r="DM75" i="32"/>
  <c r="CT73" i="32"/>
  <c r="CV73" i="32"/>
  <c r="CI73" i="32"/>
  <c r="CP73" i="32" s="1"/>
  <c r="CK73" i="32"/>
  <c r="CM73" i="32" s="1"/>
  <c r="DI73" i="32" s="1"/>
  <c r="CH77" i="32"/>
  <c r="CO77" i="32" s="1"/>
  <c r="EL78" i="32"/>
  <c r="EP78" i="32" s="1"/>
  <c r="CW78" i="32"/>
  <c r="EL77" i="32"/>
  <c r="EP77" i="32" s="1"/>
  <c r="DM77" i="32"/>
  <c r="CW77" i="32"/>
  <c r="EL76" i="32"/>
  <c r="EP76" i="32" s="1"/>
  <c r="DM76" i="32"/>
  <c r="CW76" i="32"/>
  <c r="CK75" i="32"/>
  <c r="CM75" i="32" s="1"/>
  <c r="DI75" i="32" s="1"/>
  <c r="EM73" i="32"/>
  <c r="EQ73" i="32" s="1"/>
  <c r="CH78" i="32"/>
  <c r="CO78" i="32" s="1"/>
  <c r="AL75" i="32"/>
  <c r="CV74" i="32"/>
  <c r="AL74" i="32"/>
  <c r="AJ74" i="32"/>
  <c r="CH75" i="32"/>
  <c r="CO75" i="32" s="1"/>
  <c r="CT74" i="32"/>
  <c r="CJ74" i="32"/>
  <c r="CL74" i="32" s="1"/>
  <c r="DH74" i="32" s="1"/>
  <c r="CI74" i="32"/>
  <c r="CP74" i="32" s="1"/>
  <c r="CK74" i="32"/>
  <c r="CM74" i="32" s="1"/>
  <c r="DI74" i="32" s="1"/>
  <c r="CK77" i="32"/>
  <c r="CM77" i="32" s="1"/>
  <c r="DI77" i="32" s="1"/>
  <c r="CK78" i="32"/>
  <c r="CM78" i="32" s="1"/>
  <c r="DI78" i="32" s="1"/>
  <c r="CK76" i="32"/>
  <c r="CM76" i="32" s="1"/>
  <c r="DI76" i="32" s="1"/>
  <c r="CV75" i="32"/>
  <c r="DM74" i="32"/>
  <c r="CW74" i="32"/>
  <c r="CW73" i="32"/>
  <c r="AJ73" i="32"/>
  <c r="N133" i="25"/>
  <c r="AJ21" i="32"/>
  <c r="AL21" i="32"/>
  <c r="AJ37" i="32"/>
  <c r="AL37" i="32"/>
  <c r="AJ23" i="32"/>
  <c r="AL23" i="32"/>
  <c r="J131" i="25"/>
  <c r="AJ30" i="32"/>
  <c r="AL30" i="32"/>
  <c r="AJ28" i="32"/>
  <c r="CB28" i="32"/>
  <c r="CB30" i="32"/>
  <c r="Y90" i="25" s="1"/>
  <c r="AJ14" i="32"/>
  <c r="AL14" i="32"/>
  <c r="AJ35" i="32"/>
  <c r="AL35" i="32"/>
  <c r="CV30" i="32"/>
  <c r="DM30" i="32"/>
  <c r="AJ16" i="32"/>
  <c r="AL16" i="32"/>
  <c r="CB37" i="32"/>
  <c r="BG16" i="32"/>
  <c r="BG14" i="32"/>
  <c r="BG23" i="32"/>
  <c r="BF16" i="32"/>
  <c r="BF14" i="32"/>
  <c r="BF23" i="32"/>
  <c r="DA28" i="32"/>
  <c r="CZ28" i="32"/>
  <c r="CI14" i="32" l="1"/>
  <c r="CP14" i="32" s="1"/>
  <c r="CK28" i="32"/>
  <c r="CM28" i="32" s="1"/>
  <c r="DI28" i="32" s="1"/>
  <c r="HB21" i="32"/>
  <c r="HB14" i="32"/>
  <c r="HB16" i="32"/>
  <c r="DK30" i="32"/>
  <c r="GG30" i="32" s="1"/>
  <c r="AD90" i="25"/>
  <c r="T89" i="25"/>
  <c r="CR23" i="32"/>
  <c r="AD87" i="25"/>
  <c r="BX14" i="32"/>
  <c r="BQ21" i="32"/>
  <c r="CI30" i="32"/>
  <c r="CP30" i="32" s="1"/>
  <c r="CH16" i="32"/>
  <c r="CO16" i="32" s="1"/>
  <c r="BQ28" i="32"/>
  <c r="BU28" i="32"/>
  <c r="BW28" i="32"/>
  <c r="BY28" i="32"/>
  <c r="BS30" i="32"/>
  <c r="BU30" i="32"/>
  <c r="BQ35" i="32"/>
  <c r="BU35" i="32"/>
  <c r="BW30" i="32"/>
  <c r="BY30" i="32"/>
  <c r="BQ23" i="32"/>
  <c r="CJ16" i="32"/>
  <c r="CL16" i="32" s="1"/>
  <c r="DH16" i="32" s="1"/>
  <c r="BT14" i="32"/>
  <c r="CZ77" i="32"/>
  <c r="CK30" i="32"/>
  <c r="CM30" i="32" s="1"/>
  <c r="DI30" i="32" s="1"/>
  <c r="BK74" i="32"/>
  <c r="DR74" i="32" s="1"/>
  <c r="GR74" i="32" s="1"/>
  <c r="EN14" i="32"/>
  <c r="EP14" i="32" s="1"/>
  <c r="ER14" i="32" s="1"/>
  <c r="EU14" i="32" s="1"/>
  <c r="EW14" i="32" s="1"/>
  <c r="GD14" i="32" s="1"/>
  <c r="CZ76" i="32"/>
  <c r="CK23" i="32"/>
  <c r="CM23" i="32" s="1"/>
  <c r="DI23" i="32" s="1"/>
  <c r="DA76" i="32"/>
  <c r="CZ73" i="32"/>
  <c r="DS78" i="32"/>
  <c r="GS78" i="32" s="1"/>
  <c r="BJ78" i="32"/>
  <c r="BL78" i="32"/>
  <c r="CH30" i="32"/>
  <c r="CO30" i="32" s="1"/>
  <c r="DA73" i="32"/>
  <c r="CI23" i="32"/>
  <c r="CP23" i="32" s="1"/>
  <c r="CH28" i="32"/>
  <c r="CO28" i="32" s="1"/>
  <c r="DP75" i="32"/>
  <c r="GP75" i="32" s="1"/>
  <c r="CZ74" i="32"/>
  <c r="EP30" i="32"/>
  <c r="ER30" i="32" s="1"/>
  <c r="ES74" i="32"/>
  <c r="CJ28" i="32"/>
  <c r="CL28" i="32" s="1"/>
  <c r="DH28" i="32" s="1"/>
  <c r="DA78" i="32"/>
  <c r="CJ30" i="32"/>
  <c r="CL30" i="32" s="1"/>
  <c r="DH30" i="32" s="1"/>
  <c r="EV78" i="32"/>
  <c r="EX78" i="32" s="1"/>
  <c r="GE78" i="32" s="1"/>
  <c r="CZ75" i="32"/>
  <c r="AD153" i="25"/>
  <c r="L137" i="25"/>
  <c r="N129" i="25"/>
  <c r="BM77" i="32"/>
  <c r="L151" i="25"/>
  <c r="AA133" i="25"/>
  <c r="AD150" i="25"/>
  <c r="AI151" i="25"/>
  <c r="AD148" i="25"/>
  <c r="BL76" i="32"/>
  <c r="N149" i="25"/>
  <c r="L131" i="25"/>
  <c r="AD131" i="25"/>
  <c r="AI143" i="25"/>
  <c r="N137" i="25"/>
  <c r="L135" i="25"/>
  <c r="AI135" i="25"/>
  <c r="J133" i="25"/>
  <c r="N141" i="25"/>
  <c r="J127" i="25"/>
  <c r="N139" i="25"/>
  <c r="GL75" i="32"/>
  <c r="H147" i="25"/>
  <c r="N131" i="25"/>
  <c r="GL74" i="32"/>
  <c r="L145" i="25"/>
  <c r="GL73" i="32"/>
  <c r="H143" i="25"/>
  <c r="AD129" i="25"/>
  <c r="AD151" i="25"/>
  <c r="J129" i="25"/>
  <c r="BM76" i="32"/>
  <c r="L149" i="25"/>
  <c r="BL75" i="32"/>
  <c r="N147" i="25"/>
  <c r="BL73" i="32"/>
  <c r="N143" i="25"/>
  <c r="H139" i="25"/>
  <c r="AD142" i="25"/>
  <c r="AD143" i="25"/>
  <c r="L127" i="25"/>
  <c r="BL77" i="32"/>
  <c r="N151" i="25"/>
  <c r="X140" i="25"/>
  <c r="AA145" i="25"/>
  <c r="AI140" i="25"/>
  <c r="AD130" i="25"/>
  <c r="L133" i="25"/>
  <c r="N135" i="25"/>
  <c r="AD134" i="25"/>
  <c r="L129" i="25"/>
  <c r="BM75" i="32"/>
  <c r="L147" i="25"/>
  <c r="BL74" i="32"/>
  <c r="DC74" i="32" s="1"/>
  <c r="N145" i="25"/>
  <c r="AA154" i="25"/>
  <c r="AD141" i="25"/>
  <c r="N125" i="25"/>
  <c r="X125" i="25"/>
  <c r="J125" i="25"/>
  <c r="EV77" i="32"/>
  <c r="EX77" i="32" s="1"/>
  <c r="GE77" i="32" s="1"/>
  <c r="GN76" i="32"/>
  <c r="BK77" i="32"/>
  <c r="DQ77" i="32" s="1"/>
  <c r="GQ77" i="32" s="1"/>
  <c r="GN74" i="32"/>
  <c r="DS75" i="32"/>
  <c r="GS75" i="32" s="1"/>
  <c r="GL78" i="32"/>
  <c r="GL77" i="32"/>
  <c r="GN75" i="32"/>
  <c r="GN77" i="32"/>
  <c r="CB23" i="32"/>
  <c r="Y87" i="25" s="1"/>
  <c r="GN73" i="32"/>
  <c r="GL76" i="32"/>
  <c r="DA77" i="32"/>
  <c r="GN78" i="32"/>
  <c r="DT75" i="32"/>
  <c r="GT75" i="32" s="1"/>
  <c r="CK14" i="32"/>
  <c r="CM14" i="32" s="1"/>
  <c r="DI14" i="32" s="1"/>
  <c r="CH23" i="32"/>
  <c r="CO23" i="32" s="1"/>
  <c r="BK14" i="32"/>
  <c r="CY74" i="32"/>
  <c r="DN78" i="32"/>
  <c r="BK75" i="32"/>
  <c r="DQ75" i="32" s="1"/>
  <c r="GQ75" i="32" s="1"/>
  <c r="CJ23" i="32"/>
  <c r="CL23" i="32" s="1"/>
  <c r="DH23" i="32" s="1"/>
  <c r="DN73" i="32"/>
  <c r="DN76" i="32"/>
  <c r="DT78" i="32"/>
  <c r="GT78" i="32" s="1"/>
  <c r="BX30" i="32"/>
  <c r="DK23" i="32"/>
  <c r="GG23" i="32" s="1"/>
  <c r="DA74" i="32"/>
  <c r="BW16" i="32"/>
  <c r="CU73" i="32"/>
  <c r="CX74" i="32"/>
  <c r="CR30" i="32"/>
  <c r="DE30" i="32"/>
  <c r="DX30" i="32"/>
  <c r="GX30" i="32" s="1"/>
  <c r="DO30" i="32"/>
  <c r="GO30" i="32" s="1"/>
  <c r="DD30" i="32"/>
  <c r="DW30" i="32"/>
  <c r="GW30" i="32" s="1"/>
  <c r="BQ30" i="32"/>
  <c r="BT30" i="32"/>
  <c r="BR30" i="32"/>
  <c r="EV30" i="32"/>
  <c r="EX30" i="32" s="1"/>
  <c r="GE30" i="32" s="1"/>
  <c r="BJ30" i="32"/>
  <c r="BX28" i="32"/>
  <c r="BR28" i="32"/>
  <c r="BS28" i="32"/>
  <c r="BT28" i="32"/>
  <c r="DE28" i="32"/>
  <c r="DX28" i="32"/>
  <c r="GX28" i="32" s="1"/>
  <c r="DD28" i="32"/>
  <c r="DW28" i="32"/>
  <c r="GW28" i="32" s="1"/>
  <c r="CR28" i="32"/>
  <c r="CI28" i="32"/>
  <c r="CP28" i="32" s="1"/>
  <c r="CE28" i="32"/>
  <c r="CF28" i="32"/>
  <c r="EV28" i="32"/>
  <c r="EX28" i="32" s="1"/>
  <c r="GE28" i="32" s="1"/>
  <c r="DW37" i="32"/>
  <c r="GW37" i="32" s="1"/>
  <c r="DD37" i="32"/>
  <c r="BL37" i="32"/>
  <c r="DX37" i="32"/>
  <c r="GX37" i="32" s="1"/>
  <c r="DE37" i="32"/>
  <c r="Y37" i="32"/>
  <c r="DJ37" i="32"/>
  <c r="GF37" i="32" s="1"/>
  <c r="DL37" i="32"/>
  <c r="GH37" i="32" s="1"/>
  <c r="CS37" i="32"/>
  <c r="CQ37" i="32"/>
  <c r="Q37" i="32"/>
  <c r="S37" i="32"/>
  <c r="DO37" i="32"/>
  <c r="GO37" i="32" s="1"/>
  <c r="CB35" i="32"/>
  <c r="BR35" i="32"/>
  <c r="BT35" i="32"/>
  <c r="BS35" i="32"/>
  <c r="DE35" i="32"/>
  <c r="DX35" i="32"/>
  <c r="GX35" i="32" s="1"/>
  <c r="Q35" i="32"/>
  <c r="S35" i="32"/>
  <c r="CQ35" i="32"/>
  <c r="CS35" i="32"/>
  <c r="Y35" i="32"/>
  <c r="DJ35" i="32"/>
  <c r="GF35" i="32" s="1"/>
  <c r="DL35" i="32"/>
  <c r="GH35" i="32" s="1"/>
  <c r="BL35" i="32"/>
  <c r="BT21" i="32"/>
  <c r="BX21" i="32"/>
  <c r="CB16" i="32"/>
  <c r="BX16" i="32"/>
  <c r="BS16" i="32"/>
  <c r="BT16" i="32"/>
  <c r="BL16" i="32"/>
  <c r="CI16" i="32"/>
  <c r="CP16" i="32" s="1"/>
  <c r="CR16" i="32"/>
  <c r="CF16" i="32"/>
  <c r="CE16" i="32"/>
  <c r="EV16" i="32"/>
  <c r="EX16" i="32" s="1"/>
  <c r="GE16" i="32" s="1"/>
  <c r="CK16" i="32"/>
  <c r="CM16" i="32" s="1"/>
  <c r="DI16" i="32" s="1"/>
  <c r="BM16" i="32"/>
  <c r="CB14" i="32"/>
  <c r="BL14" i="32"/>
  <c r="EQ14" i="32"/>
  <c r="ES14" i="32" s="1"/>
  <c r="CE14" i="32"/>
  <c r="CH14" i="32"/>
  <c r="CO14" i="32" s="1"/>
  <c r="DK14" i="32"/>
  <c r="GG14" i="32" s="1"/>
  <c r="BK23" i="32"/>
  <c r="BS23" i="32"/>
  <c r="BT23" i="32"/>
  <c r="EV23" i="32"/>
  <c r="EX23" i="32" s="1"/>
  <c r="GE23" i="32" s="1"/>
  <c r="CB21" i="32"/>
  <c r="Y89" i="25" s="1"/>
  <c r="BM21" i="32"/>
  <c r="BJ21" i="32"/>
  <c r="CZ78" i="32"/>
  <c r="CX73" i="32"/>
  <c r="FD21" i="32"/>
  <c r="Z21" i="32"/>
  <c r="S21" i="32"/>
  <c r="CK21" i="32" s="1"/>
  <c r="CM21" i="32" s="1"/>
  <c r="DI21" i="32" s="1"/>
  <c r="FH21" i="32"/>
  <c r="EF21" i="32"/>
  <c r="EZ21" i="32"/>
  <c r="FC21" i="32" s="1"/>
  <c r="I21" i="32" s="1"/>
  <c r="FY21" i="32"/>
  <c r="DL21" i="32"/>
  <c r="GH21" i="32" s="1"/>
  <c r="Y21" i="32"/>
  <c r="AD89" i="25" s="1"/>
  <c r="CC21" i="32"/>
  <c r="CQ21" i="32"/>
  <c r="CS21" i="32"/>
  <c r="CD21" i="32"/>
  <c r="Q21" i="32"/>
  <c r="CJ21" i="32" s="1"/>
  <c r="CL21" i="32" s="1"/>
  <c r="DH21" i="32" s="1"/>
  <c r="DJ21" i="32"/>
  <c r="GF21" i="32" s="1"/>
  <c r="CX75" i="32"/>
  <c r="BK37" i="32"/>
  <c r="BM35" i="32"/>
  <c r="DP28" i="32"/>
  <c r="GP28" i="32" s="1"/>
  <c r="CY73" i="32"/>
  <c r="DN74" i="32"/>
  <c r="BM73" i="32"/>
  <c r="CU74" i="32"/>
  <c r="DP74" i="32"/>
  <c r="GP74" i="32" s="1"/>
  <c r="EU75" i="32"/>
  <c r="EW75" i="32" s="1"/>
  <c r="GD75" i="32" s="1"/>
  <c r="BK76" i="32"/>
  <c r="DQ76" i="32" s="1"/>
  <c r="GQ76" i="32" s="1"/>
  <c r="BK73" i="32"/>
  <c r="CX76" i="32"/>
  <c r="CU76" i="32"/>
  <c r="BJ75" i="32"/>
  <c r="DO76" i="32"/>
  <c r="GO76" i="32" s="1"/>
  <c r="DS76" i="32"/>
  <c r="GS76" i="32" s="1"/>
  <c r="BJ77" i="32"/>
  <c r="ES75" i="32"/>
  <c r="DT76" i="32"/>
  <c r="GT76" i="32" s="1"/>
  <c r="CU78" i="32"/>
  <c r="DS77" i="32"/>
  <c r="GS77" i="32" s="1"/>
  <c r="EU73" i="32"/>
  <c r="EW73" i="32" s="1"/>
  <c r="GD73" i="32" s="1"/>
  <c r="CU75" i="32"/>
  <c r="EV76" i="32"/>
  <c r="EX76" i="32" s="1"/>
  <c r="GE76" i="32" s="1"/>
  <c r="DN75" i="32"/>
  <c r="DT77" i="32"/>
  <c r="GT77" i="32" s="1"/>
  <c r="BJ76" i="32"/>
  <c r="CZ30" i="32"/>
  <c r="DN77" i="32"/>
  <c r="BL23" i="32"/>
  <c r="CY75" i="32"/>
  <c r="BJ73" i="32"/>
  <c r="CY78" i="32"/>
  <c r="CY76" i="32"/>
  <c r="CX77" i="32"/>
  <c r="CY77" i="32"/>
  <c r="CU77" i="32"/>
  <c r="DO73" i="32"/>
  <c r="GO73" i="32" s="1"/>
  <c r="BM78" i="32"/>
  <c r="DC78" i="32" s="1"/>
  <c r="BK78" i="32"/>
  <c r="ER74" i="32"/>
  <c r="EU74" i="32"/>
  <c r="EW74" i="32" s="1"/>
  <c r="GD74" i="32" s="1"/>
  <c r="DO77" i="32"/>
  <c r="GO77" i="32" s="1"/>
  <c r="DO78" i="32"/>
  <c r="GO78" i="32" s="1"/>
  <c r="CX78" i="32"/>
  <c r="DS35" i="32"/>
  <c r="GS35" i="32" s="1"/>
  <c r="DT35" i="32"/>
  <c r="GT35" i="32" s="1"/>
  <c r="DA30" i="32"/>
  <c r="DS28" i="32"/>
  <c r="GS28" i="32" s="1"/>
  <c r="DT28" i="32"/>
  <c r="GT28" i="32" s="1"/>
  <c r="ER77" i="32"/>
  <c r="EU77" i="32"/>
  <c r="EW77" i="32" s="1"/>
  <c r="GD77" i="32" s="1"/>
  <c r="CZ35" i="32"/>
  <c r="DA35" i="32"/>
  <c r="EV73" i="32"/>
  <c r="EX73" i="32" s="1"/>
  <c r="GE73" i="32" s="1"/>
  <c r="ES73" i="32"/>
  <c r="ER28" i="32"/>
  <c r="EU28" i="32" s="1"/>
  <c r="EW28" i="32" s="1"/>
  <c r="GD28" i="32" s="1"/>
  <c r="DS30" i="32"/>
  <c r="GS30" i="32" s="1"/>
  <c r="DT30" i="32"/>
  <c r="GT30" i="32" s="1"/>
  <c r="ER23" i="32"/>
  <c r="EU23" i="32" s="1"/>
  <c r="EW23" i="32" s="1"/>
  <c r="GD23" i="32" s="1"/>
  <c r="ER16" i="32"/>
  <c r="EU16" i="32" s="1"/>
  <c r="EW16" i="32" s="1"/>
  <c r="GD16" i="32" s="1"/>
  <c r="BM30" i="32"/>
  <c r="BK30" i="32"/>
  <c r="BJ28" i="32"/>
  <c r="BL28" i="32"/>
  <c r="DA75" i="32"/>
  <c r="DS74" i="32"/>
  <c r="GS74" i="32" s="1"/>
  <c r="DT74" i="32"/>
  <c r="GT74" i="32" s="1"/>
  <c r="BK28" i="32"/>
  <c r="BM28" i="32"/>
  <c r="CZ37" i="32"/>
  <c r="DA37" i="32"/>
  <c r="ER78" i="32"/>
  <c r="EU78" i="32"/>
  <c r="EW78" i="32" s="1"/>
  <c r="GD78" i="32" s="1"/>
  <c r="DS37" i="32"/>
  <c r="GS37" i="32" s="1"/>
  <c r="DT37" i="32"/>
  <c r="GT37" i="32" s="1"/>
  <c r="DS73" i="32"/>
  <c r="GS73" i="32" s="1"/>
  <c r="DT73" i="32"/>
  <c r="GT73" i="32" s="1"/>
  <c r="ER76" i="32"/>
  <c r="EU76" i="32"/>
  <c r="EW76" i="32" s="1"/>
  <c r="GD76" i="32" s="1"/>
  <c r="AE9" i="25"/>
  <c r="AE10" i="25"/>
  <c r="AE11" i="25"/>
  <c r="AE12" i="25"/>
  <c r="AE13" i="25"/>
  <c r="AE14" i="25"/>
  <c r="AE15" i="25"/>
  <c r="AE16" i="25"/>
  <c r="AE17" i="25"/>
  <c r="DQ74" i="32" l="1"/>
  <c r="GQ74" i="32" s="1"/>
  <c r="DV74" i="32"/>
  <c r="GV74" i="32" s="1"/>
  <c r="DU74" i="32"/>
  <c r="GU74" i="32" s="1"/>
  <c r="DB75" i="32"/>
  <c r="DR77" i="32"/>
  <c r="GR77" i="32" s="1"/>
  <c r="EU30" i="32"/>
  <c r="EW30" i="32" s="1"/>
  <c r="GD30" i="32" s="1"/>
  <c r="DC73" i="32"/>
  <c r="DB73" i="32"/>
  <c r="DC75" i="32"/>
  <c r="DU75" i="32"/>
  <c r="GU75" i="32" s="1"/>
  <c r="DB77" i="32"/>
  <c r="DB74" i="32"/>
  <c r="DV77" i="32"/>
  <c r="GV77" i="32" s="1"/>
  <c r="DB76" i="32"/>
  <c r="DC76" i="32"/>
  <c r="DC77" i="32"/>
  <c r="DR76" i="32"/>
  <c r="GR76" i="32" s="1"/>
  <c r="DR75" i="32"/>
  <c r="GR75" i="32" s="1"/>
  <c r="DV75" i="32"/>
  <c r="GV75" i="32" s="1"/>
  <c r="EO37" i="32"/>
  <c r="EQ37" i="32" s="1"/>
  <c r="CI37" i="32"/>
  <c r="CP37" i="32" s="1"/>
  <c r="CK37" i="32"/>
  <c r="CM37" i="32" s="1"/>
  <c r="DI37" i="32" s="1"/>
  <c r="EN37" i="32"/>
  <c r="EP37" i="32" s="1"/>
  <c r="CJ37" i="32"/>
  <c r="CL37" i="32" s="1"/>
  <c r="DH37" i="32" s="1"/>
  <c r="CH37" i="32"/>
  <c r="CO37" i="32" s="1"/>
  <c r="CR37" i="32"/>
  <c r="DK37" i="32"/>
  <c r="GG37" i="32" s="1"/>
  <c r="DD35" i="32"/>
  <c r="DW35" i="32"/>
  <c r="GW35" i="32" s="1"/>
  <c r="CH35" i="32"/>
  <c r="CO35" i="32" s="1"/>
  <c r="CJ35" i="32"/>
  <c r="CL35" i="32" s="1"/>
  <c r="DH35" i="32" s="1"/>
  <c r="EN35" i="32"/>
  <c r="EP35" i="32" s="1"/>
  <c r="EO35" i="32"/>
  <c r="EQ35" i="32" s="1"/>
  <c r="CK35" i="32"/>
  <c r="CM35" i="32" s="1"/>
  <c r="DI35" i="32" s="1"/>
  <c r="CI35" i="32"/>
  <c r="CP35" i="32" s="1"/>
  <c r="DK35" i="32"/>
  <c r="GG35" i="32" s="1"/>
  <c r="CR35" i="32"/>
  <c r="EV14" i="32"/>
  <c r="EX14" i="32" s="1"/>
  <c r="GE14" i="32" s="1"/>
  <c r="CI21" i="32"/>
  <c r="CP21" i="32" s="1"/>
  <c r="EO21" i="32"/>
  <c r="EQ21" i="32" s="1"/>
  <c r="CR21" i="32"/>
  <c r="FM21" i="32"/>
  <c r="J21" i="32" s="1"/>
  <c r="CE21" i="32"/>
  <c r="FX21" i="32"/>
  <c r="FP21" i="32"/>
  <c r="K21" i="32" s="1"/>
  <c r="FR21" i="32"/>
  <c r="FE21" i="32"/>
  <c r="DK21" i="32"/>
  <c r="GG21" i="32" s="1"/>
  <c r="EN21" i="32"/>
  <c r="EP21" i="32" s="1"/>
  <c r="FT21" i="32" s="1"/>
  <c r="FU21" i="32" s="1"/>
  <c r="CH21" i="32"/>
  <c r="CO21" i="32" s="1"/>
  <c r="CF21" i="32"/>
  <c r="DR73" i="32"/>
  <c r="GR73" i="32" s="1"/>
  <c r="DQ73" i="32"/>
  <c r="GQ73" i="32" s="1"/>
  <c r="DU77" i="32"/>
  <c r="GU77" i="32" s="1"/>
  <c r="DU76" i="32"/>
  <c r="GU76" i="32" s="1"/>
  <c r="DV76" i="32"/>
  <c r="GV76" i="32" s="1"/>
  <c r="DB78" i="32"/>
  <c r="DV73" i="32"/>
  <c r="GV73" i="32" s="1"/>
  <c r="DU73" i="32"/>
  <c r="GU73" i="32" s="1"/>
  <c r="DV78" i="32"/>
  <c r="GV78" i="32" s="1"/>
  <c r="DQ78" i="32"/>
  <c r="GQ78" i="32" s="1"/>
  <c r="DU78" i="32"/>
  <c r="GU78" i="32" s="1"/>
  <c r="DR78" i="32"/>
  <c r="GR78" i="32" s="1"/>
  <c r="M8" i="27"/>
  <c r="M7" i="27"/>
  <c r="ER37" i="32" l="1"/>
  <c r="EU37" i="32" s="1"/>
  <c r="EW37" i="32" s="1"/>
  <c r="GD37" i="32" s="1"/>
  <c r="ES37" i="32"/>
  <c r="EV37" i="32" s="1"/>
  <c r="EX37" i="32" s="1"/>
  <c r="GE37" i="32" s="1"/>
  <c r="ES35" i="32"/>
  <c r="EV35" i="32" s="1"/>
  <c r="EX35" i="32" s="1"/>
  <c r="GE35" i="32" s="1"/>
  <c r="ER35" i="32"/>
  <c r="EU35" i="32" s="1"/>
  <c r="EW35" i="32" s="1"/>
  <c r="GD35" i="32" s="1"/>
  <c r="ES21" i="32"/>
  <c r="EV21" i="32" s="1"/>
  <c r="EX21" i="32" s="1"/>
  <c r="FI21" i="32"/>
  <c r="FN21" i="32" s="1"/>
  <c r="GA21" i="32"/>
  <c r="FZ21" i="32"/>
  <c r="ER21" i="32"/>
  <c r="EU21" i="32" s="1"/>
  <c r="EW21" i="32" s="1"/>
  <c r="GD21" i="32" s="1"/>
  <c r="FF40" i="32"/>
  <c r="FG40" i="32"/>
  <c r="FH40" i="32"/>
  <c r="FI40" i="32"/>
  <c r="FJ40" i="32"/>
  <c r="FK40" i="32"/>
  <c r="FL40" i="32"/>
  <c r="FM40" i="32"/>
  <c r="FN40" i="32"/>
  <c r="FP40" i="32"/>
  <c r="FR40" i="32"/>
  <c r="FS40" i="32"/>
  <c r="FT40" i="32"/>
  <c r="FU40" i="32"/>
  <c r="FX40" i="32"/>
  <c r="FY40" i="32"/>
  <c r="FZ40" i="32"/>
  <c r="GA40" i="32"/>
  <c r="GB40" i="32"/>
  <c r="GC40" i="32"/>
  <c r="FF27" i="32"/>
  <c r="FG27" i="32"/>
  <c r="FH27" i="32"/>
  <c r="FI27" i="32"/>
  <c r="FJ27" i="32"/>
  <c r="FK27" i="32"/>
  <c r="FL27" i="32"/>
  <c r="FM27" i="32"/>
  <c r="FN27" i="32"/>
  <c r="FP27" i="32"/>
  <c r="FR27" i="32"/>
  <c r="FS27" i="32"/>
  <c r="FT27" i="32"/>
  <c r="FU27" i="32"/>
  <c r="FX27" i="32"/>
  <c r="FY27" i="32"/>
  <c r="FZ27" i="32"/>
  <c r="GA27" i="32"/>
  <c r="GB27" i="32"/>
  <c r="GC27" i="32"/>
  <c r="FF29" i="32"/>
  <c r="FG29" i="32"/>
  <c r="FH29" i="32"/>
  <c r="FI29" i="32"/>
  <c r="FJ29" i="32"/>
  <c r="FK29" i="32"/>
  <c r="FL29" i="32"/>
  <c r="FM29" i="32"/>
  <c r="FN29" i="32"/>
  <c r="FP29" i="32"/>
  <c r="FR29" i="32"/>
  <c r="FS29" i="32"/>
  <c r="FT29" i="32"/>
  <c r="FU29" i="32"/>
  <c r="FX29" i="32"/>
  <c r="FY29" i="32"/>
  <c r="FZ29" i="32"/>
  <c r="GA29" i="32"/>
  <c r="GB29" i="32"/>
  <c r="GC29" i="32"/>
  <c r="FF31" i="32"/>
  <c r="FG31" i="32"/>
  <c r="FH31" i="32"/>
  <c r="FI31" i="32"/>
  <c r="FJ31" i="32"/>
  <c r="FK31" i="32"/>
  <c r="FL31" i="32"/>
  <c r="FM31" i="32"/>
  <c r="FN31" i="32"/>
  <c r="FP31" i="32"/>
  <c r="FR31" i="32"/>
  <c r="FS31" i="32"/>
  <c r="FT31" i="32"/>
  <c r="FU31" i="32"/>
  <c r="FX31" i="32"/>
  <c r="FY31" i="32"/>
  <c r="FZ31" i="32"/>
  <c r="GA31" i="32"/>
  <c r="GB31" i="32"/>
  <c r="GC31" i="32"/>
  <c r="FF32" i="32"/>
  <c r="FG32" i="32"/>
  <c r="FH32" i="32"/>
  <c r="FI32" i="32"/>
  <c r="FJ32" i="32"/>
  <c r="FK32" i="32"/>
  <c r="FL32" i="32"/>
  <c r="FM32" i="32"/>
  <c r="FN32" i="32"/>
  <c r="FP32" i="32"/>
  <c r="FR32" i="32"/>
  <c r="FS32" i="32"/>
  <c r="FT32" i="32"/>
  <c r="FU32" i="32"/>
  <c r="FX32" i="32"/>
  <c r="FY32" i="32"/>
  <c r="FZ32" i="32"/>
  <c r="GA32" i="32"/>
  <c r="GB32" i="32"/>
  <c r="GC32" i="32"/>
  <c r="FF33" i="32"/>
  <c r="FG33" i="32"/>
  <c r="FH33" i="32"/>
  <c r="FI33" i="32"/>
  <c r="FJ33" i="32"/>
  <c r="FK33" i="32"/>
  <c r="FL33" i="32"/>
  <c r="FM33" i="32"/>
  <c r="FN33" i="32"/>
  <c r="FP33" i="32"/>
  <c r="FR33" i="32"/>
  <c r="FS33" i="32"/>
  <c r="FT33" i="32"/>
  <c r="FU33" i="32"/>
  <c r="FX33" i="32"/>
  <c r="FY33" i="32"/>
  <c r="FZ33" i="32"/>
  <c r="GA33" i="32"/>
  <c r="GB33" i="32"/>
  <c r="GC33" i="32"/>
  <c r="FF41" i="32"/>
  <c r="FG41" i="32"/>
  <c r="FH41" i="32"/>
  <c r="FJ41" i="32"/>
  <c r="FK41" i="32"/>
  <c r="FF42" i="32"/>
  <c r="FG42" i="32"/>
  <c r="FH42" i="32"/>
  <c r="FJ42" i="32"/>
  <c r="FK42" i="32"/>
  <c r="FF43" i="32"/>
  <c r="FG43" i="32"/>
  <c r="FH43" i="32"/>
  <c r="FJ43" i="32"/>
  <c r="FK43" i="32"/>
  <c r="FF44" i="32"/>
  <c r="FG44" i="32"/>
  <c r="FH44" i="32"/>
  <c r="FJ44" i="32"/>
  <c r="FK44" i="32"/>
  <c r="FF45" i="32"/>
  <c r="FG45" i="32"/>
  <c r="FH45" i="32"/>
  <c r="FJ45" i="32"/>
  <c r="FK45" i="32"/>
  <c r="FF46" i="32"/>
  <c r="FG46" i="32"/>
  <c r="FH46" i="32"/>
  <c r="FJ46" i="32"/>
  <c r="FK46" i="32"/>
  <c r="FF47" i="32"/>
  <c r="FG47" i="32"/>
  <c r="FH47" i="32"/>
  <c r="FJ47" i="32"/>
  <c r="FK47" i="32"/>
  <c r="FF48" i="32"/>
  <c r="FG48" i="32"/>
  <c r="FH48" i="32"/>
  <c r="FJ48" i="32"/>
  <c r="FK48" i="32"/>
  <c r="FF49" i="32"/>
  <c r="FG49" i="32"/>
  <c r="FH49" i="32"/>
  <c r="FJ49" i="32"/>
  <c r="FK49" i="32"/>
  <c r="FF50" i="32"/>
  <c r="FG50" i="32"/>
  <c r="FH50" i="32"/>
  <c r="FJ50" i="32"/>
  <c r="FK50" i="32"/>
  <c r="FF51" i="32"/>
  <c r="FG51" i="32"/>
  <c r="FH51" i="32"/>
  <c r="FI51" i="32"/>
  <c r="FJ51" i="32"/>
  <c r="FK51" i="32"/>
  <c r="FL51" i="32"/>
  <c r="FM51" i="32"/>
  <c r="FN51" i="32"/>
  <c r="FP51" i="32"/>
  <c r="FR51" i="32"/>
  <c r="FS51" i="32"/>
  <c r="FT51" i="32"/>
  <c r="FU51" i="32"/>
  <c r="FX51" i="32"/>
  <c r="FY51" i="32"/>
  <c r="FZ51" i="32"/>
  <c r="GA51" i="32"/>
  <c r="GB51" i="32"/>
  <c r="GC51" i="32"/>
  <c r="FF52" i="32"/>
  <c r="FG52" i="32"/>
  <c r="FH52" i="32"/>
  <c r="FI52" i="32"/>
  <c r="FJ52" i="32"/>
  <c r="FK52" i="32"/>
  <c r="FL52" i="32"/>
  <c r="FM52" i="32"/>
  <c r="FN52" i="32"/>
  <c r="FP52" i="32"/>
  <c r="FR52" i="32"/>
  <c r="FS52" i="32"/>
  <c r="FT52" i="32"/>
  <c r="FU52" i="32"/>
  <c r="FX52" i="32"/>
  <c r="FY52" i="32"/>
  <c r="FZ52" i="32"/>
  <c r="GA52" i="32"/>
  <c r="GB52" i="32"/>
  <c r="GC52" i="32"/>
  <c r="FF53" i="32"/>
  <c r="FG53" i="32"/>
  <c r="FH53" i="32"/>
  <c r="FI53" i="32"/>
  <c r="FJ53" i="32"/>
  <c r="FK53" i="32"/>
  <c r="FL53" i="32"/>
  <c r="FM53" i="32"/>
  <c r="FN53" i="32"/>
  <c r="FP53" i="32"/>
  <c r="FR53" i="32"/>
  <c r="FS53" i="32"/>
  <c r="FT53" i="32"/>
  <c r="FU53" i="32"/>
  <c r="FX53" i="32"/>
  <c r="FY53" i="32"/>
  <c r="FZ53" i="32"/>
  <c r="GA53" i="32"/>
  <c r="GB53" i="32"/>
  <c r="GC53" i="32"/>
  <c r="FF54" i="32"/>
  <c r="FG54" i="32"/>
  <c r="FH54" i="32"/>
  <c r="FI54" i="32"/>
  <c r="FJ54" i="32"/>
  <c r="FK54" i="32"/>
  <c r="FL54" i="32"/>
  <c r="FM54" i="32"/>
  <c r="FN54" i="32"/>
  <c r="FP54" i="32"/>
  <c r="FR54" i="32"/>
  <c r="FS54" i="32"/>
  <c r="FT54" i="32"/>
  <c r="FU54" i="32"/>
  <c r="FX54" i="32"/>
  <c r="FY54" i="32"/>
  <c r="FZ54" i="32"/>
  <c r="GA54" i="32"/>
  <c r="GB54" i="32"/>
  <c r="GC54" i="32"/>
  <c r="FF55" i="32"/>
  <c r="FG55" i="32"/>
  <c r="FH55" i="32"/>
  <c r="FI55" i="32"/>
  <c r="FJ55" i="32"/>
  <c r="FK55" i="32"/>
  <c r="FL55" i="32"/>
  <c r="FM55" i="32"/>
  <c r="FN55" i="32"/>
  <c r="FP55" i="32"/>
  <c r="FR55" i="32"/>
  <c r="FS55" i="32"/>
  <c r="FT55" i="32"/>
  <c r="FU55" i="32"/>
  <c r="FX55" i="32"/>
  <c r="FY55" i="32"/>
  <c r="FZ55" i="32"/>
  <c r="GA55" i="32"/>
  <c r="GB55" i="32"/>
  <c r="GC55" i="32"/>
  <c r="FF56" i="32"/>
  <c r="FG56" i="32"/>
  <c r="FH56" i="32"/>
  <c r="FI56" i="32"/>
  <c r="FJ56" i="32"/>
  <c r="FK56" i="32"/>
  <c r="FL56" i="32"/>
  <c r="FM56" i="32"/>
  <c r="FN56" i="32"/>
  <c r="FP56" i="32"/>
  <c r="FR56" i="32"/>
  <c r="FS56" i="32"/>
  <c r="FT56" i="32"/>
  <c r="FU56" i="32"/>
  <c r="FX56" i="32"/>
  <c r="FY56" i="32"/>
  <c r="FZ56" i="32"/>
  <c r="GA56" i="32"/>
  <c r="GB56" i="32"/>
  <c r="GC56" i="32"/>
  <c r="FF57" i="32"/>
  <c r="FG57" i="32"/>
  <c r="FH57" i="32"/>
  <c r="FI57" i="32"/>
  <c r="FJ57" i="32"/>
  <c r="FK57" i="32"/>
  <c r="FL57" i="32"/>
  <c r="FM57" i="32"/>
  <c r="FN57" i="32"/>
  <c r="FP57" i="32"/>
  <c r="FR57" i="32"/>
  <c r="FS57" i="32"/>
  <c r="FT57" i="32"/>
  <c r="FU57" i="32"/>
  <c r="FX57" i="32"/>
  <c r="FY57" i="32"/>
  <c r="FZ57" i="32"/>
  <c r="GA57" i="32"/>
  <c r="GB57" i="32"/>
  <c r="GC57" i="32"/>
  <c r="FF58" i="32"/>
  <c r="FG58" i="32"/>
  <c r="FH58" i="32"/>
  <c r="FI58" i="32"/>
  <c r="FJ58" i="32"/>
  <c r="FK58" i="32"/>
  <c r="FL58" i="32"/>
  <c r="FM58" i="32"/>
  <c r="FN58" i="32"/>
  <c r="FP58" i="32"/>
  <c r="FR58" i="32"/>
  <c r="FS58" i="32"/>
  <c r="FT58" i="32"/>
  <c r="FU58" i="32"/>
  <c r="FX58" i="32"/>
  <c r="FY58" i="32"/>
  <c r="FZ58" i="32"/>
  <c r="GA58" i="32"/>
  <c r="GB58" i="32"/>
  <c r="GC58" i="32"/>
  <c r="FF59" i="32"/>
  <c r="FG59" i="32"/>
  <c r="FH59" i="32"/>
  <c r="FI59" i="32"/>
  <c r="FJ59" i="32"/>
  <c r="FK59" i="32"/>
  <c r="FL59" i="32"/>
  <c r="FM59" i="32"/>
  <c r="FN59" i="32"/>
  <c r="FP59" i="32"/>
  <c r="FR59" i="32"/>
  <c r="FS59" i="32"/>
  <c r="FT59" i="32"/>
  <c r="FU59" i="32"/>
  <c r="FX59" i="32"/>
  <c r="FY59" i="32"/>
  <c r="FZ59" i="32"/>
  <c r="GA59" i="32"/>
  <c r="GB59" i="32"/>
  <c r="GC59" i="32"/>
  <c r="FF60" i="32"/>
  <c r="FG60" i="32"/>
  <c r="FH60" i="32"/>
  <c r="FI60" i="32"/>
  <c r="FJ60" i="32"/>
  <c r="FK60" i="32"/>
  <c r="FL60" i="32"/>
  <c r="FM60" i="32"/>
  <c r="FN60" i="32"/>
  <c r="FP60" i="32"/>
  <c r="FR60" i="32"/>
  <c r="FS60" i="32"/>
  <c r="FT60" i="32"/>
  <c r="FU60" i="32"/>
  <c r="FX60" i="32"/>
  <c r="FY60" i="32"/>
  <c r="FZ60" i="32"/>
  <c r="GA60" i="32"/>
  <c r="GB60" i="32"/>
  <c r="GC60" i="32"/>
  <c r="FF79" i="32"/>
  <c r="FG79" i="32"/>
  <c r="FH79" i="32"/>
  <c r="FI79" i="32"/>
  <c r="FJ79" i="32"/>
  <c r="FK79" i="32"/>
  <c r="FL79" i="32"/>
  <c r="FM79" i="32"/>
  <c r="FN79" i="32"/>
  <c r="FP79" i="32"/>
  <c r="FR79" i="32"/>
  <c r="FS79" i="32"/>
  <c r="FT79" i="32"/>
  <c r="FU79" i="32"/>
  <c r="FX79" i="32"/>
  <c r="FY79" i="32"/>
  <c r="FZ79" i="32"/>
  <c r="GA79" i="32"/>
  <c r="GB79" i="32"/>
  <c r="GC79" i="32"/>
  <c r="FF80" i="32"/>
  <c r="FG80" i="32"/>
  <c r="FH80" i="32"/>
  <c r="FI80" i="32"/>
  <c r="FJ80" i="32"/>
  <c r="FK80" i="32"/>
  <c r="FL80" i="32"/>
  <c r="FM80" i="32"/>
  <c r="FN80" i="32"/>
  <c r="FP80" i="32"/>
  <c r="FR80" i="32"/>
  <c r="FS80" i="32"/>
  <c r="FT80" i="32"/>
  <c r="FU80" i="32"/>
  <c r="FX80" i="32"/>
  <c r="FY80" i="32"/>
  <c r="FZ80" i="32"/>
  <c r="GA80" i="32"/>
  <c r="GB80" i="32"/>
  <c r="GC80" i="32"/>
  <c r="FF81" i="32"/>
  <c r="FG81" i="32"/>
  <c r="FH81" i="32"/>
  <c r="FI81" i="32"/>
  <c r="FJ81" i="32"/>
  <c r="FK81" i="32"/>
  <c r="FL81" i="32"/>
  <c r="FM81" i="32"/>
  <c r="FN81" i="32"/>
  <c r="FP81" i="32"/>
  <c r="FR81" i="32"/>
  <c r="FS81" i="32"/>
  <c r="FT81" i="32"/>
  <c r="FU81" i="32"/>
  <c r="FX81" i="32"/>
  <c r="FY81" i="32"/>
  <c r="FZ81" i="32"/>
  <c r="GA81" i="32"/>
  <c r="GB81" i="32"/>
  <c r="GC81" i="32"/>
  <c r="FF82" i="32"/>
  <c r="FG82" i="32"/>
  <c r="FH82" i="32"/>
  <c r="FI82" i="32"/>
  <c r="FJ82" i="32"/>
  <c r="FK82" i="32"/>
  <c r="FL82" i="32"/>
  <c r="FM82" i="32"/>
  <c r="FN82" i="32"/>
  <c r="FP82" i="32"/>
  <c r="FR82" i="32"/>
  <c r="FS82" i="32"/>
  <c r="FT82" i="32"/>
  <c r="FU82" i="32"/>
  <c r="FX82" i="32"/>
  <c r="FY82" i="32"/>
  <c r="FZ82" i="32"/>
  <c r="GA82" i="32"/>
  <c r="GB82" i="32"/>
  <c r="GC82" i="32"/>
  <c r="FF83" i="32"/>
  <c r="FG83" i="32"/>
  <c r="FH83" i="32"/>
  <c r="FI83" i="32"/>
  <c r="FJ83" i="32"/>
  <c r="FK83" i="32"/>
  <c r="FL83" i="32"/>
  <c r="FM83" i="32"/>
  <c r="FN83" i="32"/>
  <c r="FP83" i="32"/>
  <c r="FR83" i="32"/>
  <c r="FS83" i="32"/>
  <c r="FT83" i="32"/>
  <c r="FU83" i="32"/>
  <c r="FX83" i="32"/>
  <c r="FY83" i="32"/>
  <c r="FZ83" i="32"/>
  <c r="GA83" i="32"/>
  <c r="GB83" i="32"/>
  <c r="GC83" i="32"/>
  <c r="EI40" i="32"/>
  <c r="EJ40" i="32"/>
  <c r="ET40" i="32"/>
  <c r="EL40" i="32"/>
  <c r="EM40" i="32"/>
  <c r="EY40" i="32"/>
  <c r="EZ40" i="32"/>
  <c r="FA40" i="32"/>
  <c r="FB40" i="32"/>
  <c r="EI27" i="32"/>
  <c r="EJ27" i="32"/>
  <c r="ET27" i="32"/>
  <c r="EL27" i="32"/>
  <c r="EM27" i="32"/>
  <c r="EY27" i="32"/>
  <c r="EZ27" i="32"/>
  <c r="FA27" i="32"/>
  <c r="FB27" i="32"/>
  <c r="EI29" i="32"/>
  <c r="EJ29" i="32"/>
  <c r="ET29" i="32"/>
  <c r="EL29" i="32"/>
  <c r="EM29" i="32"/>
  <c r="EY29" i="32"/>
  <c r="EZ29" i="32"/>
  <c r="FA29" i="32"/>
  <c r="FB29" i="32"/>
  <c r="EI31" i="32"/>
  <c r="EJ31" i="32"/>
  <c r="ET31" i="32"/>
  <c r="EL31" i="32"/>
  <c r="EM31" i="32"/>
  <c r="EY31" i="32"/>
  <c r="EZ31" i="32"/>
  <c r="FA31" i="32"/>
  <c r="FB31" i="32"/>
  <c r="EI32" i="32"/>
  <c r="EJ32" i="32"/>
  <c r="ET32" i="32"/>
  <c r="EL32" i="32"/>
  <c r="EM32" i="32"/>
  <c r="EY32" i="32"/>
  <c r="EZ32" i="32"/>
  <c r="FA32" i="32"/>
  <c r="FB32" i="32"/>
  <c r="EI33" i="32"/>
  <c r="EJ33" i="32"/>
  <c r="ET33" i="32"/>
  <c r="EL33" i="32"/>
  <c r="EM33" i="32"/>
  <c r="EY33" i="32"/>
  <c r="EZ33" i="32"/>
  <c r="FA33" i="32"/>
  <c r="FB33" i="32"/>
  <c r="EI41" i="32"/>
  <c r="EL41" i="32"/>
  <c r="EM41" i="32"/>
  <c r="EY41" i="32"/>
  <c r="FD41" i="32"/>
  <c r="EI42" i="32"/>
  <c r="EL42" i="32"/>
  <c r="EM42" i="32"/>
  <c r="EY42" i="32"/>
  <c r="FD42" i="32"/>
  <c r="EI43" i="32"/>
  <c r="EL43" i="32"/>
  <c r="EM43" i="32"/>
  <c r="EY43" i="32"/>
  <c r="FD43" i="32"/>
  <c r="ET44" i="32"/>
  <c r="EL44" i="32"/>
  <c r="EM44" i="32"/>
  <c r="EY44" i="32"/>
  <c r="FD44" i="32"/>
  <c r="EI45" i="32"/>
  <c r="EL45" i="32"/>
  <c r="EM45" i="32"/>
  <c r="EY45" i="32"/>
  <c r="FD45" i="32"/>
  <c r="EI46" i="32"/>
  <c r="EL46" i="32"/>
  <c r="EM46" i="32"/>
  <c r="EY46" i="32"/>
  <c r="FD46" i="32"/>
  <c r="EI47" i="32"/>
  <c r="EL47" i="32"/>
  <c r="EM47" i="32"/>
  <c r="EY47" i="32"/>
  <c r="FD47" i="32"/>
  <c r="EI48" i="32"/>
  <c r="EL48" i="32"/>
  <c r="EM48" i="32"/>
  <c r="EY48" i="32"/>
  <c r="FD48" i="32"/>
  <c r="EI49" i="32"/>
  <c r="EL49" i="32"/>
  <c r="EM49" i="32"/>
  <c r="EY49" i="32"/>
  <c r="FD49" i="32"/>
  <c r="EI50" i="32"/>
  <c r="EL50" i="32"/>
  <c r="EM50" i="32"/>
  <c r="EY50" i="32"/>
  <c r="FD50" i="32"/>
  <c r="EI51" i="32"/>
  <c r="EJ51" i="32"/>
  <c r="ET51" i="32"/>
  <c r="EL51" i="32"/>
  <c r="EM51" i="32"/>
  <c r="EY51" i="32"/>
  <c r="EZ51" i="32"/>
  <c r="FA51" i="32"/>
  <c r="FB51" i="32"/>
  <c r="EI52" i="32"/>
  <c r="EJ52" i="32"/>
  <c r="ET52" i="32"/>
  <c r="EL52" i="32"/>
  <c r="EM52" i="32"/>
  <c r="EY52" i="32"/>
  <c r="EZ52" i="32"/>
  <c r="FA52" i="32"/>
  <c r="FB52" i="32"/>
  <c r="EI53" i="32"/>
  <c r="EJ53" i="32"/>
  <c r="ET53" i="32"/>
  <c r="EL53" i="32"/>
  <c r="EM53" i="32"/>
  <c r="EY53" i="32"/>
  <c r="EZ53" i="32"/>
  <c r="FA53" i="32"/>
  <c r="FB53" i="32"/>
  <c r="EI54" i="32"/>
  <c r="EJ54" i="32"/>
  <c r="ET54" i="32"/>
  <c r="EL54" i="32"/>
  <c r="EM54" i="32"/>
  <c r="EY54" i="32"/>
  <c r="EZ54" i="32"/>
  <c r="FA54" i="32"/>
  <c r="FB54" i="32"/>
  <c r="EG40" i="32"/>
  <c r="EG27" i="32"/>
  <c r="EG29" i="32"/>
  <c r="EG31" i="32"/>
  <c r="EG32" i="32"/>
  <c r="EG33" i="32"/>
  <c r="EG51" i="32"/>
  <c r="EG52" i="32"/>
  <c r="EG53" i="32"/>
  <c r="EG54" i="32"/>
  <c r="EG55" i="32"/>
  <c r="EG56" i="32"/>
  <c r="EG57" i="32"/>
  <c r="EG58" i="32"/>
  <c r="EG59" i="32"/>
  <c r="EG60" i="32"/>
  <c r="EG79" i="32"/>
  <c r="EG80" i="32"/>
  <c r="EG81" i="32"/>
  <c r="EG82" i="32"/>
  <c r="EG83" i="32"/>
  <c r="EF40" i="32"/>
  <c r="EF27" i="32"/>
  <c r="EF29" i="32"/>
  <c r="EF31" i="32"/>
  <c r="EF32" i="32"/>
  <c r="EF33" i="32"/>
  <c r="EF51" i="32"/>
  <c r="EF52" i="32"/>
  <c r="EF53" i="32"/>
  <c r="EF54" i="32"/>
  <c r="EF55" i="32"/>
  <c r="EF56" i="32"/>
  <c r="EF57" i="32"/>
  <c r="EF58" i="32"/>
  <c r="EF59" i="32"/>
  <c r="EF60" i="32"/>
  <c r="EF79" i="32"/>
  <c r="EF80" i="32"/>
  <c r="EF81" i="32"/>
  <c r="EF82" i="32"/>
  <c r="EF83" i="32"/>
  <c r="FB41" i="32"/>
  <c r="FB42" i="32"/>
  <c r="FB43" i="32"/>
  <c r="FB44" i="32"/>
  <c r="FB45" i="32"/>
  <c r="FB46" i="32"/>
  <c r="FB47" i="32"/>
  <c r="FB48" i="32"/>
  <c r="FB49" i="32"/>
  <c r="FB50" i="32"/>
  <c r="EG47" i="32"/>
  <c r="EZ44" i="32"/>
  <c r="EF45" i="32"/>
  <c r="FA43" i="32"/>
  <c r="FA45" i="32"/>
  <c r="FA46" i="32"/>
  <c r="AK155" i="25"/>
  <c r="AK157" i="25"/>
  <c r="AK159" i="25"/>
  <c r="AK161" i="25"/>
  <c r="AK163" i="25"/>
  <c r="AD4" i="32"/>
  <c r="AD5" i="32"/>
  <c r="AD6" i="32"/>
  <c r="AD7" i="32"/>
  <c r="AD8" i="32"/>
  <c r="AD9" i="32"/>
  <c r="AD10" i="32"/>
  <c r="AD11" i="32"/>
  <c r="AD12" i="32"/>
  <c r="AD20" i="32"/>
  <c r="AD22" i="32"/>
  <c r="AD24" i="32"/>
  <c r="AD25" i="32"/>
  <c r="AD26" i="32"/>
  <c r="AD13" i="32"/>
  <c r="AD15" i="32"/>
  <c r="AD17" i="32"/>
  <c r="AD18" i="32"/>
  <c r="AD19" i="32"/>
  <c r="AD34" i="32"/>
  <c r="AD36" i="32"/>
  <c r="AD38" i="32"/>
  <c r="AD39" i="32"/>
  <c r="AD40" i="32"/>
  <c r="AD27" i="32"/>
  <c r="AD29" i="32"/>
  <c r="AD31" i="32"/>
  <c r="AD32" i="32"/>
  <c r="AD33" i="32"/>
  <c r="AD41" i="32"/>
  <c r="AD42" i="32"/>
  <c r="AD43" i="32"/>
  <c r="AD44" i="32"/>
  <c r="AD45" i="32"/>
  <c r="AD46" i="32"/>
  <c r="AD47" i="32"/>
  <c r="AD48" i="32"/>
  <c r="AD49" i="32"/>
  <c r="AD50" i="32"/>
  <c r="AD51" i="32"/>
  <c r="AD52" i="32"/>
  <c r="AD53" i="32"/>
  <c r="AD54" i="32"/>
  <c r="AD55" i="32"/>
  <c r="AD56" i="32"/>
  <c r="AD57" i="32"/>
  <c r="AD58" i="32"/>
  <c r="AD59" i="32"/>
  <c r="AD60" i="32"/>
  <c r="AD79" i="32"/>
  <c r="AK156" i="25" s="1"/>
  <c r="AD80" i="32"/>
  <c r="AK158" i="25" s="1"/>
  <c r="AD81" i="32"/>
  <c r="AK160" i="25" s="1"/>
  <c r="AD82" i="32"/>
  <c r="AK162" i="25" s="1"/>
  <c r="AD83" i="32"/>
  <c r="AK164" i="25" s="1"/>
  <c r="GB21" i="32" l="1"/>
  <c r="GC21" i="32" s="1"/>
  <c r="GE21" i="32" s="1"/>
  <c r="FQ21" i="32"/>
  <c r="FS21" i="32" s="1"/>
  <c r="EG45" i="32"/>
  <c r="FL48" i="32"/>
  <c r="EZ46" i="32"/>
  <c r="FM46" i="32" s="1"/>
  <c r="J46" i="32" s="1"/>
  <c r="FA48" i="32"/>
  <c r="EF48" i="32"/>
  <c r="FX48" i="32" s="1"/>
  <c r="EG46" i="32"/>
  <c r="EG50" i="32"/>
  <c r="EG42" i="32"/>
  <c r="FA47" i="32"/>
  <c r="EZ47" i="32"/>
  <c r="FA49" i="32"/>
  <c r="FA41" i="32"/>
  <c r="FL46" i="32"/>
  <c r="EF49" i="32"/>
  <c r="FX49" i="32" s="1"/>
  <c r="EF41" i="32"/>
  <c r="FX41" i="32" s="1"/>
  <c r="EG48" i="32"/>
  <c r="FL42" i="32"/>
  <c r="FL41" i="32"/>
  <c r="FL44" i="32"/>
  <c r="EG49" i="32"/>
  <c r="EG41" i="32"/>
  <c r="FL45" i="32"/>
  <c r="EJ44" i="32"/>
  <c r="FL43" i="32"/>
  <c r="FA44" i="32"/>
  <c r="EI44" i="32"/>
  <c r="ET49" i="32"/>
  <c r="FA50" i="32"/>
  <c r="FA42" i="32"/>
  <c r="EZ43" i="32"/>
  <c r="FP43" i="32" s="1"/>
  <c r="K43" i="32" s="1"/>
  <c r="EG44" i="32"/>
  <c r="EF50" i="32"/>
  <c r="FX50" i="32" s="1"/>
  <c r="EF42" i="32"/>
  <c r="FX42" i="32" s="1"/>
  <c r="EG43" i="32"/>
  <c r="FL50" i="32"/>
  <c r="FX45" i="32"/>
  <c r="EF47" i="32"/>
  <c r="FX47" i="32" s="1"/>
  <c r="EZ45" i="32"/>
  <c r="FM45" i="32" s="1"/>
  <c r="J45" i="32" s="1"/>
  <c r="EZ42" i="32"/>
  <c r="FL49" i="32"/>
  <c r="EF46" i="32"/>
  <c r="FX46" i="32" s="1"/>
  <c r="EZ50" i="32"/>
  <c r="ET45" i="32"/>
  <c r="EZ41" i="32"/>
  <c r="EF44" i="32"/>
  <c r="EZ48" i="32"/>
  <c r="EF43" i="32"/>
  <c r="FX43" i="32" s="1"/>
  <c r="EJ48" i="32"/>
  <c r="ET41" i="32"/>
  <c r="ET48" i="32"/>
  <c r="FL47" i="32"/>
  <c r="EZ49" i="32"/>
  <c r="ET50" i="32"/>
  <c r="EJ49" i="32"/>
  <c r="ET46" i="32"/>
  <c r="EJ45" i="32"/>
  <c r="ET42" i="32"/>
  <c r="EJ41" i="32"/>
  <c r="EJ50" i="32"/>
  <c r="ET47" i="32"/>
  <c r="EJ46" i="32"/>
  <c r="ET43" i="32"/>
  <c r="EJ42" i="32"/>
  <c r="EJ47" i="32"/>
  <c r="FY47" i="32" s="1"/>
  <c r="EJ43" i="32"/>
  <c r="AI6" i="41"/>
  <c r="AL6" i="41" s="1"/>
  <c r="AI9" i="41"/>
  <c r="AL9" i="41" s="1"/>
  <c r="AI10" i="41"/>
  <c r="AI11" i="41"/>
  <c r="AI12" i="41"/>
  <c r="AI13" i="41"/>
  <c r="AI14" i="41"/>
  <c r="FY46" i="32" l="1"/>
  <c r="FM41" i="32"/>
  <c r="J41" i="32" s="1"/>
  <c r="FY49" i="32"/>
  <c r="FC49" i="32"/>
  <c r="I49" i="32" s="1"/>
  <c r="FE49" i="32" s="1"/>
  <c r="FI49" i="32" s="1"/>
  <c r="FY50" i="32"/>
  <c r="FC50" i="32"/>
  <c r="I50" i="32" s="1"/>
  <c r="FE50" i="32" s="1"/>
  <c r="FI50" i="32" s="1"/>
  <c r="FN50" i="32" s="1"/>
  <c r="FC41" i="32"/>
  <c r="I41" i="32" s="1"/>
  <c r="FE41" i="32" s="1"/>
  <c r="FI41" i="32" s="1"/>
  <c r="FC48" i="32"/>
  <c r="I48" i="32" s="1"/>
  <c r="FE48" i="32" s="1"/>
  <c r="FC46" i="32"/>
  <c r="I46" i="32" s="1"/>
  <c r="FE46" i="32" s="1"/>
  <c r="FI46" i="32" s="1"/>
  <c r="FC42" i="32"/>
  <c r="I42" i="32" s="1"/>
  <c r="FE42" i="32" s="1"/>
  <c r="FI42" i="32" s="1"/>
  <c r="FC47" i="32"/>
  <c r="I47" i="32" s="1"/>
  <c r="FE47" i="32" s="1"/>
  <c r="FI47" i="32" s="1"/>
  <c r="FC43" i="32"/>
  <c r="I43" i="32" s="1"/>
  <c r="FE43" i="32" s="1"/>
  <c r="FI43" i="32" s="1"/>
  <c r="FC45" i="32"/>
  <c r="I45" i="32" s="1"/>
  <c r="FE45" i="32" s="1"/>
  <c r="FI45" i="32" s="1"/>
  <c r="FP44" i="32"/>
  <c r="K44" i="32" s="1"/>
  <c r="FC44" i="32"/>
  <c r="I44" i="32" s="1"/>
  <c r="FE44" i="32" s="1"/>
  <c r="FI44" i="32" s="1"/>
  <c r="FY45" i="32"/>
  <c r="FY44" i="32"/>
  <c r="FM44" i="32"/>
  <c r="J44" i="32" s="1"/>
  <c r="FP46" i="32"/>
  <c r="K46" i="32" s="1"/>
  <c r="FY42" i="32"/>
  <c r="FY48" i="32"/>
  <c r="FM47" i="32"/>
  <c r="J47" i="32" s="1"/>
  <c r="FP47" i="32"/>
  <c r="K47" i="32" s="1"/>
  <c r="FY43" i="32"/>
  <c r="FX44" i="32"/>
  <c r="FY41" i="32"/>
  <c r="FM43" i="32"/>
  <c r="J43" i="32" s="1"/>
  <c r="FP41" i="32"/>
  <c r="K41" i="32" s="1"/>
  <c r="FM42" i="32"/>
  <c r="J42" i="32" s="1"/>
  <c r="FP48" i="32"/>
  <c r="K48" i="32" s="1"/>
  <c r="FP42" i="32"/>
  <c r="K42" i="32" s="1"/>
  <c r="FM50" i="32"/>
  <c r="J50" i="32" s="1"/>
  <c r="FP50" i="32"/>
  <c r="K50" i="32" s="1"/>
  <c r="FM48" i="32"/>
  <c r="J48" i="32" s="1"/>
  <c r="FP45" i="32"/>
  <c r="K45" i="32" s="1"/>
  <c r="FM49" i="32"/>
  <c r="J49" i="32" s="1"/>
  <c r="FP49" i="32"/>
  <c r="K49" i="32" s="1"/>
  <c r="FQ50" i="32" l="1"/>
  <c r="FN42" i="32"/>
  <c r="FI48" i="32"/>
  <c r="FN48" i="32" s="1"/>
  <c r="FQ42" i="32"/>
  <c r="FQ44" i="32"/>
  <c r="FN47" i="32"/>
  <c r="FQ47" i="32"/>
  <c r="FN49" i="32"/>
  <c r="FQ49" i="32"/>
  <c r="FN41" i="32"/>
  <c r="FQ41" i="32"/>
  <c r="FN43" i="32"/>
  <c r="FQ43" i="32"/>
  <c r="FN45" i="32"/>
  <c r="FQ45" i="32"/>
  <c r="FN46" i="32"/>
  <c r="FQ46" i="32"/>
  <c r="FN44" i="32"/>
  <c r="FQ48" i="32" l="1"/>
  <c r="GB3" i="32"/>
  <c r="GB4" i="32"/>
  <c r="GB5" i="32"/>
  <c r="GB6" i="32"/>
  <c r="GB7" i="32"/>
  <c r="GB8" i="32"/>
  <c r="GB9" i="32"/>
  <c r="GB10" i="32"/>
  <c r="GB11" i="32"/>
  <c r="GB12" i="32"/>
  <c r="GB20" i="32"/>
  <c r="GB22" i="32"/>
  <c r="GB24" i="32"/>
  <c r="GB25" i="32"/>
  <c r="GB26" i="32"/>
  <c r="GB13" i="32"/>
  <c r="GB15" i="32"/>
  <c r="GB17" i="32"/>
  <c r="GB18" i="32"/>
  <c r="GB19" i="32"/>
  <c r="GB34" i="32"/>
  <c r="GB36" i="32"/>
  <c r="GB38" i="32"/>
  <c r="GB39" i="32"/>
  <c r="FU3" i="32"/>
  <c r="FU4" i="32"/>
  <c r="FU5" i="32"/>
  <c r="FU6" i="32"/>
  <c r="FU7" i="32"/>
  <c r="FU8" i="32"/>
  <c r="FU9" i="32"/>
  <c r="FU10" i="32"/>
  <c r="FU11" i="32"/>
  <c r="FU12" i="32"/>
  <c r="FU20" i="32"/>
  <c r="FU22" i="32"/>
  <c r="FU24" i="32"/>
  <c r="FU25" i="32"/>
  <c r="FU26" i="32"/>
  <c r="FU13" i="32"/>
  <c r="FU15" i="32"/>
  <c r="FU17" i="32"/>
  <c r="FU18" i="32"/>
  <c r="FU19" i="32"/>
  <c r="FU34" i="32"/>
  <c r="FU36" i="32"/>
  <c r="FU38" i="32"/>
  <c r="FU39" i="32"/>
  <c r="FR3" i="32"/>
  <c r="FR4" i="32"/>
  <c r="FR5" i="32"/>
  <c r="FR6" i="32"/>
  <c r="FR7" i="32"/>
  <c r="FR8" i="32"/>
  <c r="FR9" i="32"/>
  <c r="FR10" i="32"/>
  <c r="FR11" i="32"/>
  <c r="FR12" i="32"/>
  <c r="FR20" i="32"/>
  <c r="FR22" i="32"/>
  <c r="FR24" i="32"/>
  <c r="FR25" i="32"/>
  <c r="FR26" i="32"/>
  <c r="FR13" i="32"/>
  <c r="FR15" i="32"/>
  <c r="FR17" i="32"/>
  <c r="FR18" i="32"/>
  <c r="FR19" i="32"/>
  <c r="FR34" i="32"/>
  <c r="FR36" i="32"/>
  <c r="FR38" i="32"/>
  <c r="FR39" i="32"/>
  <c r="P40" i="32" l="1"/>
  <c r="Q49" i="32" l="1"/>
  <c r="EN49" i="32" s="1"/>
  <c r="EP49" i="32" s="1"/>
  <c r="ER49" i="32" s="1"/>
  <c r="EU49" i="32" s="1"/>
  <c r="EW49" i="32" s="1"/>
  <c r="AD3" i="32" l="1"/>
  <c r="DZ34" i="32" l="1"/>
  <c r="GZ34" i="32" s="1"/>
  <c r="DZ36" i="32"/>
  <c r="GZ36" i="32" s="1"/>
  <c r="DZ38" i="32"/>
  <c r="GZ38" i="32" s="1"/>
  <c r="DZ39" i="32"/>
  <c r="GZ39" i="32" s="1"/>
  <c r="DZ40" i="32"/>
  <c r="GZ40" i="32" s="1"/>
  <c r="DZ27" i="32"/>
  <c r="GZ27" i="32" s="1"/>
  <c r="DZ29" i="32"/>
  <c r="GZ29" i="32" s="1"/>
  <c r="DZ31" i="32"/>
  <c r="GZ31" i="32" s="1"/>
  <c r="DZ32" i="32"/>
  <c r="GZ32" i="32" s="1"/>
  <c r="DZ33" i="32"/>
  <c r="GZ33" i="32" s="1"/>
  <c r="DZ79" i="32"/>
  <c r="GZ79" i="32" s="1"/>
  <c r="DZ80" i="32"/>
  <c r="GZ80" i="32" s="1"/>
  <c r="DZ81" i="32"/>
  <c r="GZ81" i="32" s="1"/>
  <c r="DZ82" i="32"/>
  <c r="GZ82" i="32" s="1"/>
  <c r="DZ83" i="32"/>
  <c r="GZ83" i="32" s="1"/>
  <c r="GC3" i="32" l="1"/>
  <c r="GC4" i="32"/>
  <c r="GC5" i="32"/>
  <c r="GC6" i="32"/>
  <c r="GC7" i="32"/>
  <c r="GC8" i="32"/>
  <c r="GC9" i="32"/>
  <c r="GC10" i="32"/>
  <c r="GC11" i="32"/>
  <c r="GC12" i="32"/>
  <c r="GC20" i="32"/>
  <c r="GC22" i="32"/>
  <c r="GC24" i="32"/>
  <c r="GC25" i="32"/>
  <c r="GC26" i="32"/>
  <c r="GC13" i="32"/>
  <c r="GC15" i="32"/>
  <c r="GC17" i="32"/>
  <c r="GC18" i="32"/>
  <c r="GC19" i="32"/>
  <c r="GC34" i="32"/>
  <c r="GC36" i="32"/>
  <c r="GC38" i="32"/>
  <c r="GC39" i="32"/>
  <c r="GA3" i="32"/>
  <c r="GA4" i="32"/>
  <c r="GA5" i="32"/>
  <c r="GA6" i="32"/>
  <c r="GA7" i="32"/>
  <c r="GA8" i="32"/>
  <c r="GA9" i="32"/>
  <c r="GA10" i="32"/>
  <c r="GA11" i="32"/>
  <c r="GA12" i="32"/>
  <c r="GA20" i="32"/>
  <c r="GA22" i="32"/>
  <c r="GA24" i="32"/>
  <c r="GA25" i="32"/>
  <c r="GA26" i="32"/>
  <c r="GA13" i="32"/>
  <c r="GA15" i="32"/>
  <c r="GA17" i="32"/>
  <c r="GA18" i="32"/>
  <c r="GA19" i="32"/>
  <c r="GA34" i="32"/>
  <c r="GA36" i="32"/>
  <c r="GA38" i="32"/>
  <c r="GA39" i="32"/>
  <c r="EJ3" i="32"/>
  <c r="EJ4" i="32"/>
  <c r="EJ5" i="32"/>
  <c r="EJ6" i="32"/>
  <c r="EJ7" i="32"/>
  <c r="EJ8" i="32"/>
  <c r="EJ9" i="32"/>
  <c r="EJ10" i="32"/>
  <c r="EJ11" i="32"/>
  <c r="EJ12" i="32"/>
  <c r="EJ20" i="32"/>
  <c r="EJ22" i="32"/>
  <c r="EJ24" i="32"/>
  <c r="EJ25" i="32"/>
  <c r="EJ26" i="32"/>
  <c r="EJ13" i="32"/>
  <c r="EJ15" i="32"/>
  <c r="EJ17" i="32"/>
  <c r="EJ18" i="32"/>
  <c r="EJ19" i="32"/>
  <c r="EJ34" i="32"/>
  <c r="EJ36" i="32"/>
  <c r="EJ38" i="32"/>
  <c r="EJ39" i="32"/>
  <c r="EJ55" i="32"/>
  <c r="EJ56" i="32"/>
  <c r="EJ57" i="32"/>
  <c r="EJ58" i="32"/>
  <c r="EJ59" i="32"/>
  <c r="EJ60" i="32"/>
  <c r="EJ79" i="32"/>
  <c r="EJ80" i="32"/>
  <c r="EJ81" i="32"/>
  <c r="EJ82" i="32"/>
  <c r="EJ83" i="32"/>
  <c r="EI3" i="32"/>
  <c r="EI4" i="32"/>
  <c r="EI5" i="32"/>
  <c r="EI6" i="32"/>
  <c r="EI7" i="32"/>
  <c r="EI8" i="32"/>
  <c r="EI9" i="32"/>
  <c r="EI10" i="32"/>
  <c r="EI11" i="32"/>
  <c r="EI12" i="32"/>
  <c r="EI20" i="32"/>
  <c r="EI22" i="32"/>
  <c r="EI24" i="32"/>
  <c r="EI25" i="32"/>
  <c r="EI26" i="32"/>
  <c r="EI13" i="32"/>
  <c r="EI15" i="32"/>
  <c r="EI17" i="32"/>
  <c r="EI18" i="32"/>
  <c r="EI19" i="32"/>
  <c r="EI34" i="32"/>
  <c r="EI36" i="32"/>
  <c r="EI38" i="32"/>
  <c r="EI39" i="32"/>
  <c r="EI55" i="32"/>
  <c r="EI56" i="32"/>
  <c r="EI57" i="32"/>
  <c r="EI58" i="32"/>
  <c r="EI59" i="32"/>
  <c r="EI60" i="32"/>
  <c r="EI79" i="32"/>
  <c r="EI80" i="32"/>
  <c r="EI81" i="32"/>
  <c r="EI82" i="32"/>
  <c r="EI83" i="32"/>
  <c r="FZ3" i="32"/>
  <c r="FZ4" i="32"/>
  <c r="FZ5" i="32"/>
  <c r="FZ6" i="32"/>
  <c r="FZ7" i="32"/>
  <c r="FZ8" i="32"/>
  <c r="FZ9" i="32"/>
  <c r="FZ10" i="32"/>
  <c r="FZ11" i="32"/>
  <c r="FZ12" i="32"/>
  <c r="FZ20" i="32"/>
  <c r="FZ22" i="32"/>
  <c r="FZ24" i="32"/>
  <c r="FZ25" i="32"/>
  <c r="FZ26" i="32"/>
  <c r="FZ13" i="32"/>
  <c r="FZ15" i="32"/>
  <c r="FZ17" i="32"/>
  <c r="FZ18" i="32"/>
  <c r="FZ19" i="32"/>
  <c r="FZ34" i="32"/>
  <c r="FZ36" i="32"/>
  <c r="FZ38" i="32"/>
  <c r="FZ39" i="32"/>
  <c r="FY3" i="32"/>
  <c r="FY4" i="32"/>
  <c r="FY5" i="32"/>
  <c r="FY6" i="32"/>
  <c r="FY7" i="32"/>
  <c r="FY8" i="32"/>
  <c r="FY9" i="32"/>
  <c r="FY10" i="32"/>
  <c r="FY11" i="32"/>
  <c r="FY12" i="32"/>
  <c r="FY20" i="32"/>
  <c r="FY22" i="32"/>
  <c r="FY24" i="32"/>
  <c r="FY25" i="32"/>
  <c r="FY26" i="32"/>
  <c r="FY13" i="32"/>
  <c r="FY15" i="32"/>
  <c r="FY17" i="32"/>
  <c r="FY18" i="32"/>
  <c r="FY19" i="32"/>
  <c r="FY34" i="32"/>
  <c r="FY36" i="32"/>
  <c r="FY38" i="32"/>
  <c r="FY39" i="32"/>
  <c r="FX3" i="32"/>
  <c r="FX4" i="32"/>
  <c r="FX5" i="32"/>
  <c r="FX6" i="32"/>
  <c r="FX7" i="32"/>
  <c r="FX8" i="32"/>
  <c r="FX9" i="32"/>
  <c r="FX10" i="32"/>
  <c r="FX11" i="32"/>
  <c r="FX12" i="32"/>
  <c r="FX20" i="32"/>
  <c r="FX22" i="32"/>
  <c r="FX24" i="32"/>
  <c r="FX25" i="32"/>
  <c r="FX26" i="32"/>
  <c r="FX13" i="32"/>
  <c r="FX15" i="32"/>
  <c r="FX17" i="32"/>
  <c r="FX18" i="32"/>
  <c r="FX19" i="32"/>
  <c r="FX34" i="32"/>
  <c r="FX36" i="32"/>
  <c r="FX38" i="32"/>
  <c r="FX39" i="32"/>
  <c r="FT3" i="32"/>
  <c r="FT4" i="32"/>
  <c r="FT5" i="32"/>
  <c r="FT6" i="32"/>
  <c r="FT7" i="32"/>
  <c r="FT8" i="32"/>
  <c r="FT9" i="32"/>
  <c r="FT10" i="32"/>
  <c r="FT11" i="32"/>
  <c r="FT12" i="32"/>
  <c r="FT20" i="32"/>
  <c r="FT22" i="32"/>
  <c r="FT24" i="32"/>
  <c r="FT25" i="32"/>
  <c r="FT26" i="32"/>
  <c r="FT13" i="32"/>
  <c r="FT15" i="32"/>
  <c r="FT17" i="32"/>
  <c r="FT18" i="32"/>
  <c r="FT19" i="32"/>
  <c r="FT34" i="32"/>
  <c r="FT36" i="32"/>
  <c r="FT38" i="32"/>
  <c r="FT39" i="32"/>
  <c r="FS3" i="32"/>
  <c r="FS4" i="32"/>
  <c r="FS5" i="32"/>
  <c r="FS6" i="32"/>
  <c r="FS7" i="32"/>
  <c r="FS8" i="32"/>
  <c r="FS9" i="32"/>
  <c r="FS10" i="32"/>
  <c r="FS11" i="32"/>
  <c r="FS12" i="32"/>
  <c r="FS20" i="32"/>
  <c r="FS22" i="32"/>
  <c r="FS24" i="32"/>
  <c r="FS25" i="32"/>
  <c r="FS26" i="32"/>
  <c r="FS13" i="32"/>
  <c r="FS15" i="32"/>
  <c r="FS17" i="32"/>
  <c r="FS18" i="32"/>
  <c r="FS19" i="32"/>
  <c r="FS34" i="32"/>
  <c r="FS36" i="32"/>
  <c r="FS38" i="32"/>
  <c r="FS39" i="32"/>
  <c r="FP3" i="32"/>
  <c r="FP4" i="32"/>
  <c r="FP5" i="32"/>
  <c r="FP6" i="32"/>
  <c r="FP7" i="32"/>
  <c r="FP8" i="32"/>
  <c r="FP9" i="32"/>
  <c r="FP10" i="32"/>
  <c r="FP11" i="32"/>
  <c r="FP12" i="32"/>
  <c r="FP20" i="32"/>
  <c r="FP22" i="32"/>
  <c r="FP24" i="32"/>
  <c r="FP25" i="32"/>
  <c r="FP26" i="32"/>
  <c r="FP13" i="32"/>
  <c r="FP15" i="32"/>
  <c r="FP17" i="32"/>
  <c r="FP18" i="32"/>
  <c r="FP19" i="32"/>
  <c r="FP34" i="32"/>
  <c r="FP36" i="32"/>
  <c r="FP38" i="32"/>
  <c r="FP39" i="32"/>
  <c r="FN3" i="32"/>
  <c r="FN4" i="32"/>
  <c r="FN5" i="32"/>
  <c r="FN6" i="32"/>
  <c r="FN7" i="32"/>
  <c r="FN8" i="32"/>
  <c r="FN9" i="32"/>
  <c r="FN10" i="32"/>
  <c r="FN11" i="32"/>
  <c r="FN12" i="32"/>
  <c r="FN20" i="32"/>
  <c r="FN22" i="32"/>
  <c r="FN24" i="32"/>
  <c r="FN25" i="32"/>
  <c r="FN26" i="32"/>
  <c r="FN13" i="32"/>
  <c r="FN15" i="32"/>
  <c r="FN17" i="32"/>
  <c r="FN18" i="32"/>
  <c r="FN19" i="32"/>
  <c r="FN34" i="32"/>
  <c r="FN36" i="32"/>
  <c r="FN38" i="32"/>
  <c r="FN39" i="32"/>
  <c r="FM3" i="32"/>
  <c r="FM4" i="32"/>
  <c r="FM5" i="32"/>
  <c r="FM6" i="32"/>
  <c r="FM7" i="32"/>
  <c r="FM8" i="32"/>
  <c r="FM9" i="32"/>
  <c r="FM10" i="32"/>
  <c r="FM11" i="32"/>
  <c r="FM12" i="32"/>
  <c r="FM20" i="32"/>
  <c r="FM22" i="32"/>
  <c r="FM24" i="32"/>
  <c r="FM25" i="32"/>
  <c r="FM26" i="32"/>
  <c r="FM13" i="32"/>
  <c r="FM15" i="32"/>
  <c r="FM17" i="32"/>
  <c r="FM18" i="32"/>
  <c r="FM19" i="32"/>
  <c r="FM34" i="32"/>
  <c r="FM36" i="32"/>
  <c r="FM38" i="32"/>
  <c r="FM39" i="32"/>
  <c r="FL3" i="32"/>
  <c r="FL4" i="32"/>
  <c r="FL5" i="32"/>
  <c r="FL6" i="32"/>
  <c r="FL7" i="32"/>
  <c r="FL8" i="32"/>
  <c r="FL9" i="32"/>
  <c r="FL10" i="32"/>
  <c r="FL11" i="32"/>
  <c r="FL12" i="32"/>
  <c r="FL20" i="32"/>
  <c r="FL22" i="32"/>
  <c r="FL24" i="32"/>
  <c r="FL25" i="32"/>
  <c r="FL26" i="32"/>
  <c r="FL13" i="32"/>
  <c r="FL15" i="32"/>
  <c r="FL17" i="32"/>
  <c r="FL18" i="32"/>
  <c r="FL19" i="32"/>
  <c r="FL34" i="32"/>
  <c r="FL36" i="32"/>
  <c r="FL38" i="32"/>
  <c r="FL39" i="32"/>
  <c r="FK3" i="32"/>
  <c r="FK4" i="32"/>
  <c r="FK5" i="32"/>
  <c r="FK6" i="32"/>
  <c r="FK7" i="32"/>
  <c r="FK8" i="32"/>
  <c r="FK9" i="32"/>
  <c r="FK10" i="32"/>
  <c r="FK11" i="32"/>
  <c r="FK12" i="32"/>
  <c r="FK20" i="32"/>
  <c r="FK22" i="32"/>
  <c r="FK24" i="32"/>
  <c r="FK25" i="32"/>
  <c r="FK26" i="32"/>
  <c r="FK13" i="32"/>
  <c r="FK15" i="32"/>
  <c r="FK17" i="32"/>
  <c r="FK18" i="32"/>
  <c r="FK19" i="32"/>
  <c r="FK34" i="32"/>
  <c r="FK36" i="32"/>
  <c r="FK38" i="32"/>
  <c r="FK39" i="32"/>
  <c r="FJ3" i="32"/>
  <c r="FJ4" i="32"/>
  <c r="FJ5" i="32"/>
  <c r="FJ6" i="32"/>
  <c r="FJ7" i="32"/>
  <c r="FJ8" i="32"/>
  <c r="FJ9" i="32"/>
  <c r="FJ10" i="32"/>
  <c r="FJ11" i="32"/>
  <c r="FJ12" i="32"/>
  <c r="FJ20" i="32"/>
  <c r="FJ22" i="32"/>
  <c r="FJ24" i="32"/>
  <c r="FJ25" i="32"/>
  <c r="FJ26" i="32"/>
  <c r="FJ13" i="32"/>
  <c r="FJ15" i="32"/>
  <c r="FJ17" i="32"/>
  <c r="FJ18" i="32"/>
  <c r="FJ19" i="32"/>
  <c r="FJ34" i="32"/>
  <c r="FJ36" i="32"/>
  <c r="FJ38" i="32"/>
  <c r="FJ39" i="32"/>
  <c r="FI3" i="32"/>
  <c r="FI4" i="32"/>
  <c r="FI5" i="32"/>
  <c r="FI6" i="32"/>
  <c r="FI7" i="32"/>
  <c r="FI8" i="32"/>
  <c r="FI9" i="32"/>
  <c r="FI10" i="32"/>
  <c r="FI11" i="32"/>
  <c r="FI12" i="32"/>
  <c r="FI20" i="32"/>
  <c r="FI22" i="32"/>
  <c r="FI24" i="32"/>
  <c r="FI25" i="32"/>
  <c r="FI26" i="32"/>
  <c r="FI13" i="32"/>
  <c r="FI15" i="32"/>
  <c r="FI17" i="32"/>
  <c r="FI18" i="32"/>
  <c r="FI19" i="32"/>
  <c r="FI34" i="32"/>
  <c r="FI36" i="32"/>
  <c r="FI38" i="32"/>
  <c r="FI39" i="32"/>
  <c r="FH3" i="32"/>
  <c r="FH4" i="32"/>
  <c r="FH5" i="32"/>
  <c r="FH6" i="32"/>
  <c r="FH7" i="32"/>
  <c r="FH8" i="32"/>
  <c r="FH9" i="32"/>
  <c r="FH10" i="32"/>
  <c r="FH11" i="32"/>
  <c r="FH12" i="32"/>
  <c r="FH20" i="32"/>
  <c r="FH22" i="32"/>
  <c r="FH24" i="32"/>
  <c r="FH25" i="32"/>
  <c r="FH26" i="32"/>
  <c r="FH13" i="32"/>
  <c r="FH15" i="32"/>
  <c r="FH17" i="32"/>
  <c r="FH18" i="32"/>
  <c r="FH19" i="32"/>
  <c r="FH34" i="32"/>
  <c r="FH36" i="32"/>
  <c r="FH38" i="32"/>
  <c r="FH39" i="32"/>
  <c r="FG3" i="32"/>
  <c r="FG4" i="32"/>
  <c r="FG5" i="32"/>
  <c r="FG6" i="32"/>
  <c r="FG7" i="32"/>
  <c r="FG8" i="32"/>
  <c r="FG9" i="32"/>
  <c r="FG10" i="32"/>
  <c r="FG11" i="32"/>
  <c r="FG12" i="32"/>
  <c r="FG20" i="32"/>
  <c r="FG22" i="32"/>
  <c r="FG24" i="32"/>
  <c r="FG25" i="32"/>
  <c r="FG26" i="32"/>
  <c r="FG13" i="32"/>
  <c r="FG15" i="32"/>
  <c r="FG17" i="32"/>
  <c r="FG18" i="32"/>
  <c r="FG19" i="32"/>
  <c r="FG34" i="32"/>
  <c r="FG36" i="32"/>
  <c r="FG38" i="32"/>
  <c r="FG39" i="32"/>
  <c r="FF3" i="32"/>
  <c r="FF4" i="32"/>
  <c r="FF5" i="32"/>
  <c r="FF6" i="32"/>
  <c r="FF7" i="32"/>
  <c r="FF8" i="32"/>
  <c r="FF9" i="32"/>
  <c r="FF10" i="32"/>
  <c r="FF11" i="32"/>
  <c r="FF12" i="32"/>
  <c r="FF20" i="32"/>
  <c r="FF22" i="32"/>
  <c r="FF24" i="32"/>
  <c r="FF25" i="32"/>
  <c r="FF26" i="32"/>
  <c r="FF13" i="32"/>
  <c r="FF15" i="32"/>
  <c r="FF17" i="32"/>
  <c r="FF18" i="32"/>
  <c r="FF19" i="32"/>
  <c r="FF34" i="32"/>
  <c r="FF36" i="32"/>
  <c r="FF38" i="32"/>
  <c r="FF39" i="32"/>
  <c r="FB3" i="32"/>
  <c r="FB4" i="32"/>
  <c r="FB5" i="32"/>
  <c r="FB6" i="32"/>
  <c r="FB7" i="32"/>
  <c r="FB8" i="32"/>
  <c r="FB9" i="32"/>
  <c r="FB10" i="32"/>
  <c r="FB11" i="32"/>
  <c r="FB12" i="32"/>
  <c r="FB20" i="32"/>
  <c r="FB22" i="32"/>
  <c r="FB24" i="32"/>
  <c r="FB25" i="32"/>
  <c r="FB26" i="32"/>
  <c r="FB13" i="32"/>
  <c r="FB15" i="32"/>
  <c r="FB17" i="32"/>
  <c r="FB18" i="32"/>
  <c r="FB19" i="32"/>
  <c r="FB34" i="32"/>
  <c r="FB36" i="32"/>
  <c r="FB38" i="32"/>
  <c r="FB39" i="32"/>
  <c r="FB55" i="32"/>
  <c r="FB56" i="32"/>
  <c r="FB57" i="32"/>
  <c r="FB58" i="32"/>
  <c r="FB59" i="32"/>
  <c r="FB60" i="32"/>
  <c r="FB79" i="32"/>
  <c r="FB80" i="32"/>
  <c r="FB81" i="32"/>
  <c r="FB82" i="32"/>
  <c r="FB83" i="32"/>
  <c r="FA3" i="32"/>
  <c r="FA4" i="32"/>
  <c r="FA5" i="32"/>
  <c r="FA6" i="32"/>
  <c r="FA7" i="32"/>
  <c r="FA8" i="32"/>
  <c r="FA9" i="32"/>
  <c r="FA10" i="32"/>
  <c r="FA11" i="32"/>
  <c r="FA12" i="32"/>
  <c r="FA20" i="32"/>
  <c r="FA22" i="32"/>
  <c r="FA24" i="32"/>
  <c r="FA25" i="32"/>
  <c r="FA26" i="32"/>
  <c r="FA13" i="32"/>
  <c r="FA15" i="32"/>
  <c r="FA17" i="32"/>
  <c r="FA18" i="32"/>
  <c r="FA19" i="32"/>
  <c r="FA34" i="32"/>
  <c r="FA36" i="32"/>
  <c r="FA38" i="32"/>
  <c r="FA39" i="32"/>
  <c r="FA55" i="32"/>
  <c r="FA56" i="32"/>
  <c r="FA57" i="32"/>
  <c r="FA58" i="32"/>
  <c r="FA59" i="32"/>
  <c r="FA60" i="32"/>
  <c r="FA79" i="32"/>
  <c r="FA80" i="32"/>
  <c r="FA81" i="32"/>
  <c r="FA82" i="32"/>
  <c r="FA83" i="32"/>
  <c r="EZ3" i="32"/>
  <c r="EZ4" i="32"/>
  <c r="EZ5" i="32"/>
  <c r="EZ6" i="32"/>
  <c r="EZ7" i="32"/>
  <c r="EZ8" i="32"/>
  <c r="EZ9" i="32"/>
  <c r="EZ10" i="32"/>
  <c r="EZ11" i="32"/>
  <c r="EZ12" i="32"/>
  <c r="EZ20" i="32"/>
  <c r="EZ22" i="32"/>
  <c r="EZ24" i="32"/>
  <c r="EZ25" i="32"/>
  <c r="EZ26" i="32"/>
  <c r="EZ13" i="32"/>
  <c r="EZ15" i="32"/>
  <c r="EZ17" i="32"/>
  <c r="EZ18" i="32"/>
  <c r="EZ19" i="32"/>
  <c r="EZ34" i="32"/>
  <c r="EZ36" i="32"/>
  <c r="EZ38" i="32"/>
  <c r="EZ39" i="32"/>
  <c r="EZ55" i="32"/>
  <c r="EZ56" i="32"/>
  <c r="EZ57" i="32"/>
  <c r="EZ58" i="32"/>
  <c r="EZ59" i="32"/>
  <c r="EZ60" i="32"/>
  <c r="EZ79" i="32"/>
  <c r="EZ80" i="32"/>
  <c r="EZ81" i="32"/>
  <c r="EZ82" i="32"/>
  <c r="EZ83" i="32"/>
  <c r="EG3" i="32"/>
  <c r="EG4" i="32"/>
  <c r="EG5" i="32"/>
  <c r="EG6" i="32"/>
  <c r="EG7" i="32"/>
  <c r="EG8" i="32"/>
  <c r="EG9" i="32"/>
  <c r="EG10" i="32"/>
  <c r="EG11" i="32"/>
  <c r="EG12" i="32"/>
  <c r="EG20" i="32"/>
  <c r="EG22" i="32"/>
  <c r="EG24" i="32"/>
  <c r="EG25" i="32"/>
  <c r="EG26" i="32"/>
  <c r="EG13" i="32"/>
  <c r="EG15" i="32"/>
  <c r="EG17" i="32"/>
  <c r="EG18" i="32"/>
  <c r="EG19" i="32"/>
  <c r="EG34" i="32"/>
  <c r="EG36" i="32"/>
  <c r="EG38" i="32"/>
  <c r="EG39" i="32"/>
  <c r="EF3" i="32"/>
  <c r="EF4" i="32"/>
  <c r="EF5" i="32"/>
  <c r="EF6" i="32"/>
  <c r="EF7" i="32"/>
  <c r="EF8" i="32"/>
  <c r="EF9" i="32"/>
  <c r="EF10" i="32"/>
  <c r="EF11" i="32"/>
  <c r="EF12" i="32"/>
  <c r="EF20" i="32"/>
  <c r="EF22" i="32"/>
  <c r="EF24" i="32"/>
  <c r="EF25" i="32"/>
  <c r="EF26" i="32"/>
  <c r="EF13" i="32"/>
  <c r="EF15" i="32"/>
  <c r="EF17" i="32"/>
  <c r="EF18" i="32"/>
  <c r="EF19" i="32"/>
  <c r="EF34" i="32"/>
  <c r="EF36" i="32"/>
  <c r="EF38" i="32"/>
  <c r="EF39" i="32"/>
  <c r="EY3" i="32"/>
  <c r="EY4" i="32"/>
  <c r="EY5" i="32"/>
  <c r="EY6" i="32"/>
  <c r="EY7" i="32"/>
  <c r="EY8" i="32"/>
  <c r="EY9" i="32"/>
  <c r="EY10" i="32"/>
  <c r="EY11" i="32"/>
  <c r="EY12" i="32"/>
  <c r="EY20" i="32"/>
  <c r="EY22" i="32"/>
  <c r="EY24" i="32"/>
  <c r="EY25" i="32"/>
  <c r="EY26" i="32"/>
  <c r="EY13" i="32"/>
  <c r="EY15" i="32"/>
  <c r="EY17" i="32"/>
  <c r="EY18" i="32"/>
  <c r="EY19" i="32"/>
  <c r="EY34" i="32"/>
  <c r="EY36" i="32"/>
  <c r="EY38" i="32"/>
  <c r="EY39" i="32"/>
  <c r="EY55" i="32"/>
  <c r="EY56" i="32"/>
  <c r="EY57" i="32"/>
  <c r="EY58" i="32"/>
  <c r="EY59" i="32"/>
  <c r="EY60" i="32"/>
  <c r="EY79" i="32"/>
  <c r="EY80" i="32"/>
  <c r="EY81" i="32"/>
  <c r="EY82" i="32"/>
  <c r="EY83" i="32"/>
  <c r="EM3" i="32" l="1"/>
  <c r="EM4" i="32"/>
  <c r="EM5" i="32"/>
  <c r="EM6" i="32"/>
  <c r="EM7" i="32"/>
  <c r="EM8" i="32"/>
  <c r="EM9" i="32"/>
  <c r="EM10" i="32"/>
  <c r="EM11" i="32"/>
  <c r="EM12" i="32"/>
  <c r="EM20" i="32"/>
  <c r="EM22" i="32"/>
  <c r="EM24" i="32"/>
  <c r="EM25" i="32"/>
  <c r="EM26" i="32"/>
  <c r="EM13" i="32"/>
  <c r="EM15" i="32"/>
  <c r="EM17" i="32"/>
  <c r="EM18" i="32"/>
  <c r="EM19" i="32"/>
  <c r="EM34" i="32"/>
  <c r="EM36" i="32"/>
  <c r="EM38" i="32"/>
  <c r="EM39" i="32"/>
  <c r="EM55" i="32"/>
  <c r="EM56" i="32"/>
  <c r="EM57" i="32"/>
  <c r="EM58" i="32"/>
  <c r="EM59" i="32"/>
  <c r="EM60" i="32"/>
  <c r="EL3" i="32"/>
  <c r="EL4" i="32"/>
  <c r="EL5" i="32"/>
  <c r="EL6" i="32"/>
  <c r="EL7" i="32"/>
  <c r="EL8" i="32"/>
  <c r="EL9" i="32"/>
  <c r="EL10" i="32"/>
  <c r="EL11" i="32"/>
  <c r="EL12" i="32"/>
  <c r="EL20" i="32"/>
  <c r="EL22" i="32"/>
  <c r="EL24" i="32"/>
  <c r="EL25" i="32"/>
  <c r="EL26" i="32"/>
  <c r="EL13" i="32"/>
  <c r="EL15" i="32"/>
  <c r="EL17" i="32"/>
  <c r="EL18" i="32"/>
  <c r="EL19" i="32"/>
  <c r="EL34" i="32"/>
  <c r="EL36" i="32"/>
  <c r="EL38" i="32"/>
  <c r="EL39" i="32"/>
  <c r="EL55" i="32"/>
  <c r="EL56" i="32"/>
  <c r="EL57" i="32"/>
  <c r="EL58" i="32"/>
  <c r="EL59" i="32"/>
  <c r="EL60" i="32"/>
  <c r="ET3" i="32"/>
  <c r="ET4" i="32"/>
  <c r="ET5" i="32"/>
  <c r="ET6" i="32"/>
  <c r="ET7" i="32"/>
  <c r="ET8" i="32"/>
  <c r="ET9" i="32"/>
  <c r="ET10" i="32"/>
  <c r="ET11" i="32"/>
  <c r="ET12" i="32"/>
  <c r="ET20" i="32"/>
  <c r="ET22" i="32"/>
  <c r="ET24" i="32"/>
  <c r="ET25" i="32"/>
  <c r="ET26" i="32"/>
  <c r="ET13" i="32"/>
  <c r="ET15" i="32"/>
  <c r="ET17" i="32"/>
  <c r="ET18" i="32"/>
  <c r="ET19" i="32"/>
  <c r="ET34" i="32"/>
  <c r="ET36" i="32"/>
  <c r="ET38" i="32"/>
  <c r="ET39" i="32"/>
  <c r="ET55" i="32"/>
  <c r="ET56" i="32"/>
  <c r="ET57" i="32"/>
  <c r="ET58" i="32"/>
  <c r="ET59" i="32"/>
  <c r="ET60" i="32"/>
  <c r="ET79" i="32"/>
  <c r="ET80" i="32"/>
  <c r="ET81" i="32"/>
  <c r="ET82" i="32"/>
  <c r="ET83" i="32"/>
  <c r="AM5" i="31" l="1"/>
  <c r="AM6" i="31"/>
  <c r="AM7" i="31"/>
  <c r="AM8" i="31"/>
  <c r="AM9" i="31"/>
  <c r="AM10" i="31"/>
  <c r="AM11" i="31"/>
  <c r="AM13" i="31"/>
  <c r="AM12" i="31"/>
  <c r="AM14" i="31"/>
  <c r="R22" i="25" l="1"/>
  <c r="R23" i="25"/>
  <c r="R24" i="25"/>
  <c r="R25" i="25"/>
  <c r="R26" i="25"/>
  <c r="R27" i="25"/>
  <c r="R28" i="25"/>
  <c r="R29" i="25"/>
  <c r="R30" i="25"/>
  <c r="R31" i="25"/>
  <c r="R32" i="25"/>
  <c r="R33" i="25"/>
  <c r="R34" i="25"/>
  <c r="R35" i="25"/>
  <c r="R36" i="25"/>
  <c r="R37" i="25"/>
  <c r="R38" i="25"/>
  <c r="R39" i="25"/>
  <c r="R40" i="25"/>
  <c r="R41" i="25"/>
  <c r="R42" i="25"/>
  <c r="R43" i="25"/>
  <c r="R44" i="25"/>
  <c r="R45" i="25"/>
  <c r="R46" i="25"/>
  <c r="R47" i="25"/>
  <c r="R48" i="25"/>
  <c r="R49" i="25"/>
  <c r="R50" i="25"/>
  <c r="BV105" i="30"/>
  <c r="BW105" i="30"/>
  <c r="BX105" i="30"/>
  <c r="BY105" i="30"/>
  <c r="BZ105" i="30"/>
  <c r="CA105" i="30"/>
  <c r="CB105" i="30"/>
  <c r="CC105" i="30"/>
  <c r="CD105" i="30"/>
  <c r="CE105" i="30"/>
  <c r="CF105" i="30"/>
  <c r="CG105" i="30"/>
  <c r="CH105" i="30"/>
  <c r="CI105" i="30"/>
  <c r="CJ105" i="30"/>
  <c r="CK105" i="30"/>
  <c r="CL105" i="30"/>
  <c r="CM105" i="30"/>
  <c r="G106" i="30"/>
  <c r="T7" i="45" l="1"/>
  <c r="O7" i="45"/>
  <c r="S13" i="25" l="1"/>
  <c r="S14" i="25"/>
  <c r="S15" i="25"/>
  <c r="S16" i="25"/>
  <c r="S17" i="25"/>
  <c r="CG79" i="32"/>
  <c r="CN79" i="32"/>
  <c r="CQ79" i="32"/>
  <c r="CS79" i="32"/>
  <c r="DD79" i="32"/>
  <c r="DE79" i="32"/>
  <c r="DF79" i="32"/>
  <c r="DG79" i="32"/>
  <c r="DJ79" i="32"/>
  <c r="GF79" i="32" s="1"/>
  <c r="DL79" i="32"/>
  <c r="GH79" i="32" s="1"/>
  <c r="DW79" i="32"/>
  <c r="GW79" i="32" s="1"/>
  <c r="DX79" i="32"/>
  <c r="GX79" i="32" s="1"/>
  <c r="DY79" i="32"/>
  <c r="GY79" i="32" s="1"/>
  <c r="CG80" i="32"/>
  <c r="CN80" i="32"/>
  <c r="CQ80" i="32"/>
  <c r="CS80" i="32"/>
  <c r="DD80" i="32"/>
  <c r="DE80" i="32"/>
  <c r="DF80" i="32"/>
  <c r="DG80" i="32"/>
  <c r="DJ80" i="32"/>
  <c r="GF80" i="32" s="1"/>
  <c r="DL80" i="32"/>
  <c r="GH80" i="32" s="1"/>
  <c r="DW80" i="32"/>
  <c r="GW80" i="32" s="1"/>
  <c r="DX80" i="32"/>
  <c r="GX80" i="32" s="1"/>
  <c r="DY80" i="32"/>
  <c r="GY80" i="32" s="1"/>
  <c r="CG81" i="32"/>
  <c r="CN81" i="32"/>
  <c r="CQ81" i="32"/>
  <c r="CS81" i="32"/>
  <c r="DD81" i="32"/>
  <c r="DE81" i="32"/>
  <c r="DF81" i="32"/>
  <c r="DG81" i="32"/>
  <c r="DJ81" i="32"/>
  <c r="GF81" i="32" s="1"/>
  <c r="DL81" i="32"/>
  <c r="GH81" i="32" s="1"/>
  <c r="DW81" i="32"/>
  <c r="GW81" i="32" s="1"/>
  <c r="DX81" i="32"/>
  <c r="GX81" i="32" s="1"/>
  <c r="DY81" i="32"/>
  <c r="GY81" i="32" s="1"/>
  <c r="CG82" i="32"/>
  <c r="CN82" i="32"/>
  <c r="CQ82" i="32"/>
  <c r="CS82" i="32"/>
  <c r="DD82" i="32"/>
  <c r="DE82" i="32"/>
  <c r="DF82" i="32"/>
  <c r="DG82" i="32"/>
  <c r="DJ82" i="32"/>
  <c r="GF82" i="32" s="1"/>
  <c r="DL82" i="32"/>
  <c r="GH82" i="32" s="1"/>
  <c r="DW82" i="32"/>
  <c r="GW82" i="32" s="1"/>
  <c r="DX82" i="32"/>
  <c r="GX82" i="32" s="1"/>
  <c r="DY82" i="32"/>
  <c r="GY82" i="32" s="1"/>
  <c r="CG83" i="32"/>
  <c r="CN83" i="32"/>
  <c r="CQ83" i="32"/>
  <c r="CS83" i="32"/>
  <c r="DD83" i="32"/>
  <c r="DE83" i="32"/>
  <c r="DF83" i="32"/>
  <c r="DG83" i="32"/>
  <c r="DJ83" i="32"/>
  <c r="GF83" i="32" s="1"/>
  <c r="DL83" i="32"/>
  <c r="GH83" i="32" s="1"/>
  <c r="DW83" i="32"/>
  <c r="GW83" i="32" s="1"/>
  <c r="DX83" i="32"/>
  <c r="GX83" i="32" s="1"/>
  <c r="DY83" i="32"/>
  <c r="GY83" i="32" s="1"/>
  <c r="CF79" i="32"/>
  <c r="CF80" i="32"/>
  <c r="CF81" i="32"/>
  <c r="CF82" i="32"/>
  <c r="CF83" i="32"/>
  <c r="CE79" i="32"/>
  <c r="CE80" i="32"/>
  <c r="CE81" i="32"/>
  <c r="CE82" i="32"/>
  <c r="CE83" i="32"/>
  <c r="CD79" i="32"/>
  <c r="CD80" i="32"/>
  <c r="CD81" i="32"/>
  <c r="CD82" i="32"/>
  <c r="CD83" i="32"/>
  <c r="CC79" i="32"/>
  <c r="CC80" i="32"/>
  <c r="CC81" i="32"/>
  <c r="CC82" i="32"/>
  <c r="CC83" i="32"/>
  <c r="CB79" i="32"/>
  <c r="CB80" i="32"/>
  <c r="CB81" i="32"/>
  <c r="CB82" i="32"/>
  <c r="CB83" i="32"/>
  <c r="CA79" i="32"/>
  <c r="CA80" i="32"/>
  <c r="CA81" i="32"/>
  <c r="CA82" i="32"/>
  <c r="CA83" i="32"/>
  <c r="BV79" i="32"/>
  <c r="BW79" i="32" s="1"/>
  <c r="AF155" i="25" s="1"/>
  <c r="BV80" i="32"/>
  <c r="BW80" i="32" s="1"/>
  <c r="AF157" i="25" s="1"/>
  <c r="BV81" i="32"/>
  <c r="BX81" i="32" s="1"/>
  <c r="AI159" i="25" s="1"/>
  <c r="BV82" i="32"/>
  <c r="BX82" i="32" s="1"/>
  <c r="AI161" i="25" s="1"/>
  <c r="BV83" i="32"/>
  <c r="BT79" i="32"/>
  <c r="AD155" i="25" s="1"/>
  <c r="BT81" i="32"/>
  <c r="BQ80" i="32"/>
  <c r="U157" i="25" s="1"/>
  <c r="BP79" i="32"/>
  <c r="R155" i="25" s="1"/>
  <c r="BP80" i="32"/>
  <c r="BP81" i="32"/>
  <c r="BQ81" i="32" s="1"/>
  <c r="U159" i="25" s="1"/>
  <c r="BP82" i="32"/>
  <c r="BP83" i="32"/>
  <c r="BT83" i="32" s="1"/>
  <c r="AD163" i="25" s="1"/>
  <c r="P155" i="25"/>
  <c r="P157" i="25"/>
  <c r="P159" i="25"/>
  <c r="P161" i="25"/>
  <c r="P163" i="25"/>
  <c r="BA79" i="32"/>
  <c r="N155" i="25" s="1"/>
  <c r="BA80" i="32"/>
  <c r="N157" i="25" s="1"/>
  <c r="BA81" i="32"/>
  <c r="N159" i="25" s="1"/>
  <c r="BA82" i="32"/>
  <c r="N161" i="25" s="1"/>
  <c r="BA83" i="32"/>
  <c r="N163" i="25" s="1"/>
  <c r="AI160" i="25"/>
  <c r="AF160" i="25"/>
  <c r="AF162" i="25"/>
  <c r="AI156" i="25"/>
  <c r="AF158" i="25"/>
  <c r="AF164" i="25"/>
  <c r="AA156" i="25"/>
  <c r="P156" i="25"/>
  <c r="P158" i="25"/>
  <c r="P160" i="25"/>
  <c r="P162" i="25"/>
  <c r="P164" i="25"/>
  <c r="AN79" i="32"/>
  <c r="AN80" i="32"/>
  <c r="AN81" i="32"/>
  <c r="AN82" i="32"/>
  <c r="AN83" i="32"/>
  <c r="AI79" i="32"/>
  <c r="AI80" i="32"/>
  <c r="AI81" i="32"/>
  <c r="N160" i="25" s="1"/>
  <c r="AI82" i="32"/>
  <c r="N162" i="25" s="1"/>
  <c r="AI83" i="32"/>
  <c r="AH79" i="32"/>
  <c r="AH80" i="32"/>
  <c r="AH81" i="32"/>
  <c r="L160" i="25" s="1"/>
  <c r="AH82" i="32"/>
  <c r="AH83" i="32"/>
  <c r="AG79" i="32"/>
  <c r="AG80" i="32"/>
  <c r="AG81" i="32"/>
  <c r="H160" i="25" s="1"/>
  <c r="AG82" i="32"/>
  <c r="AG83" i="32"/>
  <c r="H164" i="25" s="1"/>
  <c r="J156" i="25"/>
  <c r="J158" i="25"/>
  <c r="J160" i="25"/>
  <c r="J162" i="25"/>
  <c r="J164" i="25"/>
  <c r="GJ79" i="32"/>
  <c r="GJ80" i="32"/>
  <c r="GJ81" i="32"/>
  <c r="GJ82" i="32"/>
  <c r="GJ83" i="32"/>
  <c r="AC79" i="32"/>
  <c r="AC80" i="32"/>
  <c r="AC81" i="32"/>
  <c r="AC82" i="32"/>
  <c r="AC83" i="32"/>
  <c r="AB79" i="32"/>
  <c r="AB80" i="32"/>
  <c r="AB81" i="32"/>
  <c r="AB82" i="32"/>
  <c r="AB83" i="32"/>
  <c r="Z79" i="32"/>
  <c r="Z80" i="32"/>
  <c r="Z81" i="32"/>
  <c r="Z82" i="32"/>
  <c r="Z83" i="32"/>
  <c r="Y79" i="32"/>
  <c r="Y80" i="32"/>
  <c r="Y81" i="32"/>
  <c r="Y82" i="32"/>
  <c r="Y83" i="32"/>
  <c r="DK83" i="32" s="1"/>
  <c r="GG83" i="32" s="1"/>
  <c r="W79" i="32"/>
  <c r="X79" i="32" s="1"/>
  <c r="W80" i="32"/>
  <c r="X80" i="32" s="1"/>
  <c r="W81" i="32"/>
  <c r="X81" i="32" s="1"/>
  <c r="W82" i="32"/>
  <c r="X82" i="32" s="1"/>
  <c r="W83" i="32"/>
  <c r="X83" i="32" s="1"/>
  <c r="V79" i="32"/>
  <c r="V80" i="32"/>
  <c r="V81" i="32"/>
  <c r="V82" i="32"/>
  <c r="V83" i="32"/>
  <c r="U79" i="32"/>
  <c r="EL79" i="32" s="1"/>
  <c r="U80" i="32"/>
  <c r="EL80" i="32" s="1"/>
  <c r="U81" i="32"/>
  <c r="EL81" i="32" s="1"/>
  <c r="U82" i="32"/>
  <c r="EL82" i="32" s="1"/>
  <c r="U83" i="32"/>
  <c r="EL83" i="32" s="1"/>
  <c r="P79" i="32"/>
  <c r="Q79" i="32"/>
  <c r="EN79" i="32" s="1"/>
  <c r="R79" i="32"/>
  <c r="S79" i="32"/>
  <c r="EO79" i="32" s="1"/>
  <c r="P80" i="32"/>
  <c r="Q80" i="32"/>
  <c r="EN80" i="32" s="1"/>
  <c r="R80" i="32"/>
  <c r="S80" i="32"/>
  <c r="EO80" i="32" s="1"/>
  <c r="P81" i="32"/>
  <c r="Q81" i="32"/>
  <c r="EN81" i="32" s="1"/>
  <c r="R81" i="32"/>
  <c r="S81" i="32"/>
  <c r="EO81" i="32" s="1"/>
  <c r="P82" i="32"/>
  <c r="Q82" i="32"/>
  <c r="EN82" i="32" s="1"/>
  <c r="R82" i="32"/>
  <c r="S82" i="32"/>
  <c r="EO82" i="32" s="1"/>
  <c r="P83" i="32"/>
  <c r="Q83" i="32"/>
  <c r="EN83" i="32" s="1"/>
  <c r="R83" i="32"/>
  <c r="S83" i="32"/>
  <c r="EO83" i="32" s="1"/>
  <c r="M79" i="32"/>
  <c r="FD79" i="32" s="1"/>
  <c r="M80" i="32"/>
  <c r="FD80" i="32" s="1"/>
  <c r="M81" i="32"/>
  <c r="FD81" i="32" s="1"/>
  <c r="M82" i="32"/>
  <c r="FD82" i="32" s="1"/>
  <c r="M83" i="32"/>
  <c r="FD83" i="32" s="1"/>
  <c r="L79" i="32"/>
  <c r="L80" i="32"/>
  <c r="L81" i="32"/>
  <c r="L82" i="32"/>
  <c r="L83" i="32"/>
  <c r="G79" i="32"/>
  <c r="ED79" i="32" s="1"/>
  <c r="G80" i="32"/>
  <c r="ED80" i="32" s="1"/>
  <c r="G81" i="32"/>
  <c r="ED81" i="32" s="1"/>
  <c r="G82" i="32"/>
  <c r="ED82" i="32" s="1"/>
  <c r="G83" i="32"/>
  <c r="ED83" i="32" s="1"/>
  <c r="F79" i="32"/>
  <c r="F80" i="32"/>
  <c r="F81" i="32"/>
  <c r="F82" i="32"/>
  <c r="F83" i="32"/>
  <c r="E79" i="32"/>
  <c r="EB79" i="32" s="1"/>
  <c r="E80" i="32"/>
  <c r="EB80" i="32" s="1"/>
  <c r="E81" i="32"/>
  <c r="EB81" i="32" s="1"/>
  <c r="E82" i="32"/>
  <c r="EB82" i="32" s="1"/>
  <c r="E83" i="32"/>
  <c r="EB83" i="32" s="1"/>
  <c r="D79" i="32"/>
  <c r="D80" i="32"/>
  <c r="D81" i="32"/>
  <c r="D82" i="32"/>
  <c r="D83" i="32"/>
  <c r="AL79" i="32" l="1"/>
  <c r="N156" i="25"/>
  <c r="AD162" i="25"/>
  <c r="R162" i="25"/>
  <c r="BS80" i="32"/>
  <c r="AA157" i="25" s="1"/>
  <c r="R157" i="25"/>
  <c r="GI80" i="32"/>
  <c r="H158" i="25"/>
  <c r="AD160" i="25"/>
  <c r="R160" i="25"/>
  <c r="AD159" i="25"/>
  <c r="GI79" i="32"/>
  <c r="H156" i="25"/>
  <c r="AD158" i="25"/>
  <c r="R158" i="25"/>
  <c r="BS81" i="32"/>
  <c r="AA159" i="25" s="1"/>
  <c r="R159" i="25"/>
  <c r="AL80" i="32"/>
  <c r="N158" i="25"/>
  <c r="AD164" i="25"/>
  <c r="R164" i="25"/>
  <c r="AM82" i="32"/>
  <c r="L162" i="25"/>
  <c r="AA160" i="25"/>
  <c r="BQ79" i="32"/>
  <c r="U155" i="25" s="1"/>
  <c r="BQ82" i="32"/>
  <c r="U161" i="25" s="1"/>
  <c r="R161" i="25"/>
  <c r="CR82" i="32"/>
  <c r="AA158" i="25"/>
  <c r="AI158" i="25"/>
  <c r="BR82" i="32"/>
  <c r="X161" i="25" s="1"/>
  <c r="BW83" i="32"/>
  <c r="AF163" i="25" s="1"/>
  <c r="DK81" i="32"/>
  <c r="GG81" i="32" s="1"/>
  <c r="AM80" i="32"/>
  <c r="L158" i="25"/>
  <c r="BR81" i="32"/>
  <c r="X159" i="25" s="1"/>
  <c r="BX83" i="32"/>
  <c r="AI163" i="25" s="1"/>
  <c r="AM83" i="32"/>
  <c r="L164" i="25"/>
  <c r="CR80" i="32"/>
  <c r="AM79" i="32"/>
  <c r="L156" i="25"/>
  <c r="BS79" i="32"/>
  <c r="AA155" i="25" s="1"/>
  <c r="BX80" i="32"/>
  <c r="AI157" i="25" s="1"/>
  <c r="GI82" i="32"/>
  <c r="H162" i="25"/>
  <c r="DK79" i="32"/>
  <c r="GG79" i="32" s="1"/>
  <c r="AL83" i="32"/>
  <c r="N164" i="25"/>
  <c r="AI162" i="25"/>
  <c r="BX79" i="32"/>
  <c r="AI155" i="25" s="1"/>
  <c r="AD156" i="25"/>
  <c r="R156" i="25"/>
  <c r="BQ83" i="32"/>
  <c r="U163" i="25" s="1"/>
  <c r="R163" i="25"/>
  <c r="BT82" i="32"/>
  <c r="AD161" i="25" s="1"/>
  <c r="DK82" i="32"/>
  <c r="GG82" i="32" s="1"/>
  <c r="CR83" i="32"/>
  <c r="DK80" i="32"/>
  <c r="GG80" i="32" s="1"/>
  <c r="BR83" i="32"/>
  <c r="X163" i="25" s="1"/>
  <c r="BT80" i="32"/>
  <c r="AD157" i="25" s="1"/>
  <c r="CR81" i="32"/>
  <c r="AF156" i="25"/>
  <c r="BW82" i="32"/>
  <c r="AF161" i="25" s="1"/>
  <c r="GK83" i="32"/>
  <c r="BR80" i="32"/>
  <c r="X157" i="25" s="1"/>
  <c r="BW81" i="32"/>
  <c r="AF159" i="25" s="1"/>
  <c r="CR79" i="32"/>
  <c r="BR79" i="32"/>
  <c r="X155" i="25" s="1"/>
  <c r="X158" i="25"/>
  <c r="BS83" i="32"/>
  <c r="BS82" i="32"/>
  <c r="AA161" i="25" s="1"/>
  <c r="AA164" i="25"/>
  <c r="GI83" i="32"/>
  <c r="AA162" i="25"/>
  <c r="GK82" i="32"/>
  <c r="GK81" i="32"/>
  <c r="GK80" i="32"/>
  <c r="GK79" i="32"/>
  <c r="GI81" i="32"/>
  <c r="EA81" i="32"/>
  <c r="EC81" i="32"/>
  <c r="EA80" i="32"/>
  <c r="EC80" i="32"/>
  <c r="EA83" i="32"/>
  <c r="EC83" i="32"/>
  <c r="EA79" i="32"/>
  <c r="EC79" i="32"/>
  <c r="EA82" i="32"/>
  <c r="EC82" i="32"/>
  <c r="AF9" i="41"/>
  <c r="EM82" i="32"/>
  <c r="EQ82" i="32" s="1"/>
  <c r="ES82" i="32" s="1"/>
  <c r="CI82" i="32"/>
  <c r="CP82" i="32" s="1"/>
  <c r="CT82" i="32"/>
  <c r="EM83" i="32"/>
  <c r="EQ83" i="32" s="1"/>
  <c r="ES83" i="32" s="1"/>
  <c r="CI83" i="32"/>
  <c r="CP83" i="32" s="1"/>
  <c r="CT83" i="32"/>
  <c r="CW83" i="32"/>
  <c r="EM81" i="32"/>
  <c r="EQ81" i="32" s="1"/>
  <c r="CI81" i="32"/>
  <c r="CP81" i="32" s="1"/>
  <c r="CT81" i="32"/>
  <c r="CW81" i="32"/>
  <c r="CW82" i="32"/>
  <c r="EM80" i="32"/>
  <c r="EQ80" i="32" s="1"/>
  <c r="CI80" i="32"/>
  <c r="CP80" i="32" s="1"/>
  <c r="CT80" i="32"/>
  <c r="CW80" i="32"/>
  <c r="EM79" i="32"/>
  <c r="EQ79" i="32" s="1"/>
  <c r="ES79" i="32" s="1"/>
  <c r="CI79" i="32"/>
  <c r="CP79" i="32" s="1"/>
  <c r="CT79" i="32"/>
  <c r="CW79" i="32"/>
  <c r="EP80" i="32"/>
  <c r="EP83" i="32"/>
  <c r="ER83" i="32" s="1"/>
  <c r="EP82" i="32"/>
  <c r="ER82" i="32" s="1"/>
  <c r="EP81" i="32"/>
  <c r="ER81" i="32" s="1"/>
  <c r="EP79" i="32"/>
  <c r="ER79" i="32" s="1"/>
  <c r="CJ80" i="32"/>
  <c r="CL80" i="32" s="1"/>
  <c r="DH80" i="32" s="1"/>
  <c r="U162" i="25"/>
  <c r="AJ82" i="32"/>
  <c r="AK82" i="32"/>
  <c r="DP82" i="32" s="1"/>
  <c r="GP82" i="32" s="1"/>
  <c r="AL82" i="32"/>
  <c r="CK80" i="32"/>
  <c r="CM80" i="32" s="1"/>
  <c r="DI80" i="32" s="1"/>
  <c r="DM80" i="32"/>
  <c r="CV80" i="32"/>
  <c r="AJ79" i="32"/>
  <c r="BL83" i="32"/>
  <c r="BJ83" i="32"/>
  <c r="BL79" i="32"/>
  <c r="BJ79" i="32"/>
  <c r="CH83" i="32"/>
  <c r="CO83" i="32" s="1"/>
  <c r="CJ83" i="32"/>
  <c r="CL83" i="32" s="1"/>
  <c r="DH83" i="32" s="1"/>
  <c r="CH79" i="32"/>
  <c r="CO79" i="32" s="1"/>
  <c r="CJ79" i="32"/>
  <c r="CL79" i="32" s="1"/>
  <c r="DH79" i="32" s="1"/>
  <c r="CK83" i="32"/>
  <c r="CM83" i="32" s="1"/>
  <c r="DI83" i="32" s="1"/>
  <c r="CK79" i="32"/>
  <c r="CM79" i="32" s="1"/>
  <c r="DI79" i="32" s="1"/>
  <c r="DM83" i="32"/>
  <c r="DM79" i="32"/>
  <c r="CV83" i="32"/>
  <c r="CV79" i="32"/>
  <c r="AJ83" i="32"/>
  <c r="AK80" i="32"/>
  <c r="DP80" i="32" s="1"/>
  <c r="GP80" i="32" s="1"/>
  <c r="BL82" i="32"/>
  <c r="BJ82" i="32"/>
  <c r="CH82" i="32"/>
  <c r="CO82" i="32" s="1"/>
  <c r="CJ82" i="32"/>
  <c r="CL82" i="32" s="1"/>
  <c r="DH82" i="32" s="1"/>
  <c r="CK82" i="32"/>
  <c r="CM82" i="32" s="1"/>
  <c r="DI82" i="32" s="1"/>
  <c r="DM82" i="32"/>
  <c r="CV82" i="32"/>
  <c r="AK79" i="32"/>
  <c r="DP79" i="32" s="1"/>
  <c r="GP79" i="32" s="1"/>
  <c r="BL81" i="32"/>
  <c r="BJ81" i="32"/>
  <c r="CH81" i="32"/>
  <c r="CO81" i="32" s="1"/>
  <c r="CJ81" i="32"/>
  <c r="CL81" i="32" s="1"/>
  <c r="DH81" i="32" s="1"/>
  <c r="CK81" i="32"/>
  <c r="CM81" i="32" s="1"/>
  <c r="DI81" i="32" s="1"/>
  <c r="DM81" i="32"/>
  <c r="CV81" i="32"/>
  <c r="AM81" i="32"/>
  <c r="AK81" i="32"/>
  <c r="DO81" i="32" s="1"/>
  <c r="GO81" i="32" s="1"/>
  <c r="AL81" i="32"/>
  <c r="AJ81" i="32"/>
  <c r="AJ80" i="32"/>
  <c r="AK83" i="32"/>
  <c r="DO83" i="32" s="1"/>
  <c r="GO83" i="32" s="1"/>
  <c r="BL80" i="32"/>
  <c r="BJ80" i="32"/>
  <c r="U164" i="25"/>
  <c r="U156" i="25"/>
  <c r="GM83" i="32"/>
  <c r="GM79" i="32"/>
  <c r="J163" i="25"/>
  <c r="J155" i="25"/>
  <c r="H163" i="25"/>
  <c r="H155" i="25"/>
  <c r="L163" i="25"/>
  <c r="L155" i="25"/>
  <c r="GM82" i="32"/>
  <c r="J161" i="25"/>
  <c r="H161" i="25"/>
  <c r="L161" i="25"/>
  <c r="U160" i="25"/>
  <c r="GM81" i="32"/>
  <c r="J159" i="25"/>
  <c r="H159" i="25"/>
  <c r="L159" i="25"/>
  <c r="U158" i="25"/>
  <c r="GM80" i="32"/>
  <c r="J157" i="25"/>
  <c r="H157" i="25"/>
  <c r="L157" i="25"/>
  <c r="CH80" i="32"/>
  <c r="CO80" i="32" s="1"/>
  <c r="AG9" i="41"/>
  <c r="AM80" i="27"/>
  <c r="AM81" i="27"/>
  <c r="AM82" i="27"/>
  <c r="AM83" i="27"/>
  <c r="AM84" i="27"/>
  <c r="AM85" i="27"/>
  <c r="AM86" i="27"/>
  <c r="AM87" i="27"/>
  <c r="AM88" i="27"/>
  <c r="AM89" i="27"/>
  <c r="AM90" i="27"/>
  <c r="AM91" i="27"/>
  <c r="AM92" i="27"/>
  <c r="AM93" i="27"/>
  <c r="AM94" i="27"/>
  <c r="AM95" i="27"/>
  <c r="AM96" i="27"/>
  <c r="AM79" i="27"/>
  <c r="AM66" i="27"/>
  <c r="AM67" i="27"/>
  <c r="AM68" i="27"/>
  <c r="AM69" i="27"/>
  <c r="AM70" i="27"/>
  <c r="AM71" i="27"/>
  <c r="AM72" i="27"/>
  <c r="AM73" i="27"/>
  <c r="AM74" i="27"/>
  <c r="AM75" i="27"/>
  <c r="AM76" i="27"/>
  <c r="AM77" i="27"/>
  <c r="AM61" i="27"/>
  <c r="AM62" i="27"/>
  <c r="AM63" i="27"/>
  <c r="AM64" i="27"/>
  <c r="AM65" i="27"/>
  <c r="AM60" i="27"/>
  <c r="CZ79" i="32" l="1"/>
  <c r="DA79" i="32"/>
  <c r="CZ83" i="32"/>
  <c r="DA80" i="32"/>
  <c r="DA83" i="32"/>
  <c r="CZ80" i="32"/>
  <c r="X160" i="25"/>
  <c r="X164" i="25"/>
  <c r="CZ82" i="32"/>
  <c r="AI164" i="25"/>
  <c r="X156" i="25"/>
  <c r="X162" i="25"/>
  <c r="AA163" i="25"/>
  <c r="GL83" i="32"/>
  <c r="GN80" i="32"/>
  <c r="GN82" i="32"/>
  <c r="GL82" i="32"/>
  <c r="GL80" i="32"/>
  <c r="GL79" i="32"/>
  <c r="GL81" i="32"/>
  <c r="GN79" i="32"/>
  <c r="GN81" i="32"/>
  <c r="GN83" i="32"/>
  <c r="DS80" i="32"/>
  <c r="GS80" i="32" s="1"/>
  <c r="DS82" i="32"/>
  <c r="GS82" i="32" s="1"/>
  <c r="DO82" i="32"/>
  <c r="GO82" i="32" s="1"/>
  <c r="DS81" i="32"/>
  <c r="GS81" i="32" s="1"/>
  <c r="DS83" i="32"/>
  <c r="GS83" i="32" s="1"/>
  <c r="DS79" i="32"/>
  <c r="GS79" i="32" s="1"/>
  <c r="EV81" i="32"/>
  <c r="EX81" i="32" s="1"/>
  <c r="GE81" i="32" s="1"/>
  <c r="ES81" i="32"/>
  <c r="EV80" i="32"/>
  <c r="EX80" i="32" s="1"/>
  <c r="GE80" i="32" s="1"/>
  <c r="ES80" i="32"/>
  <c r="EU80" i="32"/>
  <c r="EW80" i="32" s="1"/>
  <c r="GD80" i="32" s="1"/>
  <c r="ER80" i="32"/>
  <c r="EU81" i="32"/>
  <c r="EW81" i="32" s="1"/>
  <c r="GD81" i="32" s="1"/>
  <c r="EV82" i="32"/>
  <c r="EX82" i="32" s="1"/>
  <c r="GE82" i="32" s="1"/>
  <c r="EV83" i="32"/>
  <c r="EX83" i="32" s="1"/>
  <c r="GE83" i="32" s="1"/>
  <c r="EV79" i="32"/>
  <c r="EX79" i="32" s="1"/>
  <c r="GE79" i="32" s="1"/>
  <c r="EU82" i="32"/>
  <c r="EW82" i="32" s="1"/>
  <c r="GD82" i="32" s="1"/>
  <c r="EU83" i="32"/>
  <c r="EW83" i="32" s="1"/>
  <c r="GD83" i="32" s="1"/>
  <c r="EU79" i="32"/>
  <c r="EW79" i="32" s="1"/>
  <c r="GD79" i="32" s="1"/>
  <c r="DT82" i="32"/>
  <c r="GT82" i="32" s="1"/>
  <c r="CY79" i="32"/>
  <c r="DA81" i="32"/>
  <c r="DA82" i="32"/>
  <c r="CX81" i="32"/>
  <c r="CZ81" i="32"/>
  <c r="CX82" i="32"/>
  <c r="CX83" i="32"/>
  <c r="DP83" i="32"/>
  <c r="GP83" i="32" s="1"/>
  <c r="BM81" i="32"/>
  <c r="DC81" i="32" s="1"/>
  <c r="BK81" i="32"/>
  <c r="DV81" i="32" s="1"/>
  <c r="GV81" i="32" s="1"/>
  <c r="BM79" i="32"/>
  <c r="DB79" i="32" s="1"/>
  <c r="BK79" i="32"/>
  <c r="DV79" i="32" s="1"/>
  <c r="GV79" i="32" s="1"/>
  <c r="DN79" i="32"/>
  <c r="CU79" i="32"/>
  <c r="DT81" i="32"/>
  <c r="GT81" i="32" s="1"/>
  <c r="DP81" i="32"/>
  <c r="GP81" i="32" s="1"/>
  <c r="CY82" i="32"/>
  <c r="DT83" i="32"/>
  <c r="GT83" i="32" s="1"/>
  <c r="DT79" i="32"/>
  <c r="GT79" i="32" s="1"/>
  <c r="CU81" i="32"/>
  <c r="DN81" i="32"/>
  <c r="BM80" i="32"/>
  <c r="DB80" i="32" s="1"/>
  <c r="BK80" i="32"/>
  <c r="DQ80" i="32" s="1"/>
  <c r="GQ80" i="32" s="1"/>
  <c r="DN80" i="32"/>
  <c r="CU80" i="32"/>
  <c r="BM82" i="32"/>
  <c r="DC82" i="32" s="1"/>
  <c r="BK82" i="32"/>
  <c r="DQ82" i="32" s="1"/>
  <c r="GQ82" i="32" s="1"/>
  <c r="CU82" i="32"/>
  <c r="DN82" i="32"/>
  <c r="BM83" i="32"/>
  <c r="DC83" i="32" s="1"/>
  <c r="BK83" i="32"/>
  <c r="DQ83" i="32" s="1"/>
  <c r="GQ83" i="32" s="1"/>
  <c r="CU83" i="32"/>
  <c r="DN83" i="32"/>
  <c r="DT80" i="32"/>
  <c r="GT80" i="32" s="1"/>
  <c r="CY81" i="32"/>
  <c r="DO79" i="32"/>
  <c r="GO79" i="32" s="1"/>
  <c r="CY80" i="32"/>
  <c r="DO80" i="32"/>
  <c r="GO80" i="32" s="1"/>
  <c r="CX79" i="32"/>
  <c r="CY83" i="32"/>
  <c r="CX80" i="32"/>
  <c r="AQ27" i="25"/>
  <c r="AP27" i="25"/>
  <c r="DB81" i="32" l="1"/>
  <c r="DC79" i="32"/>
  <c r="DU79" i="32"/>
  <c r="GU79" i="32" s="1"/>
  <c r="DR79" i="32"/>
  <c r="GR79" i="32" s="1"/>
  <c r="DR81" i="32"/>
  <c r="GR81" i="32" s="1"/>
  <c r="DQ81" i="32"/>
  <c r="GQ81" i="32" s="1"/>
  <c r="DQ79" i="32"/>
  <c r="GQ79" i="32" s="1"/>
  <c r="DU81" i="32"/>
  <c r="GU81" i="32" s="1"/>
  <c r="DC80" i="32"/>
  <c r="DU82" i="32"/>
  <c r="GU82" i="32" s="1"/>
  <c r="DV80" i="32"/>
  <c r="GV80" i="32" s="1"/>
  <c r="DB83" i="32"/>
  <c r="DB82" i="32"/>
  <c r="DU80" i="32"/>
  <c r="GU80" i="32" s="1"/>
  <c r="DV83" i="32"/>
  <c r="GV83" i="32" s="1"/>
  <c r="DR80" i="32"/>
  <c r="GR80" i="32" s="1"/>
  <c r="DU83" i="32"/>
  <c r="GU83" i="32" s="1"/>
  <c r="DR83" i="32"/>
  <c r="GR83" i="32" s="1"/>
  <c r="DR82" i="32"/>
  <c r="GR82" i="32" s="1"/>
  <c r="DV82" i="32"/>
  <c r="GV82" i="32" s="1"/>
  <c r="DY34" i="32"/>
  <c r="GY34" i="32" s="1"/>
  <c r="DY36" i="32"/>
  <c r="GY36" i="32" s="1"/>
  <c r="DY38" i="32"/>
  <c r="GY38" i="32" s="1"/>
  <c r="DY39" i="32"/>
  <c r="GY39" i="32" s="1"/>
  <c r="DY40" i="32"/>
  <c r="GY40" i="32" s="1"/>
  <c r="DY27" i="32"/>
  <c r="GY27" i="32" s="1"/>
  <c r="DY29" i="32"/>
  <c r="GY29" i="32" s="1"/>
  <c r="DY31" i="32"/>
  <c r="GY31" i="32" s="1"/>
  <c r="DY32" i="32"/>
  <c r="GY32" i="32" s="1"/>
  <c r="DY33" i="32"/>
  <c r="GY33" i="32" s="1"/>
  <c r="DG34" i="32"/>
  <c r="DG36" i="32"/>
  <c r="DG38" i="32"/>
  <c r="DG39" i="32"/>
  <c r="DG40" i="32"/>
  <c r="DG27" i="32"/>
  <c r="DG29" i="32"/>
  <c r="DG31" i="32"/>
  <c r="DG32" i="32"/>
  <c r="DG33" i="32"/>
  <c r="DF34" i="32"/>
  <c r="DF36" i="32"/>
  <c r="DF38" i="32"/>
  <c r="DF39" i="32"/>
  <c r="DF40" i="32"/>
  <c r="DF27" i="32"/>
  <c r="DF29" i="32"/>
  <c r="DF31" i="32"/>
  <c r="DF32" i="32"/>
  <c r="DF33" i="32"/>
  <c r="DX3" i="32"/>
  <c r="DX4" i="32"/>
  <c r="DX5" i="32"/>
  <c r="DX6" i="32"/>
  <c r="DX7" i="32"/>
  <c r="DX8" i="32"/>
  <c r="DX9" i="32"/>
  <c r="DX10" i="32"/>
  <c r="DX11" i="32"/>
  <c r="DX12" i="32"/>
  <c r="DX20" i="32"/>
  <c r="DX22" i="32"/>
  <c r="DX24" i="32"/>
  <c r="DX25" i="32"/>
  <c r="DX26" i="32"/>
  <c r="DX13" i="32"/>
  <c r="DX15" i="32"/>
  <c r="DX17" i="32"/>
  <c r="DX18" i="32"/>
  <c r="DX19" i="32"/>
  <c r="DX41" i="32"/>
  <c r="GX41" i="32" s="1"/>
  <c r="DX42" i="32"/>
  <c r="GX42" i="32" s="1"/>
  <c r="DX43" i="32"/>
  <c r="GX43" i="32" s="1"/>
  <c r="DX44" i="32"/>
  <c r="GX44" i="32" s="1"/>
  <c r="DX45" i="32"/>
  <c r="GX45" i="32" s="1"/>
  <c r="DX46" i="32"/>
  <c r="GX46" i="32" s="1"/>
  <c r="DX47" i="32"/>
  <c r="GX47" i="32" s="1"/>
  <c r="DX48" i="32"/>
  <c r="GX48" i="32" s="1"/>
  <c r="DX49" i="32"/>
  <c r="GX49" i="32" s="1"/>
  <c r="DX50" i="32"/>
  <c r="GX50" i="32" s="1"/>
  <c r="DX51" i="32"/>
  <c r="GX51" i="32" s="1"/>
  <c r="DX52" i="32"/>
  <c r="GX52" i="32" s="1"/>
  <c r="DX53" i="32"/>
  <c r="GX53" i="32" s="1"/>
  <c r="DX54" i="32"/>
  <c r="GX54" i="32" s="1"/>
  <c r="DX55" i="32"/>
  <c r="GX55" i="32" s="1"/>
  <c r="DX56" i="32"/>
  <c r="GX56" i="32" s="1"/>
  <c r="DX57" i="32"/>
  <c r="GX57" i="32" s="1"/>
  <c r="DX58" i="32"/>
  <c r="GX58" i="32" s="1"/>
  <c r="DX59" i="32"/>
  <c r="GX59" i="32" s="1"/>
  <c r="DX60" i="32"/>
  <c r="GX60" i="32" s="1"/>
  <c r="DW4" i="32"/>
  <c r="DW5" i="32"/>
  <c r="DW6" i="32"/>
  <c r="DW7" i="32"/>
  <c r="DW8" i="32"/>
  <c r="DW9" i="32"/>
  <c r="DW10" i="32"/>
  <c r="DW11" i="32"/>
  <c r="DW12" i="32"/>
  <c r="DW20" i="32"/>
  <c r="DW22" i="32"/>
  <c r="DW24" i="32"/>
  <c r="DW25" i="32"/>
  <c r="DW26" i="32"/>
  <c r="DW13" i="32"/>
  <c r="DW15" i="32"/>
  <c r="DW17" i="32"/>
  <c r="DW18" i="32"/>
  <c r="DW19" i="32"/>
  <c r="DW41" i="32"/>
  <c r="GW41" i="32" s="1"/>
  <c r="DW42" i="32"/>
  <c r="GW42" i="32" s="1"/>
  <c r="DW43" i="32"/>
  <c r="GW43" i="32" s="1"/>
  <c r="DW44" i="32"/>
  <c r="GW44" i="32" s="1"/>
  <c r="DW45" i="32"/>
  <c r="GW45" i="32" s="1"/>
  <c r="DW46" i="32"/>
  <c r="GW46" i="32" s="1"/>
  <c r="DW47" i="32"/>
  <c r="GW47" i="32" s="1"/>
  <c r="DW48" i="32"/>
  <c r="GW48" i="32" s="1"/>
  <c r="DW49" i="32"/>
  <c r="GW49" i="32" s="1"/>
  <c r="DW50" i="32"/>
  <c r="GW50" i="32" s="1"/>
  <c r="DW51" i="32"/>
  <c r="GW51" i="32" s="1"/>
  <c r="DW52" i="32"/>
  <c r="GW52" i="32" s="1"/>
  <c r="DW53" i="32"/>
  <c r="GW53" i="32" s="1"/>
  <c r="DW54" i="32"/>
  <c r="GW54" i="32" s="1"/>
  <c r="DW55" i="32"/>
  <c r="GW55" i="32" s="1"/>
  <c r="DW56" i="32"/>
  <c r="GW56" i="32" s="1"/>
  <c r="DW57" i="32"/>
  <c r="GW57" i="32" s="1"/>
  <c r="DW58" i="32"/>
  <c r="GW58" i="32" s="1"/>
  <c r="DW59" i="32"/>
  <c r="GW59" i="32" s="1"/>
  <c r="DW60" i="32"/>
  <c r="GW60" i="32" s="1"/>
  <c r="DE3" i="32"/>
  <c r="DG3" i="32" s="1"/>
  <c r="DE4" i="32"/>
  <c r="DG4" i="32" s="1"/>
  <c r="DE5" i="32"/>
  <c r="DG5" i="32" s="1"/>
  <c r="DE6" i="32"/>
  <c r="DG6" i="32" s="1"/>
  <c r="DE7" i="32"/>
  <c r="DG7" i="32" s="1"/>
  <c r="DE8" i="32"/>
  <c r="DG8" i="32" s="1"/>
  <c r="DE9" i="32"/>
  <c r="DG9" i="32" s="1"/>
  <c r="DE10" i="32"/>
  <c r="DG10" i="32" s="1"/>
  <c r="DE11" i="32"/>
  <c r="DG11" i="32" s="1"/>
  <c r="DE12" i="32"/>
  <c r="DG12" i="32" s="1"/>
  <c r="DE20" i="32"/>
  <c r="DG20" i="32" s="1"/>
  <c r="DE22" i="32"/>
  <c r="DG22" i="32" s="1"/>
  <c r="DE24" i="32"/>
  <c r="DG24" i="32" s="1"/>
  <c r="DE25" i="32"/>
  <c r="DG25" i="32" s="1"/>
  <c r="DE26" i="32"/>
  <c r="DG26" i="32" s="1"/>
  <c r="DE13" i="32"/>
  <c r="DG13" i="32" s="1"/>
  <c r="DE15" i="32"/>
  <c r="DG15" i="32" s="1"/>
  <c r="DE17" i="32"/>
  <c r="DG17" i="32" s="1"/>
  <c r="DE18" i="32"/>
  <c r="DG18" i="32" s="1"/>
  <c r="DE19" i="32"/>
  <c r="DG19" i="32" s="1"/>
  <c r="DE41" i="32"/>
  <c r="DG41" i="32" s="1"/>
  <c r="DE42" i="32"/>
  <c r="DG42" i="32" s="1"/>
  <c r="DE43" i="32"/>
  <c r="DG43" i="32" s="1"/>
  <c r="DE44" i="32"/>
  <c r="DG44" i="32" s="1"/>
  <c r="DE45" i="32"/>
  <c r="DG45" i="32" s="1"/>
  <c r="DE46" i="32"/>
  <c r="DG46" i="32" s="1"/>
  <c r="DE47" i="32"/>
  <c r="DG47" i="32" s="1"/>
  <c r="DE48" i="32"/>
  <c r="DG48" i="32" s="1"/>
  <c r="DE49" i="32"/>
  <c r="DE50" i="32"/>
  <c r="DG50" i="32" s="1"/>
  <c r="DE51" i="32"/>
  <c r="DG51" i="32" s="1"/>
  <c r="DE52" i="32"/>
  <c r="DG52" i="32" s="1"/>
  <c r="DE53" i="32"/>
  <c r="DG53" i="32" s="1"/>
  <c r="DE54" i="32"/>
  <c r="DG54" i="32" s="1"/>
  <c r="DE55" i="32"/>
  <c r="DG55" i="32" s="1"/>
  <c r="DE56" i="32"/>
  <c r="DG56" i="32" s="1"/>
  <c r="DE57" i="32"/>
  <c r="DG57" i="32" s="1"/>
  <c r="DE58" i="32"/>
  <c r="DG58" i="32" s="1"/>
  <c r="DE59" i="32"/>
  <c r="DG59" i="32" s="1"/>
  <c r="DE60" i="32"/>
  <c r="DG60" i="32" s="1"/>
  <c r="DD4" i="32"/>
  <c r="DF4" i="32" s="1"/>
  <c r="DD5" i="32"/>
  <c r="DF5" i="32" s="1"/>
  <c r="DD6" i="32"/>
  <c r="DF6" i="32" s="1"/>
  <c r="DD7" i="32"/>
  <c r="DF7" i="32" s="1"/>
  <c r="DD8" i="32"/>
  <c r="DF8" i="32" s="1"/>
  <c r="DD9" i="32"/>
  <c r="DF9" i="32" s="1"/>
  <c r="DD10" i="32"/>
  <c r="DF10" i="32" s="1"/>
  <c r="DD11" i="32"/>
  <c r="DF11" i="32" s="1"/>
  <c r="DD12" i="32"/>
  <c r="DF12" i="32" s="1"/>
  <c r="DD20" i="32"/>
  <c r="DF20" i="32" s="1"/>
  <c r="DD22" i="32"/>
  <c r="DF22" i="32" s="1"/>
  <c r="DD24" i="32"/>
  <c r="DF24" i="32" s="1"/>
  <c r="DD25" i="32"/>
  <c r="DF25" i="32" s="1"/>
  <c r="DD26" i="32"/>
  <c r="DF26" i="32" s="1"/>
  <c r="DD13" i="32"/>
  <c r="DF13" i="32" s="1"/>
  <c r="DD15" i="32"/>
  <c r="DF15" i="32" s="1"/>
  <c r="DD17" i="32"/>
  <c r="DF17" i="32" s="1"/>
  <c r="DD18" i="32"/>
  <c r="DF18" i="32" s="1"/>
  <c r="DD19" i="32"/>
  <c r="DF19" i="32" s="1"/>
  <c r="DD41" i="32"/>
  <c r="DF41" i="32" s="1"/>
  <c r="DD42" i="32"/>
  <c r="DF42" i="32" s="1"/>
  <c r="DD43" i="32"/>
  <c r="DF43" i="32" s="1"/>
  <c r="DD44" i="32"/>
  <c r="DF44" i="32" s="1"/>
  <c r="DD45" i="32"/>
  <c r="DF45" i="32" s="1"/>
  <c r="DD46" i="32"/>
  <c r="DF46" i="32" s="1"/>
  <c r="DD47" i="32"/>
  <c r="DF47" i="32" s="1"/>
  <c r="DD48" i="32"/>
  <c r="DF48" i="32" s="1"/>
  <c r="DD49" i="32"/>
  <c r="DD50" i="32"/>
  <c r="DF50" i="32" s="1"/>
  <c r="DD51" i="32"/>
  <c r="DF51" i="32" s="1"/>
  <c r="DD52" i="32"/>
  <c r="DF52" i="32" s="1"/>
  <c r="DD53" i="32"/>
  <c r="DF53" i="32" s="1"/>
  <c r="DD54" i="32"/>
  <c r="DF54" i="32" s="1"/>
  <c r="DD55" i="32"/>
  <c r="DF55" i="32" s="1"/>
  <c r="DD56" i="32"/>
  <c r="DF56" i="32" s="1"/>
  <c r="DD57" i="32"/>
  <c r="DF57" i="32" s="1"/>
  <c r="DD58" i="32"/>
  <c r="DF58" i="32" s="1"/>
  <c r="DD59" i="32"/>
  <c r="DF59" i="32" s="1"/>
  <c r="DD60" i="32"/>
  <c r="DF60" i="32" s="1"/>
  <c r="DD3" i="32"/>
  <c r="DF3" i="32" s="1"/>
  <c r="DY50" i="32" l="1"/>
  <c r="GY50" i="32" s="1"/>
  <c r="DZ58" i="32"/>
  <c r="GZ58" i="32" s="1"/>
  <c r="DY41" i="32"/>
  <c r="GY41" i="32" s="1"/>
  <c r="DY7" i="32"/>
  <c r="GY7" i="32" s="1"/>
  <c r="GW7" i="32"/>
  <c r="DZ41" i="32"/>
  <c r="GZ41" i="32" s="1"/>
  <c r="DZ7" i="32"/>
  <c r="GZ7" i="32" s="1"/>
  <c r="GX7" i="32"/>
  <c r="DY56" i="32"/>
  <c r="GY56" i="32" s="1"/>
  <c r="DY48" i="32"/>
  <c r="GY48" i="32" s="1"/>
  <c r="DY19" i="32"/>
  <c r="GY19" i="32" s="1"/>
  <c r="GW19" i="32"/>
  <c r="DY22" i="32"/>
  <c r="GY22" i="32" s="1"/>
  <c r="GW22" i="32"/>
  <c r="DY6" i="32"/>
  <c r="GY6" i="32" s="1"/>
  <c r="GW6" i="32"/>
  <c r="DZ56" i="32"/>
  <c r="GZ56" i="32" s="1"/>
  <c r="DZ48" i="32"/>
  <c r="GZ48" i="32" s="1"/>
  <c r="GX19" i="32"/>
  <c r="DZ19" i="32"/>
  <c r="GZ19" i="32" s="1"/>
  <c r="GX22" i="32"/>
  <c r="DZ22" i="32"/>
  <c r="GZ22" i="32" s="1"/>
  <c r="GX6" i="32"/>
  <c r="DZ6" i="32"/>
  <c r="GZ6" i="32" s="1"/>
  <c r="DY25" i="32"/>
  <c r="GY25" i="32" s="1"/>
  <c r="GW25" i="32"/>
  <c r="DZ42" i="32"/>
  <c r="GZ42" i="32" s="1"/>
  <c r="DY24" i="32"/>
  <c r="GY24" i="32" s="1"/>
  <c r="GW24" i="32"/>
  <c r="DZ57" i="32"/>
  <c r="GZ57" i="32" s="1"/>
  <c r="DZ24" i="32"/>
  <c r="GZ24" i="32" s="1"/>
  <c r="GX24" i="32"/>
  <c r="DY55" i="32"/>
  <c r="GY55" i="32" s="1"/>
  <c r="DY47" i="32"/>
  <c r="GY47" i="32" s="1"/>
  <c r="DY18" i="32"/>
  <c r="GY18" i="32" s="1"/>
  <c r="GW18" i="32"/>
  <c r="DY20" i="32"/>
  <c r="GY20" i="32" s="1"/>
  <c r="GW20" i="32"/>
  <c r="DY5" i="32"/>
  <c r="GY5" i="32" s="1"/>
  <c r="GW5" i="32"/>
  <c r="DZ55" i="32"/>
  <c r="GZ55" i="32" s="1"/>
  <c r="DZ47" i="32"/>
  <c r="GZ47" i="32" s="1"/>
  <c r="DZ18" i="32"/>
  <c r="GZ18" i="32" s="1"/>
  <c r="GX18" i="32"/>
  <c r="DZ20" i="32"/>
  <c r="GZ20" i="32" s="1"/>
  <c r="GX20" i="32"/>
  <c r="DZ5" i="32"/>
  <c r="GZ5" i="32" s="1"/>
  <c r="GX5" i="32"/>
  <c r="DY60" i="32"/>
  <c r="GY60" i="32" s="1"/>
  <c r="DZ50" i="32"/>
  <c r="GZ50" i="32" s="1"/>
  <c r="DY54" i="32"/>
  <c r="GY54" i="32" s="1"/>
  <c r="DY17" i="32"/>
  <c r="GY17" i="32" s="1"/>
  <c r="GW17" i="32"/>
  <c r="DZ54" i="32"/>
  <c r="GZ54" i="32" s="1"/>
  <c r="DZ17" i="32"/>
  <c r="GZ17" i="32" s="1"/>
  <c r="GX17" i="32"/>
  <c r="DZ4" i="32"/>
  <c r="GZ4" i="32" s="1"/>
  <c r="GX4" i="32"/>
  <c r="DY8" i="32"/>
  <c r="GY8" i="32" s="1"/>
  <c r="GW8" i="32"/>
  <c r="DZ25" i="32"/>
  <c r="GZ25" i="32" s="1"/>
  <c r="GX25" i="32"/>
  <c r="DY46" i="32"/>
  <c r="GY46" i="32" s="1"/>
  <c r="DY12" i="32"/>
  <c r="GY12" i="32" s="1"/>
  <c r="GW12" i="32"/>
  <c r="DY4" i="32"/>
  <c r="GY4" i="32" s="1"/>
  <c r="GW4" i="32"/>
  <c r="DZ46" i="32"/>
  <c r="GZ46" i="32" s="1"/>
  <c r="DZ12" i="32"/>
  <c r="GZ12" i="32" s="1"/>
  <c r="GX12" i="32"/>
  <c r="DY53" i="32"/>
  <c r="GY53" i="32" s="1"/>
  <c r="DY45" i="32"/>
  <c r="GY45" i="32" s="1"/>
  <c r="DY15" i="32"/>
  <c r="GY15" i="32" s="1"/>
  <c r="GW15" i="32"/>
  <c r="DY11" i="32"/>
  <c r="GY11" i="32" s="1"/>
  <c r="GW11" i="32"/>
  <c r="DY3" i="32"/>
  <c r="GY3" i="32" s="1"/>
  <c r="GW3" i="32"/>
  <c r="DZ53" i="32"/>
  <c r="GZ53" i="32" s="1"/>
  <c r="DZ45" i="32"/>
  <c r="GZ45" i="32" s="1"/>
  <c r="DZ15" i="32"/>
  <c r="GZ15" i="32" s="1"/>
  <c r="GX15" i="32"/>
  <c r="DZ11" i="32"/>
  <c r="GZ11" i="32" s="1"/>
  <c r="GX11" i="32"/>
  <c r="DZ3" i="32"/>
  <c r="GZ3" i="32" s="1"/>
  <c r="GX3" i="32"/>
  <c r="DY52" i="32"/>
  <c r="GY52" i="32" s="1"/>
  <c r="DZ60" i="32"/>
  <c r="GZ60" i="32" s="1"/>
  <c r="DZ44" i="32"/>
  <c r="GZ44" i="32" s="1"/>
  <c r="DY44" i="32"/>
  <c r="GY44" i="32" s="1"/>
  <c r="DY10" i="32"/>
  <c r="GY10" i="32" s="1"/>
  <c r="GW10" i="32"/>
  <c r="DZ52" i="32"/>
  <c r="GZ52" i="32" s="1"/>
  <c r="DZ13" i="32"/>
  <c r="GZ13" i="32" s="1"/>
  <c r="GX13" i="32"/>
  <c r="DZ10" i="32"/>
  <c r="GZ10" i="32" s="1"/>
  <c r="GX10" i="32"/>
  <c r="DY59" i="32"/>
  <c r="GY59" i="32" s="1"/>
  <c r="DY51" i="32"/>
  <c r="GY51" i="32" s="1"/>
  <c r="DY43" i="32"/>
  <c r="GY43" i="32" s="1"/>
  <c r="DY26" i="32"/>
  <c r="GY26" i="32" s="1"/>
  <c r="GW26" i="32"/>
  <c r="DY9" i="32"/>
  <c r="GY9" i="32" s="1"/>
  <c r="GW9" i="32"/>
  <c r="DZ59" i="32"/>
  <c r="GZ59" i="32" s="1"/>
  <c r="DZ51" i="32"/>
  <c r="GZ51" i="32" s="1"/>
  <c r="DZ43" i="32"/>
  <c r="GZ43" i="32" s="1"/>
  <c r="GX26" i="32"/>
  <c r="DZ26" i="32"/>
  <c r="GZ26" i="32" s="1"/>
  <c r="GX9" i="32"/>
  <c r="DZ9" i="32"/>
  <c r="GZ9" i="32" s="1"/>
  <c r="DY58" i="32"/>
  <c r="GY58" i="32" s="1"/>
  <c r="DZ8" i="32"/>
  <c r="GZ8" i="32" s="1"/>
  <c r="GX8" i="32"/>
  <c r="DY13" i="32"/>
  <c r="GY13" i="32" s="1"/>
  <c r="GW13" i="32"/>
  <c r="DY42" i="32"/>
  <c r="GY42" i="32" s="1"/>
  <c r="DY57" i="32"/>
  <c r="GY57" i="32" s="1"/>
  <c r="BV34" i="32"/>
  <c r="BV36" i="32"/>
  <c r="BV38" i="32"/>
  <c r="BV39" i="32"/>
  <c r="BV40" i="32"/>
  <c r="BV27" i="32"/>
  <c r="BV29" i="32"/>
  <c r="BV31" i="32"/>
  <c r="BY31" i="32" s="1"/>
  <c r="BV32" i="32"/>
  <c r="BV33" i="32"/>
  <c r="BP34" i="32"/>
  <c r="BU34" i="32" s="1"/>
  <c r="BP36" i="32"/>
  <c r="BP38" i="32"/>
  <c r="BP39" i="32"/>
  <c r="BP40" i="32"/>
  <c r="BP27" i="32"/>
  <c r="BP29" i="32"/>
  <c r="BP31" i="32"/>
  <c r="BP32" i="32"/>
  <c r="BU32" i="32" s="1"/>
  <c r="BP33" i="32"/>
  <c r="BT39" i="32" l="1"/>
  <c r="BU39" i="32"/>
  <c r="BX36" i="32"/>
  <c r="BY36" i="32"/>
  <c r="BT36" i="32"/>
  <c r="BU36" i="32"/>
  <c r="BX34" i="32"/>
  <c r="BY34" i="32"/>
  <c r="BT33" i="32"/>
  <c r="BU33" i="32"/>
  <c r="BQ38" i="32"/>
  <c r="BU38" i="32"/>
  <c r="BX29" i="32"/>
  <c r="BY29" i="32"/>
  <c r="BX33" i="32"/>
  <c r="BY33" i="32"/>
  <c r="BR31" i="32"/>
  <c r="BU31" i="32"/>
  <c r="BW27" i="32"/>
  <c r="BY27" i="32"/>
  <c r="BW40" i="32"/>
  <c r="BY40" i="32"/>
  <c r="BX32" i="32"/>
  <c r="BY32" i="32"/>
  <c r="BT29" i="32"/>
  <c r="BU29" i="32"/>
  <c r="BQ27" i="32"/>
  <c r="BU27" i="32"/>
  <c r="BW39" i="32"/>
  <c r="BY39" i="32"/>
  <c r="BS40" i="32"/>
  <c r="BU40" i="32"/>
  <c r="BX38" i="32"/>
  <c r="BY38" i="32"/>
  <c r="BR33" i="32"/>
  <c r="BR38" i="32"/>
  <c r="BS29" i="32"/>
  <c r="BT27" i="32"/>
  <c r="BS27" i="32"/>
  <c r="BW36" i="32"/>
  <c r="BR36" i="32"/>
  <c r="BS38" i="32"/>
  <c r="BQ39" i="32"/>
  <c r="BT38" i="32"/>
  <c r="BX27" i="32"/>
  <c r="BR27" i="32"/>
  <c r="BS33" i="32"/>
  <c r="BS36" i="32"/>
  <c r="BW29" i="32"/>
  <c r="BX40" i="32"/>
  <c r="BR39" i="32"/>
  <c r="BW38" i="32"/>
  <c r="BX39" i="32"/>
  <c r="BS31" i="32"/>
  <c r="BQ31" i="32"/>
  <c r="BQ29" i="32"/>
  <c r="BR29" i="32"/>
  <c r="BW34" i="32"/>
  <c r="BX31" i="32"/>
  <c r="BW31" i="32"/>
  <c r="BT34" i="32"/>
  <c r="BS34" i="32"/>
  <c r="BQ34" i="32"/>
  <c r="BR34" i="32"/>
  <c r="BQ40" i="32"/>
  <c r="BW33" i="32"/>
  <c r="BW32" i="32"/>
  <c r="BT32" i="32"/>
  <c r="BS32" i="32"/>
  <c r="BQ32" i="32"/>
  <c r="BR32" i="32"/>
  <c r="BR40" i="32"/>
  <c r="BT40" i="32"/>
  <c r="BT31" i="32"/>
  <c r="BS39" i="32"/>
  <c r="BQ33" i="32"/>
  <c r="BQ36" i="32"/>
  <c r="CB34" i="32" l="1"/>
  <c r="CB36" i="32"/>
  <c r="CB38" i="32"/>
  <c r="CB39" i="32"/>
  <c r="CB40" i="32"/>
  <c r="CB27" i="32"/>
  <c r="CB29" i="32"/>
  <c r="CB31" i="32"/>
  <c r="CB32" i="32"/>
  <c r="CB33" i="32"/>
  <c r="CA4" i="32"/>
  <c r="CA5" i="32"/>
  <c r="CA6" i="32"/>
  <c r="CA7" i="32"/>
  <c r="CA8" i="32"/>
  <c r="CA9" i="32"/>
  <c r="CA10" i="32"/>
  <c r="CA11" i="32"/>
  <c r="CA12" i="32"/>
  <c r="CA20" i="32"/>
  <c r="CA22" i="32"/>
  <c r="CA24" i="32"/>
  <c r="Q85" i="25" s="1"/>
  <c r="CA25" i="32"/>
  <c r="CA26" i="32"/>
  <c r="CA13" i="32"/>
  <c r="CA15" i="32"/>
  <c r="CA17" i="32"/>
  <c r="CA18" i="32"/>
  <c r="CA19" i="32"/>
  <c r="CA34" i="32"/>
  <c r="CA36" i="32"/>
  <c r="CA38" i="32"/>
  <c r="CA39" i="32"/>
  <c r="CA40" i="32"/>
  <c r="CA27" i="32"/>
  <c r="CA29" i="32"/>
  <c r="CA31" i="32"/>
  <c r="CA32" i="32"/>
  <c r="CA33" i="32"/>
  <c r="CA41" i="32"/>
  <c r="CA42" i="32"/>
  <c r="CA43" i="32"/>
  <c r="Q86" i="25" s="1"/>
  <c r="CA44" i="32"/>
  <c r="CA45" i="32"/>
  <c r="CA46" i="32"/>
  <c r="CA47" i="32"/>
  <c r="CA48" i="32"/>
  <c r="CA49" i="32"/>
  <c r="CA50" i="32"/>
  <c r="CA51" i="32"/>
  <c r="CA52" i="32"/>
  <c r="CA53" i="32"/>
  <c r="CA54" i="32"/>
  <c r="CA55" i="32"/>
  <c r="CA56" i="32"/>
  <c r="CA57" i="32"/>
  <c r="CA58" i="32"/>
  <c r="CA59" i="32"/>
  <c r="CA60" i="32"/>
  <c r="CA3" i="32"/>
  <c r="AC3" i="32" l="1"/>
  <c r="AC4" i="32"/>
  <c r="AC5" i="32"/>
  <c r="AC6" i="32"/>
  <c r="AC7" i="32"/>
  <c r="AC8" i="32"/>
  <c r="AC9" i="32"/>
  <c r="AC10" i="32"/>
  <c r="AC11" i="32"/>
  <c r="AC12" i="32"/>
  <c r="AC20" i="32"/>
  <c r="AC22" i="32"/>
  <c r="AC24" i="32"/>
  <c r="AC25" i="32"/>
  <c r="AC26" i="32"/>
  <c r="AC13" i="32"/>
  <c r="AC15" i="32"/>
  <c r="AC17" i="32"/>
  <c r="AC18" i="32"/>
  <c r="AC19" i="32"/>
  <c r="AC34" i="32"/>
  <c r="AC36" i="32"/>
  <c r="AC38" i="32"/>
  <c r="AC39" i="32"/>
  <c r="AC40" i="32"/>
  <c r="AC27" i="32"/>
  <c r="AC29" i="32"/>
  <c r="AC31" i="32"/>
  <c r="AC32" i="32"/>
  <c r="AC33" i="32"/>
  <c r="AC41" i="32"/>
  <c r="AC42" i="32"/>
  <c r="AC43" i="32"/>
  <c r="AC44" i="32"/>
  <c r="AC45" i="32"/>
  <c r="AC46" i="32"/>
  <c r="AC47" i="32"/>
  <c r="AC48" i="32"/>
  <c r="AC49" i="32"/>
  <c r="AC50" i="32"/>
  <c r="AC51" i="32"/>
  <c r="AC52" i="32"/>
  <c r="AC53" i="32"/>
  <c r="AC54" i="32"/>
  <c r="AC55" i="32"/>
  <c r="AC56" i="32"/>
  <c r="AC57" i="32"/>
  <c r="AC58" i="32"/>
  <c r="AC59" i="32"/>
  <c r="AC60" i="32"/>
  <c r="AB3" i="32"/>
  <c r="BB3" i="32" s="1"/>
  <c r="AB4" i="32"/>
  <c r="BB4" i="32" s="1"/>
  <c r="AB5" i="32"/>
  <c r="BB5" i="32" s="1"/>
  <c r="AB6" i="32"/>
  <c r="BB6" i="32" s="1"/>
  <c r="AB7" i="32"/>
  <c r="BB7" i="32" s="1"/>
  <c r="AB8" i="32"/>
  <c r="BB8" i="32" s="1"/>
  <c r="AB9" i="32"/>
  <c r="BB9" i="32" s="1"/>
  <c r="AB10" i="32"/>
  <c r="BB10" i="32" s="1"/>
  <c r="AB11" i="32"/>
  <c r="BB11" i="32" s="1"/>
  <c r="AB12" i="32"/>
  <c r="BB12" i="32" s="1"/>
  <c r="AB20" i="32"/>
  <c r="BB20" i="32" s="1"/>
  <c r="AB22" i="32"/>
  <c r="BB22" i="32" s="1"/>
  <c r="AB24" i="32"/>
  <c r="BB24" i="32" s="1"/>
  <c r="AB25" i="32"/>
  <c r="BB25" i="32" s="1"/>
  <c r="AB26" i="32"/>
  <c r="BB26" i="32" s="1"/>
  <c r="AB13" i="32"/>
  <c r="BB13" i="32" s="1"/>
  <c r="AB15" i="32"/>
  <c r="BB15" i="32" s="1"/>
  <c r="AB17" i="32"/>
  <c r="BB17" i="32" s="1"/>
  <c r="AB18" i="32"/>
  <c r="BB18" i="32" s="1"/>
  <c r="AB19" i="32"/>
  <c r="BB19" i="32" s="1"/>
  <c r="AB34" i="32"/>
  <c r="AB36" i="32"/>
  <c r="AB38" i="32"/>
  <c r="AB39" i="32"/>
  <c r="AB40" i="32"/>
  <c r="AB27" i="32"/>
  <c r="AB29" i="32"/>
  <c r="AB31" i="32"/>
  <c r="AB32" i="32"/>
  <c r="AB33" i="32"/>
  <c r="AB41" i="32"/>
  <c r="BB41" i="32" s="1"/>
  <c r="AB42" i="32"/>
  <c r="BB42" i="32" s="1"/>
  <c r="AB43" i="32"/>
  <c r="BB43" i="32" s="1"/>
  <c r="AB44" i="32"/>
  <c r="BB44" i="32" s="1"/>
  <c r="AB45" i="32"/>
  <c r="BB45" i="32" s="1"/>
  <c r="AB46" i="32"/>
  <c r="BB46" i="32" s="1"/>
  <c r="AB47" i="32"/>
  <c r="BB47" i="32" s="1"/>
  <c r="AB48" i="32"/>
  <c r="BB48" i="32" s="1"/>
  <c r="AB49" i="32"/>
  <c r="AB50" i="32"/>
  <c r="BB50" i="32" s="1"/>
  <c r="AB51" i="32"/>
  <c r="BB51" i="32" s="1"/>
  <c r="AB52" i="32"/>
  <c r="BB52" i="32" s="1"/>
  <c r="AB53" i="32"/>
  <c r="BB53" i="32" s="1"/>
  <c r="AB54" i="32"/>
  <c r="BB54" i="32" s="1"/>
  <c r="AB55" i="32"/>
  <c r="BB55" i="32" s="1"/>
  <c r="AB56" i="32"/>
  <c r="BB56" i="32" s="1"/>
  <c r="AB57" i="32"/>
  <c r="BB57" i="32" s="1"/>
  <c r="AB58" i="32"/>
  <c r="BB58" i="32" s="1"/>
  <c r="AB59" i="32"/>
  <c r="BB59" i="32" s="1"/>
  <c r="AB60" i="32"/>
  <c r="BB60" i="32" s="1"/>
  <c r="BC58" i="32" l="1"/>
  <c r="BD58" i="32"/>
  <c r="BC46" i="32"/>
  <c r="BD46" i="32"/>
  <c r="BC22" i="32"/>
  <c r="BD22" i="32"/>
  <c r="BC12" i="32"/>
  <c r="BD12" i="32"/>
  <c r="BC56" i="32"/>
  <c r="BD56" i="32"/>
  <c r="BC55" i="32"/>
  <c r="BD55" i="32"/>
  <c r="BC43" i="32"/>
  <c r="BD43" i="32"/>
  <c r="BC11" i="32"/>
  <c r="BD11" i="32"/>
  <c r="BC54" i="32"/>
  <c r="BD54" i="32"/>
  <c r="BC42" i="32"/>
  <c r="BD42" i="32"/>
  <c r="BC19" i="32"/>
  <c r="BD19" i="32"/>
  <c r="BC10" i="32"/>
  <c r="BD10" i="32"/>
  <c r="BC53" i="32"/>
  <c r="BD53" i="32"/>
  <c r="BC18" i="32"/>
  <c r="BD18" i="32"/>
  <c r="BC9" i="32"/>
  <c r="BD9" i="32"/>
  <c r="BC45" i="32"/>
  <c r="BD45" i="32"/>
  <c r="BD52" i="32"/>
  <c r="BC52" i="32"/>
  <c r="BC17" i="32"/>
  <c r="BD17" i="32"/>
  <c r="BC8" i="32"/>
  <c r="BD8" i="32"/>
  <c r="BD51" i="32"/>
  <c r="BC51" i="32"/>
  <c r="BC15" i="32"/>
  <c r="BD15" i="32"/>
  <c r="BC7" i="32"/>
  <c r="BD7" i="32"/>
  <c r="BD50" i="32"/>
  <c r="BC50" i="32"/>
  <c r="BD13" i="32"/>
  <c r="BC13" i="32"/>
  <c r="BC6" i="32"/>
  <c r="BD6" i="32"/>
  <c r="BC41" i="32"/>
  <c r="BD41" i="32"/>
  <c r="BD26" i="32"/>
  <c r="BC26" i="32"/>
  <c r="BC5" i="32"/>
  <c r="BD5" i="32"/>
  <c r="BC57" i="32"/>
  <c r="BD57" i="32"/>
  <c r="BC20" i="32"/>
  <c r="BD20" i="32"/>
  <c r="BD60" i="32"/>
  <c r="BC60" i="32"/>
  <c r="BD48" i="32"/>
  <c r="BC48" i="32"/>
  <c r="BD25" i="32"/>
  <c r="BC25" i="32"/>
  <c r="BD4" i="32"/>
  <c r="BC4" i="32"/>
  <c r="BC44" i="32"/>
  <c r="BD44" i="32"/>
  <c r="BD59" i="32"/>
  <c r="BC59" i="32"/>
  <c r="BC47" i="32"/>
  <c r="BD47" i="32"/>
  <c r="BC24" i="32"/>
  <c r="BD24" i="32"/>
  <c r="BD3" i="32"/>
  <c r="BC3" i="32"/>
  <c r="BM27" i="32"/>
  <c r="BK29" i="32"/>
  <c r="BJ29" i="32"/>
  <c r="BK31" i="32"/>
  <c r="BJ31" i="32"/>
  <c r="BK32" i="32"/>
  <c r="P29" i="32"/>
  <c r="CD29" i="32"/>
  <c r="F29" i="32"/>
  <c r="G29" i="32"/>
  <c r="L29" i="32"/>
  <c r="CS29" i="32" s="1"/>
  <c r="M29" i="32"/>
  <c r="FD29" i="32" s="1"/>
  <c r="R29" i="32"/>
  <c r="X29" i="32"/>
  <c r="Z29" i="32"/>
  <c r="AF29" i="32"/>
  <c r="AG29" i="32"/>
  <c r="AH29" i="32"/>
  <c r="AM29" i="32" s="1"/>
  <c r="AI29" i="32"/>
  <c r="AL29" i="32" s="1"/>
  <c r="CC29" i="32"/>
  <c r="CG29" i="32"/>
  <c r="CN29" i="32"/>
  <c r="P27" i="32"/>
  <c r="L31" i="32"/>
  <c r="L27" i="32"/>
  <c r="M31" i="32"/>
  <c r="FD31" i="32" s="1"/>
  <c r="F27" i="32"/>
  <c r="F31" i="32"/>
  <c r="G27" i="32"/>
  <c r="G31" i="32"/>
  <c r="M27" i="32"/>
  <c r="FD27" i="32" s="1"/>
  <c r="P31" i="32"/>
  <c r="X27" i="32"/>
  <c r="Z27" i="32"/>
  <c r="Z31" i="32"/>
  <c r="AF27" i="32"/>
  <c r="AF31" i="32"/>
  <c r="AG27" i="32"/>
  <c r="AG31" i="32"/>
  <c r="AH27" i="32"/>
  <c r="AK27" i="32" s="1"/>
  <c r="AH31" i="32"/>
  <c r="AK31" i="32" s="1"/>
  <c r="AI27" i="32"/>
  <c r="AL27" i="32" s="1"/>
  <c r="AI31" i="32"/>
  <c r="AL31" i="32" s="1"/>
  <c r="CC27" i="32"/>
  <c r="CC31" i="32"/>
  <c r="CD31" i="32"/>
  <c r="CG27" i="32"/>
  <c r="CG31" i="32"/>
  <c r="CN27" i="32"/>
  <c r="CN31" i="32"/>
  <c r="L32" i="32"/>
  <c r="F32" i="32"/>
  <c r="G32" i="32"/>
  <c r="M32" i="32"/>
  <c r="FD32" i="32" s="1"/>
  <c r="P32" i="32"/>
  <c r="Z32" i="32"/>
  <c r="AF32" i="32"/>
  <c r="AG32" i="32"/>
  <c r="AH32" i="32"/>
  <c r="AM32" i="32" s="1"/>
  <c r="AI32" i="32"/>
  <c r="AJ32" i="32" s="1"/>
  <c r="CC32" i="32"/>
  <c r="CD32" i="32"/>
  <c r="CG32" i="32"/>
  <c r="CN32" i="32"/>
  <c r="R33" i="32"/>
  <c r="M33" i="32"/>
  <c r="FD33" i="32" s="1"/>
  <c r="F33" i="32"/>
  <c r="G33" i="32"/>
  <c r="X33" i="32"/>
  <c r="Z33" i="32"/>
  <c r="AF33" i="32"/>
  <c r="AG33" i="32"/>
  <c r="AH33" i="32"/>
  <c r="AM33" i="32" s="1"/>
  <c r="AI33" i="32"/>
  <c r="AL33" i="32" s="1"/>
  <c r="CC33" i="32"/>
  <c r="CG33" i="32"/>
  <c r="CN33" i="32"/>
  <c r="GI33" i="32" l="1"/>
  <c r="GK32" i="32"/>
  <c r="GK29" i="32"/>
  <c r="GI32" i="32"/>
  <c r="GI27" i="32"/>
  <c r="GK27" i="32"/>
  <c r="GI29" i="32"/>
  <c r="GK33" i="32"/>
  <c r="GI31" i="32"/>
  <c r="GK31" i="32"/>
  <c r="CW27" i="32"/>
  <c r="CT31" i="32"/>
  <c r="CT33" i="32"/>
  <c r="CT29" i="32"/>
  <c r="CW32" i="32"/>
  <c r="CT27" i="32"/>
  <c r="CW33" i="32"/>
  <c r="CT32" i="32"/>
  <c r="CW29" i="32"/>
  <c r="CW31" i="32"/>
  <c r="DE33" i="32"/>
  <c r="DX33" i="32"/>
  <c r="GX33" i="32" s="1"/>
  <c r="DW31" i="32"/>
  <c r="GW31" i="32" s="1"/>
  <c r="DD31" i="32"/>
  <c r="DE32" i="32"/>
  <c r="DX32" i="32"/>
  <c r="GX32" i="32" s="1"/>
  <c r="DD27" i="32"/>
  <c r="DW27" i="32"/>
  <c r="GW27" i="32" s="1"/>
  <c r="DW33" i="32"/>
  <c r="GW33" i="32" s="1"/>
  <c r="DD33" i="32"/>
  <c r="DD29" i="32"/>
  <c r="DW29" i="32"/>
  <c r="GW29" i="32" s="1"/>
  <c r="DW32" i="32"/>
  <c r="GW32" i="32" s="1"/>
  <c r="DD32" i="32"/>
  <c r="DE27" i="32"/>
  <c r="DX27" i="32"/>
  <c r="GX27" i="32" s="1"/>
  <c r="DX31" i="32"/>
  <c r="GX31" i="32" s="1"/>
  <c r="DE31" i="32"/>
  <c r="DM27" i="32"/>
  <c r="DM29" i="32"/>
  <c r="CV27" i="32"/>
  <c r="CF32" i="32"/>
  <c r="AL32" i="32"/>
  <c r="DA32" i="32" s="1"/>
  <c r="AJ29" i="32"/>
  <c r="DO27" i="32"/>
  <c r="GO27" i="32" s="1"/>
  <c r="DM31" i="32"/>
  <c r="DO31" i="32"/>
  <c r="GO31" i="32" s="1"/>
  <c r="DP31" i="32"/>
  <c r="GP31" i="32" s="1"/>
  <c r="DA33" i="32"/>
  <c r="CZ33" i="32"/>
  <c r="DM33" i="32"/>
  <c r="CV33" i="32"/>
  <c r="DP27" i="32"/>
  <c r="GP27" i="32" s="1"/>
  <c r="CV32" i="32"/>
  <c r="DM32" i="32"/>
  <c r="CE32" i="32"/>
  <c r="CV31" i="32"/>
  <c r="CZ29" i="32"/>
  <c r="CV29" i="32"/>
  <c r="DA29" i="32"/>
  <c r="S29" i="32"/>
  <c r="BM31" i="32"/>
  <c r="BL31" i="32"/>
  <c r="BL27" i="32"/>
  <c r="BJ27" i="32"/>
  <c r="BK27" i="32"/>
  <c r="BM29" i="32"/>
  <c r="BL29" i="32"/>
  <c r="BM32" i="32"/>
  <c r="AK29" i="32"/>
  <c r="DP29" i="32" s="1"/>
  <c r="GP29" i="32" s="1"/>
  <c r="Y29" i="32"/>
  <c r="DK29" i="32" s="1"/>
  <c r="GG29" i="32" s="1"/>
  <c r="CE31" i="32"/>
  <c r="Q32" i="32"/>
  <c r="EN32" i="32" s="1"/>
  <c r="EP32" i="32" s="1"/>
  <c r="Q29" i="32"/>
  <c r="EN29" i="32" s="1"/>
  <c r="EP29" i="32" s="1"/>
  <c r="L33" i="32"/>
  <c r="P33" i="32"/>
  <c r="CD33" i="32"/>
  <c r="CE33" i="32" s="1"/>
  <c r="CQ32" i="32"/>
  <c r="Y32" i="32"/>
  <c r="DK32" i="32" s="1"/>
  <c r="GG32" i="32" s="1"/>
  <c r="CS32" i="32"/>
  <c r="DJ32" i="32"/>
  <c r="GF32" i="32" s="1"/>
  <c r="DL32" i="32"/>
  <c r="GH32" i="32" s="1"/>
  <c r="R32" i="32"/>
  <c r="S32" i="32" s="1"/>
  <c r="Q31" i="32"/>
  <c r="EN31" i="32" s="1"/>
  <c r="EP31" i="32" s="1"/>
  <c r="DJ31" i="32"/>
  <c r="GF31" i="32" s="1"/>
  <c r="Y31" i="32"/>
  <c r="CR31" i="32" s="1"/>
  <c r="CQ31" i="32"/>
  <c r="DL31" i="32"/>
  <c r="GH31" i="32" s="1"/>
  <c r="CS31" i="32"/>
  <c r="CF31" i="32"/>
  <c r="R31" i="32"/>
  <c r="S31" i="32" s="1"/>
  <c r="CF29" i="32"/>
  <c r="DL29" i="32"/>
  <c r="GH29" i="32" s="1"/>
  <c r="CE29" i="32"/>
  <c r="DJ29" i="32"/>
  <c r="GF29" i="32" s="1"/>
  <c r="CQ29" i="32"/>
  <c r="CQ27" i="32"/>
  <c r="Y27" i="32"/>
  <c r="DK27" i="32" s="1"/>
  <c r="GG27" i="32" s="1"/>
  <c r="CS27" i="32"/>
  <c r="DJ27" i="32"/>
  <c r="GF27" i="32" s="1"/>
  <c r="DL27" i="32"/>
  <c r="GH27" i="32" s="1"/>
  <c r="Q27" i="32"/>
  <c r="EN27" i="32" s="1"/>
  <c r="EP27" i="32" s="1"/>
  <c r="CD27" i="32"/>
  <c r="R27" i="32"/>
  <c r="S27" i="32" s="1"/>
  <c r="AK32" i="32"/>
  <c r="DO32" i="32" s="1"/>
  <c r="GO32" i="32" s="1"/>
  <c r="AJ31" i="32"/>
  <c r="DS31" i="32" s="1"/>
  <c r="GS31" i="32" s="1"/>
  <c r="AM31" i="32"/>
  <c r="DA31" i="32" s="1"/>
  <c r="X32" i="32"/>
  <c r="AM27" i="32"/>
  <c r="CZ27" i="32" s="1"/>
  <c r="AJ27" i="32"/>
  <c r="DS27" i="32" s="1"/>
  <c r="GS27" i="32" s="1"/>
  <c r="X31" i="32"/>
  <c r="AJ33" i="32"/>
  <c r="AK33" i="32"/>
  <c r="DO33" i="32" s="1"/>
  <c r="GO33" i="32" s="1"/>
  <c r="S41" i="32"/>
  <c r="EO41" i="32" s="1"/>
  <c r="EQ41" i="32" s="1"/>
  <c r="S42" i="32"/>
  <c r="EO42" i="32" s="1"/>
  <c r="EQ42" i="32" s="1"/>
  <c r="S43" i="32"/>
  <c r="EO43" i="32" s="1"/>
  <c r="EQ43" i="32" s="1"/>
  <c r="S44" i="32"/>
  <c r="EO44" i="32" s="1"/>
  <c r="EQ44" i="32" s="1"/>
  <c r="S45" i="32"/>
  <c r="EO45" i="32" s="1"/>
  <c r="EQ45" i="32" s="1"/>
  <c r="S46" i="32"/>
  <c r="EO46" i="32" s="1"/>
  <c r="EQ46" i="32" s="1"/>
  <c r="S47" i="32"/>
  <c r="EO47" i="32" s="1"/>
  <c r="EQ47" i="32" s="1"/>
  <c r="S48" i="32"/>
  <c r="EO48" i="32" s="1"/>
  <c r="EQ48" i="32" s="1"/>
  <c r="S49" i="32"/>
  <c r="EO49" i="32" s="1"/>
  <c r="EQ49" i="32" s="1"/>
  <c r="S50" i="32"/>
  <c r="EO50" i="32" s="1"/>
  <c r="EQ50" i="32" s="1"/>
  <c r="Q41" i="32"/>
  <c r="EN41" i="32" s="1"/>
  <c r="EP41" i="32" s="1"/>
  <c r="Q42" i="32"/>
  <c r="EN42" i="32" s="1"/>
  <c r="EP42" i="32" s="1"/>
  <c r="Q43" i="32"/>
  <c r="EN43" i="32" s="1"/>
  <c r="EP43" i="32" s="1"/>
  <c r="Q44" i="32"/>
  <c r="EN44" i="32" s="1"/>
  <c r="EP44" i="32" s="1"/>
  <c r="Q45" i="32"/>
  <c r="EN45" i="32" s="1"/>
  <c r="EP45" i="32" s="1"/>
  <c r="ER45" i="32" s="1"/>
  <c r="EU45" i="32" s="1"/>
  <c r="EW45" i="32" s="1"/>
  <c r="Q46" i="32"/>
  <c r="EN46" i="32" s="1"/>
  <c r="EP46" i="32" s="1"/>
  <c r="Q47" i="32"/>
  <c r="EN47" i="32" s="1"/>
  <c r="EP47" i="32" s="1"/>
  <c r="Q48" i="32"/>
  <c r="EN48" i="32" s="1"/>
  <c r="EP48" i="32" s="1"/>
  <c r="ER48" i="32" s="1"/>
  <c r="EU48" i="32" s="1"/>
  <c r="EW48" i="32" s="1"/>
  <c r="Q50" i="32"/>
  <c r="EN50" i="32" s="1"/>
  <c r="EP50" i="32" s="1"/>
  <c r="ER44" i="32" l="1"/>
  <c r="EU44" i="32" s="1"/>
  <c r="EW44" i="32" s="1"/>
  <c r="ER27" i="32"/>
  <c r="EU27" i="32" s="1"/>
  <c r="EW27" i="32" s="1"/>
  <c r="ER42" i="32"/>
  <c r="EU42" i="32" s="1"/>
  <c r="EW42" i="32" s="1"/>
  <c r="ER50" i="32"/>
  <c r="EU50" i="32" s="1"/>
  <c r="EW50" i="32" s="1"/>
  <c r="ER31" i="32"/>
  <c r="EU31" i="32" s="1"/>
  <c r="EW31" i="32" s="1"/>
  <c r="CI32" i="32"/>
  <c r="CP32" i="32" s="1"/>
  <c r="EO32" i="32"/>
  <c r="EQ32" i="32" s="1"/>
  <c r="ER47" i="32"/>
  <c r="EU47" i="32" s="1"/>
  <c r="EW47" i="32" s="1"/>
  <c r="ES41" i="32"/>
  <c r="EV41" i="32" s="1"/>
  <c r="EX41" i="32" s="1"/>
  <c r="FR41" i="32"/>
  <c r="FS41" i="32" s="1"/>
  <c r="FT41" i="32" s="1"/>
  <c r="ER29" i="32"/>
  <c r="EU29" i="32" s="1"/>
  <c r="EW29" i="32" s="1"/>
  <c r="ES45" i="32"/>
  <c r="EV45" i="32" s="1"/>
  <c r="EX45" i="32" s="1"/>
  <c r="FR45" i="32"/>
  <c r="FS45" i="32" s="1"/>
  <c r="FT45" i="32" s="1"/>
  <c r="ES44" i="32"/>
  <c r="EV44" i="32" s="1"/>
  <c r="EX44" i="32" s="1"/>
  <c r="FR44" i="32"/>
  <c r="FS44" i="32" s="1"/>
  <c r="FT44" i="32" s="1"/>
  <c r="FR43" i="32"/>
  <c r="FS43" i="32" s="1"/>
  <c r="FT43" i="32" s="1"/>
  <c r="ES43" i="32"/>
  <c r="EV43" i="32" s="1"/>
  <c r="EX43" i="32" s="1"/>
  <c r="FR50" i="32"/>
  <c r="FS50" i="32" s="1"/>
  <c r="FT50" i="32" s="1"/>
  <c r="ES50" i="32"/>
  <c r="EV50" i="32" s="1"/>
  <c r="EX50" i="32" s="1"/>
  <c r="FR42" i="32"/>
  <c r="FS42" i="32" s="1"/>
  <c r="FT42" i="32" s="1"/>
  <c r="ES42" i="32"/>
  <c r="EV42" i="32" s="1"/>
  <c r="EX42" i="32" s="1"/>
  <c r="CI31" i="32"/>
  <c r="CP31" i="32" s="1"/>
  <c r="EO31" i="32"/>
  <c r="EQ31" i="32" s="1"/>
  <c r="ES31" i="32" s="1"/>
  <c r="EV31" i="32" s="1"/>
  <c r="EX31" i="32" s="1"/>
  <c r="ER46" i="32"/>
  <c r="EU46" i="32" s="1"/>
  <c r="EW46" i="32" s="1"/>
  <c r="ES48" i="32"/>
  <c r="EV48" i="32" s="1"/>
  <c r="EX48" i="32" s="1"/>
  <c r="FR48" i="32"/>
  <c r="FS48" i="32" s="1"/>
  <c r="FT48" i="32" s="1"/>
  <c r="ER32" i="32"/>
  <c r="EU32" i="32" s="1"/>
  <c r="EW32" i="32" s="1"/>
  <c r="FR47" i="32"/>
  <c r="FS47" i="32" s="1"/>
  <c r="FT47" i="32" s="1"/>
  <c r="ES47" i="32"/>
  <c r="EV47" i="32" s="1"/>
  <c r="EX47" i="32" s="1"/>
  <c r="FR46" i="32"/>
  <c r="FS46" i="32" s="1"/>
  <c r="FT46" i="32" s="1"/>
  <c r="ES46" i="32"/>
  <c r="EV46" i="32" s="1"/>
  <c r="EX46" i="32" s="1"/>
  <c r="CI29" i="32"/>
  <c r="CP29" i="32" s="1"/>
  <c r="EO29" i="32"/>
  <c r="EQ29" i="32" s="1"/>
  <c r="ES29" i="32" s="1"/>
  <c r="EV29" i="32" s="1"/>
  <c r="EX29" i="32" s="1"/>
  <c r="CI27" i="32"/>
  <c r="CP27" i="32" s="1"/>
  <c r="EO27" i="32"/>
  <c r="EQ27" i="32" s="1"/>
  <c r="ER43" i="32"/>
  <c r="EU43" i="32" s="1"/>
  <c r="EW43" i="32" s="1"/>
  <c r="ER41" i="32"/>
  <c r="EU41" i="32" s="1"/>
  <c r="EW41" i="32" s="1"/>
  <c r="FR49" i="32"/>
  <c r="FS49" i="32" s="1"/>
  <c r="FT49" i="32" s="1"/>
  <c r="ES49" i="32"/>
  <c r="EV49" i="32" s="1"/>
  <c r="EX49" i="32" s="1"/>
  <c r="DS33" i="32"/>
  <c r="GS33" i="32" s="1"/>
  <c r="DS29" i="32"/>
  <c r="GS29" i="32" s="1"/>
  <c r="DS32" i="32"/>
  <c r="GS32" i="32" s="1"/>
  <c r="CH29" i="32"/>
  <c r="CO29" i="32" s="1"/>
  <c r="CH32" i="32"/>
  <c r="CO32" i="32" s="1"/>
  <c r="CK27" i="32"/>
  <c r="CM27" i="32" s="1"/>
  <c r="DI27" i="32" s="1"/>
  <c r="CH27" i="32"/>
  <c r="CO27" i="32" s="1"/>
  <c r="CK29" i="32"/>
  <c r="CM29" i="32" s="1"/>
  <c r="DI29" i="32" s="1"/>
  <c r="CH31" i="32"/>
  <c r="CO31" i="32" s="1"/>
  <c r="CK31" i="32"/>
  <c r="CM31" i="32" s="1"/>
  <c r="DI31" i="32" s="1"/>
  <c r="CK32" i="32"/>
  <c r="CM32" i="32" s="1"/>
  <c r="DI32" i="32" s="1"/>
  <c r="CJ32" i="32"/>
  <c r="CL32" i="32" s="1"/>
  <c r="DH32" i="32" s="1"/>
  <c r="CJ29" i="32"/>
  <c r="CL29" i="32" s="1"/>
  <c r="DH29" i="32" s="1"/>
  <c r="Q33" i="32"/>
  <c r="EN33" i="32" s="1"/>
  <c r="EP33" i="32" s="1"/>
  <c r="CR29" i="32"/>
  <c r="CZ32" i="32"/>
  <c r="DK31" i="32"/>
  <c r="GG31" i="32" s="1"/>
  <c r="CZ31" i="32"/>
  <c r="DP33" i="32"/>
  <c r="GP33" i="32" s="1"/>
  <c r="DO29" i="32"/>
  <c r="GO29" i="32" s="1"/>
  <c r="DT32" i="32"/>
  <c r="GT32" i="32" s="1"/>
  <c r="DT27" i="32"/>
  <c r="GT27" i="32" s="1"/>
  <c r="DT33" i="32"/>
  <c r="GT33" i="32" s="1"/>
  <c r="DP32" i="32"/>
  <c r="GP32" i="32" s="1"/>
  <c r="DA27" i="32"/>
  <c r="DT31" i="32"/>
  <c r="GT31" i="32" s="1"/>
  <c r="DT29" i="32"/>
  <c r="GT29" i="32" s="1"/>
  <c r="BJ33" i="32"/>
  <c r="BL33" i="32"/>
  <c r="BK33" i="32"/>
  <c r="BM33" i="32"/>
  <c r="BL32" i="32"/>
  <c r="BJ32" i="32"/>
  <c r="CR32" i="32"/>
  <c r="CJ31" i="32"/>
  <c r="CL31" i="32" s="1"/>
  <c r="DH31" i="32" s="1"/>
  <c r="CR27" i="32"/>
  <c r="CF33" i="32"/>
  <c r="CQ33" i="32"/>
  <c r="DJ33" i="32"/>
  <c r="GF33" i="32" s="1"/>
  <c r="DL33" i="32"/>
  <c r="GH33" i="32" s="1"/>
  <c r="CS33" i="32"/>
  <c r="Y33" i="32"/>
  <c r="S33" i="32"/>
  <c r="EO33" i="32" s="1"/>
  <c r="EQ33" i="32" s="1"/>
  <c r="CJ27" i="32"/>
  <c r="CL27" i="32" s="1"/>
  <c r="DH27" i="32" s="1"/>
  <c r="CE27" i="32"/>
  <c r="CF27" i="32"/>
  <c r="AV26" i="32"/>
  <c r="AV13" i="32"/>
  <c r="AV15" i="32"/>
  <c r="AV17" i="32"/>
  <c r="AV18" i="32"/>
  <c r="AV19" i="32"/>
  <c r="AV41" i="32"/>
  <c r="AV42" i="32"/>
  <c r="AV43" i="32"/>
  <c r="AV44" i="32"/>
  <c r="AV45" i="32"/>
  <c r="AV46" i="32"/>
  <c r="AV47" i="32"/>
  <c r="AV48" i="32"/>
  <c r="AV49" i="32"/>
  <c r="AV50" i="32"/>
  <c r="AV51" i="32"/>
  <c r="AV52" i="32"/>
  <c r="AV53" i="32"/>
  <c r="AV54" i="32"/>
  <c r="AV55" i="32"/>
  <c r="AV56" i="32"/>
  <c r="AV57" i="32"/>
  <c r="AV58" i="32"/>
  <c r="AV59" i="32"/>
  <c r="AV60" i="32"/>
  <c r="AP7" i="32"/>
  <c r="AU7" i="32" s="1"/>
  <c r="BU7" i="32" s="1"/>
  <c r="AP8" i="32"/>
  <c r="AU8" i="32" s="1"/>
  <c r="BU8" i="32" s="1"/>
  <c r="AP9" i="32"/>
  <c r="AU9" i="32" s="1"/>
  <c r="BU9" i="32" s="1"/>
  <c r="AP10" i="32"/>
  <c r="AU10" i="32" s="1"/>
  <c r="BU10" i="32" s="1"/>
  <c r="AP11" i="32"/>
  <c r="AU11" i="32" s="1"/>
  <c r="BU11" i="32" s="1"/>
  <c r="AP12" i="32"/>
  <c r="AU12" i="32" s="1"/>
  <c r="BU12" i="32" s="1"/>
  <c r="AP20" i="32"/>
  <c r="AU20" i="32" s="1"/>
  <c r="BU20" i="32" s="1"/>
  <c r="AP22" i="32"/>
  <c r="AU22" i="32" s="1"/>
  <c r="BU22" i="32" s="1"/>
  <c r="AP24" i="32"/>
  <c r="AU24" i="32" s="1"/>
  <c r="BU24" i="32" s="1"/>
  <c r="AP25" i="32"/>
  <c r="AP26" i="32"/>
  <c r="AP13" i="32"/>
  <c r="AU13" i="32" s="1"/>
  <c r="BU13" i="32" s="1"/>
  <c r="AP15" i="32"/>
  <c r="AU15" i="32" s="1"/>
  <c r="BU15" i="32" s="1"/>
  <c r="AP17" i="32"/>
  <c r="AU17" i="32" s="1"/>
  <c r="BU17" i="32" s="1"/>
  <c r="AP18" i="32"/>
  <c r="AU18" i="32" s="1"/>
  <c r="BU18" i="32" s="1"/>
  <c r="AP19" i="32"/>
  <c r="AU19" i="32" s="1"/>
  <c r="BU19" i="32" s="1"/>
  <c r="AP41" i="32"/>
  <c r="AU41" i="32" s="1"/>
  <c r="BU41" i="32" s="1"/>
  <c r="AP42" i="32"/>
  <c r="AP43" i="32"/>
  <c r="AU43" i="32" s="1"/>
  <c r="BU43" i="32" s="1"/>
  <c r="AP44" i="32"/>
  <c r="AU44" i="32" s="1"/>
  <c r="BU44" i="32" s="1"/>
  <c r="AP45" i="32"/>
  <c r="AU45" i="32" s="1"/>
  <c r="BU45" i="32" s="1"/>
  <c r="AP46" i="32"/>
  <c r="AU46" i="32" s="1"/>
  <c r="BU46" i="32" s="1"/>
  <c r="AP47" i="32"/>
  <c r="AU47" i="32" s="1"/>
  <c r="BU47" i="32" s="1"/>
  <c r="AP48" i="32"/>
  <c r="AU48" i="32" s="1"/>
  <c r="BU48" i="32" s="1"/>
  <c r="AP49" i="32"/>
  <c r="AU49" i="32" s="1"/>
  <c r="AP50" i="32"/>
  <c r="AP51" i="32"/>
  <c r="AU51" i="32" s="1"/>
  <c r="BU51" i="32" s="1"/>
  <c r="AP52" i="32"/>
  <c r="AU52" i="32" s="1"/>
  <c r="BU52" i="32" s="1"/>
  <c r="AP53" i="32"/>
  <c r="AU53" i="32" s="1"/>
  <c r="BU53" i="32" s="1"/>
  <c r="AP54" i="32"/>
  <c r="AU54" i="32" s="1"/>
  <c r="BU54" i="32" s="1"/>
  <c r="AP55" i="32"/>
  <c r="AU55" i="32" s="1"/>
  <c r="BU55" i="32" s="1"/>
  <c r="AP56" i="32"/>
  <c r="AU56" i="32" s="1"/>
  <c r="BU56" i="32" s="1"/>
  <c r="AP57" i="32"/>
  <c r="AU57" i="32" s="1"/>
  <c r="BU57" i="32" s="1"/>
  <c r="AP58" i="32"/>
  <c r="AP59" i="32"/>
  <c r="AP60" i="32"/>
  <c r="AU60" i="32" s="1"/>
  <c r="BU60" i="32" s="1"/>
  <c r="AO10" i="32"/>
  <c r="BO10" i="32" s="1"/>
  <c r="AO11" i="32"/>
  <c r="BO11" i="32" s="1"/>
  <c r="AO12" i="32"/>
  <c r="BO12" i="32" s="1"/>
  <c r="AO20" i="32"/>
  <c r="BO20" i="32" s="1"/>
  <c r="AO22" i="32"/>
  <c r="BO22" i="32" s="1"/>
  <c r="AO24" i="32"/>
  <c r="BO24" i="32" s="1"/>
  <c r="AO25" i="32"/>
  <c r="BO25" i="32" s="1"/>
  <c r="AO26" i="32"/>
  <c r="BO26" i="32" s="1"/>
  <c r="AO13" i="32"/>
  <c r="BO13" i="32" s="1"/>
  <c r="AO15" i="32"/>
  <c r="BO15" i="32" s="1"/>
  <c r="AO17" i="32"/>
  <c r="BO17" i="32" s="1"/>
  <c r="AO18" i="32"/>
  <c r="BO18" i="32" s="1"/>
  <c r="AO19" i="32"/>
  <c r="BO19" i="32" s="1"/>
  <c r="AO41" i="32"/>
  <c r="BO41" i="32" s="1"/>
  <c r="AO42" i="32"/>
  <c r="BO42" i="32" s="1"/>
  <c r="AO43" i="32"/>
  <c r="BO43" i="32" s="1"/>
  <c r="AO44" i="32"/>
  <c r="BO44" i="32" s="1"/>
  <c r="AO45" i="32"/>
  <c r="BO45" i="32" s="1"/>
  <c r="AO46" i="32"/>
  <c r="BO46" i="32" s="1"/>
  <c r="AO47" i="32"/>
  <c r="BO47" i="32" s="1"/>
  <c r="AO48" i="32"/>
  <c r="BO48" i="32" s="1"/>
  <c r="AO49" i="32"/>
  <c r="AO50" i="32"/>
  <c r="BO50" i="32" s="1"/>
  <c r="AO51" i="32"/>
  <c r="BO51" i="32" s="1"/>
  <c r="AO52" i="32"/>
  <c r="BO52" i="32" s="1"/>
  <c r="AO53" i="32"/>
  <c r="BO53" i="32" s="1"/>
  <c r="AO54" i="32"/>
  <c r="BO54" i="32" s="1"/>
  <c r="AO55" i="32"/>
  <c r="BO55" i="32" s="1"/>
  <c r="AO56" i="32"/>
  <c r="BO56" i="32" s="1"/>
  <c r="AO57" i="32"/>
  <c r="BO57" i="32" s="1"/>
  <c r="AO58" i="32"/>
  <c r="BO58" i="32" s="1"/>
  <c r="AO59" i="32"/>
  <c r="BO59" i="32" s="1"/>
  <c r="AO60" i="32"/>
  <c r="BO60" i="32" s="1"/>
  <c r="AN25" i="32"/>
  <c r="BN25" i="32" s="1"/>
  <c r="AN26" i="32"/>
  <c r="BN26" i="32" s="1"/>
  <c r="AN13" i="32"/>
  <c r="BN13" i="32" s="1"/>
  <c r="AN15" i="32"/>
  <c r="BN15" i="32" s="1"/>
  <c r="AN17" i="32"/>
  <c r="BN17" i="32" s="1"/>
  <c r="AN18" i="32"/>
  <c r="BN18" i="32" s="1"/>
  <c r="AN19" i="32"/>
  <c r="BN19" i="32" s="1"/>
  <c r="AN41" i="32"/>
  <c r="BN41" i="32" s="1"/>
  <c r="AN42" i="32"/>
  <c r="BN42" i="32" s="1"/>
  <c r="AN43" i="32"/>
  <c r="BN43" i="32" s="1"/>
  <c r="AN44" i="32"/>
  <c r="BN44" i="32" s="1"/>
  <c r="AN45" i="32"/>
  <c r="BN45" i="32" s="1"/>
  <c r="AN46" i="32"/>
  <c r="BN46" i="32" s="1"/>
  <c r="AN47" i="32"/>
  <c r="BN47" i="32" s="1"/>
  <c r="AN48" i="32"/>
  <c r="BN48" i="32" s="1"/>
  <c r="AN49" i="32"/>
  <c r="AN50" i="32"/>
  <c r="BN50" i="32" s="1"/>
  <c r="AN51" i="32"/>
  <c r="BN51" i="32" s="1"/>
  <c r="AN52" i="32"/>
  <c r="BN52" i="32" s="1"/>
  <c r="AN53" i="32"/>
  <c r="BN53" i="32" s="1"/>
  <c r="AN54" i="32"/>
  <c r="BN54" i="32" s="1"/>
  <c r="AN55" i="32"/>
  <c r="BN55" i="32" s="1"/>
  <c r="AN56" i="32"/>
  <c r="BN56" i="32" s="1"/>
  <c r="AN57" i="32"/>
  <c r="BN57" i="32" s="1"/>
  <c r="AN58" i="32"/>
  <c r="BN58" i="32" s="1"/>
  <c r="AN59" i="32"/>
  <c r="BN59" i="32" s="1"/>
  <c r="AN60" i="32"/>
  <c r="BN60" i="32" s="1"/>
  <c r="CC36" i="32"/>
  <c r="F36" i="32"/>
  <c r="G36" i="32"/>
  <c r="L36" i="32"/>
  <c r="CS36" i="32" s="1"/>
  <c r="M36" i="32"/>
  <c r="FD36" i="32" s="1"/>
  <c r="P36" i="32"/>
  <c r="R36" i="32"/>
  <c r="AF36" i="32"/>
  <c r="AG36" i="32"/>
  <c r="AH36" i="32"/>
  <c r="AK36" i="32" s="1"/>
  <c r="AI36" i="32"/>
  <c r="AL36" i="32" s="1"/>
  <c r="Z36" i="32"/>
  <c r="CD36" i="32"/>
  <c r="CG36" i="32"/>
  <c r="CN36" i="32"/>
  <c r="P34" i="32"/>
  <c r="P38" i="32"/>
  <c r="L34" i="32"/>
  <c r="F34" i="32"/>
  <c r="F38" i="32"/>
  <c r="G34" i="32"/>
  <c r="G38" i="32"/>
  <c r="M34" i="32"/>
  <c r="FD34" i="32" s="1"/>
  <c r="M38" i="32"/>
  <c r="FD38" i="32" s="1"/>
  <c r="AF34" i="32"/>
  <c r="AF38" i="32"/>
  <c r="AG34" i="32"/>
  <c r="AG38" i="32"/>
  <c r="AH34" i="32"/>
  <c r="AM34" i="32" s="1"/>
  <c r="AH38" i="32"/>
  <c r="AM38" i="32" s="1"/>
  <c r="AI34" i="32"/>
  <c r="AJ34" i="32" s="1"/>
  <c r="AI38" i="32"/>
  <c r="AL38" i="32" s="1"/>
  <c r="BL38" i="32"/>
  <c r="X34" i="32"/>
  <c r="Z34" i="32"/>
  <c r="Z38" i="32"/>
  <c r="CC34" i="32"/>
  <c r="CC38" i="32"/>
  <c r="CD38" i="32"/>
  <c r="CG34" i="32"/>
  <c r="CG38" i="32"/>
  <c r="CN34" i="32"/>
  <c r="CN38" i="32"/>
  <c r="F39" i="32"/>
  <c r="G39" i="32"/>
  <c r="L39" i="32"/>
  <c r="Y39" i="32" s="1"/>
  <c r="M39" i="32"/>
  <c r="FD39" i="32" s="1"/>
  <c r="P39" i="32"/>
  <c r="R39" i="32"/>
  <c r="AF39" i="32"/>
  <c r="AG39" i="32"/>
  <c r="AH39" i="32"/>
  <c r="AI39" i="32"/>
  <c r="AL39" i="32" s="1"/>
  <c r="X39" i="32"/>
  <c r="Z39" i="32"/>
  <c r="CC39" i="32"/>
  <c r="CD39" i="32"/>
  <c r="CG39" i="32"/>
  <c r="CN39" i="32"/>
  <c r="L40" i="32"/>
  <c r="F40" i="32"/>
  <c r="G40" i="32"/>
  <c r="R40" i="32"/>
  <c r="AF40" i="32"/>
  <c r="AG40" i="32"/>
  <c r="AH40" i="32"/>
  <c r="AI40" i="32"/>
  <c r="AL40" i="32" s="1"/>
  <c r="X40" i="32"/>
  <c r="Z40" i="32"/>
  <c r="CC40" i="32"/>
  <c r="CD40" i="32"/>
  <c r="CG40" i="32"/>
  <c r="CN40" i="32"/>
  <c r="BI3" i="32"/>
  <c r="BI4" i="32"/>
  <c r="BI5" i="32"/>
  <c r="BI6" i="32"/>
  <c r="BI7" i="32"/>
  <c r="BI8" i="32"/>
  <c r="BI9" i="32"/>
  <c r="BI10" i="32"/>
  <c r="BI11" i="32"/>
  <c r="BI12" i="32"/>
  <c r="BI20" i="32"/>
  <c r="BI22" i="32"/>
  <c r="BI24" i="32"/>
  <c r="BI25" i="32"/>
  <c r="BI26" i="32"/>
  <c r="BI13" i="32"/>
  <c r="BI15" i="32"/>
  <c r="BI17" i="32"/>
  <c r="BI18" i="32"/>
  <c r="BI19" i="32"/>
  <c r="BI41" i="32"/>
  <c r="BI42" i="32"/>
  <c r="BI43" i="32"/>
  <c r="BI44" i="32"/>
  <c r="BI45" i="32"/>
  <c r="BI46" i="32"/>
  <c r="BI47" i="32"/>
  <c r="BI48" i="32"/>
  <c r="BI50" i="32"/>
  <c r="BI51" i="32"/>
  <c r="BI52" i="32"/>
  <c r="BI53" i="32"/>
  <c r="BI54" i="32"/>
  <c r="BI55" i="32"/>
  <c r="BI56" i="32"/>
  <c r="BI57" i="32"/>
  <c r="BI58" i="32"/>
  <c r="BI59" i="32"/>
  <c r="BI60" i="32"/>
  <c r="BH3" i="32"/>
  <c r="BH4" i="32"/>
  <c r="BH5" i="32"/>
  <c r="BH6" i="32"/>
  <c r="BH7" i="32"/>
  <c r="BH8" i="32"/>
  <c r="BH9" i="32"/>
  <c r="BH10" i="32"/>
  <c r="BH11" i="32"/>
  <c r="BH12" i="32"/>
  <c r="BH20" i="32"/>
  <c r="BH22" i="32"/>
  <c r="BH24" i="32"/>
  <c r="BH25" i="32"/>
  <c r="BH26" i="32"/>
  <c r="BH13" i="32"/>
  <c r="BH15" i="32"/>
  <c r="BH17" i="32"/>
  <c r="BH18" i="32"/>
  <c r="BH19" i="32"/>
  <c r="BH41" i="32"/>
  <c r="BH42" i="32"/>
  <c r="BH43" i="32"/>
  <c r="BH44" i="32"/>
  <c r="BH45" i="32"/>
  <c r="BH46" i="32"/>
  <c r="BH47" i="32"/>
  <c r="BH48" i="32"/>
  <c r="BH50" i="32"/>
  <c r="BH51" i="32"/>
  <c r="BH52" i="32"/>
  <c r="BH53" i="32"/>
  <c r="BH54" i="32"/>
  <c r="BH55" i="32"/>
  <c r="BH56" i="32"/>
  <c r="BH57" i="32"/>
  <c r="BH58" i="32"/>
  <c r="BH59" i="32"/>
  <c r="BH60" i="32"/>
  <c r="BG60" i="32"/>
  <c r="BG59" i="32"/>
  <c r="BG58" i="32"/>
  <c r="BG57" i="32"/>
  <c r="BG56" i="32"/>
  <c r="BG55" i="32"/>
  <c r="BG54" i="32"/>
  <c r="BG53" i="32"/>
  <c r="BG52" i="32"/>
  <c r="BG51" i="32"/>
  <c r="BG50" i="32"/>
  <c r="BG48" i="32"/>
  <c r="BG47" i="32"/>
  <c r="BG46" i="32"/>
  <c r="BG45" i="32"/>
  <c r="BG44" i="32"/>
  <c r="BG43" i="32"/>
  <c r="BG42" i="32"/>
  <c r="BG41" i="32"/>
  <c r="BG19" i="32"/>
  <c r="BG18" i="32"/>
  <c r="BG17" i="32"/>
  <c r="BG15" i="32"/>
  <c r="BG13" i="32"/>
  <c r="BG26" i="32"/>
  <c r="BG25" i="32"/>
  <c r="BG24" i="32"/>
  <c r="BG22" i="32"/>
  <c r="BG20" i="32"/>
  <c r="BG12" i="32"/>
  <c r="BG11" i="32"/>
  <c r="BG10" i="32"/>
  <c r="BG9" i="32"/>
  <c r="BG8" i="32"/>
  <c r="BG7" i="32"/>
  <c r="BG6" i="32"/>
  <c r="BG5" i="32"/>
  <c r="BG4" i="32"/>
  <c r="BG3" i="32"/>
  <c r="BF3" i="32"/>
  <c r="BF4" i="32"/>
  <c r="BF5" i="32"/>
  <c r="BF6" i="32"/>
  <c r="BF7" i="32"/>
  <c r="BF8" i="32"/>
  <c r="BF9" i="32"/>
  <c r="BF10" i="32"/>
  <c r="BF11" i="32"/>
  <c r="BF12" i="32"/>
  <c r="BF20" i="32"/>
  <c r="BF22" i="32"/>
  <c r="BF24" i="32"/>
  <c r="BF25" i="32"/>
  <c r="BF26" i="32"/>
  <c r="BF13" i="32"/>
  <c r="BF15" i="32"/>
  <c r="BF17" i="32"/>
  <c r="BF18" i="32"/>
  <c r="BF19" i="32"/>
  <c r="BF41" i="32"/>
  <c r="BF42" i="32"/>
  <c r="BF43" i="32"/>
  <c r="BF44" i="32"/>
  <c r="BF45" i="32"/>
  <c r="BF46" i="32"/>
  <c r="BF47" i="32"/>
  <c r="BF48" i="32"/>
  <c r="BF50" i="32"/>
  <c r="BF51" i="32"/>
  <c r="BF52" i="32"/>
  <c r="BF53" i="32"/>
  <c r="BF54" i="32"/>
  <c r="BF55" i="32"/>
  <c r="BF56" i="32"/>
  <c r="BF57" i="32"/>
  <c r="BF58" i="32"/>
  <c r="BF59" i="32"/>
  <c r="BF60" i="32"/>
  <c r="BE3" i="32"/>
  <c r="GM3" i="32" s="1"/>
  <c r="BE4" i="32"/>
  <c r="GM4" i="32" s="1"/>
  <c r="BE5" i="32"/>
  <c r="BE6" i="32"/>
  <c r="GM6" i="32" s="1"/>
  <c r="BE7" i="32"/>
  <c r="GM7" i="32" s="1"/>
  <c r="BE8" i="32"/>
  <c r="GM8" i="32" s="1"/>
  <c r="BE9" i="32"/>
  <c r="GM9" i="32" s="1"/>
  <c r="BE10" i="32"/>
  <c r="GM10" i="32" s="1"/>
  <c r="GM11" i="32"/>
  <c r="BE12" i="32"/>
  <c r="GM12" i="32" s="1"/>
  <c r="BE20" i="32"/>
  <c r="GM20" i="32" s="1"/>
  <c r="GM24" i="32"/>
  <c r="BE25" i="32"/>
  <c r="GM25" i="32" s="1"/>
  <c r="BE26" i="32"/>
  <c r="GM26" i="32" s="1"/>
  <c r="BE13" i="32"/>
  <c r="GM13" i="32" s="1"/>
  <c r="BE15" i="32"/>
  <c r="GM15" i="32" s="1"/>
  <c r="BE17" i="32"/>
  <c r="GM17" i="32" s="1"/>
  <c r="BE18" i="32"/>
  <c r="GM18" i="32" s="1"/>
  <c r="BE19" i="32"/>
  <c r="GM19" i="32" s="1"/>
  <c r="BE41" i="32"/>
  <c r="GM41" i="32" s="1"/>
  <c r="BE42" i="32"/>
  <c r="BE43" i="32"/>
  <c r="GM43" i="32" s="1"/>
  <c r="BE44" i="32"/>
  <c r="GM44" i="32" s="1"/>
  <c r="BE45" i="32"/>
  <c r="GM45" i="32" s="1"/>
  <c r="BE46" i="32"/>
  <c r="GM46" i="32" s="1"/>
  <c r="BE47" i="32"/>
  <c r="GM47" i="32" s="1"/>
  <c r="BE48" i="32"/>
  <c r="GM48" i="32" s="1"/>
  <c r="BE50" i="32"/>
  <c r="GM50" i="32" s="1"/>
  <c r="BE51" i="32"/>
  <c r="GM51" i="32" s="1"/>
  <c r="BE52" i="32"/>
  <c r="GM52" i="32" s="1"/>
  <c r="BE53" i="32"/>
  <c r="GM53" i="32" s="1"/>
  <c r="BE54" i="32"/>
  <c r="GM54" i="32" s="1"/>
  <c r="BE55" i="32"/>
  <c r="GM55" i="32" s="1"/>
  <c r="BE56" i="32"/>
  <c r="GM56" i="32" s="1"/>
  <c r="BE57" i="32"/>
  <c r="GM57" i="32" s="1"/>
  <c r="BE58" i="32"/>
  <c r="GM58" i="32" s="1"/>
  <c r="BE59" i="32"/>
  <c r="GM59" i="32" s="1"/>
  <c r="BE60" i="32"/>
  <c r="GM60" i="32" s="1"/>
  <c r="AV24" i="32"/>
  <c r="AV25" i="32"/>
  <c r="AV4" i="32"/>
  <c r="AV5" i="32"/>
  <c r="AV6" i="32"/>
  <c r="AV7" i="32"/>
  <c r="AV8" i="32"/>
  <c r="AV9" i="32"/>
  <c r="AV10" i="32"/>
  <c r="AV11" i="32"/>
  <c r="AV12" i="32"/>
  <c r="AV20" i="32"/>
  <c r="AV22" i="32"/>
  <c r="AV3" i="32"/>
  <c r="AP4" i="32"/>
  <c r="AP5" i="32"/>
  <c r="AP6" i="32"/>
  <c r="AU6" i="32" s="1"/>
  <c r="BU6" i="32" s="1"/>
  <c r="AP3" i="32"/>
  <c r="AU3" i="32" s="1"/>
  <c r="BU3" i="32" s="1"/>
  <c r="AO3" i="32"/>
  <c r="BO3" i="32" s="1"/>
  <c r="AO4" i="32"/>
  <c r="BO4" i="32" s="1"/>
  <c r="AO5" i="32"/>
  <c r="BO5" i="32" s="1"/>
  <c r="AO6" i="32"/>
  <c r="BO6" i="32" s="1"/>
  <c r="AO7" i="32"/>
  <c r="BO7" i="32" s="1"/>
  <c r="AO8" i="32"/>
  <c r="BO8" i="32" s="1"/>
  <c r="AO9" i="32"/>
  <c r="BO9" i="32" s="1"/>
  <c r="AN3" i="32"/>
  <c r="BN3" i="32" s="1"/>
  <c r="AN4" i="32"/>
  <c r="BN4" i="32" s="1"/>
  <c r="AN5" i="32"/>
  <c r="BN5" i="32" s="1"/>
  <c r="AN6" i="32"/>
  <c r="BN6" i="32" s="1"/>
  <c r="AN7" i="32"/>
  <c r="BN7" i="32" s="1"/>
  <c r="AN8" i="32"/>
  <c r="BN8" i="32" s="1"/>
  <c r="AN9" i="32"/>
  <c r="BN9" i="32" s="1"/>
  <c r="AN10" i="32"/>
  <c r="BN10" i="32" s="1"/>
  <c r="AN11" i="32"/>
  <c r="BN11" i="32" s="1"/>
  <c r="AN12" i="32"/>
  <c r="BN12" i="32" s="1"/>
  <c r="AN20" i="32"/>
  <c r="BN20" i="32" s="1"/>
  <c r="AN22" i="32"/>
  <c r="BN22" i="32" s="1"/>
  <c r="AN24" i="32"/>
  <c r="BN24" i="32" s="1"/>
  <c r="BP5" i="32" l="1"/>
  <c r="AU5" i="32"/>
  <c r="BU5" i="32" s="1"/>
  <c r="BV5" i="32"/>
  <c r="AW5" i="32"/>
  <c r="AX5" i="32"/>
  <c r="AY5" i="32"/>
  <c r="BY5" i="32" s="1"/>
  <c r="BV55" i="32"/>
  <c r="AW55" i="32"/>
  <c r="BW55" i="32" s="1"/>
  <c r="AY55" i="32"/>
  <c r="BY55" i="32" s="1"/>
  <c r="AX55" i="32"/>
  <c r="BX55" i="32" s="1"/>
  <c r="BV43" i="32"/>
  <c r="AW43" i="32"/>
  <c r="BW43" i="32" s="1"/>
  <c r="AY43" i="32"/>
  <c r="BY43" i="32" s="1"/>
  <c r="AX43" i="32"/>
  <c r="BP4" i="32"/>
  <c r="AU4" i="32"/>
  <c r="BU4" i="32" s="1"/>
  <c r="BP42" i="32"/>
  <c r="AU42" i="32"/>
  <c r="BU42" i="32" s="1"/>
  <c r="BV54" i="32"/>
  <c r="AW54" i="32"/>
  <c r="BW54" i="32" s="1"/>
  <c r="AX54" i="32"/>
  <c r="BX54" i="32" s="1"/>
  <c r="AY54" i="32"/>
  <c r="BY54" i="32" s="1"/>
  <c r="BV3" i="32"/>
  <c r="AW3" i="32"/>
  <c r="BW3" i="32" s="1"/>
  <c r="AX3" i="32"/>
  <c r="BX3" i="32" s="1"/>
  <c r="AY3" i="32"/>
  <c r="BY3" i="32" s="1"/>
  <c r="BV25" i="32"/>
  <c r="AX25" i="32"/>
  <c r="BX25" i="32" s="1"/>
  <c r="AW25" i="32"/>
  <c r="BW25" i="32" s="1"/>
  <c r="AY25" i="32"/>
  <c r="BY25" i="32" s="1"/>
  <c r="BV53" i="32"/>
  <c r="AW53" i="32"/>
  <c r="BW53" i="32" s="1"/>
  <c r="AX53" i="32"/>
  <c r="BX53" i="32" s="1"/>
  <c r="AY53" i="32"/>
  <c r="BY53" i="32" s="1"/>
  <c r="BV41" i="32"/>
  <c r="AW41" i="32"/>
  <c r="BW41" i="32" s="1"/>
  <c r="AX41" i="32"/>
  <c r="AY41" i="32"/>
  <c r="BY41" i="32" s="1"/>
  <c r="BV22" i="32"/>
  <c r="AY22" i="32"/>
  <c r="BY22" i="32" s="1"/>
  <c r="AX22" i="32"/>
  <c r="BX22" i="32" s="1"/>
  <c r="AW22" i="32"/>
  <c r="BW22" i="32" s="1"/>
  <c r="BV24" i="32"/>
  <c r="AX24" i="32"/>
  <c r="BX24" i="32" s="1"/>
  <c r="AY24" i="32"/>
  <c r="BY24" i="32" s="1"/>
  <c r="AW24" i="32"/>
  <c r="BW24" i="32" s="1"/>
  <c r="BV52" i="32"/>
  <c r="AW52" i="32"/>
  <c r="BW52" i="32" s="1"/>
  <c r="AX52" i="32"/>
  <c r="BX52" i="32" s="1"/>
  <c r="AY52" i="32"/>
  <c r="BY52" i="32" s="1"/>
  <c r="BV19" i="32"/>
  <c r="AY19" i="32"/>
  <c r="BY19" i="32" s="1"/>
  <c r="AW19" i="32"/>
  <c r="BW19" i="32" s="1"/>
  <c r="AX19" i="32"/>
  <c r="BX19" i="32" s="1"/>
  <c r="BV51" i="32"/>
  <c r="AX51" i="32"/>
  <c r="BX51" i="32" s="1"/>
  <c r="AW51" i="32"/>
  <c r="BW51" i="32" s="1"/>
  <c r="AY51" i="32"/>
  <c r="BY51" i="32" s="1"/>
  <c r="BV18" i="32"/>
  <c r="AW18" i="32"/>
  <c r="BW18" i="32" s="1"/>
  <c r="AY18" i="32"/>
  <c r="BY18" i="32" s="1"/>
  <c r="AX18" i="32"/>
  <c r="BX18" i="32" s="1"/>
  <c r="BV4" i="32"/>
  <c r="AW4" i="32"/>
  <c r="BW4" i="32" s="1"/>
  <c r="AX4" i="32"/>
  <c r="BX4" i="32" s="1"/>
  <c r="AY4" i="32"/>
  <c r="BY4" i="32" s="1"/>
  <c r="BV42" i="32"/>
  <c r="AW42" i="32"/>
  <c r="BW42" i="32" s="1"/>
  <c r="AX42" i="32"/>
  <c r="BX42" i="32" s="1"/>
  <c r="AY42" i="32"/>
  <c r="BY42" i="32" s="1"/>
  <c r="BV20" i="32"/>
  <c r="AY20" i="32"/>
  <c r="BY20" i="32" s="1"/>
  <c r="AW20" i="32"/>
  <c r="BW20" i="32" s="1"/>
  <c r="AX20" i="32"/>
  <c r="BX20" i="32" s="1"/>
  <c r="BV12" i="32"/>
  <c r="AX12" i="32"/>
  <c r="BX12" i="32" s="1"/>
  <c r="AY12" i="32"/>
  <c r="BY12" i="32" s="1"/>
  <c r="AW12" i="32"/>
  <c r="BW12" i="32" s="1"/>
  <c r="BP50" i="32"/>
  <c r="AU50" i="32"/>
  <c r="BU50" i="32" s="1"/>
  <c r="BV50" i="32"/>
  <c r="AX50" i="32"/>
  <c r="BX50" i="32" s="1"/>
  <c r="AY50" i="32"/>
  <c r="BY50" i="32" s="1"/>
  <c r="AW50" i="32"/>
  <c r="BW50" i="32" s="1"/>
  <c r="BV17" i="32"/>
  <c r="AW17" i="32"/>
  <c r="AX17" i="32"/>
  <c r="BX17" i="32" s="1"/>
  <c r="AY17" i="32"/>
  <c r="BY17" i="32" s="1"/>
  <c r="AX49" i="32"/>
  <c r="AW49" i="32"/>
  <c r="AY49" i="32"/>
  <c r="BV15" i="32"/>
  <c r="AX15" i="32"/>
  <c r="BX15" i="32" s="1"/>
  <c r="AW15" i="32"/>
  <c r="BW15" i="32" s="1"/>
  <c r="AY15" i="32"/>
  <c r="BY15" i="32" s="1"/>
  <c r="BV60" i="32"/>
  <c r="AY60" i="32"/>
  <c r="BY60" i="32" s="1"/>
  <c r="AX60" i="32"/>
  <c r="BX60" i="32" s="1"/>
  <c r="AW60" i="32"/>
  <c r="BV48" i="32"/>
  <c r="AY48" i="32"/>
  <c r="BY48" i="32" s="1"/>
  <c r="AX48" i="32"/>
  <c r="BX48" i="32" s="1"/>
  <c r="AW48" i="32"/>
  <c r="BW48" i="32" s="1"/>
  <c r="BV13" i="32"/>
  <c r="AX13" i="32"/>
  <c r="BX13" i="32" s="1"/>
  <c r="AY13" i="32"/>
  <c r="BY13" i="32" s="1"/>
  <c r="AW13" i="32"/>
  <c r="BW13" i="32" s="1"/>
  <c r="BV11" i="32"/>
  <c r="AY11" i="32"/>
  <c r="BY11" i="32" s="1"/>
  <c r="AX11" i="32"/>
  <c r="BX11" i="32" s="1"/>
  <c r="AW11" i="32"/>
  <c r="BW11" i="32" s="1"/>
  <c r="BV9" i="32"/>
  <c r="AY9" i="32"/>
  <c r="BY9" i="32" s="1"/>
  <c r="AW9" i="32"/>
  <c r="BW9" i="32" s="1"/>
  <c r="AX9" i="32"/>
  <c r="BX9" i="32" s="1"/>
  <c r="BP59" i="32"/>
  <c r="AU59" i="32"/>
  <c r="BU59" i="32" s="1"/>
  <c r="BP26" i="32"/>
  <c r="AU26" i="32"/>
  <c r="BU26" i="32" s="1"/>
  <c r="BV59" i="32"/>
  <c r="AY59" i="32"/>
  <c r="BY59" i="32" s="1"/>
  <c r="AX59" i="32"/>
  <c r="BX59" i="32" s="1"/>
  <c r="AW59" i="32"/>
  <c r="BV47" i="32"/>
  <c r="AY47" i="32"/>
  <c r="BY47" i="32" s="1"/>
  <c r="AX47" i="32"/>
  <c r="BX47" i="32" s="1"/>
  <c r="AW47" i="32"/>
  <c r="BW47" i="32" s="1"/>
  <c r="BV26" i="32"/>
  <c r="AX26" i="32"/>
  <c r="BX26" i="32" s="1"/>
  <c r="AW26" i="32"/>
  <c r="BW26" i="32" s="1"/>
  <c r="AY26" i="32"/>
  <c r="BY26" i="32" s="1"/>
  <c r="BV8" i="32"/>
  <c r="AY8" i="32"/>
  <c r="BY8" i="32" s="1"/>
  <c r="AW8" i="32"/>
  <c r="AX8" i="32"/>
  <c r="BP58" i="32"/>
  <c r="AU58" i="32"/>
  <c r="BU58" i="32" s="1"/>
  <c r="BP25" i="32"/>
  <c r="AU25" i="32"/>
  <c r="BU25" i="32" s="1"/>
  <c r="BV58" i="32"/>
  <c r="AY58" i="32"/>
  <c r="BY58" i="32" s="1"/>
  <c r="AW58" i="32"/>
  <c r="BW58" i="32" s="1"/>
  <c r="AX58" i="32"/>
  <c r="BX58" i="32" s="1"/>
  <c r="BV46" i="32"/>
  <c r="AY46" i="32"/>
  <c r="BY46" i="32" s="1"/>
  <c r="AW46" i="32"/>
  <c r="BW46" i="32" s="1"/>
  <c r="AX46" i="32"/>
  <c r="BV10" i="32"/>
  <c r="AY10" i="32"/>
  <c r="BY10" i="32" s="1"/>
  <c r="AX10" i="32"/>
  <c r="BX10" i="32" s="1"/>
  <c r="AW10" i="32"/>
  <c r="BW10" i="32" s="1"/>
  <c r="BV7" i="32"/>
  <c r="AW7" i="32"/>
  <c r="BW7" i="32" s="1"/>
  <c r="AX7" i="32"/>
  <c r="BX7" i="32" s="1"/>
  <c r="AY7" i="32"/>
  <c r="BY7" i="32" s="1"/>
  <c r="BV57" i="32"/>
  <c r="AY57" i="32"/>
  <c r="BY57" i="32" s="1"/>
  <c r="AW57" i="32"/>
  <c r="BW57" i="32" s="1"/>
  <c r="AX57" i="32"/>
  <c r="BX57" i="32" s="1"/>
  <c r="BV45" i="32"/>
  <c r="AY45" i="32"/>
  <c r="BY45" i="32" s="1"/>
  <c r="AW45" i="32"/>
  <c r="BW45" i="32" s="1"/>
  <c r="AX45" i="32"/>
  <c r="BX45" i="32" s="1"/>
  <c r="BV6" i="32"/>
  <c r="AY6" i="32"/>
  <c r="BY6" i="32" s="1"/>
  <c r="AW6" i="32"/>
  <c r="BW6" i="32" s="1"/>
  <c r="AX6" i="32"/>
  <c r="BX6" i="32" s="1"/>
  <c r="BV56" i="32"/>
  <c r="AW56" i="32"/>
  <c r="BW56" i="32" s="1"/>
  <c r="AY56" i="32"/>
  <c r="BY56" i="32" s="1"/>
  <c r="AX56" i="32"/>
  <c r="BX56" i="32" s="1"/>
  <c r="BV44" i="32"/>
  <c r="AW44" i="32"/>
  <c r="BW44" i="32" s="1"/>
  <c r="AX44" i="32"/>
  <c r="BX44" i="32" s="1"/>
  <c r="AY44" i="32"/>
  <c r="BY44" i="32" s="1"/>
  <c r="GI39" i="32"/>
  <c r="GK36" i="32"/>
  <c r="GK39" i="32"/>
  <c r="GI34" i="32"/>
  <c r="GK38" i="32"/>
  <c r="GI40" i="32"/>
  <c r="GM42" i="32"/>
  <c r="GI38" i="32"/>
  <c r="GK34" i="32"/>
  <c r="GM5" i="32"/>
  <c r="GK40" i="32"/>
  <c r="GI36" i="32"/>
  <c r="FU46" i="32"/>
  <c r="GA46" i="32" s="1"/>
  <c r="FU42" i="32"/>
  <c r="FZ42" i="32" s="1"/>
  <c r="FU48" i="32"/>
  <c r="FU44" i="32"/>
  <c r="FU45" i="32"/>
  <c r="ES27" i="32"/>
  <c r="EV27" i="32" s="1"/>
  <c r="EX27" i="32" s="1"/>
  <c r="GE27" i="32" s="1"/>
  <c r="FU50" i="32"/>
  <c r="ES33" i="32"/>
  <c r="EV33" i="32" s="1"/>
  <c r="EX33" i="32" s="1"/>
  <c r="FU47" i="32"/>
  <c r="ES32" i="32"/>
  <c r="EV32" i="32" s="1"/>
  <c r="EX32" i="32" s="1"/>
  <c r="GE32" i="32" s="1"/>
  <c r="ER33" i="32"/>
  <c r="EU33" i="32" s="1"/>
  <c r="EW33" i="32" s="1"/>
  <c r="FU43" i="32"/>
  <c r="FU41" i="32"/>
  <c r="FU49" i="32"/>
  <c r="DM40" i="32"/>
  <c r="CT36" i="32"/>
  <c r="CW34" i="32"/>
  <c r="CW38" i="32"/>
  <c r="CW36" i="32"/>
  <c r="CW39" i="32"/>
  <c r="CT40" i="32"/>
  <c r="CT38" i="32"/>
  <c r="CT34" i="32"/>
  <c r="CT39" i="32"/>
  <c r="CW40" i="32"/>
  <c r="CI33" i="32"/>
  <c r="CP33" i="32" s="1"/>
  <c r="GD41" i="32"/>
  <c r="GD49" i="32"/>
  <c r="GD42" i="32"/>
  <c r="GD50" i="32"/>
  <c r="GD45" i="32"/>
  <c r="GD46" i="32"/>
  <c r="GD48" i="32"/>
  <c r="GD44" i="32"/>
  <c r="GD43" i="32"/>
  <c r="GD47" i="32"/>
  <c r="GD27" i="32"/>
  <c r="GE31" i="32"/>
  <c r="GD31" i="32"/>
  <c r="GD32" i="32"/>
  <c r="GE29" i="32"/>
  <c r="GD29" i="32"/>
  <c r="CH33" i="32"/>
  <c r="CO33" i="32" s="1"/>
  <c r="AR3" i="32"/>
  <c r="BR3" i="32" s="1"/>
  <c r="BP3" i="32"/>
  <c r="DW34" i="32"/>
  <c r="GW34" i="32" s="1"/>
  <c r="DD34" i="32"/>
  <c r="BP8" i="32"/>
  <c r="AQ57" i="32"/>
  <c r="BQ57" i="32" s="1"/>
  <c r="BP57" i="32"/>
  <c r="AQ41" i="32"/>
  <c r="BQ41" i="32" s="1"/>
  <c r="BP41" i="32"/>
  <c r="AS7" i="32"/>
  <c r="BS7" i="32" s="1"/>
  <c r="BP7" i="32"/>
  <c r="AQ55" i="32"/>
  <c r="BQ55" i="32" s="1"/>
  <c r="BP55" i="32"/>
  <c r="AQ47" i="32"/>
  <c r="BQ47" i="32" s="1"/>
  <c r="BP47" i="32"/>
  <c r="AQ18" i="32"/>
  <c r="BQ18" i="32" s="1"/>
  <c r="BP18" i="32"/>
  <c r="BP20" i="32"/>
  <c r="CJ33" i="32"/>
  <c r="CL33" i="32" s="1"/>
  <c r="DH33" i="32" s="1"/>
  <c r="AS6" i="32"/>
  <c r="BS6" i="32" s="1"/>
  <c r="BP6" i="32"/>
  <c r="AQ22" i="32"/>
  <c r="BQ22" i="32" s="1"/>
  <c r="BP22" i="32"/>
  <c r="DX29" i="32"/>
  <c r="GX29" i="32" s="1"/>
  <c r="DE29" i="32"/>
  <c r="AQ54" i="32"/>
  <c r="BQ54" i="32" s="1"/>
  <c r="BP54" i="32"/>
  <c r="AQ46" i="32"/>
  <c r="BQ46" i="32" s="1"/>
  <c r="BP46" i="32"/>
  <c r="AQ17" i="32"/>
  <c r="BQ17" i="32" s="1"/>
  <c r="BP17" i="32"/>
  <c r="AQ12" i="32"/>
  <c r="BQ12" i="32" s="1"/>
  <c r="BP12" i="32"/>
  <c r="DD38" i="32"/>
  <c r="DW38" i="32"/>
  <c r="GW38" i="32" s="1"/>
  <c r="AQ43" i="32"/>
  <c r="BQ43" i="32" s="1"/>
  <c r="BP43" i="32"/>
  <c r="AS9" i="32"/>
  <c r="BS9" i="32" s="1"/>
  <c r="BP9" i="32"/>
  <c r="DE40" i="32"/>
  <c r="DX40" i="32"/>
  <c r="GX40" i="32" s="1"/>
  <c r="AQ53" i="32"/>
  <c r="BQ53" i="32" s="1"/>
  <c r="BP53" i="32"/>
  <c r="AQ45" i="32"/>
  <c r="BQ45" i="32" s="1"/>
  <c r="BP45" i="32"/>
  <c r="AR15" i="32"/>
  <c r="BR15" i="32" s="1"/>
  <c r="BP15" i="32"/>
  <c r="AQ11" i="32"/>
  <c r="BQ11" i="32" s="1"/>
  <c r="BP11" i="32"/>
  <c r="AR51" i="32"/>
  <c r="BR51" i="32" s="1"/>
  <c r="BP51" i="32"/>
  <c r="AQ56" i="32"/>
  <c r="BQ56" i="32" s="1"/>
  <c r="BP56" i="32"/>
  <c r="AQ48" i="32"/>
  <c r="BQ48" i="32" s="1"/>
  <c r="BP48" i="32"/>
  <c r="BP19" i="32"/>
  <c r="AQ60" i="32"/>
  <c r="BQ60" i="32" s="1"/>
  <c r="BP60" i="32"/>
  <c r="AQ52" i="32"/>
  <c r="BQ52" i="32" s="1"/>
  <c r="BP52" i="32"/>
  <c r="AQ44" i="32"/>
  <c r="BQ44" i="32" s="1"/>
  <c r="BP44" i="32"/>
  <c r="AQ13" i="32"/>
  <c r="BQ13" i="32" s="1"/>
  <c r="BP13" i="32"/>
  <c r="AQ10" i="32"/>
  <c r="BQ10" i="32" s="1"/>
  <c r="BP10" i="32"/>
  <c r="AQ24" i="32"/>
  <c r="BQ24" i="32" s="1"/>
  <c r="BP24" i="32"/>
  <c r="BW5" i="32"/>
  <c r="BX5" i="32"/>
  <c r="CV36" i="32"/>
  <c r="BX43" i="32"/>
  <c r="DM36" i="32"/>
  <c r="BW59" i="32"/>
  <c r="BX41" i="32"/>
  <c r="DA38" i="32"/>
  <c r="CZ38" i="32"/>
  <c r="CV38" i="32"/>
  <c r="BW8" i="32"/>
  <c r="BX8" i="32"/>
  <c r="CV34" i="32"/>
  <c r="CV39" i="32"/>
  <c r="DM38" i="32"/>
  <c r="BX46" i="32"/>
  <c r="BW17" i="32"/>
  <c r="DP36" i="32"/>
  <c r="GP36" i="32" s="1"/>
  <c r="DO36" i="32"/>
  <c r="GO36" i="32" s="1"/>
  <c r="CV40" i="32"/>
  <c r="DM39" i="32"/>
  <c r="DM34" i="32"/>
  <c r="BW60" i="32"/>
  <c r="CK33" i="32"/>
  <c r="CM33" i="32" s="1"/>
  <c r="DI33" i="32" s="1"/>
  <c r="DK33" i="32"/>
  <c r="GG33" i="32" s="1"/>
  <c r="CR33" i="32"/>
  <c r="AS53" i="32"/>
  <c r="BS53" i="32" s="1"/>
  <c r="AS13" i="32"/>
  <c r="BS13" i="32" s="1"/>
  <c r="S39" i="32"/>
  <c r="CI39" i="32" s="1"/>
  <c r="Q39" i="32"/>
  <c r="Q36" i="32"/>
  <c r="S40" i="32"/>
  <c r="Q34" i="32"/>
  <c r="S36" i="32"/>
  <c r="CI36" i="32" s="1"/>
  <c r="AS60" i="32"/>
  <c r="BS60" i="32" s="1"/>
  <c r="AS12" i="32"/>
  <c r="BS12" i="32" s="1"/>
  <c r="DJ39" i="32"/>
  <c r="GF39" i="32" s="1"/>
  <c r="CE40" i="32"/>
  <c r="AQ15" i="32"/>
  <c r="BQ15" i="32" s="1"/>
  <c r="CQ39" i="32"/>
  <c r="DL39" i="32"/>
  <c r="GH39" i="32" s="1"/>
  <c r="AS52" i="32"/>
  <c r="BS52" i="32" s="1"/>
  <c r="AR46" i="32"/>
  <c r="BR46" i="32" s="1"/>
  <c r="AQ58" i="32"/>
  <c r="BQ58" i="32" s="1"/>
  <c r="AQ42" i="32"/>
  <c r="BQ42" i="32" s="1"/>
  <c r="AR57" i="32"/>
  <c r="BR57" i="32" s="1"/>
  <c r="CF40" i="32"/>
  <c r="CF39" i="32"/>
  <c r="AQ50" i="32"/>
  <c r="BQ50" i="32" s="1"/>
  <c r="AQ25" i="32"/>
  <c r="BQ25" i="32" s="1"/>
  <c r="AQ49" i="32"/>
  <c r="AS10" i="32"/>
  <c r="BS10" i="32" s="1"/>
  <c r="DK39" i="32"/>
  <c r="GG39" i="32" s="1"/>
  <c r="CE38" i="32"/>
  <c r="AM36" i="32"/>
  <c r="DA36" i="32" s="1"/>
  <c r="AQ59" i="32"/>
  <c r="BQ59" i="32" s="1"/>
  <c r="AQ51" i="32"/>
  <c r="BQ51" i="32" s="1"/>
  <c r="AQ26" i="32"/>
  <c r="BQ26" i="32" s="1"/>
  <c r="AQ9" i="32"/>
  <c r="BQ9" i="32" s="1"/>
  <c r="AQ19" i="32"/>
  <c r="BQ19" i="32" s="1"/>
  <c r="AQ20" i="32"/>
  <c r="BQ20" i="32" s="1"/>
  <c r="AL34" i="32"/>
  <c r="CZ34" i="32" s="1"/>
  <c r="AJ38" i="32"/>
  <c r="BL36" i="32"/>
  <c r="AK34" i="32"/>
  <c r="DO34" i="32" s="1"/>
  <c r="GO34" i="32" s="1"/>
  <c r="CE39" i="32"/>
  <c r="CS39" i="32"/>
  <c r="DJ40" i="32"/>
  <c r="GF40" i="32" s="1"/>
  <c r="Y40" i="32"/>
  <c r="DL40" i="32"/>
  <c r="GH40" i="32" s="1"/>
  <c r="CQ40" i="32"/>
  <c r="CS40" i="32"/>
  <c r="M40" i="32"/>
  <c r="FD40" i="32" s="1"/>
  <c r="L38" i="32"/>
  <c r="Q38" i="32" s="1"/>
  <c r="EN38" i="32" s="1"/>
  <c r="EP38" i="32" s="1"/>
  <c r="ER38" i="32" s="1"/>
  <c r="CF38" i="32"/>
  <c r="R38" i="32"/>
  <c r="CE36" i="32"/>
  <c r="CF36" i="32"/>
  <c r="DL36" i="32"/>
  <c r="GH36" i="32" s="1"/>
  <c r="CQ36" i="32"/>
  <c r="AJ36" i="32"/>
  <c r="DS36" i="32" s="1"/>
  <c r="GS36" i="32" s="1"/>
  <c r="DJ36" i="32"/>
  <c r="GF36" i="32" s="1"/>
  <c r="Y36" i="32"/>
  <c r="X36" i="32"/>
  <c r="Y34" i="32"/>
  <c r="CR34" i="32" s="1"/>
  <c r="CQ34" i="32"/>
  <c r="DJ34" i="32"/>
  <c r="GF34" i="32" s="1"/>
  <c r="CS34" i="32"/>
  <c r="DL34" i="32"/>
  <c r="GH34" i="32" s="1"/>
  <c r="CD34" i="32"/>
  <c r="CE34" i="32" s="1"/>
  <c r="R34" i="32"/>
  <c r="CR39" i="32"/>
  <c r="BK36" i="32"/>
  <c r="BM36" i="32"/>
  <c r="AK38" i="32"/>
  <c r="DP38" i="32" s="1"/>
  <c r="GP38" i="32" s="1"/>
  <c r="AR54" i="32"/>
  <c r="BR54" i="32" s="1"/>
  <c r="BK39" i="32"/>
  <c r="X38" i="32"/>
  <c r="AS41" i="32"/>
  <c r="BS41" i="32" s="1"/>
  <c r="AJ39" i="32"/>
  <c r="BJ38" i="32"/>
  <c r="AT3" i="32"/>
  <c r="BT3" i="32" s="1"/>
  <c r="AR17" i="32"/>
  <c r="BR17" i="32" s="1"/>
  <c r="AK39" i="32"/>
  <c r="DP39" i="32" s="1"/>
  <c r="GP39" i="32" s="1"/>
  <c r="AS58" i="32"/>
  <c r="BS58" i="32" s="1"/>
  <c r="AS54" i="32"/>
  <c r="BS54" i="32" s="1"/>
  <c r="BL40" i="32"/>
  <c r="AR58" i="32"/>
  <c r="BR58" i="32" s="1"/>
  <c r="AS46" i="32"/>
  <c r="BS46" i="32" s="1"/>
  <c r="AS44" i="32"/>
  <c r="BS44" i="32" s="1"/>
  <c r="AR53" i="32"/>
  <c r="BR53" i="32" s="1"/>
  <c r="AR26" i="32"/>
  <c r="BR26" i="32" s="1"/>
  <c r="AS57" i="32"/>
  <c r="BS57" i="32" s="1"/>
  <c r="AS42" i="32"/>
  <c r="BS42" i="32" s="1"/>
  <c r="AR25" i="32"/>
  <c r="BR25" i="32" s="1"/>
  <c r="AR50" i="32"/>
  <c r="BR50" i="32" s="1"/>
  <c r="AR12" i="32"/>
  <c r="BR12" i="32" s="1"/>
  <c r="AS17" i="32"/>
  <c r="BS17" i="32" s="1"/>
  <c r="AS5" i="32"/>
  <c r="BS5" i="32" s="1"/>
  <c r="BK40" i="32"/>
  <c r="AM39" i="32"/>
  <c r="CZ39" i="32" s="1"/>
  <c r="AR9" i="32"/>
  <c r="BR9" i="32" s="1"/>
  <c r="AR43" i="32"/>
  <c r="BR43" i="32" s="1"/>
  <c r="AR8" i="32"/>
  <c r="BR8" i="32" s="1"/>
  <c r="AS50" i="32"/>
  <c r="BS50" i="32" s="1"/>
  <c r="AS25" i="32"/>
  <c r="BS25" i="32" s="1"/>
  <c r="AR59" i="32"/>
  <c r="BR59" i="32" s="1"/>
  <c r="AR42" i="32"/>
  <c r="BR42" i="32" s="1"/>
  <c r="AR5" i="32"/>
  <c r="BR5" i="32" s="1"/>
  <c r="AS49" i="32"/>
  <c r="AS24" i="32"/>
  <c r="BS24" i="32" s="1"/>
  <c r="AS4" i="32"/>
  <c r="BS4" i="32" s="1"/>
  <c r="AS11" i="32"/>
  <c r="BS11" i="32" s="1"/>
  <c r="AR10" i="32"/>
  <c r="BR10" i="32" s="1"/>
  <c r="AR60" i="32"/>
  <c r="BR60" i="32" s="1"/>
  <c r="AR52" i="32"/>
  <c r="BR52" i="32" s="1"/>
  <c r="AR44" i="32"/>
  <c r="BR44" i="32" s="1"/>
  <c r="AR13" i="32"/>
  <c r="BR13" i="32" s="1"/>
  <c r="AS15" i="32"/>
  <c r="BS15" i="32" s="1"/>
  <c r="AS45" i="32"/>
  <c r="BS45" i="32" s="1"/>
  <c r="AR7" i="32"/>
  <c r="BR7" i="32" s="1"/>
  <c r="AR56" i="32"/>
  <c r="BR56" i="32" s="1"/>
  <c r="AS56" i="32"/>
  <c r="BS56" i="32" s="1"/>
  <c r="AR48" i="32"/>
  <c r="BR48" i="32" s="1"/>
  <c r="AS48" i="32"/>
  <c r="BS48" i="32" s="1"/>
  <c r="AR19" i="32"/>
  <c r="BR19" i="32" s="1"/>
  <c r="AS19" i="32"/>
  <c r="BS19" i="32" s="1"/>
  <c r="AR22" i="32"/>
  <c r="BR22" i="32" s="1"/>
  <c r="AS22" i="32"/>
  <c r="BS22" i="32" s="1"/>
  <c r="AR4" i="32"/>
  <c r="BR4" i="32" s="1"/>
  <c r="AR6" i="32"/>
  <c r="BR6" i="32" s="1"/>
  <c r="AR55" i="32"/>
  <c r="BR55" i="32" s="1"/>
  <c r="AS55" i="32"/>
  <c r="BS55" i="32" s="1"/>
  <c r="AR47" i="32"/>
  <c r="BR47" i="32" s="1"/>
  <c r="AS47" i="32"/>
  <c r="BS47" i="32" s="1"/>
  <c r="AR18" i="32"/>
  <c r="BR18" i="32" s="1"/>
  <c r="AS18" i="32"/>
  <c r="BS18" i="32" s="1"/>
  <c r="AR20" i="32"/>
  <c r="BR20" i="32" s="1"/>
  <c r="AS20" i="32"/>
  <c r="BS20" i="32" s="1"/>
  <c r="AR45" i="32"/>
  <c r="BR45" i="32" s="1"/>
  <c r="AR11" i="32"/>
  <c r="BR11" i="32" s="1"/>
  <c r="AS59" i="32"/>
  <c r="BS59" i="32" s="1"/>
  <c r="AS51" i="32"/>
  <c r="BS51" i="32" s="1"/>
  <c r="AS43" i="32"/>
  <c r="BS43" i="32" s="1"/>
  <c r="AS26" i="32"/>
  <c r="BS26" i="32" s="1"/>
  <c r="AS8" i="32"/>
  <c r="BS8" i="32" s="1"/>
  <c r="AQ3" i="32"/>
  <c r="BQ3" i="32" s="1"/>
  <c r="AR49" i="32"/>
  <c r="AR41" i="32"/>
  <c r="BR41" i="32" s="1"/>
  <c r="AR24" i="32"/>
  <c r="BR24" i="32" s="1"/>
  <c r="AS3" i="32"/>
  <c r="BS3" i="32" s="1"/>
  <c r="AJ40" i="32"/>
  <c r="AK40" i="32"/>
  <c r="DP40" i="32" s="1"/>
  <c r="GP40" i="32" s="1"/>
  <c r="AM40" i="32"/>
  <c r="DA40" i="32" s="1"/>
  <c r="AT5" i="32"/>
  <c r="BT5" i="32" s="1"/>
  <c r="AT6" i="32"/>
  <c r="BT6" i="32" s="1"/>
  <c r="AT7" i="32"/>
  <c r="BT7" i="32" s="1"/>
  <c r="AT8" i="32"/>
  <c r="BT8" i="32" s="1"/>
  <c r="AT9" i="32"/>
  <c r="BT9" i="32" s="1"/>
  <c r="AT10" i="32"/>
  <c r="BT10" i="32" s="1"/>
  <c r="AT11" i="32"/>
  <c r="BT11" i="32" s="1"/>
  <c r="AT12" i="32"/>
  <c r="BT12" i="32" s="1"/>
  <c r="AT20" i="32"/>
  <c r="BT20" i="32" s="1"/>
  <c r="AT22" i="32"/>
  <c r="BT22" i="32" s="1"/>
  <c r="AT24" i="32"/>
  <c r="BT24" i="32" s="1"/>
  <c r="AT25" i="32"/>
  <c r="BT25" i="32" s="1"/>
  <c r="AT26" i="32"/>
  <c r="BT26" i="32" s="1"/>
  <c r="AT13" i="32"/>
  <c r="BT13" i="32" s="1"/>
  <c r="AT15" i="32"/>
  <c r="BT15" i="32" s="1"/>
  <c r="AT17" i="32"/>
  <c r="BT17" i="32" s="1"/>
  <c r="AT18" i="32"/>
  <c r="BT18" i="32" s="1"/>
  <c r="AT19" i="32"/>
  <c r="BT19" i="32" s="1"/>
  <c r="AT41" i="32"/>
  <c r="BT41" i="32" s="1"/>
  <c r="AT42" i="32"/>
  <c r="BT42" i="32" s="1"/>
  <c r="AT43" i="32"/>
  <c r="BT43" i="32" s="1"/>
  <c r="AT44" i="32"/>
  <c r="BT44" i="32" s="1"/>
  <c r="AT45" i="32"/>
  <c r="BT45" i="32" s="1"/>
  <c r="AT46" i="32"/>
  <c r="BT46" i="32" s="1"/>
  <c r="AT47" i="32"/>
  <c r="BT47" i="32" s="1"/>
  <c r="AT48" i="32"/>
  <c r="BT48" i="32" s="1"/>
  <c r="AT49" i="32"/>
  <c r="AT50" i="32"/>
  <c r="BT50" i="32" s="1"/>
  <c r="AT51" i="32"/>
  <c r="BT51" i="32" s="1"/>
  <c r="AT52" i="32"/>
  <c r="BT52" i="32" s="1"/>
  <c r="AT53" i="32"/>
  <c r="BT53" i="32" s="1"/>
  <c r="AT54" i="32"/>
  <c r="BT54" i="32" s="1"/>
  <c r="AT55" i="32"/>
  <c r="BT55" i="32" s="1"/>
  <c r="AT56" i="32"/>
  <c r="BT56" i="32" s="1"/>
  <c r="AT57" i="32"/>
  <c r="BT57" i="32" s="1"/>
  <c r="AT58" i="32"/>
  <c r="BT58" i="32" s="1"/>
  <c r="AT59" i="32"/>
  <c r="BT59" i="32" s="1"/>
  <c r="AT60" i="32"/>
  <c r="BT60" i="32" s="1"/>
  <c r="AT4" i="32"/>
  <c r="BT4" i="32" s="1"/>
  <c r="FZ46" i="32" l="1"/>
  <c r="GB46" i="32" s="1"/>
  <c r="GC46" i="32" s="1"/>
  <c r="GA42" i="32"/>
  <c r="GB42" i="32" s="1"/>
  <c r="GC42" i="32" s="1"/>
  <c r="FZ47" i="32"/>
  <c r="GA47" i="32"/>
  <c r="FZ45" i="32"/>
  <c r="GA45" i="32"/>
  <c r="CI40" i="32"/>
  <c r="CP40" i="32" s="1"/>
  <c r="EO40" i="32"/>
  <c r="EQ40" i="32" s="1"/>
  <c r="FZ43" i="32"/>
  <c r="GA43" i="32"/>
  <c r="FZ44" i="32"/>
  <c r="GA44" i="32"/>
  <c r="FZ50" i="32"/>
  <c r="GA50" i="32"/>
  <c r="GA41" i="32"/>
  <c r="FZ41" i="32"/>
  <c r="FZ48" i="32"/>
  <c r="GA48" i="32"/>
  <c r="GA49" i="32"/>
  <c r="FZ49" i="32"/>
  <c r="GE33" i="32"/>
  <c r="DS40" i="32"/>
  <c r="GS40" i="32" s="1"/>
  <c r="DS39" i="32"/>
  <c r="GS39" i="32" s="1"/>
  <c r="DS34" i="32"/>
  <c r="GS34" i="32" s="1"/>
  <c r="DS38" i="32"/>
  <c r="GS38" i="32" s="1"/>
  <c r="GD33" i="32"/>
  <c r="EU38" i="32"/>
  <c r="EW38" i="32" s="1"/>
  <c r="GD38" i="32" s="1"/>
  <c r="CP39" i="32"/>
  <c r="EO39" i="32"/>
  <c r="EQ39" i="32" s="1"/>
  <c r="ES39" i="32" s="1"/>
  <c r="CK36" i="32"/>
  <c r="CM36" i="32" s="1"/>
  <c r="DI36" i="32" s="1"/>
  <c r="EO36" i="32"/>
  <c r="EQ36" i="32" s="1"/>
  <c r="ES36" i="32" s="1"/>
  <c r="CJ34" i="32"/>
  <c r="CL34" i="32" s="1"/>
  <c r="DH34" i="32" s="1"/>
  <c r="EN34" i="32"/>
  <c r="EP34" i="32" s="1"/>
  <c r="ER34" i="32" s="1"/>
  <c r="CK40" i="32"/>
  <c r="CM40" i="32" s="1"/>
  <c r="DI40" i="32" s="1"/>
  <c r="CJ36" i="32"/>
  <c r="CL36" i="32" s="1"/>
  <c r="DH36" i="32" s="1"/>
  <c r="EN36" i="32"/>
  <c r="EP36" i="32" s="1"/>
  <c r="ER36" i="32" s="1"/>
  <c r="CJ39" i="32"/>
  <c r="CL39" i="32" s="1"/>
  <c r="DH39" i="32" s="1"/>
  <c r="EN39" i="32"/>
  <c r="EP39" i="32" s="1"/>
  <c r="ER39" i="32" s="1"/>
  <c r="DD39" i="32"/>
  <c r="DW39" i="32"/>
  <c r="GW39" i="32" s="1"/>
  <c r="DE36" i="32"/>
  <c r="DX36" i="32"/>
  <c r="GX36" i="32" s="1"/>
  <c r="DE38" i="32"/>
  <c r="DX38" i="32"/>
  <c r="GX38" i="32" s="1"/>
  <c r="DD40" i="32"/>
  <c r="DW40" i="32"/>
  <c r="GW40" i="32" s="1"/>
  <c r="DE39" i="32"/>
  <c r="DX39" i="32"/>
  <c r="GX39" i="32" s="1"/>
  <c r="DW36" i="32"/>
  <c r="GW36" i="32" s="1"/>
  <c r="DD36" i="32"/>
  <c r="DX34" i="32"/>
  <c r="GX34" i="32" s="1"/>
  <c r="DE34" i="32"/>
  <c r="DA34" i="32"/>
  <c r="CZ36" i="32"/>
  <c r="DO40" i="32"/>
  <c r="GO40" i="32" s="1"/>
  <c r="DA39" i="32"/>
  <c r="DO38" i="32"/>
  <c r="GO38" i="32" s="1"/>
  <c r="DT38" i="32"/>
  <c r="GT38" i="32" s="1"/>
  <c r="CZ40" i="32"/>
  <c r="DO39" i="32"/>
  <c r="GO39" i="32" s="1"/>
  <c r="DT39" i="32"/>
  <c r="GT39" i="32" s="1"/>
  <c r="DT34" i="32"/>
  <c r="GT34" i="32" s="1"/>
  <c r="DP34" i="32"/>
  <c r="GP34" i="32" s="1"/>
  <c r="DT40" i="32"/>
  <c r="GT40" i="32" s="1"/>
  <c r="DT36" i="32"/>
  <c r="GT36" i="32" s="1"/>
  <c r="S38" i="32"/>
  <c r="CI38" i="32" s="1"/>
  <c r="S34" i="32"/>
  <c r="CI34" i="32" s="1"/>
  <c r="Q40" i="32"/>
  <c r="CP36" i="32"/>
  <c r="CK39" i="32"/>
  <c r="CM39" i="32" s="1"/>
  <c r="DI39" i="32" s="1"/>
  <c r="DK34" i="32"/>
  <c r="GG34" i="32" s="1"/>
  <c r="BM39" i="32"/>
  <c r="BJ36" i="32"/>
  <c r="BJ40" i="32"/>
  <c r="CH39" i="32"/>
  <c r="CO39" i="32" s="1"/>
  <c r="CH36" i="32"/>
  <c r="CO36" i="32" s="1"/>
  <c r="CR40" i="32"/>
  <c r="DK40" i="32"/>
  <c r="GG40" i="32" s="1"/>
  <c r="CQ38" i="32"/>
  <c r="CS38" i="32"/>
  <c r="Y38" i="32"/>
  <c r="DJ38" i="32"/>
  <c r="GF38" i="32" s="1"/>
  <c r="DL38" i="32"/>
  <c r="GH38" i="32" s="1"/>
  <c r="DK36" i="32"/>
  <c r="GG36" i="32" s="1"/>
  <c r="CR36" i="32"/>
  <c r="CH34" i="32"/>
  <c r="CO34" i="32" s="1"/>
  <c r="CF34" i="32"/>
  <c r="BM34" i="32"/>
  <c r="BK34" i="32"/>
  <c r="BL39" i="32"/>
  <c r="BJ39" i="32"/>
  <c r="BL34" i="32"/>
  <c r="BJ34" i="32"/>
  <c r="BK38" i="32"/>
  <c r="BM38" i="32"/>
  <c r="BM40" i="32"/>
  <c r="AQ4" i="32"/>
  <c r="BQ4" i="32" s="1"/>
  <c r="AQ5" i="32"/>
  <c r="BQ5" i="32" s="1"/>
  <c r="AQ6" i="32"/>
  <c r="BQ6" i="32" s="1"/>
  <c r="AQ7" i="32"/>
  <c r="BQ7" i="32" s="1"/>
  <c r="AQ8" i="32"/>
  <c r="BQ8" i="32" s="1"/>
  <c r="GB44" i="32" l="1"/>
  <c r="GC44" i="32" s="1"/>
  <c r="GE44" i="32" s="1"/>
  <c r="GB47" i="32"/>
  <c r="GC47" i="32" s="1"/>
  <c r="GE47" i="32" s="1"/>
  <c r="GB48" i="32"/>
  <c r="GC48" i="32" s="1"/>
  <c r="GE48" i="32" s="1"/>
  <c r="GB41" i="32"/>
  <c r="GC41" i="32" s="1"/>
  <c r="GE41" i="32" s="1"/>
  <c r="GB49" i="32"/>
  <c r="GC49" i="32" s="1"/>
  <c r="GE49" i="32" s="1"/>
  <c r="GB43" i="32"/>
  <c r="GC43" i="32" s="1"/>
  <c r="GE43" i="32" s="1"/>
  <c r="ES40" i="32"/>
  <c r="EV40" i="32" s="1"/>
  <c r="EX40" i="32" s="1"/>
  <c r="GE40" i="32" s="1"/>
  <c r="GB50" i="32"/>
  <c r="GC50" i="32" s="1"/>
  <c r="GE50" i="32" s="1"/>
  <c r="CH40" i="32"/>
  <c r="CO40" i="32" s="1"/>
  <c r="EN40" i="32"/>
  <c r="EP40" i="32" s="1"/>
  <c r="GB45" i="32"/>
  <c r="GC45" i="32" s="1"/>
  <c r="GE45" i="32" s="1"/>
  <c r="GE46" i="32"/>
  <c r="GE42" i="32"/>
  <c r="EU39" i="32"/>
  <c r="EW39" i="32" s="1"/>
  <c r="GD39" i="32" s="1"/>
  <c r="EV36" i="32"/>
  <c r="EX36" i="32" s="1"/>
  <c r="GE36" i="32" s="1"/>
  <c r="EU36" i="32"/>
  <c r="EW36" i="32" s="1"/>
  <c r="GD36" i="32" s="1"/>
  <c r="EV39" i="32"/>
  <c r="EX39" i="32" s="1"/>
  <c r="GE39" i="32" s="1"/>
  <c r="EU34" i="32"/>
  <c r="EW34" i="32" s="1"/>
  <c r="GD34" i="32" s="1"/>
  <c r="CP34" i="32"/>
  <c r="EO34" i="32"/>
  <c r="EQ34" i="32" s="1"/>
  <c r="ES34" i="32" s="1"/>
  <c r="CK38" i="32"/>
  <c r="CM38" i="32" s="1"/>
  <c r="DI38" i="32" s="1"/>
  <c r="EO38" i="32"/>
  <c r="EQ38" i="32" s="1"/>
  <c r="ES38" i="32" s="1"/>
  <c r="CJ40" i="32"/>
  <c r="CL40" i="32" s="1"/>
  <c r="DH40" i="32" s="1"/>
  <c r="CK34" i="32"/>
  <c r="CM34" i="32" s="1"/>
  <c r="DI34" i="32" s="1"/>
  <c r="CP38" i="32"/>
  <c r="CJ38" i="32"/>
  <c r="CL38" i="32" s="1"/>
  <c r="DH38" i="32" s="1"/>
  <c r="CH38" i="32"/>
  <c r="CO38" i="32" s="1"/>
  <c r="DK38" i="32"/>
  <c r="GG38" i="32" s="1"/>
  <c r="CR38" i="32"/>
  <c r="ER40" i="32" l="1"/>
  <c r="EU40" i="32" s="1"/>
  <c r="EW40" i="32" s="1"/>
  <c r="GD40" i="32" s="1"/>
  <c r="EV34" i="32"/>
  <c r="EX34" i="32" s="1"/>
  <c r="GE34" i="32" s="1"/>
  <c r="EV38" i="32"/>
  <c r="EX38" i="32" s="1"/>
  <c r="GE38" i="32" s="1"/>
  <c r="R54" i="25" l="1"/>
  <c r="R55" i="25"/>
  <c r="R56" i="25"/>
  <c r="R57" i="25"/>
  <c r="R58" i="25"/>
  <c r="R59" i="25"/>
  <c r="R60" i="25"/>
  <c r="R61" i="25"/>
  <c r="R62" i="25"/>
  <c r="R63" i="25"/>
  <c r="R64" i="25"/>
  <c r="R65" i="25"/>
  <c r="R66" i="25"/>
  <c r="R67" i="25"/>
  <c r="R68" i="25"/>
  <c r="R69" i="25"/>
  <c r="R70" i="25"/>
  <c r="R71" i="25"/>
  <c r="R72" i="25"/>
  <c r="R73" i="25"/>
  <c r="R74" i="25"/>
  <c r="R75" i="25"/>
  <c r="R76" i="25"/>
  <c r="R77" i="25"/>
  <c r="R78" i="25"/>
  <c r="R79" i="25"/>
  <c r="R80" i="25"/>
  <c r="R81" i="25"/>
  <c r="Z49" i="32" l="1"/>
  <c r="CM3" i="30" l="1"/>
  <c r="BV3" i="30"/>
  <c r="BJ3" i="32" l="1"/>
  <c r="BJ4" i="32"/>
  <c r="BJ5" i="32"/>
  <c r="BJ6" i="32"/>
  <c r="BJ7" i="32"/>
  <c r="BJ8" i="32"/>
  <c r="BJ9" i="32"/>
  <c r="BJ10" i="32"/>
  <c r="BJ11" i="32"/>
  <c r="BJ12" i="32"/>
  <c r="BJ20" i="32"/>
  <c r="BJ22" i="32"/>
  <c r="BJ24" i="32"/>
  <c r="BJ25" i="32"/>
  <c r="BJ26" i="32"/>
  <c r="BJ13" i="32"/>
  <c r="BJ15" i="32"/>
  <c r="BJ17" i="32"/>
  <c r="BJ18" i="32"/>
  <c r="BJ19" i="32"/>
  <c r="BJ41" i="32"/>
  <c r="BJ42" i="32"/>
  <c r="BJ43" i="32"/>
  <c r="BJ44" i="32"/>
  <c r="BJ45" i="32"/>
  <c r="BJ46" i="32"/>
  <c r="BJ47" i="32"/>
  <c r="BJ48" i="32"/>
  <c r="BJ50" i="32"/>
  <c r="BJ51" i="32"/>
  <c r="BJ52" i="32"/>
  <c r="BJ53" i="32"/>
  <c r="BJ54" i="32"/>
  <c r="BJ55" i="32"/>
  <c r="BJ56" i="32"/>
  <c r="BJ57" i="32"/>
  <c r="BJ58" i="32"/>
  <c r="BJ59" i="32"/>
  <c r="BJ60" i="32"/>
  <c r="BK3" i="32"/>
  <c r="DQ3" i="32" s="1"/>
  <c r="BK4" i="32"/>
  <c r="BK5" i="32"/>
  <c r="BK6" i="32"/>
  <c r="BK7" i="32"/>
  <c r="BK8" i="32"/>
  <c r="BK9" i="32"/>
  <c r="BK10" i="32"/>
  <c r="BK11" i="32"/>
  <c r="BK12" i="32"/>
  <c r="BK20" i="32"/>
  <c r="BK22" i="32"/>
  <c r="BK24" i="32"/>
  <c r="BK25" i="32"/>
  <c r="BK26" i="32"/>
  <c r="BK13" i="32"/>
  <c r="BK15" i="32"/>
  <c r="BK17" i="32"/>
  <c r="BK18" i="32"/>
  <c r="BK19" i="32"/>
  <c r="BK41" i="32"/>
  <c r="BK42" i="32"/>
  <c r="BK43" i="32"/>
  <c r="BK44" i="32"/>
  <c r="BK45" i="32"/>
  <c r="BK46" i="32"/>
  <c r="BK47" i="32"/>
  <c r="BK48" i="32"/>
  <c r="BK50" i="32"/>
  <c r="BK51" i="32"/>
  <c r="BK52" i="32"/>
  <c r="BK53" i="32"/>
  <c r="BK54" i="32"/>
  <c r="BK55" i="32"/>
  <c r="BK56" i="32"/>
  <c r="BK57" i="32"/>
  <c r="BK58" i="32"/>
  <c r="BK59" i="32"/>
  <c r="BK60" i="32"/>
  <c r="BA3" i="32"/>
  <c r="HB3" i="32" s="1"/>
  <c r="BA4" i="32"/>
  <c r="HB4" i="32" s="1"/>
  <c r="BA5" i="32"/>
  <c r="HB5" i="32" s="1"/>
  <c r="BA6" i="32"/>
  <c r="HB6" i="32" s="1"/>
  <c r="BA7" i="32"/>
  <c r="HB7" i="32" s="1"/>
  <c r="BA8" i="32"/>
  <c r="HB8" i="32" s="1"/>
  <c r="BA9" i="32"/>
  <c r="HB9" i="32" s="1"/>
  <c r="BA10" i="32"/>
  <c r="HB10" i="32" s="1"/>
  <c r="BA11" i="32"/>
  <c r="HB11" i="32" s="1"/>
  <c r="BA12" i="32"/>
  <c r="HB12" i="32" s="1"/>
  <c r="BA20" i="32"/>
  <c r="HB20" i="32" s="1"/>
  <c r="BA22" i="32"/>
  <c r="HB22" i="32" s="1"/>
  <c r="BA24" i="32"/>
  <c r="HB24" i="32" s="1"/>
  <c r="BA25" i="32"/>
  <c r="HB25" i="32" s="1"/>
  <c r="BA26" i="32"/>
  <c r="HB26" i="32" s="1"/>
  <c r="BA13" i="32"/>
  <c r="HB13" i="32" s="1"/>
  <c r="BA15" i="32"/>
  <c r="HB15" i="32" s="1"/>
  <c r="BA17" i="32"/>
  <c r="HB17" i="32" s="1"/>
  <c r="BA18" i="32"/>
  <c r="HB18" i="32" s="1"/>
  <c r="BA19" i="32"/>
  <c r="HB19" i="32" s="1"/>
  <c r="BA41" i="32"/>
  <c r="HB41" i="32" s="1"/>
  <c r="BA42" i="32"/>
  <c r="HB42" i="32" s="1"/>
  <c r="BA43" i="32"/>
  <c r="HB43" i="32" s="1"/>
  <c r="BA44" i="32"/>
  <c r="HB44" i="32" s="1"/>
  <c r="BA45" i="32"/>
  <c r="HB45" i="32" s="1"/>
  <c r="BA46" i="32"/>
  <c r="HB46" i="32" s="1"/>
  <c r="BA47" i="32"/>
  <c r="HB47" i="32" s="1"/>
  <c r="BA48" i="32"/>
  <c r="HB48" i="32" s="1"/>
  <c r="BA50" i="32"/>
  <c r="HB50" i="32" s="1"/>
  <c r="BA51" i="32"/>
  <c r="HB51" i="32" s="1"/>
  <c r="BA52" i="32"/>
  <c r="HB52" i="32" s="1"/>
  <c r="BA53" i="32"/>
  <c r="HB53" i="32" s="1"/>
  <c r="BA54" i="32"/>
  <c r="HB54" i="32" s="1"/>
  <c r="BA55" i="32"/>
  <c r="HB55" i="32" s="1"/>
  <c r="BA56" i="32"/>
  <c r="HB56" i="32" s="1"/>
  <c r="BA57" i="32"/>
  <c r="HB57" i="32" s="1"/>
  <c r="BA58" i="32"/>
  <c r="HB58" i="32" s="1"/>
  <c r="BA59" i="32"/>
  <c r="HB59" i="32" s="1"/>
  <c r="BA60" i="32"/>
  <c r="HB60" i="32" s="1"/>
  <c r="T85" i="25" l="1"/>
  <c r="T86" i="25"/>
  <c r="CB6" i="32"/>
  <c r="CB15" i="32"/>
  <c r="CB8" i="32"/>
  <c r="CB48" i="32"/>
  <c r="CB4" i="32"/>
  <c r="CB17" i="32"/>
  <c r="CB45" i="32"/>
  <c r="CB5" i="32"/>
  <c r="CB24" i="32"/>
  <c r="Y85" i="25" s="1"/>
  <c r="CB57" i="32"/>
  <c r="CB22" i="32"/>
  <c r="CB51" i="32"/>
  <c r="CB13" i="32"/>
  <c r="CB26" i="32"/>
  <c r="CB25" i="32"/>
  <c r="CB44" i="32"/>
  <c r="CB56" i="32"/>
  <c r="CB43" i="32"/>
  <c r="Y86" i="25" s="1"/>
  <c r="CB20" i="32"/>
  <c r="CB7" i="32"/>
  <c r="CB47" i="32"/>
  <c r="CB59" i="32"/>
  <c r="CB42" i="32"/>
  <c r="CB11" i="32"/>
  <c r="CB3" i="32"/>
  <c r="CB55" i="32"/>
  <c r="CB54" i="32"/>
  <c r="CB53" i="32"/>
  <c r="CB10" i="32"/>
  <c r="CB50" i="32"/>
  <c r="CB60" i="32"/>
  <c r="CB46" i="32"/>
  <c r="CB58" i="32"/>
  <c r="CB12" i="32"/>
  <c r="CB41" i="32"/>
  <c r="CB19" i="32"/>
  <c r="CB52" i="32"/>
  <c r="CB18" i="32"/>
  <c r="CB9" i="32"/>
  <c r="DU3" i="32"/>
  <c r="DF49" i="32"/>
  <c r="DG49" i="32"/>
  <c r="DZ49" i="32"/>
  <c r="GZ49" i="32" s="1"/>
  <c r="DY49" i="32"/>
  <c r="GY49" i="32" s="1"/>
  <c r="BJ49" i="32"/>
  <c r="BK49" i="32"/>
  <c r="BP49" i="32"/>
  <c r="BV49" i="32"/>
  <c r="BW49" i="32" l="1"/>
  <c r="BY49" i="32"/>
  <c r="BQ49" i="32"/>
  <c r="BU49" i="32"/>
  <c r="CB49" i="32"/>
  <c r="BS49" i="32"/>
  <c r="BT49" i="32"/>
  <c r="BR49" i="32"/>
  <c r="BX49" i="32"/>
  <c r="BM3" i="32"/>
  <c r="BM4" i="32"/>
  <c r="BM5" i="32"/>
  <c r="BM6" i="32"/>
  <c r="BM7" i="32"/>
  <c r="BM8" i="32"/>
  <c r="BM9" i="32"/>
  <c r="BM10" i="32"/>
  <c r="BM11" i="32"/>
  <c r="BM12" i="32"/>
  <c r="BM20" i="32"/>
  <c r="BM22" i="32"/>
  <c r="BM24" i="32"/>
  <c r="BM25" i="32"/>
  <c r="BM26" i="32"/>
  <c r="BM13" i="32"/>
  <c r="BM15" i="32"/>
  <c r="BM17" i="32"/>
  <c r="BM18" i="32"/>
  <c r="BM19" i="32"/>
  <c r="BM41" i="32"/>
  <c r="BM42" i="32"/>
  <c r="BM43" i="32"/>
  <c r="BM44" i="32"/>
  <c r="BM45" i="32"/>
  <c r="BM46" i="32"/>
  <c r="BM47" i="32"/>
  <c r="BM48" i="32"/>
  <c r="BM49" i="32"/>
  <c r="BM50" i="32"/>
  <c r="BM51" i="32"/>
  <c r="BM52" i="32"/>
  <c r="BM53" i="32"/>
  <c r="BM54" i="32"/>
  <c r="BM55" i="32"/>
  <c r="BM56" i="32"/>
  <c r="BM57" i="32"/>
  <c r="BM58" i="32"/>
  <c r="BM59" i="32"/>
  <c r="BM60" i="32"/>
  <c r="BL3" i="32"/>
  <c r="BL4" i="32"/>
  <c r="BL5" i="32"/>
  <c r="BL6" i="32"/>
  <c r="BL7" i="32"/>
  <c r="BL8" i="32"/>
  <c r="BL9" i="32"/>
  <c r="BL10" i="32"/>
  <c r="BL11" i="32"/>
  <c r="BL12" i="32"/>
  <c r="BL20" i="32"/>
  <c r="BL22" i="32"/>
  <c r="BL24" i="32"/>
  <c r="BL25" i="32"/>
  <c r="BL26" i="32"/>
  <c r="BL13" i="32"/>
  <c r="BL15" i="32"/>
  <c r="BL17" i="32"/>
  <c r="BL18" i="32"/>
  <c r="BL19" i="32"/>
  <c r="BL41" i="32"/>
  <c r="BL42" i="32"/>
  <c r="BL43" i="32"/>
  <c r="BL44" i="32"/>
  <c r="BL45" i="32"/>
  <c r="BL46" i="32"/>
  <c r="BL47" i="32"/>
  <c r="BL48" i="32"/>
  <c r="BL49" i="32"/>
  <c r="BL50" i="32"/>
  <c r="BL51" i="32"/>
  <c r="BL52" i="32"/>
  <c r="BL53" i="32"/>
  <c r="BL54" i="32"/>
  <c r="BL55" i="32"/>
  <c r="BL56" i="32"/>
  <c r="BL57" i="32"/>
  <c r="BL58" i="32"/>
  <c r="BL59" i="32"/>
  <c r="BL60" i="32"/>
  <c r="E3" i="39"/>
  <c r="AM3" i="32" l="1"/>
  <c r="AM4" i="32"/>
  <c r="AM5" i="32"/>
  <c r="AM6" i="32"/>
  <c r="AM7" i="32"/>
  <c r="AM8" i="32"/>
  <c r="AM9" i="32"/>
  <c r="AM10" i="32"/>
  <c r="AM11" i="32"/>
  <c r="AM12" i="32"/>
  <c r="AM20" i="32"/>
  <c r="AM22" i="32"/>
  <c r="AM24" i="32"/>
  <c r="AM25" i="32"/>
  <c r="AM26" i="32"/>
  <c r="AM13" i="32"/>
  <c r="AM15" i="32"/>
  <c r="AM17" i="32"/>
  <c r="AM18" i="32"/>
  <c r="AM19" i="32"/>
  <c r="AM41" i="32"/>
  <c r="AM42" i="32"/>
  <c r="AM43" i="32"/>
  <c r="AM44" i="32"/>
  <c r="AM45" i="32"/>
  <c r="AM46" i="32"/>
  <c r="AM47" i="32"/>
  <c r="AM48" i="32"/>
  <c r="AM49" i="32"/>
  <c r="AM50" i="32"/>
  <c r="AM51" i="32"/>
  <c r="AM52" i="32"/>
  <c r="AM53" i="32"/>
  <c r="AM54" i="32"/>
  <c r="AM55" i="32"/>
  <c r="AM56" i="32"/>
  <c r="AM57" i="32"/>
  <c r="AM58" i="32"/>
  <c r="AM59" i="32"/>
  <c r="AM60" i="32"/>
  <c r="AL3" i="32"/>
  <c r="AL4" i="32"/>
  <c r="AL5" i="32"/>
  <c r="AL6" i="32"/>
  <c r="AL7" i="32"/>
  <c r="AL8" i="32"/>
  <c r="AL9" i="32"/>
  <c r="AL10" i="32"/>
  <c r="AL11" i="32"/>
  <c r="AL12" i="32"/>
  <c r="AL20" i="32"/>
  <c r="AL22" i="32"/>
  <c r="AL24" i="32"/>
  <c r="AL25" i="32"/>
  <c r="AL26" i="32"/>
  <c r="AL13" i="32"/>
  <c r="AL15" i="32"/>
  <c r="AL17" i="32"/>
  <c r="AL18" i="32"/>
  <c r="AL19" i="32"/>
  <c r="AL41" i="32"/>
  <c r="AL42" i="32"/>
  <c r="AL43" i="32"/>
  <c r="AL44" i="32"/>
  <c r="AL45" i="32"/>
  <c r="AL46" i="32"/>
  <c r="AL47" i="32"/>
  <c r="AL48" i="32"/>
  <c r="AL49" i="32"/>
  <c r="AL50" i="32"/>
  <c r="AL51" i="32"/>
  <c r="AL52" i="32"/>
  <c r="AL53" i="32"/>
  <c r="AL54" i="32"/>
  <c r="AL55" i="32"/>
  <c r="AL56" i="32"/>
  <c r="AL57" i="32"/>
  <c r="AL58" i="32"/>
  <c r="AL59" i="32"/>
  <c r="AL60" i="32"/>
  <c r="AK3" i="32" l="1"/>
  <c r="DO3" i="32" s="1"/>
  <c r="AK4" i="32"/>
  <c r="AK5" i="32"/>
  <c r="AK6" i="32"/>
  <c r="AK7" i="32"/>
  <c r="AK8" i="32"/>
  <c r="AK9" i="32"/>
  <c r="AK10" i="32"/>
  <c r="AK11" i="32"/>
  <c r="AK12" i="32"/>
  <c r="AK20" i="32"/>
  <c r="AK22" i="32"/>
  <c r="AK24" i="32"/>
  <c r="AK25" i="32"/>
  <c r="AK26" i="32"/>
  <c r="AK13" i="32"/>
  <c r="AK15" i="32"/>
  <c r="AK17" i="32"/>
  <c r="AK18" i="32"/>
  <c r="AK19" i="32"/>
  <c r="AK41" i="32"/>
  <c r="AK42" i="32"/>
  <c r="AK43" i="32"/>
  <c r="AK44" i="32"/>
  <c r="AK45" i="32"/>
  <c r="AK46" i="32"/>
  <c r="AK47" i="32"/>
  <c r="AK48" i="32"/>
  <c r="AK49" i="32"/>
  <c r="AK50" i="32"/>
  <c r="AK51" i="32"/>
  <c r="AK52" i="32"/>
  <c r="AK53" i="32"/>
  <c r="AK54" i="32"/>
  <c r="AK55" i="32"/>
  <c r="AK56" i="32"/>
  <c r="AK57" i="32"/>
  <c r="AK58" i="32"/>
  <c r="AK59" i="32"/>
  <c r="AK60" i="32"/>
  <c r="AJ3" i="32"/>
  <c r="DS3" i="32" s="1"/>
  <c r="AJ4" i="32"/>
  <c r="AJ5" i="32"/>
  <c r="AJ6" i="32"/>
  <c r="AJ7" i="32"/>
  <c r="AJ8" i="32"/>
  <c r="AJ9" i="32"/>
  <c r="AJ10" i="32"/>
  <c r="AJ11" i="32"/>
  <c r="AJ12" i="32"/>
  <c r="AJ20" i="32"/>
  <c r="AJ22" i="32"/>
  <c r="AJ24" i="32"/>
  <c r="AJ25" i="32"/>
  <c r="AJ26" i="32"/>
  <c r="AJ13" i="32"/>
  <c r="AJ15" i="32"/>
  <c r="AJ17" i="32"/>
  <c r="AJ18" i="32"/>
  <c r="AJ19" i="32"/>
  <c r="AJ41" i="32"/>
  <c r="AJ42" i="32"/>
  <c r="AJ43" i="32"/>
  <c r="AJ44" i="32"/>
  <c r="AJ45" i="32"/>
  <c r="AJ46" i="32"/>
  <c r="AJ47" i="32"/>
  <c r="AJ48" i="32"/>
  <c r="AJ49" i="32"/>
  <c r="AJ50" i="32"/>
  <c r="AJ51" i="32"/>
  <c r="AJ52" i="32"/>
  <c r="AJ53" i="32"/>
  <c r="AJ54" i="32"/>
  <c r="AJ55" i="32"/>
  <c r="AJ56" i="32"/>
  <c r="AJ57" i="32"/>
  <c r="AJ58" i="32"/>
  <c r="AJ59" i="32"/>
  <c r="AJ60" i="32"/>
  <c r="I5" i="41" l="1"/>
  <c r="J5" i="41" s="1"/>
  <c r="D5" i="41"/>
  <c r="E5" i="41" l="1"/>
  <c r="F5" i="41"/>
  <c r="U5" i="41" s="1"/>
  <c r="W5" i="41"/>
  <c r="Q5" i="41"/>
  <c r="AC5" i="41"/>
  <c r="AJ5" i="41" s="1"/>
  <c r="CW21" i="32"/>
  <c r="CV21" i="32"/>
  <c r="DO14" i="32"/>
  <c r="GO14" i="32" s="1"/>
  <c r="CV16" i="32"/>
  <c r="CW16" i="32"/>
  <c r="DP16" i="32"/>
  <c r="GP16" i="32" s="1"/>
  <c r="DR14" i="32"/>
  <c r="GR14" i="32" s="1"/>
  <c r="CX35" i="32"/>
  <c r="DR16" i="32"/>
  <c r="GR16" i="32" s="1"/>
  <c r="DP23" i="32"/>
  <c r="GP23" i="32" s="1"/>
  <c r="CZ23" i="32"/>
  <c r="DC14" i="32"/>
  <c r="DB23" i="32"/>
  <c r="DA14" i="32"/>
  <c r="DS16" i="32"/>
  <c r="GS16" i="32" s="1"/>
  <c r="CW23" i="32"/>
  <c r="DP21" i="32"/>
  <c r="GP21" i="32" s="1"/>
  <c r="DU35" i="32"/>
  <c r="GU35" i="32" s="1"/>
  <c r="DA23" i="32"/>
  <c r="DP14" i="32"/>
  <c r="GP14" i="32" s="1"/>
  <c r="CY14" i="32"/>
  <c r="DQ35" i="32"/>
  <c r="GQ35" i="32" s="1"/>
  <c r="CY23" i="32"/>
  <c r="DS23" i="32"/>
  <c r="GS23" i="32" s="1"/>
  <c r="DT16" i="32"/>
  <c r="GT16" i="32" s="1"/>
  <c r="DS14" i="32"/>
  <c r="GS14" i="32" s="1"/>
  <c r="DC37" i="32"/>
  <c r="CW14" i="32"/>
  <c r="DV16" i="32"/>
  <c r="GV16" i="32" s="1"/>
  <c r="DU23" i="32"/>
  <c r="GU23" i="32" s="1"/>
  <c r="CX14" i="32"/>
  <c r="CX37" i="32"/>
  <c r="DT23" i="32"/>
  <c r="GT23" i="32" s="1"/>
  <c r="DB37" i="32"/>
  <c r="DV21" i="32"/>
  <c r="GV21" i="32" s="1"/>
  <c r="DR23" i="32"/>
  <c r="GR23" i="32" s="1"/>
  <c r="DT14" i="32"/>
  <c r="GT14" i="32" s="1"/>
  <c r="DQ21" i="32"/>
  <c r="GQ21" i="32" s="1"/>
  <c r="DO21" i="32"/>
  <c r="GO21" i="32" s="1"/>
  <c r="CV14" i="32"/>
  <c r="CX23" i="32"/>
  <c r="DV35" i="32"/>
  <c r="GV35" i="32" s="1"/>
  <c r="DV14" i="32"/>
  <c r="GV14" i="32" s="1"/>
  <c r="DQ14" i="32"/>
  <c r="GQ14" i="32" s="1"/>
  <c r="CZ21" i="32"/>
  <c r="DS21" i="32"/>
  <c r="GS21" i="32" s="1"/>
  <c r="DC21" i="32"/>
  <c r="DQ16" i="32"/>
  <c r="GQ16" i="32" s="1"/>
  <c r="DO16" i="32"/>
  <c r="GO16" i="32" s="1"/>
  <c r="DV23" i="32"/>
  <c r="GV23" i="32" s="1"/>
  <c r="DR21" i="32"/>
  <c r="GR21" i="32" s="1"/>
  <c r="DA16" i="32"/>
  <c r="DQ23" i="32"/>
  <c r="GQ23" i="32" s="1"/>
  <c r="CV23" i="32"/>
  <c r="DU14" i="32"/>
  <c r="GU14" i="32" s="1"/>
  <c r="DO23" i="32"/>
  <c r="GO23" i="32" s="1"/>
  <c r="DU16" i="32"/>
  <c r="GU16" i="32" s="1"/>
  <c r="DB14" i="32"/>
  <c r="DR37" i="32"/>
  <c r="GR37" i="32" s="1"/>
  <c r="CZ14" i="32"/>
  <c r="CY37" i="32"/>
  <c r="DA21" i="32"/>
  <c r="DT21" i="32"/>
  <c r="GT21" i="32" s="1"/>
  <c r="DR35" i="32"/>
  <c r="GR35" i="32" s="1"/>
  <c r="CZ16" i="32"/>
  <c r="DV37" i="32"/>
  <c r="GV37" i="32" s="1"/>
  <c r="CY21" i="32"/>
  <c r="DB21" i="32"/>
  <c r="DQ28" i="32"/>
  <c r="GQ28" i="32" s="1"/>
  <c r="DU37" i="32"/>
  <c r="GU37" i="32" s="1"/>
  <c r="CX21" i="32"/>
  <c r="DU28" i="32"/>
  <c r="GU28" i="32" s="1"/>
  <c r="DR28" i="32"/>
  <c r="GR28" i="32" s="1"/>
  <c r="DB28" i="32"/>
  <c r="CX30" i="32"/>
  <c r="DC35" i="32"/>
  <c r="CX16" i="32"/>
  <c r="DC23" i="32"/>
  <c r="DU21" i="32"/>
  <c r="GU21" i="32" s="1"/>
  <c r="DQ37" i="32"/>
  <c r="GQ37" i="32" s="1"/>
  <c r="DV30" i="32"/>
  <c r="GV30" i="32" s="1"/>
  <c r="DQ30" i="32"/>
  <c r="GQ30" i="32" s="1"/>
  <c r="DU30" i="32"/>
  <c r="GU30" i="32" s="1"/>
  <c r="DB30" i="32"/>
  <c r="DC16" i="32"/>
  <c r="DR30" i="32"/>
  <c r="GR30" i="32" s="1"/>
  <c r="CY30" i="32"/>
  <c r="DB35" i="32"/>
  <c r="CY16" i="32"/>
  <c r="CY28" i="32"/>
  <c r="DC30" i="32"/>
  <c r="DB16" i="32"/>
  <c r="DC28" i="32"/>
  <c r="DV28" i="32"/>
  <c r="GV28" i="32" s="1"/>
  <c r="CY35" i="32"/>
  <c r="CX28" i="32"/>
  <c r="CW44" i="32"/>
  <c r="CW52" i="32"/>
  <c r="CW56" i="32"/>
  <c r="CW48" i="32"/>
  <c r="CW59" i="32"/>
  <c r="CV49" i="32"/>
  <c r="CW43" i="32"/>
  <c r="CW51" i="32"/>
  <c r="CW6" i="32"/>
  <c r="CW19" i="32"/>
  <c r="CW22" i="32"/>
  <c r="CW26" i="32"/>
  <c r="CW9" i="32"/>
  <c r="CW55" i="32"/>
  <c r="CW54" i="32"/>
  <c r="CW53" i="32"/>
  <c r="CW5" i="32"/>
  <c r="CW3" i="32"/>
  <c r="CW10" i="32"/>
  <c r="CW49" i="32"/>
  <c r="CW58" i="32"/>
  <c r="CW57" i="32"/>
  <c r="CW47" i="32"/>
  <c r="CW46" i="32"/>
  <c r="CW45" i="32"/>
  <c r="CW4" i="32"/>
  <c r="CW13" i="32"/>
  <c r="CW50" i="32"/>
  <c r="CW41" i="32"/>
  <c r="CW18" i="32"/>
  <c r="CW17" i="32"/>
  <c r="CW15" i="32"/>
  <c r="CW25" i="32"/>
  <c r="CW8" i="32"/>
  <c r="CW60" i="32"/>
  <c r="CW42" i="32"/>
  <c r="CW24" i="32"/>
  <c r="CW20" i="32"/>
  <c r="CW12" i="32"/>
  <c r="CW11" i="32"/>
  <c r="CW7" i="32"/>
  <c r="DS9" i="32"/>
  <c r="GS9" i="32" s="1"/>
  <c r="DS42" i="32"/>
  <c r="GS42" i="32" s="1"/>
  <c r="DS57" i="32"/>
  <c r="GS57" i="32" s="1"/>
  <c r="DS49" i="32"/>
  <c r="GS49" i="32" s="1"/>
  <c r="DS45" i="32"/>
  <c r="GS45" i="32" s="1"/>
  <c r="DS10" i="32"/>
  <c r="GS10" i="32" s="1"/>
  <c r="DS41" i="32"/>
  <c r="GS41" i="32" s="1"/>
  <c r="DS18" i="32"/>
  <c r="GS18" i="32" s="1"/>
  <c r="DS44" i="32"/>
  <c r="GS44" i="32" s="1"/>
  <c r="DS53" i="32"/>
  <c r="GS53" i="32" s="1"/>
  <c r="DS58" i="32"/>
  <c r="GS58" i="32" s="1"/>
  <c r="DS56" i="32"/>
  <c r="GS56" i="32" s="1"/>
  <c r="DS55" i="32"/>
  <c r="GS55" i="32" s="1"/>
  <c r="DS54" i="32"/>
  <c r="GS54" i="32" s="1"/>
  <c r="DS15" i="32"/>
  <c r="GS15" i="32" s="1"/>
  <c r="GS3" i="32"/>
  <c r="DS43" i="32"/>
  <c r="GS43" i="32" s="1"/>
  <c r="DS8" i="32"/>
  <c r="GS8" i="32" s="1"/>
  <c r="DS48" i="32"/>
  <c r="GS48" i="32" s="1"/>
  <c r="DS47" i="32"/>
  <c r="GS47" i="32" s="1"/>
  <c r="DS46" i="32"/>
  <c r="GS46" i="32" s="1"/>
  <c r="DS11" i="32"/>
  <c r="GS11" i="32" s="1"/>
  <c r="DS19" i="32"/>
  <c r="GS19" i="32" s="1"/>
  <c r="DS17" i="32"/>
  <c r="DS59" i="32"/>
  <c r="GS59" i="32" s="1"/>
  <c r="DS13" i="32"/>
  <c r="GS13" i="32" s="1"/>
  <c r="DS24" i="32"/>
  <c r="GS24" i="32" s="1"/>
  <c r="DS22" i="32"/>
  <c r="GS22" i="32" s="1"/>
  <c r="DS20" i="32"/>
  <c r="GS20" i="32" s="1"/>
  <c r="DS12" i="32"/>
  <c r="GS12" i="32" s="1"/>
  <c r="DS60" i="32"/>
  <c r="GS60" i="32" s="1"/>
  <c r="DS51" i="32"/>
  <c r="GS51" i="32" s="1"/>
  <c r="DS25" i="32"/>
  <c r="GS25" i="32" s="1"/>
  <c r="DS7" i="32"/>
  <c r="GS7" i="32" s="1"/>
  <c r="DS6" i="32"/>
  <c r="GS6" i="32" s="1"/>
  <c r="DS5" i="32"/>
  <c r="GS5" i="32" s="1"/>
  <c r="DS4" i="32"/>
  <c r="GS4" i="32" s="1"/>
  <c r="DS52" i="32"/>
  <c r="GS52" i="32" s="1"/>
  <c r="DO49" i="32"/>
  <c r="GO49" i="32" s="1"/>
  <c r="DS26" i="32"/>
  <c r="GS26" i="32" s="1"/>
  <c r="DS50" i="32"/>
  <c r="GS50" i="32" s="1"/>
  <c r="AG6" i="41"/>
  <c r="DQ31" i="32"/>
  <c r="GQ31" i="32" s="1"/>
  <c r="DR31" i="32"/>
  <c r="GR31" i="32" s="1"/>
  <c r="DU29" i="32"/>
  <c r="GU29" i="32" s="1"/>
  <c r="DQ32" i="32"/>
  <c r="GQ32" i="32" s="1"/>
  <c r="CX27" i="32"/>
  <c r="DR32" i="32"/>
  <c r="GR32" i="32" s="1"/>
  <c r="DR29" i="32"/>
  <c r="GR29" i="32" s="1"/>
  <c r="DV31" i="32"/>
  <c r="GV31" i="32" s="1"/>
  <c r="DV29" i="32"/>
  <c r="GV29" i="32" s="1"/>
  <c r="CY27" i="32"/>
  <c r="DQ29" i="32"/>
  <c r="GQ29" i="32" s="1"/>
  <c r="DU31" i="32"/>
  <c r="GU31" i="32" s="1"/>
  <c r="CX32" i="32"/>
  <c r="CX31" i="32"/>
  <c r="DQ27" i="32"/>
  <c r="GQ27" i="32" s="1"/>
  <c r="DC29" i="32"/>
  <c r="DR27" i="32"/>
  <c r="GR27" i="32" s="1"/>
  <c r="CX29" i="32"/>
  <c r="DB29" i="32"/>
  <c r="DB27" i="32"/>
  <c r="CY31" i="32"/>
  <c r="CY32" i="32"/>
  <c r="CY29" i="32"/>
  <c r="DV27" i="32"/>
  <c r="GV27" i="32" s="1"/>
  <c r="DB31" i="32"/>
  <c r="DU27" i="32"/>
  <c r="GU27" i="32" s="1"/>
  <c r="DC27" i="32"/>
  <c r="DC31" i="32"/>
  <c r="DU32" i="32"/>
  <c r="GU32" i="32" s="1"/>
  <c r="DC33" i="32"/>
  <c r="CY33" i="32"/>
  <c r="DQ33" i="32"/>
  <c r="GQ33" i="32" s="1"/>
  <c r="DU33" i="32"/>
  <c r="GU33" i="32" s="1"/>
  <c r="DV32" i="32"/>
  <c r="GV32" i="32" s="1"/>
  <c r="CX33" i="32"/>
  <c r="DR33" i="32"/>
  <c r="GR33" i="32" s="1"/>
  <c r="DV33" i="32"/>
  <c r="GV33" i="32" s="1"/>
  <c r="DC32" i="32"/>
  <c r="DB33" i="32"/>
  <c r="DB32" i="32"/>
  <c r="DC36" i="32"/>
  <c r="DQ36" i="32"/>
  <c r="GQ36" i="32" s="1"/>
  <c r="DB36" i="32"/>
  <c r="DR36" i="32"/>
  <c r="GR36" i="32" s="1"/>
  <c r="DQ39" i="32"/>
  <c r="GQ39" i="32" s="1"/>
  <c r="CX36" i="32"/>
  <c r="DR39" i="32"/>
  <c r="GR39" i="32" s="1"/>
  <c r="DQ40" i="32"/>
  <c r="GQ40" i="32" s="1"/>
  <c r="CY36" i="32"/>
  <c r="DR40" i="32"/>
  <c r="GR40" i="32" s="1"/>
  <c r="DV38" i="32"/>
  <c r="GV38" i="32" s="1"/>
  <c r="CY40" i="32"/>
  <c r="DB40" i="32"/>
  <c r="DB34" i="32"/>
  <c r="DU36" i="32"/>
  <c r="GU36" i="32" s="1"/>
  <c r="CY34" i="32"/>
  <c r="CX39" i="32"/>
  <c r="DU38" i="32"/>
  <c r="GU38" i="32" s="1"/>
  <c r="CX40" i="32"/>
  <c r="DC39" i="32"/>
  <c r="DC40" i="32"/>
  <c r="DU39" i="32"/>
  <c r="GU39" i="32" s="1"/>
  <c r="CX34" i="32"/>
  <c r="DR34" i="32"/>
  <c r="GR34" i="32" s="1"/>
  <c r="DU40" i="32"/>
  <c r="GU40" i="32" s="1"/>
  <c r="DB39" i="32"/>
  <c r="DQ38" i="32"/>
  <c r="GQ38" i="32" s="1"/>
  <c r="CY38" i="32"/>
  <c r="CY39" i="32"/>
  <c r="DC34" i="32"/>
  <c r="DQ34" i="32"/>
  <c r="GQ34" i="32" s="1"/>
  <c r="DV40" i="32"/>
  <c r="GV40" i="32" s="1"/>
  <c r="CX38" i="32"/>
  <c r="DR38" i="32"/>
  <c r="GR38" i="32" s="1"/>
  <c r="DV34" i="32"/>
  <c r="GV34" i="32" s="1"/>
  <c r="DV36" i="32"/>
  <c r="GV36" i="32" s="1"/>
  <c r="DU34" i="32"/>
  <c r="GU34" i="32" s="1"/>
  <c r="DB38" i="32"/>
  <c r="DV39" i="32"/>
  <c r="GV39" i="32" s="1"/>
  <c r="DC38" i="32"/>
  <c r="DQ13" i="32"/>
  <c r="GQ13" i="32" s="1"/>
  <c r="DV44" i="32"/>
  <c r="GV44" i="32" s="1"/>
  <c r="DQ51" i="32"/>
  <c r="GQ51" i="32" s="1"/>
  <c r="DU59" i="32"/>
  <c r="GU59" i="32" s="1"/>
  <c r="DU9" i="32"/>
  <c r="GU9" i="32" s="1"/>
  <c r="DU8" i="32"/>
  <c r="GU8" i="32" s="1"/>
  <c r="DR56" i="32"/>
  <c r="GR56" i="32" s="1"/>
  <c r="DR6" i="32"/>
  <c r="GR6" i="32" s="1"/>
  <c r="DV22" i="32"/>
  <c r="GV22" i="32" s="1"/>
  <c r="DU25" i="32"/>
  <c r="GU25" i="32" s="1"/>
  <c r="DV7" i="32"/>
  <c r="GV7" i="32" s="1"/>
  <c r="DV47" i="32"/>
  <c r="GV47" i="32" s="1"/>
  <c r="DQ46" i="32"/>
  <c r="GQ46" i="32" s="1"/>
  <c r="DV54" i="32"/>
  <c r="GV54" i="32" s="1"/>
  <c r="DV4" i="32"/>
  <c r="GV4" i="32" s="1"/>
  <c r="DR41" i="32"/>
  <c r="GR41" i="32" s="1"/>
  <c r="DQ20" i="32"/>
  <c r="GQ20" i="32" s="1"/>
  <c r="DR45" i="32"/>
  <c r="GR45" i="32" s="1"/>
  <c r="DV53" i="32"/>
  <c r="GV53" i="32" s="1"/>
  <c r="GU3" i="32"/>
  <c r="DU47" i="32"/>
  <c r="GU47" i="32" s="1"/>
  <c r="DU54" i="32"/>
  <c r="GU54" i="32" s="1"/>
  <c r="DQ41" i="32"/>
  <c r="GQ41" i="32" s="1"/>
  <c r="DR20" i="32"/>
  <c r="GR20" i="32" s="1"/>
  <c r="DU53" i="32"/>
  <c r="GU53" i="32" s="1"/>
  <c r="DR15" i="32"/>
  <c r="GR15" i="32" s="1"/>
  <c r="DQ15" i="32"/>
  <c r="GQ15" i="32" s="1"/>
  <c r="DQ42" i="32"/>
  <c r="GQ42" i="32" s="1"/>
  <c r="DQ18" i="32"/>
  <c r="GQ18" i="32" s="1"/>
  <c r="DU24" i="32"/>
  <c r="GU24" i="32" s="1"/>
  <c r="DR44" i="32"/>
  <c r="GR44" i="32" s="1"/>
  <c r="DV26" i="32"/>
  <c r="GV26" i="32" s="1"/>
  <c r="DV19" i="32"/>
  <c r="GV19" i="32" s="1"/>
  <c r="DR4" i="32"/>
  <c r="GR4" i="32" s="1"/>
  <c r="GQ3" i="32"/>
  <c r="DU52" i="32"/>
  <c r="GU52" i="32" s="1"/>
  <c r="DU41" i="32"/>
  <c r="GU41" i="32" s="1"/>
  <c r="DV49" i="32"/>
  <c r="GV49" i="32" s="1"/>
  <c r="DV42" i="32"/>
  <c r="GV42" i="32" s="1"/>
  <c r="DR3" i="32"/>
  <c r="GR3" i="32" s="1"/>
  <c r="DR13" i="32"/>
  <c r="GR13" i="32" s="1"/>
  <c r="DU44" i="32"/>
  <c r="GU44" i="32" s="1"/>
  <c r="DR51" i="32"/>
  <c r="GR51" i="32" s="1"/>
  <c r="DV59" i="32"/>
  <c r="GV59" i="32" s="1"/>
  <c r="DV9" i="32"/>
  <c r="GV9" i="32" s="1"/>
  <c r="DV8" i="32"/>
  <c r="GV8" i="32" s="1"/>
  <c r="DQ56" i="32"/>
  <c r="GQ56" i="32" s="1"/>
  <c r="DQ6" i="32"/>
  <c r="GQ6" i="32" s="1"/>
  <c r="DU22" i="32"/>
  <c r="GU22" i="32" s="1"/>
  <c r="DV25" i="32"/>
  <c r="GV25" i="32" s="1"/>
  <c r="DU7" i="32"/>
  <c r="GU7" i="32" s="1"/>
  <c r="DR46" i="32"/>
  <c r="GR46" i="32" s="1"/>
  <c r="DU4" i="32"/>
  <c r="GU4" i="32" s="1"/>
  <c r="DQ45" i="32"/>
  <c r="GQ45" i="32" s="1"/>
  <c r="DV3" i="32"/>
  <c r="GV3" i="32" s="1"/>
  <c r="DV45" i="32"/>
  <c r="GV45" i="32" s="1"/>
  <c r="DV57" i="32"/>
  <c r="GV57" i="32" s="1"/>
  <c r="DQ8" i="32"/>
  <c r="GQ8" i="32" s="1"/>
  <c r="DR11" i="32"/>
  <c r="GR11" i="32" s="1"/>
  <c r="DQ9" i="32"/>
  <c r="GQ9" i="32" s="1"/>
  <c r="DR22" i="32"/>
  <c r="GR22" i="32" s="1"/>
  <c r="DU49" i="32"/>
  <c r="GU49" i="32" s="1"/>
  <c r="DU42" i="32"/>
  <c r="GU42" i="32" s="1"/>
  <c r="DU11" i="32"/>
  <c r="GU11" i="32" s="1"/>
  <c r="DV50" i="32"/>
  <c r="GV50" i="32" s="1"/>
  <c r="DQ5" i="32"/>
  <c r="GQ5" i="32" s="1"/>
  <c r="DU12" i="32"/>
  <c r="GU12" i="32" s="1"/>
  <c r="DV11" i="32"/>
  <c r="GV11" i="32" s="1"/>
  <c r="DR60" i="32"/>
  <c r="GR60" i="32" s="1"/>
  <c r="DQ10" i="32"/>
  <c r="GQ10" i="32" s="1"/>
  <c r="DU13" i="32"/>
  <c r="GU13" i="32" s="1"/>
  <c r="DQ43" i="32"/>
  <c r="GQ43" i="32" s="1"/>
  <c r="DU51" i="32"/>
  <c r="GU51" i="32" s="1"/>
  <c r="DQ50" i="32"/>
  <c r="GQ50" i="32" s="1"/>
  <c r="DR57" i="32"/>
  <c r="GR57" i="32" s="1"/>
  <c r="DQ48" i="32"/>
  <c r="GQ48" i="32" s="1"/>
  <c r="DU56" i="32"/>
  <c r="GU56" i="32" s="1"/>
  <c r="DV6" i="32"/>
  <c r="GV6" i="32" s="1"/>
  <c r="DR49" i="32"/>
  <c r="GR49" i="32" s="1"/>
  <c r="DQ55" i="32"/>
  <c r="GQ55" i="32" s="1"/>
  <c r="DV18" i="32"/>
  <c r="GV18" i="32" s="1"/>
  <c r="DR17" i="32"/>
  <c r="GR17" i="32" s="1"/>
  <c r="DV46" i="32"/>
  <c r="GV46" i="32" s="1"/>
  <c r="DR58" i="32"/>
  <c r="GR58" i="32" s="1"/>
  <c r="DQ7" i="32"/>
  <c r="GQ7" i="32" s="1"/>
  <c r="DV55" i="32"/>
  <c r="GV55" i="32" s="1"/>
  <c r="DQ19" i="32"/>
  <c r="GQ19" i="32" s="1"/>
  <c r="DR12" i="32"/>
  <c r="GR12" i="32" s="1"/>
  <c r="DV15" i="32"/>
  <c r="GV15" i="32" s="1"/>
  <c r="DV41" i="32"/>
  <c r="GV41" i="32" s="1"/>
  <c r="DV12" i="32"/>
  <c r="GV12" i="32" s="1"/>
  <c r="DQ59" i="32"/>
  <c r="GQ59" i="32" s="1"/>
  <c r="DQ22" i="32"/>
  <c r="GQ22" i="32" s="1"/>
  <c r="DQ4" i="32"/>
  <c r="GQ4" i="32" s="1"/>
  <c r="DQ60" i="32"/>
  <c r="GQ60" i="32" s="1"/>
  <c r="DR10" i="32"/>
  <c r="GR10" i="32" s="1"/>
  <c r="DV13" i="32"/>
  <c r="GV13" i="32" s="1"/>
  <c r="DR43" i="32"/>
  <c r="GR43" i="32" s="1"/>
  <c r="DV51" i="32"/>
  <c r="GV51" i="32" s="1"/>
  <c r="DR50" i="32"/>
  <c r="GR50" i="32" s="1"/>
  <c r="DQ57" i="32"/>
  <c r="GQ57" i="32" s="1"/>
  <c r="DR48" i="32"/>
  <c r="GR48" i="32" s="1"/>
  <c r="DV56" i="32"/>
  <c r="GV56" i="32" s="1"/>
  <c r="DU6" i="32"/>
  <c r="GU6" i="32" s="1"/>
  <c r="DQ49" i="32"/>
  <c r="GQ49" i="32" s="1"/>
  <c r="DR55" i="32"/>
  <c r="GR55" i="32" s="1"/>
  <c r="DU18" i="32"/>
  <c r="GU18" i="32" s="1"/>
  <c r="DQ17" i="32"/>
  <c r="GQ17" i="32" s="1"/>
  <c r="DU46" i="32"/>
  <c r="GU46" i="32" s="1"/>
  <c r="DQ58" i="32"/>
  <c r="GQ58" i="32" s="1"/>
  <c r="DR7" i="32"/>
  <c r="GR7" i="32" s="1"/>
  <c r="DU55" i="32"/>
  <c r="GU55" i="32" s="1"/>
  <c r="DU45" i="32"/>
  <c r="GU45" i="32" s="1"/>
  <c r="DU17" i="32"/>
  <c r="GU17" i="32" s="1"/>
  <c r="DV52" i="32"/>
  <c r="GV52" i="32" s="1"/>
  <c r="DU58" i="32"/>
  <c r="GU58" i="32" s="1"/>
  <c r="DR47" i="32"/>
  <c r="GR47" i="32" s="1"/>
  <c r="DR9" i="32"/>
  <c r="GR9" i="32" s="1"/>
  <c r="DU19" i="32"/>
  <c r="GU19" i="32" s="1"/>
  <c r="DQ47" i="32"/>
  <c r="GQ47" i="32" s="1"/>
  <c r="DR52" i="32"/>
  <c r="GR52" i="32" s="1"/>
  <c r="DV60" i="32"/>
  <c r="GV60" i="32" s="1"/>
  <c r="DU10" i="32"/>
  <c r="GU10" i="32" s="1"/>
  <c r="DQ26" i="32"/>
  <c r="GQ26" i="32" s="1"/>
  <c r="DU43" i="32"/>
  <c r="GU43" i="32" s="1"/>
  <c r="DR25" i="32"/>
  <c r="GR25" i="32" s="1"/>
  <c r="DR24" i="32"/>
  <c r="GR24" i="32" s="1"/>
  <c r="DR19" i="32"/>
  <c r="GR19" i="32" s="1"/>
  <c r="DU48" i="32"/>
  <c r="GU48" i="32" s="1"/>
  <c r="DR42" i="32"/>
  <c r="GR42" i="32" s="1"/>
  <c r="DU57" i="32"/>
  <c r="GU57" i="32" s="1"/>
  <c r="DR18" i="32"/>
  <c r="GR18" i="32" s="1"/>
  <c r="DV5" i="32"/>
  <c r="GV5" i="32" s="1"/>
  <c r="DQ12" i="32"/>
  <c r="GQ12" i="32" s="1"/>
  <c r="DV17" i="32"/>
  <c r="GV17" i="32" s="1"/>
  <c r="DR8" i="32"/>
  <c r="GR8" i="32" s="1"/>
  <c r="DV24" i="32"/>
  <c r="GV24" i="32" s="1"/>
  <c r="DV20" i="32"/>
  <c r="GV20" i="32" s="1"/>
  <c r="DQ11" i="32"/>
  <c r="GQ11" i="32" s="1"/>
  <c r="DU15" i="32"/>
  <c r="GU15" i="32" s="1"/>
  <c r="DQ52" i="32"/>
  <c r="GQ52" i="32" s="1"/>
  <c r="DU60" i="32"/>
  <c r="GU60" i="32" s="1"/>
  <c r="DV10" i="32"/>
  <c r="GV10" i="32" s="1"/>
  <c r="DR26" i="32"/>
  <c r="GR26" i="32" s="1"/>
  <c r="DV43" i="32"/>
  <c r="GV43" i="32" s="1"/>
  <c r="DQ25" i="32"/>
  <c r="GQ25" i="32" s="1"/>
  <c r="DQ24" i="32"/>
  <c r="GQ24" i="32" s="1"/>
  <c r="DV48" i="32"/>
  <c r="GV48" i="32" s="1"/>
  <c r="DU5" i="32"/>
  <c r="GU5" i="32" s="1"/>
  <c r="DU20" i="32"/>
  <c r="GU20" i="32" s="1"/>
  <c r="DR59" i="32"/>
  <c r="GR59" i="32" s="1"/>
  <c r="DU50" i="32"/>
  <c r="GU50" i="32" s="1"/>
  <c r="DR5" i="32"/>
  <c r="GR5" i="32" s="1"/>
  <c r="DQ54" i="32"/>
  <c r="GQ54" i="32" s="1"/>
  <c r="DR53" i="32"/>
  <c r="GR53" i="32" s="1"/>
  <c r="DQ44" i="32"/>
  <c r="GQ44" i="32" s="1"/>
  <c r="DU26" i="32"/>
  <c r="GU26" i="32" s="1"/>
  <c r="DV58" i="32"/>
  <c r="GV58" i="32" s="1"/>
  <c r="DR54" i="32"/>
  <c r="GR54" i="32" s="1"/>
  <c r="DQ53" i="32"/>
  <c r="GQ53" i="32" s="1"/>
  <c r="DC42" i="32"/>
  <c r="DB49" i="32"/>
  <c r="DC15" i="32"/>
  <c r="CY45" i="32"/>
  <c r="DC60" i="32"/>
  <c r="DC10" i="32"/>
  <c r="CY13" i="32"/>
  <c r="DB43" i="32"/>
  <c r="CX51" i="32"/>
  <c r="DB58" i="32"/>
  <c r="CX25" i="32"/>
  <c r="CX57" i="32"/>
  <c r="CX7" i="32"/>
  <c r="DB22" i="32"/>
  <c r="CX19" i="32"/>
  <c r="DC47" i="32"/>
  <c r="CY55" i="32"/>
  <c r="CY5" i="32"/>
  <c r="DC12" i="32"/>
  <c r="CX17" i="32"/>
  <c r="CY7" i="32"/>
  <c r="CY19" i="32"/>
  <c r="CX55" i="32"/>
  <c r="DB12" i="32"/>
  <c r="CX12" i="32"/>
  <c r="CY58" i="32"/>
  <c r="CX56" i="32"/>
  <c r="CX18" i="32"/>
  <c r="CY8" i="32"/>
  <c r="DC51" i="32"/>
  <c r="CX50" i="32"/>
  <c r="DC55" i="32"/>
  <c r="CY46" i="32"/>
  <c r="CX8" i="32"/>
  <c r="DB51" i="32"/>
  <c r="DC19" i="32"/>
  <c r="DB5" i="32"/>
  <c r="DB42" i="32"/>
  <c r="DC49" i="32"/>
  <c r="DB15" i="32"/>
  <c r="CX45" i="32"/>
  <c r="DB60" i="32"/>
  <c r="DB10" i="32"/>
  <c r="CX13" i="32"/>
  <c r="DC43" i="32"/>
  <c r="CY51" i="32"/>
  <c r="DC58" i="32"/>
  <c r="CY25" i="32"/>
  <c r="CY57" i="32"/>
  <c r="DC22" i="32"/>
  <c r="DB47" i="32"/>
  <c r="CX5" i="32"/>
  <c r="CY17" i="32"/>
  <c r="CY26" i="32"/>
  <c r="CY6" i="32"/>
  <c r="CY4" i="32"/>
  <c r="CY53" i="32"/>
  <c r="CX59" i="32"/>
  <c r="DB19" i="32"/>
  <c r="DC5" i="32"/>
  <c r="CX53" i="32"/>
  <c r="CY59" i="32"/>
  <c r="CY50" i="32"/>
  <c r="DB55" i="32"/>
  <c r="DB25" i="32"/>
  <c r="DB8" i="32"/>
  <c r="DC24" i="32"/>
  <c r="DC11" i="32"/>
  <c r="CY15" i="32"/>
  <c r="DC52" i="32"/>
  <c r="CX60" i="32"/>
  <c r="CY10" i="32"/>
  <c r="DB26" i="32"/>
  <c r="CX43" i="32"/>
  <c r="DC50" i="32"/>
  <c r="DB57" i="32"/>
  <c r="CY49" i="32"/>
  <c r="DB56" i="32"/>
  <c r="DB6" i="32"/>
  <c r="CY22" i="32"/>
  <c r="DC18" i="32"/>
  <c r="CY47" i="32"/>
  <c r="DC54" i="32"/>
  <c r="DC4" i="32"/>
  <c r="DB41" i="32"/>
  <c r="DC46" i="32"/>
  <c r="CX3" i="32"/>
  <c r="DC7" i="32"/>
  <c r="DC25" i="32"/>
  <c r="DB13" i="32"/>
  <c r="DB7" i="32"/>
  <c r="DB17" i="32"/>
  <c r="DC8" i="32"/>
  <c r="DB24" i="32"/>
  <c r="DB11" i="32"/>
  <c r="CX15" i="32"/>
  <c r="DB52" i="32"/>
  <c r="CY60" i="32"/>
  <c r="CX10" i="32"/>
  <c r="DC26" i="32"/>
  <c r="CY43" i="32"/>
  <c r="DB50" i="32"/>
  <c r="DC57" i="32"/>
  <c r="CX49" i="32"/>
  <c r="DC56" i="32"/>
  <c r="DC6" i="32"/>
  <c r="CX22" i="32"/>
  <c r="DB18" i="32"/>
  <c r="CX47" i="32"/>
  <c r="DB54" i="32"/>
  <c r="DB4" i="32"/>
  <c r="CY12" i="32"/>
  <c r="CY41" i="32"/>
  <c r="CY54" i="32"/>
  <c r="DC13" i="32"/>
  <c r="CY24" i="32"/>
  <c r="DC17" i="32"/>
  <c r="CY3" i="32"/>
  <c r="CX24" i="32"/>
  <c r="CX20" i="32"/>
  <c r="CY42" i="32"/>
  <c r="DC53" i="32"/>
  <c r="DC3" i="32"/>
  <c r="CY11" i="32"/>
  <c r="DC44" i="32"/>
  <c r="CX52" i="32"/>
  <c r="DB59" i="32"/>
  <c r="DB9" i="32"/>
  <c r="CX26" i="32"/>
  <c r="CX58" i="32"/>
  <c r="DC41" i="32"/>
  <c r="CX41" i="32"/>
  <c r="DC48" i="32"/>
  <c r="CY56" i="32"/>
  <c r="CX6" i="32"/>
  <c r="DB20" i="32"/>
  <c r="CY18" i="32"/>
  <c r="DB46" i="32"/>
  <c r="CX54" i="32"/>
  <c r="CX4" i="32"/>
  <c r="CX42" i="32"/>
  <c r="DB53" i="32"/>
  <c r="DB3" i="32"/>
  <c r="CX11" i="32"/>
  <c r="DB44" i="32"/>
  <c r="CY52" i="32"/>
  <c r="DC59" i="32"/>
  <c r="DC9" i="32"/>
  <c r="DB48" i="32"/>
  <c r="DC20" i="32"/>
  <c r="DC45" i="32"/>
  <c r="CY44" i="32"/>
  <c r="CY9" i="32"/>
  <c r="CX48" i="32"/>
  <c r="CY20" i="32"/>
  <c r="DB45" i="32"/>
  <c r="CX44" i="32"/>
  <c r="CX9" i="32"/>
  <c r="CY48" i="32"/>
  <c r="CX46" i="32"/>
  <c r="DA59" i="32"/>
  <c r="DA9" i="32"/>
  <c r="DA25" i="32"/>
  <c r="DA49" i="32"/>
  <c r="DA19" i="32"/>
  <c r="DA47" i="32"/>
  <c r="CZ13" i="32"/>
  <c r="CV44" i="32"/>
  <c r="DA41" i="32"/>
  <c r="CZ20" i="32"/>
  <c r="CZ17" i="32"/>
  <c r="CZ60" i="32"/>
  <c r="DA15" i="32"/>
  <c r="CZ19" i="32"/>
  <c r="CZ41" i="32"/>
  <c r="CV20" i="32"/>
  <c r="CV46" i="32"/>
  <c r="CV19" i="32"/>
  <c r="CV45" i="32"/>
  <c r="DA53" i="32"/>
  <c r="DA26" i="32"/>
  <c r="CZ18" i="32"/>
  <c r="CV54" i="32"/>
  <c r="CV43" i="32"/>
  <c r="CV57" i="32"/>
  <c r="DA44" i="32"/>
  <c r="CZ46" i="32"/>
  <c r="CV53" i="32"/>
  <c r="CZ59" i="32"/>
  <c r="CZ9" i="32"/>
  <c r="CV26" i="32"/>
  <c r="CZ25" i="32"/>
  <c r="CV42" i="32"/>
  <c r="CZ49" i="32"/>
  <c r="CZ47" i="32"/>
  <c r="DA13" i="32"/>
  <c r="DA20" i="32"/>
  <c r="DA17" i="32"/>
  <c r="DA60" i="32"/>
  <c r="CZ15" i="32"/>
  <c r="CZ55" i="32"/>
  <c r="CZ3" i="32"/>
  <c r="DA57" i="32"/>
  <c r="CV22" i="32"/>
  <c r="CV4" i="32"/>
  <c r="CZ26" i="32"/>
  <c r="CV7" i="32"/>
  <c r="CV18" i="32"/>
  <c r="DA51" i="32"/>
  <c r="DA8" i="32"/>
  <c r="CV25" i="32"/>
  <c r="DA24" i="32"/>
  <c r="DA6" i="32"/>
  <c r="CV47" i="32"/>
  <c r="CZ10" i="32"/>
  <c r="DA56" i="32"/>
  <c r="CZ5" i="32"/>
  <c r="CZ12" i="32"/>
  <c r="CV17" i="32"/>
  <c r="CZ48" i="32"/>
  <c r="CV6" i="32"/>
  <c r="DA11" i="32"/>
  <c r="DA4" i="32"/>
  <c r="CV50" i="32"/>
  <c r="CV52" i="32"/>
  <c r="CV56" i="32"/>
  <c r="CZ51" i="32"/>
  <c r="CV59" i="32"/>
  <c r="CV9" i="32"/>
  <c r="CZ8" i="32"/>
  <c r="CZ24" i="32"/>
  <c r="CV41" i="32"/>
  <c r="CZ6" i="32"/>
  <c r="DA10" i="32"/>
  <c r="CV13" i="32"/>
  <c r="CZ56" i="32"/>
  <c r="DA5" i="32"/>
  <c r="CV5" i="32"/>
  <c r="DA12" i="32"/>
  <c r="DA48" i="32"/>
  <c r="CZ11" i="32"/>
  <c r="CV15" i="32"/>
  <c r="CZ54" i="32"/>
  <c r="CZ42" i="32"/>
  <c r="CZ50" i="32"/>
  <c r="CZ45" i="32"/>
  <c r="CZ57" i="32"/>
  <c r="DA50" i="32"/>
  <c r="DA45" i="32"/>
  <c r="DA43" i="32"/>
  <c r="CZ58" i="32"/>
  <c r="CV8" i="32"/>
  <c r="DA7" i="32"/>
  <c r="CV24" i="32"/>
  <c r="CV48" i="32"/>
  <c r="CZ52" i="32"/>
  <c r="CV60" i="32"/>
  <c r="DA55" i="32"/>
  <c r="CV55" i="32"/>
  <c r="DA54" i="32"/>
  <c r="CZ4" i="32"/>
  <c r="DA22" i="32"/>
  <c r="CZ53" i="32"/>
  <c r="DA3" i="32"/>
  <c r="CZ43" i="32"/>
  <c r="CV51" i="32"/>
  <c r="DA58" i="32"/>
  <c r="CV58" i="32"/>
  <c r="CZ7" i="32"/>
  <c r="DA52" i="32"/>
  <c r="CV10" i="32"/>
  <c r="CV12" i="32"/>
  <c r="CZ22" i="32"/>
  <c r="CV11" i="32"/>
  <c r="CZ44" i="32"/>
  <c r="DA46" i="32"/>
  <c r="DA42" i="32"/>
  <c r="DA18" i="32"/>
  <c r="CV3" i="32"/>
  <c r="DT58" i="32"/>
  <c r="GT58" i="32" s="1"/>
  <c r="DP8" i="32"/>
  <c r="GP8" i="32" s="1"/>
  <c r="DO52" i="32"/>
  <c r="GO52" i="32" s="1"/>
  <c r="DT59" i="32"/>
  <c r="GT59" i="32" s="1"/>
  <c r="DT9" i="32"/>
  <c r="GT9" i="32" s="1"/>
  <c r="DP26" i="32"/>
  <c r="GP26" i="32" s="1"/>
  <c r="DT48" i="32"/>
  <c r="GT48" i="32" s="1"/>
  <c r="DP56" i="32"/>
  <c r="GP56" i="32" s="1"/>
  <c r="DO6" i="32"/>
  <c r="GO6" i="32" s="1"/>
  <c r="DT41" i="32"/>
  <c r="GT41" i="32" s="1"/>
  <c r="DO54" i="32"/>
  <c r="GO54" i="32" s="1"/>
  <c r="DO4" i="32"/>
  <c r="GO4" i="32" s="1"/>
  <c r="DO24" i="32"/>
  <c r="GO24" i="32" s="1"/>
  <c r="DO20" i="32"/>
  <c r="GO20" i="32" s="1"/>
  <c r="DT15" i="32"/>
  <c r="GT15" i="32" s="1"/>
  <c r="DO45" i="32"/>
  <c r="GO45" i="32" s="1"/>
  <c r="DO7" i="32"/>
  <c r="GO7" i="32" s="1"/>
  <c r="DT11" i="32"/>
  <c r="GT11" i="32" s="1"/>
  <c r="DO15" i="32"/>
  <c r="GO15" i="32" s="1"/>
  <c r="DP19" i="32"/>
  <c r="GP19" i="32" s="1"/>
  <c r="DP17" i="32"/>
  <c r="GP17" i="32" s="1"/>
  <c r="DO10" i="32"/>
  <c r="GO10" i="32" s="1"/>
  <c r="DO22" i="32"/>
  <c r="GO22" i="32" s="1"/>
  <c r="DO42" i="32"/>
  <c r="GO42" i="32" s="1"/>
  <c r="DO43" i="32"/>
  <c r="GO43" i="32" s="1"/>
  <c r="DO25" i="32"/>
  <c r="GO25" i="32" s="1"/>
  <c r="DP12" i="32"/>
  <c r="GP12" i="32" s="1"/>
  <c r="DP18" i="32"/>
  <c r="GP18" i="32" s="1"/>
  <c r="GO3" i="32"/>
  <c r="DO8" i="32"/>
  <c r="GO8" i="32" s="1"/>
  <c r="DT44" i="32"/>
  <c r="GT44" i="32" s="1"/>
  <c r="DP52" i="32"/>
  <c r="GP52" i="32" s="1"/>
  <c r="DO26" i="32"/>
  <c r="GO26" i="32" s="1"/>
  <c r="DO56" i="32"/>
  <c r="GO56" i="32" s="1"/>
  <c r="DP6" i="32"/>
  <c r="GP6" i="32" s="1"/>
  <c r="DT46" i="32"/>
  <c r="GT46" i="32" s="1"/>
  <c r="DP54" i="32"/>
  <c r="GP54" i="32" s="1"/>
  <c r="DP4" i="32"/>
  <c r="GP4" i="32" s="1"/>
  <c r="DT24" i="32"/>
  <c r="GT24" i="32" s="1"/>
  <c r="DP24" i="32"/>
  <c r="GP24" i="32" s="1"/>
  <c r="DT20" i="32"/>
  <c r="GT20" i="32" s="1"/>
  <c r="DP20" i="32"/>
  <c r="GP20" i="32" s="1"/>
  <c r="DP45" i="32"/>
  <c r="GP45" i="32" s="1"/>
  <c r="DO55" i="32"/>
  <c r="GO55" i="32" s="1"/>
  <c r="DP15" i="32"/>
  <c r="GP15" i="32" s="1"/>
  <c r="DO13" i="32"/>
  <c r="GO13" i="32" s="1"/>
  <c r="DT5" i="32"/>
  <c r="GT5" i="32" s="1"/>
  <c r="DP47" i="32"/>
  <c r="GP47" i="32" s="1"/>
  <c r="DT26" i="32"/>
  <c r="GT26" i="32" s="1"/>
  <c r="DO18" i="32"/>
  <c r="GO18" i="32" s="1"/>
  <c r="DP3" i="32"/>
  <c r="GP3" i="32" s="1"/>
  <c r="DT52" i="32"/>
  <c r="GT52" i="32" s="1"/>
  <c r="DT4" i="32"/>
  <c r="GT4" i="32" s="1"/>
  <c r="DT45" i="32"/>
  <c r="GT45" i="32" s="1"/>
  <c r="DT42" i="32"/>
  <c r="GT42" i="32" s="1"/>
  <c r="DT13" i="32"/>
  <c r="GT13" i="32" s="1"/>
  <c r="DO44" i="32"/>
  <c r="GO44" i="32" s="1"/>
  <c r="DT51" i="32"/>
  <c r="GT51" i="32" s="1"/>
  <c r="DP59" i="32"/>
  <c r="GP59" i="32" s="1"/>
  <c r="DP9" i="32"/>
  <c r="GP9" i="32" s="1"/>
  <c r="DP48" i="32"/>
  <c r="GP48" i="32" s="1"/>
  <c r="DT50" i="32"/>
  <c r="GT50" i="32" s="1"/>
  <c r="GS17" i="32"/>
  <c r="DO46" i="32"/>
  <c r="GO46" i="32" s="1"/>
  <c r="DT25" i="32"/>
  <c r="GT25" i="32" s="1"/>
  <c r="DP57" i="32"/>
  <c r="GP57" i="32" s="1"/>
  <c r="DO5" i="32"/>
  <c r="DO51" i="32"/>
  <c r="GO51" i="32" s="1"/>
  <c r="DT12" i="32"/>
  <c r="GT12" i="32" s="1"/>
  <c r="DO11" i="32"/>
  <c r="GO11" i="32" s="1"/>
  <c r="DO60" i="32"/>
  <c r="GO60" i="32" s="1"/>
  <c r="DT56" i="32"/>
  <c r="GT56" i="32" s="1"/>
  <c r="DT49" i="32"/>
  <c r="GT49" i="32" s="1"/>
  <c r="DP10" i="32"/>
  <c r="GP10" i="32" s="1"/>
  <c r="DT6" i="32"/>
  <c r="GT6" i="32" s="1"/>
  <c r="DT18" i="32"/>
  <c r="GT18" i="32" s="1"/>
  <c r="DT7" i="32"/>
  <c r="GT7" i="32" s="1"/>
  <c r="DP44" i="32"/>
  <c r="GP44" i="32" s="1"/>
  <c r="DO59" i="32"/>
  <c r="GO59" i="32" s="1"/>
  <c r="DO9" i="32"/>
  <c r="GO9" i="32" s="1"/>
  <c r="DT19" i="32"/>
  <c r="GT19" i="32" s="1"/>
  <c r="DO48" i="32"/>
  <c r="GO48" i="32" s="1"/>
  <c r="DT47" i="32"/>
  <c r="GT47" i="32" s="1"/>
  <c r="DT17" i="32"/>
  <c r="GT17" i="32" s="1"/>
  <c r="DP46" i="32"/>
  <c r="GP46" i="32" s="1"/>
  <c r="DO57" i="32"/>
  <c r="GO57" i="32" s="1"/>
  <c r="DP7" i="32"/>
  <c r="GP7" i="32" s="1"/>
  <c r="DP55" i="32"/>
  <c r="GP55" i="32" s="1"/>
  <c r="DP5" i="32"/>
  <c r="GP5" i="32" s="1"/>
  <c r="DT22" i="32"/>
  <c r="GT22" i="32" s="1"/>
  <c r="DT55" i="32"/>
  <c r="GT55" i="32" s="1"/>
  <c r="DP60" i="32"/>
  <c r="GP60" i="32" s="1"/>
  <c r="DP22" i="32"/>
  <c r="GP22" i="32" s="1"/>
  <c r="DP58" i="32"/>
  <c r="GP58" i="32" s="1"/>
  <c r="DT10" i="32"/>
  <c r="GT10" i="32" s="1"/>
  <c r="DP13" i="32"/>
  <c r="GP13" i="32" s="1"/>
  <c r="DT43" i="32"/>
  <c r="GT43" i="32" s="1"/>
  <c r="DP51" i="32"/>
  <c r="GP51" i="32" s="1"/>
  <c r="DT57" i="32"/>
  <c r="GT57" i="32" s="1"/>
  <c r="DO19" i="32"/>
  <c r="GO19" i="32" s="1"/>
  <c r="DT8" i="32"/>
  <c r="GT8" i="32" s="1"/>
  <c r="DO17" i="32"/>
  <c r="GO17" i="32" s="1"/>
  <c r="DO50" i="32"/>
  <c r="GO50" i="32" s="1"/>
  <c r="DP49" i="32"/>
  <c r="GP49" i="32" s="1"/>
  <c r="DO47" i="32"/>
  <c r="GO47" i="32" s="1"/>
  <c r="DT3" i="32"/>
  <c r="GT3" i="32" s="1"/>
  <c r="DP11" i="32"/>
  <c r="GP11" i="32" s="1"/>
  <c r="DO58" i="32"/>
  <c r="GO58" i="32" s="1"/>
  <c r="DT60" i="32"/>
  <c r="GT60" i="32" s="1"/>
  <c r="DP50" i="32"/>
  <c r="GP50" i="32" s="1"/>
  <c r="DT53" i="32"/>
  <c r="GT53" i="32" s="1"/>
  <c r="DP42" i="32"/>
  <c r="GP42" i="32" s="1"/>
  <c r="DP43" i="32"/>
  <c r="GP43" i="32" s="1"/>
  <c r="DP25" i="32"/>
  <c r="GP25" i="32" s="1"/>
  <c r="DO12" i="32"/>
  <c r="GO12" i="32" s="1"/>
  <c r="DP41" i="32"/>
  <c r="GP41" i="32" s="1"/>
  <c r="DO53" i="32"/>
  <c r="GO53" i="32" s="1"/>
  <c r="DT54" i="32"/>
  <c r="GT54" i="32" s="1"/>
  <c r="DO41" i="32"/>
  <c r="GO41" i="32" s="1"/>
  <c r="DP53" i="32"/>
  <c r="GP53" i="32" s="1"/>
  <c r="O5" i="41" l="1"/>
  <c r="AE5" i="41" s="1"/>
  <c r="AA5" i="41"/>
  <c r="AI5" i="41" s="1"/>
  <c r="AL5" i="41" s="1"/>
  <c r="Z5" i="41"/>
  <c r="AH5" i="41" s="1"/>
  <c r="AK5" i="41" s="1"/>
  <c r="T5" i="41"/>
  <c r="AF5" i="41" s="1"/>
  <c r="N5" i="41"/>
  <c r="AD5" i="41" s="1"/>
  <c r="AG5" i="41"/>
  <c r="GO5" i="32"/>
  <c r="BP107" i="30"/>
  <c r="BR107" i="30" s="1"/>
  <c r="DM13" i="32" l="1"/>
  <c r="GK26" i="32"/>
  <c r="GN51" i="32"/>
  <c r="GK53" i="32"/>
  <c r="GK25" i="32"/>
  <c r="GK16" i="32"/>
  <c r="GK24" i="32"/>
  <c r="GK4" i="32"/>
  <c r="GK45" i="32"/>
  <c r="GN47" i="32"/>
  <c r="GN42" i="32"/>
  <c r="GN4" i="32"/>
  <c r="GN7" i="32"/>
  <c r="GN5" i="32"/>
  <c r="GN12" i="32"/>
  <c r="GN17" i="32"/>
  <c r="GN56" i="32"/>
  <c r="GN59" i="32"/>
  <c r="GN52" i="32"/>
  <c r="GN15" i="32"/>
  <c r="GN58" i="32"/>
  <c r="GN50" i="32"/>
  <c r="GN48" i="32"/>
  <c r="GN11" i="32"/>
  <c r="GN26" i="32"/>
  <c r="GN34" i="32"/>
  <c r="GN25" i="32"/>
  <c r="GN49" i="32"/>
  <c r="GN46" i="32"/>
  <c r="GK18" i="32"/>
  <c r="GN33" i="32"/>
  <c r="GN31" i="32"/>
  <c r="GN30" i="32"/>
  <c r="GN29" i="32"/>
  <c r="GN14" i="32"/>
  <c r="GN16" i="32"/>
  <c r="GN37" i="32"/>
  <c r="GN21" i="32"/>
  <c r="GK57" i="32"/>
  <c r="GN45" i="32"/>
  <c r="GK50" i="32"/>
  <c r="GK14" i="32"/>
  <c r="GK59" i="32"/>
  <c r="GK42" i="32"/>
  <c r="GK47" i="32"/>
  <c r="GK13" i="32"/>
  <c r="GN24" i="32"/>
  <c r="GN32" i="32"/>
  <c r="GK60" i="32"/>
  <c r="GK11" i="32"/>
  <c r="GK7" i="32"/>
  <c r="GK8" i="32"/>
  <c r="GK48" i="32"/>
  <c r="GK41" i="32"/>
  <c r="GK5" i="32"/>
  <c r="GN9" i="32"/>
  <c r="GN10" i="32"/>
  <c r="GN40" i="32"/>
  <c r="GK9" i="32"/>
  <c r="GK58" i="32"/>
  <c r="GN60" i="32"/>
  <c r="GN44" i="32"/>
  <c r="GN39" i="32"/>
  <c r="GK52" i="32"/>
  <c r="GK43" i="32"/>
  <c r="GN54" i="32"/>
  <c r="GN18" i="32"/>
  <c r="GN19" i="32"/>
  <c r="GN35" i="32"/>
  <c r="GK56" i="32"/>
  <c r="GK46" i="32"/>
  <c r="GK19" i="32"/>
  <c r="GN20" i="32"/>
  <c r="GN6" i="32"/>
  <c r="GN57" i="32"/>
  <c r="GN27" i="32"/>
  <c r="GK44" i="32"/>
  <c r="GK55" i="32"/>
  <c r="GK49" i="32"/>
  <c r="GK22" i="32"/>
  <c r="GN8" i="32"/>
  <c r="GN55" i="32"/>
  <c r="GN41" i="32"/>
  <c r="GN53" i="32"/>
  <c r="GN38" i="32"/>
  <c r="GK54" i="32"/>
  <c r="GK51" i="32"/>
  <c r="GK17" i="32"/>
  <c r="GK3" i="32"/>
  <c r="GN23" i="32"/>
  <c r="GK6" i="32"/>
  <c r="GK23" i="32"/>
  <c r="GK21" i="32"/>
  <c r="GK10" i="32"/>
  <c r="GN3" i="32"/>
  <c r="GN13" i="32"/>
  <c r="GN43" i="32"/>
  <c r="GN22" i="32"/>
  <c r="GN36" i="32"/>
  <c r="GN28" i="32"/>
  <c r="GK12" i="32"/>
  <c r="GK20" i="32"/>
  <c r="GK15" i="32"/>
  <c r="DN41" i="32"/>
  <c r="CT54" i="32"/>
  <c r="DN39" i="32"/>
  <c r="DM24" i="32"/>
  <c r="DM46" i="32"/>
  <c r="DM51" i="32"/>
  <c r="DN50" i="32"/>
  <c r="DN59" i="32"/>
  <c r="DM17" i="32"/>
  <c r="F15" i="32"/>
  <c r="G15" i="32"/>
  <c r="L15" i="32"/>
  <c r="Y15" i="32" s="1"/>
  <c r="M15" i="32"/>
  <c r="FD15" i="32" s="1"/>
  <c r="P15" i="32"/>
  <c r="R15" i="32"/>
  <c r="X15" i="32"/>
  <c r="Z15" i="32"/>
  <c r="CC15" i="32"/>
  <c r="CD15" i="32"/>
  <c r="CG15" i="32"/>
  <c r="CN15" i="32"/>
  <c r="L17" i="32"/>
  <c r="P13" i="32"/>
  <c r="F13" i="32"/>
  <c r="F17" i="32"/>
  <c r="G13" i="32"/>
  <c r="G17" i="32"/>
  <c r="L13" i="32"/>
  <c r="CQ13" i="32" s="1"/>
  <c r="M13" i="32"/>
  <c r="FD13" i="32" s="1"/>
  <c r="M17" i="32"/>
  <c r="FD17" i="32" s="1"/>
  <c r="R13" i="32"/>
  <c r="X17" i="32"/>
  <c r="X13" i="32"/>
  <c r="Z13" i="32"/>
  <c r="Z17" i="32"/>
  <c r="CC13" i="32"/>
  <c r="CD13" i="32"/>
  <c r="CD17" i="32"/>
  <c r="CG13" i="32"/>
  <c r="CG17" i="32"/>
  <c r="CN13" i="32"/>
  <c r="CN17" i="32"/>
  <c r="CC18" i="32"/>
  <c r="F18" i="32"/>
  <c r="G18" i="32"/>
  <c r="M18" i="32"/>
  <c r="FD18" i="32" s="1"/>
  <c r="X18" i="32"/>
  <c r="Z18" i="32"/>
  <c r="CD18" i="32"/>
  <c r="CG18" i="32"/>
  <c r="CN18" i="32"/>
  <c r="F19" i="32"/>
  <c r="G19" i="32"/>
  <c r="L19" i="32"/>
  <c r="CQ19" i="32" s="1"/>
  <c r="M19" i="32"/>
  <c r="FD19" i="32" s="1"/>
  <c r="P19" i="32"/>
  <c r="R19" i="32"/>
  <c r="X19" i="32"/>
  <c r="Z19" i="32"/>
  <c r="CC19" i="32"/>
  <c r="CD19" i="32"/>
  <c r="CG19" i="32"/>
  <c r="CN19" i="32"/>
  <c r="CU39" i="32" l="1"/>
  <c r="CU20" i="32"/>
  <c r="DN27" i="32"/>
  <c r="DM15" i="32"/>
  <c r="DN36" i="32"/>
  <c r="CU12" i="32"/>
  <c r="CU3" i="32"/>
  <c r="CU22" i="32"/>
  <c r="DM7" i="32"/>
  <c r="CU56" i="32"/>
  <c r="CU31" i="32"/>
  <c r="DN4" i="32"/>
  <c r="CU29" i="32"/>
  <c r="CU58" i="32"/>
  <c r="DN8" i="32"/>
  <c r="CU60" i="32"/>
  <c r="DM26" i="32"/>
  <c r="DN45" i="32"/>
  <c r="DN24" i="32"/>
  <c r="DM47" i="32"/>
  <c r="DN18" i="32"/>
  <c r="DN56" i="32"/>
  <c r="DN46" i="32"/>
  <c r="DM43" i="32"/>
  <c r="DM22" i="32"/>
  <c r="DN22" i="32"/>
  <c r="DN32" i="32"/>
  <c r="DM44" i="32"/>
  <c r="DM5" i="32"/>
  <c r="DM54" i="32"/>
  <c r="DM55" i="32"/>
  <c r="DM52" i="32"/>
  <c r="DN48" i="32"/>
  <c r="DN25" i="32"/>
  <c r="DN44" i="32"/>
  <c r="DN57" i="32"/>
  <c r="DN7" i="32"/>
  <c r="DN34" i="32"/>
  <c r="DM48" i="32"/>
  <c r="DN52" i="32"/>
  <c r="DM19" i="32"/>
  <c r="DM53" i="32"/>
  <c r="DN31" i="32"/>
  <c r="DN38" i="32"/>
  <c r="DN60" i="32"/>
  <c r="DM8" i="32"/>
  <c r="DN33" i="32"/>
  <c r="DN53" i="32"/>
  <c r="DM25" i="32"/>
  <c r="DN49" i="32"/>
  <c r="DM49" i="32"/>
  <c r="DM20" i="32"/>
  <c r="DN12" i="32"/>
  <c r="DM4" i="32"/>
  <c r="DN54" i="32"/>
  <c r="DM50" i="32"/>
  <c r="DM11" i="32"/>
  <c r="DM9" i="32"/>
  <c r="DN11" i="32"/>
  <c r="DM60" i="32"/>
  <c r="DN42" i="32"/>
  <c r="DN20" i="32"/>
  <c r="DM6" i="32"/>
  <c r="DN13" i="32"/>
  <c r="DM41" i="32"/>
  <c r="DN15" i="32"/>
  <c r="DM59" i="32"/>
  <c r="DM18" i="32"/>
  <c r="DN10" i="32"/>
  <c r="DN9" i="32"/>
  <c r="DN19" i="32"/>
  <c r="DM45" i="32"/>
  <c r="DM12" i="32"/>
  <c r="DN58" i="32"/>
  <c r="DN43" i="32"/>
  <c r="DN47" i="32"/>
  <c r="DM57" i="32"/>
  <c r="DM42" i="32"/>
  <c r="DM10" i="32"/>
  <c r="DN55" i="32"/>
  <c r="DN51" i="32"/>
  <c r="DN29" i="32"/>
  <c r="DN3" i="32"/>
  <c r="CT58" i="32"/>
  <c r="CT55" i="32"/>
  <c r="DN26" i="32"/>
  <c r="DM56" i="32"/>
  <c r="DN6" i="32"/>
  <c r="CT17" i="32"/>
  <c r="CT60" i="32"/>
  <c r="CT59" i="32"/>
  <c r="CT57" i="32"/>
  <c r="CT24" i="32"/>
  <c r="CT19" i="32"/>
  <c r="CT53" i="32"/>
  <c r="CT7" i="32"/>
  <c r="CT26" i="32"/>
  <c r="CT48" i="32"/>
  <c r="CT51" i="32"/>
  <c r="CT43" i="32"/>
  <c r="CT42" i="32"/>
  <c r="CT20" i="32"/>
  <c r="CT25" i="32"/>
  <c r="CT5" i="32"/>
  <c r="CT8" i="32"/>
  <c r="CT46" i="32"/>
  <c r="CT47" i="32"/>
  <c r="CT12" i="32"/>
  <c r="DN5" i="32"/>
  <c r="DM16" i="32"/>
  <c r="DM23" i="32"/>
  <c r="DM21" i="32"/>
  <c r="DM14" i="32"/>
  <c r="DN37" i="32"/>
  <c r="DN21" i="32"/>
  <c r="DN23" i="32"/>
  <c r="DN14" i="32"/>
  <c r="DN35" i="32"/>
  <c r="DN30" i="32"/>
  <c r="DN16" i="32"/>
  <c r="DN28" i="32"/>
  <c r="CT44" i="32"/>
  <c r="CT56" i="32"/>
  <c r="CT18" i="32"/>
  <c r="CT4" i="32"/>
  <c r="CT3" i="32"/>
  <c r="CT49" i="32"/>
  <c r="CT22" i="32"/>
  <c r="CT9" i="32"/>
  <c r="DM58" i="32"/>
  <c r="CT50" i="32"/>
  <c r="CT41" i="32"/>
  <c r="CT10" i="32"/>
  <c r="DN17" i="32"/>
  <c r="CT14" i="32"/>
  <c r="CT16" i="32"/>
  <c r="CT23" i="32"/>
  <c r="CT21" i="32"/>
  <c r="CU16" i="32"/>
  <c r="CU28" i="32"/>
  <c r="CU37" i="32"/>
  <c r="CU35" i="32"/>
  <c r="CU23" i="32"/>
  <c r="CU14" i="32"/>
  <c r="CU30" i="32"/>
  <c r="CU21" i="32"/>
  <c r="CT15" i="32"/>
  <c r="CT6" i="32"/>
  <c r="CT52" i="32"/>
  <c r="CT11" i="32"/>
  <c r="CT13" i="32"/>
  <c r="DN40" i="32"/>
  <c r="DM3" i="32"/>
  <c r="CT45" i="32"/>
  <c r="CU36" i="32"/>
  <c r="CU8" i="32"/>
  <c r="CU46" i="32"/>
  <c r="CU10" i="32"/>
  <c r="CU17" i="32"/>
  <c r="CU26" i="32"/>
  <c r="CU41" i="32"/>
  <c r="CU4" i="32"/>
  <c r="CU50" i="32"/>
  <c r="CU25" i="32"/>
  <c r="CU15" i="32"/>
  <c r="CU42" i="32"/>
  <c r="CU27" i="32"/>
  <c r="CU9" i="32"/>
  <c r="CU32" i="32"/>
  <c r="CU38" i="32"/>
  <c r="CU7" i="32"/>
  <c r="CU5" i="32"/>
  <c r="CU40" i="32"/>
  <c r="CU51" i="32"/>
  <c r="CU47" i="32"/>
  <c r="CU13" i="32"/>
  <c r="CU55" i="32"/>
  <c r="CU57" i="32"/>
  <c r="CU45" i="32"/>
  <c r="CU59" i="32"/>
  <c r="CU48" i="32"/>
  <c r="CU11" i="32"/>
  <c r="CU34" i="32"/>
  <c r="CU19" i="32"/>
  <c r="CU6" i="32"/>
  <c r="CU52" i="32"/>
  <c r="CU53" i="32"/>
  <c r="CU54" i="32"/>
  <c r="CU44" i="32"/>
  <c r="CU18" i="32"/>
  <c r="CU33" i="32"/>
  <c r="CU49" i="32"/>
  <c r="CU24" i="32"/>
  <c r="CU43" i="32"/>
  <c r="Q15" i="32"/>
  <c r="S13" i="32"/>
  <c r="CI13" i="32" s="1"/>
  <c r="Q13" i="32"/>
  <c r="S15" i="32"/>
  <c r="CI15" i="32" s="1"/>
  <c r="S19" i="32"/>
  <c r="CI19" i="32" s="1"/>
  <c r="Q19" i="32"/>
  <c r="DJ15" i="32"/>
  <c r="GF15" i="32" s="1"/>
  <c r="CE15" i="32"/>
  <c r="CE13" i="32"/>
  <c r="DL15" i="32"/>
  <c r="GH15" i="32" s="1"/>
  <c r="CE19" i="32"/>
  <c r="CF15" i="32"/>
  <c r="CF13" i="32"/>
  <c r="DK15" i="32"/>
  <c r="GG15" i="32" s="1"/>
  <c r="DL13" i="32"/>
  <c r="GH13" i="32" s="1"/>
  <c r="CF19" i="32"/>
  <c r="CS13" i="32"/>
  <c r="DJ19" i="32"/>
  <c r="GF19" i="32" s="1"/>
  <c r="Y19" i="32"/>
  <c r="DK19" i="32" s="1"/>
  <c r="GG19" i="32" s="1"/>
  <c r="DL19" i="32"/>
  <c r="GH19" i="32" s="1"/>
  <c r="CS19" i="32"/>
  <c r="CE18" i="32"/>
  <c r="CF18" i="32"/>
  <c r="R18" i="32"/>
  <c r="P18" i="32"/>
  <c r="L18" i="32"/>
  <c r="DJ17" i="32"/>
  <c r="GF17" i="32" s="1"/>
  <c r="CS17" i="32"/>
  <c r="CQ17" i="32"/>
  <c r="Y17" i="32"/>
  <c r="DK17" i="32" s="1"/>
  <c r="GG17" i="32" s="1"/>
  <c r="DL17" i="32"/>
  <c r="GH17" i="32" s="1"/>
  <c r="CC17" i="32"/>
  <c r="R17" i="32"/>
  <c r="S17" i="32" s="1"/>
  <c r="P17" i="32"/>
  <c r="CQ15" i="32"/>
  <c r="CR15" i="32"/>
  <c r="CS15" i="32"/>
  <c r="DJ13" i="32"/>
  <c r="GF13" i="32" s="1"/>
  <c r="Y13" i="32"/>
  <c r="DJ41" i="32"/>
  <c r="GF41" i="32" s="1"/>
  <c r="DJ42" i="32"/>
  <c r="GF42" i="32" s="1"/>
  <c r="DJ43" i="32"/>
  <c r="GF43" i="32" s="1"/>
  <c r="DJ44" i="32"/>
  <c r="GF44" i="32" s="1"/>
  <c r="DJ45" i="32"/>
  <c r="GF45" i="32" s="1"/>
  <c r="DJ46" i="32"/>
  <c r="GF46" i="32" s="1"/>
  <c r="DJ47" i="32"/>
  <c r="GF47" i="32" s="1"/>
  <c r="DJ48" i="32"/>
  <c r="GF48" i="32" s="1"/>
  <c r="DJ49" i="32"/>
  <c r="DJ50" i="32"/>
  <c r="GF50" i="32" s="1"/>
  <c r="CS41" i="32"/>
  <c r="CS42" i="32"/>
  <c r="CS43" i="32"/>
  <c r="CS44" i="32"/>
  <c r="CS45" i="32"/>
  <c r="CS46" i="32"/>
  <c r="CS47" i="32"/>
  <c r="CS48" i="32"/>
  <c r="CS49" i="32"/>
  <c r="CS50" i="32"/>
  <c r="CQ41" i="32"/>
  <c r="CQ42" i="32"/>
  <c r="CQ43" i="32"/>
  <c r="CQ44" i="32"/>
  <c r="CQ45" i="32"/>
  <c r="CQ46" i="32"/>
  <c r="CQ47" i="32"/>
  <c r="CQ48" i="32"/>
  <c r="CQ49" i="32"/>
  <c r="CQ50" i="32"/>
  <c r="CD3" i="32"/>
  <c r="CD4" i="32"/>
  <c r="CD5" i="32"/>
  <c r="CD6" i="32"/>
  <c r="CD7" i="32"/>
  <c r="CD8" i="32"/>
  <c r="CD9" i="32"/>
  <c r="CD10" i="32"/>
  <c r="CD11" i="32"/>
  <c r="CD12" i="32"/>
  <c r="CD20" i="32"/>
  <c r="CD22" i="32"/>
  <c r="CD24" i="32"/>
  <c r="CD25" i="32"/>
  <c r="CD26" i="32"/>
  <c r="CD41" i="32"/>
  <c r="CD42" i="32"/>
  <c r="CD43" i="32"/>
  <c r="CD44" i="32"/>
  <c r="CD45" i="32"/>
  <c r="CD46" i="32"/>
  <c r="CD47" i="32"/>
  <c r="CD48" i="32"/>
  <c r="CD49" i="32"/>
  <c r="CD50" i="32"/>
  <c r="CD51" i="32"/>
  <c r="CD52" i="32"/>
  <c r="CD53" i="32"/>
  <c r="CD54" i="32"/>
  <c r="CD55" i="32"/>
  <c r="CD56" i="32"/>
  <c r="CD57" i="32"/>
  <c r="CD58" i="32"/>
  <c r="CD59" i="32"/>
  <c r="CD60" i="32"/>
  <c r="CC3" i="32"/>
  <c r="CC4" i="32"/>
  <c r="CC5" i="32"/>
  <c r="CC6" i="32"/>
  <c r="CC7" i="32"/>
  <c r="CC8" i="32"/>
  <c r="CC9" i="32"/>
  <c r="CC10" i="32"/>
  <c r="CC11" i="32"/>
  <c r="CC12" i="32"/>
  <c r="CC20" i="32"/>
  <c r="CC22" i="32"/>
  <c r="CC24" i="32"/>
  <c r="CC25" i="32"/>
  <c r="CC26" i="32"/>
  <c r="CC41" i="32"/>
  <c r="CC42" i="32"/>
  <c r="CC43" i="32"/>
  <c r="CC44" i="32"/>
  <c r="CC45" i="32"/>
  <c r="CC46" i="32"/>
  <c r="CC47" i="32"/>
  <c r="CC48" i="32"/>
  <c r="CC49" i="32"/>
  <c r="CC50" i="32"/>
  <c r="CC51" i="32"/>
  <c r="CC52" i="32"/>
  <c r="CC53" i="32"/>
  <c r="CC54" i="32"/>
  <c r="CC55" i="32"/>
  <c r="CC56" i="32"/>
  <c r="CC57" i="32"/>
  <c r="CC58" i="32"/>
  <c r="CC59" i="32"/>
  <c r="CC60" i="32"/>
  <c r="Z4" i="32"/>
  <c r="Z5" i="32"/>
  <c r="Z6" i="32"/>
  <c r="Z7" i="32"/>
  <c r="Z8" i="32"/>
  <c r="Z9" i="32"/>
  <c r="Z10" i="32"/>
  <c r="Z11" i="32"/>
  <c r="Z12" i="32"/>
  <c r="Z20" i="32"/>
  <c r="Z22" i="32"/>
  <c r="Z24" i="32"/>
  <c r="Z25" i="32"/>
  <c r="Z26" i="32"/>
  <c r="Z41" i="32"/>
  <c r="Z42" i="32"/>
  <c r="Z43" i="32"/>
  <c r="Z44" i="32"/>
  <c r="Z45" i="32"/>
  <c r="Z46" i="32"/>
  <c r="Z47" i="32"/>
  <c r="Z48" i="32"/>
  <c r="Z50" i="32"/>
  <c r="Z51" i="32"/>
  <c r="Z52" i="32"/>
  <c r="Z53" i="32"/>
  <c r="Z54" i="32"/>
  <c r="Z55" i="32"/>
  <c r="Z56" i="32"/>
  <c r="Z57" i="32"/>
  <c r="Z58" i="32"/>
  <c r="Z59" i="32"/>
  <c r="Z60" i="32"/>
  <c r="Z3" i="32"/>
  <c r="Y41" i="32"/>
  <c r="Y42" i="32"/>
  <c r="Y43" i="32"/>
  <c r="AD86" i="25" s="1"/>
  <c r="Y44" i="32"/>
  <c r="Y45" i="32"/>
  <c r="Y46" i="32"/>
  <c r="Y47" i="32"/>
  <c r="Y48" i="32"/>
  <c r="Y49" i="32"/>
  <c r="Y50" i="32"/>
  <c r="X4" i="32"/>
  <c r="X5" i="32"/>
  <c r="X6" i="32"/>
  <c r="X7" i="32"/>
  <c r="X8" i="32"/>
  <c r="X9" i="32"/>
  <c r="X10" i="32"/>
  <c r="X11" i="32"/>
  <c r="X12" i="32"/>
  <c r="X20" i="32"/>
  <c r="X22" i="32"/>
  <c r="X24" i="32"/>
  <c r="X25" i="32"/>
  <c r="X26" i="32"/>
  <c r="X41" i="32"/>
  <c r="X42" i="32"/>
  <c r="X43" i="32"/>
  <c r="X44" i="32"/>
  <c r="X45" i="32"/>
  <c r="X46" i="32"/>
  <c r="X47" i="32"/>
  <c r="X48" i="32"/>
  <c r="X49" i="32"/>
  <c r="X50" i="32"/>
  <c r="X51" i="32"/>
  <c r="X52" i="32"/>
  <c r="X53" i="32"/>
  <c r="X54" i="32"/>
  <c r="X55" i="32"/>
  <c r="X56" i="32"/>
  <c r="X57" i="32"/>
  <c r="X58" i="32"/>
  <c r="X59" i="32"/>
  <c r="X60" i="32"/>
  <c r="X3" i="32"/>
  <c r="R4" i="32"/>
  <c r="R5" i="32"/>
  <c r="R6" i="32"/>
  <c r="R7" i="32"/>
  <c r="R8" i="32"/>
  <c r="R9" i="32"/>
  <c r="R10" i="32"/>
  <c r="R11" i="32"/>
  <c r="R12" i="32"/>
  <c r="R20" i="32"/>
  <c r="R22" i="32"/>
  <c r="R24" i="32"/>
  <c r="R25" i="32"/>
  <c r="R26" i="32"/>
  <c r="R51" i="32"/>
  <c r="R52" i="32"/>
  <c r="R53" i="32"/>
  <c r="R54" i="32"/>
  <c r="R55" i="32"/>
  <c r="R56" i="32"/>
  <c r="R57" i="32"/>
  <c r="R58" i="32"/>
  <c r="R59" i="32"/>
  <c r="R60" i="32"/>
  <c r="R3" i="32"/>
  <c r="P4" i="32"/>
  <c r="P5" i="32"/>
  <c r="P6" i="32"/>
  <c r="P7" i="32"/>
  <c r="P8" i="32"/>
  <c r="P9" i="32"/>
  <c r="P10" i="32"/>
  <c r="P11" i="32"/>
  <c r="P12" i="32"/>
  <c r="P20" i="32"/>
  <c r="P22" i="32"/>
  <c r="P24" i="32"/>
  <c r="P25" i="32"/>
  <c r="P26" i="32"/>
  <c r="P51" i="32"/>
  <c r="P52" i="32"/>
  <c r="P53" i="32"/>
  <c r="P54" i="32"/>
  <c r="P55" i="32"/>
  <c r="P56" i="32"/>
  <c r="P57" i="32"/>
  <c r="P58" i="32"/>
  <c r="P59" i="32"/>
  <c r="P60" i="32"/>
  <c r="P3" i="32"/>
  <c r="M4" i="32"/>
  <c r="FD4" i="32" s="1"/>
  <c r="M5" i="32"/>
  <c r="FD5" i="32" s="1"/>
  <c r="M6" i="32"/>
  <c r="FD6" i="32" s="1"/>
  <c r="M7" i="32"/>
  <c r="FD7" i="32" s="1"/>
  <c r="M8" i="32"/>
  <c r="FD8" i="32" s="1"/>
  <c r="M9" i="32"/>
  <c r="FD9" i="32" s="1"/>
  <c r="M10" i="32"/>
  <c r="FD10" i="32" s="1"/>
  <c r="M11" i="32"/>
  <c r="FD11" i="32" s="1"/>
  <c r="M12" i="32"/>
  <c r="FD12" i="32" s="1"/>
  <c r="M20" i="32"/>
  <c r="FD20" i="32" s="1"/>
  <c r="M22" i="32"/>
  <c r="FD22" i="32" s="1"/>
  <c r="M24" i="32"/>
  <c r="M25" i="32"/>
  <c r="FD25" i="32" s="1"/>
  <c r="M26" i="32"/>
  <c r="FD26" i="32" s="1"/>
  <c r="M51" i="32"/>
  <c r="FD51" i="32" s="1"/>
  <c r="M52" i="32"/>
  <c r="FD52" i="32" s="1"/>
  <c r="M53" i="32"/>
  <c r="FD53" i="32" s="1"/>
  <c r="M54" i="32"/>
  <c r="FD54" i="32" s="1"/>
  <c r="M55" i="32"/>
  <c r="FD55" i="32" s="1"/>
  <c r="M56" i="32"/>
  <c r="FD56" i="32" s="1"/>
  <c r="M57" i="32"/>
  <c r="FD57" i="32" s="1"/>
  <c r="M58" i="32"/>
  <c r="FD58" i="32" s="1"/>
  <c r="M59" i="32"/>
  <c r="FD59" i="32" s="1"/>
  <c r="M60" i="32"/>
  <c r="FD60" i="32" s="1"/>
  <c r="M3" i="32"/>
  <c r="FD3" i="32" s="1"/>
  <c r="L4" i="32"/>
  <c r="CS4" i="32" s="1"/>
  <c r="L5" i="32"/>
  <c r="Y5" i="32" s="1"/>
  <c r="L6" i="32"/>
  <c r="Y6" i="32" s="1"/>
  <c r="L7" i="32"/>
  <c r="DJ7" i="32" s="1"/>
  <c r="GF7" i="32" s="1"/>
  <c r="L8" i="32"/>
  <c r="DJ8" i="32" s="1"/>
  <c r="GF8" i="32" s="1"/>
  <c r="L9" i="32"/>
  <c r="DJ9" i="32" s="1"/>
  <c r="GF9" i="32" s="1"/>
  <c r="L10" i="32"/>
  <c r="DJ10" i="32" s="1"/>
  <c r="GF10" i="32" s="1"/>
  <c r="L11" i="32"/>
  <c r="DJ11" i="32" s="1"/>
  <c r="GF11" i="32" s="1"/>
  <c r="L12" i="32"/>
  <c r="CQ12" i="32" s="1"/>
  <c r="L20" i="32"/>
  <c r="CQ20" i="32" s="1"/>
  <c r="L22" i="32"/>
  <c r="CS22" i="32" s="1"/>
  <c r="L24" i="32"/>
  <c r="L25" i="32"/>
  <c r="CS25" i="32" s="1"/>
  <c r="L26" i="32"/>
  <c r="Y26" i="32" s="1"/>
  <c r="L51" i="32"/>
  <c r="CS51" i="32" s="1"/>
  <c r="L52" i="32"/>
  <c r="Y52" i="32" s="1"/>
  <c r="L53" i="32"/>
  <c r="Y53" i="32" s="1"/>
  <c r="L54" i="32"/>
  <c r="DJ54" i="32" s="1"/>
  <c r="GF54" i="32" s="1"/>
  <c r="L55" i="32"/>
  <c r="DJ55" i="32" s="1"/>
  <c r="GF55" i="32" s="1"/>
  <c r="L56" i="32"/>
  <c r="DJ56" i="32" s="1"/>
  <c r="GF56" i="32" s="1"/>
  <c r="L57" i="32"/>
  <c r="DJ57" i="32" s="1"/>
  <c r="GF57" i="32" s="1"/>
  <c r="L58" i="32"/>
  <c r="DJ58" i="32" s="1"/>
  <c r="GF58" i="32" s="1"/>
  <c r="L59" i="32"/>
  <c r="CQ59" i="32" s="1"/>
  <c r="CQ60" i="32"/>
  <c r="L3" i="32"/>
  <c r="CS3" i="32" s="1"/>
  <c r="CS24" i="32" l="1"/>
  <c r="G85" i="25"/>
  <c r="FD24" i="32"/>
  <c r="I85" i="25"/>
  <c r="GF49" i="32"/>
  <c r="EO17" i="32"/>
  <c r="EQ17" i="32" s="1"/>
  <c r="ES17" i="32" s="1"/>
  <c r="CI17" i="32"/>
  <c r="CP17" i="32" s="1"/>
  <c r="CJ19" i="32"/>
  <c r="CL19" i="32" s="1"/>
  <c r="DH19" i="32" s="1"/>
  <c r="EN19" i="32"/>
  <c r="EP19" i="32" s="1"/>
  <c r="ER19" i="32" s="1"/>
  <c r="CP19" i="32"/>
  <c r="EO19" i="32"/>
  <c r="EQ19" i="32" s="1"/>
  <c r="ES19" i="32" s="1"/>
  <c r="CP15" i="32"/>
  <c r="EO15" i="32"/>
  <c r="EQ15" i="32" s="1"/>
  <c r="ES15" i="32" s="1"/>
  <c r="CJ13" i="32"/>
  <c r="CL13" i="32" s="1"/>
  <c r="DH13" i="32" s="1"/>
  <c r="EN13" i="32"/>
  <c r="EP13" i="32" s="1"/>
  <c r="ER13" i="32" s="1"/>
  <c r="CK13" i="32"/>
  <c r="CM13" i="32" s="1"/>
  <c r="DI13" i="32" s="1"/>
  <c r="EO13" i="32"/>
  <c r="EQ13" i="32" s="1"/>
  <c r="ES13" i="32" s="1"/>
  <c r="CJ15" i="32"/>
  <c r="CL15" i="32" s="1"/>
  <c r="DH15" i="32" s="1"/>
  <c r="EN15" i="32"/>
  <c r="EP15" i="32" s="1"/>
  <c r="ER15" i="32" s="1"/>
  <c r="S18" i="32"/>
  <c r="CI18" i="32" s="1"/>
  <c r="S57" i="32"/>
  <c r="S25" i="32"/>
  <c r="S8" i="32"/>
  <c r="Q56" i="32"/>
  <c r="EN56" i="32" s="1"/>
  <c r="EP56" i="32" s="1"/>
  <c r="ER56" i="32" s="1"/>
  <c r="Q7" i="32"/>
  <c r="EN7" i="32" s="1"/>
  <c r="EP7" i="32" s="1"/>
  <c r="ER7" i="32" s="1"/>
  <c r="Q24" i="32"/>
  <c r="EN24" i="32" s="1"/>
  <c r="EP24" i="32" s="1"/>
  <c r="ER24" i="32" s="1"/>
  <c r="Q18" i="32"/>
  <c r="EN18" i="32" s="1"/>
  <c r="EP18" i="32" s="1"/>
  <c r="ER18" i="32" s="1"/>
  <c r="Q57" i="32"/>
  <c r="EN57" i="32" s="1"/>
  <c r="EP57" i="32" s="1"/>
  <c r="ER57" i="32" s="1"/>
  <c r="Q25" i="32"/>
  <c r="EN25" i="32" s="1"/>
  <c r="EP25" i="32" s="1"/>
  <c r="ER25" i="32" s="1"/>
  <c r="Q8" i="32"/>
  <c r="EN8" i="32" s="1"/>
  <c r="EP8" i="32" s="1"/>
  <c r="ER8" i="32" s="1"/>
  <c r="S56" i="32"/>
  <c r="S24" i="32"/>
  <c r="S7" i="32"/>
  <c r="S58" i="32"/>
  <c r="S26" i="32"/>
  <c r="S9" i="32"/>
  <c r="Q55" i="32"/>
  <c r="EN55" i="32" s="1"/>
  <c r="EP55" i="32" s="1"/>
  <c r="ER55" i="32" s="1"/>
  <c r="Q22" i="32"/>
  <c r="EN22" i="32" s="1"/>
  <c r="EP22" i="32" s="1"/>
  <c r="ER22" i="32" s="1"/>
  <c r="Q6" i="32"/>
  <c r="EN6" i="32" s="1"/>
  <c r="EP6" i="32" s="1"/>
  <c r="ER6" i="32" s="1"/>
  <c r="Q54" i="32"/>
  <c r="EN54" i="32" s="1"/>
  <c r="EP54" i="32" s="1"/>
  <c r="S54" i="32"/>
  <c r="EO54" i="32" s="1"/>
  <c r="EQ54" i="32" s="1"/>
  <c r="ES54" i="32" s="1"/>
  <c r="EV54" i="32" s="1"/>
  <c r="EX54" i="32" s="1"/>
  <c r="Q20" i="32"/>
  <c r="EN20" i="32" s="1"/>
  <c r="EP20" i="32" s="1"/>
  <c r="ER20" i="32" s="1"/>
  <c r="S20" i="32"/>
  <c r="Q5" i="32"/>
  <c r="EN5" i="32" s="1"/>
  <c r="EP5" i="32" s="1"/>
  <c r="ER5" i="32" s="1"/>
  <c r="Q3" i="32"/>
  <c r="EN3" i="32" s="1"/>
  <c r="EP3" i="32" s="1"/>
  <c r="ER3" i="32" s="1"/>
  <c r="S5" i="32"/>
  <c r="S6" i="32"/>
  <c r="Q12" i="32"/>
  <c r="EN12" i="32" s="1"/>
  <c r="EP12" i="32" s="1"/>
  <c r="ER12" i="32" s="1"/>
  <c r="Q60" i="32"/>
  <c r="EN60" i="32" s="1"/>
  <c r="EP60" i="32" s="1"/>
  <c r="ER60" i="32" s="1"/>
  <c r="Q52" i="32"/>
  <c r="EN52" i="32" s="1"/>
  <c r="EP52" i="32" s="1"/>
  <c r="Q11" i="32"/>
  <c r="EN11" i="32" s="1"/>
  <c r="EP11" i="32" s="1"/>
  <c r="ER11" i="32" s="1"/>
  <c r="S3" i="32"/>
  <c r="S53" i="32"/>
  <c r="EO53" i="32" s="1"/>
  <c r="EQ53" i="32" s="1"/>
  <c r="S12" i="32"/>
  <c r="S4" i="32"/>
  <c r="S55" i="32"/>
  <c r="Q4" i="32"/>
  <c r="EN4" i="32" s="1"/>
  <c r="EP4" i="32" s="1"/>
  <c r="ER4" i="32" s="1"/>
  <c r="Q59" i="32"/>
  <c r="EN59" i="32" s="1"/>
  <c r="EP59" i="32" s="1"/>
  <c r="ER59" i="32" s="1"/>
  <c r="Q51" i="32"/>
  <c r="EN51" i="32" s="1"/>
  <c r="EP51" i="32" s="1"/>
  <c r="Q10" i="32"/>
  <c r="EN10" i="32" s="1"/>
  <c r="EP10" i="32" s="1"/>
  <c r="ER10" i="32" s="1"/>
  <c r="S60" i="32"/>
  <c r="S52" i="32"/>
  <c r="EO52" i="32" s="1"/>
  <c r="EQ52" i="32" s="1"/>
  <c r="S11" i="32"/>
  <c r="S22" i="32"/>
  <c r="Q53" i="32"/>
  <c r="EN53" i="32" s="1"/>
  <c r="EP53" i="32" s="1"/>
  <c r="Q58" i="32"/>
  <c r="EN58" i="32" s="1"/>
  <c r="EP58" i="32" s="1"/>
  <c r="ER58" i="32" s="1"/>
  <c r="Q26" i="32"/>
  <c r="EN26" i="32" s="1"/>
  <c r="EP26" i="32" s="1"/>
  <c r="ER26" i="32" s="1"/>
  <c r="Q9" i="32"/>
  <c r="EN9" i="32" s="1"/>
  <c r="EP9" i="32" s="1"/>
  <c r="ER9" i="32" s="1"/>
  <c r="S59" i="32"/>
  <c r="S51" i="32"/>
  <c r="EO51" i="32" s="1"/>
  <c r="EQ51" i="32" s="1"/>
  <c r="S10" i="32"/>
  <c r="Q17" i="32"/>
  <c r="CK15" i="32"/>
  <c r="CM15" i="32" s="1"/>
  <c r="DI15" i="32" s="1"/>
  <c r="DK53" i="32"/>
  <c r="GG53" i="32" s="1"/>
  <c r="CH15" i="32"/>
  <c r="CO15" i="32" s="1"/>
  <c r="CS11" i="32"/>
  <c r="CR19" i="32"/>
  <c r="CH19" i="32"/>
  <c r="CO19" i="32" s="1"/>
  <c r="CK19" i="32"/>
  <c r="CM19" i="32" s="1"/>
  <c r="DI19" i="32" s="1"/>
  <c r="CQ56" i="32"/>
  <c r="CR17" i="32"/>
  <c r="CH13" i="32"/>
  <c r="CO13" i="32" s="1"/>
  <c r="DJ18" i="32"/>
  <c r="GF18" i="32" s="1"/>
  <c r="DL18" i="32"/>
  <c r="GH18" i="32" s="1"/>
  <c r="CQ18" i="32"/>
  <c r="CS18" i="32"/>
  <c r="Y18" i="32"/>
  <c r="CK17" i="32"/>
  <c r="CM17" i="32" s="1"/>
  <c r="DI17" i="32" s="1"/>
  <c r="CE17" i="32"/>
  <c r="CF17" i="32"/>
  <c r="CP13" i="32"/>
  <c r="CR13" i="32"/>
  <c r="DK13" i="32"/>
  <c r="GG13" i="32" s="1"/>
  <c r="Y11" i="32"/>
  <c r="CR11" i="32" s="1"/>
  <c r="DJ4" i="32"/>
  <c r="GF4" i="32" s="1"/>
  <c r="DK49" i="32"/>
  <c r="CQ54" i="32"/>
  <c r="CQ9" i="32"/>
  <c r="CS54" i="32"/>
  <c r="CS10" i="32"/>
  <c r="CQ55" i="32"/>
  <c r="CS9" i="32"/>
  <c r="Y10" i="32"/>
  <c r="DK10" i="32" s="1"/>
  <c r="GG10" i="32" s="1"/>
  <c r="CQ10" i="32"/>
  <c r="Y20" i="32"/>
  <c r="CR20" i="32" s="1"/>
  <c r="DJ25" i="32"/>
  <c r="GF25" i="32" s="1"/>
  <c r="Y12" i="32"/>
  <c r="DK12" i="32" s="1"/>
  <c r="GG12" i="32" s="1"/>
  <c r="CQ57" i="32"/>
  <c r="DJ51" i="32"/>
  <c r="GF51" i="32" s="1"/>
  <c r="DJ24" i="32"/>
  <c r="GF24" i="32" s="1"/>
  <c r="DJ20" i="32"/>
  <c r="GF20" i="32" s="1"/>
  <c r="DJ12" i="32"/>
  <c r="GF12" i="32" s="1"/>
  <c r="DJ5" i="32"/>
  <c r="GF5" i="32" s="1"/>
  <c r="CS59" i="32"/>
  <c r="DJ3" i="32"/>
  <c r="GF3" i="32" s="1"/>
  <c r="Y60" i="32"/>
  <c r="DK60" i="32" s="1"/>
  <c r="GG60" i="32" s="1"/>
  <c r="CS58" i="32"/>
  <c r="Y59" i="32"/>
  <c r="CS57" i="32"/>
  <c r="DJ60" i="32"/>
  <c r="GF60" i="32" s="1"/>
  <c r="DJ22" i="32"/>
  <c r="GF22" i="32" s="1"/>
  <c r="Y58" i="32"/>
  <c r="Y24" i="32"/>
  <c r="AD85" i="25" s="1"/>
  <c r="CS56" i="32"/>
  <c r="DJ59" i="32"/>
  <c r="GF59" i="32" s="1"/>
  <c r="Y57" i="32"/>
  <c r="DK57" i="32" s="1"/>
  <c r="GG57" i="32" s="1"/>
  <c r="Y22" i="32"/>
  <c r="CR22" i="32" s="1"/>
  <c r="CS55" i="32"/>
  <c r="CS12" i="32"/>
  <c r="DJ52" i="32"/>
  <c r="GF52" i="32" s="1"/>
  <c r="DJ26" i="32"/>
  <c r="GF26" i="32" s="1"/>
  <c r="CR52" i="32"/>
  <c r="DK52" i="32"/>
  <c r="GG52" i="32" s="1"/>
  <c r="CQ8" i="32"/>
  <c r="CQ26" i="32"/>
  <c r="Y51" i="32"/>
  <c r="Y25" i="32"/>
  <c r="DK25" i="32" s="1"/>
  <c r="GG25" i="32" s="1"/>
  <c r="Y4" i="32"/>
  <c r="CR4" i="32" s="1"/>
  <c r="CQ58" i="32"/>
  <c r="CQ11" i="32"/>
  <c r="CS60" i="32"/>
  <c r="CS20" i="32"/>
  <c r="DJ53" i="32"/>
  <c r="GF53" i="32" s="1"/>
  <c r="DJ6" i="32"/>
  <c r="GF6" i="32" s="1"/>
  <c r="CR53" i="32"/>
  <c r="CQ7" i="32"/>
  <c r="CS8" i="32"/>
  <c r="CS7" i="32"/>
  <c r="Y56" i="32"/>
  <c r="Y9" i="32"/>
  <c r="DK9" i="32" s="1"/>
  <c r="GG9" i="32" s="1"/>
  <c r="CQ51" i="32"/>
  <c r="CQ25" i="32"/>
  <c r="CQ4" i="32"/>
  <c r="CS53" i="32"/>
  <c r="CS6" i="32"/>
  <c r="Y3" i="32"/>
  <c r="CR3" i="32" s="1"/>
  <c r="Y55" i="32"/>
  <c r="Y8" i="32"/>
  <c r="CQ24" i="32"/>
  <c r="CQ3" i="32"/>
  <c r="CS52" i="32"/>
  <c r="CS26" i="32"/>
  <c r="CS5" i="32"/>
  <c r="CQ53" i="32"/>
  <c r="Y54" i="32"/>
  <c r="CR54" i="32" s="1"/>
  <c r="CR42" i="32"/>
  <c r="Y7" i="32"/>
  <c r="DK7" i="32" s="1"/>
  <c r="GG7" i="32" s="1"/>
  <c r="CQ22" i="32"/>
  <c r="DK5" i="32"/>
  <c r="GG5" i="32" s="1"/>
  <c r="CQ6" i="32"/>
  <c r="CQ5" i="32"/>
  <c r="CQ52" i="32"/>
  <c r="DK6" i="32"/>
  <c r="GG6" i="32" s="1"/>
  <c r="CR5" i="32"/>
  <c r="CR6" i="32"/>
  <c r="DK26" i="32"/>
  <c r="GG26" i="32" s="1"/>
  <c r="CR26" i="32"/>
  <c r="DK50" i="32"/>
  <c r="GG50" i="32" s="1"/>
  <c r="DK45" i="32"/>
  <c r="GG45" i="32" s="1"/>
  <c r="DK41" i="32"/>
  <c r="GG41" i="32" s="1"/>
  <c r="DK48" i="32"/>
  <c r="GG48" i="32" s="1"/>
  <c r="DK47" i="32"/>
  <c r="GG47" i="32" s="1"/>
  <c r="DK46" i="32"/>
  <c r="GG46" i="32" s="1"/>
  <c r="CR44" i="32"/>
  <c r="CR43" i="32"/>
  <c r="CR47" i="32"/>
  <c r="CR50" i="32"/>
  <c r="CR46" i="32"/>
  <c r="DK44" i="32"/>
  <c r="GG44" i="32" s="1"/>
  <c r="DK43" i="32"/>
  <c r="GG43" i="32" s="1"/>
  <c r="CR41" i="32"/>
  <c r="CR49" i="32"/>
  <c r="DK42" i="32"/>
  <c r="GG42" i="32" s="1"/>
  <c r="CR48" i="32"/>
  <c r="CR45" i="32"/>
  <c r="G5" i="32"/>
  <c r="G6" i="32"/>
  <c r="G7" i="32"/>
  <c r="G8" i="32"/>
  <c r="G9" i="32"/>
  <c r="G10" i="32"/>
  <c r="G11" i="32"/>
  <c r="G12" i="32"/>
  <c r="G20" i="32"/>
  <c r="G22" i="32"/>
  <c r="G24" i="32"/>
  <c r="G25" i="32"/>
  <c r="G26" i="32"/>
  <c r="G51" i="32"/>
  <c r="G52" i="32"/>
  <c r="G53" i="32"/>
  <c r="G54" i="32"/>
  <c r="G55" i="32"/>
  <c r="G56" i="32"/>
  <c r="G57" i="32"/>
  <c r="G58" i="32"/>
  <c r="G59" i="32"/>
  <c r="G60" i="32"/>
  <c r="G4" i="32"/>
  <c r="G3" i="32"/>
  <c r="F3" i="32"/>
  <c r="F4" i="32"/>
  <c r="F5" i="32"/>
  <c r="F6" i="32"/>
  <c r="F7" i="32"/>
  <c r="F8" i="32"/>
  <c r="F9" i="32"/>
  <c r="F10" i="32"/>
  <c r="F11" i="32"/>
  <c r="F12" i="32"/>
  <c r="F20" i="32"/>
  <c r="F22" i="32"/>
  <c r="F24" i="32"/>
  <c r="F25" i="32"/>
  <c r="F26" i="32"/>
  <c r="F41" i="32"/>
  <c r="F42" i="32"/>
  <c r="F43" i="32"/>
  <c r="F44" i="32"/>
  <c r="F45" i="32"/>
  <c r="F46" i="32"/>
  <c r="F47" i="32"/>
  <c r="F48" i="32"/>
  <c r="F49" i="32"/>
  <c r="F50" i="32"/>
  <c r="F51" i="32"/>
  <c r="F52" i="32"/>
  <c r="F53" i="32"/>
  <c r="F54" i="32"/>
  <c r="F55" i="32"/>
  <c r="F56" i="32"/>
  <c r="F57" i="32"/>
  <c r="F58" i="32"/>
  <c r="F59" i="32"/>
  <c r="F60" i="32"/>
  <c r="I5" i="26"/>
  <c r="GG49" i="32" l="1"/>
  <c r="ES53" i="32"/>
  <c r="EV53" i="32" s="1"/>
  <c r="EX53" i="32" s="1"/>
  <c r="GE53" i="32" s="1"/>
  <c r="ER51" i="32"/>
  <c r="EU51" i="32" s="1"/>
  <c r="EW51" i="32" s="1"/>
  <c r="GD51" i="32" s="1"/>
  <c r="ER52" i="32"/>
  <c r="EU52" i="32" s="1"/>
  <c r="EW52" i="32" s="1"/>
  <c r="GD52" i="32" s="1"/>
  <c r="ER53" i="32"/>
  <c r="EU53" i="32" s="1"/>
  <c r="EW53" i="32" s="1"/>
  <c r="GD53" i="32" s="1"/>
  <c r="ER54" i="32"/>
  <c r="EU54" i="32" s="1"/>
  <c r="EW54" i="32" s="1"/>
  <c r="GD54" i="32" s="1"/>
  <c r="ES51" i="32"/>
  <c r="EV51" i="32" s="1"/>
  <c r="EX51" i="32" s="1"/>
  <c r="ES52" i="32"/>
  <c r="EV52" i="32" s="1"/>
  <c r="EX52" i="32" s="1"/>
  <c r="EO3" i="32"/>
  <c r="EQ3" i="32" s="1"/>
  <c r="ES3" i="32" s="1"/>
  <c r="EO9" i="32"/>
  <c r="EQ9" i="32" s="1"/>
  <c r="ES9" i="32" s="1"/>
  <c r="EO20" i="32"/>
  <c r="EQ20" i="32" s="1"/>
  <c r="ES20" i="32" s="1"/>
  <c r="EO26" i="32"/>
  <c r="EQ26" i="32" s="1"/>
  <c r="ES26" i="32" s="1"/>
  <c r="EO7" i="32"/>
  <c r="EQ7" i="32" s="1"/>
  <c r="ES7" i="32" s="1"/>
  <c r="EO22" i="32"/>
  <c r="EQ22" i="32" s="1"/>
  <c r="ES22" i="32" s="1"/>
  <c r="EO24" i="32"/>
  <c r="EQ24" i="32" s="1"/>
  <c r="ES24" i="32" s="1"/>
  <c r="EO10" i="32"/>
  <c r="EQ10" i="32" s="1"/>
  <c r="ES10" i="32" s="1"/>
  <c r="EO11" i="32"/>
  <c r="EQ11" i="32" s="1"/>
  <c r="ES11" i="32" s="1"/>
  <c r="EO4" i="32"/>
  <c r="EQ4" i="32" s="1"/>
  <c r="ES4" i="32" s="1"/>
  <c r="EO6" i="32"/>
  <c r="EQ6" i="32" s="1"/>
  <c r="ES6" i="32" s="1"/>
  <c r="EO8" i="32"/>
  <c r="EQ8" i="32" s="1"/>
  <c r="ES8" i="32" s="1"/>
  <c r="EV17" i="32"/>
  <c r="EX17" i="32" s="1"/>
  <c r="GE17" i="32" s="1"/>
  <c r="EO12" i="32"/>
  <c r="EQ12" i="32" s="1"/>
  <c r="ES12" i="32" s="1"/>
  <c r="EO5" i="32"/>
  <c r="EQ5" i="32" s="1"/>
  <c r="ES5" i="32" s="1"/>
  <c r="EO25" i="32"/>
  <c r="EQ25" i="32" s="1"/>
  <c r="ES25" i="32" s="1"/>
  <c r="EO59" i="32"/>
  <c r="EQ59" i="32" s="1"/>
  <c r="ES59" i="32" s="1"/>
  <c r="EO60" i="32"/>
  <c r="EQ60" i="32" s="1"/>
  <c r="ES60" i="32" s="1"/>
  <c r="EO57" i="32"/>
  <c r="EQ57" i="32" s="1"/>
  <c r="ES57" i="32" s="1"/>
  <c r="EO58" i="32"/>
  <c r="EQ58" i="32" s="1"/>
  <c r="ES58" i="32" s="1"/>
  <c r="EO55" i="32"/>
  <c r="EQ55" i="32" s="1"/>
  <c r="ES55" i="32" s="1"/>
  <c r="EO56" i="32"/>
  <c r="EQ56" i="32" s="1"/>
  <c r="ES56" i="32" s="1"/>
  <c r="EU3" i="32"/>
  <c r="EW3" i="32" s="1"/>
  <c r="GD3" i="32" s="1"/>
  <c r="EU55" i="32"/>
  <c r="EW55" i="32" s="1"/>
  <c r="GD55" i="32" s="1"/>
  <c r="EU25" i="32"/>
  <c r="EW25" i="32" s="1"/>
  <c r="GD25" i="32" s="1"/>
  <c r="EV15" i="32"/>
  <c r="EX15" i="32" s="1"/>
  <c r="GE15" i="32" s="1"/>
  <c r="EU9" i="32"/>
  <c r="EW9" i="32" s="1"/>
  <c r="GD9" i="32" s="1"/>
  <c r="EU10" i="32"/>
  <c r="EW10" i="32" s="1"/>
  <c r="GD10" i="32" s="1"/>
  <c r="EU5" i="32"/>
  <c r="EW5" i="32" s="1"/>
  <c r="GD5" i="32" s="1"/>
  <c r="EU57" i="32"/>
  <c r="EW57" i="32" s="1"/>
  <c r="GD57" i="32" s="1"/>
  <c r="EU26" i="32"/>
  <c r="EW26" i="32" s="1"/>
  <c r="GD26" i="32" s="1"/>
  <c r="EU11" i="32"/>
  <c r="EW11" i="32" s="1"/>
  <c r="GD11" i="32" s="1"/>
  <c r="EU18" i="32"/>
  <c r="EW18" i="32" s="1"/>
  <c r="GD18" i="32" s="1"/>
  <c r="EU15" i="32"/>
  <c r="EW15" i="32" s="1"/>
  <c r="GD15" i="32" s="1"/>
  <c r="EV19" i="32"/>
  <c r="EX19" i="32" s="1"/>
  <c r="GE19" i="32" s="1"/>
  <c r="EU58" i="32"/>
  <c r="EW58" i="32" s="1"/>
  <c r="GD58" i="32" s="1"/>
  <c r="EU59" i="32"/>
  <c r="EW59" i="32" s="1"/>
  <c r="GD59" i="32" s="1"/>
  <c r="EU20" i="32"/>
  <c r="EW20" i="32" s="1"/>
  <c r="GD20" i="32" s="1"/>
  <c r="EU24" i="32"/>
  <c r="EW24" i="32" s="1"/>
  <c r="GD24" i="32" s="1"/>
  <c r="EU4" i="32"/>
  <c r="EW4" i="32" s="1"/>
  <c r="GD4" i="32" s="1"/>
  <c r="EU60" i="32"/>
  <c r="EW60" i="32" s="1"/>
  <c r="GD60" i="32" s="1"/>
  <c r="EU7" i="32"/>
  <c r="EW7" i="32" s="1"/>
  <c r="GD7" i="32" s="1"/>
  <c r="EV13" i="32"/>
  <c r="EX13" i="32" s="1"/>
  <c r="GE13" i="32" s="1"/>
  <c r="EU19" i="32"/>
  <c r="EW19" i="32" s="1"/>
  <c r="GD19" i="32" s="1"/>
  <c r="EU12" i="32"/>
  <c r="EW12" i="32" s="1"/>
  <c r="GD12" i="32" s="1"/>
  <c r="EU56" i="32"/>
  <c r="EW56" i="32" s="1"/>
  <c r="GD56" i="32" s="1"/>
  <c r="EU6" i="32"/>
  <c r="EW6" i="32" s="1"/>
  <c r="GD6" i="32" s="1"/>
  <c r="EU13" i="32"/>
  <c r="EW13" i="32" s="1"/>
  <c r="GD13" i="32" s="1"/>
  <c r="EU22" i="32"/>
  <c r="EW22" i="32" s="1"/>
  <c r="GD22" i="32" s="1"/>
  <c r="EU8" i="32"/>
  <c r="EW8" i="32" s="1"/>
  <c r="GD8" i="32" s="1"/>
  <c r="CP18" i="32"/>
  <c r="EO18" i="32"/>
  <c r="EQ18" i="32" s="1"/>
  <c r="ES18" i="32" s="1"/>
  <c r="CH17" i="32"/>
  <c r="CO17" i="32" s="1"/>
  <c r="EN17" i="32"/>
  <c r="EP17" i="32" s="1"/>
  <c r="ER17" i="32" s="1"/>
  <c r="CR24" i="32"/>
  <c r="CJ17" i="32"/>
  <c r="CL17" i="32" s="1"/>
  <c r="DH17" i="32" s="1"/>
  <c r="DK24" i="32"/>
  <c r="GG24" i="32" s="1"/>
  <c r="CK18" i="32"/>
  <c r="CM18" i="32" s="1"/>
  <c r="DI18" i="32" s="1"/>
  <c r="DK11" i="32"/>
  <c r="GG11" i="32" s="1"/>
  <c r="DK20" i="32"/>
  <c r="GG20" i="32" s="1"/>
  <c r="CJ18" i="32"/>
  <c r="CL18" i="32" s="1"/>
  <c r="DH18" i="32" s="1"/>
  <c r="CH18" i="32"/>
  <c r="CO18" i="32" s="1"/>
  <c r="CR18" i="32"/>
  <c r="DK18" i="32"/>
  <c r="GG18" i="32" s="1"/>
  <c r="CR12" i="32"/>
  <c r="DK4" i="32"/>
  <c r="GG4" i="32" s="1"/>
  <c r="CR25" i="32"/>
  <c r="CR10" i="32"/>
  <c r="CR60" i="32"/>
  <c r="DK22" i="32"/>
  <c r="GG22" i="32" s="1"/>
  <c r="CR57" i="32"/>
  <c r="DK3" i="32"/>
  <c r="GG3" i="32" s="1"/>
  <c r="DK59" i="32"/>
  <c r="GG59" i="32" s="1"/>
  <c r="CR59" i="32"/>
  <c r="CR7" i="32"/>
  <c r="DK58" i="32"/>
  <c r="GG58" i="32" s="1"/>
  <c r="CR58" i="32"/>
  <c r="DK51" i="32"/>
  <c r="GG51" i="32" s="1"/>
  <c r="CR51" i="32"/>
  <c r="DK54" i="32"/>
  <c r="GG54" i="32" s="1"/>
  <c r="CR9" i="32"/>
  <c r="CR8" i="32"/>
  <c r="DK8" i="32"/>
  <c r="GG8" i="32" s="1"/>
  <c r="CR56" i="32"/>
  <c r="DK56" i="32"/>
  <c r="GG56" i="32" s="1"/>
  <c r="CR55" i="32"/>
  <c r="DK55" i="32"/>
  <c r="GG55" i="32" s="1"/>
  <c r="EV26" i="32" l="1"/>
  <c r="EX26" i="32" s="1"/>
  <c r="GE26" i="32" s="1"/>
  <c r="EV60" i="32"/>
  <c r="EX60" i="32" s="1"/>
  <c r="GE60" i="32" s="1"/>
  <c r="EV8" i="32"/>
  <c r="EX8" i="32" s="1"/>
  <c r="GE8" i="32" s="1"/>
  <c r="EV7" i="32"/>
  <c r="EX7" i="32" s="1"/>
  <c r="GE7" i="32" s="1"/>
  <c r="GE54" i="32"/>
  <c r="EV24" i="32"/>
  <c r="EX24" i="32" s="1"/>
  <c r="GE24" i="32" s="1"/>
  <c r="EV5" i="32"/>
  <c r="EX5" i="32" s="1"/>
  <c r="GE5" i="32" s="1"/>
  <c r="EV22" i="32"/>
  <c r="EX22" i="32" s="1"/>
  <c r="GE22" i="32" s="1"/>
  <c r="EV4" i="32"/>
  <c r="EX4" i="32" s="1"/>
  <c r="GE4" i="32" s="1"/>
  <c r="EV57" i="32"/>
  <c r="EX57" i="32" s="1"/>
  <c r="GE57" i="32" s="1"/>
  <c r="EV12" i="32"/>
  <c r="EX12" i="32" s="1"/>
  <c r="GE12" i="32" s="1"/>
  <c r="EV9" i="32"/>
  <c r="EX9" i="32" s="1"/>
  <c r="GE9" i="32" s="1"/>
  <c r="EV6" i="32"/>
  <c r="EX6" i="32" s="1"/>
  <c r="GE6" i="32" s="1"/>
  <c r="EV55" i="32"/>
  <c r="EX55" i="32" s="1"/>
  <c r="GE55" i="32" s="1"/>
  <c r="EV25" i="32"/>
  <c r="EX25" i="32" s="1"/>
  <c r="GE25" i="32" s="1"/>
  <c r="EV10" i="32"/>
  <c r="EX10" i="32" s="1"/>
  <c r="GE10" i="32" s="1"/>
  <c r="EV11" i="32"/>
  <c r="EX11" i="32" s="1"/>
  <c r="GE11" i="32" s="1"/>
  <c r="EV3" i="32"/>
  <c r="EX3" i="32" s="1"/>
  <c r="GE3" i="32" s="1"/>
  <c r="EV20" i="32"/>
  <c r="EX20" i="32" s="1"/>
  <c r="GE20" i="32" s="1"/>
  <c r="GE52" i="32"/>
  <c r="GE51" i="32"/>
  <c r="EV58" i="32"/>
  <c r="EX58" i="32" s="1"/>
  <c r="GE58" i="32" s="1"/>
  <c r="EV59" i="32"/>
  <c r="EX59" i="32" s="1"/>
  <c r="GE59" i="32" s="1"/>
  <c r="EV56" i="32"/>
  <c r="EX56" i="32" s="1"/>
  <c r="GE56" i="32" s="1"/>
  <c r="EU17" i="32"/>
  <c r="EW17" i="32" s="1"/>
  <c r="GD17" i="32" s="1"/>
  <c r="EV18" i="32"/>
  <c r="EX18" i="32" s="1"/>
  <c r="GE18" i="32" s="1"/>
  <c r="BR27" i="27"/>
  <c r="BR28" i="27"/>
  <c r="BR29" i="27"/>
  <c r="BR30" i="27"/>
  <c r="BR31" i="27"/>
  <c r="BR32" i="27"/>
  <c r="BR33" i="27"/>
  <c r="BR26" i="27"/>
  <c r="BO29" i="27"/>
  <c r="BN29" i="27"/>
  <c r="BM29" i="27"/>
  <c r="BL29" i="27"/>
  <c r="BK29" i="27"/>
  <c r="BJ29" i="27"/>
  <c r="BO28" i="27" l="1"/>
  <c r="K30" i="25" l="1"/>
  <c r="BD98" i="27" l="1"/>
  <c r="BC98" i="27"/>
  <c r="DD5" i="30" l="1"/>
  <c r="DD6" i="30"/>
  <c r="CU5" i="30"/>
  <c r="CU6" i="30"/>
  <c r="C2" i="33" l="1"/>
  <c r="G2" i="33"/>
  <c r="CN3" i="32" l="1"/>
  <c r="DL3" i="32" s="1"/>
  <c r="GH3" i="32" s="1"/>
  <c r="CN4" i="32"/>
  <c r="DL4" i="32" s="1"/>
  <c r="GH4" i="32" s="1"/>
  <c r="CN5" i="32"/>
  <c r="CN6" i="32"/>
  <c r="DL6" i="32" s="1"/>
  <c r="GH6" i="32" s="1"/>
  <c r="CN7" i="32"/>
  <c r="DL7" i="32" s="1"/>
  <c r="GH7" i="32" s="1"/>
  <c r="CN8" i="32"/>
  <c r="DL8" i="32" s="1"/>
  <c r="GH8" i="32" s="1"/>
  <c r="CN9" i="32"/>
  <c r="DL9" i="32" s="1"/>
  <c r="GH9" i="32" s="1"/>
  <c r="CN10" i="32"/>
  <c r="DL10" i="32" s="1"/>
  <c r="GH10" i="32" s="1"/>
  <c r="CN11" i="32"/>
  <c r="DL11" i="32" s="1"/>
  <c r="GH11" i="32" s="1"/>
  <c r="CN12" i="32"/>
  <c r="DL12" i="32" s="1"/>
  <c r="GH12" i="32" s="1"/>
  <c r="CN20" i="32"/>
  <c r="DL20" i="32" s="1"/>
  <c r="GH20" i="32" s="1"/>
  <c r="CN22" i="32"/>
  <c r="DL22" i="32" s="1"/>
  <c r="GH22" i="32" s="1"/>
  <c r="CN24" i="32"/>
  <c r="DL24" i="32" s="1"/>
  <c r="GH24" i="32" s="1"/>
  <c r="CN25" i="32"/>
  <c r="DL25" i="32" s="1"/>
  <c r="GH25" i="32" s="1"/>
  <c r="CN26" i="32"/>
  <c r="DL26" i="32" s="1"/>
  <c r="GH26" i="32" s="1"/>
  <c r="CN41" i="32"/>
  <c r="DL41" i="32" s="1"/>
  <c r="GH41" i="32" s="1"/>
  <c r="CN42" i="32"/>
  <c r="DL42" i="32" s="1"/>
  <c r="GH42" i="32" s="1"/>
  <c r="CN43" i="32"/>
  <c r="DL43" i="32" s="1"/>
  <c r="GH43" i="32" s="1"/>
  <c r="CN44" i="32"/>
  <c r="DL44" i="32" s="1"/>
  <c r="GH44" i="32" s="1"/>
  <c r="CN45" i="32"/>
  <c r="DL45" i="32" s="1"/>
  <c r="GH45" i="32" s="1"/>
  <c r="CN46" i="32"/>
  <c r="DL46" i="32" s="1"/>
  <c r="GH46" i="32" s="1"/>
  <c r="CN47" i="32"/>
  <c r="DL47" i="32" s="1"/>
  <c r="GH47" i="32" s="1"/>
  <c r="CN48" i="32"/>
  <c r="DL48" i="32" s="1"/>
  <c r="GH48" i="32" s="1"/>
  <c r="CN49" i="32"/>
  <c r="DL49" i="32" s="1"/>
  <c r="CN50" i="32"/>
  <c r="DL50" i="32" s="1"/>
  <c r="GH50" i="32" s="1"/>
  <c r="CN51" i="32"/>
  <c r="DL51" i="32" s="1"/>
  <c r="GH51" i="32" s="1"/>
  <c r="CN52" i="32"/>
  <c r="DL52" i="32" s="1"/>
  <c r="GH52" i="32" s="1"/>
  <c r="CN53" i="32"/>
  <c r="DL53" i="32" s="1"/>
  <c r="GH53" i="32" s="1"/>
  <c r="CN54" i="32"/>
  <c r="DL54" i="32" s="1"/>
  <c r="GH54" i="32" s="1"/>
  <c r="CN55" i="32"/>
  <c r="DL55" i="32" s="1"/>
  <c r="GH55" i="32" s="1"/>
  <c r="CN56" i="32"/>
  <c r="DL56" i="32" s="1"/>
  <c r="GH56" i="32" s="1"/>
  <c r="CN57" i="32"/>
  <c r="DL57" i="32" s="1"/>
  <c r="GH57" i="32" s="1"/>
  <c r="CN58" i="32"/>
  <c r="DL58" i="32" s="1"/>
  <c r="GH58" i="32" s="1"/>
  <c r="CN59" i="32"/>
  <c r="DL59" i="32" s="1"/>
  <c r="GH59" i="32" s="1"/>
  <c r="CN60" i="32"/>
  <c r="DL60" i="32" s="1"/>
  <c r="GH60" i="32" s="1"/>
  <c r="CG3" i="32"/>
  <c r="CI3" i="32" s="1"/>
  <c r="CG4" i="32"/>
  <c r="CI4" i="32" s="1"/>
  <c r="CG5" i="32"/>
  <c r="CI5" i="32" s="1"/>
  <c r="CG6" i="32"/>
  <c r="CI6" i="32" s="1"/>
  <c r="CG7" i="32"/>
  <c r="CI7" i="32" s="1"/>
  <c r="CG8" i="32"/>
  <c r="CI8" i="32" s="1"/>
  <c r="CG9" i="32"/>
  <c r="CI9" i="32" s="1"/>
  <c r="CG10" i="32"/>
  <c r="CI10" i="32" s="1"/>
  <c r="CG11" i="32"/>
  <c r="CI11" i="32" s="1"/>
  <c r="CG12" i="32"/>
  <c r="CI12" i="32" s="1"/>
  <c r="CG20" i="32"/>
  <c r="CI20" i="32" s="1"/>
  <c r="CG22" i="32"/>
  <c r="CI22" i="32" s="1"/>
  <c r="CG24" i="32"/>
  <c r="CI24" i="32" s="1"/>
  <c r="CG25" i="32"/>
  <c r="CI25" i="32" s="1"/>
  <c r="CG26" i="32"/>
  <c r="CI26" i="32" s="1"/>
  <c r="CG41" i="32"/>
  <c r="CI41" i="32" s="1"/>
  <c r="CG42" i="32"/>
  <c r="CI42" i="32" s="1"/>
  <c r="CG43" i="32"/>
  <c r="CI43" i="32" s="1"/>
  <c r="CG44" i="32"/>
  <c r="CI44" i="32" s="1"/>
  <c r="CG45" i="32"/>
  <c r="CI45" i="32" s="1"/>
  <c r="CG46" i="32"/>
  <c r="CI46" i="32" s="1"/>
  <c r="CG47" i="32"/>
  <c r="CI47" i="32" s="1"/>
  <c r="CG48" i="32"/>
  <c r="CI48" i="32" s="1"/>
  <c r="CG49" i="32"/>
  <c r="CI49" i="32" s="1"/>
  <c r="CG50" i="32"/>
  <c r="CI50" i="32" s="1"/>
  <c r="CG51" i="32"/>
  <c r="CI51" i="32" s="1"/>
  <c r="CG52" i="32"/>
  <c r="CI52" i="32" s="1"/>
  <c r="CG53" i="32"/>
  <c r="CI53" i="32" s="1"/>
  <c r="CG54" i="32"/>
  <c r="CI54" i="32" s="1"/>
  <c r="CG55" i="32"/>
  <c r="CI55" i="32" s="1"/>
  <c r="CG56" i="32"/>
  <c r="CI56" i="32" s="1"/>
  <c r="CG57" i="32"/>
  <c r="CI57" i="32" s="1"/>
  <c r="CG58" i="32"/>
  <c r="CI58" i="32" s="1"/>
  <c r="CG59" i="32"/>
  <c r="CI59" i="32" s="1"/>
  <c r="CG60" i="32"/>
  <c r="CI60" i="32" s="1"/>
  <c r="GH49" i="32" l="1"/>
  <c r="DL5" i="32"/>
  <c r="GH5" i="32" s="1"/>
  <c r="CF52" i="32" l="1"/>
  <c r="CE52" i="32"/>
  <c r="CF5" i="32"/>
  <c r="CE5" i="32"/>
  <c r="CF60" i="32"/>
  <c r="CE60" i="32"/>
  <c r="CE22" i="32"/>
  <c r="CF22" i="32"/>
  <c r="CF26" i="32"/>
  <c r="CE26" i="32"/>
  <c r="CF25" i="32"/>
  <c r="CE25" i="32"/>
  <c r="CE20" i="32"/>
  <c r="CF20" i="32"/>
  <c r="CE53" i="32"/>
  <c r="CF53" i="32"/>
  <c r="CE7" i="32"/>
  <c r="CF7" i="32"/>
  <c r="CF3" i="32"/>
  <c r="CE3" i="32"/>
  <c r="CE58" i="32"/>
  <c r="CF58" i="32"/>
  <c r="CE57" i="32"/>
  <c r="CF57" i="32"/>
  <c r="CE12" i="32"/>
  <c r="CF12" i="32"/>
  <c r="CF54" i="32"/>
  <c r="CE54" i="32"/>
  <c r="CE6" i="32"/>
  <c r="CF6" i="32"/>
  <c r="CF4" i="32"/>
  <c r="CE4" i="32"/>
  <c r="CE56" i="32"/>
  <c r="CF56" i="32"/>
  <c r="CE11" i="32"/>
  <c r="CF11" i="32"/>
  <c r="CE9" i="32"/>
  <c r="CF9" i="32"/>
  <c r="CE8" i="32"/>
  <c r="CF8" i="32"/>
  <c r="CF51" i="32"/>
  <c r="CE51" i="32"/>
  <c r="CF24" i="32"/>
  <c r="CE24" i="32"/>
  <c r="CF59" i="32"/>
  <c r="CE59" i="32"/>
  <c r="CE55" i="32"/>
  <c r="CF55" i="32"/>
  <c r="CE10" i="32"/>
  <c r="CF10" i="32"/>
  <c r="K32" i="25"/>
  <c r="CP5" i="32" l="1"/>
  <c r="CH58" i="32"/>
  <c r="CO58" i="32" s="1"/>
  <c r="CK26" i="32"/>
  <c r="CM26" i="32" s="1"/>
  <c r="DI26" i="32" s="1"/>
  <c r="CH57" i="32"/>
  <c r="CO57" i="32" s="1"/>
  <c r="CH12" i="32"/>
  <c r="CO12" i="32" s="1"/>
  <c r="CP54" i="32"/>
  <c r="CK55" i="32"/>
  <c r="CM55" i="32" s="1"/>
  <c r="DI55" i="32" s="1"/>
  <c r="CJ11" i="32"/>
  <c r="CL11" i="32" s="1"/>
  <c r="DH11" i="32" s="1"/>
  <c r="CP53" i="32"/>
  <c r="CJ10" i="32"/>
  <c r="CL10" i="32" s="1"/>
  <c r="DH10" i="32" s="1"/>
  <c r="CP52" i="32"/>
  <c r="CJ56" i="32"/>
  <c r="CL56" i="32" s="1"/>
  <c r="DH56" i="32" s="1"/>
  <c r="CH9" i="32"/>
  <c r="CO9" i="32" s="1"/>
  <c r="CJ3" i="32"/>
  <c r="CL3" i="32" s="1"/>
  <c r="DH3" i="32" s="1"/>
  <c r="CK8" i="32"/>
  <c r="CM8" i="32" s="1"/>
  <c r="DI8" i="32" s="1"/>
  <c r="CJ55" i="32"/>
  <c r="CL55" i="32" s="1"/>
  <c r="DH55" i="32" s="1"/>
  <c r="CK7" i="32"/>
  <c r="CM7" i="32" s="1"/>
  <c r="DI7" i="32" s="1"/>
  <c r="CH59" i="32"/>
  <c r="CO59" i="32" s="1"/>
  <c r="CP6" i="32"/>
  <c r="CJ54" i="32"/>
  <c r="CL54" i="32" s="1"/>
  <c r="DH54" i="32" s="1"/>
  <c r="CH42" i="32"/>
  <c r="CO42" i="32" s="1"/>
  <c r="CJ7" i="32"/>
  <c r="CL7" i="32" s="1"/>
  <c r="DH7" i="32" s="1"/>
  <c r="CK43" i="32"/>
  <c r="CM43" i="32" s="1"/>
  <c r="DI43" i="32" s="1"/>
  <c r="CP43" i="32"/>
  <c r="CH46" i="32"/>
  <c r="CO46" i="32" s="1"/>
  <c r="CJ46" i="32"/>
  <c r="CL46" i="32" s="1"/>
  <c r="DH46" i="32" s="1"/>
  <c r="CJ44" i="32"/>
  <c r="CL44" i="32" s="1"/>
  <c r="DH44" i="32" s="1"/>
  <c r="CH44" i="32"/>
  <c r="CO44" i="32" s="1"/>
  <c r="CH47" i="32"/>
  <c r="CO47" i="32" s="1"/>
  <c r="CJ47" i="32"/>
  <c r="CL47" i="32" s="1"/>
  <c r="DH47" i="32" s="1"/>
  <c r="CJ43" i="32"/>
  <c r="CL43" i="32" s="1"/>
  <c r="DH43" i="32" s="1"/>
  <c r="CH43" i="32"/>
  <c r="CO43" i="32" s="1"/>
  <c r="CK42" i="32"/>
  <c r="CM42" i="32" s="1"/>
  <c r="DI42" i="32" s="1"/>
  <c r="CP42" i="32"/>
  <c r="CP41" i="32"/>
  <c r="CK41" i="32"/>
  <c r="CM41" i="32" s="1"/>
  <c r="DI41" i="32" s="1"/>
  <c r="G16" i="33"/>
  <c r="S2" i="33"/>
  <c r="S3" i="33"/>
  <c r="S4" i="33"/>
  <c r="S5" i="33"/>
  <c r="S6" i="33"/>
  <c r="S7" i="33"/>
  <c r="S8" i="33"/>
  <c r="S9" i="33"/>
  <c r="S10" i="33"/>
  <c r="S11" i="33"/>
  <c r="S12" i="33"/>
  <c r="S13" i="33"/>
  <c r="S14" i="33"/>
  <c r="S15" i="33"/>
  <c r="S16" i="33"/>
  <c r="S17" i="33"/>
  <c r="S18" i="33"/>
  <c r="S19" i="33"/>
  <c r="S20" i="33"/>
  <c r="S21" i="33"/>
  <c r="S22" i="33"/>
  <c r="S23" i="33"/>
  <c r="S24" i="33"/>
  <c r="S25" i="33"/>
  <c r="S26" i="33"/>
  <c r="S27" i="33"/>
  <c r="S28" i="33"/>
  <c r="S29" i="33"/>
  <c r="S30" i="33"/>
  <c r="S31" i="33"/>
  <c r="S32" i="33"/>
  <c r="S33" i="33"/>
  <c r="S34" i="33"/>
  <c r="S35" i="33"/>
  <c r="S36" i="33"/>
  <c r="S37" i="33"/>
  <c r="S38" i="33"/>
  <c r="S39" i="33"/>
  <c r="S40" i="33"/>
  <c r="S41" i="33"/>
  <c r="S42" i="33"/>
  <c r="S43" i="33"/>
  <c r="S44" i="33"/>
  <c r="S45" i="33"/>
  <c r="S46" i="33"/>
  <c r="S47" i="33"/>
  <c r="S48" i="33"/>
  <c r="S49" i="33"/>
  <c r="S50" i="33"/>
  <c r="S51" i="33"/>
  <c r="S52" i="33"/>
  <c r="S53" i="33"/>
  <c r="S54" i="33"/>
  <c r="S55" i="33"/>
  <c r="S56" i="33"/>
  <c r="S57" i="33"/>
  <c r="S58" i="33"/>
  <c r="S59" i="33"/>
  <c r="S60" i="33"/>
  <c r="S61" i="33"/>
  <c r="S62" i="33"/>
  <c r="S63" i="33"/>
  <c r="S64" i="33"/>
  <c r="S65" i="33"/>
  <c r="S66" i="33"/>
  <c r="S67" i="33"/>
  <c r="S68" i="33"/>
  <c r="S69" i="33"/>
  <c r="S70" i="33"/>
  <c r="S71" i="33"/>
  <c r="S72" i="33"/>
  <c r="S73" i="33"/>
  <c r="S74" i="33"/>
  <c r="S75" i="33"/>
  <c r="S76" i="33"/>
  <c r="S77" i="33"/>
  <c r="S78" i="33"/>
  <c r="S79" i="33"/>
  <c r="S80" i="33"/>
  <c r="S81" i="33"/>
  <c r="S82" i="33"/>
  <c r="S83" i="33"/>
  <c r="S84" i="33"/>
  <c r="S85" i="33"/>
  <c r="S86" i="33"/>
  <c r="S87" i="33"/>
  <c r="S88" i="33"/>
  <c r="S89" i="33"/>
  <c r="S90" i="33"/>
  <c r="S91" i="33"/>
  <c r="S92" i="33"/>
  <c r="S93" i="33"/>
  <c r="S94" i="33"/>
  <c r="S95" i="33"/>
  <c r="S96" i="33"/>
  <c r="S97" i="33"/>
  <c r="S98" i="33"/>
  <c r="S99" i="33"/>
  <c r="S100" i="33"/>
  <c r="S101" i="33"/>
  <c r="S102" i="33"/>
  <c r="S103" i="33"/>
  <c r="S104" i="33"/>
  <c r="S105" i="33"/>
  <c r="S106" i="33"/>
  <c r="S107" i="33"/>
  <c r="S108" i="33"/>
  <c r="S109" i="33"/>
  <c r="S110" i="33"/>
  <c r="S111" i="33"/>
  <c r="S112" i="33"/>
  <c r="S113" i="33"/>
  <c r="S114" i="33"/>
  <c r="S115" i="33"/>
  <c r="S116" i="33"/>
  <c r="S117" i="33"/>
  <c r="S118" i="33"/>
  <c r="S119" i="33"/>
  <c r="S120" i="33"/>
  <c r="S121" i="33"/>
  <c r="S122" i="33"/>
  <c r="S123" i="33"/>
  <c r="S124" i="33"/>
  <c r="S125" i="33"/>
  <c r="S126" i="33"/>
  <c r="S127" i="33"/>
  <c r="S128" i="33"/>
  <c r="S129" i="33"/>
  <c r="S130" i="33"/>
  <c r="S131" i="33"/>
  <c r="S132" i="33"/>
  <c r="S133" i="33"/>
  <c r="S134" i="33"/>
  <c r="S135" i="33"/>
  <c r="S136" i="33"/>
  <c r="S137" i="33"/>
  <c r="S138" i="33"/>
  <c r="S139" i="33"/>
  <c r="S140" i="33"/>
  <c r="S141" i="33"/>
  <c r="S142" i="33"/>
  <c r="S143" i="33"/>
  <c r="S144" i="33"/>
  <c r="S145" i="33"/>
  <c r="S146" i="33"/>
  <c r="S147" i="33"/>
  <c r="S148" i="33"/>
  <c r="S149" i="33"/>
  <c r="S150" i="33"/>
  <c r="S151" i="33"/>
  <c r="S152" i="33"/>
  <c r="S153" i="33"/>
  <c r="S154" i="33"/>
  <c r="S155" i="33"/>
  <c r="S156" i="33"/>
  <c r="S157" i="33"/>
  <c r="S158" i="33"/>
  <c r="S159" i="33"/>
  <c r="S160" i="33"/>
  <c r="S161" i="33"/>
  <c r="S162" i="33"/>
  <c r="S1" i="33"/>
  <c r="G15" i="33"/>
  <c r="G14" i="33"/>
  <c r="G13" i="33"/>
  <c r="CH3" i="32" l="1"/>
  <c r="CO3" i="32" s="1"/>
  <c r="CP8" i="32"/>
  <c r="CJ42" i="32"/>
  <c r="CL42" i="32" s="1"/>
  <c r="DH42" i="32" s="1"/>
  <c r="CJ12" i="32"/>
  <c r="CL12" i="32" s="1"/>
  <c r="DH12" i="32" s="1"/>
  <c r="CH54" i="32"/>
  <c r="CO54" i="32" s="1"/>
  <c r="CH10" i="32"/>
  <c r="CO10" i="32" s="1"/>
  <c r="CK5" i="32"/>
  <c r="CM5" i="32" s="1"/>
  <c r="DI5" i="32" s="1"/>
  <c r="CJ58" i="32"/>
  <c r="CL58" i="32" s="1"/>
  <c r="DH58" i="32" s="1"/>
  <c r="CK6" i="32"/>
  <c r="CM6" i="32" s="1"/>
  <c r="DI6" i="32" s="1"/>
  <c r="CH56" i="32"/>
  <c r="CO56" i="32" s="1"/>
  <c r="CJ57" i="32"/>
  <c r="CL57" i="32" s="1"/>
  <c r="DH57" i="32" s="1"/>
  <c r="CF47" i="32"/>
  <c r="CE47" i="32"/>
  <c r="CE46" i="32"/>
  <c r="CF46" i="32"/>
  <c r="CJ59" i="32"/>
  <c r="CL59" i="32" s="1"/>
  <c r="DH59" i="32" s="1"/>
  <c r="CF45" i="32"/>
  <c r="CE45" i="32"/>
  <c r="CF50" i="32"/>
  <c r="CE50" i="32"/>
  <c r="CK53" i="32"/>
  <c r="CM53" i="32" s="1"/>
  <c r="DI53" i="32" s="1"/>
  <c r="CP26" i="32"/>
  <c r="CF41" i="32"/>
  <c r="CE41" i="32"/>
  <c r="CF42" i="32"/>
  <c r="CE42" i="32"/>
  <c r="CE44" i="32"/>
  <c r="CF44" i="32"/>
  <c r="CE48" i="32"/>
  <c r="CF48" i="32"/>
  <c r="CE43" i="32"/>
  <c r="CF43" i="32"/>
  <c r="CK54" i="32"/>
  <c r="CM54" i="32" s="1"/>
  <c r="DI54" i="32" s="1"/>
  <c r="CH11" i="32"/>
  <c r="CO11" i="32" s="1"/>
  <c r="CK52" i="32"/>
  <c r="CM52" i="32" s="1"/>
  <c r="DI52" i="32" s="1"/>
  <c r="CF49" i="32"/>
  <c r="CE49" i="32"/>
  <c r="CJ9" i="32"/>
  <c r="CL9" i="32" s="1"/>
  <c r="DH9" i="32" s="1"/>
  <c r="CP7" i="32"/>
  <c r="CP55" i="32"/>
  <c r="CH55" i="32"/>
  <c r="CO55" i="32" s="1"/>
  <c r="CH7" i="32"/>
  <c r="CO7" i="32" s="1"/>
  <c r="CJ45" i="32"/>
  <c r="CL45" i="32" s="1"/>
  <c r="DH45" i="32" s="1"/>
  <c r="CH45" i="32"/>
  <c r="CO45" i="32" s="1"/>
  <c r="CK24" i="32"/>
  <c r="CM24" i="32" s="1"/>
  <c r="DI24" i="32" s="1"/>
  <c r="CP24" i="32"/>
  <c r="CH48" i="32"/>
  <c r="CO48" i="32" s="1"/>
  <c r="CJ48" i="32"/>
  <c r="CL48" i="32" s="1"/>
  <c r="DH48" i="32" s="1"/>
  <c r="CH53" i="32"/>
  <c r="CO53" i="32" s="1"/>
  <c r="CJ53" i="32"/>
  <c r="CL53" i="32" s="1"/>
  <c r="DH53" i="32" s="1"/>
  <c r="CK12" i="32"/>
  <c r="CM12" i="32" s="1"/>
  <c r="DI12" i="32" s="1"/>
  <c r="CP12" i="32"/>
  <c r="CK50" i="32"/>
  <c r="CM50" i="32" s="1"/>
  <c r="DI50" i="32" s="1"/>
  <c r="CP50" i="32"/>
  <c r="CH60" i="32"/>
  <c r="CO60" i="32" s="1"/>
  <c r="CJ60" i="32"/>
  <c r="CL60" i="32" s="1"/>
  <c r="DH60" i="32" s="1"/>
  <c r="CJ4" i="32"/>
  <c r="CL4" i="32" s="1"/>
  <c r="DH4" i="32" s="1"/>
  <c r="CH4" i="32"/>
  <c r="CO4" i="32" s="1"/>
  <c r="CK51" i="32"/>
  <c r="CM51" i="32" s="1"/>
  <c r="DI51" i="32" s="1"/>
  <c r="CP51" i="32"/>
  <c r="CP22" i="32"/>
  <c r="CK22" i="32"/>
  <c r="CM22" i="32" s="1"/>
  <c r="DI22" i="32" s="1"/>
  <c r="CK46" i="32"/>
  <c r="CM46" i="32" s="1"/>
  <c r="DI46" i="32" s="1"/>
  <c r="CP46" i="32"/>
  <c r="CJ51" i="32"/>
  <c r="CL51" i="32" s="1"/>
  <c r="DH51" i="32" s="1"/>
  <c r="CH51" i="32"/>
  <c r="CO51" i="32" s="1"/>
  <c r="CP20" i="32"/>
  <c r="CK20" i="32"/>
  <c r="CM20" i="32" s="1"/>
  <c r="DI20" i="32" s="1"/>
  <c r="CH6" i="32"/>
  <c r="CO6" i="32" s="1"/>
  <c r="CJ6" i="32"/>
  <c r="CL6" i="32" s="1"/>
  <c r="DH6" i="32" s="1"/>
  <c r="CJ8" i="32"/>
  <c r="CL8" i="32" s="1"/>
  <c r="DH8" i="32" s="1"/>
  <c r="CH8" i="32"/>
  <c r="CO8" i="32" s="1"/>
  <c r="CK10" i="32"/>
  <c r="CM10" i="32" s="1"/>
  <c r="DI10" i="32" s="1"/>
  <c r="CP10" i="32"/>
  <c r="CK25" i="32"/>
  <c r="CM25" i="32" s="1"/>
  <c r="DI25" i="32" s="1"/>
  <c r="CP25" i="32"/>
  <c r="CP9" i="32"/>
  <c r="CK9" i="32"/>
  <c r="CM9" i="32" s="1"/>
  <c r="DI9" i="32" s="1"/>
  <c r="CK44" i="32"/>
  <c r="CM44" i="32" s="1"/>
  <c r="DI44" i="32" s="1"/>
  <c r="CP44" i="32"/>
  <c r="CJ24" i="32"/>
  <c r="CL24" i="32" s="1"/>
  <c r="DH24" i="32" s="1"/>
  <c r="CH24" i="32"/>
  <c r="CO24" i="32" s="1"/>
  <c r="CK56" i="32"/>
  <c r="CM56" i="32" s="1"/>
  <c r="DI56" i="32" s="1"/>
  <c r="CP56" i="32"/>
  <c r="CK45" i="32"/>
  <c r="CM45" i="32" s="1"/>
  <c r="DI45" i="32" s="1"/>
  <c r="CP45" i="32"/>
  <c r="CK3" i="32"/>
  <c r="CM3" i="32" s="1"/>
  <c r="DI3" i="32" s="1"/>
  <c r="CP3" i="32"/>
  <c r="CP49" i="32"/>
  <c r="CK49" i="32"/>
  <c r="CM49" i="32" s="1"/>
  <c r="DI49" i="32" s="1"/>
  <c r="CP60" i="32"/>
  <c r="CK60" i="32"/>
  <c r="CM60" i="32" s="1"/>
  <c r="DI60" i="32" s="1"/>
  <c r="CP57" i="32"/>
  <c r="CK57" i="32"/>
  <c r="CM57" i="32" s="1"/>
  <c r="DI57" i="32" s="1"/>
  <c r="CH41" i="32"/>
  <c r="CO41" i="32" s="1"/>
  <c r="CJ41" i="32"/>
  <c r="CL41" i="32" s="1"/>
  <c r="DH41" i="32" s="1"/>
  <c r="CJ50" i="32"/>
  <c r="CL50" i="32" s="1"/>
  <c r="DH50" i="32" s="1"/>
  <c r="CH50" i="32"/>
  <c r="CO50" i="32" s="1"/>
  <c r="CH26" i="32"/>
  <c r="CO26" i="32" s="1"/>
  <c r="CJ26" i="32"/>
  <c r="CL26" i="32" s="1"/>
  <c r="DH26" i="32" s="1"/>
  <c r="CJ22" i="32"/>
  <c r="CL22" i="32" s="1"/>
  <c r="DH22" i="32" s="1"/>
  <c r="CH22" i="32"/>
  <c r="CO22" i="32" s="1"/>
  <c r="CK47" i="32"/>
  <c r="CM47" i="32" s="1"/>
  <c r="DI47" i="32" s="1"/>
  <c r="CP47" i="32"/>
  <c r="CK4" i="32"/>
  <c r="CM4" i="32" s="1"/>
  <c r="DI4" i="32" s="1"/>
  <c r="CP4" i="32"/>
  <c r="CP59" i="32"/>
  <c r="CK59" i="32"/>
  <c r="CM59" i="32" s="1"/>
  <c r="DI59" i="32" s="1"/>
  <c r="CK11" i="32"/>
  <c r="CM11" i="32" s="1"/>
  <c r="DI11" i="32" s="1"/>
  <c r="CP11" i="32"/>
  <c r="CJ25" i="32"/>
  <c r="CL25" i="32" s="1"/>
  <c r="DH25" i="32" s="1"/>
  <c r="CH25" i="32"/>
  <c r="CO25" i="32" s="1"/>
  <c r="CK58" i="32"/>
  <c r="CM58" i="32" s="1"/>
  <c r="DI58" i="32" s="1"/>
  <c r="CP58" i="32"/>
  <c r="CP48" i="32"/>
  <c r="CK48" i="32"/>
  <c r="CM48" i="32" s="1"/>
  <c r="DI48" i="32" s="1"/>
  <c r="CH5" i="32"/>
  <c r="CO5" i="32" s="1"/>
  <c r="CJ5" i="32"/>
  <c r="CL5" i="32" s="1"/>
  <c r="DH5" i="32" s="1"/>
  <c r="CH52" i="32"/>
  <c r="CO52" i="32" s="1"/>
  <c r="CJ52" i="32"/>
  <c r="CL52" i="32" s="1"/>
  <c r="DH52" i="32" s="1"/>
  <c r="CH20" i="32"/>
  <c r="CO20" i="32" s="1"/>
  <c r="CJ20" i="32"/>
  <c r="CL20" i="32" s="1"/>
  <c r="DH20" i="32" s="1"/>
  <c r="CJ49" i="32"/>
  <c r="CL49" i="32" s="1"/>
  <c r="DH49" i="32" s="1"/>
  <c r="CH49" i="32"/>
  <c r="CO49" i="32" s="1"/>
  <c r="AE16" i="26" l="1"/>
  <c r="AD16" i="26"/>
  <c r="AC16" i="26"/>
  <c r="AB16" i="26"/>
  <c r="AA16" i="26"/>
  <c r="Z16" i="26"/>
  <c r="Y16" i="26"/>
  <c r="X16" i="26"/>
  <c r="W16" i="26"/>
  <c r="V16" i="26"/>
  <c r="U16" i="26"/>
  <c r="T16" i="26"/>
  <c r="S16" i="26"/>
  <c r="R16" i="26"/>
  <c r="Q16" i="26"/>
  <c r="P16" i="26"/>
  <c r="O16" i="26"/>
  <c r="N16" i="26"/>
  <c r="M16" i="26"/>
  <c r="L16" i="26"/>
  <c r="K31" i="25"/>
  <c r="K33" i="25"/>
  <c r="K34" i="25"/>
  <c r="K35" i="25"/>
  <c r="K36" i="25"/>
  <c r="K37" i="25"/>
  <c r="K38" i="25"/>
  <c r="K39" i="25"/>
  <c r="K40" i="25"/>
  <c r="K41" i="25"/>
  <c r="K42" i="25"/>
  <c r="K43" i="25"/>
  <c r="K44" i="25"/>
  <c r="K45" i="25"/>
  <c r="K46" i="25"/>
  <c r="K47" i="25"/>
  <c r="K48" i="25"/>
  <c r="K49" i="25"/>
  <c r="K50" i="25"/>
  <c r="A28" i="26" l="1"/>
  <c r="G20" i="33" l="1"/>
  <c r="BP106" i="30" l="1"/>
  <c r="BR106" i="30" s="1"/>
  <c r="BP108" i="30" l="1"/>
  <c r="BR108" i="30" s="1"/>
  <c r="A27" i="26" l="1"/>
  <c r="A18" i="26" l="1"/>
  <c r="N5" i="26" l="1"/>
  <c r="CN2" i="30" l="1"/>
  <c r="AZ2" i="30"/>
  <c r="L2" i="30"/>
  <c r="C22" i="26"/>
  <c r="C2" i="30" s="1"/>
  <c r="R5" i="26" l="1"/>
  <c r="DD7" i="30" l="1"/>
  <c r="DD8" i="30"/>
  <c r="DD9" i="30"/>
  <c r="DD10" i="30"/>
  <c r="DD11" i="30"/>
  <c r="DD12" i="30"/>
  <c r="DD13" i="30"/>
  <c r="DD14" i="30"/>
  <c r="DD15" i="30"/>
  <c r="DD16" i="30"/>
  <c r="DD17" i="30"/>
  <c r="DD18" i="30"/>
  <c r="DD19" i="30"/>
  <c r="DD20" i="30"/>
  <c r="DD21" i="30"/>
  <c r="DD22" i="30"/>
  <c r="DD23" i="30"/>
  <c r="DD24" i="30"/>
  <c r="DD25" i="30"/>
  <c r="DD26" i="30"/>
  <c r="DD27" i="30"/>
  <c r="DD28" i="30"/>
  <c r="DD29" i="30"/>
  <c r="DD30" i="30"/>
  <c r="DD31" i="30"/>
  <c r="DD32" i="30"/>
  <c r="DD33" i="30"/>
  <c r="DD34" i="30"/>
  <c r="DD35" i="30"/>
  <c r="DD36" i="30"/>
  <c r="DD37" i="30"/>
  <c r="DD38" i="30"/>
  <c r="DD39" i="30"/>
  <c r="DD40" i="30"/>
  <c r="DD41" i="30"/>
  <c r="DD42" i="30"/>
  <c r="DD43" i="30"/>
  <c r="DD44" i="30"/>
  <c r="DD45" i="30"/>
  <c r="DD46" i="30"/>
  <c r="DD47" i="30"/>
  <c r="DD48" i="30"/>
  <c r="DD49" i="30"/>
  <c r="DD50" i="30"/>
  <c r="DD51" i="30"/>
  <c r="DD52" i="30"/>
  <c r="DD53" i="30"/>
  <c r="DD54" i="30"/>
  <c r="DD55" i="30"/>
  <c r="DD56" i="30"/>
  <c r="DD57" i="30"/>
  <c r="DD58" i="30"/>
  <c r="DD59" i="30"/>
  <c r="DD60" i="30"/>
  <c r="DD61" i="30"/>
  <c r="DD62" i="30"/>
  <c r="DD63" i="30"/>
  <c r="DD64" i="30"/>
  <c r="DD65" i="30"/>
  <c r="DD66" i="30"/>
  <c r="DD67" i="30"/>
  <c r="DD68" i="30"/>
  <c r="DD69" i="30"/>
  <c r="DD70" i="30"/>
  <c r="DD71" i="30"/>
  <c r="DD72" i="30"/>
  <c r="DD73" i="30"/>
  <c r="DD74" i="30"/>
  <c r="DD75" i="30"/>
  <c r="DD76" i="30"/>
  <c r="DD77" i="30"/>
  <c r="DD78" i="30"/>
  <c r="DD79" i="30"/>
  <c r="DD80" i="30"/>
  <c r="DD81" i="30"/>
  <c r="DD82" i="30"/>
  <c r="DD83" i="30"/>
  <c r="DD84" i="30"/>
  <c r="DD85" i="30"/>
  <c r="DD86" i="30"/>
  <c r="DD87" i="30"/>
  <c r="DD88" i="30"/>
  <c r="DD89" i="30"/>
  <c r="DD90" i="30"/>
  <c r="DD91" i="30"/>
  <c r="DD92" i="30"/>
  <c r="DD93" i="30"/>
  <c r="DD94" i="30"/>
  <c r="DD95" i="30"/>
  <c r="DD96" i="30"/>
  <c r="DD97" i="30"/>
  <c r="DD98" i="30"/>
  <c r="DD99" i="30"/>
  <c r="DD100" i="30"/>
  <c r="DD101" i="30"/>
  <c r="DD102" i="30"/>
  <c r="DD103" i="30"/>
  <c r="DD104" i="30"/>
  <c r="CU7" i="30"/>
  <c r="CU8" i="30"/>
  <c r="CU9" i="30"/>
  <c r="CU10" i="30"/>
  <c r="CU11" i="30"/>
  <c r="CU12" i="30"/>
  <c r="CU13" i="30"/>
  <c r="CU14" i="30"/>
  <c r="CU15" i="30"/>
  <c r="CU16" i="30"/>
  <c r="CU17" i="30"/>
  <c r="CU18" i="30"/>
  <c r="CU19" i="30"/>
  <c r="CU20" i="30"/>
  <c r="CU21" i="30"/>
  <c r="CU22" i="30"/>
  <c r="CU23" i="30"/>
  <c r="CU24" i="30"/>
  <c r="CU25" i="30"/>
  <c r="CU26" i="30"/>
  <c r="CU27" i="30"/>
  <c r="CU28" i="30"/>
  <c r="CU29" i="30"/>
  <c r="CU30" i="30"/>
  <c r="CU31" i="30"/>
  <c r="CU32" i="30"/>
  <c r="CU33" i="30"/>
  <c r="CU34" i="30"/>
  <c r="CU35" i="30"/>
  <c r="CU36" i="30"/>
  <c r="CU37" i="30"/>
  <c r="CU38" i="30"/>
  <c r="CU39" i="30"/>
  <c r="CU40" i="30"/>
  <c r="CU41" i="30"/>
  <c r="CU42" i="30"/>
  <c r="CU43" i="30"/>
  <c r="CU44" i="30"/>
  <c r="CU45" i="30"/>
  <c r="CU46" i="30"/>
  <c r="CU47" i="30"/>
  <c r="CU48" i="30"/>
  <c r="CU49" i="30"/>
  <c r="CU50" i="30"/>
  <c r="CU51" i="30"/>
  <c r="CU52" i="30"/>
  <c r="CU53" i="30"/>
  <c r="CU54" i="30"/>
  <c r="CU55" i="30"/>
  <c r="CU56" i="30"/>
  <c r="CU57" i="30"/>
  <c r="CU58" i="30"/>
  <c r="CU59" i="30"/>
  <c r="CU60" i="30"/>
  <c r="CU61" i="30"/>
  <c r="CU62" i="30"/>
  <c r="CU63" i="30"/>
  <c r="CU64" i="30"/>
  <c r="CU65" i="30"/>
  <c r="CU66" i="30"/>
  <c r="CU67" i="30"/>
  <c r="CU68" i="30"/>
  <c r="CU69" i="30"/>
  <c r="CU70" i="30"/>
  <c r="CU71" i="30"/>
  <c r="CU72" i="30"/>
  <c r="CU73" i="30"/>
  <c r="CU74" i="30"/>
  <c r="CU75" i="30"/>
  <c r="CU76" i="30"/>
  <c r="CU77" i="30"/>
  <c r="CU78" i="30"/>
  <c r="CU79" i="30"/>
  <c r="CU80" i="30"/>
  <c r="CU81" i="30"/>
  <c r="CU82" i="30"/>
  <c r="CU83" i="30"/>
  <c r="CU84" i="30"/>
  <c r="CU85" i="30"/>
  <c r="CU86" i="30"/>
  <c r="CU87" i="30"/>
  <c r="CU88" i="30"/>
  <c r="CU89" i="30"/>
  <c r="CU90" i="30"/>
  <c r="CU91" i="30"/>
  <c r="CU92" i="30"/>
  <c r="CU93" i="30"/>
  <c r="CU94" i="30"/>
  <c r="CU95" i="30"/>
  <c r="CU96" i="30"/>
  <c r="CU97" i="30"/>
  <c r="CU98" i="30"/>
  <c r="CU99" i="30"/>
  <c r="CU100" i="30"/>
  <c r="CU101" i="30"/>
  <c r="CU102" i="30"/>
  <c r="CU103" i="30"/>
  <c r="CU104" i="30"/>
  <c r="G21" i="33" l="1"/>
  <c r="V8" i="33"/>
  <c r="V9" i="33"/>
  <c r="V10" i="33"/>
  <c r="V11" i="33"/>
  <c r="V12" i="33"/>
  <c r="V13" i="33"/>
  <c r="V14" i="33"/>
  <c r="V15" i="33"/>
  <c r="V16" i="33"/>
  <c r="V17" i="33"/>
  <c r="V18" i="33"/>
  <c r="V19" i="33"/>
  <c r="V20" i="33"/>
  <c r="V21" i="33"/>
  <c r="V22" i="33"/>
  <c r="V23" i="33"/>
  <c r="V24" i="33"/>
  <c r="V25" i="33"/>
  <c r="V26" i="33"/>
  <c r="V27" i="33"/>
  <c r="V28" i="33"/>
  <c r="V29" i="33"/>
  <c r="V30" i="33"/>
  <c r="V31" i="33"/>
  <c r="V32" i="33"/>
  <c r="V33" i="33"/>
  <c r="V34" i="33"/>
  <c r="V35" i="33"/>
  <c r="V36" i="33"/>
  <c r="V37" i="33"/>
  <c r="V38" i="33"/>
  <c r="V39" i="33"/>
  <c r="V40" i="33"/>
  <c r="V41" i="33"/>
  <c r="V42" i="33"/>
  <c r="V43" i="33"/>
  <c r="V44" i="33"/>
  <c r="V45" i="33"/>
  <c r="V46" i="33"/>
  <c r="V47" i="33"/>
  <c r="V2" i="33"/>
  <c r="V3" i="33"/>
  <c r="V4" i="33"/>
  <c r="V5" i="33"/>
  <c r="V6" i="33"/>
  <c r="V7" i="33"/>
  <c r="V1" i="33"/>
  <c r="U35" i="33"/>
  <c r="U36" i="33"/>
  <c r="U37" i="33"/>
  <c r="U38" i="33"/>
  <c r="U39" i="33"/>
  <c r="U40" i="33"/>
  <c r="U41" i="33"/>
  <c r="U42" i="33"/>
  <c r="U43" i="33"/>
  <c r="U44" i="33"/>
  <c r="U45" i="33"/>
  <c r="U46" i="33"/>
  <c r="U47" i="33"/>
  <c r="U2" i="33"/>
  <c r="U3" i="33"/>
  <c r="U4" i="33"/>
  <c r="U5" i="33"/>
  <c r="U6" i="33"/>
  <c r="U7" i="33"/>
  <c r="U8" i="33"/>
  <c r="U9" i="33"/>
  <c r="U10" i="33"/>
  <c r="U11" i="33"/>
  <c r="U12" i="33"/>
  <c r="U13" i="33"/>
  <c r="U14" i="33"/>
  <c r="U15" i="33"/>
  <c r="U16" i="33"/>
  <c r="U17" i="33"/>
  <c r="U18" i="33"/>
  <c r="U19" i="33"/>
  <c r="U20" i="33"/>
  <c r="U21" i="33"/>
  <c r="U22" i="33"/>
  <c r="U23" i="33"/>
  <c r="U24" i="33"/>
  <c r="U25" i="33"/>
  <c r="U26" i="33"/>
  <c r="U27" i="33"/>
  <c r="U28" i="33"/>
  <c r="U29" i="33"/>
  <c r="U30" i="33"/>
  <c r="U31" i="33"/>
  <c r="U32" i="33"/>
  <c r="U33" i="33"/>
  <c r="U34" i="33"/>
  <c r="U1" i="33"/>
  <c r="G12" i="33" l="1"/>
  <c r="G11" i="33"/>
  <c r="G10" i="33"/>
  <c r="G9" i="33"/>
  <c r="G8" i="33"/>
  <c r="G7" i="33"/>
  <c r="G6" i="33"/>
  <c r="G4" i="33"/>
  <c r="G3" i="33"/>
  <c r="K16" i="26" l="1"/>
  <c r="J16" i="26"/>
  <c r="I16" i="26"/>
  <c r="H16" i="26"/>
  <c r="G16" i="26"/>
  <c r="F16" i="26"/>
  <c r="E16" i="26"/>
  <c r="D16" i="26"/>
  <c r="C16" i="26"/>
  <c r="B16" i="26"/>
  <c r="E4" i="31"/>
  <c r="E1" i="27"/>
  <c r="K29" i="25"/>
  <c r="K28" i="25"/>
  <c r="K27" i="25"/>
  <c r="K26" i="25"/>
  <c r="K25" i="25"/>
  <c r="K24" i="25"/>
  <c r="K23" i="25"/>
  <c r="K22" i="25"/>
  <c r="K21" i="25"/>
  <c r="AL20" i="25"/>
  <c r="AL51" i="25" s="1"/>
  <c r="AK20" i="25"/>
  <c r="AK51" i="25" s="1"/>
  <c r="AJ20" i="25"/>
  <c r="AJ51" i="25" s="1"/>
  <c r="AI20" i="25"/>
  <c r="AI51" i="25" s="1"/>
  <c r="AH20" i="25"/>
  <c r="AH51" i="25" s="1"/>
  <c r="AG20" i="25"/>
  <c r="AG51" i="25" s="1"/>
  <c r="AF20" i="25"/>
  <c r="AF51" i="25" s="1"/>
  <c r="AE20" i="25"/>
  <c r="AE51" i="25" s="1"/>
  <c r="AD20" i="25"/>
  <c r="AD51" i="25" s="1"/>
  <c r="AC20" i="25"/>
  <c r="AC51" i="25" s="1"/>
  <c r="AB20" i="25"/>
  <c r="AB51" i="25" s="1"/>
  <c r="AA20" i="25"/>
  <c r="AA51" i="25" s="1"/>
  <c r="Z20" i="25"/>
  <c r="Z51" i="25" s="1"/>
  <c r="Y20" i="25"/>
  <c r="Y51" i="25" s="1"/>
  <c r="X20" i="25"/>
  <c r="X51" i="25" s="1"/>
  <c r="W20" i="25"/>
  <c r="W51" i="25" s="1"/>
  <c r="V20" i="25"/>
  <c r="V51" i="25" s="1"/>
  <c r="U20" i="25"/>
  <c r="U51" i="25" s="1"/>
  <c r="AJ5" i="31"/>
  <c r="C17" i="25"/>
  <c r="B10" i="25" l="1"/>
  <c r="C16" i="25"/>
  <c r="B83" i="26"/>
  <c r="AF16" i="26"/>
  <c r="B17" i="26"/>
  <c r="B11" i="25" l="1"/>
  <c r="C15" i="25"/>
  <c r="B82" i="26"/>
  <c r="B12" i="25" l="1"/>
  <c r="C14" i="25"/>
  <c r="B81" i="26"/>
  <c r="B13" i="25" l="1"/>
  <c r="B80" i="26"/>
  <c r="C13" i="25"/>
  <c r="B14" i="25" l="1"/>
  <c r="B79" i="26"/>
  <c r="C12" i="25"/>
  <c r="B15" i="25" l="1"/>
  <c r="B78" i="26"/>
  <c r="C11" i="25"/>
  <c r="B16" i="25" l="1"/>
  <c r="C10" i="25"/>
  <c r="B77" i="26"/>
  <c r="B17" i="25" l="1"/>
  <c r="K8" i="31" s="1"/>
  <c r="AO8" i="31" s="1"/>
  <c r="B76" i="26"/>
  <c r="C9" i="25"/>
  <c r="K14" i="31" l="1"/>
  <c r="AO14" i="31" s="1"/>
  <c r="K12" i="31"/>
  <c r="AO12" i="31" s="1"/>
  <c r="G14" i="31"/>
  <c r="W5" i="31"/>
  <c r="W10" i="31"/>
  <c r="W7" i="31"/>
  <c r="W14" i="31"/>
  <c r="K5" i="31"/>
  <c r="AO5" i="31" s="1"/>
  <c r="G6" i="31"/>
  <c r="AE14" i="31"/>
  <c r="K9" i="31"/>
  <c r="AO9" i="31" s="1"/>
  <c r="K13" i="31"/>
  <c r="AO13" i="31" s="1"/>
  <c r="G13" i="31"/>
  <c r="G12" i="31"/>
  <c r="G10" i="31"/>
  <c r="W13" i="31"/>
  <c r="W8" i="31"/>
  <c r="S5" i="31"/>
  <c r="A2" i="26"/>
  <c r="A12" i="26" s="1"/>
  <c r="Q14" i="26" s="1"/>
  <c r="G9" i="31"/>
  <c r="G7" i="31"/>
  <c r="W6" i="31"/>
  <c r="K7" i="31"/>
  <c r="AO7" i="31" s="1"/>
  <c r="G11" i="31"/>
  <c r="W9" i="31"/>
  <c r="G5" i="31"/>
  <c r="K11" i="31"/>
  <c r="AO11" i="31" s="1"/>
  <c r="W12" i="31"/>
  <c r="W11" i="31"/>
  <c r="AA14" i="31"/>
  <c r="K6" i="31"/>
  <c r="AO6" i="31" s="1"/>
  <c r="K10" i="31"/>
  <c r="AO10" i="31" s="1"/>
  <c r="C8" i="25"/>
  <c r="G8" i="31"/>
  <c r="O14" i="31"/>
  <c r="B75" i="26"/>
  <c r="AM22" i="25" l="1"/>
  <c r="AM53" i="25"/>
  <c r="AM52" i="25"/>
  <c r="AM23" i="25"/>
  <c r="AM24" i="25"/>
  <c r="AM25" i="25"/>
  <c r="AM26" i="25"/>
  <c r="AM21" i="25"/>
  <c r="M14" i="26"/>
  <c r="M31" i="26" s="1"/>
  <c r="AN14" i="31"/>
  <c r="AP14" i="31" s="1"/>
  <c r="AQ14" i="31" s="1"/>
  <c r="I14" i="26"/>
  <c r="I32" i="26" s="1"/>
  <c r="K14" i="26"/>
  <c r="K31" i="26" s="1"/>
  <c r="C14" i="26"/>
  <c r="C31" i="26" s="1"/>
  <c r="S14" i="26"/>
  <c r="S32" i="26" s="1"/>
  <c r="J14" i="26"/>
  <c r="J31" i="26" s="1"/>
  <c r="N14" i="26"/>
  <c r="N31" i="26" s="1"/>
  <c r="G14" i="26"/>
  <c r="G32" i="26" s="1"/>
  <c r="P14" i="26"/>
  <c r="P31" i="26" s="1"/>
  <c r="H14" i="26"/>
  <c r="H31" i="26" s="1"/>
  <c r="O14" i="26"/>
  <c r="O32" i="26" s="1"/>
  <c r="B14" i="26"/>
  <c r="B32" i="26" s="1"/>
  <c r="E14" i="26"/>
  <c r="E31" i="26" s="1"/>
  <c r="L14" i="26"/>
  <c r="L31" i="26" s="1"/>
  <c r="R14" i="26"/>
  <c r="R32" i="26" s="1"/>
  <c r="D14" i="26"/>
  <c r="D31" i="26" s="1"/>
  <c r="F14" i="26"/>
  <c r="F31" i="26" s="1"/>
  <c r="Q31" i="26"/>
  <c r="Q32" i="26"/>
  <c r="D5" i="30"/>
  <c r="B74" i="26"/>
  <c r="C14" i="31"/>
  <c r="AR14" i="31" l="1"/>
  <c r="AS14" i="31" s="1"/>
  <c r="AT14" i="31" s="1"/>
  <c r="M32" i="26"/>
  <c r="I31" i="26"/>
  <c r="J32" i="26"/>
  <c r="H32" i="26"/>
  <c r="P32" i="26"/>
  <c r="O31" i="26"/>
  <c r="S31" i="26"/>
  <c r="K32" i="26"/>
  <c r="N32" i="26"/>
  <c r="B31" i="26"/>
  <c r="D32" i="26"/>
  <c r="L32" i="26"/>
  <c r="E32" i="26"/>
  <c r="F32" i="26"/>
  <c r="C32" i="26"/>
  <c r="G31" i="26"/>
  <c r="R31" i="26"/>
  <c r="C13" i="31"/>
  <c r="E14" i="31"/>
  <c r="AI14" i="31"/>
  <c r="AK14" i="31" s="1"/>
  <c r="AL14" i="31" s="1"/>
  <c r="G5" i="30"/>
  <c r="C5" i="30"/>
  <c r="F5" i="30"/>
  <c r="C6" i="30" l="1"/>
  <c r="AZ5" i="30"/>
  <c r="CN5" i="30" s="1"/>
  <c r="CK5" i="30"/>
  <c r="BY5" i="30"/>
  <c r="CC5" i="30"/>
  <c r="CA5" i="30"/>
  <c r="CE5" i="30"/>
  <c r="BV5" i="30"/>
  <c r="BX5" i="30"/>
  <c r="CD5" i="30"/>
  <c r="CF5" i="30"/>
  <c r="CL5" i="30"/>
  <c r="CG5" i="30"/>
  <c r="CM5" i="30"/>
  <c r="CB5" i="30"/>
  <c r="CH5" i="30"/>
  <c r="CI5" i="30"/>
  <c r="D6" i="30"/>
  <c r="G6" i="30" s="1"/>
  <c r="BW5" i="30"/>
  <c r="CJ5" i="30"/>
  <c r="BZ5" i="30"/>
  <c r="E13" i="31"/>
  <c r="AI13" i="31"/>
  <c r="AK13" i="31" s="1"/>
  <c r="AL13" i="31" s="1"/>
  <c r="AE13" i="31"/>
  <c r="O13" i="31"/>
  <c r="AA13" i="31"/>
  <c r="C12" i="31"/>
  <c r="C7" i="30" l="1"/>
  <c r="AN13" i="31"/>
  <c r="E12" i="31"/>
  <c r="AI12" i="31"/>
  <c r="AK12" i="31" s="1"/>
  <c r="AL12" i="31" s="1"/>
  <c r="C11" i="31"/>
  <c r="O12" i="31"/>
  <c r="AE12" i="31"/>
  <c r="AA12" i="31"/>
  <c r="F6" i="30"/>
  <c r="BZ6" i="30" l="1"/>
  <c r="CF6" i="30"/>
  <c r="CE6" i="30"/>
  <c r="CK6" i="30"/>
  <c r="CB6" i="30"/>
  <c r="CH6" i="30"/>
  <c r="BX6" i="30"/>
  <c r="CM6" i="30"/>
  <c r="CJ6" i="30"/>
  <c r="CI6" i="30"/>
  <c r="BW6" i="30"/>
  <c r="CG6" i="30"/>
  <c r="CL6" i="30"/>
  <c r="CA6" i="30"/>
  <c r="CD6" i="30"/>
  <c r="CC6" i="30"/>
  <c r="BV6" i="30"/>
  <c r="BY6" i="30"/>
  <c r="AN12" i="31"/>
  <c r="AP13" i="31"/>
  <c r="AQ13" i="31" s="1"/>
  <c r="AR13" i="31"/>
  <c r="AS13" i="31" s="1"/>
  <c r="AT13" i="31" s="1"/>
  <c r="D7" i="30"/>
  <c r="G7" i="30" s="1"/>
  <c r="C8" i="30" s="1"/>
  <c r="AZ6" i="30"/>
  <c r="CN6" i="30" s="1"/>
  <c r="AI11" i="31"/>
  <c r="AK11" i="31" s="1"/>
  <c r="AL11" i="31" s="1"/>
  <c r="E11" i="31"/>
  <c r="C10" i="31"/>
  <c r="AE11" i="31"/>
  <c r="AA11" i="31"/>
  <c r="O11" i="31"/>
  <c r="E5" i="31"/>
  <c r="AJ14" i="31"/>
  <c r="S14" i="31"/>
  <c r="AN11" i="31" l="1"/>
  <c r="AP12" i="31"/>
  <c r="AQ12" i="31" s="1"/>
  <c r="AR12" i="31"/>
  <c r="AS12" i="31" s="1"/>
  <c r="AT12" i="31" s="1"/>
  <c r="E10" i="31"/>
  <c r="AI10" i="31"/>
  <c r="AK10" i="31" s="1"/>
  <c r="AL10" i="31" s="1"/>
  <c r="C9" i="31"/>
  <c r="O10" i="31"/>
  <c r="AE10" i="31"/>
  <c r="AA10" i="31"/>
  <c r="F7" i="30"/>
  <c r="CI7" i="30" l="1"/>
  <c r="BX7" i="30"/>
  <c r="CD7" i="30"/>
  <c r="CL7" i="30"/>
  <c r="BV7" i="30"/>
  <c r="CK7" i="30"/>
  <c r="CC7" i="30"/>
  <c r="CJ7" i="30"/>
  <c r="CB7" i="30"/>
  <c r="CE7" i="30"/>
  <c r="CG7" i="30"/>
  <c r="BY7" i="30"/>
  <c r="CA7" i="30"/>
  <c r="CH7" i="30"/>
  <c r="BZ7" i="30"/>
  <c r="CM7" i="30"/>
  <c r="BW7" i="30"/>
  <c r="CF7" i="30"/>
  <c r="AP11" i="31"/>
  <c r="AQ11" i="31" s="1"/>
  <c r="AR11" i="31"/>
  <c r="AS11" i="31" s="1"/>
  <c r="AT11" i="31" s="1"/>
  <c r="AN10" i="31"/>
  <c r="AA9" i="31"/>
  <c r="AI9" i="31"/>
  <c r="AK9" i="31" s="1"/>
  <c r="AL9" i="31" s="1"/>
  <c r="E9" i="31"/>
  <c r="C8" i="31"/>
  <c r="O9" i="31"/>
  <c r="AE9" i="31"/>
  <c r="P5" i="30"/>
  <c r="P6" i="30"/>
  <c r="AZ7" i="30"/>
  <c r="CN7" i="30" s="1"/>
  <c r="D8" i="30"/>
  <c r="G8" i="30" s="1"/>
  <c r="C9" i="30" s="1"/>
  <c r="L6" i="30" l="1"/>
  <c r="L5" i="30"/>
  <c r="AN9" i="31"/>
  <c r="AP10" i="31"/>
  <c r="AQ10" i="31" s="1"/>
  <c r="AR10" i="31"/>
  <c r="AS10" i="31" s="1"/>
  <c r="AT10" i="31" s="1"/>
  <c r="T7" i="30"/>
  <c r="AR7" i="30"/>
  <c r="F8" i="30"/>
  <c r="E8" i="31"/>
  <c r="C7" i="31"/>
  <c r="AE8" i="31"/>
  <c r="AA8" i="31"/>
  <c r="AI8" i="31"/>
  <c r="AK8" i="31" s="1"/>
  <c r="AL8" i="31" s="1"/>
  <c r="O8" i="31"/>
  <c r="AJ7" i="30"/>
  <c r="AJ5" i="30"/>
  <c r="T5" i="30"/>
  <c r="T6" i="30"/>
  <c r="AR6" i="30"/>
  <c r="AJ6" i="30"/>
  <c r="AR5" i="30"/>
  <c r="X5" i="30"/>
  <c r="AB5" i="30"/>
  <c r="AF5" i="30"/>
  <c r="BZ8" i="30" l="1"/>
  <c r="CH8" i="30"/>
  <c r="CM8" i="30"/>
  <c r="CF8" i="30"/>
  <c r="CE8" i="30"/>
  <c r="BW8" i="30"/>
  <c r="CC8" i="30"/>
  <c r="BY8" i="30"/>
  <c r="BX8" i="30"/>
  <c r="CK8" i="30"/>
  <c r="CL8" i="30"/>
  <c r="CD8" i="30"/>
  <c r="BV8" i="30"/>
  <c r="CJ8" i="30"/>
  <c r="CG8" i="30"/>
  <c r="CA8" i="30"/>
  <c r="CB8" i="30"/>
  <c r="CI8" i="30"/>
  <c r="AN8" i="31"/>
  <c r="AP9" i="31"/>
  <c r="AQ9" i="31" s="1"/>
  <c r="AR9" i="31"/>
  <c r="AS9" i="31" s="1"/>
  <c r="AT9" i="31" s="1"/>
  <c r="E7" i="31"/>
  <c r="AE7" i="31"/>
  <c r="O7" i="31"/>
  <c r="C6" i="31"/>
  <c r="E6" i="31" s="1"/>
  <c r="R53" i="25" s="1"/>
  <c r="AI7" i="31"/>
  <c r="AK7" i="31" s="1"/>
  <c r="AL7" i="31" s="1"/>
  <c r="AA7" i="31"/>
  <c r="AJ8" i="30"/>
  <c r="D9" i="30"/>
  <c r="G9" i="30" s="1"/>
  <c r="C10" i="30" s="1"/>
  <c r="AZ8" i="30"/>
  <c r="CN8" i="30" s="1"/>
  <c r="T8" i="30"/>
  <c r="AR8" i="30"/>
  <c r="P7" i="30"/>
  <c r="BG5" i="30"/>
  <c r="L7" i="30" l="1"/>
  <c r="AN7" i="31"/>
  <c r="AP8" i="31"/>
  <c r="AQ8" i="31" s="1"/>
  <c r="AR8" i="31"/>
  <c r="AS8" i="31" s="1"/>
  <c r="AT8" i="31" s="1"/>
  <c r="AR105" i="30"/>
  <c r="AJ105" i="30"/>
  <c r="T105" i="30"/>
  <c r="F9" i="30"/>
  <c r="O6" i="31"/>
  <c r="AA6" i="31"/>
  <c r="C5" i="31"/>
  <c r="AE6" i="31"/>
  <c r="AI6" i="31"/>
  <c r="AK6" i="31" s="1"/>
  <c r="AL6" i="31" s="1"/>
  <c r="CC9" i="30" l="1"/>
  <c r="BY9" i="30"/>
  <c r="CA9" i="30"/>
  <c r="BW9" i="30"/>
  <c r="BV9" i="30"/>
  <c r="CF9" i="30"/>
  <c r="CI9" i="30"/>
  <c r="CJ9" i="30"/>
  <c r="BZ9" i="30"/>
  <c r="CM9" i="30"/>
  <c r="BX9" i="30"/>
  <c r="CL9" i="30"/>
  <c r="CB9" i="30"/>
  <c r="CK9" i="30"/>
  <c r="CH9" i="30"/>
  <c r="CE9" i="30"/>
  <c r="CD9" i="30"/>
  <c r="CG9" i="30"/>
  <c r="AN6" i="31"/>
  <c r="AP7" i="31"/>
  <c r="AQ7" i="31" s="1"/>
  <c r="AR7" i="31"/>
  <c r="AS7" i="31" s="1"/>
  <c r="AT7" i="31" s="1"/>
  <c r="S9" i="25"/>
  <c r="O5" i="31"/>
  <c r="C4" i="31"/>
  <c r="AA5" i="31"/>
  <c r="AN5" i="31" s="1"/>
  <c r="AE5" i="31"/>
  <c r="AI5" i="31"/>
  <c r="AK5" i="31" s="1"/>
  <c r="D10" i="30"/>
  <c r="G10" i="30" s="1"/>
  <c r="C11" i="30" s="1"/>
  <c r="AJ9" i="30"/>
  <c r="AZ9" i="30"/>
  <c r="CN9" i="30" s="1"/>
  <c r="T9" i="30"/>
  <c r="AR9" i="30"/>
  <c r="P8" i="30"/>
  <c r="L8" i="30" l="1"/>
  <c r="P9" i="30"/>
  <c r="AP5" i="31"/>
  <c r="AQ5" i="31" s="1"/>
  <c r="AR5" i="31"/>
  <c r="AS5" i="31" s="1"/>
  <c r="AT5" i="31" s="1"/>
  <c r="AP6" i="31"/>
  <c r="AQ6" i="31" s="1"/>
  <c r="AR6" i="31"/>
  <c r="AS6" i="31" s="1"/>
  <c r="AT6" i="31" s="1"/>
  <c r="AJ4" i="31"/>
  <c r="S13" i="31"/>
  <c r="AJ13" i="31"/>
  <c r="AL5" i="31"/>
  <c r="B9" i="30" s="1"/>
  <c r="O4" i="31"/>
  <c r="AA4" i="31"/>
  <c r="AE4" i="31"/>
  <c r="BX10" i="30" l="1"/>
  <c r="BV10" i="30"/>
  <c r="BZ10" i="30"/>
  <c r="CK10" i="30"/>
  <c r="CJ10" i="30"/>
  <c r="CG10" i="30"/>
  <c r="CH10" i="30"/>
  <c r="CF10" i="30"/>
  <c r="CM10" i="30"/>
  <c r="BW10" i="30"/>
  <c r="CB10" i="30"/>
  <c r="CI10" i="30"/>
  <c r="CL10" i="30"/>
  <c r="CA10" i="30"/>
  <c r="CE10" i="30"/>
  <c r="BY10" i="30"/>
  <c r="CC10" i="30"/>
  <c r="CD10" i="30"/>
  <c r="S10" i="25"/>
  <c r="AF6" i="30"/>
  <c r="AB6" i="30"/>
  <c r="X6" i="30"/>
  <c r="B6" i="30"/>
  <c r="B5" i="30"/>
  <c r="B8" i="30"/>
  <c r="B7" i="30"/>
  <c r="BG6" i="30" l="1"/>
  <c r="S12" i="31"/>
  <c r="AJ12" i="31"/>
  <c r="X7" i="30" l="1"/>
  <c r="AF7" i="30"/>
  <c r="AB7" i="30"/>
  <c r="S11" i="25"/>
  <c r="X9" i="30"/>
  <c r="AB9" i="30"/>
  <c r="S11" i="31" l="1"/>
  <c r="BG7" i="30"/>
  <c r="AJ11" i="31"/>
  <c r="S12" i="25" l="1"/>
  <c r="R52" i="25"/>
  <c r="X8" i="30"/>
  <c r="AF8" i="30"/>
  <c r="AB8" i="30"/>
  <c r="AJ10" i="31"/>
  <c r="AJ9" i="31" s="1"/>
  <c r="S9" i="31"/>
  <c r="S10" i="31"/>
  <c r="AJ8" i="31"/>
  <c r="AB105" i="30" l="1"/>
  <c r="BG8" i="30"/>
  <c r="S8" i="31"/>
  <c r="AJ7" i="31" l="1"/>
  <c r="S7" i="31"/>
  <c r="S6" i="31" l="1"/>
  <c r="AJ6" i="31" l="1"/>
  <c r="F10" i="30"/>
  <c r="D11" i="30" l="1"/>
  <c r="G11" i="30" s="1"/>
  <c r="C12" i="30" s="1"/>
  <c r="B10" i="30"/>
  <c r="AB10" i="30"/>
  <c r="T10" i="30"/>
  <c r="X10" i="30"/>
  <c r="AR10" i="30"/>
  <c r="AJ10" i="30"/>
  <c r="AZ10" i="30"/>
  <c r="P10" i="30" l="1"/>
  <c r="AF9" i="30"/>
  <c r="L9" i="30"/>
  <c r="CN10" i="30"/>
  <c r="F11" i="30"/>
  <c r="CH11" i="30" l="1"/>
  <c r="CE11" i="30"/>
  <c r="CF11" i="30"/>
  <c r="CL11" i="30"/>
  <c r="CM11" i="30"/>
  <c r="BX11" i="30"/>
  <c r="CD11" i="30"/>
  <c r="CG11" i="30"/>
  <c r="BV11" i="30"/>
  <c r="CA11" i="30"/>
  <c r="CK11" i="30"/>
  <c r="BZ11" i="30"/>
  <c r="CC11" i="30"/>
  <c r="BY11" i="30"/>
  <c r="CJ11" i="30"/>
  <c r="BW11" i="30"/>
  <c r="CB11" i="30"/>
  <c r="CI11" i="30"/>
  <c r="BG9" i="30"/>
  <c r="D12" i="30"/>
  <c r="G12" i="30" s="1"/>
  <c r="C13" i="30" s="1"/>
  <c r="X11" i="30"/>
  <c r="AB11" i="30"/>
  <c r="AJ11" i="30"/>
  <c r="T11" i="30"/>
  <c r="AR11" i="30"/>
  <c r="B11" i="30"/>
  <c r="AZ11" i="30"/>
  <c r="P11" i="30" l="1"/>
  <c r="CN11" i="30"/>
  <c r="F12" i="30"/>
  <c r="AF10" i="30"/>
  <c r="L10" i="30"/>
  <c r="CK12" i="30" l="1"/>
  <c r="CC12" i="30"/>
  <c r="CL12" i="30"/>
  <c r="CD12" i="30"/>
  <c r="CM12" i="30"/>
  <c r="BV12" i="30"/>
  <c r="CF12" i="30"/>
  <c r="CJ12" i="30"/>
  <c r="CB12" i="30"/>
  <c r="CE12" i="30"/>
  <c r="CI12" i="30"/>
  <c r="BY12" i="30"/>
  <c r="CA12" i="30"/>
  <c r="BX12" i="30"/>
  <c r="CH12" i="30"/>
  <c r="BW12" i="30"/>
  <c r="BZ12" i="30"/>
  <c r="CG12" i="30"/>
  <c r="BG10" i="30"/>
  <c r="D13" i="30"/>
  <c r="G13" i="30" s="1"/>
  <c r="C14" i="30" s="1"/>
  <c r="AB12" i="30"/>
  <c r="B12" i="30"/>
  <c r="AR12" i="30"/>
  <c r="AJ12" i="30"/>
  <c r="X12" i="30"/>
  <c r="T12" i="30"/>
  <c r="AZ12" i="30"/>
  <c r="P12" i="30" l="1"/>
  <c r="L11" i="30"/>
  <c r="AF11" i="30"/>
  <c r="CN12" i="30"/>
  <c r="F13" i="30"/>
  <c r="CD13" i="30" l="1"/>
  <c r="CA13" i="30"/>
  <c r="CE13" i="30"/>
  <c r="BG11" i="30"/>
  <c r="CJ13" i="30"/>
  <c r="BW13" i="30"/>
  <c r="CB13" i="30"/>
  <c r="CH13" i="30"/>
  <c r="BV13" i="30"/>
  <c r="BZ13" i="30"/>
  <c r="CM13" i="30"/>
  <c r="CG13" i="30"/>
  <c r="CL13" i="30"/>
  <c r="BY13" i="30"/>
  <c r="CK13" i="30"/>
  <c r="CF13" i="30"/>
  <c r="CI13" i="30"/>
  <c r="BX13" i="30"/>
  <c r="CC13" i="30"/>
  <c r="D14" i="30"/>
  <c r="G14" i="30" s="1"/>
  <c r="C15" i="30" s="1"/>
  <c r="B13" i="30"/>
  <c r="AJ13" i="30"/>
  <c r="X13" i="30"/>
  <c r="AB13" i="30"/>
  <c r="T13" i="30"/>
  <c r="AZ13" i="30"/>
  <c r="AR13" i="30"/>
  <c r="CN13" i="30" l="1"/>
  <c r="L12" i="30"/>
  <c r="AF12" i="30"/>
  <c r="F14" i="30"/>
  <c r="P13" i="30" l="1"/>
  <c r="CB14" i="30"/>
  <c r="BZ14" i="30"/>
  <c r="BW14" i="30"/>
  <c r="CC14" i="30"/>
  <c r="CF14" i="30"/>
  <c r="CM14" i="30"/>
  <c r="CA14" i="30"/>
  <c r="CD14" i="30"/>
  <c r="BY14" i="30"/>
  <c r="CH14" i="30"/>
  <c r="BX14" i="30"/>
  <c r="CI14" i="30"/>
  <c r="CG14" i="30"/>
  <c r="CE14" i="30"/>
  <c r="CK14" i="30"/>
  <c r="CJ14" i="30"/>
  <c r="CL14" i="30"/>
  <c r="BV14" i="30"/>
  <c r="BG12" i="30"/>
  <c r="AB14" i="30"/>
  <c r="AR14" i="30"/>
  <c r="B14" i="30"/>
  <c r="X14" i="30"/>
  <c r="AJ14" i="30"/>
  <c r="T14" i="30"/>
  <c r="D15" i="30"/>
  <c r="G15" i="30" s="1"/>
  <c r="C16" i="30" s="1"/>
  <c r="AZ14" i="30"/>
  <c r="AF13" i="30" l="1"/>
  <c r="L13" i="30"/>
  <c r="CN14" i="30"/>
  <c r="F15" i="30"/>
  <c r="P14" i="30" l="1"/>
  <c r="CE15" i="30"/>
  <c r="BX15" i="30"/>
  <c r="CL15" i="30"/>
  <c r="CI15" i="30"/>
  <c r="CK15" i="30"/>
  <c r="BY15" i="30"/>
  <c r="BZ15" i="30"/>
  <c r="CM15" i="30"/>
  <c r="BW15" i="30"/>
  <c r="CF15" i="30"/>
  <c r="CD15" i="30"/>
  <c r="BV15" i="30"/>
  <c r="CH15" i="30"/>
  <c r="CG15" i="30"/>
  <c r="CC15" i="30"/>
  <c r="CJ15" i="30"/>
  <c r="BG13" i="30"/>
  <c r="CA15" i="30"/>
  <c r="CB15" i="30"/>
  <c r="T15" i="30"/>
  <c r="AJ15" i="30"/>
  <c r="X15" i="30"/>
  <c r="B15" i="30"/>
  <c r="AR15" i="30"/>
  <c r="AB15" i="30"/>
  <c r="AZ15" i="30"/>
  <c r="D16" i="30"/>
  <c r="G16" i="30" s="1"/>
  <c r="C17" i="30" s="1"/>
  <c r="F16" i="30" l="1"/>
  <c r="L14" i="30"/>
  <c r="AF14" i="30"/>
  <c r="CN15" i="30"/>
  <c r="P15" i="30" l="1"/>
  <c r="BX16" i="30"/>
  <c r="CK16" i="30"/>
  <c r="CL16" i="30"/>
  <c r="BW16" i="30"/>
  <c r="CM16" i="30"/>
  <c r="CB16" i="30"/>
  <c r="CH16" i="30"/>
  <c r="BG14" i="30"/>
  <c r="CD16" i="30"/>
  <c r="CF16" i="30"/>
  <c r="CI16" i="30"/>
  <c r="CE16" i="30"/>
  <c r="CA16" i="30"/>
  <c r="CG16" i="30"/>
  <c r="CC16" i="30"/>
  <c r="BZ16" i="30"/>
  <c r="BV16" i="30"/>
  <c r="CJ16" i="30"/>
  <c r="BY16" i="30"/>
  <c r="B16" i="30"/>
  <c r="X16" i="30"/>
  <c r="AJ16" i="30"/>
  <c r="T16" i="30"/>
  <c r="AB16" i="30"/>
  <c r="AR16" i="30"/>
  <c r="AZ16" i="30"/>
  <c r="D17" i="30"/>
  <c r="G17" i="30" s="1"/>
  <c r="C18" i="30" s="1"/>
  <c r="L15" i="30" l="1"/>
  <c r="AF15" i="30"/>
  <c r="F17" i="30"/>
  <c r="CN16" i="30"/>
  <c r="P16" i="30" l="1"/>
  <c r="CL17" i="30"/>
  <c r="CF17" i="30"/>
  <c r="BG15" i="30"/>
  <c r="CI17" i="30"/>
  <c r="CH17" i="30"/>
  <c r="CG17" i="30"/>
  <c r="BX17" i="30"/>
  <c r="BV17" i="30"/>
  <c r="CJ17" i="30"/>
  <c r="CB17" i="30"/>
  <c r="CD17" i="30"/>
  <c r="CC17" i="30"/>
  <c r="BZ17" i="30"/>
  <c r="CA17" i="30"/>
  <c r="CK17" i="30"/>
  <c r="BY17" i="30"/>
  <c r="CE17" i="30"/>
  <c r="CM17" i="30"/>
  <c r="BW17" i="30"/>
  <c r="X17" i="30"/>
  <c r="B17" i="30"/>
  <c r="AR17" i="30"/>
  <c r="T17" i="30"/>
  <c r="AB17" i="30"/>
  <c r="AJ17" i="30"/>
  <c r="AZ17" i="30"/>
  <c r="D18" i="30"/>
  <c r="G18" i="30" s="1"/>
  <c r="C19" i="30" s="1"/>
  <c r="CN17" i="30" l="1"/>
  <c r="L16" i="30"/>
  <c r="AF16" i="30"/>
  <c r="F18" i="30"/>
  <c r="P17" i="30" l="1"/>
  <c r="BG16" i="30"/>
  <c r="CF18" i="30"/>
  <c r="CG18" i="30"/>
  <c r="CI18" i="30"/>
  <c r="CM18" i="30"/>
  <c r="CC18" i="30"/>
  <c r="BX18" i="30"/>
  <c r="CE18" i="30"/>
  <c r="CB18" i="30"/>
  <c r="BW18" i="30"/>
  <c r="CA18" i="30"/>
  <c r="CL18" i="30"/>
  <c r="BY18" i="30"/>
  <c r="CD18" i="30"/>
  <c r="CK18" i="30"/>
  <c r="BV18" i="30"/>
  <c r="CH18" i="30"/>
  <c r="BZ18" i="30"/>
  <c r="CJ18" i="30"/>
  <c r="AB18" i="30"/>
  <c r="T18" i="30"/>
  <c r="X18" i="30"/>
  <c r="B18" i="30"/>
  <c r="AR18" i="30"/>
  <c r="AJ18" i="30"/>
  <c r="AZ18" i="30"/>
  <c r="D19" i="30"/>
  <c r="G19" i="30" s="1"/>
  <c r="C20" i="30" s="1"/>
  <c r="AF17" i="30" l="1"/>
  <c r="L17" i="30"/>
  <c r="F19" i="30"/>
  <c r="CN18" i="30"/>
  <c r="P18" i="30" l="1"/>
  <c r="CH19" i="30"/>
  <c r="CE19" i="30"/>
  <c r="CF19" i="30"/>
  <c r="BX19" i="30"/>
  <c r="CL19" i="30"/>
  <c r="BW19" i="30"/>
  <c r="CJ19" i="30"/>
  <c r="BG17" i="30"/>
  <c r="BV19" i="30"/>
  <c r="CC19" i="30"/>
  <c r="BY19" i="30"/>
  <c r="CB19" i="30"/>
  <c r="CD19" i="30"/>
  <c r="CM19" i="30"/>
  <c r="CA19" i="30"/>
  <c r="CK19" i="30"/>
  <c r="CG19" i="30"/>
  <c r="BZ19" i="30"/>
  <c r="CI19" i="30"/>
  <c r="AB19" i="30"/>
  <c r="AJ19" i="30"/>
  <c r="T19" i="30"/>
  <c r="X19" i="30"/>
  <c r="B19" i="30"/>
  <c r="AR19" i="30"/>
  <c r="AZ19" i="30"/>
  <c r="D20" i="30"/>
  <c r="G20" i="30" s="1"/>
  <c r="C21" i="30" s="1"/>
  <c r="L18" i="30" l="1"/>
  <c r="AF18" i="30"/>
  <c r="F20" i="30"/>
  <c r="CN19" i="30"/>
  <c r="P19" i="30" l="1"/>
  <c r="CF20" i="30"/>
  <c r="CC20" i="30"/>
  <c r="CL20" i="30"/>
  <c r="CD20" i="30"/>
  <c r="BV20" i="30"/>
  <c r="BY20" i="30"/>
  <c r="CJ20" i="30"/>
  <c r="BX20" i="30"/>
  <c r="CB20" i="30"/>
  <c r="BW20" i="30"/>
  <c r="CI20" i="30"/>
  <c r="CM20" i="30"/>
  <c r="CA20" i="30"/>
  <c r="CK20" i="30"/>
  <c r="CH20" i="30"/>
  <c r="CE20" i="30"/>
  <c r="BZ20" i="30"/>
  <c r="BG18" i="30"/>
  <c r="CG20" i="30"/>
  <c r="T20" i="30"/>
  <c r="AR20" i="30"/>
  <c r="AB20" i="30"/>
  <c r="B20" i="30"/>
  <c r="X20" i="30"/>
  <c r="AJ20" i="30"/>
  <c r="AZ20" i="30"/>
  <c r="D21" i="30"/>
  <c r="G21" i="30" s="1"/>
  <c r="C22" i="30" s="1"/>
  <c r="L19" i="30" l="1"/>
  <c r="AF19" i="30"/>
  <c r="F21" i="30"/>
  <c r="CN20" i="30"/>
  <c r="P20" i="30" l="1"/>
  <c r="CI21" i="30"/>
  <c r="CA21" i="30"/>
  <c r="CK21" i="30"/>
  <c r="CJ21" i="30"/>
  <c r="CB21" i="30"/>
  <c r="CC21" i="30"/>
  <c r="CE21" i="30"/>
  <c r="CD21" i="30"/>
  <c r="CH21" i="30"/>
  <c r="BZ21" i="30"/>
  <c r="CG21" i="30"/>
  <c r="CF21" i="30"/>
  <c r="BX21" i="30"/>
  <c r="BW21" i="30"/>
  <c r="BY21" i="30"/>
  <c r="BV21" i="30"/>
  <c r="CM21" i="30"/>
  <c r="CL21" i="30"/>
  <c r="BG19" i="30"/>
  <c r="X21" i="30"/>
  <c r="T21" i="30"/>
  <c r="B21" i="30"/>
  <c r="AR21" i="30"/>
  <c r="AJ21" i="30"/>
  <c r="AB21" i="30"/>
  <c r="AZ21" i="30"/>
  <c r="D22" i="30"/>
  <c r="G22" i="30" s="1"/>
  <c r="C23" i="30" s="1"/>
  <c r="L20" i="30" l="1"/>
  <c r="AF20" i="30"/>
  <c r="F22" i="30"/>
  <c r="CN21" i="30"/>
  <c r="P21" i="30" l="1"/>
  <c r="BZ22" i="30"/>
  <c r="CE22" i="30"/>
  <c r="CF22" i="30"/>
  <c r="CK22" i="30"/>
  <c r="CM22" i="30"/>
  <c r="CI22" i="30"/>
  <c r="BW22" i="30"/>
  <c r="CG22" i="30"/>
  <c r="CL22" i="30"/>
  <c r="CA22" i="30"/>
  <c r="CD22" i="30"/>
  <c r="CC22" i="30"/>
  <c r="BV22" i="30"/>
  <c r="BY22" i="30"/>
  <c r="CH22" i="30"/>
  <c r="BX22" i="30"/>
  <c r="CJ22" i="30"/>
  <c r="CB22" i="30"/>
  <c r="BG20" i="30"/>
  <c r="AB22" i="30"/>
  <c r="B22" i="30"/>
  <c r="T22" i="30"/>
  <c r="AR22" i="30"/>
  <c r="AJ22" i="30"/>
  <c r="X22" i="30"/>
  <c r="AZ22" i="30"/>
  <c r="D23" i="30"/>
  <c r="G23" i="30" s="1"/>
  <c r="C24" i="30" s="1"/>
  <c r="CN22" i="30" l="1"/>
  <c r="AF21" i="30"/>
  <c r="L21" i="30"/>
  <c r="F23" i="30"/>
  <c r="P22" i="30" l="1"/>
  <c r="CG23" i="30"/>
  <c r="BX23" i="30"/>
  <c r="CL23" i="30"/>
  <c r="CK23" i="30"/>
  <c r="CI23" i="30"/>
  <c r="CH23" i="30"/>
  <c r="CM23" i="30"/>
  <c r="BW23" i="30"/>
  <c r="CF23" i="30"/>
  <c r="CD23" i="30"/>
  <c r="BV23" i="30"/>
  <c r="BY23" i="30"/>
  <c r="CC23" i="30"/>
  <c r="CE23" i="30"/>
  <c r="CJ23" i="30"/>
  <c r="CA23" i="30"/>
  <c r="CB23" i="30"/>
  <c r="BZ23" i="30"/>
  <c r="BG21" i="30"/>
  <c r="B23" i="30"/>
  <c r="AR23" i="30"/>
  <c r="X23" i="30"/>
  <c r="AB23" i="30"/>
  <c r="AJ23" i="30"/>
  <c r="T23" i="30"/>
  <c r="AZ23" i="30"/>
  <c r="D24" i="30"/>
  <c r="G24" i="30" s="1"/>
  <c r="C25" i="30" s="1"/>
  <c r="F24" i="30" l="1"/>
  <c r="L22" i="30"/>
  <c r="AF22" i="30"/>
  <c r="CN23" i="30"/>
  <c r="P23" i="30" l="1"/>
  <c r="BX24" i="30"/>
  <c r="CL24" i="30"/>
  <c r="CD24" i="30"/>
  <c r="CC24" i="30"/>
  <c r="BV24" i="30"/>
  <c r="CF24" i="30"/>
  <c r="CE24" i="30"/>
  <c r="CI24" i="30"/>
  <c r="BW24" i="30"/>
  <c r="CA24" i="30"/>
  <c r="CM24" i="30"/>
  <c r="CH24" i="30"/>
  <c r="CG24" i="30"/>
  <c r="BZ24" i="30"/>
  <c r="CK24" i="30"/>
  <c r="CJ24" i="30"/>
  <c r="CB24" i="30"/>
  <c r="BY24" i="30"/>
  <c r="BG22" i="30"/>
  <c r="AR24" i="30"/>
  <c r="X24" i="30"/>
  <c r="T24" i="30"/>
  <c r="B24" i="30"/>
  <c r="AB24" i="30"/>
  <c r="AJ24" i="30"/>
  <c r="AZ24" i="30"/>
  <c r="D25" i="30"/>
  <c r="G25" i="30" s="1"/>
  <c r="C26" i="30" s="1"/>
  <c r="F25" i="30" l="1"/>
  <c r="L23" i="30"/>
  <c r="AF23" i="30"/>
  <c r="CN24" i="30"/>
  <c r="P24" i="30" l="1"/>
  <c r="CL25" i="30"/>
  <c r="CI25" i="30"/>
  <c r="BZ25" i="30"/>
  <c r="CJ25" i="30"/>
  <c r="CK25" i="30"/>
  <c r="CE25" i="30"/>
  <c r="CD25" i="30"/>
  <c r="CG25" i="30"/>
  <c r="CC25" i="30"/>
  <c r="BY25" i="30"/>
  <c r="CA25" i="30"/>
  <c r="CF25" i="30"/>
  <c r="CM25" i="30"/>
  <c r="BX25" i="30"/>
  <c r="BV25" i="30"/>
  <c r="CB25" i="30"/>
  <c r="CH25" i="30"/>
  <c r="BW25" i="30"/>
  <c r="BG23" i="30"/>
  <c r="AB25" i="30"/>
  <c r="AR25" i="30"/>
  <c r="AJ25" i="30"/>
  <c r="B25" i="30"/>
  <c r="X25" i="30"/>
  <c r="AZ25" i="30"/>
  <c r="T25" i="30"/>
  <c r="D26" i="30"/>
  <c r="G26" i="30" s="1"/>
  <c r="C27" i="30" s="1"/>
  <c r="L24" i="30" l="1"/>
  <c r="AF24" i="30"/>
  <c r="F26" i="30"/>
  <c r="CN25" i="30"/>
  <c r="P25" i="30" l="1"/>
  <c r="CF26" i="30"/>
  <c r="BX26" i="30"/>
  <c r="CM26" i="30"/>
  <c r="CI26" i="30"/>
  <c r="CE26" i="30"/>
  <c r="CC26" i="30"/>
  <c r="BW26" i="30"/>
  <c r="CB26" i="30"/>
  <c r="CL26" i="30"/>
  <c r="CA26" i="30"/>
  <c r="CD26" i="30"/>
  <c r="CK26" i="30"/>
  <c r="BV26" i="30"/>
  <c r="CG26" i="30"/>
  <c r="CH26" i="30"/>
  <c r="BZ26" i="30"/>
  <c r="BY26" i="30"/>
  <c r="CJ26" i="30"/>
  <c r="BG24" i="30"/>
  <c r="AR26" i="30"/>
  <c r="AB26" i="30"/>
  <c r="AJ26" i="30"/>
  <c r="B26" i="30"/>
  <c r="X26" i="30"/>
  <c r="T26" i="30"/>
  <c r="AZ26" i="30"/>
  <c r="D27" i="30"/>
  <c r="G27" i="30" s="1"/>
  <c r="C28" i="30" s="1"/>
  <c r="L25" i="30" l="1"/>
  <c r="AF25" i="30"/>
  <c r="F27" i="30"/>
  <c r="CN26" i="30"/>
  <c r="P26" i="30" l="1"/>
  <c r="CH27" i="30"/>
  <c r="CE27" i="30"/>
  <c r="CF27" i="30"/>
  <c r="BX27" i="30"/>
  <c r="CM27" i="30"/>
  <c r="CA27" i="30"/>
  <c r="BZ27" i="30"/>
  <c r="CK27" i="30"/>
  <c r="CC27" i="30"/>
  <c r="CG27" i="30"/>
  <c r="CB27" i="30"/>
  <c r="CL27" i="30"/>
  <c r="CD27" i="30"/>
  <c r="BV27" i="30"/>
  <c r="BY27" i="30"/>
  <c r="BW27" i="30"/>
  <c r="CJ27" i="30"/>
  <c r="CI27" i="30"/>
  <c r="BG25" i="30"/>
  <c r="B27" i="30"/>
  <c r="AB27" i="30"/>
  <c r="X27" i="30"/>
  <c r="T27" i="30"/>
  <c r="AR27" i="30"/>
  <c r="AJ27" i="30"/>
  <c r="AZ27" i="30"/>
  <c r="D28" i="30"/>
  <c r="G28" i="30" s="1"/>
  <c r="C29" i="30" s="1"/>
  <c r="CN27" i="30" l="1"/>
  <c r="L26" i="30"/>
  <c r="AF26" i="30"/>
  <c r="F28" i="30"/>
  <c r="P27" i="30" l="1"/>
  <c r="BY28" i="30"/>
  <c r="CF28" i="30"/>
  <c r="CC28" i="30"/>
  <c r="CL28" i="30"/>
  <c r="CG28" i="30"/>
  <c r="CJ28" i="30"/>
  <c r="CA28" i="30"/>
  <c r="CD28" i="30"/>
  <c r="BV28" i="30"/>
  <c r="CB28" i="30"/>
  <c r="CM28" i="30"/>
  <c r="CI28" i="30"/>
  <c r="CK28" i="30"/>
  <c r="CE28" i="30"/>
  <c r="CH28" i="30"/>
  <c r="BX28" i="30"/>
  <c r="BW28" i="30"/>
  <c r="BZ28" i="30"/>
  <c r="BG26" i="30"/>
  <c r="AJ28" i="30"/>
  <c r="AB28" i="30"/>
  <c r="X28" i="30"/>
  <c r="AR28" i="30"/>
  <c r="B28" i="30"/>
  <c r="T28" i="30"/>
  <c r="AZ28" i="30"/>
  <c r="D29" i="30"/>
  <c r="G29" i="30" s="1"/>
  <c r="C30" i="30" s="1"/>
  <c r="L27" i="30" l="1"/>
  <c r="AF27" i="30"/>
  <c r="F29" i="30"/>
  <c r="CN28" i="30"/>
  <c r="P28" i="30" l="1"/>
  <c r="CA29" i="30"/>
  <c r="CL29" i="30"/>
  <c r="CM29" i="30"/>
  <c r="BZ29" i="30"/>
  <c r="CG29" i="30"/>
  <c r="CC29" i="30"/>
  <c r="BY29" i="30"/>
  <c r="BW29" i="30"/>
  <c r="CF29" i="30"/>
  <c r="CI29" i="30"/>
  <c r="BX29" i="30"/>
  <c r="CE29" i="30"/>
  <c r="CD29" i="30"/>
  <c r="CJ29" i="30"/>
  <c r="CB29" i="30"/>
  <c r="CH29" i="30"/>
  <c r="CK29" i="30"/>
  <c r="BV29" i="30"/>
  <c r="BG27" i="30"/>
  <c r="B29" i="30"/>
  <c r="AR29" i="30"/>
  <c r="X29" i="30"/>
  <c r="T29" i="30"/>
  <c r="AJ29" i="30"/>
  <c r="AB29" i="30"/>
  <c r="D30" i="30"/>
  <c r="G30" i="30" s="1"/>
  <c r="C31" i="30" s="1"/>
  <c r="AZ29" i="30"/>
  <c r="AF28" i="30" l="1"/>
  <c r="L28" i="30"/>
  <c r="CN29" i="30"/>
  <c r="F30" i="30"/>
  <c r="P29" i="30" l="1"/>
  <c r="BY30" i="30"/>
  <c r="BZ30" i="30"/>
  <c r="CF30" i="30"/>
  <c r="BX30" i="30"/>
  <c r="CM30" i="30"/>
  <c r="CA30" i="30"/>
  <c r="CJ30" i="30"/>
  <c r="BW30" i="30"/>
  <c r="CL30" i="30"/>
  <c r="CI30" i="30"/>
  <c r="CD30" i="30"/>
  <c r="CG30" i="30"/>
  <c r="BV30" i="30"/>
  <c r="CH30" i="30"/>
  <c r="CE30" i="30"/>
  <c r="CK30" i="30"/>
  <c r="CC30" i="30"/>
  <c r="CB30" i="30"/>
  <c r="BG28" i="30"/>
  <c r="L29" i="30"/>
  <c r="AF29" i="30"/>
  <c r="AJ30" i="30"/>
  <c r="B30" i="30"/>
  <c r="T30" i="30"/>
  <c r="AR30" i="30"/>
  <c r="AB30" i="30"/>
  <c r="X30" i="30"/>
  <c r="AZ30" i="30"/>
  <c r="D31" i="30"/>
  <c r="G31" i="30" s="1"/>
  <c r="C32" i="30" s="1"/>
  <c r="BG29" i="30" l="1"/>
  <c r="F31" i="30"/>
  <c r="CN30" i="30"/>
  <c r="P30" i="30" l="1"/>
  <c r="CF31" i="30"/>
  <c r="CL31" i="30"/>
  <c r="CD31" i="30"/>
  <c r="BV31" i="30"/>
  <c r="CG31" i="30"/>
  <c r="CE31" i="30"/>
  <c r="CJ31" i="30"/>
  <c r="CI31" i="30"/>
  <c r="CA31" i="30"/>
  <c r="BX31" i="30"/>
  <c r="CH31" i="30"/>
  <c r="CK31" i="30"/>
  <c r="CC31" i="30"/>
  <c r="BY31" i="30"/>
  <c r="CB31" i="30"/>
  <c r="BZ31" i="30"/>
  <c r="CM31" i="30"/>
  <c r="BW31" i="30"/>
  <c r="X31" i="30"/>
  <c r="AR31" i="30"/>
  <c r="B31" i="30"/>
  <c r="AB31" i="30"/>
  <c r="AJ31" i="30"/>
  <c r="T31" i="30"/>
  <c r="AZ31" i="30"/>
  <c r="D32" i="30"/>
  <c r="G32" i="30" s="1"/>
  <c r="C33" i="30" s="1"/>
  <c r="AF30" i="30" l="1"/>
  <c r="L30" i="30"/>
  <c r="F32" i="30"/>
  <c r="CN31" i="30"/>
  <c r="BG30" i="30" l="1"/>
  <c r="P31" i="30"/>
  <c r="CL32" i="30"/>
  <c r="BV32" i="30"/>
  <c r="CD32" i="30"/>
  <c r="CJ32" i="30"/>
  <c r="CM32" i="30"/>
  <c r="CB32" i="30"/>
  <c r="CG32" i="30"/>
  <c r="CI32" i="30"/>
  <c r="CF32" i="30"/>
  <c r="CA32" i="30"/>
  <c r="CE32" i="30"/>
  <c r="CH32" i="30"/>
  <c r="CC32" i="30"/>
  <c r="BZ32" i="30"/>
  <c r="BY32" i="30"/>
  <c r="BW32" i="30"/>
  <c r="BX32" i="30"/>
  <c r="CK32" i="30"/>
  <c r="L31" i="30"/>
  <c r="AF31" i="30"/>
  <c r="AR32" i="30"/>
  <c r="X32" i="30"/>
  <c r="T32" i="30"/>
  <c r="AJ32" i="30"/>
  <c r="AB32" i="30"/>
  <c r="B32" i="30"/>
  <c r="AZ32" i="30"/>
  <c r="D33" i="30"/>
  <c r="G33" i="30" s="1"/>
  <c r="C34" i="30" s="1"/>
  <c r="BG31" i="30" l="1"/>
  <c r="F33" i="30"/>
  <c r="CN32" i="30"/>
  <c r="P32" i="30" l="1"/>
  <c r="CJ33" i="30"/>
  <c r="CI33" i="30"/>
  <c r="CB33" i="30"/>
  <c r="CM33" i="30"/>
  <c r="CH33" i="30"/>
  <c r="CK33" i="30"/>
  <c r="BZ33" i="30"/>
  <c r="CE33" i="30"/>
  <c r="CG33" i="30"/>
  <c r="CC33" i="30"/>
  <c r="BY33" i="30"/>
  <c r="CA33" i="30"/>
  <c r="CF33" i="30"/>
  <c r="CD33" i="30"/>
  <c r="BX33" i="30"/>
  <c r="BW33" i="30"/>
  <c r="CL33" i="30"/>
  <c r="BV33" i="30"/>
  <c r="B33" i="30"/>
  <c r="AB33" i="30"/>
  <c r="X33" i="30"/>
  <c r="AJ33" i="30"/>
  <c r="AR33" i="30"/>
  <c r="AZ33" i="30"/>
  <c r="T33" i="30"/>
  <c r="D34" i="30"/>
  <c r="G34" i="30" s="1"/>
  <c r="C35" i="30" s="1"/>
  <c r="L32" i="30" l="1"/>
  <c r="AF32" i="30"/>
  <c r="BG32" i="30" s="1"/>
  <c r="F34" i="30"/>
  <c r="CN33" i="30"/>
  <c r="P33" i="30" l="1"/>
  <c r="CM34" i="30"/>
  <c r="CE34" i="30"/>
  <c r="BW34" i="30"/>
  <c r="CF34" i="30"/>
  <c r="CL34" i="30"/>
  <c r="CI34" i="30"/>
  <c r="CC34" i="30"/>
  <c r="BZ34" i="30"/>
  <c r="BX34" i="30"/>
  <c r="BY34" i="30"/>
  <c r="CK34" i="30"/>
  <c r="CD34" i="30"/>
  <c r="CJ34" i="30"/>
  <c r="CG34" i="30"/>
  <c r="CB34" i="30"/>
  <c r="BV34" i="30"/>
  <c r="CA34" i="30"/>
  <c r="CH34" i="30"/>
  <c r="L33" i="30"/>
  <c r="AF33" i="30"/>
  <c r="B34" i="30"/>
  <c r="AJ34" i="30"/>
  <c r="AR34" i="30"/>
  <c r="AB34" i="30"/>
  <c r="X34" i="30"/>
  <c r="AZ34" i="30"/>
  <c r="T34" i="30"/>
  <c r="D35" i="30"/>
  <c r="G35" i="30" s="1"/>
  <c r="C36" i="30" s="1"/>
  <c r="BG33" i="30" l="1"/>
  <c r="P34" i="30"/>
  <c r="CN34" i="30"/>
  <c r="F35" i="30"/>
  <c r="CK35" i="30" l="1"/>
  <c r="CB35" i="30"/>
  <c r="CL35" i="30"/>
  <c r="CI35" i="30"/>
  <c r="CA35" i="30"/>
  <c r="CH35" i="30"/>
  <c r="BZ35" i="30"/>
  <c r="CF35" i="30"/>
  <c r="CM35" i="30"/>
  <c r="CD35" i="30"/>
  <c r="BV35" i="30"/>
  <c r="CG35" i="30"/>
  <c r="BY35" i="30"/>
  <c r="CE35" i="30"/>
  <c r="CC35" i="30"/>
  <c r="CJ35" i="30"/>
  <c r="BX35" i="30"/>
  <c r="BW35" i="30"/>
  <c r="AF34" i="30"/>
  <c r="L34" i="30"/>
  <c r="B35" i="30"/>
  <c r="AJ35" i="30"/>
  <c r="T35" i="30"/>
  <c r="AB35" i="30"/>
  <c r="AR35" i="30"/>
  <c r="X35" i="30"/>
  <c r="D36" i="30"/>
  <c r="G36" i="30" s="1"/>
  <c r="C37" i="30" s="1"/>
  <c r="AZ35" i="30"/>
  <c r="BG34" i="30" l="1"/>
  <c r="P35" i="30"/>
  <c r="CN35" i="30"/>
  <c r="F36" i="30"/>
  <c r="CL36" i="30" l="1"/>
  <c r="CD36" i="30"/>
  <c r="BV36" i="30"/>
  <c r="CH36" i="30"/>
  <c r="BW36" i="30"/>
  <c r="CC36" i="30"/>
  <c r="CG36" i="30"/>
  <c r="CF36" i="30"/>
  <c r="CI36" i="30"/>
  <c r="CE36" i="30"/>
  <c r="CA36" i="30"/>
  <c r="CJ36" i="30"/>
  <c r="BY36" i="30"/>
  <c r="BZ36" i="30"/>
  <c r="CB36" i="30"/>
  <c r="CM36" i="30"/>
  <c r="BX36" i="30"/>
  <c r="CK36" i="30"/>
  <c r="L35" i="30"/>
  <c r="AF35" i="30"/>
  <c r="X36" i="30"/>
  <c r="T36" i="30"/>
  <c r="B36" i="30"/>
  <c r="AB36" i="30"/>
  <c r="AR36" i="30"/>
  <c r="AJ36" i="30"/>
  <c r="AZ36" i="30"/>
  <c r="D37" i="30"/>
  <c r="G37" i="30" s="1"/>
  <c r="C38" i="30" s="1"/>
  <c r="BG35" i="30" l="1"/>
  <c r="P36" i="30"/>
  <c r="F37" i="30"/>
  <c r="CN36" i="30"/>
  <c r="CD37" i="30" l="1"/>
  <c r="CK37" i="30"/>
  <c r="CJ37" i="30"/>
  <c r="BW37" i="30"/>
  <c r="CB37" i="30"/>
  <c r="CM37" i="30"/>
  <c r="CC37" i="30"/>
  <c r="CA37" i="30"/>
  <c r="CE37" i="30"/>
  <c r="CL37" i="30"/>
  <c r="CF37" i="30"/>
  <c r="BV37" i="30"/>
  <c r="BX37" i="30"/>
  <c r="BZ37" i="30"/>
  <c r="CI37" i="30"/>
  <c r="CG37" i="30"/>
  <c r="BY37" i="30"/>
  <c r="CH37" i="30"/>
  <c r="AF36" i="30"/>
  <c r="L36" i="30"/>
  <c r="T37" i="30"/>
  <c r="X37" i="30"/>
  <c r="AR37" i="30"/>
  <c r="AB37" i="30"/>
  <c r="B37" i="30"/>
  <c r="AJ37" i="30"/>
  <c r="AZ37" i="30"/>
  <c r="D38" i="30"/>
  <c r="G38" i="30" s="1"/>
  <c r="C39" i="30" s="1"/>
  <c r="BG36" i="30" l="1"/>
  <c r="P37" i="30"/>
  <c r="F38" i="30"/>
  <c r="CN37" i="30"/>
  <c r="CF38" i="30" l="1"/>
  <c r="CH38" i="30"/>
  <c r="BZ38" i="30"/>
  <c r="CA38" i="30"/>
  <c r="CM38" i="30"/>
  <c r="BY38" i="30"/>
  <c r="CE38" i="30"/>
  <c r="CK38" i="30"/>
  <c r="BW38" i="30"/>
  <c r="BX38" i="30"/>
  <c r="CL38" i="30"/>
  <c r="CI38" i="30"/>
  <c r="CD38" i="30"/>
  <c r="CJ38" i="30"/>
  <c r="BV38" i="30"/>
  <c r="CG38" i="30"/>
  <c r="CB38" i="30"/>
  <c r="CC38" i="30"/>
  <c r="L37" i="30"/>
  <c r="AF37" i="30"/>
  <c r="AB38" i="30"/>
  <c r="T38" i="30"/>
  <c r="AJ38" i="30"/>
  <c r="B38" i="30"/>
  <c r="X38" i="30"/>
  <c r="AR38" i="30"/>
  <c r="AZ38" i="30"/>
  <c r="D39" i="30"/>
  <c r="G39" i="30" s="1"/>
  <c r="C40" i="30" s="1"/>
  <c r="BG37" i="30" l="1"/>
  <c r="P38" i="30"/>
  <c r="F39" i="30"/>
  <c r="CN38" i="30"/>
  <c r="CM39" i="30" l="1"/>
  <c r="CA39" i="30"/>
  <c r="BZ39" i="30"/>
  <c r="CL39" i="30"/>
  <c r="CF39" i="30"/>
  <c r="BW39" i="30"/>
  <c r="BX39" i="30"/>
  <c r="CI39" i="30"/>
  <c r="CK39" i="30"/>
  <c r="BV39" i="30"/>
  <c r="CC39" i="30"/>
  <c r="CH39" i="30"/>
  <c r="CJ39" i="30"/>
  <c r="BY39" i="30"/>
  <c r="CB39" i="30"/>
  <c r="CE39" i="30"/>
  <c r="CG39" i="30"/>
  <c r="CD39" i="30"/>
  <c r="L38" i="30"/>
  <c r="AF38" i="30"/>
  <c r="AB39" i="30"/>
  <c r="AR39" i="30"/>
  <c r="X39" i="30"/>
  <c r="AJ39" i="30"/>
  <c r="B39" i="30"/>
  <c r="T39" i="30"/>
  <c r="D40" i="30"/>
  <c r="G40" i="30" s="1"/>
  <c r="C41" i="30" s="1"/>
  <c r="AZ39" i="30"/>
  <c r="BG38" i="30" l="1"/>
  <c r="P39" i="30"/>
  <c r="CN39" i="30"/>
  <c r="F40" i="30"/>
  <c r="CB40" i="30" l="1"/>
  <c r="CL40" i="30"/>
  <c r="CA40" i="30"/>
  <c r="CD40" i="30"/>
  <c r="BV40" i="30"/>
  <c r="CE40" i="30"/>
  <c r="CI40" i="30"/>
  <c r="BW40" i="30"/>
  <c r="CH40" i="30"/>
  <c r="BZ40" i="30"/>
  <c r="CC40" i="30"/>
  <c r="BY40" i="30"/>
  <c r="BX40" i="30"/>
  <c r="CG40" i="30"/>
  <c r="CJ40" i="30"/>
  <c r="CF40" i="30"/>
  <c r="CK40" i="30"/>
  <c r="CM40" i="30"/>
  <c r="L39" i="30"/>
  <c r="AF39" i="30"/>
  <c r="AJ40" i="30"/>
  <c r="B40" i="30"/>
  <c r="X40" i="30"/>
  <c r="AR40" i="30"/>
  <c r="AB40" i="30"/>
  <c r="T40" i="30"/>
  <c r="AZ40" i="30"/>
  <c r="D41" i="30"/>
  <c r="G41" i="30" s="1"/>
  <c r="C42" i="30" s="1"/>
  <c r="BG39" i="30" l="1"/>
  <c r="P40" i="30"/>
  <c r="F41" i="30"/>
  <c r="CN40" i="30"/>
  <c r="CI41" i="30" l="1"/>
  <c r="CJ41" i="30"/>
  <c r="CC41" i="30"/>
  <c r="CB41" i="30"/>
  <c r="CG41" i="30"/>
  <c r="BY41" i="30"/>
  <c r="CF41" i="30"/>
  <c r="CA41" i="30"/>
  <c r="BW41" i="30"/>
  <c r="CE41" i="30"/>
  <c r="CD41" i="30"/>
  <c r="BX41" i="30"/>
  <c r="CL41" i="30"/>
  <c r="BZ41" i="30"/>
  <c r="CM41" i="30"/>
  <c r="BV41" i="30"/>
  <c r="CK41" i="30"/>
  <c r="CH41" i="30"/>
  <c r="AF40" i="30"/>
  <c r="L40" i="30"/>
  <c r="X41" i="30"/>
  <c r="B41" i="30"/>
  <c r="AB41" i="30"/>
  <c r="AJ41" i="30"/>
  <c r="T41" i="30"/>
  <c r="AR41" i="30"/>
  <c r="AZ41" i="30"/>
  <c r="D42" i="30"/>
  <c r="G42" i="30" s="1"/>
  <c r="C43" i="30" s="1"/>
  <c r="BG40" i="30" l="1"/>
  <c r="P41" i="30"/>
  <c r="F42" i="30"/>
  <c r="CN41" i="30"/>
  <c r="BX42" i="30" l="1"/>
  <c r="CH42" i="30"/>
  <c r="BZ42" i="30"/>
  <c r="CE42" i="30"/>
  <c r="CG42" i="30"/>
  <c r="CB42" i="30"/>
  <c r="CM42" i="30"/>
  <c r="CA42" i="30"/>
  <c r="BY42" i="30"/>
  <c r="BW42" i="30"/>
  <c r="CC42" i="30"/>
  <c r="CL42" i="30"/>
  <c r="CI42" i="30"/>
  <c r="CD42" i="30"/>
  <c r="CK42" i="30"/>
  <c r="BV42" i="30"/>
  <c r="CF42" i="30"/>
  <c r="CJ42" i="30"/>
  <c r="L41" i="30"/>
  <c r="AF41" i="30"/>
  <c r="AJ42" i="30"/>
  <c r="AR42" i="30"/>
  <c r="AB42" i="30"/>
  <c r="B42" i="30"/>
  <c r="T42" i="30"/>
  <c r="X42" i="30"/>
  <c r="AZ42" i="30"/>
  <c r="D43" i="30"/>
  <c r="G43" i="30" s="1"/>
  <c r="C44" i="30" s="1"/>
  <c r="BG41" i="30" l="1"/>
  <c r="P42" i="30"/>
  <c r="F43" i="30"/>
  <c r="CN42" i="30"/>
  <c r="BZ43" i="30" l="1"/>
  <c r="CI43" i="30"/>
  <c r="CB43" i="30"/>
  <c r="CK43" i="30"/>
  <c r="BW43" i="30"/>
  <c r="BY43" i="30"/>
  <c r="CL43" i="30"/>
  <c r="CG43" i="30"/>
  <c r="CE43" i="30"/>
  <c r="CA43" i="30"/>
  <c r="CH43" i="30"/>
  <c r="CC43" i="30"/>
  <c r="CF43" i="30"/>
  <c r="BV43" i="30"/>
  <c r="BX43" i="30"/>
  <c r="CJ43" i="30"/>
  <c r="CD43" i="30"/>
  <c r="CM43" i="30"/>
  <c r="L42" i="30"/>
  <c r="AF42" i="30"/>
  <c r="AB43" i="30"/>
  <c r="X43" i="30"/>
  <c r="B43" i="30"/>
  <c r="AJ43" i="30"/>
  <c r="T43" i="30"/>
  <c r="AR43" i="30"/>
  <c r="AZ43" i="30"/>
  <c r="D44" i="30"/>
  <c r="G44" i="30" s="1"/>
  <c r="C45" i="30" s="1"/>
  <c r="BG42" i="30" l="1"/>
  <c r="P43" i="30"/>
  <c r="F44" i="30"/>
  <c r="CN43" i="30"/>
  <c r="CH44" i="30" l="1"/>
  <c r="BX44" i="30"/>
  <c r="CK44" i="30"/>
  <c r="CE44" i="30"/>
  <c r="CJ44" i="30"/>
  <c r="CC44" i="30"/>
  <c r="CI44" i="30"/>
  <c r="BV44" i="30"/>
  <c r="CM44" i="30"/>
  <c r="CG44" i="30"/>
  <c r="CB44" i="30"/>
  <c r="CF44" i="30"/>
  <c r="CA44" i="30"/>
  <c r="CL44" i="30"/>
  <c r="BZ44" i="30"/>
  <c r="CD44" i="30"/>
  <c r="BY44" i="30"/>
  <c r="BW44" i="30"/>
  <c r="L43" i="30"/>
  <c r="AF43" i="30"/>
  <c r="B44" i="30"/>
  <c r="AB44" i="30"/>
  <c r="X44" i="30"/>
  <c r="AR44" i="30"/>
  <c r="AJ44" i="30"/>
  <c r="T44" i="30"/>
  <c r="D45" i="30"/>
  <c r="G45" i="30" s="1"/>
  <c r="C46" i="30" s="1"/>
  <c r="AZ44" i="30"/>
  <c r="BG43" i="30" l="1"/>
  <c r="P44" i="30"/>
  <c r="CN44" i="30"/>
  <c r="F45" i="30"/>
  <c r="CH45" i="30" l="1"/>
  <c r="BY45" i="30"/>
  <c r="CA45" i="30"/>
  <c r="CF45" i="30"/>
  <c r="BW45" i="30"/>
  <c r="CL45" i="30"/>
  <c r="CD45" i="30"/>
  <c r="CC45" i="30"/>
  <c r="CE45" i="30"/>
  <c r="CK45" i="30"/>
  <c r="BV45" i="30"/>
  <c r="CJ45" i="30"/>
  <c r="CI45" i="30"/>
  <c r="CB45" i="30"/>
  <c r="BZ45" i="30"/>
  <c r="CM45" i="30"/>
  <c r="CG45" i="30"/>
  <c r="BX45" i="30"/>
  <c r="L44" i="30"/>
  <c r="AF44" i="30"/>
  <c r="X45" i="30"/>
  <c r="AJ45" i="30"/>
  <c r="T45" i="30"/>
  <c r="B45" i="30"/>
  <c r="AB45" i="30"/>
  <c r="AR45" i="30"/>
  <c r="AZ45" i="30"/>
  <c r="D46" i="30"/>
  <c r="G46" i="30" s="1"/>
  <c r="C47" i="30" s="1"/>
  <c r="BG44" i="30" l="1"/>
  <c r="P45" i="30"/>
  <c r="F46" i="30"/>
  <c r="CN45" i="30"/>
  <c r="CI46" i="30" l="1"/>
  <c r="BW46" i="30"/>
  <c r="BY46" i="30"/>
  <c r="CL46" i="30"/>
  <c r="CD46" i="30"/>
  <c r="CC46" i="30"/>
  <c r="CF46" i="30"/>
  <c r="CK46" i="30"/>
  <c r="CE46" i="30"/>
  <c r="CB46" i="30"/>
  <c r="BV46" i="30"/>
  <c r="CJ46" i="30"/>
  <c r="CH46" i="30"/>
  <c r="CA46" i="30"/>
  <c r="BZ46" i="30"/>
  <c r="CM46" i="30"/>
  <c r="CG46" i="30"/>
  <c r="BX46" i="30"/>
  <c r="L45" i="30"/>
  <c r="AF45" i="30"/>
  <c r="AJ46" i="30"/>
  <c r="T46" i="30"/>
  <c r="AB46" i="30"/>
  <c r="AR46" i="30"/>
  <c r="X46" i="30"/>
  <c r="B46" i="30"/>
  <c r="AZ46" i="30"/>
  <c r="D47" i="30"/>
  <c r="G47" i="30" s="1"/>
  <c r="C48" i="30" s="1"/>
  <c r="BG45" i="30" l="1"/>
  <c r="P46" i="30"/>
  <c r="F47" i="30"/>
  <c r="CN46" i="30"/>
  <c r="CI47" i="30" l="1"/>
  <c r="BZ47" i="30"/>
  <c r="CG47" i="30"/>
  <c r="CL47" i="30"/>
  <c r="BW47" i="30"/>
  <c r="CC47" i="30"/>
  <c r="CD47" i="30"/>
  <c r="CK47" i="30"/>
  <c r="CE47" i="30"/>
  <c r="CB47" i="30"/>
  <c r="BV47" i="30"/>
  <c r="CJ47" i="30"/>
  <c r="CF47" i="30"/>
  <c r="CA47" i="30"/>
  <c r="BX47" i="30"/>
  <c r="CM47" i="30"/>
  <c r="CH47" i="30"/>
  <c r="BY47" i="30"/>
  <c r="L46" i="30"/>
  <c r="AF46" i="30"/>
  <c r="AR47" i="30"/>
  <c r="AJ47" i="30"/>
  <c r="B47" i="30"/>
  <c r="X47" i="30"/>
  <c r="AB47" i="30"/>
  <c r="T47" i="30"/>
  <c r="AZ47" i="30"/>
  <c r="D48" i="30"/>
  <c r="G48" i="30" s="1"/>
  <c r="C49" i="30" s="1"/>
  <c r="BG46" i="30" l="1"/>
  <c r="P47" i="30"/>
  <c r="F48" i="30"/>
  <c r="CN47" i="30"/>
  <c r="BZ48" i="30" l="1"/>
  <c r="CE48" i="30"/>
  <c r="CB48" i="30"/>
  <c r="BX48" i="30"/>
  <c r="CF48" i="30"/>
  <c r="CK48" i="30"/>
  <c r="CL48" i="30"/>
  <c r="CD48" i="30"/>
  <c r="BV48" i="30"/>
  <c r="BY48" i="30"/>
  <c r="CG48" i="30"/>
  <c r="CM48" i="30"/>
  <c r="CC48" i="30"/>
  <c r="BW48" i="30"/>
  <c r="CJ48" i="30"/>
  <c r="CA48" i="30"/>
  <c r="CH48" i="30"/>
  <c r="CI48" i="30"/>
  <c r="L47" i="30"/>
  <c r="AF47" i="30"/>
  <c r="AR48" i="30"/>
  <c r="T48" i="30"/>
  <c r="AB48" i="30"/>
  <c r="B48" i="30"/>
  <c r="AJ48" i="30"/>
  <c r="X48" i="30"/>
  <c r="AZ48" i="30"/>
  <c r="D49" i="30"/>
  <c r="G49" i="30" s="1"/>
  <c r="C50" i="30" s="1"/>
  <c r="BG47" i="30" l="1"/>
  <c r="P48" i="30"/>
  <c r="F49" i="30"/>
  <c r="CN48" i="30"/>
  <c r="CE49" i="30" l="1"/>
  <c r="BV49" i="30"/>
  <c r="CD49" i="30"/>
  <c r="CA49" i="30"/>
  <c r="CJ49" i="30"/>
  <c r="BW49" i="30"/>
  <c r="CB49" i="30"/>
  <c r="CK49" i="30"/>
  <c r="CG49" i="30"/>
  <c r="CM49" i="30"/>
  <c r="BY49" i="30"/>
  <c r="CL49" i="30"/>
  <c r="CF49" i="30"/>
  <c r="CC49" i="30"/>
  <c r="BX49" i="30"/>
  <c r="BZ49" i="30"/>
  <c r="CH49" i="30"/>
  <c r="CI49" i="30"/>
  <c r="L48" i="30"/>
  <c r="AF48" i="30"/>
  <c r="T49" i="30"/>
  <c r="AR49" i="30"/>
  <c r="AJ49" i="30"/>
  <c r="AB49" i="30"/>
  <c r="X49" i="30"/>
  <c r="B49" i="30"/>
  <c r="AZ49" i="30"/>
  <c r="D50" i="30"/>
  <c r="G50" i="30" s="1"/>
  <c r="C51" i="30" s="1"/>
  <c r="BG48" i="30" l="1"/>
  <c r="P49" i="30"/>
  <c r="F50" i="30"/>
  <c r="CN49" i="30"/>
  <c r="BY50" i="30" l="1"/>
  <c r="CH50" i="30"/>
  <c r="BZ50" i="30"/>
  <c r="CG50" i="30"/>
  <c r="CM50" i="30"/>
  <c r="CA50" i="30"/>
  <c r="CE50" i="30"/>
  <c r="BX50" i="30"/>
  <c r="BW50" i="30"/>
  <c r="CJ50" i="30"/>
  <c r="CL50" i="30"/>
  <c r="CI50" i="30"/>
  <c r="CD50" i="30"/>
  <c r="CC50" i="30"/>
  <c r="BV50" i="30"/>
  <c r="CF50" i="30"/>
  <c r="CB50" i="30"/>
  <c r="CK50" i="30"/>
  <c r="L49" i="30"/>
  <c r="AF49" i="30"/>
  <c r="AR50" i="30"/>
  <c r="AJ50" i="30"/>
  <c r="B50" i="30"/>
  <c r="T50" i="30"/>
  <c r="X50" i="30"/>
  <c r="AZ50" i="30"/>
  <c r="AB50" i="30"/>
  <c r="D51" i="30"/>
  <c r="G51" i="30" s="1"/>
  <c r="C52" i="30" s="1"/>
  <c r="BG49" i="30" l="1"/>
  <c r="P50" i="30"/>
  <c r="F51" i="30"/>
  <c r="CN50" i="30"/>
  <c r="CM51" i="30" l="1"/>
  <c r="CB51" i="30"/>
  <c r="CI51" i="30"/>
  <c r="CH51" i="30"/>
  <c r="BV51" i="30"/>
  <c r="CE51" i="30"/>
  <c r="CA51" i="30"/>
  <c r="BY51" i="30"/>
  <c r="CG51" i="30"/>
  <c r="CF51" i="30"/>
  <c r="BX51" i="30"/>
  <c r="CK51" i="30"/>
  <c r="CD51" i="30"/>
  <c r="CC51" i="30"/>
  <c r="CJ51" i="30"/>
  <c r="BW51" i="30"/>
  <c r="CL51" i="30"/>
  <c r="BZ51" i="30"/>
  <c r="L50" i="30"/>
  <c r="AF50" i="30"/>
  <c r="AR51" i="30"/>
  <c r="AJ51" i="30"/>
  <c r="AB51" i="30"/>
  <c r="B51" i="30"/>
  <c r="X51" i="30"/>
  <c r="T51" i="30"/>
  <c r="AZ51" i="30"/>
  <c r="D52" i="30"/>
  <c r="G52" i="30" s="1"/>
  <c r="C53" i="30" s="1"/>
  <c r="BG50" i="30" l="1"/>
  <c r="P51" i="30"/>
  <c r="F52" i="30"/>
  <c r="CN51" i="30"/>
  <c r="CM52" i="30" l="1"/>
  <c r="BX52" i="30"/>
  <c r="CJ52" i="30"/>
  <c r="CC52" i="30"/>
  <c r="CG52" i="30"/>
  <c r="CI52" i="30"/>
  <c r="CK52" i="30"/>
  <c r="BZ52" i="30"/>
  <c r="CB52" i="30"/>
  <c r="CL52" i="30"/>
  <c r="CD52" i="30"/>
  <c r="BV52" i="30"/>
  <c r="CF52" i="30"/>
  <c r="CE52" i="30"/>
  <c r="CA52" i="30"/>
  <c r="BY52" i="30"/>
  <c r="CH52" i="30"/>
  <c r="BW52" i="30"/>
  <c r="L51" i="30"/>
  <c r="AF51" i="30"/>
  <c r="B52" i="30"/>
  <c r="AB52" i="30"/>
  <c r="AJ52" i="30"/>
  <c r="AR52" i="30"/>
  <c r="T52" i="30"/>
  <c r="X52" i="30"/>
  <c r="AZ52" i="30"/>
  <c r="D53" i="30"/>
  <c r="G53" i="30" s="1"/>
  <c r="C54" i="30" s="1"/>
  <c r="BG51" i="30" l="1"/>
  <c r="P52" i="30"/>
  <c r="F53" i="30"/>
  <c r="CN52" i="30"/>
  <c r="CH53" i="30" l="1"/>
  <c r="CK53" i="30"/>
  <c r="BV53" i="30"/>
  <c r="BW53" i="30"/>
  <c r="CD53" i="30"/>
  <c r="BZ53" i="30"/>
  <c r="BX53" i="30"/>
  <c r="CE53" i="30"/>
  <c r="CI53" i="30"/>
  <c r="CJ53" i="30"/>
  <c r="CB53" i="30"/>
  <c r="CG53" i="30"/>
  <c r="CM53" i="30"/>
  <c r="BY53" i="30"/>
  <c r="CL53" i="30"/>
  <c r="CF53" i="30"/>
  <c r="CC53" i="30"/>
  <c r="CA53" i="30"/>
  <c r="L52" i="30"/>
  <c r="AF52" i="30"/>
  <c r="AJ53" i="30"/>
  <c r="AR53" i="30"/>
  <c r="T53" i="30"/>
  <c r="AB53" i="30"/>
  <c r="B53" i="30"/>
  <c r="X53" i="30"/>
  <c r="AZ53" i="30"/>
  <c r="D54" i="30"/>
  <c r="G54" i="30" s="1"/>
  <c r="C55" i="30" s="1"/>
  <c r="BG52" i="30" l="1"/>
  <c r="P53" i="30"/>
  <c r="F54" i="30"/>
  <c r="CN53" i="30"/>
  <c r="CG54" i="30" l="1"/>
  <c r="CB54" i="30"/>
  <c r="CK54" i="30"/>
  <c r="CA54" i="30"/>
  <c r="BW54" i="30"/>
  <c r="BV54" i="30"/>
  <c r="CC54" i="30"/>
  <c r="CH54" i="30"/>
  <c r="BZ54" i="30"/>
  <c r="CM54" i="30"/>
  <c r="CE54" i="30"/>
  <c r="BY54" i="30"/>
  <c r="BX54" i="30"/>
  <c r="CL54" i="30"/>
  <c r="CJ54" i="30"/>
  <c r="CD54" i="30"/>
  <c r="CI54" i="30"/>
  <c r="CF54" i="30"/>
  <c r="L53" i="30"/>
  <c r="AF53" i="30"/>
  <c r="T54" i="30"/>
  <c r="AB54" i="30"/>
  <c r="X54" i="30"/>
  <c r="AR54" i="30"/>
  <c r="AJ54" i="30"/>
  <c r="B54" i="30"/>
  <c r="AZ54" i="30"/>
  <c r="D55" i="30"/>
  <c r="G55" i="30" s="1"/>
  <c r="C56" i="30" s="1"/>
  <c r="BG53" i="30" l="1"/>
  <c r="P54" i="30"/>
  <c r="F55" i="30"/>
  <c r="CN54" i="30"/>
  <c r="CA55" i="30" l="1"/>
  <c r="CD55" i="30"/>
  <c r="BZ55" i="30"/>
  <c r="CH55" i="30"/>
  <c r="CG55" i="30"/>
  <c r="CK55" i="30"/>
  <c r="CB55" i="30"/>
  <c r="CL55" i="30"/>
  <c r="BY55" i="30"/>
  <c r="CF55" i="30"/>
  <c r="BX55" i="30"/>
  <c r="CE55" i="30"/>
  <c r="BW55" i="30"/>
  <c r="CC55" i="30"/>
  <c r="BV55" i="30"/>
  <c r="CJ55" i="30"/>
  <c r="CM55" i="30"/>
  <c r="CI55" i="30"/>
  <c r="L54" i="30"/>
  <c r="AF54" i="30"/>
  <c r="T55" i="30"/>
  <c r="X55" i="30"/>
  <c r="AR55" i="30"/>
  <c r="AB55" i="30"/>
  <c r="AJ55" i="30"/>
  <c r="B55" i="30"/>
  <c r="AZ55" i="30"/>
  <c r="D56" i="30"/>
  <c r="G56" i="30" s="1"/>
  <c r="C57" i="30" s="1"/>
  <c r="BG54" i="30" l="1"/>
  <c r="P55" i="30"/>
  <c r="F56" i="30"/>
  <c r="CN55" i="30"/>
  <c r="BY56" i="30" l="1"/>
  <c r="CK56" i="30"/>
  <c r="CB56" i="30"/>
  <c r="CJ56" i="30"/>
  <c r="CE56" i="30"/>
  <c r="BZ56" i="30"/>
  <c r="BW56" i="30"/>
  <c r="CF56" i="30"/>
  <c r="CL56" i="30"/>
  <c r="CD56" i="30"/>
  <c r="BV56" i="30"/>
  <c r="CI56" i="30"/>
  <c r="CG56" i="30"/>
  <c r="CA56" i="30"/>
  <c r="CC56" i="30"/>
  <c r="CH56" i="30"/>
  <c r="CM56" i="30"/>
  <c r="BX56" i="30"/>
  <c r="L55" i="30"/>
  <c r="AF55" i="30"/>
  <c r="AJ56" i="30"/>
  <c r="T56" i="30"/>
  <c r="AR56" i="30"/>
  <c r="B56" i="30"/>
  <c r="X56" i="30"/>
  <c r="AB56" i="30"/>
  <c r="AZ56" i="30"/>
  <c r="D57" i="30"/>
  <c r="G57" i="30" s="1"/>
  <c r="C58" i="30" s="1"/>
  <c r="BG55" i="30" l="1"/>
  <c r="P56" i="30"/>
  <c r="CN56" i="30"/>
  <c r="F57" i="30"/>
  <c r="CK57" i="30" l="1"/>
  <c r="BV57" i="30"/>
  <c r="CH57" i="30"/>
  <c r="CM57" i="30"/>
  <c r="CA57" i="30"/>
  <c r="CB57" i="30"/>
  <c r="CG57" i="30"/>
  <c r="CC57" i="30"/>
  <c r="BX57" i="30"/>
  <c r="CD57" i="30"/>
  <c r="CJ57" i="30"/>
  <c r="BW57" i="30"/>
  <c r="CL57" i="30"/>
  <c r="CE57" i="30"/>
  <c r="BY57" i="30"/>
  <c r="CF57" i="30"/>
  <c r="BZ57" i="30"/>
  <c r="CI57" i="30"/>
  <c r="L56" i="30"/>
  <c r="AF56" i="30"/>
  <c r="B57" i="30"/>
  <c r="T57" i="30"/>
  <c r="X57" i="30"/>
  <c r="AB57" i="30"/>
  <c r="AR57" i="30"/>
  <c r="AJ57" i="30"/>
  <c r="AZ57" i="30"/>
  <c r="D58" i="30"/>
  <c r="G58" i="30" s="1"/>
  <c r="C59" i="30" s="1"/>
  <c r="BG56" i="30" l="1"/>
  <c r="P57" i="30"/>
  <c r="F58" i="30"/>
  <c r="CN57" i="30"/>
  <c r="CG58" i="30" l="1"/>
  <c r="CC58" i="30"/>
  <c r="BZ58" i="30"/>
  <c r="CE58" i="30"/>
  <c r="BX58" i="30"/>
  <c r="BV58" i="30"/>
  <c r="CI58" i="30"/>
  <c r="CH58" i="30"/>
  <c r="CK58" i="30"/>
  <c r="CM58" i="30"/>
  <c r="CA58" i="30"/>
  <c r="BY58" i="30"/>
  <c r="BW58" i="30"/>
  <c r="CL58" i="30"/>
  <c r="CJ58" i="30"/>
  <c r="CD58" i="30"/>
  <c r="CB58" i="30"/>
  <c r="CF58" i="30"/>
  <c r="L57" i="30"/>
  <c r="AF57" i="30"/>
  <c r="AR58" i="30"/>
  <c r="AJ58" i="30"/>
  <c r="X58" i="30"/>
  <c r="AB58" i="30"/>
  <c r="B58" i="30"/>
  <c r="T58" i="30"/>
  <c r="AZ58" i="30"/>
  <c r="D59" i="30"/>
  <c r="G59" i="30" s="1"/>
  <c r="C60" i="30" s="1"/>
  <c r="BG57" i="30" l="1"/>
  <c r="P58" i="30"/>
  <c r="F59" i="30"/>
  <c r="CN58" i="30"/>
  <c r="CI59" i="30" l="1"/>
  <c r="BZ59" i="30"/>
  <c r="CD59" i="30"/>
  <c r="BX59" i="30"/>
  <c r="CK59" i="30"/>
  <c r="CB59" i="30"/>
  <c r="CA59" i="30"/>
  <c r="CE59" i="30"/>
  <c r="CG59" i="30"/>
  <c r="CF59" i="30"/>
  <c r="CH59" i="30"/>
  <c r="CM59" i="30"/>
  <c r="BW59" i="30"/>
  <c r="CC59" i="30"/>
  <c r="BY59" i="30"/>
  <c r="CJ59" i="30"/>
  <c r="BV59" i="30"/>
  <c r="CL59" i="30"/>
  <c r="L58" i="30"/>
  <c r="AF58" i="30"/>
  <c r="X59" i="30"/>
  <c r="B59" i="30"/>
  <c r="AR59" i="30"/>
  <c r="T59" i="30"/>
  <c r="AJ59" i="30"/>
  <c r="AB59" i="30"/>
  <c r="AZ59" i="30"/>
  <c r="D60" i="30"/>
  <c r="G60" i="30" s="1"/>
  <c r="C61" i="30" s="1"/>
  <c r="BG58" i="30" l="1"/>
  <c r="P59" i="30"/>
  <c r="F60" i="30"/>
  <c r="CN59" i="30"/>
  <c r="CM60" i="30" l="1"/>
  <c r="BW60" i="30"/>
  <c r="CA60" i="30"/>
  <c r="CK60" i="30"/>
  <c r="BX60" i="30"/>
  <c r="CL60" i="30"/>
  <c r="CJ60" i="30"/>
  <c r="CD60" i="30"/>
  <c r="CG60" i="30"/>
  <c r="BV60" i="30"/>
  <c r="CF60" i="30"/>
  <c r="CI60" i="30"/>
  <c r="CE60" i="30"/>
  <c r="CC60" i="30"/>
  <c r="CH60" i="30"/>
  <c r="BY60" i="30"/>
  <c r="BZ60" i="30"/>
  <c r="CB60" i="30"/>
  <c r="L59" i="30"/>
  <c r="AF59" i="30"/>
  <c r="X60" i="30"/>
  <c r="AR60" i="30"/>
  <c r="B60" i="30"/>
  <c r="T60" i="30"/>
  <c r="AB60" i="30"/>
  <c r="AJ60" i="30"/>
  <c r="AZ60" i="30"/>
  <c r="D61" i="30"/>
  <c r="G61" i="30" s="1"/>
  <c r="C62" i="30" s="1"/>
  <c r="BG59" i="30" l="1"/>
  <c r="P60" i="30"/>
  <c r="F61" i="30"/>
  <c r="CN60" i="30"/>
  <c r="BV61" i="30" l="1"/>
  <c r="CL61" i="30"/>
  <c r="CI61" i="30"/>
  <c r="CE61" i="30"/>
  <c r="CB61" i="30"/>
  <c r="BX61" i="30"/>
  <c r="BW61" i="30"/>
  <c r="CC61" i="30"/>
  <c r="CJ61" i="30"/>
  <c r="CH61" i="30"/>
  <c r="CM61" i="30"/>
  <c r="CG61" i="30"/>
  <c r="CD61" i="30"/>
  <c r="BY61" i="30"/>
  <c r="CA61" i="30"/>
  <c r="CF61" i="30"/>
  <c r="BZ61" i="30"/>
  <c r="CK61" i="30"/>
  <c r="L60" i="30"/>
  <c r="AF60" i="30"/>
  <c r="X61" i="30"/>
  <c r="B61" i="30"/>
  <c r="T61" i="30"/>
  <c r="AJ61" i="30"/>
  <c r="AB61" i="30"/>
  <c r="AR61" i="30"/>
  <c r="AZ61" i="30"/>
  <c r="D62" i="30"/>
  <c r="G62" i="30" s="1"/>
  <c r="C63" i="30" s="1"/>
  <c r="BG60" i="30" l="1"/>
  <c r="P61" i="30"/>
  <c r="F62" i="30"/>
  <c r="CN61" i="30"/>
  <c r="CI62" i="30" l="1"/>
  <c r="CF62" i="30"/>
  <c r="CA62" i="30"/>
  <c r="CH62" i="30"/>
  <c r="BZ62" i="30"/>
  <c r="CE62" i="30"/>
  <c r="BW62" i="30"/>
  <c r="CL62" i="30"/>
  <c r="CB62" i="30"/>
  <c r="BV62" i="30"/>
  <c r="CJ62" i="30"/>
  <c r="CM62" i="30"/>
  <c r="BY62" i="30"/>
  <c r="BX62" i="30"/>
  <c r="CK62" i="30"/>
  <c r="CC62" i="30"/>
  <c r="CD62" i="30"/>
  <c r="CG62" i="30"/>
  <c r="L61" i="30"/>
  <c r="AF61" i="30"/>
  <c r="AR62" i="30"/>
  <c r="T62" i="30"/>
  <c r="AB62" i="30"/>
  <c r="B62" i="30"/>
  <c r="X62" i="30"/>
  <c r="AJ62" i="30"/>
  <c r="AZ62" i="30"/>
  <c r="D63" i="30"/>
  <c r="G63" i="30" s="1"/>
  <c r="C64" i="30" s="1"/>
  <c r="BG61" i="30" l="1"/>
  <c r="P62" i="30"/>
  <c r="F63" i="30"/>
  <c r="CN62" i="30"/>
  <c r="CD63" i="30" l="1"/>
  <c r="CE63" i="30"/>
  <c r="CA63" i="30"/>
  <c r="BZ63" i="30"/>
  <c r="CM63" i="30"/>
  <c r="CK63" i="30"/>
  <c r="CB63" i="30"/>
  <c r="CH63" i="30"/>
  <c r="BV63" i="30"/>
  <c r="CF63" i="30"/>
  <c r="BX63" i="30"/>
  <c r="CG63" i="30"/>
  <c r="BY63" i="30"/>
  <c r="CC63" i="30"/>
  <c r="BW63" i="30"/>
  <c r="CJ63" i="30"/>
  <c r="CL63" i="30"/>
  <c r="CI63" i="30"/>
  <c r="L62" i="30"/>
  <c r="AF62" i="30"/>
  <c r="B63" i="30"/>
  <c r="AJ63" i="30"/>
  <c r="AB63" i="30"/>
  <c r="AR63" i="30"/>
  <c r="T63" i="30"/>
  <c r="X63" i="30"/>
  <c r="AZ63" i="30"/>
  <c r="D64" i="30"/>
  <c r="G64" i="30" s="1"/>
  <c r="C65" i="30" s="1"/>
  <c r="BG62" i="30" l="1"/>
  <c r="P63" i="30"/>
  <c r="CN63" i="30"/>
  <c r="F64" i="30"/>
  <c r="CB64" i="30" l="1"/>
  <c r="CC64" i="30"/>
  <c r="CL64" i="30"/>
  <c r="CD64" i="30"/>
  <c r="CI64" i="30"/>
  <c r="BZ64" i="30"/>
  <c r="CM64" i="30"/>
  <c r="BX64" i="30"/>
  <c r="CJ64" i="30"/>
  <c r="CG64" i="30"/>
  <c r="BV64" i="30"/>
  <c r="CE64" i="30"/>
  <c r="CF64" i="30"/>
  <c r="CA64" i="30"/>
  <c r="BW64" i="30"/>
  <c r="CH64" i="30"/>
  <c r="CK64" i="30"/>
  <c r="BY64" i="30"/>
  <c r="L63" i="30"/>
  <c r="AF63" i="30"/>
  <c r="B64" i="30"/>
  <c r="AB64" i="30"/>
  <c r="X64" i="30"/>
  <c r="AR64" i="30"/>
  <c r="AJ64" i="30"/>
  <c r="T64" i="30"/>
  <c r="AZ64" i="30"/>
  <c r="D65" i="30"/>
  <c r="G65" i="30" s="1"/>
  <c r="C66" i="30" s="1"/>
  <c r="BG63" i="30" l="1"/>
  <c r="P64" i="30"/>
  <c r="AF64" i="30"/>
  <c r="F65" i="30"/>
  <c r="CN64" i="30"/>
  <c r="CI65" i="30" l="1"/>
  <c r="BG64" i="30"/>
  <c r="L64" i="30"/>
  <c r="BV65" i="30"/>
  <c r="CK65" i="30"/>
  <c r="BZ65" i="30"/>
  <c r="CH65" i="30"/>
  <c r="CC65" i="30"/>
  <c r="BX65" i="30"/>
  <c r="CG65" i="30"/>
  <c r="CL65" i="30"/>
  <c r="CM65" i="30"/>
  <c r="BW65" i="30"/>
  <c r="CJ65" i="30"/>
  <c r="CF65" i="30"/>
  <c r="CB65" i="30"/>
  <c r="CE65" i="30"/>
  <c r="BY65" i="30"/>
  <c r="CD65" i="30"/>
  <c r="CA65" i="30"/>
  <c r="AB65" i="30"/>
  <c r="B65" i="30"/>
  <c r="AJ65" i="30"/>
  <c r="AR65" i="30"/>
  <c r="T65" i="30"/>
  <c r="X65" i="30"/>
  <c r="AZ65" i="30"/>
  <c r="D66" i="30"/>
  <c r="G66" i="30" s="1"/>
  <c r="C67" i="30" s="1"/>
  <c r="P65" i="30" l="1"/>
  <c r="AF65" i="30"/>
  <c r="F66" i="30"/>
  <c r="CN65" i="30"/>
  <c r="CL66" i="30" l="1"/>
  <c r="BG65" i="30"/>
  <c r="L65" i="30"/>
  <c r="CB66" i="30"/>
  <c r="CM66" i="30"/>
  <c r="CC66" i="30"/>
  <c r="CK66" i="30"/>
  <c r="BX66" i="30"/>
  <c r="CA66" i="30"/>
  <c r="CJ66" i="30"/>
  <c r="CI66" i="30"/>
  <c r="CG66" i="30"/>
  <c r="BY66" i="30"/>
  <c r="CE66" i="30"/>
  <c r="CH66" i="30"/>
  <c r="CF66" i="30"/>
  <c r="BZ66" i="30"/>
  <c r="CD66" i="30"/>
  <c r="BW66" i="30"/>
  <c r="BV66" i="30"/>
  <c r="AJ66" i="30"/>
  <c r="B66" i="30"/>
  <c r="AR66" i="30"/>
  <c r="X66" i="30"/>
  <c r="T66" i="30"/>
  <c r="AB66" i="30"/>
  <c r="AZ66" i="30"/>
  <c r="D67" i="30"/>
  <c r="G67" i="30" s="1"/>
  <c r="C68" i="30" s="1"/>
  <c r="P66" i="30" l="1"/>
  <c r="AF66" i="30"/>
  <c r="F67" i="30"/>
  <c r="CN66" i="30"/>
  <c r="CK67" i="30" l="1"/>
  <c r="L66" i="30"/>
  <c r="BG66" i="30"/>
  <c r="BV67" i="30"/>
  <c r="CD67" i="30"/>
  <c r="CE67" i="30"/>
  <c r="CJ67" i="30"/>
  <c r="CM67" i="30"/>
  <c r="CH67" i="30"/>
  <c r="CC67" i="30"/>
  <c r="BY67" i="30"/>
  <c r="CI67" i="30"/>
  <c r="CG67" i="30"/>
  <c r="BZ67" i="30"/>
  <c r="CB67" i="30"/>
  <c r="CF67" i="30"/>
  <c r="CA67" i="30"/>
  <c r="BX67" i="30"/>
  <c r="CL67" i="30"/>
  <c r="BW67" i="30"/>
  <c r="X67" i="30"/>
  <c r="AJ67" i="30"/>
  <c r="AB67" i="30"/>
  <c r="T67" i="30"/>
  <c r="AR67" i="30"/>
  <c r="B67" i="30"/>
  <c r="AZ67" i="30"/>
  <c r="D68" i="30"/>
  <c r="G68" i="30" s="1"/>
  <c r="C69" i="30" s="1"/>
  <c r="P67" i="30" l="1"/>
  <c r="AF67" i="30"/>
  <c r="F68" i="30"/>
  <c r="BG67" i="30"/>
  <c r="CN67" i="30"/>
  <c r="BY68" i="30" l="1"/>
  <c r="CE68" i="30"/>
  <c r="CG68" i="30"/>
  <c r="L67" i="30"/>
  <c r="BW68" i="30"/>
  <c r="CH68" i="30"/>
  <c r="BX68" i="30"/>
  <c r="CI68" i="30"/>
  <c r="CF68" i="30"/>
  <c r="BZ68" i="30"/>
  <c r="CJ68" i="30"/>
  <c r="CB68" i="30"/>
  <c r="CL68" i="30"/>
  <c r="CC68" i="30"/>
  <c r="CD68" i="30"/>
  <c r="CA68" i="30"/>
  <c r="BV68" i="30"/>
  <c r="CM68" i="30"/>
  <c r="CK68" i="30"/>
  <c r="T68" i="30"/>
  <c r="AJ68" i="30"/>
  <c r="X68" i="30"/>
  <c r="AB68" i="30"/>
  <c r="AR68" i="30"/>
  <c r="B68" i="30"/>
  <c r="AZ68" i="30"/>
  <c r="D69" i="30"/>
  <c r="G69" i="30" s="1"/>
  <c r="C70" i="30" s="1"/>
  <c r="P68" i="30" l="1"/>
  <c r="AF68" i="30"/>
  <c r="F69" i="30"/>
  <c r="CN68" i="30"/>
  <c r="BG68" i="30"/>
  <c r="CK69" i="30" l="1"/>
  <c r="L68" i="30"/>
  <c r="CF69" i="30"/>
  <c r="CE69" i="30"/>
  <c r="BY69" i="30"/>
  <c r="CL69" i="30"/>
  <c r="CA69" i="30"/>
  <c r="CH69" i="30"/>
  <c r="BX69" i="30"/>
  <c r="CI69" i="30"/>
  <c r="BV69" i="30"/>
  <c r="CD69" i="30"/>
  <c r="BZ69" i="30"/>
  <c r="CC69" i="30"/>
  <c r="CJ69" i="30"/>
  <c r="BW69" i="30"/>
  <c r="CB69" i="30"/>
  <c r="CM69" i="30"/>
  <c r="CG69" i="30"/>
  <c r="AR69" i="30"/>
  <c r="AB69" i="30"/>
  <c r="X69" i="30"/>
  <c r="B69" i="30"/>
  <c r="T69" i="30"/>
  <c r="AZ69" i="30"/>
  <c r="AJ69" i="30"/>
  <c r="D70" i="30"/>
  <c r="G70" i="30" s="1"/>
  <c r="C71" i="30" s="1"/>
  <c r="P69" i="30" l="1"/>
  <c r="AF69" i="30"/>
  <c r="BG69" i="30"/>
  <c r="CN69" i="30"/>
  <c r="F70" i="30"/>
  <c r="CG70" i="30" l="1"/>
  <c r="CK70" i="30"/>
  <c r="CI70" i="30"/>
  <c r="CM70" i="30"/>
  <c r="CC70" i="30"/>
  <c r="CD70" i="30"/>
  <c r="CL70" i="30"/>
  <c r="L69" i="30"/>
  <c r="CJ70" i="30"/>
  <c r="CB70" i="30"/>
  <c r="CF70" i="30"/>
  <c r="CE70" i="30"/>
  <c r="CA70" i="30"/>
  <c r="BV70" i="30"/>
  <c r="CH70" i="30"/>
  <c r="BX70" i="30"/>
  <c r="BZ70" i="30"/>
  <c r="BY70" i="30"/>
  <c r="BW70" i="30"/>
  <c r="AR70" i="30"/>
  <c r="AJ70" i="30"/>
  <c r="B70" i="30"/>
  <c r="T70" i="30"/>
  <c r="AB70" i="30"/>
  <c r="X70" i="30"/>
  <c r="AZ70" i="30"/>
  <c r="D71" i="30"/>
  <c r="G71" i="30" s="1"/>
  <c r="C72" i="30" s="1"/>
  <c r="P70" i="30" l="1"/>
  <c r="AF70" i="30"/>
  <c r="F71" i="30"/>
  <c r="BG70" i="30"/>
  <c r="CN70" i="30"/>
  <c r="BW71" i="30" l="1"/>
  <c r="L70" i="30"/>
  <c r="CH71" i="30"/>
  <c r="CE71" i="30"/>
  <c r="CG71" i="30"/>
  <c r="CC71" i="30"/>
  <c r="CK71" i="30"/>
  <c r="BV71" i="30"/>
  <c r="CI71" i="30"/>
  <c r="CD71" i="30"/>
  <c r="CJ71" i="30"/>
  <c r="CB71" i="30"/>
  <c r="CA71" i="30"/>
  <c r="BZ71" i="30"/>
  <c r="CF71" i="30"/>
  <c r="CM71" i="30"/>
  <c r="BX71" i="30"/>
  <c r="BY71" i="30"/>
  <c r="CL71" i="30"/>
  <c r="AJ71" i="30"/>
  <c r="B71" i="30"/>
  <c r="AR71" i="30"/>
  <c r="T71" i="30"/>
  <c r="X71" i="30"/>
  <c r="AB71" i="30"/>
  <c r="AZ71" i="30"/>
  <c r="D72" i="30"/>
  <c r="G72" i="30" s="1"/>
  <c r="C73" i="30" s="1"/>
  <c r="P71" i="30" l="1"/>
  <c r="AF71" i="30"/>
  <c r="F72" i="30"/>
  <c r="L72" i="30"/>
  <c r="BG71" i="30"/>
  <c r="CN71" i="30"/>
  <c r="BX72" i="30" l="1"/>
  <c r="L71" i="30"/>
  <c r="P72" i="30"/>
  <c r="CK72" i="30"/>
  <c r="CC72" i="30"/>
  <c r="CI72" i="30"/>
  <c r="BY72" i="30"/>
  <c r="CG72" i="30"/>
  <c r="BW72" i="30"/>
  <c r="CF72" i="30"/>
  <c r="CJ72" i="30"/>
  <c r="CA72" i="30"/>
  <c r="CB72" i="30"/>
  <c r="CL72" i="30"/>
  <c r="BZ72" i="30"/>
  <c r="CD72" i="30"/>
  <c r="CM72" i="30"/>
  <c r="BV72" i="30"/>
  <c r="CE72" i="30"/>
  <c r="CH72" i="30"/>
  <c r="X72" i="30"/>
  <c r="AJ72" i="30"/>
  <c r="AB72" i="30"/>
  <c r="B72" i="30"/>
  <c r="AF72" i="30"/>
  <c r="T72" i="30"/>
  <c r="AR72" i="30"/>
  <c r="AZ72" i="30"/>
  <c r="D73" i="30"/>
  <c r="G73" i="30" s="1"/>
  <c r="C74" i="30" s="1"/>
  <c r="L73" i="30" l="1"/>
  <c r="F73" i="30"/>
  <c r="BG72" i="30"/>
  <c r="CN72" i="30"/>
  <c r="CE73" i="30" l="1"/>
  <c r="CF73" i="30"/>
  <c r="CK73" i="30"/>
  <c r="BW73" i="30"/>
  <c r="BV73" i="30"/>
  <c r="CB73" i="30"/>
  <c r="CL73" i="30"/>
  <c r="BZ73" i="30"/>
  <c r="CM73" i="30"/>
  <c r="P73" i="30"/>
  <c r="CC73" i="30"/>
  <c r="CG73" i="30"/>
  <c r="CI73" i="30"/>
  <c r="BY73" i="30"/>
  <c r="CD73" i="30"/>
  <c r="BX73" i="30"/>
  <c r="CA73" i="30"/>
  <c r="CJ73" i="30"/>
  <c r="CH73" i="30"/>
  <c r="AB73" i="30"/>
  <c r="X73" i="30"/>
  <c r="AR73" i="30"/>
  <c r="B73" i="30"/>
  <c r="T73" i="30"/>
  <c r="AJ73" i="30"/>
  <c r="AF73" i="30"/>
  <c r="AZ73" i="30"/>
  <c r="D74" i="30"/>
  <c r="G74" i="30" s="1"/>
  <c r="C75" i="30" s="1"/>
  <c r="L74" i="30" l="1"/>
  <c r="F74" i="30"/>
  <c r="BG73" i="30"/>
  <c r="CN73" i="30"/>
  <c r="CF74" i="30" l="1"/>
  <c r="CM74" i="30"/>
  <c r="CC74" i="30"/>
  <c r="CK74" i="30"/>
  <c r="BY74" i="30"/>
  <c r="BX74" i="30"/>
  <c r="BW74" i="30"/>
  <c r="CI74" i="30"/>
  <c r="CA74" i="30"/>
  <c r="CD74" i="30"/>
  <c r="CE74" i="30"/>
  <c r="P74" i="30"/>
  <c r="CG74" i="30"/>
  <c r="CB74" i="30"/>
  <c r="CL74" i="30"/>
  <c r="CH74" i="30"/>
  <c r="CJ74" i="30"/>
  <c r="BZ74" i="30"/>
  <c r="BV74" i="30"/>
  <c r="X74" i="30"/>
  <c r="AB74" i="30"/>
  <c r="AJ74" i="30"/>
  <c r="AR74" i="30"/>
  <c r="T74" i="30"/>
  <c r="B74" i="30"/>
  <c r="AF74" i="30"/>
  <c r="AZ74" i="30"/>
  <c r="D75" i="30"/>
  <c r="G75" i="30" s="1"/>
  <c r="C76" i="30" s="1"/>
  <c r="L75" i="30" l="1"/>
  <c r="F75" i="30"/>
  <c r="CN74" i="30"/>
  <c r="BG74" i="30"/>
  <c r="CI75" i="30" l="1"/>
  <c r="CJ75" i="30"/>
  <c r="CA75" i="30"/>
  <c r="CG75" i="30"/>
  <c r="BV75" i="30"/>
  <c r="CM75" i="30"/>
  <c r="CH75" i="30"/>
  <c r="P75" i="30"/>
  <c r="BW75" i="30"/>
  <c r="CE75" i="30"/>
  <c r="CD75" i="30"/>
  <c r="CK75" i="30"/>
  <c r="CC75" i="30"/>
  <c r="CB75" i="30"/>
  <c r="BZ75" i="30"/>
  <c r="CF75" i="30"/>
  <c r="BY75" i="30"/>
  <c r="BX75" i="30"/>
  <c r="CL75" i="30"/>
  <c r="B75" i="30"/>
  <c r="AF75" i="30"/>
  <c r="T75" i="30"/>
  <c r="AB75" i="30"/>
  <c r="X75" i="30"/>
  <c r="AJ75" i="30"/>
  <c r="AR75" i="30"/>
  <c r="AZ75" i="30"/>
  <c r="D76" i="30"/>
  <c r="G76" i="30" s="1"/>
  <c r="C77" i="30" s="1"/>
  <c r="F76" i="30" l="1"/>
  <c r="L76" i="30"/>
  <c r="CN75" i="30"/>
  <c r="BG75" i="30"/>
  <c r="CI76" i="30" l="1"/>
  <c r="BY76" i="30"/>
  <c r="CH76" i="30"/>
  <c r="CE76" i="30"/>
  <c r="CJ76" i="30"/>
  <c r="BZ76" i="30"/>
  <c r="P76" i="30"/>
  <c r="BW76" i="30"/>
  <c r="BX76" i="30"/>
  <c r="CK76" i="30"/>
  <c r="CC76" i="30"/>
  <c r="CB76" i="30"/>
  <c r="CM76" i="30"/>
  <c r="CL76" i="30"/>
  <c r="CG76" i="30"/>
  <c r="CD76" i="30"/>
  <c r="CF76" i="30"/>
  <c r="BV76" i="30"/>
  <c r="CA76" i="30"/>
  <c r="AF76" i="30"/>
  <c r="AJ76" i="30"/>
  <c r="T76" i="30"/>
  <c r="AR76" i="30"/>
  <c r="B76" i="30"/>
  <c r="AB76" i="30"/>
  <c r="X76" i="30"/>
  <c r="AZ76" i="30"/>
  <c r="D77" i="30"/>
  <c r="G77" i="30" s="1"/>
  <c r="C78" i="30" s="1"/>
  <c r="F77" i="30" l="1"/>
  <c r="L77" i="30"/>
  <c r="BG76" i="30"/>
  <c r="CN76" i="30"/>
  <c r="BX77" i="30" l="1"/>
  <c r="CM77" i="30"/>
  <c r="CD77" i="30"/>
  <c r="CE77" i="30"/>
  <c r="BZ77" i="30"/>
  <c r="CC77" i="30"/>
  <c r="BW77" i="30"/>
  <c r="BV77" i="30"/>
  <c r="CB77" i="30"/>
  <c r="CG77" i="30"/>
  <c r="P77" i="30"/>
  <c r="CA77" i="30"/>
  <c r="CI77" i="30"/>
  <c r="CK77" i="30"/>
  <c r="CH77" i="30"/>
  <c r="CL77" i="30"/>
  <c r="BY77" i="30"/>
  <c r="CJ77" i="30"/>
  <c r="CF77" i="30"/>
  <c r="AJ77" i="30"/>
  <c r="AB77" i="30"/>
  <c r="X77" i="30"/>
  <c r="B77" i="30"/>
  <c r="AF77" i="30"/>
  <c r="AR77" i="30"/>
  <c r="T77" i="30"/>
  <c r="D78" i="30"/>
  <c r="G78" i="30" s="1"/>
  <c r="C79" i="30" s="1"/>
  <c r="AZ77" i="30"/>
  <c r="BG77" i="30" l="1"/>
  <c r="CN77" i="30"/>
  <c r="L78" i="30"/>
  <c r="F78" i="30"/>
  <c r="CM78" i="30" l="1"/>
  <c r="BY78" i="30"/>
  <c r="P78" i="30"/>
  <c r="BV78" i="30"/>
  <c r="BX78" i="30"/>
  <c r="CE78" i="30"/>
  <c r="BW78" i="30"/>
  <c r="CA78" i="30"/>
  <c r="CI78" i="30"/>
  <c r="CD78" i="30"/>
  <c r="CK78" i="30"/>
  <c r="CL78" i="30"/>
  <c r="CJ78" i="30"/>
  <c r="CC78" i="30"/>
  <c r="CG78" i="30"/>
  <c r="CH78" i="30"/>
  <c r="CF78" i="30"/>
  <c r="BZ78" i="30"/>
  <c r="CB78" i="30"/>
  <c r="B78" i="30"/>
  <c r="X78" i="30"/>
  <c r="AB78" i="30"/>
  <c r="AF78" i="30"/>
  <c r="AR78" i="30"/>
  <c r="T78" i="30"/>
  <c r="AJ78" i="30"/>
  <c r="D79" i="30"/>
  <c r="G79" i="30" s="1"/>
  <c r="C80" i="30" s="1"/>
  <c r="AZ78" i="30"/>
  <c r="CN78" i="30" l="1"/>
  <c r="BG78" i="30"/>
  <c r="F79" i="30"/>
  <c r="L79" i="30"/>
  <c r="CJ79" i="30" l="1"/>
  <c r="CH79" i="30"/>
  <c r="P79" i="30"/>
  <c r="BW79" i="30"/>
  <c r="CE79" i="30"/>
  <c r="CG79" i="30"/>
  <c r="CB79" i="30"/>
  <c r="BV79" i="30"/>
  <c r="CA79" i="30"/>
  <c r="CL79" i="30"/>
  <c r="CI79" i="30"/>
  <c r="CC79" i="30"/>
  <c r="CM79" i="30"/>
  <c r="CF79" i="30"/>
  <c r="CK79" i="30"/>
  <c r="BX79" i="30"/>
  <c r="BZ79" i="30"/>
  <c r="CD79" i="30"/>
  <c r="BY79" i="30"/>
  <c r="AF79" i="30"/>
  <c r="AB79" i="30"/>
  <c r="AR79" i="30"/>
  <c r="AJ79" i="30"/>
  <c r="B79" i="30"/>
  <c r="T79" i="30"/>
  <c r="X79" i="30"/>
  <c r="AZ79" i="30"/>
  <c r="D80" i="30"/>
  <c r="G80" i="30" s="1"/>
  <c r="C81" i="30" s="1"/>
  <c r="F80" i="30" l="1"/>
  <c r="L80" i="30"/>
  <c r="BG79" i="30"/>
  <c r="CN79" i="30"/>
  <c r="CF80" i="30" l="1"/>
  <c r="CA80" i="30"/>
  <c r="CJ80" i="30"/>
  <c r="BZ80" i="30"/>
  <c r="P80" i="30"/>
  <c r="CK80" i="30"/>
  <c r="CE80" i="30"/>
  <c r="CM80" i="30"/>
  <c r="CC80" i="30"/>
  <c r="BX80" i="30"/>
  <c r="CL80" i="30"/>
  <c r="BW80" i="30"/>
  <c r="CD80" i="30"/>
  <c r="CG80" i="30"/>
  <c r="BV80" i="30"/>
  <c r="CI80" i="30"/>
  <c r="BY80" i="30"/>
  <c r="CB80" i="30"/>
  <c r="CH80" i="30"/>
  <c r="X80" i="30"/>
  <c r="AR80" i="30"/>
  <c r="AF80" i="30"/>
  <c r="B80" i="30"/>
  <c r="AJ80" i="30"/>
  <c r="T80" i="30"/>
  <c r="AB80" i="30"/>
  <c r="AZ80" i="30"/>
  <c r="D81" i="30"/>
  <c r="G81" i="30" s="1"/>
  <c r="C82" i="30" s="1"/>
  <c r="BG80" i="30" l="1"/>
  <c r="CN80" i="30"/>
  <c r="L81" i="30"/>
  <c r="F81" i="30"/>
  <c r="BZ81" i="30" l="1"/>
  <c r="CE81" i="30"/>
  <c r="CC81" i="30"/>
  <c r="CL81" i="30"/>
  <c r="CA81" i="30"/>
  <c r="CM81" i="30"/>
  <c r="BV81" i="30"/>
  <c r="CK81" i="30"/>
  <c r="CJ81" i="30"/>
  <c r="CH81" i="30"/>
  <c r="CB81" i="30"/>
  <c r="CI81" i="30"/>
  <c r="BW81" i="30"/>
  <c r="P81" i="30"/>
  <c r="BY81" i="30"/>
  <c r="BX81" i="30"/>
  <c r="CD81" i="30"/>
  <c r="CG81" i="30"/>
  <c r="CF81" i="30"/>
  <c r="AF81" i="30"/>
  <c r="AJ81" i="30"/>
  <c r="AR81" i="30"/>
  <c r="B81" i="30"/>
  <c r="T81" i="30"/>
  <c r="X81" i="30"/>
  <c r="AB81" i="30"/>
  <c r="AZ81" i="30"/>
  <c r="D82" i="30"/>
  <c r="G82" i="30" s="1"/>
  <c r="C83" i="30" s="1"/>
  <c r="F82" i="30" l="1"/>
  <c r="L82" i="30"/>
  <c r="CN81" i="30"/>
  <c r="BG81" i="30"/>
  <c r="BY82" i="30" l="1"/>
  <c r="BX82" i="30"/>
  <c r="CA82" i="30"/>
  <c r="CK82" i="30"/>
  <c r="CG82" i="30"/>
  <c r="P82" i="30"/>
  <c r="CF82" i="30"/>
  <c r="CI82" i="30"/>
  <c r="BV82" i="30"/>
  <c r="CC82" i="30"/>
  <c r="CE82" i="30"/>
  <c r="CB82" i="30"/>
  <c r="CM82" i="30"/>
  <c r="BW82" i="30"/>
  <c r="CD82" i="30"/>
  <c r="CJ82" i="30"/>
  <c r="CH82" i="30"/>
  <c r="CL82" i="30"/>
  <c r="BZ82" i="30"/>
  <c r="AB82" i="30"/>
  <c r="X82" i="30"/>
  <c r="B82" i="30"/>
  <c r="T82" i="30"/>
  <c r="AJ82" i="30"/>
  <c r="AF82" i="30"/>
  <c r="AR82" i="30"/>
  <c r="AZ82" i="30"/>
  <c r="D83" i="30"/>
  <c r="G83" i="30" s="1"/>
  <c r="C84" i="30" s="1"/>
  <c r="L83" i="30" l="1"/>
  <c r="F83" i="30"/>
  <c r="CN82" i="30"/>
  <c r="BG82" i="30"/>
  <c r="CK83" i="30" l="1"/>
  <c r="CI83" i="30"/>
  <c r="BY83" i="30"/>
  <c r="BW83" i="30"/>
  <c r="P83" i="30"/>
  <c r="CL83" i="30"/>
  <c r="CE83" i="30"/>
  <c r="CC83" i="30"/>
  <c r="CM83" i="30"/>
  <c r="CA83" i="30"/>
  <c r="CD83" i="30"/>
  <c r="BZ83" i="30"/>
  <c r="CF83" i="30"/>
  <c r="BV83" i="30"/>
  <c r="BX83" i="30"/>
  <c r="CG83" i="30"/>
  <c r="CB83" i="30"/>
  <c r="CH83" i="30"/>
  <c r="CJ83" i="30"/>
  <c r="AJ83" i="30"/>
  <c r="AF83" i="30"/>
  <c r="AB83" i="30"/>
  <c r="B83" i="30"/>
  <c r="X83" i="30"/>
  <c r="T83" i="30"/>
  <c r="AR83" i="30"/>
  <c r="AZ83" i="30"/>
  <c r="D84" i="30"/>
  <c r="G84" i="30" s="1"/>
  <c r="C85" i="30" s="1"/>
  <c r="F84" i="30" l="1"/>
  <c r="L84" i="30"/>
  <c r="BG83" i="30"/>
  <c r="CN83" i="30"/>
  <c r="CM84" i="30" l="1"/>
  <c r="CA84" i="30"/>
  <c r="BW84" i="30"/>
  <c r="CE84" i="30"/>
  <c r="P84" i="30"/>
  <c r="BX84" i="30"/>
  <c r="CK84" i="30"/>
  <c r="CJ84" i="30"/>
  <c r="BZ84" i="30"/>
  <c r="BY84" i="30"/>
  <c r="CI84" i="30"/>
  <c r="CL84" i="30"/>
  <c r="CH84" i="30"/>
  <c r="CD84" i="30"/>
  <c r="CC84" i="30"/>
  <c r="CB84" i="30"/>
  <c r="CG84" i="30"/>
  <c r="BV84" i="30"/>
  <c r="CF84" i="30"/>
  <c r="AR84" i="30"/>
  <c r="AJ84" i="30"/>
  <c r="B84" i="30"/>
  <c r="X84" i="30"/>
  <c r="AF84" i="30"/>
  <c r="T84" i="30"/>
  <c r="AB84" i="30"/>
  <c r="AZ84" i="30"/>
  <c r="D85" i="30"/>
  <c r="G85" i="30" s="1"/>
  <c r="C86" i="30" s="1"/>
  <c r="F85" i="30" l="1"/>
  <c r="L85" i="30"/>
  <c r="BG84" i="30"/>
  <c r="CN84" i="30"/>
  <c r="BY85" i="30" l="1"/>
  <c r="CH85" i="30"/>
  <c r="CK85" i="30"/>
  <c r="CM85" i="30"/>
  <c r="CL85" i="30"/>
  <c r="P85" i="30"/>
  <c r="CG85" i="30"/>
  <c r="CC85" i="30"/>
  <c r="CI85" i="30"/>
  <c r="CE85" i="30"/>
  <c r="CF85" i="30"/>
  <c r="BV85" i="30"/>
  <c r="BX85" i="30"/>
  <c r="CJ85" i="30"/>
  <c r="BW85" i="30"/>
  <c r="CB85" i="30"/>
  <c r="CA85" i="30"/>
  <c r="CD85" i="30"/>
  <c r="BZ85" i="30"/>
  <c r="AR85" i="30"/>
  <c r="AJ85" i="30"/>
  <c r="AB85" i="30"/>
  <c r="X85" i="30"/>
  <c r="T85" i="30"/>
  <c r="AF85" i="30"/>
  <c r="B85" i="30"/>
  <c r="D86" i="30"/>
  <c r="G86" i="30" s="1"/>
  <c r="C87" i="30" s="1"/>
  <c r="AZ85" i="30"/>
  <c r="CN85" i="30" l="1"/>
  <c r="BG85" i="30"/>
  <c r="F86" i="30"/>
  <c r="L86" i="30"/>
  <c r="CJ86" i="30" l="1"/>
  <c r="CC86" i="30"/>
  <c r="BX86" i="30"/>
  <c r="P86" i="30"/>
  <c r="CI86" i="30"/>
  <c r="CL86" i="30"/>
  <c r="CG86" i="30"/>
  <c r="CM86" i="30"/>
  <c r="BW86" i="30"/>
  <c r="CF86" i="30"/>
  <c r="CD86" i="30"/>
  <c r="CE86" i="30"/>
  <c r="CB86" i="30"/>
  <c r="BV86" i="30"/>
  <c r="CA86" i="30"/>
  <c r="CH86" i="30"/>
  <c r="BY86" i="30"/>
  <c r="BZ86" i="30"/>
  <c r="CK86" i="30"/>
  <c r="AF86" i="30"/>
  <c r="AJ86" i="30"/>
  <c r="X86" i="30"/>
  <c r="B86" i="30"/>
  <c r="AR86" i="30"/>
  <c r="AB86" i="30"/>
  <c r="T86" i="30"/>
  <c r="AZ86" i="30"/>
  <c r="D87" i="30"/>
  <c r="G87" i="30" s="1"/>
  <c r="C88" i="30" s="1"/>
  <c r="CN86" i="30" l="1"/>
  <c r="BG86" i="30"/>
  <c r="L87" i="30"/>
  <c r="F87" i="30"/>
  <c r="CC87" i="30" l="1"/>
  <c r="BZ87" i="30"/>
  <c r="CH87" i="30"/>
  <c r="BY87" i="30"/>
  <c r="BX87" i="30"/>
  <c r="CA87" i="30"/>
  <c r="BW87" i="30"/>
  <c r="CB87" i="30"/>
  <c r="CE87" i="30"/>
  <c r="CK87" i="30"/>
  <c r="CG87" i="30"/>
  <c r="P87" i="30"/>
  <c r="CL87" i="30"/>
  <c r="CJ87" i="30"/>
  <c r="CD87" i="30"/>
  <c r="CM87" i="30"/>
  <c r="CI87" i="30"/>
  <c r="BV87" i="30"/>
  <c r="CF87" i="30"/>
  <c r="AB87" i="30"/>
  <c r="AJ87" i="30"/>
  <c r="X87" i="30"/>
  <c r="AR87" i="30"/>
  <c r="B87" i="30"/>
  <c r="T87" i="30"/>
  <c r="AF87" i="30"/>
  <c r="AZ87" i="30"/>
  <c r="D88" i="30"/>
  <c r="G88" i="30" s="1"/>
  <c r="C89" i="30" s="1"/>
  <c r="L88" i="30" l="1"/>
  <c r="F88" i="30"/>
  <c r="CN87" i="30"/>
  <c r="BG87" i="30"/>
  <c r="BZ88" i="30" l="1"/>
  <c r="CH88" i="30"/>
  <c r="CF88" i="30"/>
  <c r="CG88" i="30"/>
  <c r="CC88" i="30"/>
  <c r="BX88" i="30"/>
  <c r="BV88" i="30"/>
  <c r="CJ88" i="30"/>
  <c r="CM88" i="30"/>
  <c r="CB88" i="30"/>
  <c r="CA88" i="30"/>
  <c r="CK88" i="30"/>
  <c r="BW88" i="30"/>
  <c r="P88" i="30"/>
  <c r="CE88" i="30"/>
  <c r="CI88" i="30"/>
  <c r="BY88" i="30"/>
  <c r="CD88" i="30"/>
  <c r="CL88" i="30"/>
  <c r="AF88" i="30"/>
  <c r="AR88" i="30"/>
  <c r="T88" i="30"/>
  <c r="AB88" i="30"/>
  <c r="X88" i="30"/>
  <c r="AJ88" i="30"/>
  <c r="B88" i="30"/>
  <c r="AZ88" i="30"/>
  <c r="D89" i="30"/>
  <c r="G89" i="30" s="1"/>
  <c r="C90" i="30" s="1"/>
  <c r="L89" i="30" l="1"/>
  <c r="F89" i="30"/>
  <c r="BG88" i="30"/>
  <c r="CN88" i="30"/>
  <c r="BW89" i="30" l="1"/>
  <c r="CD89" i="30"/>
  <c r="CA89" i="30"/>
  <c r="CL89" i="30"/>
  <c r="P89" i="30"/>
  <c r="BY89" i="30"/>
  <c r="CC89" i="30"/>
  <c r="BZ89" i="30"/>
  <c r="CE89" i="30"/>
  <c r="CF89" i="30"/>
  <c r="CI89" i="30"/>
  <c r="CK89" i="30"/>
  <c r="CJ89" i="30"/>
  <c r="CG89" i="30"/>
  <c r="CH89" i="30"/>
  <c r="CM89" i="30"/>
  <c r="CB89" i="30"/>
  <c r="BX89" i="30"/>
  <c r="BV89" i="30"/>
  <c r="AB89" i="30"/>
  <c r="X89" i="30"/>
  <c r="AF89" i="30"/>
  <c r="AR89" i="30"/>
  <c r="T89" i="30"/>
  <c r="AJ89" i="30"/>
  <c r="B89" i="30"/>
  <c r="AZ89" i="30"/>
  <c r="D90" i="30"/>
  <c r="G90" i="30" s="1"/>
  <c r="C91" i="30" s="1"/>
  <c r="L90" i="30" l="1"/>
  <c r="F90" i="30"/>
  <c r="CN89" i="30"/>
  <c r="BG89" i="30"/>
  <c r="CM90" i="30" l="1"/>
  <c r="CA90" i="30"/>
  <c r="CK90" i="30"/>
  <c r="CE90" i="30"/>
  <c r="CH90" i="30"/>
  <c r="CG90" i="30"/>
  <c r="CD90" i="30"/>
  <c r="BY90" i="30"/>
  <c r="CC90" i="30"/>
  <c r="CF90" i="30"/>
  <c r="CB90" i="30"/>
  <c r="BX90" i="30"/>
  <c r="BW90" i="30"/>
  <c r="P90" i="30"/>
  <c r="BV90" i="30"/>
  <c r="CI90" i="30"/>
  <c r="CJ90" i="30"/>
  <c r="BZ90" i="30"/>
  <c r="CL90" i="30"/>
  <c r="AB90" i="30"/>
  <c r="AF90" i="30"/>
  <c r="AJ90" i="30"/>
  <c r="X90" i="30"/>
  <c r="AR90" i="30"/>
  <c r="T90" i="30"/>
  <c r="B90" i="30"/>
  <c r="AZ90" i="30"/>
  <c r="D91" i="30"/>
  <c r="G91" i="30" s="1"/>
  <c r="C92" i="30" s="1"/>
  <c r="F91" i="30" l="1"/>
  <c r="L91" i="30"/>
  <c r="CN90" i="30"/>
  <c r="BG90" i="30"/>
  <c r="CF91" i="30" l="1"/>
  <c r="CE91" i="30"/>
  <c r="CM91" i="30"/>
  <c r="CA91" i="30"/>
  <c r="P91" i="30"/>
  <c r="CB91" i="30"/>
  <c r="CC91" i="30"/>
  <c r="BX91" i="30"/>
  <c r="CL91" i="30"/>
  <c r="CK91" i="30"/>
  <c r="CD91" i="30"/>
  <c r="CJ91" i="30"/>
  <c r="BV91" i="30"/>
  <c r="CI91" i="30"/>
  <c r="BZ91" i="30"/>
  <c r="BW91" i="30"/>
  <c r="CH91" i="30"/>
  <c r="BY91" i="30"/>
  <c r="CG91" i="30"/>
  <c r="AR91" i="30"/>
  <c r="AJ91" i="30"/>
  <c r="AF91" i="30"/>
  <c r="T91" i="30"/>
  <c r="X91" i="30"/>
  <c r="AB91" i="30"/>
  <c r="B91" i="30"/>
  <c r="AZ91" i="30"/>
  <c r="D92" i="30"/>
  <c r="G92" i="30" s="1"/>
  <c r="C93" i="30" s="1"/>
  <c r="F92" i="30" l="1"/>
  <c r="L92" i="30"/>
  <c r="BG91" i="30"/>
  <c r="CN91" i="30"/>
  <c r="P92" i="30" l="1"/>
  <c r="CK92" i="30"/>
  <c r="CC92" i="30"/>
  <c r="CL92" i="30"/>
  <c r="CF92" i="30"/>
  <c r="CI92" i="30"/>
  <c r="CE92" i="30"/>
  <c r="CA92" i="30"/>
  <c r="BX92" i="30"/>
  <c r="CG92" i="30"/>
  <c r="CD92" i="30"/>
  <c r="CJ92" i="30"/>
  <c r="CB92" i="30"/>
  <c r="BZ92" i="30"/>
  <c r="CH92" i="30"/>
  <c r="BY92" i="30"/>
  <c r="BW92" i="30"/>
  <c r="BV92" i="30"/>
  <c r="CM92" i="30"/>
  <c r="X92" i="30"/>
  <c r="AR92" i="30"/>
  <c r="B92" i="30"/>
  <c r="AB92" i="30"/>
  <c r="AJ92" i="30"/>
  <c r="T92" i="30"/>
  <c r="AF92" i="30"/>
  <c r="D93" i="30"/>
  <c r="G93" i="30" s="1"/>
  <c r="C94" i="30" s="1"/>
  <c r="AZ92" i="30"/>
  <c r="CN92" i="30" l="1"/>
  <c r="BG92" i="30"/>
  <c r="L93" i="30"/>
  <c r="F93" i="30"/>
  <c r="BW93" i="30" l="1"/>
  <c r="CM93" i="30"/>
  <c r="CB93" i="30"/>
  <c r="CJ93" i="30"/>
  <c r="CA93" i="30"/>
  <c r="CK93" i="30"/>
  <c r="CH93" i="30"/>
  <c r="CF93" i="30"/>
  <c r="CG93" i="30"/>
  <c r="CE93" i="30"/>
  <c r="P93" i="30"/>
  <c r="CL93" i="30"/>
  <c r="CI93" i="30"/>
  <c r="CD93" i="30"/>
  <c r="BY93" i="30"/>
  <c r="CC93" i="30"/>
  <c r="BX93" i="30"/>
  <c r="BZ93" i="30"/>
  <c r="BV93" i="30"/>
  <c r="AB93" i="30"/>
  <c r="X93" i="30"/>
  <c r="AJ93" i="30"/>
  <c r="AR93" i="30"/>
  <c r="B93" i="30"/>
  <c r="AF93" i="30"/>
  <c r="T93" i="30"/>
  <c r="D94" i="30"/>
  <c r="G94" i="30" s="1"/>
  <c r="C95" i="30" s="1"/>
  <c r="AZ93" i="30"/>
  <c r="CN93" i="30" l="1"/>
  <c r="BG93" i="30"/>
  <c r="F94" i="30"/>
  <c r="L94" i="30"/>
  <c r="BV94" i="30" l="1"/>
  <c r="CD94" i="30"/>
  <c r="CM94" i="30"/>
  <c r="CL94" i="30"/>
  <c r="BY94" i="30"/>
  <c r="CG94" i="30"/>
  <c r="BW94" i="30"/>
  <c r="CC94" i="30"/>
  <c r="CB94" i="30"/>
  <c r="CA94" i="30"/>
  <c r="CJ94" i="30"/>
  <c r="P94" i="30"/>
  <c r="BZ94" i="30"/>
  <c r="CK94" i="30"/>
  <c r="CI94" i="30"/>
  <c r="CH94" i="30"/>
  <c r="CE94" i="30"/>
  <c r="CF94" i="30"/>
  <c r="BX94" i="30"/>
  <c r="AJ94" i="30"/>
  <c r="T94" i="30"/>
  <c r="AB94" i="30"/>
  <c r="B94" i="30"/>
  <c r="X94" i="30"/>
  <c r="AF94" i="30"/>
  <c r="AR94" i="30"/>
  <c r="D95" i="30"/>
  <c r="G95" i="30" s="1"/>
  <c r="C96" i="30" s="1"/>
  <c r="AZ94" i="30"/>
  <c r="F95" i="30" l="1"/>
  <c r="L95" i="30"/>
  <c r="BG94" i="30"/>
  <c r="CN94" i="30"/>
  <c r="CG95" i="30" l="1"/>
  <c r="BW95" i="30"/>
  <c r="CM95" i="30"/>
  <c r="CJ95" i="30"/>
  <c r="CL95" i="30"/>
  <c r="CF95" i="30"/>
  <c r="P95" i="30"/>
  <c r="BY95" i="30"/>
  <c r="CA95" i="30"/>
  <c r="BV95" i="30"/>
  <c r="CB95" i="30"/>
  <c r="BX95" i="30"/>
  <c r="CE95" i="30"/>
  <c r="CI95" i="30"/>
  <c r="CC95" i="30"/>
  <c r="BZ95" i="30"/>
  <c r="CD95" i="30"/>
  <c r="CK95" i="30"/>
  <c r="CH95" i="30"/>
  <c r="AR95" i="30"/>
  <c r="T95" i="30"/>
  <c r="B95" i="30"/>
  <c r="X95" i="30"/>
  <c r="AB95" i="30"/>
  <c r="AF95" i="30"/>
  <c r="AJ95" i="30"/>
  <c r="AZ95" i="30"/>
  <c r="D96" i="30"/>
  <c r="G96" i="30" s="1"/>
  <c r="C97" i="30" s="1"/>
  <c r="BG95" i="30" l="1"/>
  <c r="CN95" i="30"/>
  <c r="F96" i="30"/>
  <c r="L96" i="30"/>
  <c r="BV96" i="30" l="1"/>
  <c r="CM96" i="30"/>
  <c r="CL96" i="30"/>
  <c r="CK96" i="30"/>
  <c r="CA96" i="30"/>
  <c r="BY96" i="30"/>
  <c r="CB96" i="30"/>
  <c r="P96" i="30"/>
  <c r="CJ96" i="30"/>
  <c r="CI96" i="30"/>
  <c r="BX96" i="30"/>
  <c r="CF96" i="30"/>
  <c r="CE96" i="30"/>
  <c r="CD96" i="30"/>
  <c r="CH96" i="30"/>
  <c r="CC96" i="30"/>
  <c r="BZ96" i="30"/>
  <c r="BW96" i="30"/>
  <c r="CG96" i="30"/>
  <c r="AF96" i="30"/>
  <c r="AR96" i="30"/>
  <c r="AJ96" i="30"/>
  <c r="AB96" i="30"/>
  <c r="X96" i="30"/>
  <c r="B96" i="30"/>
  <c r="T96" i="30"/>
  <c r="D97" i="30"/>
  <c r="G97" i="30" s="1"/>
  <c r="C98" i="30" s="1"/>
  <c r="AZ96" i="30"/>
  <c r="CN96" i="30" l="1"/>
  <c r="BG96" i="30"/>
  <c r="L97" i="30"/>
  <c r="F97" i="30"/>
  <c r="BV97" i="30" l="1"/>
  <c r="CL97" i="30"/>
  <c r="CB97" i="30"/>
  <c r="CI97" i="30"/>
  <c r="CC97" i="30"/>
  <c r="BY97" i="30"/>
  <c r="BX97" i="30"/>
  <c r="CH97" i="30"/>
  <c r="CD97" i="30"/>
  <c r="CF97" i="30"/>
  <c r="P97" i="30"/>
  <c r="CM97" i="30"/>
  <c r="CJ97" i="30"/>
  <c r="CG97" i="30"/>
  <c r="CE97" i="30"/>
  <c r="CA97" i="30"/>
  <c r="CK97" i="30"/>
  <c r="BZ97" i="30"/>
  <c r="BW97" i="30"/>
  <c r="T97" i="30"/>
  <c r="AB97" i="30"/>
  <c r="X97" i="30"/>
  <c r="AR97" i="30"/>
  <c r="AJ97" i="30"/>
  <c r="AF97" i="30"/>
  <c r="B97" i="30"/>
  <c r="AZ97" i="30"/>
  <c r="D98" i="30"/>
  <c r="G98" i="30" s="1"/>
  <c r="C99" i="30" s="1"/>
  <c r="F98" i="30" l="1"/>
  <c r="L98" i="30"/>
  <c r="BG97" i="30"/>
  <c r="CN97" i="30"/>
  <c r="CH98" i="30" l="1"/>
  <c r="CF98" i="30"/>
  <c r="P98" i="30"/>
  <c r="CA98" i="30"/>
  <c r="CI98" i="30"/>
  <c r="CD98" i="30"/>
  <c r="BV98" i="30"/>
  <c r="CK98" i="30"/>
  <c r="BY98" i="30"/>
  <c r="CC98" i="30"/>
  <c r="CG98" i="30"/>
  <c r="BW98" i="30"/>
  <c r="CM98" i="30"/>
  <c r="CJ98" i="30"/>
  <c r="CL98" i="30"/>
  <c r="CE98" i="30"/>
  <c r="CB98" i="30"/>
  <c r="BZ98" i="30"/>
  <c r="BX98" i="30"/>
  <c r="T98" i="30"/>
  <c r="X98" i="30"/>
  <c r="AR98" i="30"/>
  <c r="AB98" i="30"/>
  <c r="B98" i="30"/>
  <c r="AJ98" i="30"/>
  <c r="AF98" i="30"/>
  <c r="D99" i="30"/>
  <c r="G99" i="30" s="1"/>
  <c r="C100" i="30" s="1"/>
  <c r="AZ98" i="30"/>
  <c r="CN98" i="30" l="1"/>
  <c r="BG98" i="30"/>
  <c r="L99" i="30"/>
  <c r="F99" i="30"/>
  <c r="CC99" i="30" l="1"/>
  <c r="BZ99" i="30"/>
  <c r="BY99" i="30"/>
  <c r="CH99" i="30"/>
  <c r="CK99" i="30"/>
  <c r="CL99" i="30"/>
  <c r="P99" i="30"/>
  <c r="BW99" i="30"/>
  <c r="BX99" i="30"/>
  <c r="CM99" i="30"/>
  <c r="CE99" i="30"/>
  <c r="CG99" i="30"/>
  <c r="CJ99" i="30"/>
  <c r="BV99" i="30"/>
  <c r="CB99" i="30"/>
  <c r="CF99" i="30"/>
  <c r="CI99" i="30"/>
  <c r="CD99" i="30"/>
  <c r="CA99" i="30"/>
  <c r="AJ99" i="30"/>
  <c r="B99" i="30"/>
  <c r="AF99" i="30"/>
  <c r="X99" i="30"/>
  <c r="AR99" i="30"/>
  <c r="AB99" i="30"/>
  <c r="T99" i="30"/>
  <c r="AZ99" i="30"/>
  <c r="D100" i="30"/>
  <c r="G100" i="30" s="1"/>
  <c r="C101" i="30" s="1"/>
  <c r="F100" i="30" l="1"/>
  <c r="L100" i="30"/>
  <c r="CN99" i="30"/>
  <c r="BG99" i="30"/>
  <c r="CD100" i="30" l="1"/>
  <c r="CM100" i="30"/>
  <c r="P100" i="30"/>
  <c r="CI100" i="30"/>
  <c r="BW100" i="30"/>
  <c r="CH100" i="30"/>
  <c r="CG100" i="30"/>
  <c r="CL100" i="30"/>
  <c r="CB100" i="30"/>
  <c r="CA100" i="30"/>
  <c r="BV100" i="30"/>
  <c r="BX100" i="30"/>
  <c r="BZ100" i="30"/>
  <c r="BY100" i="30"/>
  <c r="CC100" i="30"/>
  <c r="CK100" i="30"/>
  <c r="CJ100" i="30"/>
  <c r="CF100" i="30"/>
  <c r="CE100" i="30"/>
  <c r="T100" i="30"/>
  <c r="AB100" i="30"/>
  <c r="AF100" i="30"/>
  <c r="AJ100" i="30"/>
  <c r="X100" i="30"/>
  <c r="B100" i="30"/>
  <c r="AR100" i="30"/>
  <c r="AZ100" i="30"/>
  <c r="D101" i="30"/>
  <c r="G101" i="30" s="1"/>
  <c r="C102" i="30" s="1"/>
  <c r="L101" i="30" l="1"/>
  <c r="F101" i="30"/>
  <c r="CN100" i="30"/>
  <c r="BG100" i="30"/>
  <c r="CL101" i="30" l="1"/>
  <c r="CG101" i="30"/>
  <c r="P101" i="30"/>
  <c r="CB101" i="30"/>
  <c r="BX101" i="30"/>
  <c r="CD101" i="30"/>
  <c r="CK101" i="30"/>
  <c r="CA101" i="30"/>
  <c r="CF101" i="30"/>
  <c r="BY101" i="30"/>
  <c r="CM101" i="30"/>
  <c r="BV101" i="30"/>
  <c r="CE101" i="30"/>
  <c r="CH101" i="30"/>
  <c r="BZ101" i="30"/>
  <c r="CC101" i="30"/>
  <c r="CJ101" i="30"/>
  <c r="BW101" i="30"/>
  <c r="CI101" i="30"/>
  <c r="AB101" i="30"/>
  <c r="AF101" i="30"/>
  <c r="X101" i="30"/>
  <c r="AR101" i="30"/>
  <c r="B101" i="30"/>
  <c r="T101" i="30"/>
  <c r="AJ101" i="30"/>
  <c r="AZ101" i="30"/>
  <c r="D102" i="30"/>
  <c r="G102" i="30" s="1"/>
  <c r="C103" i="30" s="1"/>
  <c r="F102" i="30" l="1"/>
  <c r="L102" i="30"/>
  <c r="CN101" i="30"/>
  <c r="BG101" i="30"/>
  <c r="BY102" i="30" l="1"/>
  <c r="BZ102" i="30"/>
  <c r="CJ102" i="30"/>
  <c r="CH102" i="30"/>
  <c r="BX102" i="30"/>
  <c r="CE102" i="30"/>
  <c r="CG102" i="30"/>
  <c r="CD102" i="30"/>
  <c r="BW102" i="30"/>
  <c r="CF102" i="30"/>
  <c r="CK102" i="30"/>
  <c r="CI102" i="30"/>
  <c r="P102" i="30"/>
  <c r="CB102" i="30"/>
  <c r="CL102" i="30"/>
  <c r="CA102" i="30"/>
  <c r="BV102" i="30"/>
  <c r="CM102" i="30"/>
  <c r="CC102" i="30"/>
  <c r="T102" i="30"/>
  <c r="AF102" i="30"/>
  <c r="AB102" i="30"/>
  <c r="B102" i="30"/>
  <c r="AJ102" i="30"/>
  <c r="AR102" i="30"/>
  <c r="X102" i="30"/>
  <c r="AZ102" i="30"/>
  <c r="D103" i="30"/>
  <c r="G103" i="30" s="1"/>
  <c r="C104" i="30" s="1"/>
  <c r="F103" i="30" l="1"/>
  <c r="L103" i="30"/>
  <c r="CN102" i="30"/>
  <c r="BG102" i="30"/>
  <c r="CM103" i="30" l="1"/>
  <c r="CD103" i="30"/>
  <c r="CC103" i="30"/>
  <c r="BZ103" i="30"/>
  <c r="CL103" i="30"/>
  <c r="P103" i="30"/>
  <c r="CK103" i="30"/>
  <c r="CG103" i="30"/>
  <c r="CH103" i="30"/>
  <c r="BW103" i="30"/>
  <c r="CF103" i="30"/>
  <c r="CJ103" i="30"/>
  <c r="CE103" i="30"/>
  <c r="CB103" i="30"/>
  <c r="BY103" i="30"/>
  <c r="CI103" i="30"/>
  <c r="BX103" i="30"/>
  <c r="CA103" i="30"/>
  <c r="BV103" i="30"/>
  <c r="X103" i="30"/>
  <c r="AR103" i="30"/>
  <c r="T103" i="30"/>
  <c r="AB103" i="30"/>
  <c r="B103" i="30"/>
  <c r="AF103" i="30"/>
  <c r="AJ103" i="30"/>
  <c r="D104" i="30"/>
  <c r="G104" i="30" s="1"/>
  <c r="AZ103" i="30"/>
  <c r="D102" i="49" l="1"/>
  <c r="E102" i="49"/>
  <c r="BB101" i="26"/>
  <c r="BB100" i="26"/>
  <c r="BB99" i="26"/>
  <c r="BB98" i="26"/>
  <c r="BB97" i="26"/>
  <c r="BB96" i="26"/>
  <c r="BB3" i="26"/>
  <c r="BB69" i="26"/>
  <c r="BB19" i="26"/>
  <c r="BB39" i="26"/>
  <c r="BB79" i="26"/>
  <c r="BB18" i="26"/>
  <c r="BB52" i="26"/>
  <c r="BB64" i="26"/>
  <c r="BB72" i="26"/>
  <c r="BB43" i="26"/>
  <c r="BB31" i="26"/>
  <c r="BB37" i="26"/>
  <c r="BB24" i="26"/>
  <c r="BB33" i="26"/>
  <c r="BB54" i="26"/>
  <c r="BB63" i="26"/>
  <c r="BB85" i="26"/>
  <c r="BB26" i="26"/>
  <c r="BB30" i="26"/>
  <c r="BB45" i="26"/>
  <c r="BB47" i="26"/>
  <c r="BB62" i="26"/>
  <c r="BB4" i="26"/>
  <c r="BB29" i="26"/>
  <c r="BB81" i="26"/>
  <c r="BB25" i="26"/>
  <c r="BB35" i="26"/>
  <c r="BB70" i="26"/>
  <c r="BB53" i="26"/>
  <c r="BB84" i="26"/>
  <c r="BB95" i="26"/>
  <c r="BB94" i="26"/>
  <c r="BB82" i="26"/>
  <c r="BB77" i="26"/>
  <c r="BB6" i="26"/>
  <c r="BB76" i="26"/>
  <c r="BB46" i="26"/>
  <c r="BB60" i="26"/>
  <c r="BB16" i="26"/>
  <c r="BB8" i="26"/>
  <c r="BB58" i="26"/>
  <c r="BB32" i="26"/>
  <c r="BB22" i="26"/>
  <c r="BB28" i="26"/>
  <c r="BB12" i="26"/>
  <c r="BB11" i="26"/>
  <c r="BB17" i="26"/>
  <c r="BB80" i="26"/>
  <c r="BB48" i="26"/>
  <c r="BB20" i="26"/>
  <c r="BB10" i="26"/>
  <c r="BB89" i="26"/>
  <c r="BB15" i="26"/>
  <c r="BB68" i="26"/>
  <c r="BB49" i="26"/>
  <c r="BB34" i="26"/>
  <c r="BB86" i="26"/>
  <c r="BB93" i="26"/>
  <c r="BB91" i="26"/>
  <c r="BB66" i="26"/>
  <c r="BB5" i="26"/>
  <c r="BB90" i="26"/>
  <c r="BB73" i="26"/>
  <c r="BB13" i="26"/>
  <c r="BB65" i="26"/>
  <c r="BB23" i="26"/>
  <c r="BB14" i="26"/>
  <c r="BB7" i="26"/>
  <c r="BB56" i="26"/>
  <c r="BB38" i="26"/>
  <c r="BB27" i="26"/>
  <c r="BB40" i="26"/>
  <c r="BB92" i="26"/>
  <c r="BB87" i="26"/>
  <c r="BB36" i="26"/>
  <c r="BB44" i="26"/>
  <c r="BB21" i="26"/>
  <c r="BB51" i="26"/>
  <c r="BB9" i="26"/>
  <c r="BB78" i="26"/>
  <c r="BB41" i="26"/>
  <c r="BB74" i="26"/>
  <c r="BB67" i="26"/>
  <c r="BB83" i="26"/>
  <c r="BB59" i="26"/>
  <c r="BB50" i="26"/>
  <c r="BB71" i="26"/>
  <c r="BB42" i="26"/>
  <c r="BB88" i="26"/>
  <c r="BB75" i="26"/>
  <c r="BB55" i="26"/>
  <c r="BB57" i="26"/>
  <c r="BB61" i="26"/>
  <c r="CN103" i="30"/>
  <c r="BG103" i="30"/>
  <c r="L104" i="30"/>
  <c r="F104" i="30"/>
  <c r="P102" i="49" l="1"/>
  <c r="K102" i="49"/>
  <c r="C102" i="49"/>
  <c r="CL104" i="30"/>
  <c r="BW104" i="30"/>
  <c r="CF104" i="30"/>
  <c r="CE104" i="30"/>
  <c r="BV104" i="30"/>
  <c r="P104" i="30"/>
  <c r="G102" i="49" s="1"/>
  <c r="CD104" i="30"/>
  <c r="CK104" i="30"/>
  <c r="CJ104" i="30"/>
  <c r="CA104" i="30"/>
  <c r="CI104" i="30"/>
  <c r="CH104" i="30"/>
  <c r="CC104" i="30"/>
  <c r="BZ104" i="30"/>
  <c r="CM104" i="30"/>
  <c r="CG104" i="30"/>
  <c r="CB104" i="30"/>
  <c r="BY104" i="30"/>
  <c r="BX104" i="30"/>
  <c r="A39" i="26"/>
  <c r="F102" i="49"/>
  <c r="BQ83" i="27"/>
  <c r="BQ64" i="27"/>
  <c r="BQ89" i="27"/>
  <c r="BQ67" i="27"/>
  <c r="BQ81" i="27"/>
  <c r="BQ76" i="27"/>
  <c r="BQ93" i="27"/>
  <c r="BQ84" i="27"/>
  <c r="BQ79" i="27"/>
  <c r="BQ88" i="27"/>
  <c r="BQ68" i="27"/>
  <c r="BQ90" i="27"/>
  <c r="BQ92" i="27"/>
  <c r="BQ91" i="27"/>
  <c r="BQ80" i="27"/>
  <c r="BQ82" i="27"/>
  <c r="BQ85" i="27"/>
  <c r="BQ75" i="27"/>
  <c r="BQ96" i="27"/>
  <c r="BQ61" i="27"/>
  <c r="BQ94" i="27"/>
  <c r="BQ65" i="27"/>
  <c r="BQ73" i="27"/>
  <c r="BQ63" i="27"/>
  <c r="BQ69" i="27"/>
  <c r="BQ86" i="27"/>
  <c r="BQ62" i="27"/>
  <c r="BQ77" i="27"/>
  <c r="BQ60" i="27"/>
  <c r="BQ71" i="27"/>
  <c r="BQ87" i="27"/>
  <c r="BQ74" i="27"/>
  <c r="BQ95" i="27"/>
  <c r="BQ70" i="27"/>
  <c r="BQ72" i="27"/>
  <c r="BQ66" i="27"/>
  <c r="BB2" i="26"/>
  <c r="D3" i="27" s="1"/>
  <c r="T104" i="30"/>
  <c r="H102" i="49" s="1"/>
  <c r="AF104" i="30"/>
  <c r="I102" i="49" s="1"/>
  <c r="AB104" i="30"/>
  <c r="X104" i="30"/>
  <c r="J102" i="49" s="1"/>
  <c r="AJ104" i="30"/>
  <c r="B104" i="30"/>
  <c r="AR104" i="30"/>
  <c r="N102" i="49" s="1"/>
  <c r="AZ104" i="30"/>
  <c r="A6" i="26"/>
  <c r="D10" i="27" l="1"/>
  <c r="D13" i="27"/>
  <c r="D12" i="27"/>
  <c r="R27" i="27" s="1"/>
  <c r="D11" i="27"/>
  <c r="K7" i="27" s="1"/>
  <c r="M102" i="49"/>
  <c r="D7" i="27"/>
  <c r="D6" i="27"/>
  <c r="D8" i="27"/>
  <c r="D9" i="27"/>
  <c r="CN104" i="30"/>
  <c r="BG104" i="30"/>
  <c r="Q102" i="49" s="1"/>
  <c r="U28" i="27" l="1"/>
  <c r="U29" i="27"/>
  <c r="U18" i="27"/>
  <c r="R7" i="45"/>
  <c r="BL28" i="27"/>
  <c r="P7" i="45"/>
  <c r="C55" i="27"/>
  <c r="C51" i="27"/>
  <c r="C47" i="27"/>
  <c r="C44" i="27"/>
  <c r="C40" i="27"/>
  <c r="C3" i="43"/>
  <c r="D19" i="27"/>
  <c r="C53" i="27"/>
  <c r="C48" i="27"/>
  <c r="C57" i="27"/>
  <c r="C41" i="27"/>
  <c r="C45" i="27"/>
  <c r="C52" i="27"/>
  <c r="C56" i="27"/>
  <c r="D40" i="27"/>
  <c r="C49" i="27"/>
  <c r="C54" i="27"/>
  <c r="C46" i="27"/>
  <c r="C50" i="27"/>
  <c r="C43" i="27"/>
  <c r="C42" i="27"/>
  <c r="U24" i="27"/>
  <c r="R18" i="27"/>
  <c r="J30" i="27"/>
  <c r="J24" i="27"/>
  <c r="O27" i="27"/>
  <c r="R24" i="27"/>
  <c r="J23" i="27"/>
  <c r="U22" i="27"/>
  <c r="R22" i="27"/>
  <c r="R20" i="27"/>
  <c r="U20" i="27"/>
  <c r="S7" i="45"/>
  <c r="O26" i="27"/>
  <c r="Q7" i="45"/>
  <c r="C8" i="43"/>
  <c r="D20" i="27"/>
  <c r="O28" i="27"/>
  <c r="D96" i="27"/>
  <c r="D95" i="27"/>
  <c r="D80" i="27"/>
  <c r="J96" i="26"/>
  <c r="R96" i="26"/>
  <c r="Z96" i="26"/>
  <c r="K96" i="26"/>
  <c r="T96" i="26"/>
  <c r="AC96" i="26"/>
  <c r="L96" i="26"/>
  <c r="U96" i="26"/>
  <c r="AD96" i="26"/>
  <c r="M96" i="26"/>
  <c r="V96" i="26"/>
  <c r="AE96" i="26"/>
  <c r="N96" i="26"/>
  <c r="W96" i="26"/>
  <c r="O96" i="26"/>
  <c r="X96" i="26"/>
  <c r="G96" i="26"/>
  <c r="P96" i="26"/>
  <c r="Y96" i="26"/>
  <c r="H96" i="26"/>
  <c r="I96" i="26"/>
  <c r="Q96" i="26"/>
  <c r="S96" i="26"/>
  <c r="AA96" i="26"/>
  <c r="AB96" i="26"/>
  <c r="J100" i="26"/>
  <c r="R100" i="26"/>
  <c r="Z100" i="26"/>
  <c r="I100" i="26"/>
  <c r="S100" i="26"/>
  <c r="AB100" i="26"/>
  <c r="X100" i="26"/>
  <c r="K100" i="26"/>
  <c r="T100" i="26"/>
  <c r="AC100" i="26"/>
  <c r="O100" i="26"/>
  <c r="L100" i="26"/>
  <c r="U100" i="26"/>
  <c r="AD100" i="26"/>
  <c r="F100" i="26"/>
  <c r="M100" i="26"/>
  <c r="V100" i="26"/>
  <c r="AE100" i="26"/>
  <c r="E100" i="26"/>
  <c r="N100" i="26"/>
  <c r="W100" i="26"/>
  <c r="G100" i="26"/>
  <c r="H100" i="26"/>
  <c r="P100" i="26"/>
  <c r="Q100" i="26"/>
  <c r="Y100" i="26"/>
  <c r="AA100" i="26"/>
  <c r="F113" i="26"/>
  <c r="N113" i="26"/>
  <c r="V113" i="26"/>
  <c r="G113" i="26"/>
  <c r="H113" i="26"/>
  <c r="P113" i="26"/>
  <c r="X113" i="26"/>
  <c r="I113" i="26"/>
  <c r="Q113" i="26"/>
  <c r="Y113" i="26"/>
  <c r="B113" i="26"/>
  <c r="O113" i="26"/>
  <c r="AB113" i="26"/>
  <c r="R113" i="26"/>
  <c r="AC113" i="26"/>
  <c r="D113" i="26"/>
  <c r="S113" i="26"/>
  <c r="AD113" i="26"/>
  <c r="T113" i="26"/>
  <c r="AE113" i="26"/>
  <c r="U113" i="26"/>
  <c r="K113" i="26"/>
  <c r="L113" i="26"/>
  <c r="M113" i="26"/>
  <c r="W113" i="26"/>
  <c r="Z113" i="26"/>
  <c r="AA113" i="26"/>
  <c r="I121" i="26"/>
  <c r="Q121" i="26"/>
  <c r="Y121" i="26"/>
  <c r="G121" i="26"/>
  <c r="P121" i="26"/>
  <c r="Z121" i="26"/>
  <c r="H121" i="26"/>
  <c r="R121" i="26"/>
  <c r="AA121" i="26"/>
  <c r="J121" i="26"/>
  <c r="S121" i="26"/>
  <c r="AB121" i="26"/>
  <c r="B121" i="26"/>
  <c r="K121" i="26"/>
  <c r="T121" i="26"/>
  <c r="AC121" i="26"/>
  <c r="L121" i="26"/>
  <c r="U121" i="26"/>
  <c r="AD121" i="26"/>
  <c r="N121" i="26"/>
  <c r="O121" i="26"/>
  <c r="V121" i="26"/>
  <c r="W121" i="26"/>
  <c r="D121" i="26"/>
  <c r="X121" i="26"/>
  <c r="E121" i="26"/>
  <c r="AE121" i="26"/>
  <c r="F121" i="26"/>
  <c r="M121" i="26"/>
  <c r="G120" i="26"/>
  <c r="O120" i="26"/>
  <c r="W120" i="26"/>
  <c r="AE120" i="26"/>
  <c r="J120" i="26"/>
  <c r="S120" i="26"/>
  <c r="AB120" i="26"/>
  <c r="B120" i="26"/>
  <c r="K120" i="26"/>
  <c r="T120" i="26"/>
  <c r="AC120" i="26"/>
  <c r="L120" i="26"/>
  <c r="U120" i="26"/>
  <c r="AD120" i="26"/>
  <c r="D120" i="26"/>
  <c r="M120" i="26"/>
  <c r="V120" i="26"/>
  <c r="E120" i="26"/>
  <c r="N120" i="26"/>
  <c r="X120" i="26"/>
  <c r="R120" i="26"/>
  <c r="P120" i="26"/>
  <c r="Y120" i="26"/>
  <c r="Z120" i="26"/>
  <c r="F120" i="26"/>
  <c r="AA120" i="26"/>
  <c r="H120" i="26"/>
  <c r="I120" i="26"/>
  <c r="Q120" i="26"/>
  <c r="J104" i="26"/>
  <c r="R104" i="26"/>
  <c r="Z104" i="26"/>
  <c r="Q104" i="26"/>
  <c r="AA104" i="26"/>
  <c r="I104" i="26"/>
  <c r="S104" i="26"/>
  <c r="AB104" i="26"/>
  <c r="E104" i="26"/>
  <c r="K104" i="26"/>
  <c r="T104" i="26"/>
  <c r="AC104" i="26"/>
  <c r="W104" i="26"/>
  <c r="L104" i="26"/>
  <c r="U104" i="26"/>
  <c r="AD104" i="26"/>
  <c r="D104" i="26"/>
  <c r="M104" i="26"/>
  <c r="V104" i="26"/>
  <c r="AE104" i="26"/>
  <c r="N104" i="26"/>
  <c r="P104" i="26"/>
  <c r="X104" i="26"/>
  <c r="Y104" i="26"/>
  <c r="F104" i="26"/>
  <c r="O104" i="26"/>
  <c r="K122" i="26"/>
  <c r="S122" i="26"/>
  <c r="AA122" i="26"/>
  <c r="E122" i="26"/>
  <c r="N122" i="26"/>
  <c r="W122" i="26"/>
  <c r="F122" i="26"/>
  <c r="O122" i="26"/>
  <c r="X122" i="26"/>
  <c r="G122" i="26"/>
  <c r="P122" i="26"/>
  <c r="Y122" i="26"/>
  <c r="H122" i="26"/>
  <c r="Q122" i="26"/>
  <c r="Z122" i="26"/>
  <c r="I122" i="26"/>
  <c r="R122" i="26"/>
  <c r="AB122" i="26"/>
  <c r="J122" i="26"/>
  <c r="AE122" i="26"/>
  <c r="L122" i="26"/>
  <c r="AC122" i="26"/>
  <c r="M122" i="26"/>
  <c r="B122" i="26"/>
  <c r="T122" i="26"/>
  <c r="U122" i="26"/>
  <c r="V122" i="26"/>
  <c r="D122" i="26"/>
  <c r="AD122" i="26"/>
  <c r="L101" i="26"/>
  <c r="T101" i="26"/>
  <c r="AB101" i="26"/>
  <c r="G101" i="26"/>
  <c r="P101" i="26"/>
  <c r="Y101" i="26"/>
  <c r="AE101" i="26"/>
  <c r="H101" i="26"/>
  <c r="Q101" i="26"/>
  <c r="Z101" i="26"/>
  <c r="V101" i="26"/>
  <c r="I101" i="26"/>
  <c r="R101" i="26"/>
  <c r="AA101" i="26"/>
  <c r="M101" i="26"/>
  <c r="J101" i="26"/>
  <c r="S101" i="26"/>
  <c r="AC101" i="26"/>
  <c r="K101" i="26"/>
  <c r="U101" i="26"/>
  <c r="AD101" i="26"/>
  <c r="F101" i="26"/>
  <c r="N101" i="26"/>
  <c r="O101" i="26"/>
  <c r="W101" i="26"/>
  <c r="X101" i="26"/>
  <c r="N94" i="26"/>
  <c r="V94" i="26"/>
  <c r="AD94" i="26"/>
  <c r="G94" i="26"/>
  <c r="P94" i="26"/>
  <c r="Y94" i="26"/>
  <c r="Q94" i="26"/>
  <c r="Z94" i="26"/>
  <c r="I94" i="26"/>
  <c r="R94" i="26"/>
  <c r="AA94" i="26"/>
  <c r="L94" i="26"/>
  <c r="J94" i="26"/>
  <c r="S94" i="26"/>
  <c r="AB94" i="26"/>
  <c r="K94" i="26"/>
  <c r="T94" i="26"/>
  <c r="AC94" i="26"/>
  <c r="U94" i="26"/>
  <c r="AE94" i="26"/>
  <c r="X94" i="26"/>
  <c r="M94" i="26"/>
  <c r="O94" i="26"/>
  <c r="W94" i="26"/>
  <c r="G116" i="26"/>
  <c r="O116" i="26"/>
  <c r="W116" i="26"/>
  <c r="AE116" i="26"/>
  <c r="B116" i="26"/>
  <c r="K116" i="26"/>
  <c r="T116" i="26"/>
  <c r="AC116" i="26"/>
  <c r="L116" i="26"/>
  <c r="U116" i="26"/>
  <c r="AD116" i="26"/>
  <c r="D116" i="26"/>
  <c r="M116" i="26"/>
  <c r="V116" i="26"/>
  <c r="N116" i="26"/>
  <c r="X116" i="26"/>
  <c r="F116" i="26"/>
  <c r="P116" i="26"/>
  <c r="Y116" i="26"/>
  <c r="R116" i="26"/>
  <c r="S116" i="26"/>
  <c r="Z116" i="26"/>
  <c r="AA116" i="26"/>
  <c r="H116" i="26"/>
  <c r="AB116" i="26"/>
  <c r="I116" i="26"/>
  <c r="J116" i="26"/>
  <c r="Q116" i="26"/>
  <c r="D112" i="26"/>
  <c r="L112" i="26"/>
  <c r="T112" i="26"/>
  <c r="AB112" i="26"/>
  <c r="E112" i="26"/>
  <c r="M112" i="26"/>
  <c r="U112" i="26"/>
  <c r="AC112" i="26"/>
  <c r="F112" i="26"/>
  <c r="N112" i="26"/>
  <c r="V112" i="26"/>
  <c r="AD112" i="26"/>
  <c r="G112" i="26"/>
  <c r="O112" i="26"/>
  <c r="W112" i="26"/>
  <c r="AE112" i="26"/>
  <c r="P112" i="26"/>
  <c r="Q112" i="26"/>
  <c r="B112" i="26"/>
  <c r="R112" i="26"/>
  <c r="S112" i="26"/>
  <c r="X112" i="26"/>
  <c r="AA112" i="26"/>
  <c r="Y112" i="26"/>
  <c r="I112" i="26"/>
  <c r="J112" i="26"/>
  <c r="K112" i="26"/>
  <c r="Z112" i="26"/>
  <c r="K118" i="26"/>
  <c r="S118" i="26"/>
  <c r="AA118" i="26"/>
  <c r="F118" i="26"/>
  <c r="O118" i="26"/>
  <c r="X118" i="26"/>
  <c r="G118" i="26"/>
  <c r="P118" i="26"/>
  <c r="Y118" i="26"/>
  <c r="H118" i="26"/>
  <c r="Q118" i="26"/>
  <c r="Z118" i="26"/>
  <c r="I118" i="26"/>
  <c r="R118" i="26"/>
  <c r="AB118" i="26"/>
  <c r="J118" i="26"/>
  <c r="T118" i="26"/>
  <c r="AC118" i="26"/>
  <c r="E118" i="26"/>
  <c r="AE118" i="26"/>
  <c r="L118" i="26"/>
  <c r="M118" i="26"/>
  <c r="N118" i="26"/>
  <c r="U118" i="26"/>
  <c r="V118" i="26"/>
  <c r="B118" i="26"/>
  <c r="W118" i="26"/>
  <c r="AD118" i="26"/>
  <c r="D118" i="26"/>
  <c r="D108" i="26"/>
  <c r="L108" i="26"/>
  <c r="T108" i="26"/>
  <c r="AB108" i="26"/>
  <c r="E108" i="26"/>
  <c r="M108" i="26"/>
  <c r="U108" i="26"/>
  <c r="AC108" i="26"/>
  <c r="F108" i="26"/>
  <c r="N108" i="26"/>
  <c r="V108" i="26"/>
  <c r="AD108" i="26"/>
  <c r="G108" i="26"/>
  <c r="O108" i="26"/>
  <c r="W108" i="26"/>
  <c r="AE108" i="26"/>
  <c r="H108" i="26"/>
  <c r="X108" i="26"/>
  <c r="I108" i="26"/>
  <c r="Y108" i="26"/>
  <c r="J108" i="26"/>
  <c r="Z108" i="26"/>
  <c r="K108" i="26"/>
  <c r="AA108" i="26"/>
  <c r="P108" i="26"/>
  <c r="S108" i="26"/>
  <c r="Q108" i="26"/>
  <c r="B108" i="26"/>
  <c r="R108" i="26"/>
  <c r="H103" i="26"/>
  <c r="P103" i="26"/>
  <c r="X103" i="26"/>
  <c r="K103" i="26"/>
  <c r="T103" i="26"/>
  <c r="AC103" i="26"/>
  <c r="Q103" i="26"/>
  <c r="L103" i="26"/>
  <c r="U103" i="26"/>
  <c r="AD103" i="26"/>
  <c r="M103" i="26"/>
  <c r="V103" i="26"/>
  <c r="AE103" i="26"/>
  <c r="Z103" i="26"/>
  <c r="E103" i="26"/>
  <c r="N103" i="26"/>
  <c r="W103" i="26"/>
  <c r="F103" i="26"/>
  <c r="O103" i="26"/>
  <c r="Y103" i="26"/>
  <c r="G103" i="26"/>
  <c r="R103" i="26"/>
  <c r="S103" i="26"/>
  <c r="AA103" i="26"/>
  <c r="AB103" i="26"/>
  <c r="I103" i="26"/>
  <c r="J103" i="26"/>
  <c r="H95" i="26"/>
  <c r="P95" i="26"/>
  <c r="X95" i="26"/>
  <c r="M95" i="26"/>
  <c r="V95" i="26"/>
  <c r="AE95" i="26"/>
  <c r="S95" i="26"/>
  <c r="N95" i="26"/>
  <c r="W95" i="26"/>
  <c r="AB95" i="26"/>
  <c r="F95" i="26"/>
  <c r="O95" i="26"/>
  <c r="Y95" i="26"/>
  <c r="Q95" i="26"/>
  <c r="Z95" i="26"/>
  <c r="R95" i="26"/>
  <c r="AA95" i="26"/>
  <c r="J95" i="26"/>
  <c r="K95" i="26"/>
  <c r="L95" i="26"/>
  <c r="T95" i="26"/>
  <c r="U95" i="26"/>
  <c r="AC95" i="26"/>
  <c r="AD95" i="26"/>
  <c r="E123" i="26"/>
  <c r="M123" i="26"/>
  <c r="U123" i="26"/>
  <c r="AC123" i="26"/>
  <c r="B123" i="26"/>
  <c r="K123" i="26"/>
  <c r="T123" i="26"/>
  <c r="AD123" i="26"/>
  <c r="L123" i="26"/>
  <c r="V123" i="26"/>
  <c r="AE123" i="26"/>
  <c r="D123" i="26"/>
  <c r="N123" i="26"/>
  <c r="W123" i="26"/>
  <c r="F123" i="26"/>
  <c r="O123" i="26"/>
  <c r="X123" i="26"/>
  <c r="G123" i="26"/>
  <c r="P123" i="26"/>
  <c r="Y123" i="26"/>
  <c r="AA123" i="26"/>
  <c r="H123" i="26"/>
  <c r="AB123" i="26"/>
  <c r="I123" i="26"/>
  <c r="J123" i="26"/>
  <c r="Q123" i="26"/>
  <c r="R123" i="26"/>
  <c r="S123" i="26"/>
  <c r="Z123" i="26"/>
  <c r="E115" i="26"/>
  <c r="M115" i="26"/>
  <c r="U115" i="26"/>
  <c r="AC115" i="26"/>
  <c r="D115" i="26"/>
  <c r="N115" i="26"/>
  <c r="W115" i="26"/>
  <c r="F115" i="26"/>
  <c r="O115" i="26"/>
  <c r="X115" i="26"/>
  <c r="G115" i="26"/>
  <c r="P115" i="26"/>
  <c r="Y115" i="26"/>
  <c r="H115" i="26"/>
  <c r="Q115" i="26"/>
  <c r="Z115" i="26"/>
  <c r="I115" i="26"/>
  <c r="R115" i="26"/>
  <c r="AA115" i="26"/>
  <c r="V115" i="26"/>
  <c r="B115" i="26"/>
  <c r="AB115" i="26"/>
  <c r="AD115" i="26"/>
  <c r="J115" i="26"/>
  <c r="AE115" i="26"/>
  <c r="K115" i="26"/>
  <c r="L115" i="26"/>
  <c r="S115" i="26"/>
  <c r="T115" i="26"/>
  <c r="E119" i="26"/>
  <c r="M119" i="26"/>
  <c r="U119" i="26"/>
  <c r="AC119" i="26"/>
  <c r="L119" i="26"/>
  <c r="V119" i="26"/>
  <c r="AE119" i="26"/>
  <c r="D119" i="26"/>
  <c r="N119" i="26"/>
  <c r="W119" i="26"/>
  <c r="F119" i="26"/>
  <c r="O119" i="26"/>
  <c r="X119" i="26"/>
  <c r="G119" i="26"/>
  <c r="P119" i="26"/>
  <c r="Y119" i="26"/>
  <c r="H119" i="26"/>
  <c r="Q119" i="26"/>
  <c r="Z119" i="26"/>
  <c r="AA119" i="26"/>
  <c r="B119" i="26"/>
  <c r="AB119" i="26"/>
  <c r="I119" i="26"/>
  <c r="AD119" i="26"/>
  <c r="J119" i="26"/>
  <c r="K119" i="26"/>
  <c r="R119" i="26"/>
  <c r="S119" i="26"/>
  <c r="T119" i="26"/>
  <c r="M90" i="26"/>
  <c r="U90" i="26"/>
  <c r="AC90" i="26"/>
  <c r="S90" i="26"/>
  <c r="AB90" i="26"/>
  <c r="K90" i="26"/>
  <c r="T90" i="26"/>
  <c r="AD90" i="26"/>
  <c r="L90" i="26"/>
  <c r="V90" i="26"/>
  <c r="AE90" i="26"/>
  <c r="N90" i="26"/>
  <c r="W90" i="26"/>
  <c r="R90" i="26"/>
  <c r="P90" i="26"/>
  <c r="X90" i="26"/>
  <c r="G90" i="26"/>
  <c r="Y90" i="26"/>
  <c r="H90" i="26"/>
  <c r="Z90" i="26"/>
  <c r="I90" i="26"/>
  <c r="AA90" i="26"/>
  <c r="O90" i="26"/>
  <c r="Q90" i="26"/>
  <c r="L97" i="26"/>
  <c r="T97" i="26"/>
  <c r="AB97" i="26"/>
  <c r="H97" i="26"/>
  <c r="Q97" i="26"/>
  <c r="Z97" i="26"/>
  <c r="I97" i="26"/>
  <c r="R97" i="26"/>
  <c r="AA97" i="26"/>
  <c r="J97" i="26"/>
  <c r="S97" i="26"/>
  <c r="AC97" i="26"/>
  <c r="E97" i="26"/>
  <c r="K97" i="26"/>
  <c r="U97" i="26"/>
  <c r="AD97" i="26"/>
  <c r="M97" i="26"/>
  <c r="V97" i="26"/>
  <c r="AE97" i="26"/>
  <c r="N97" i="26"/>
  <c r="W97" i="26"/>
  <c r="O97" i="26"/>
  <c r="P97" i="26"/>
  <c r="X97" i="26"/>
  <c r="Y97" i="26"/>
  <c r="F97" i="26"/>
  <c r="G97" i="26"/>
  <c r="K89" i="26"/>
  <c r="S89" i="26"/>
  <c r="AA89" i="26"/>
  <c r="M89" i="26"/>
  <c r="V89" i="26"/>
  <c r="AE89" i="26"/>
  <c r="N89" i="26"/>
  <c r="W89" i="26"/>
  <c r="F89" i="26"/>
  <c r="O89" i="26"/>
  <c r="X89" i="26"/>
  <c r="P89" i="26"/>
  <c r="Y89" i="26"/>
  <c r="H89" i="26"/>
  <c r="Q89" i="26"/>
  <c r="J89" i="26"/>
  <c r="AD89" i="26"/>
  <c r="L89" i="26"/>
  <c r="AB89" i="26"/>
  <c r="R89" i="26"/>
  <c r="T89" i="26"/>
  <c r="U89" i="26"/>
  <c r="Z89" i="26"/>
  <c r="I89" i="26"/>
  <c r="AC89" i="26"/>
  <c r="I88" i="26"/>
  <c r="Q88" i="26"/>
  <c r="Y88" i="26"/>
  <c r="O88" i="26"/>
  <c r="X88" i="26"/>
  <c r="P88" i="26"/>
  <c r="Z88" i="26"/>
  <c r="R88" i="26"/>
  <c r="AA88" i="26"/>
  <c r="J88" i="26"/>
  <c r="S88" i="26"/>
  <c r="AB88" i="26"/>
  <c r="K88" i="26"/>
  <c r="T88" i="26"/>
  <c r="AC88" i="26"/>
  <c r="N88" i="26"/>
  <c r="U88" i="26"/>
  <c r="V88" i="26"/>
  <c r="L88" i="26"/>
  <c r="W88" i="26"/>
  <c r="AD88" i="26"/>
  <c r="AE88" i="26"/>
  <c r="M88" i="26"/>
  <c r="K114" i="26"/>
  <c r="S114" i="26"/>
  <c r="AA114" i="26"/>
  <c r="G114" i="26"/>
  <c r="P114" i="26"/>
  <c r="Y114" i="26"/>
  <c r="H114" i="26"/>
  <c r="Q114" i="26"/>
  <c r="Z114" i="26"/>
  <c r="I114" i="26"/>
  <c r="R114" i="26"/>
  <c r="AB114" i="26"/>
  <c r="J114" i="26"/>
  <c r="T114" i="26"/>
  <c r="AC114" i="26"/>
  <c r="B114" i="26"/>
  <c r="L114" i="26"/>
  <c r="U114" i="26"/>
  <c r="AD114" i="26"/>
  <c r="AE114" i="26"/>
  <c r="F114" i="26"/>
  <c r="M114" i="26"/>
  <c r="N114" i="26"/>
  <c r="O114" i="26"/>
  <c r="V114" i="26"/>
  <c r="W114" i="26"/>
  <c r="X114" i="26"/>
  <c r="I92" i="26"/>
  <c r="Q92" i="26"/>
  <c r="N92" i="26"/>
  <c r="G92" i="26"/>
  <c r="P92" i="26"/>
  <c r="R92" i="26"/>
  <c r="Z92" i="26"/>
  <c r="U92" i="26"/>
  <c r="AD92" i="26"/>
  <c r="S92" i="26"/>
  <c r="J92" i="26"/>
  <c r="V92" i="26"/>
  <c r="AE92" i="26"/>
  <c r="K92" i="26"/>
  <c r="W92" i="26"/>
  <c r="L92" i="26"/>
  <c r="X92" i="26"/>
  <c r="M92" i="26"/>
  <c r="Y92" i="26"/>
  <c r="O92" i="26"/>
  <c r="AA92" i="26"/>
  <c r="AB92" i="26"/>
  <c r="AC92" i="26"/>
  <c r="T92" i="26"/>
  <c r="Z106" i="26"/>
  <c r="R106" i="26"/>
  <c r="J106" i="26"/>
  <c r="B106" i="26"/>
  <c r="X106" i="26"/>
  <c r="O106" i="26"/>
  <c r="F106" i="26"/>
  <c r="W106" i="26"/>
  <c r="N106" i="26"/>
  <c r="AE106" i="26"/>
  <c r="V106" i="26"/>
  <c r="M106" i="26"/>
  <c r="D106" i="26"/>
  <c r="AD106" i="26"/>
  <c r="U106" i="26"/>
  <c r="L106" i="26"/>
  <c r="AC106" i="26"/>
  <c r="T106" i="26"/>
  <c r="K106" i="26"/>
  <c r="I106" i="26"/>
  <c r="Q106" i="26"/>
  <c r="H106" i="26"/>
  <c r="AB106" i="26"/>
  <c r="G106" i="26"/>
  <c r="AA106" i="26"/>
  <c r="Y106" i="26"/>
  <c r="S106" i="26"/>
  <c r="P106" i="26"/>
  <c r="I117" i="26"/>
  <c r="Q117" i="26"/>
  <c r="Y117" i="26"/>
  <c r="H117" i="26"/>
  <c r="R117" i="26"/>
  <c r="AA117" i="26"/>
  <c r="S117" i="26"/>
  <c r="AB117" i="26"/>
  <c r="B117" i="26"/>
  <c r="K117" i="26"/>
  <c r="T117" i="26"/>
  <c r="AC117" i="26"/>
  <c r="L117" i="26"/>
  <c r="U117" i="26"/>
  <c r="AD117" i="26"/>
  <c r="D117" i="26"/>
  <c r="M117" i="26"/>
  <c r="V117" i="26"/>
  <c r="AE117" i="26"/>
  <c r="N117" i="26"/>
  <c r="O117" i="26"/>
  <c r="P117" i="26"/>
  <c r="W117" i="26"/>
  <c r="X117" i="26"/>
  <c r="Z117" i="26"/>
  <c r="F117" i="26"/>
  <c r="G117" i="26"/>
  <c r="B111" i="26"/>
  <c r="J111" i="26"/>
  <c r="R111" i="26"/>
  <c r="Z111" i="26"/>
  <c r="K111" i="26"/>
  <c r="S111" i="26"/>
  <c r="AA111" i="26"/>
  <c r="D111" i="26"/>
  <c r="L111" i="26"/>
  <c r="T111" i="26"/>
  <c r="AB111" i="26"/>
  <c r="E111" i="26"/>
  <c r="M111" i="26"/>
  <c r="U111" i="26"/>
  <c r="AC111" i="26"/>
  <c r="N111" i="26"/>
  <c r="AD111" i="26"/>
  <c r="O111" i="26"/>
  <c r="AE111" i="26"/>
  <c r="P111" i="26"/>
  <c r="Q111" i="26"/>
  <c r="F111" i="26"/>
  <c r="V111" i="26"/>
  <c r="W111" i="26"/>
  <c r="X111" i="26"/>
  <c r="H111" i="26"/>
  <c r="Y111" i="26"/>
  <c r="G111" i="26"/>
  <c r="I111" i="26"/>
  <c r="O91" i="26"/>
  <c r="W91" i="26"/>
  <c r="AE91" i="26"/>
  <c r="H91" i="26"/>
  <c r="Q91" i="26"/>
  <c r="Z91" i="26"/>
  <c r="J91" i="26"/>
  <c r="S91" i="26"/>
  <c r="AB91" i="26"/>
  <c r="K91" i="26"/>
  <c r="T91" i="26"/>
  <c r="AC91" i="26"/>
  <c r="V91" i="26"/>
  <c r="X91" i="26"/>
  <c r="L91" i="26"/>
  <c r="Y91" i="26"/>
  <c r="R91" i="26"/>
  <c r="M91" i="26"/>
  <c r="AA91" i="26"/>
  <c r="N91" i="26"/>
  <c r="AD91" i="26"/>
  <c r="P91" i="26"/>
  <c r="U91" i="26"/>
  <c r="B107" i="26"/>
  <c r="J107" i="26"/>
  <c r="R107" i="26"/>
  <c r="Z107" i="26"/>
  <c r="K107" i="26"/>
  <c r="S107" i="26"/>
  <c r="AA107" i="26"/>
  <c r="D107" i="26"/>
  <c r="L107" i="26"/>
  <c r="T107" i="26"/>
  <c r="AB107" i="26"/>
  <c r="E107" i="26"/>
  <c r="M107" i="26"/>
  <c r="U107" i="26"/>
  <c r="AC107" i="26"/>
  <c r="F107" i="26"/>
  <c r="V107" i="26"/>
  <c r="G107" i="26"/>
  <c r="W107" i="26"/>
  <c r="H107" i="26"/>
  <c r="X107" i="26"/>
  <c r="I107" i="26"/>
  <c r="Y107" i="26"/>
  <c r="N107" i="26"/>
  <c r="AD107" i="26"/>
  <c r="O107" i="26"/>
  <c r="P107" i="26"/>
  <c r="Q107" i="26"/>
  <c r="AE107" i="26"/>
  <c r="F109" i="26"/>
  <c r="N109" i="26"/>
  <c r="V109" i="26"/>
  <c r="AD109" i="26"/>
  <c r="G109" i="26"/>
  <c r="O109" i="26"/>
  <c r="W109" i="26"/>
  <c r="AE109" i="26"/>
  <c r="H109" i="26"/>
  <c r="P109" i="26"/>
  <c r="X109" i="26"/>
  <c r="I109" i="26"/>
  <c r="Q109" i="26"/>
  <c r="Y109" i="26"/>
  <c r="J109" i="26"/>
  <c r="Z109" i="26"/>
  <c r="K109" i="26"/>
  <c r="AA109" i="26"/>
  <c r="L109" i="26"/>
  <c r="AB109" i="26"/>
  <c r="M109" i="26"/>
  <c r="AC109" i="26"/>
  <c r="B109" i="26"/>
  <c r="R109" i="26"/>
  <c r="D109" i="26"/>
  <c r="S109" i="26"/>
  <c r="T109" i="26"/>
  <c r="U109" i="26"/>
  <c r="N98" i="26"/>
  <c r="V98" i="26"/>
  <c r="AD98" i="26"/>
  <c r="O98" i="26"/>
  <c r="X98" i="26"/>
  <c r="K98" i="26"/>
  <c r="P98" i="26"/>
  <c r="Y98" i="26"/>
  <c r="T98" i="26"/>
  <c r="Q98" i="26"/>
  <c r="Z98" i="26"/>
  <c r="I98" i="26"/>
  <c r="R98" i="26"/>
  <c r="AA98" i="26"/>
  <c r="J98" i="26"/>
  <c r="S98" i="26"/>
  <c r="AB98" i="26"/>
  <c r="AC98" i="26"/>
  <c r="L98" i="26"/>
  <c r="M98" i="26"/>
  <c r="U98" i="26"/>
  <c r="W98" i="26"/>
  <c r="AE98" i="26"/>
  <c r="F102" i="26"/>
  <c r="N102" i="26"/>
  <c r="V102" i="26"/>
  <c r="AD102" i="26"/>
  <c r="M102" i="26"/>
  <c r="W102" i="26"/>
  <c r="E102" i="26"/>
  <c r="O102" i="26"/>
  <c r="X102" i="26"/>
  <c r="AB102" i="26"/>
  <c r="G102" i="26"/>
  <c r="P102" i="26"/>
  <c r="Y102" i="26"/>
  <c r="S102" i="26"/>
  <c r="H102" i="26"/>
  <c r="Q102" i="26"/>
  <c r="Z102" i="26"/>
  <c r="I102" i="26"/>
  <c r="R102" i="26"/>
  <c r="AA102" i="26"/>
  <c r="J102" i="26"/>
  <c r="K102" i="26"/>
  <c r="L102" i="26"/>
  <c r="T102" i="26"/>
  <c r="U102" i="26"/>
  <c r="AC102" i="26"/>
  <c r="AE102" i="26"/>
  <c r="H110" i="26"/>
  <c r="P110" i="26"/>
  <c r="X110" i="26"/>
  <c r="I110" i="26"/>
  <c r="Q110" i="26"/>
  <c r="Y110" i="26"/>
  <c r="B110" i="26"/>
  <c r="J110" i="26"/>
  <c r="R110" i="26"/>
  <c r="Z110" i="26"/>
  <c r="K110" i="26"/>
  <c r="S110" i="26"/>
  <c r="AA110" i="26"/>
  <c r="L110" i="26"/>
  <c r="AB110" i="26"/>
  <c r="M110" i="26"/>
  <c r="AC110" i="26"/>
  <c r="N110" i="26"/>
  <c r="AD110" i="26"/>
  <c r="O110" i="26"/>
  <c r="AE110" i="26"/>
  <c r="T110" i="26"/>
  <c r="F110" i="26"/>
  <c r="G110" i="26"/>
  <c r="U110" i="26"/>
  <c r="V110" i="26"/>
  <c r="W110" i="26"/>
  <c r="CJ72" i="27"/>
  <c r="H99" i="26"/>
  <c r="P99" i="26"/>
  <c r="X99" i="26"/>
  <c r="L99" i="26"/>
  <c r="U99" i="26"/>
  <c r="AD99" i="26"/>
  <c r="R99" i="26"/>
  <c r="M99" i="26"/>
  <c r="V99" i="26"/>
  <c r="AE99" i="26"/>
  <c r="E99" i="26"/>
  <c r="N99" i="26"/>
  <c r="W99" i="26"/>
  <c r="O99" i="26"/>
  <c r="Y99" i="26"/>
  <c r="G99" i="26"/>
  <c r="Q99" i="26"/>
  <c r="Z99" i="26"/>
  <c r="AA99" i="26"/>
  <c r="AB99" i="26"/>
  <c r="AC99" i="26"/>
  <c r="J99" i="26"/>
  <c r="K99" i="26"/>
  <c r="S99" i="26"/>
  <c r="T99" i="26"/>
  <c r="L93" i="26"/>
  <c r="T93" i="26"/>
  <c r="AB93" i="26"/>
  <c r="I93" i="26"/>
  <c r="R93" i="26"/>
  <c r="AA93" i="26"/>
  <c r="Y93" i="26"/>
  <c r="J93" i="26"/>
  <c r="S93" i="26"/>
  <c r="AC93" i="26"/>
  <c r="P93" i="26"/>
  <c r="K93" i="26"/>
  <c r="U93" i="26"/>
  <c r="AD93" i="26"/>
  <c r="M93" i="26"/>
  <c r="V93" i="26"/>
  <c r="AE93" i="26"/>
  <c r="E93" i="26"/>
  <c r="N93" i="26"/>
  <c r="W93" i="26"/>
  <c r="O93" i="26"/>
  <c r="X93" i="26"/>
  <c r="Q93" i="26"/>
  <c r="Z93" i="26"/>
  <c r="N87" i="26"/>
  <c r="V87" i="26"/>
  <c r="AD87" i="26"/>
  <c r="H87" i="26"/>
  <c r="Q87" i="26"/>
  <c r="Z87" i="26"/>
  <c r="R87" i="26"/>
  <c r="AA87" i="26"/>
  <c r="M87" i="26"/>
  <c r="J87" i="26"/>
  <c r="S87" i="26"/>
  <c r="AB87" i="26"/>
  <c r="K87" i="26"/>
  <c r="T87" i="26"/>
  <c r="AC87" i="26"/>
  <c r="L87" i="26"/>
  <c r="U87" i="26"/>
  <c r="AE87" i="26"/>
  <c r="W87" i="26"/>
  <c r="O87" i="26"/>
  <c r="P87" i="26"/>
  <c r="X87" i="26"/>
  <c r="Y87" i="26"/>
  <c r="D6" i="43"/>
  <c r="C6" i="43"/>
  <c r="CK64" i="27"/>
  <c r="CJ64" i="27"/>
  <c r="CK93" i="27"/>
  <c r="CJ93" i="27"/>
  <c r="CK79" i="27"/>
  <c r="CJ79" i="27"/>
  <c r="CK90" i="27"/>
  <c r="CJ90" i="27"/>
  <c r="CK62" i="27"/>
  <c r="CJ62" i="27"/>
  <c r="CK84" i="27"/>
  <c r="CJ84" i="27"/>
  <c r="CK77" i="27"/>
  <c r="CJ77" i="27"/>
  <c r="CK61" i="27"/>
  <c r="CJ61" i="27"/>
  <c r="CK63" i="27"/>
  <c r="CJ63" i="27"/>
  <c r="CK87" i="27"/>
  <c r="CJ87" i="27"/>
  <c r="CK94" i="27"/>
  <c r="CJ94" i="27"/>
  <c r="CK86" i="27"/>
  <c r="CJ86" i="27"/>
  <c r="CK82" i="27"/>
  <c r="CJ82" i="27"/>
  <c r="CK67" i="27"/>
  <c r="CJ67" i="27"/>
  <c r="CK76" i="27"/>
  <c r="CJ76" i="27"/>
  <c r="CK80" i="27"/>
  <c r="CJ80" i="27"/>
  <c r="CK68" i="27"/>
  <c r="CJ68" i="27"/>
  <c r="CK95" i="27"/>
  <c r="CJ95" i="27"/>
  <c r="CK70" i="27"/>
  <c r="CJ70" i="27"/>
  <c r="CK83" i="27"/>
  <c r="CJ83" i="27"/>
  <c r="CK73" i="27"/>
  <c r="CJ73" i="27"/>
  <c r="CK75" i="27"/>
  <c r="CJ75" i="27"/>
  <c r="CK96" i="27"/>
  <c r="CJ96" i="27"/>
  <c r="CK66" i="27"/>
  <c r="CJ66" i="27"/>
  <c r="CK88" i="27"/>
  <c r="CJ88" i="27"/>
  <c r="CK65" i="27"/>
  <c r="CJ65" i="27"/>
  <c r="CK85" i="27"/>
  <c r="CJ85" i="27"/>
  <c r="CK69" i="27"/>
  <c r="CJ69" i="27"/>
  <c r="CK74" i="27"/>
  <c r="CJ74" i="27"/>
  <c r="CK71" i="27"/>
  <c r="CJ71" i="27"/>
  <c r="CK89" i="27"/>
  <c r="CJ89" i="27"/>
  <c r="CK60" i="27"/>
  <c r="CJ60" i="27"/>
  <c r="CK91" i="27"/>
  <c r="CJ91" i="27"/>
  <c r="CK92" i="27"/>
  <c r="CJ92" i="27"/>
  <c r="CK81" i="27"/>
  <c r="CJ81" i="27"/>
  <c r="CK72" i="27"/>
  <c r="BR82" i="27"/>
  <c r="BR87" i="27"/>
  <c r="BR66" i="27"/>
  <c r="BR67" i="27"/>
  <c r="BR80" i="27"/>
  <c r="BR69" i="27"/>
  <c r="BR91" i="27"/>
  <c r="BR92" i="27"/>
  <c r="BR81" i="27"/>
  <c r="BR84" i="27"/>
  <c r="BR85" i="27"/>
  <c r="BR61" i="27"/>
  <c r="BR76" i="27"/>
  <c r="BR74" i="27"/>
  <c r="BR94" i="27"/>
  <c r="BR64" i="27"/>
  <c r="BR93" i="27"/>
  <c r="BR65" i="27"/>
  <c r="BR60" i="27"/>
  <c r="A8" i="26"/>
  <c r="BR63" i="27"/>
  <c r="BR96" i="27"/>
  <c r="BR79" i="27"/>
  <c r="BR72" i="27"/>
  <c r="BR90" i="27"/>
  <c r="BR77" i="27"/>
  <c r="BR68" i="27"/>
  <c r="BR71" i="27"/>
  <c r="BR95" i="27"/>
  <c r="BR62" i="27"/>
  <c r="BR89" i="27"/>
  <c r="BR83" i="27"/>
  <c r="BR73" i="27"/>
  <c r="BR75" i="27"/>
  <c r="BR88" i="27"/>
  <c r="BR86" i="27"/>
  <c r="BR70" i="27"/>
  <c r="U30" i="27" l="1"/>
  <c r="X126" i="26"/>
  <c r="X125" i="26"/>
  <c r="O125" i="26"/>
  <c r="O126" i="26"/>
  <c r="AA125" i="26"/>
  <c r="AA126" i="26"/>
  <c r="W126" i="26"/>
  <c r="W125" i="26"/>
  <c r="R125" i="26"/>
  <c r="R126" i="26"/>
  <c r="Z126" i="26"/>
  <c r="Z125" i="26"/>
  <c r="U126" i="26"/>
  <c r="U125" i="26"/>
  <c r="Q125" i="26"/>
  <c r="Q126" i="26"/>
  <c r="P125" i="26"/>
  <c r="P126" i="26"/>
  <c r="AE126" i="26"/>
  <c r="AE125" i="26"/>
  <c r="L126" i="26"/>
  <c r="L125" i="26"/>
  <c r="AD125" i="26"/>
  <c r="AD126" i="26"/>
  <c r="AC126" i="26"/>
  <c r="AC125" i="26"/>
  <c r="T126" i="26"/>
  <c r="T125" i="26"/>
  <c r="V126" i="26"/>
  <c r="V125" i="26"/>
  <c r="M126" i="26"/>
  <c r="M125" i="26"/>
  <c r="K126" i="26"/>
  <c r="K125" i="26"/>
  <c r="N126" i="26"/>
  <c r="N125" i="26"/>
  <c r="AB125" i="26"/>
  <c r="AB126" i="26"/>
  <c r="Y126" i="26"/>
  <c r="Y125" i="26"/>
  <c r="S126" i="26"/>
  <c r="S125" i="26"/>
  <c r="CN83" i="27"/>
  <c r="CZ83" i="27"/>
  <c r="DH83" i="27" s="1"/>
  <c r="CY83" i="27"/>
  <c r="CX83" i="27"/>
  <c r="CO83" i="27"/>
  <c r="CM83" i="27"/>
  <c r="CM90" i="27"/>
  <c r="CN90" i="27"/>
  <c r="CO90" i="27"/>
  <c r="CW90" i="27" s="1"/>
  <c r="CX90" i="27"/>
  <c r="CZ90" i="27"/>
  <c r="DH90" i="27" s="1"/>
  <c r="CY90" i="27"/>
  <c r="CM73" i="27"/>
  <c r="CN73" i="27"/>
  <c r="CO73" i="27"/>
  <c r="CW73" i="27" s="1"/>
  <c r="CZ73" i="27"/>
  <c r="DH73" i="27" s="1"/>
  <c r="CY73" i="27"/>
  <c r="CX73" i="27"/>
  <c r="CZ63" i="27"/>
  <c r="CY63" i="27"/>
  <c r="CM63" i="27"/>
  <c r="CX63" i="27"/>
  <c r="CN63" i="27"/>
  <c r="CO63" i="27"/>
  <c r="CM81" i="27"/>
  <c r="CN81" i="27"/>
  <c r="CO81" i="27"/>
  <c r="CW81" i="27" s="1"/>
  <c r="CY81" i="27"/>
  <c r="CZ81" i="27"/>
  <c r="DH81" i="27" s="1"/>
  <c r="CX81" i="27"/>
  <c r="CZ91" i="27"/>
  <c r="DH91" i="27" s="1"/>
  <c r="CY91" i="27"/>
  <c r="CX91" i="27"/>
  <c r="CM91" i="27"/>
  <c r="CN91" i="27"/>
  <c r="CO91" i="27"/>
  <c r="CW91" i="27" s="1"/>
  <c r="CN62" i="27"/>
  <c r="CZ62" i="27"/>
  <c r="CY62" i="27"/>
  <c r="CX62" i="27"/>
  <c r="CM62" i="27"/>
  <c r="CO62" i="27"/>
  <c r="CM69" i="27"/>
  <c r="CX69" i="27"/>
  <c r="CN69" i="27"/>
  <c r="CO69" i="27"/>
  <c r="CW69" i="27" s="1"/>
  <c r="CZ69" i="27"/>
  <c r="DH69" i="27" s="1"/>
  <c r="CY69" i="27"/>
  <c r="CM95" i="27"/>
  <c r="CZ95" i="27"/>
  <c r="CO95" i="27"/>
  <c r="CW95" i="27" s="1"/>
  <c r="CY95" i="27"/>
  <c r="CX95" i="27"/>
  <c r="CN95" i="27"/>
  <c r="CZ80" i="27"/>
  <c r="DH80" i="27" s="1"/>
  <c r="CY80" i="27"/>
  <c r="CX80" i="27"/>
  <c r="CN80" i="27"/>
  <c r="CM80" i="27"/>
  <c r="CO80" i="27"/>
  <c r="CW80" i="27" s="1"/>
  <c r="CM65" i="27"/>
  <c r="CN65" i="27"/>
  <c r="CO65" i="27"/>
  <c r="CZ65" i="27"/>
  <c r="DH65" i="27" s="1"/>
  <c r="CX65" i="27"/>
  <c r="CY65" i="27"/>
  <c r="CM93" i="27"/>
  <c r="CN93" i="27"/>
  <c r="CO93" i="27"/>
  <c r="CY93" i="27"/>
  <c r="CZ93" i="27"/>
  <c r="DH93" i="27" s="1"/>
  <c r="CX93" i="27"/>
  <c r="CZ71" i="27"/>
  <c r="DH71" i="27" s="1"/>
  <c r="CY71" i="27"/>
  <c r="CX71" i="27"/>
  <c r="CM71" i="27"/>
  <c r="CN71" i="27"/>
  <c r="CO71" i="27"/>
  <c r="CW71" i="27" s="1"/>
  <c r="CM64" i="27"/>
  <c r="CN64" i="27"/>
  <c r="CO64" i="27"/>
  <c r="CZ64" i="27"/>
  <c r="DH64" i="27" s="1"/>
  <c r="CY64" i="27"/>
  <c r="CX64" i="27"/>
  <c r="CZ67" i="27"/>
  <c r="DH67" i="27" s="1"/>
  <c r="CY67" i="27"/>
  <c r="CX67" i="27"/>
  <c r="CM67" i="27"/>
  <c r="CO67" i="27"/>
  <c r="CW67" i="27" s="1"/>
  <c r="CN67" i="27"/>
  <c r="CZ92" i="27"/>
  <c r="CY92" i="27"/>
  <c r="CM92" i="27"/>
  <c r="CN92" i="27"/>
  <c r="CX92" i="27"/>
  <c r="CO92" i="27"/>
  <c r="CW92" i="27" s="1"/>
  <c r="CM68" i="27"/>
  <c r="CN68" i="27"/>
  <c r="CY68" i="27"/>
  <c r="CO68" i="27"/>
  <c r="CW68" i="27" s="1"/>
  <c r="CZ68" i="27"/>
  <c r="CX68" i="27"/>
  <c r="CM94" i="27"/>
  <c r="CN94" i="27"/>
  <c r="CO94" i="27"/>
  <c r="CZ94" i="27"/>
  <c r="DH94" i="27" s="1"/>
  <c r="CX94" i="27"/>
  <c r="CY94" i="27"/>
  <c r="CM66" i="27"/>
  <c r="CZ66" i="27"/>
  <c r="CY66" i="27"/>
  <c r="CX66" i="27"/>
  <c r="CN66" i="27"/>
  <c r="CO66" i="27"/>
  <c r="CW66" i="27" s="1"/>
  <c r="CM89" i="27"/>
  <c r="CN89" i="27"/>
  <c r="CO89" i="27"/>
  <c r="CW89" i="27" s="1"/>
  <c r="CY89" i="27"/>
  <c r="CZ89" i="27"/>
  <c r="DH89" i="27" s="1"/>
  <c r="CX89" i="27"/>
  <c r="CM77" i="27"/>
  <c r="CN77" i="27"/>
  <c r="CX77" i="27"/>
  <c r="CO77" i="27"/>
  <c r="CW77" i="27" s="1"/>
  <c r="CZ77" i="27"/>
  <c r="DH77" i="27" s="1"/>
  <c r="CY77" i="27"/>
  <c r="CO74" i="27"/>
  <c r="CW74" i="27" s="1"/>
  <c r="CZ74" i="27"/>
  <c r="DH74" i="27" s="1"/>
  <c r="CM74" i="27"/>
  <c r="CN74" i="27"/>
  <c r="CY74" i="27"/>
  <c r="CX74" i="27"/>
  <c r="CZ87" i="27"/>
  <c r="CN87" i="27"/>
  <c r="CY87" i="27"/>
  <c r="CO87" i="27"/>
  <c r="CW87" i="27" s="1"/>
  <c r="CX87" i="27"/>
  <c r="CM87" i="27"/>
  <c r="CM76" i="27"/>
  <c r="CN76" i="27"/>
  <c r="CO76" i="27"/>
  <c r="CW76" i="27" s="1"/>
  <c r="CY76" i="27"/>
  <c r="CZ76" i="27"/>
  <c r="DH76" i="27" s="1"/>
  <c r="CX76" i="27"/>
  <c r="CX86" i="27"/>
  <c r="CM86" i="27"/>
  <c r="CN86" i="27"/>
  <c r="CO86" i="27"/>
  <c r="CW86" i="27" s="1"/>
  <c r="CZ86" i="27"/>
  <c r="DH86" i="27" s="1"/>
  <c r="CY86" i="27"/>
  <c r="CM72" i="27"/>
  <c r="CN72" i="27"/>
  <c r="CO72" i="27"/>
  <c r="CW72" i="27" s="1"/>
  <c r="CY72" i="27"/>
  <c r="CZ72" i="27"/>
  <c r="DH72" i="27" s="1"/>
  <c r="CX72" i="27"/>
  <c r="AG61" i="27"/>
  <c r="CM61" i="27"/>
  <c r="CX61" i="27"/>
  <c r="CN61" i="27"/>
  <c r="CY61" i="27"/>
  <c r="CO61" i="27"/>
  <c r="CW61" i="27" s="1"/>
  <c r="CZ61" i="27"/>
  <c r="CO60" i="27"/>
  <c r="CW60" i="27" s="1"/>
  <c r="CN60" i="27"/>
  <c r="CZ60" i="27"/>
  <c r="DH60" i="27" s="1"/>
  <c r="CY60" i="27"/>
  <c r="CX60" i="27"/>
  <c r="CM60" i="27"/>
  <c r="CM82" i="27"/>
  <c r="CX82" i="27"/>
  <c r="CN82" i="27"/>
  <c r="CO82" i="27"/>
  <c r="CW82" i="27" s="1"/>
  <c r="CZ82" i="27"/>
  <c r="DH82" i="27" s="1"/>
  <c r="CY82" i="27"/>
  <c r="CZ88" i="27"/>
  <c r="DH88" i="27" s="1"/>
  <c r="CY88" i="27"/>
  <c r="CX88" i="27"/>
  <c r="CN88" i="27"/>
  <c r="CM88" i="27"/>
  <c r="CO88" i="27"/>
  <c r="CO79" i="27"/>
  <c r="CN79" i="27"/>
  <c r="CM79" i="27"/>
  <c r="CZ79" i="27"/>
  <c r="DH79" i="27" s="1"/>
  <c r="CY79" i="27"/>
  <c r="CX79" i="27"/>
  <c r="CM85" i="27"/>
  <c r="CN85" i="27"/>
  <c r="CO85" i="27"/>
  <c r="CW85" i="27" s="1"/>
  <c r="CY85" i="27"/>
  <c r="CZ85" i="27"/>
  <c r="DH85" i="27" s="1"/>
  <c r="CX85" i="27"/>
  <c r="CZ70" i="27"/>
  <c r="DH70" i="27" s="1"/>
  <c r="CY70" i="27"/>
  <c r="CN70" i="27"/>
  <c r="CO70" i="27"/>
  <c r="CW70" i="27" s="1"/>
  <c r="CX70" i="27"/>
  <c r="CM70" i="27"/>
  <c r="CZ75" i="27"/>
  <c r="DH75" i="27" s="1"/>
  <c r="CY75" i="27"/>
  <c r="CX75" i="27"/>
  <c r="CM75" i="27"/>
  <c r="CO75" i="27"/>
  <c r="CN75" i="27"/>
  <c r="CZ96" i="27"/>
  <c r="DH96" i="27" s="1"/>
  <c r="CY96" i="27"/>
  <c r="CX96" i="27"/>
  <c r="CM96" i="27"/>
  <c r="CN96" i="27"/>
  <c r="CO96" i="27"/>
  <c r="CW96" i="27" s="1"/>
  <c r="CZ84" i="27"/>
  <c r="DH84" i="27" s="1"/>
  <c r="CY84" i="27"/>
  <c r="CX84" i="27"/>
  <c r="CN84" i="27"/>
  <c r="CM84" i="27"/>
  <c r="CO84" i="27"/>
  <c r="CW84" i="27" s="1"/>
  <c r="AD60" i="27"/>
  <c r="AG60" i="27"/>
  <c r="AG76" i="27"/>
  <c r="AF76" i="27"/>
  <c r="AF63" i="27"/>
  <c r="AG63" i="27"/>
  <c r="AG86" i="27"/>
  <c r="AD86" i="27"/>
  <c r="AF86" i="27"/>
  <c r="AG71" i="27"/>
  <c r="AF71" i="27"/>
  <c r="AF61" i="27"/>
  <c r="AF67" i="27"/>
  <c r="AG67" i="27"/>
  <c r="AG95" i="27"/>
  <c r="AF95" i="27"/>
  <c r="AD95" i="27"/>
  <c r="AD80" i="27"/>
  <c r="AG80" i="27"/>
  <c r="AF80" i="27"/>
  <c r="AG88" i="27"/>
  <c r="AF88" i="27"/>
  <c r="AD88" i="27"/>
  <c r="AG85" i="27"/>
  <c r="AD85" i="27"/>
  <c r="AF85" i="27"/>
  <c r="AG66" i="27"/>
  <c r="AF66" i="27"/>
  <c r="AF75" i="27"/>
  <c r="AG75" i="27"/>
  <c r="AG77" i="27"/>
  <c r="AF77" i="27"/>
  <c r="AF65" i="27"/>
  <c r="AG65" i="27"/>
  <c r="AG84" i="27"/>
  <c r="AD84" i="27"/>
  <c r="AF84" i="27"/>
  <c r="AG87" i="27"/>
  <c r="AF87" i="27"/>
  <c r="AD87" i="27"/>
  <c r="AG68" i="27"/>
  <c r="AF68" i="27"/>
  <c r="AF73" i="27"/>
  <c r="AG73" i="27"/>
  <c r="AF90" i="27"/>
  <c r="AG90" i="27"/>
  <c r="AD90" i="27"/>
  <c r="AG93" i="27"/>
  <c r="AD93" i="27"/>
  <c r="AF93" i="27"/>
  <c r="AG81" i="27"/>
  <c r="AD81" i="27"/>
  <c r="AF81" i="27"/>
  <c r="AF82" i="27"/>
  <c r="AG82" i="27"/>
  <c r="AD82" i="27"/>
  <c r="AG70" i="27"/>
  <c r="AF70" i="27"/>
  <c r="AD83" i="27"/>
  <c r="AF83" i="27"/>
  <c r="AG83" i="27"/>
  <c r="AF64" i="27"/>
  <c r="AG64" i="27"/>
  <c r="AG92" i="27"/>
  <c r="AD92" i="27"/>
  <c r="AF92" i="27"/>
  <c r="AG89" i="27"/>
  <c r="AD89" i="27"/>
  <c r="AF89" i="27"/>
  <c r="AD79" i="27"/>
  <c r="AG79" i="27"/>
  <c r="AF79" i="27"/>
  <c r="AG94" i="27"/>
  <c r="AD94" i="27"/>
  <c r="AF94" i="27"/>
  <c r="AD91" i="27"/>
  <c r="AF91" i="27"/>
  <c r="AG91" i="27"/>
  <c r="AF72" i="27"/>
  <c r="AG72" i="27"/>
  <c r="AG62" i="27"/>
  <c r="AF62" i="27"/>
  <c r="AG96" i="27"/>
  <c r="AF96" i="27"/>
  <c r="AD96" i="27"/>
  <c r="AG74" i="27"/>
  <c r="AF74" i="27"/>
  <c r="AG69" i="27"/>
  <c r="AF69" i="27"/>
  <c r="AD76" i="27"/>
  <c r="AD61" i="27"/>
  <c r="AD63" i="27"/>
  <c r="AD68" i="27"/>
  <c r="AD66" i="27"/>
  <c r="AD77" i="27"/>
  <c r="AD67" i="27"/>
  <c r="AD65" i="27"/>
  <c r="AD73" i="27"/>
  <c r="AD72" i="27"/>
  <c r="AD64" i="27"/>
  <c r="AD70" i="27"/>
  <c r="AD71" i="27"/>
  <c r="AD75" i="27"/>
  <c r="AD62" i="27"/>
  <c r="AD74" i="27"/>
  <c r="AD69" i="27"/>
  <c r="AF60" i="27"/>
  <c r="D79" i="27"/>
  <c r="E79" i="27" s="1"/>
  <c r="Q52" i="45"/>
  <c r="V7" i="45"/>
  <c r="D60" i="27"/>
  <c r="E60" i="27" s="1"/>
  <c r="C9" i="43"/>
  <c r="O33" i="27"/>
  <c r="D41" i="27"/>
  <c r="D61" i="27" s="1"/>
  <c r="E61" i="27" s="1"/>
  <c r="E40" i="27"/>
  <c r="BJ28" i="27" s="1"/>
  <c r="D21" i="27"/>
  <c r="D22" i="27"/>
  <c r="D24" i="27" s="1"/>
  <c r="D29" i="27" s="1"/>
  <c r="C10" i="43"/>
  <c r="C17" i="43"/>
  <c r="CL80" i="27"/>
  <c r="AC80" i="27" s="1"/>
  <c r="CL81" i="27"/>
  <c r="AC81" i="27" s="1"/>
  <c r="CL79" i="27"/>
  <c r="AC79" i="27" s="1"/>
  <c r="CL82" i="27"/>
  <c r="AC82" i="27" s="1"/>
  <c r="CL85" i="27"/>
  <c r="AC85" i="27" s="1"/>
  <c r="CL84" i="27"/>
  <c r="AC84" i="27" s="1"/>
  <c r="CL91" i="27"/>
  <c r="AC91" i="27" s="1"/>
  <c r="CL88" i="27"/>
  <c r="AC88" i="27" s="1"/>
  <c r="CL89" i="27"/>
  <c r="AC89" i="27" s="1"/>
  <c r="CL96" i="27"/>
  <c r="AC96" i="27" s="1"/>
  <c r="CL92" i="27"/>
  <c r="AC92" i="27" s="1"/>
  <c r="CL94" i="27"/>
  <c r="AC94" i="27" s="1"/>
  <c r="CL95" i="27"/>
  <c r="AC95" i="27" s="1"/>
  <c r="CL93" i="27"/>
  <c r="AC93" i="27" s="1"/>
  <c r="CL76" i="27"/>
  <c r="AC76" i="27" s="1"/>
  <c r="CL73" i="27"/>
  <c r="AC73" i="27" s="1"/>
  <c r="CL77" i="27"/>
  <c r="AC77" i="27" s="1"/>
  <c r="CL74" i="27"/>
  <c r="AC74" i="27" s="1"/>
  <c r="CL69" i="27"/>
  <c r="AC69" i="27" s="1"/>
  <c r="CL86" i="27"/>
  <c r="AC86" i="27" s="1"/>
  <c r="CL90" i="27"/>
  <c r="AC90" i="27" s="1"/>
  <c r="CL67" i="27"/>
  <c r="AC67" i="27" s="1"/>
  <c r="CL61" i="27"/>
  <c r="AC61" i="27" s="1"/>
  <c r="CL87" i="27"/>
  <c r="AC87" i="27" s="1"/>
  <c r="CL83" i="27"/>
  <c r="AC83" i="27" s="1"/>
  <c r="CL60" i="27"/>
  <c r="AC60" i="27" s="1"/>
  <c r="CL70" i="27"/>
  <c r="AC70" i="27" s="1"/>
  <c r="CL68" i="27"/>
  <c r="AC68" i="27" s="1"/>
  <c r="CL62" i="27"/>
  <c r="AC62" i="27" s="1"/>
  <c r="CP71" i="27"/>
  <c r="DA71" i="27"/>
  <c r="DA60" i="27"/>
  <c r="CP60" i="27"/>
  <c r="CP70" i="27"/>
  <c r="DA70" i="27"/>
  <c r="CP62" i="27"/>
  <c r="DA62" i="27"/>
  <c r="CP90" i="27"/>
  <c r="DA90" i="27"/>
  <c r="DA76" i="27"/>
  <c r="CP76" i="27"/>
  <c r="CP92" i="27"/>
  <c r="DA92" i="27"/>
  <c r="DA67" i="27"/>
  <c r="CP67" i="27"/>
  <c r="DA86" i="27"/>
  <c r="CP86" i="27"/>
  <c r="DA95" i="27"/>
  <c r="CP95" i="27"/>
  <c r="CP61" i="27"/>
  <c r="DA61" i="27"/>
  <c r="CP91" i="27"/>
  <c r="DA91" i="27"/>
  <c r="DA88" i="27"/>
  <c r="CP88" i="27"/>
  <c r="DA68" i="27"/>
  <c r="CP68" i="27"/>
  <c r="DA85" i="27"/>
  <c r="CP85" i="27"/>
  <c r="DA75" i="27"/>
  <c r="CP75" i="27"/>
  <c r="CP84" i="27"/>
  <c r="DA84" i="27"/>
  <c r="DA87" i="27"/>
  <c r="CP87" i="27"/>
  <c r="DA73" i="27"/>
  <c r="CP73" i="27"/>
  <c r="DA96" i="27"/>
  <c r="CP96" i="27"/>
  <c r="DA64" i="27"/>
  <c r="CP64" i="27"/>
  <c r="CP69" i="27"/>
  <c r="DA69" i="27"/>
  <c r="CP82" i="27"/>
  <c r="DA82" i="27"/>
  <c r="DA65" i="27"/>
  <c r="CP65" i="27"/>
  <c r="DA83" i="27"/>
  <c r="CP83" i="27"/>
  <c r="DA94" i="27"/>
  <c r="CP94" i="27"/>
  <c r="CP81" i="27"/>
  <c r="DA81" i="27"/>
  <c r="DA80" i="27"/>
  <c r="CP80" i="27"/>
  <c r="DA72" i="27"/>
  <c r="CP72" i="27"/>
  <c r="CP79" i="27"/>
  <c r="DA79" i="27"/>
  <c r="CP66" i="27"/>
  <c r="DA66" i="27"/>
  <c r="DA93" i="27"/>
  <c r="CP93" i="27"/>
  <c r="CP89" i="27"/>
  <c r="DA89" i="27"/>
  <c r="CP77" i="27"/>
  <c r="DA77" i="27"/>
  <c r="CP63" i="27"/>
  <c r="DA63" i="27"/>
  <c r="DA74" i="27"/>
  <c r="CP74" i="27"/>
  <c r="CL65" i="27"/>
  <c r="AC65" i="27" s="1"/>
  <c r="CL64" i="27"/>
  <c r="AC64" i="27" s="1"/>
  <c r="CL72" i="27"/>
  <c r="AC72" i="27" s="1"/>
  <c r="CL66" i="27"/>
  <c r="AC66" i="27" s="1"/>
  <c r="DB90" i="27"/>
  <c r="DF90" i="27"/>
  <c r="CU90" i="27"/>
  <c r="CU67" i="27"/>
  <c r="DB67" i="27"/>
  <c r="DF67" i="27"/>
  <c r="CU86" i="27"/>
  <c r="DB86" i="27"/>
  <c r="DF86" i="27"/>
  <c r="CU88" i="27"/>
  <c r="DB88" i="27"/>
  <c r="DF88" i="27"/>
  <c r="DB71" i="27"/>
  <c r="CU71" i="27"/>
  <c r="DF71" i="27"/>
  <c r="DB72" i="27"/>
  <c r="CU72" i="27"/>
  <c r="DF72" i="27"/>
  <c r="DF60" i="27"/>
  <c r="DB76" i="27"/>
  <c r="DF76" i="27"/>
  <c r="CU76" i="27"/>
  <c r="DB68" i="27"/>
  <c r="CU68" i="27"/>
  <c r="DF68" i="27"/>
  <c r="CU65" i="27"/>
  <c r="DF65" i="27"/>
  <c r="DB65" i="27"/>
  <c r="CU66" i="27"/>
  <c r="DF66" i="27"/>
  <c r="DB66" i="27"/>
  <c r="DB73" i="27"/>
  <c r="DF73" i="27"/>
  <c r="CU73" i="27"/>
  <c r="DF96" i="27"/>
  <c r="CU96" i="27"/>
  <c r="DB96" i="27"/>
  <c r="DF64" i="27"/>
  <c r="DB64" i="27"/>
  <c r="CU64" i="27"/>
  <c r="DB69" i="27"/>
  <c r="CU69" i="27"/>
  <c r="DF69" i="27"/>
  <c r="DB82" i="27"/>
  <c r="CU82" i="27"/>
  <c r="DF82" i="27"/>
  <c r="DF62" i="27"/>
  <c r="DB62" i="27"/>
  <c r="CU62" i="27"/>
  <c r="CU95" i="27"/>
  <c r="DF95" i="27"/>
  <c r="DB95" i="27"/>
  <c r="DF61" i="27"/>
  <c r="CU61" i="27"/>
  <c r="DB61" i="27"/>
  <c r="DB91" i="27"/>
  <c r="CU91" i="27"/>
  <c r="DF91" i="27"/>
  <c r="DB79" i="27"/>
  <c r="CU79" i="27"/>
  <c r="DF79" i="27"/>
  <c r="CU85" i="27"/>
  <c r="DF85" i="27"/>
  <c r="DB85" i="27"/>
  <c r="CU75" i="27"/>
  <c r="DB75" i="27"/>
  <c r="DF75" i="27"/>
  <c r="DB84" i="27"/>
  <c r="CU84" i="27"/>
  <c r="DF84" i="27"/>
  <c r="DB87" i="27"/>
  <c r="CU87" i="27"/>
  <c r="DF87" i="27"/>
  <c r="DF83" i="27"/>
  <c r="CU83" i="27"/>
  <c r="DB83" i="27"/>
  <c r="DF94" i="27"/>
  <c r="CU94" i="27"/>
  <c r="DB94" i="27"/>
  <c r="DB81" i="27"/>
  <c r="DF81" i="27"/>
  <c r="CU81" i="27"/>
  <c r="DB80" i="27"/>
  <c r="CU80" i="27"/>
  <c r="DF80" i="27"/>
  <c r="DB70" i="27"/>
  <c r="CU70" i="27"/>
  <c r="DF70" i="27"/>
  <c r="DB92" i="27"/>
  <c r="CU92" i="27"/>
  <c r="DF92" i="27"/>
  <c r="DF93" i="27"/>
  <c r="CU93" i="27"/>
  <c r="DB93" i="27"/>
  <c r="DB89" i="27"/>
  <c r="CU89" i="27"/>
  <c r="DF89" i="27"/>
  <c r="DB77" i="27"/>
  <c r="CU77" i="27"/>
  <c r="DF77" i="27"/>
  <c r="CU63" i="27"/>
  <c r="DF63" i="27"/>
  <c r="DB63" i="27"/>
  <c r="DB74" i="27"/>
  <c r="CU74" i="27"/>
  <c r="DF74" i="27"/>
  <c r="CL71" i="27"/>
  <c r="AC71" i="27" s="1"/>
  <c r="CL75" i="27"/>
  <c r="AC75" i="27" s="1"/>
  <c r="CL63" i="27"/>
  <c r="AC63" i="27" s="1"/>
  <c r="DB60" i="27"/>
  <c r="CQ62" i="27"/>
  <c r="CQ92" i="27"/>
  <c r="CQ86" i="27"/>
  <c r="CQ95" i="27"/>
  <c r="CQ61" i="27"/>
  <c r="CQ91" i="27"/>
  <c r="CQ88" i="27"/>
  <c r="CQ71" i="27"/>
  <c r="CQ72" i="27"/>
  <c r="CQ90" i="27"/>
  <c r="CQ67" i="27"/>
  <c r="CQ93" i="27"/>
  <c r="CQ73" i="27"/>
  <c r="CQ96" i="27"/>
  <c r="CQ64" i="27"/>
  <c r="CQ69" i="27"/>
  <c r="CQ82" i="27"/>
  <c r="CQ68" i="27"/>
  <c r="CQ65" i="27"/>
  <c r="CQ85" i="27"/>
  <c r="CQ75" i="27"/>
  <c r="CQ84" i="27"/>
  <c r="CQ87" i="27"/>
  <c r="CQ94" i="27"/>
  <c r="CQ80" i="27"/>
  <c r="CQ70" i="27"/>
  <c r="CQ76" i="27"/>
  <c r="CQ79" i="27"/>
  <c r="CQ66" i="27"/>
  <c r="CQ83" i="27"/>
  <c r="CQ81" i="27"/>
  <c r="CQ89" i="27"/>
  <c r="CQ77" i="27"/>
  <c r="CQ63" i="27"/>
  <c r="CQ74" i="27"/>
  <c r="CU60" i="27"/>
  <c r="CQ60" i="27"/>
  <c r="BY71" i="27"/>
  <c r="AE71" i="27" s="1"/>
  <c r="CD71" i="27"/>
  <c r="CA71" i="27"/>
  <c r="CH71" i="27"/>
  <c r="BW71" i="27"/>
  <c r="CG71" i="27"/>
  <c r="BX71" i="27"/>
  <c r="BS71" i="27"/>
  <c r="CI71" i="27"/>
  <c r="CC71" i="27"/>
  <c r="K71" i="27" s="1"/>
  <c r="F71" i="27"/>
  <c r="CB71" i="27"/>
  <c r="J71" i="27" s="1"/>
  <c r="CH69" i="27"/>
  <c r="CA69" i="27"/>
  <c r="BY69" i="27"/>
  <c r="AE69" i="27" s="1"/>
  <c r="BX69" i="27"/>
  <c r="CD69" i="27"/>
  <c r="BW69" i="27"/>
  <c r="CG69" i="27"/>
  <c r="BS69" i="27"/>
  <c r="CB69" i="27"/>
  <c r="J69" i="27" s="1"/>
  <c r="CI69" i="27"/>
  <c r="F69" i="27"/>
  <c r="CC69" i="27"/>
  <c r="K69" i="27" s="1"/>
  <c r="BW77" i="27"/>
  <c r="CA77" i="27"/>
  <c r="BX77" i="27"/>
  <c r="CC77" i="27"/>
  <c r="K77" i="27" s="1"/>
  <c r="BS77" i="27"/>
  <c r="CD77" i="27"/>
  <c r="CH77" i="27"/>
  <c r="BY77" i="27"/>
  <c r="AE77" i="27" s="1"/>
  <c r="CG77" i="27"/>
  <c r="F77" i="27"/>
  <c r="CB77" i="27"/>
  <c r="J77" i="27" s="1"/>
  <c r="CI77" i="27"/>
  <c r="BY65" i="27"/>
  <c r="AE65" i="27" s="1"/>
  <c r="CH65" i="27"/>
  <c r="BX65" i="27"/>
  <c r="BW65" i="27"/>
  <c r="CA65" i="27"/>
  <c r="CD65" i="27"/>
  <c r="CG65" i="27"/>
  <c r="CC65" i="27"/>
  <c r="K65" i="27" s="1"/>
  <c r="BS65" i="27"/>
  <c r="CI65" i="27"/>
  <c r="F65" i="27"/>
  <c r="CB65" i="27"/>
  <c r="J65" i="27" s="1"/>
  <c r="CA92" i="27"/>
  <c r="CH92" i="27"/>
  <c r="BW92" i="27"/>
  <c r="CD92" i="27"/>
  <c r="CG92" i="27"/>
  <c r="BY92" i="27"/>
  <c r="AE92" i="27" s="1"/>
  <c r="BX92" i="27"/>
  <c r="CC92" i="27"/>
  <c r="K92" i="27" s="1"/>
  <c r="CI92" i="27"/>
  <c r="CB92" i="27"/>
  <c r="J92" i="27" s="1"/>
  <c r="BS92" i="27"/>
  <c r="F92" i="27"/>
  <c r="CH70" i="27"/>
  <c r="CA70" i="27"/>
  <c r="BY70" i="27"/>
  <c r="AE70" i="27" s="1"/>
  <c r="CD70" i="27"/>
  <c r="BW70" i="27"/>
  <c r="CG70" i="27"/>
  <c r="BX70" i="27"/>
  <c r="BS70" i="27"/>
  <c r="F70" i="27"/>
  <c r="CC70" i="27"/>
  <c r="K70" i="27" s="1"/>
  <c r="CI70" i="27"/>
  <c r="CB70" i="27"/>
  <c r="J70" i="27" s="1"/>
  <c r="BY81" i="27"/>
  <c r="AE81" i="27" s="1"/>
  <c r="BX81" i="27"/>
  <c r="CD81" i="27"/>
  <c r="CH81" i="27"/>
  <c r="BW81" i="27"/>
  <c r="CA81" i="27"/>
  <c r="CG81" i="27"/>
  <c r="BS81" i="27"/>
  <c r="F81" i="27"/>
  <c r="CB81" i="27"/>
  <c r="J81" i="27" s="1"/>
  <c r="CC81" i="27"/>
  <c r="K81" i="27" s="1"/>
  <c r="CI81" i="27"/>
  <c r="CD67" i="27"/>
  <c r="CA67" i="27"/>
  <c r="CG67" i="27"/>
  <c r="CH67" i="27"/>
  <c r="BX67" i="27"/>
  <c r="BW67" i="27"/>
  <c r="BY67" i="27"/>
  <c r="AE67" i="27" s="1"/>
  <c r="BS67" i="27"/>
  <c r="CI67" i="27"/>
  <c r="CC67" i="27"/>
  <c r="K67" i="27" s="1"/>
  <c r="F67" i="27"/>
  <c r="CB67" i="27"/>
  <c r="J67" i="27" s="1"/>
  <c r="BX79" i="27"/>
  <c r="CA79" i="27"/>
  <c r="CH79" i="27"/>
  <c r="BY79" i="27"/>
  <c r="AE79" i="27" s="1"/>
  <c r="CG79" i="27"/>
  <c r="BW79" i="27"/>
  <c r="CD79" i="27"/>
  <c r="CI79" i="27"/>
  <c r="CC79" i="27"/>
  <c r="K79" i="27" s="1"/>
  <c r="F79" i="27"/>
  <c r="CB79" i="27"/>
  <c r="J79" i="27" s="1"/>
  <c r="BS79" i="27"/>
  <c r="BY76" i="27"/>
  <c r="AE76" i="27" s="1"/>
  <c r="CG76" i="27"/>
  <c r="BX76" i="27"/>
  <c r="CD76" i="27"/>
  <c r="BW76" i="27"/>
  <c r="CH76" i="27"/>
  <c r="CA76" i="27"/>
  <c r="BS76" i="27"/>
  <c r="CI76" i="27"/>
  <c r="F76" i="27"/>
  <c r="CC76" i="27"/>
  <c r="K76" i="27" s="1"/>
  <c r="CB76" i="27"/>
  <c r="J76" i="27" s="1"/>
  <c r="BY91" i="27"/>
  <c r="AE91" i="27" s="1"/>
  <c r="BX91" i="27"/>
  <c r="CA91" i="27"/>
  <c r="BW91" i="27"/>
  <c r="CD91" i="27"/>
  <c r="CH91" i="27"/>
  <c r="CG91" i="27"/>
  <c r="CI91" i="27"/>
  <c r="F91" i="27"/>
  <c r="CC91" i="27"/>
  <c r="K91" i="27" s="1"/>
  <c r="BS91" i="27"/>
  <c r="CB91" i="27"/>
  <c r="J91" i="27" s="1"/>
  <c r="CG87" i="27"/>
  <c r="BX87" i="27"/>
  <c r="CD87" i="27"/>
  <c r="BY87" i="27"/>
  <c r="AE87" i="27" s="1"/>
  <c r="BW87" i="27"/>
  <c r="CA87" i="27"/>
  <c r="CH87" i="27"/>
  <c r="BS87" i="27"/>
  <c r="CI87" i="27"/>
  <c r="F87" i="27"/>
  <c r="CB87" i="27"/>
  <c r="J87" i="27" s="1"/>
  <c r="CC87" i="27"/>
  <c r="K87" i="27" s="1"/>
  <c r="E96" i="27"/>
  <c r="BY73" i="27"/>
  <c r="AE73" i="27" s="1"/>
  <c r="CA73" i="27"/>
  <c r="BW73" i="27"/>
  <c r="CH73" i="27"/>
  <c r="CG73" i="27"/>
  <c r="CD73" i="27"/>
  <c r="BX73" i="27"/>
  <c r="CC73" i="27"/>
  <c r="K73" i="27" s="1"/>
  <c r="BS73" i="27"/>
  <c r="CB73" i="27"/>
  <c r="J73" i="27" s="1"/>
  <c r="CI73" i="27"/>
  <c r="F73" i="27"/>
  <c r="BY94" i="27"/>
  <c r="AE94" i="27" s="1"/>
  <c r="BW94" i="27"/>
  <c r="CH94" i="27"/>
  <c r="BX94" i="27"/>
  <c r="CD94" i="27"/>
  <c r="CG94" i="27"/>
  <c r="CA94" i="27"/>
  <c r="BS94" i="27"/>
  <c r="CC94" i="27"/>
  <c r="K94" i="27" s="1"/>
  <c r="CB94" i="27"/>
  <c r="J94" i="27" s="1"/>
  <c r="F94" i="27"/>
  <c r="CI94" i="27"/>
  <c r="CH83" i="27"/>
  <c r="BX83" i="27"/>
  <c r="BW83" i="27"/>
  <c r="BY83" i="27"/>
  <c r="AE83" i="27" s="1"/>
  <c r="CD83" i="27"/>
  <c r="CA83" i="27"/>
  <c r="CG83" i="27"/>
  <c r="CC83" i="27"/>
  <c r="K83" i="27" s="1"/>
  <c r="BS83" i="27"/>
  <c r="CI83" i="27"/>
  <c r="CB83" i="27"/>
  <c r="J83" i="27" s="1"/>
  <c r="F83" i="27"/>
  <c r="CG84" i="27"/>
  <c r="BX84" i="27"/>
  <c r="BW84" i="27"/>
  <c r="CD84" i="27"/>
  <c r="CI84" i="27"/>
  <c r="F84" i="27"/>
  <c r="BS84" i="27"/>
  <c r="CH84" i="27"/>
  <c r="CA84" i="27"/>
  <c r="BY84" i="27"/>
  <c r="AE84" i="27" s="1"/>
  <c r="CC84" i="27"/>
  <c r="K84" i="27" s="1"/>
  <c r="CB84" i="27"/>
  <c r="J84" i="27" s="1"/>
  <c r="CA90" i="27"/>
  <c r="CD90" i="27"/>
  <c r="BY90" i="27"/>
  <c r="AE90" i="27" s="1"/>
  <c r="BX90" i="27"/>
  <c r="CH90" i="27"/>
  <c r="CG90" i="27"/>
  <c r="BW90" i="27"/>
  <c r="BS90" i="27"/>
  <c r="F90" i="27"/>
  <c r="CI90" i="27"/>
  <c r="CB90" i="27"/>
  <c r="J90" i="27" s="1"/>
  <c r="CC90" i="27"/>
  <c r="K90" i="27" s="1"/>
  <c r="CA89" i="27"/>
  <c r="BY89" i="27"/>
  <c r="AE89" i="27" s="1"/>
  <c r="CD89" i="27"/>
  <c r="BW89" i="27"/>
  <c r="CH89" i="27"/>
  <c r="BX89" i="27"/>
  <c r="CG89" i="27"/>
  <c r="CI89" i="27"/>
  <c r="CB89" i="27"/>
  <c r="J89" i="27" s="1"/>
  <c r="CC89" i="27"/>
  <c r="K89" i="27" s="1"/>
  <c r="F89" i="27"/>
  <c r="BS89" i="27"/>
  <c r="BW66" i="27"/>
  <c r="CA66" i="27"/>
  <c r="CH66" i="27"/>
  <c r="BY66" i="27"/>
  <c r="AE66" i="27" s="1"/>
  <c r="CD66" i="27"/>
  <c r="BX66" i="27"/>
  <c r="CG66" i="27"/>
  <c r="CB66" i="27"/>
  <c r="J66" i="27" s="1"/>
  <c r="CI66" i="27"/>
  <c r="CC66" i="27"/>
  <c r="K66" i="27" s="1"/>
  <c r="BS66" i="27"/>
  <c r="F66" i="27"/>
  <c r="BW72" i="27"/>
  <c r="CA72" i="27"/>
  <c r="BX72" i="27"/>
  <c r="CH72" i="27"/>
  <c r="CD72" i="27"/>
  <c r="BY72" i="27"/>
  <c r="AE72" i="27" s="1"/>
  <c r="CG72" i="27"/>
  <c r="BS72" i="27"/>
  <c r="F72" i="27"/>
  <c r="CC72" i="27"/>
  <c r="K72" i="27" s="1"/>
  <c r="CI72" i="27"/>
  <c r="CB72" i="27"/>
  <c r="J72" i="27" s="1"/>
  <c r="CH95" i="27"/>
  <c r="BW95" i="27"/>
  <c r="CA95" i="27"/>
  <c r="BY95" i="27"/>
  <c r="AE95" i="27" s="1"/>
  <c r="BX95" i="27"/>
  <c r="CG95" i="27"/>
  <c r="BS95" i="27"/>
  <c r="CB95" i="27"/>
  <c r="J95" i="27" s="1"/>
  <c r="F95" i="27"/>
  <c r="CD95" i="27"/>
  <c r="CI95" i="27"/>
  <c r="CC95" i="27"/>
  <c r="K95" i="27" s="1"/>
  <c r="BX93" i="27"/>
  <c r="BY93" i="27"/>
  <c r="AE93" i="27" s="1"/>
  <c r="CD93" i="27"/>
  <c r="CG93" i="27"/>
  <c r="CH93" i="27"/>
  <c r="CA93" i="27"/>
  <c r="BW93" i="27"/>
  <c r="F93" i="27"/>
  <c r="CI93" i="27"/>
  <c r="CB93" i="27"/>
  <c r="J93" i="27" s="1"/>
  <c r="BS93" i="27"/>
  <c r="CC93" i="27"/>
  <c r="K93" i="27" s="1"/>
  <c r="CD82" i="27"/>
  <c r="BW82" i="27"/>
  <c r="CH82" i="27"/>
  <c r="BX82" i="27"/>
  <c r="BY82" i="27"/>
  <c r="AE82" i="27" s="1"/>
  <c r="BS82" i="27"/>
  <c r="CB82" i="27"/>
  <c r="J82" i="27" s="1"/>
  <c r="CG82" i="27"/>
  <c r="CA82" i="27"/>
  <c r="CI82" i="27"/>
  <c r="CC82" i="27"/>
  <c r="K82" i="27" s="1"/>
  <c r="F82" i="27"/>
  <c r="BW86" i="27"/>
  <c r="BX86" i="27"/>
  <c r="CH86" i="27"/>
  <c r="CG86" i="27"/>
  <c r="CA86" i="27"/>
  <c r="BY86" i="27"/>
  <c r="AE86" i="27" s="1"/>
  <c r="CD86" i="27"/>
  <c r="BS86" i="27"/>
  <c r="F86" i="27"/>
  <c r="CC86" i="27"/>
  <c r="K86" i="27" s="1"/>
  <c r="CB86" i="27"/>
  <c r="J86" i="27" s="1"/>
  <c r="CI86" i="27"/>
  <c r="CD63" i="27"/>
  <c r="BW63" i="27"/>
  <c r="BX63" i="27"/>
  <c r="CH63" i="27"/>
  <c r="CG63" i="27"/>
  <c r="CA63" i="27"/>
  <c r="BY63" i="27"/>
  <c r="AE63" i="27" s="1"/>
  <c r="BS63" i="27"/>
  <c r="CC63" i="27"/>
  <c r="K63" i="27" s="1"/>
  <c r="F63" i="27"/>
  <c r="CB63" i="27"/>
  <c r="J63" i="27" s="1"/>
  <c r="CI63" i="27"/>
  <c r="CG80" i="27"/>
  <c r="CA80" i="27"/>
  <c r="BX80" i="27"/>
  <c r="BW80" i="27"/>
  <c r="BY80" i="27"/>
  <c r="AE80" i="27" s="1"/>
  <c r="CH80" i="27"/>
  <c r="BS80" i="27"/>
  <c r="CD80" i="27"/>
  <c r="CC80" i="27"/>
  <c r="K80" i="27" s="1"/>
  <c r="F80" i="27"/>
  <c r="CI80" i="27"/>
  <c r="CB80" i="27"/>
  <c r="J80" i="27" s="1"/>
  <c r="E80" i="27"/>
  <c r="BW68" i="27"/>
  <c r="CD68" i="27"/>
  <c r="BX68" i="27"/>
  <c r="CH68" i="27"/>
  <c r="CA68" i="27"/>
  <c r="CG68" i="27"/>
  <c r="F68" i="27"/>
  <c r="BS68" i="27"/>
  <c r="BY68" i="27"/>
  <c r="AE68" i="27" s="1"/>
  <c r="CB68" i="27"/>
  <c r="J68" i="27" s="1"/>
  <c r="CC68" i="27"/>
  <c r="K68" i="27" s="1"/>
  <c r="CI68" i="27"/>
  <c r="BY60" i="27"/>
  <c r="AE60" i="27" s="1"/>
  <c r="CH60" i="27"/>
  <c r="BW60" i="27"/>
  <c r="CA60" i="27"/>
  <c r="BX60" i="27"/>
  <c r="CG60" i="27"/>
  <c r="CD60" i="27"/>
  <c r="BS60" i="27"/>
  <c r="CI60" i="27"/>
  <c r="CC60" i="27"/>
  <c r="K60" i="27" s="1"/>
  <c r="F60" i="27"/>
  <c r="CB60" i="27"/>
  <c r="J60" i="27" s="1"/>
  <c r="BW75" i="27"/>
  <c r="CG75" i="27"/>
  <c r="CD75" i="27"/>
  <c r="BX75" i="27"/>
  <c r="CA75" i="27"/>
  <c r="BY75" i="27"/>
  <c r="AE75" i="27" s="1"/>
  <c r="CH75" i="27"/>
  <c r="BS75" i="27"/>
  <c r="F75" i="27"/>
  <c r="CI75" i="27"/>
  <c r="CB75" i="27"/>
  <c r="J75" i="27" s="1"/>
  <c r="CC75" i="27"/>
  <c r="K75" i="27" s="1"/>
  <c r="BW61" i="27"/>
  <c r="BY61" i="27"/>
  <c r="AE61" i="27" s="1"/>
  <c r="CG61" i="27"/>
  <c r="BX61" i="27"/>
  <c r="CA61" i="27"/>
  <c r="CD61" i="27"/>
  <c r="F61" i="27"/>
  <c r="CI61" i="27"/>
  <c r="BS61" i="27"/>
  <c r="CH61" i="27"/>
  <c r="CB61" i="27"/>
  <c r="J61" i="27" s="1"/>
  <c r="CC61" i="27"/>
  <c r="K61" i="27" s="1"/>
  <c r="CH85" i="27"/>
  <c r="BX85" i="27"/>
  <c r="CD85" i="27"/>
  <c r="CG85" i="27"/>
  <c r="BS85" i="27"/>
  <c r="BW85" i="27"/>
  <c r="CA85" i="27"/>
  <c r="CC85" i="27"/>
  <c r="K85" i="27" s="1"/>
  <c r="F85" i="27"/>
  <c r="CB85" i="27"/>
  <c r="J85" i="27" s="1"/>
  <c r="BY85" i="27"/>
  <c r="AE85" i="27" s="1"/>
  <c r="CI85" i="27"/>
  <c r="BX88" i="27"/>
  <c r="CH88" i="27"/>
  <c r="CA88" i="27"/>
  <c r="CG88" i="27"/>
  <c r="BY88" i="27"/>
  <c r="AE88" i="27" s="1"/>
  <c r="CD88" i="27"/>
  <c r="BW88" i="27"/>
  <c r="BS88" i="27"/>
  <c r="CB88" i="27"/>
  <c r="J88" i="27" s="1"/>
  <c r="F88" i="27"/>
  <c r="CC88" i="27"/>
  <c r="K88" i="27" s="1"/>
  <c r="CI88" i="27"/>
  <c r="BX74" i="27"/>
  <c r="CA74" i="27"/>
  <c r="BY74" i="27"/>
  <c r="AE74" i="27" s="1"/>
  <c r="BW74" i="27"/>
  <c r="CD74" i="27"/>
  <c r="CH74" i="27"/>
  <c r="CG74" i="27"/>
  <c r="BS74" i="27"/>
  <c r="CC74" i="27"/>
  <c r="K74" i="27" s="1"/>
  <c r="CI74" i="27"/>
  <c r="F74" i="27"/>
  <c r="CB74" i="27"/>
  <c r="J74" i="27" s="1"/>
  <c r="CD62" i="27"/>
  <c r="BW62" i="27"/>
  <c r="BY62" i="27"/>
  <c r="AE62" i="27" s="1"/>
  <c r="BX62" i="27"/>
  <c r="CG62" i="27"/>
  <c r="CA62" i="27"/>
  <c r="CH62" i="27"/>
  <c r="F62" i="27"/>
  <c r="BS62" i="27"/>
  <c r="CB62" i="27"/>
  <c r="J62" i="27" s="1"/>
  <c r="CC62" i="27"/>
  <c r="K62" i="27" s="1"/>
  <c r="CI62" i="27"/>
  <c r="CD96" i="27"/>
  <c r="CG96" i="27"/>
  <c r="BY96" i="27"/>
  <c r="AE96" i="27" s="1"/>
  <c r="CA96" i="27"/>
  <c r="BX96" i="27"/>
  <c r="BW96" i="27"/>
  <c r="CH96" i="27"/>
  <c r="BS96" i="27"/>
  <c r="CI96" i="27"/>
  <c r="F96" i="27"/>
  <c r="CC96" i="27"/>
  <c r="K96" i="27" s="1"/>
  <c r="CB96" i="27"/>
  <c r="J96" i="27" s="1"/>
  <c r="CH64" i="27"/>
  <c r="BX64" i="27"/>
  <c r="CD64" i="27"/>
  <c r="BW64" i="27"/>
  <c r="CI64" i="27"/>
  <c r="CB64" i="27"/>
  <c r="J64" i="27" s="1"/>
  <c r="CA64" i="27"/>
  <c r="BS64" i="27"/>
  <c r="F64" i="27"/>
  <c r="CC64" i="27"/>
  <c r="K64" i="27" s="1"/>
  <c r="CG64" i="27"/>
  <c r="BY64" i="27"/>
  <c r="AE64" i="27" s="1"/>
  <c r="W64" i="27" l="1"/>
  <c r="Z64" i="27"/>
  <c r="X64" i="27"/>
  <c r="Y64" i="27"/>
  <c r="AB64" i="27"/>
  <c r="AA64" i="27"/>
  <c r="W61" i="27"/>
  <c r="X61" i="27"/>
  <c r="Y61" i="27"/>
  <c r="AB61" i="27"/>
  <c r="W76" i="27"/>
  <c r="Y76" i="27"/>
  <c r="AB76" i="27"/>
  <c r="X76" i="27"/>
  <c r="Z91" i="27"/>
  <c r="X91" i="27"/>
  <c r="Y91" i="27"/>
  <c r="AB91" i="27"/>
  <c r="AA91" i="27"/>
  <c r="W72" i="27"/>
  <c r="Z72" i="27"/>
  <c r="X72" i="27"/>
  <c r="AA72" i="27"/>
  <c r="Y72" i="27"/>
  <c r="AB72" i="27"/>
  <c r="W87" i="27"/>
  <c r="AB87" i="27"/>
  <c r="AA87" i="27"/>
  <c r="X87" i="27"/>
  <c r="Z87" i="27"/>
  <c r="Y87" i="27"/>
  <c r="W65" i="27"/>
  <c r="AA65" i="27"/>
  <c r="Z65" i="27"/>
  <c r="X65" i="27"/>
  <c r="Y65" i="27"/>
  <c r="AB65" i="27"/>
  <c r="W67" i="27"/>
  <c r="AB67" i="27"/>
  <c r="Y67" i="27"/>
  <c r="X67" i="27"/>
  <c r="W93" i="27"/>
  <c r="AA93" i="27"/>
  <c r="Z93" i="27"/>
  <c r="X93" i="27"/>
  <c r="Y93" i="27"/>
  <c r="AB93" i="27"/>
  <c r="Z84" i="27"/>
  <c r="X84" i="27"/>
  <c r="Y84" i="27"/>
  <c r="AA84" i="27"/>
  <c r="AB84" i="27"/>
  <c r="W63" i="27"/>
  <c r="X63" i="27"/>
  <c r="Y63" i="27"/>
  <c r="AB63" i="27"/>
  <c r="X62" i="27"/>
  <c r="Y62" i="27"/>
  <c r="W62" i="27"/>
  <c r="AB62" i="27"/>
  <c r="W90" i="27"/>
  <c r="X90" i="27"/>
  <c r="Y90" i="27"/>
  <c r="AB90" i="27"/>
  <c r="Z90" i="27"/>
  <c r="AA90" i="27"/>
  <c r="AB95" i="27"/>
  <c r="AA95" i="27"/>
  <c r="X95" i="27"/>
  <c r="Z95" i="27"/>
  <c r="Y95" i="27"/>
  <c r="W85" i="27"/>
  <c r="AA85" i="27"/>
  <c r="Z85" i="27"/>
  <c r="X85" i="27"/>
  <c r="Y85" i="27"/>
  <c r="AB85" i="27"/>
  <c r="W75" i="27"/>
  <c r="AB75" i="27"/>
  <c r="AA75" i="27"/>
  <c r="Y75" i="27"/>
  <c r="Z75" i="27"/>
  <c r="X75" i="27"/>
  <c r="W68" i="27"/>
  <c r="Y68" i="27"/>
  <c r="X68" i="27"/>
  <c r="AB68" i="27"/>
  <c r="AA68" i="27"/>
  <c r="Z68" i="27"/>
  <c r="W86" i="27"/>
  <c r="AA86" i="27"/>
  <c r="Z86" i="27"/>
  <c r="X86" i="27"/>
  <c r="Y86" i="27"/>
  <c r="AB86" i="27"/>
  <c r="W94" i="27"/>
  <c r="AA94" i="27"/>
  <c r="Z94" i="27"/>
  <c r="X94" i="27"/>
  <c r="Y94" i="27"/>
  <c r="AB94" i="27"/>
  <c r="W82" i="27"/>
  <c r="X82" i="27"/>
  <c r="Y82" i="27"/>
  <c r="AB82" i="27"/>
  <c r="AA82" i="27"/>
  <c r="Z82" i="27"/>
  <c r="AB88" i="27"/>
  <c r="AA88" i="27"/>
  <c r="Z88" i="27"/>
  <c r="X88" i="27"/>
  <c r="Y88" i="27"/>
  <c r="W71" i="27"/>
  <c r="Z71" i="27"/>
  <c r="X71" i="27"/>
  <c r="Y71" i="27"/>
  <c r="AB71" i="27"/>
  <c r="AA71" i="27"/>
  <c r="W70" i="27"/>
  <c r="X70" i="27"/>
  <c r="Y70" i="27"/>
  <c r="AB70" i="27"/>
  <c r="W69" i="27"/>
  <c r="X69" i="27"/>
  <c r="Y69" i="27"/>
  <c r="AB69" i="27"/>
  <c r="AA69" i="27"/>
  <c r="Z69" i="27"/>
  <c r="W92" i="27"/>
  <c r="Z92" i="27"/>
  <c r="X92" i="27"/>
  <c r="Y92" i="27"/>
  <c r="AB92" i="27"/>
  <c r="AA92" i="27"/>
  <c r="W79" i="27"/>
  <c r="Y79" i="27"/>
  <c r="X79" i="27"/>
  <c r="W60" i="27"/>
  <c r="Y60" i="27"/>
  <c r="X60" i="27"/>
  <c r="W74" i="27"/>
  <c r="AB74" i="27"/>
  <c r="X74" i="27"/>
  <c r="Y74" i="27"/>
  <c r="W96" i="27"/>
  <c r="AB96" i="27"/>
  <c r="AA96" i="27"/>
  <c r="Y96" i="27"/>
  <c r="Z96" i="27"/>
  <c r="X96" i="27"/>
  <c r="Y81" i="27"/>
  <c r="AB81" i="27"/>
  <c r="X81" i="27"/>
  <c r="AA81" i="27"/>
  <c r="Z81" i="27"/>
  <c r="W73" i="27"/>
  <c r="AA73" i="27"/>
  <c r="Z73" i="27"/>
  <c r="X73" i="27"/>
  <c r="Y73" i="27"/>
  <c r="AB73" i="27"/>
  <c r="W66" i="27"/>
  <c r="AA66" i="27"/>
  <c r="Z66" i="27"/>
  <c r="AB66" i="27"/>
  <c r="X66" i="27"/>
  <c r="Y66" i="27"/>
  <c r="W83" i="27"/>
  <c r="Z83" i="27"/>
  <c r="X83" i="27"/>
  <c r="Y83" i="27"/>
  <c r="AB83" i="27"/>
  <c r="AA83" i="27"/>
  <c r="W77" i="27"/>
  <c r="X77" i="27"/>
  <c r="Y77" i="27"/>
  <c r="AB77" i="27"/>
  <c r="AA77" i="27"/>
  <c r="Z77" i="27"/>
  <c r="Y89" i="27"/>
  <c r="AB89" i="27"/>
  <c r="AA89" i="27"/>
  <c r="Z89" i="27"/>
  <c r="X89" i="27"/>
  <c r="W80" i="27"/>
  <c r="AB80" i="27"/>
  <c r="AA80" i="27"/>
  <c r="Y80" i="27"/>
  <c r="Z80" i="27"/>
  <c r="X80" i="27"/>
  <c r="W88" i="27"/>
  <c r="W91" i="27"/>
  <c r="W84" i="27"/>
  <c r="W95" i="27"/>
  <c r="W81" i="27"/>
  <c r="W89" i="27"/>
  <c r="DJ91" i="27"/>
  <c r="DJ62" i="27"/>
  <c r="DJ72" i="27"/>
  <c r="DJ83" i="27"/>
  <c r="DJ64" i="27"/>
  <c r="DJ88" i="27"/>
  <c r="DJ86" i="27"/>
  <c r="DJ63" i="27"/>
  <c r="DJ66" i="27"/>
  <c r="DJ81" i="27"/>
  <c r="DJ82" i="27"/>
  <c r="DJ61" i="27"/>
  <c r="DJ92" i="27"/>
  <c r="DJ70" i="27"/>
  <c r="DJ94" i="27"/>
  <c r="DJ87" i="27"/>
  <c r="DJ68" i="27"/>
  <c r="DJ95" i="27"/>
  <c r="DJ76" i="27"/>
  <c r="DJ74" i="27"/>
  <c r="P38" i="45"/>
  <c r="DI86" i="27"/>
  <c r="P19" i="45"/>
  <c r="AM19" i="45" s="1"/>
  <c r="DI66" i="27"/>
  <c r="P23" i="45"/>
  <c r="AM23" i="45" s="1"/>
  <c r="DI70" i="27"/>
  <c r="P37" i="45"/>
  <c r="DK85" i="27"/>
  <c r="DL85" i="27"/>
  <c r="DM85" i="27"/>
  <c r="DI85" i="27"/>
  <c r="P16" i="45"/>
  <c r="DI63" i="27"/>
  <c r="P34" i="45"/>
  <c r="DI82" i="27"/>
  <c r="DK82" i="27"/>
  <c r="DL82" i="27"/>
  <c r="DM82" i="27"/>
  <c r="P45" i="45"/>
  <c r="DK93" i="27"/>
  <c r="DL93" i="27"/>
  <c r="DM93" i="27"/>
  <c r="DI93" i="27"/>
  <c r="P42" i="45"/>
  <c r="DI90" i="27"/>
  <c r="DK90" i="27"/>
  <c r="DL90" i="27"/>
  <c r="DM90" i="27"/>
  <c r="P43" i="45"/>
  <c r="DL91" i="27"/>
  <c r="DM91" i="27"/>
  <c r="DK91" i="27"/>
  <c r="DI91" i="27"/>
  <c r="P33" i="45"/>
  <c r="DI81" i="27"/>
  <c r="DJ73" i="27"/>
  <c r="DJ85" i="27"/>
  <c r="P21" i="45"/>
  <c r="AM21" i="45" s="1"/>
  <c r="DI68" i="27"/>
  <c r="P36" i="45"/>
  <c r="DI84" i="27"/>
  <c r="DK84" i="27"/>
  <c r="DL84" i="27"/>
  <c r="DM84" i="27"/>
  <c r="P20" i="45"/>
  <c r="DI67" i="27"/>
  <c r="P44" i="45"/>
  <c r="DI92" i="27"/>
  <c r="DK92" i="27"/>
  <c r="DL92" i="27"/>
  <c r="DM92" i="27"/>
  <c r="P17" i="45"/>
  <c r="AM17" i="45" s="1"/>
  <c r="DI64" i="27"/>
  <c r="P14" i="45"/>
  <c r="AM14" i="45" s="1"/>
  <c r="DI61" i="27"/>
  <c r="P32" i="45"/>
  <c r="DI80" i="27"/>
  <c r="DK80" i="27"/>
  <c r="DL80" i="27"/>
  <c r="DM80" i="27"/>
  <c r="P24" i="45"/>
  <c r="AM24" i="45" s="1"/>
  <c r="DI71" i="27"/>
  <c r="P48" i="45"/>
  <c r="Q48" i="45" s="1"/>
  <c r="Y48" i="45" s="1"/>
  <c r="DK96" i="27"/>
  <c r="DL96" i="27"/>
  <c r="DM96" i="27"/>
  <c r="DI96" i="27"/>
  <c r="P28" i="45"/>
  <c r="AM28" i="45" s="1"/>
  <c r="DI75" i="27"/>
  <c r="P26" i="45"/>
  <c r="AM26" i="45" s="1"/>
  <c r="DI73" i="27"/>
  <c r="P29" i="45"/>
  <c r="DI76" i="27"/>
  <c r="P22" i="45"/>
  <c r="AM22" i="45" s="1"/>
  <c r="DI69" i="27"/>
  <c r="DJ77" i="27"/>
  <c r="DJ79" i="27"/>
  <c r="DJ69" i="27"/>
  <c r="P25" i="45"/>
  <c r="AM25" i="45" s="1"/>
  <c r="DI72" i="27"/>
  <c r="P31" i="45"/>
  <c r="DI79" i="27"/>
  <c r="DM79" i="27"/>
  <c r="DL79" i="27"/>
  <c r="DK79" i="27"/>
  <c r="P18" i="45"/>
  <c r="AM18" i="45" s="1"/>
  <c r="DI65" i="27"/>
  <c r="P40" i="45"/>
  <c r="DK88" i="27"/>
  <c r="DL88" i="27"/>
  <c r="DM88" i="27"/>
  <c r="DI88" i="27"/>
  <c r="P41" i="45"/>
  <c r="DI89" i="27"/>
  <c r="DK89" i="27"/>
  <c r="DL89" i="27"/>
  <c r="DM89" i="27"/>
  <c r="P35" i="45"/>
  <c r="DL83" i="27"/>
  <c r="DM83" i="27"/>
  <c r="DK83" i="27"/>
  <c r="DI83" i="27"/>
  <c r="P39" i="45"/>
  <c r="DI87" i="27"/>
  <c r="DK87" i="27"/>
  <c r="DL87" i="27"/>
  <c r="DM87" i="27"/>
  <c r="DJ89" i="27"/>
  <c r="DJ84" i="27"/>
  <c r="DJ90" i="27"/>
  <c r="DJ71" i="27"/>
  <c r="P15" i="45"/>
  <c r="AM15" i="45" s="1"/>
  <c r="DI62" i="27"/>
  <c r="P27" i="45"/>
  <c r="DI74" i="27"/>
  <c r="P47" i="45"/>
  <c r="DI95" i="27"/>
  <c r="DK95" i="27"/>
  <c r="DL95" i="27"/>
  <c r="DM95" i="27"/>
  <c r="P46" i="45"/>
  <c r="DM94" i="27"/>
  <c r="DI94" i="27"/>
  <c r="DK94" i="27"/>
  <c r="DL94" i="27"/>
  <c r="P30" i="45"/>
  <c r="DI77" i="27"/>
  <c r="DJ93" i="27"/>
  <c r="DJ80" i="27"/>
  <c r="DJ65" i="27"/>
  <c r="DJ96" i="27"/>
  <c r="DJ75" i="27"/>
  <c r="DJ67" i="27"/>
  <c r="DI60" i="27"/>
  <c r="Q53" i="45"/>
  <c r="E8" i="43"/>
  <c r="E9" i="43"/>
  <c r="R21" i="27"/>
  <c r="U21" i="27"/>
  <c r="R19" i="27"/>
  <c r="J26" i="27" s="1"/>
  <c r="U23" i="27"/>
  <c r="K16" i="27"/>
  <c r="R25" i="27"/>
  <c r="O16" i="27"/>
  <c r="R23" i="27"/>
  <c r="U19" i="27"/>
  <c r="U25" i="27"/>
  <c r="G41" i="27"/>
  <c r="G40" i="27"/>
  <c r="D23" i="27"/>
  <c r="Y52" i="45" s="1"/>
  <c r="E41" i="27"/>
  <c r="D42" i="27"/>
  <c r="D81" i="27" s="1"/>
  <c r="E81" i="27" s="1"/>
  <c r="G95" i="27"/>
  <c r="G96" i="27"/>
  <c r="H96" i="27" s="1"/>
  <c r="G60" i="27"/>
  <c r="H60" i="27" s="1"/>
  <c r="G61" i="27"/>
  <c r="H61" i="27" s="1"/>
  <c r="G80" i="27"/>
  <c r="H80" i="27" s="1"/>
  <c r="G79" i="27"/>
  <c r="H79" i="27" s="1"/>
  <c r="BT60" i="27"/>
  <c r="P13" i="45"/>
  <c r="AB79" i="27"/>
  <c r="AB60" i="27"/>
  <c r="DJ60" i="27"/>
  <c r="A127" i="26"/>
  <c r="DG62" i="27"/>
  <c r="CV62" i="27"/>
  <c r="AA62" i="27" s="1"/>
  <c r="DE75" i="27"/>
  <c r="DG95" i="27"/>
  <c r="DH62" i="27"/>
  <c r="DG70" i="27"/>
  <c r="CV83" i="27"/>
  <c r="DG66" i="27"/>
  <c r="CV64" i="27"/>
  <c r="DG60" i="27"/>
  <c r="CV76" i="27"/>
  <c r="AA76" i="27" s="1"/>
  <c r="CV67" i="27"/>
  <c r="AA67" i="27" s="1"/>
  <c r="CV65" i="27"/>
  <c r="CV81" i="27"/>
  <c r="DG84" i="27"/>
  <c r="CV69" i="27"/>
  <c r="CV89" i="27"/>
  <c r="CV88" i="27"/>
  <c r="CV79" i="27"/>
  <c r="CV70" i="27"/>
  <c r="AA70" i="27" s="1"/>
  <c r="CV61" i="27"/>
  <c r="AA61" i="27" s="1"/>
  <c r="CV80" i="27"/>
  <c r="CV87" i="27"/>
  <c r="CV74" i="27"/>
  <c r="AA74" i="27" s="1"/>
  <c r="DG94" i="27"/>
  <c r="DG75" i="27"/>
  <c r="DG68" i="27"/>
  <c r="DG86" i="27"/>
  <c r="CV68" i="27"/>
  <c r="CV73" i="27"/>
  <c r="CV94" i="27"/>
  <c r="DG76" i="27"/>
  <c r="CV71" i="27"/>
  <c r="CV60" i="27"/>
  <c r="AA60" i="27" s="1"/>
  <c r="CV86" i="27"/>
  <c r="DG92" i="27"/>
  <c r="CW62" i="27"/>
  <c r="CV66" i="27"/>
  <c r="CV84" i="27"/>
  <c r="DG83" i="27"/>
  <c r="CV63" i="27"/>
  <c r="AA63" i="27" s="1"/>
  <c r="CV75" i="27"/>
  <c r="CV85" i="27"/>
  <c r="CV93" i="27"/>
  <c r="CW65" i="27"/>
  <c r="DG61" i="27"/>
  <c r="DE73" i="27"/>
  <c r="DC73" i="27"/>
  <c r="DD73" i="27"/>
  <c r="CS89" i="27"/>
  <c r="CT89" i="27"/>
  <c r="CR89" i="27"/>
  <c r="CR66" i="27"/>
  <c r="CS66" i="27"/>
  <c r="CT66" i="27"/>
  <c r="CR64" i="27"/>
  <c r="CS64" i="27"/>
  <c r="CT64" i="27"/>
  <c r="DC60" i="27"/>
  <c r="DE60" i="27"/>
  <c r="DD60" i="27"/>
  <c r="DE83" i="27"/>
  <c r="DC83" i="27"/>
  <c r="DD83" i="27"/>
  <c r="DC75" i="27"/>
  <c r="DD75" i="27"/>
  <c r="DG79" i="27"/>
  <c r="DH61" i="27"/>
  <c r="CV96" i="27"/>
  <c r="CR94" i="27"/>
  <c r="CS94" i="27"/>
  <c r="CT94" i="27"/>
  <c r="CS90" i="27"/>
  <c r="CT90" i="27"/>
  <c r="CR90" i="27"/>
  <c r="CR88" i="27"/>
  <c r="CS88" i="27"/>
  <c r="CT88" i="27"/>
  <c r="DE63" i="27"/>
  <c r="DC63" i="27"/>
  <c r="DD63" i="27"/>
  <c r="CV77" i="27"/>
  <c r="DC77" i="27"/>
  <c r="DE77" i="27"/>
  <c r="DD77" i="27"/>
  <c r="DG93" i="27"/>
  <c r="DH92" i="27"/>
  <c r="DG81" i="27"/>
  <c r="CW94" i="27"/>
  <c r="DD84" i="27"/>
  <c r="DE84" i="27"/>
  <c r="DC84" i="27"/>
  <c r="DG91" i="27"/>
  <c r="DC91" i="27"/>
  <c r="DE91" i="27"/>
  <c r="DD91" i="27"/>
  <c r="DD64" i="27"/>
  <c r="DC64" i="27"/>
  <c r="DE64" i="27"/>
  <c r="DH68" i="27"/>
  <c r="DC68" i="27"/>
  <c r="DE68" i="27"/>
  <c r="DD68" i="27"/>
  <c r="CV72" i="27"/>
  <c r="CS81" i="27"/>
  <c r="CT81" i="27"/>
  <c r="CR81" i="27"/>
  <c r="CR93" i="27"/>
  <c r="CS93" i="27"/>
  <c r="CT93" i="27"/>
  <c r="CR62" i="27"/>
  <c r="CS62" i="27"/>
  <c r="CT62" i="27"/>
  <c r="DD93" i="27"/>
  <c r="DE93" i="27"/>
  <c r="DC93" i="27"/>
  <c r="CT70" i="27"/>
  <c r="CR70" i="27"/>
  <c r="CS70" i="27"/>
  <c r="DG82" i="27"/>
  <c r="DD82" i="27"/>
  <c r="DE82" i="27"/>
  <c r="DC82" i="27"/>
  <c r="DD96" i="27"/>
  <c r="DE96" i="27"/>
  <c r="DC96" i="27"/>
  <c r="DE89" i="27"/>
  <c r="DD89" i="27"/>
  <c r="DC89" i="27"/>
  <c r="DH66" i="27"/>
  <c r="DD90" i="27"/>
  <c r="DE90" i="27"/>
  <c r="DC90" i="27"/>
  <c r="CS77" i="27"/>
  <c r="CT77" i="27"/>
  <c r="CR77" i="27"/>
  <c r="CS83" i="27"/>
  <c r="CT83" i="27"/>
  <c r="CR83" i="27"/>
  <c r="CR84" i="27"/>
  <c r="CT84" i="27"/>
  <c r="CS84" i="27"/>
  <c r="CS75" i="27"/>
  <c r="CT75" i="27"/>
  <c r="CR75" i="27"/>
  <c r="CS73" i="27"/>
  <c r="CT73" i="27"/>
  <c r="CR73" i="27"/>
  <c r="CS71" i="27"/>
  <c r="CT71" i="27"/>
  <c r="CR71" i="27"/>
  <c r="CR86" i="27"/>
  <c r="CS86" i="27"/>
  <c r="CT86" i="27"/>
  <c r="DG89" i="27"/>
  <c r="CW93" i="27"/>
  <c r="DC70" i="27"/>
  <c r="DD70" i="27"/>
  <c r="DE70" i="27"/>
  <c r="DE81" i="27"/>
  <c r="DD81" i="27"/>
  <c r="DC81" i="27"/>
  <c r="CW83" i="27"/>
  <c r="CW79" i="27"/>
  <c r="CV95" i="27"/>
  <c r="CV82" i="27"/>
  <c r="CW64" i="27"/>
  <c r="DG96" i="27"/>
  <c r="DG73" i="27"/>
  <c r="DE65" i="27"/>
  <c r="DC65" i="27"/>
  <c r="DD65" i="27"/>
  <c r="DD72" i="27"/>
  <c r="DC72" i="27"/>
  <c r="DE72" i="27"/>
  <c r="CR85" i="27"/>
  <c r="CS85" i="27"/>
  <c r="CT85" i="27"/>
  <c r="DD92" i="27"/>
  <c r="DC92" i="27"/>
  <c r="DE92" i="27"/>
  <c r="CW88" i="27"/>
  <c r="DC67" i="27"/>
  <c r="DD67" i="27"/>
  <c r="DE67" i="27"/>
  <c r="CS74" i="27"/>
  <c r="CT74" i="27"/>
  <c r="CR74" i="27"/>
  <c r="CS68" i="27"/>
  <c r="CT68" i="27"/>
  <c r="CR68" i="27"/>
  <c r="DG77" i="27"/>
  <c r="DG87" i="27"/>
  <c r="DG85" i="27"/>
  <c r="DC76" i="27"/>
  <c r="DE76" i="27"/>
  <c r="DD76" i="27"/>
  <c r="DG67" i="27"/>
  <c r="CS60" i="27"/>
  <c r="CT60" i="27"/>
  <c r="CR60" i="27"/>
  <c r="CT80" i="27"/>
  <c r="CR80" i="27"/>
  <c r="CS80" i="27"/>
  <c r="CR87" i="27"/>
  <c r="CT87" i="27"/>
  <c r="CS87" i="27"/>
  <c r="CT69" i="27"/>
  <c r="CR69" i="27"/>
  <c r="CS69" i="27"/>
  <c r="CT92" i="27"/>
  <c r="CR92" i="27"/>
  <c r="CS92" i="27"/>
  <c r="DG74" i="27"/>
  <c r="DD74" i="27"/>
  <c r="DC74" i="27"/>
  <c r="DE74" i="27"/>
  <c r="CW63" i="27"/>
  <c r="CV92" i="27"/>
  <c r="DE87" i="27"/>
  <c r="DC87" i="27"/>
  <c r="DD87" i="27"/>
  <c r="DH87" i="27"/>
  <c r="DH95" i="27"/>
  <c r="DC69" i="27"/>
  <c r="DD69" i="27"/>
  <c r="DE69" i="27"/>
  <c r="DG64" i="27"/>
  <c r="DG65" i="27"/>
  <c r="DG72" i="27"/>
  <c r="DE71" i="27"/>
  <c r="DC71" i="27"/>
  <c r="DD71" i="27"/>
  <c r="DD88" i="27"/>
  <c r="DC88" i="27"/>
  <c r="DE88" i="27"/>
  <c r="DG90" i="27"/>
  <c r="CS82" i="27"/>
  <c r="CT82" i="27"/>
  <c r="CR82" i="27"/>
  <c r="CR67" i="27"/>
  <c r="CS67" i="27"/>
  <c r="CT67" i="27"/>
  <c r="CR95" i="27"/>
  <c r="CS95" i="27"/>
  <c r="CT95" i="27"/>
  <c r="DG80" i="27"/>
  <c r="DE79" i="27"/>
  <c r="DC79" i="27"/>
  <c r="DD79" i="27"/>
  <c r="CR76" i="27"/>
  <c r="CS76" i="27"/>
  <c r="CT76" i="27"/>
  <c r="CT72" i="27"/>
  <c r="CR72" i="27"/>
  <c r="CS72" i="27"/>
  <c r="DG63" i="27"/>
  <c r="DC85" i="27"/>
  <c r="DD85" i="27"/>
  <c r="DE85" i="27"/>
  <c r="DD62" i="27"/>
  <c r="DE62" i="27"/>
  <c r="DC62" i="27"/>
  <c r="CR65" i="27"/>
  <c r="CS65" i="27"/>
  <c r="CT65" i="27"/>
  <c r="CS61" i="27"/>
  <c r="CR61" i="27"/>
  <c r="CT61" i="27"/>
  <c r="DD94" i="27"/>
  <c r="DE94" i="27"/>
  <c r="DC94" i="27"/>
  <c r="CW75" i="27"/>
  <c r="CV91" i="27"/>
  <c r="CR63" i="27"/>
  <c r="CS63" i="27"/>
  <c r="CT63" i="27"/>
  <c r="CS79" i="27"/>
  <c r="CT79" i="27"/>
  <c r="CR79" i="27"/>
  <c r="CR96" i="27"/>
  <c r="CS96" i="27"/>
  <c r="CT96" i="27"/>
  <c r="CS91" i="27"/>
  <c r="CT91" i="27"/>
  <c r="CR91" i="27"/>
  <c r="DH63" i="27"/>
  <c r="DD80" i="27"/>
  <c r="DC80" i="27"/>
  <c r="DE80" i="27"/>
  <c r="DC61" i="27"/>
  <c r="DE61" i="27"/>
  <c r="DD61" i="27"/>
  <c r="DE95" i="27"/>
  <c r="DC95" i="27"/>
  <c r="DD95" i="27"/>
  <c r="DG69" i="27"/>
  <c r="DD66" i="27"/>
  <c r="DC66" i="27"/>
  <c r="DE66" i="27"/>
  <c r="DG71" i="27"/>
  <c r="DG88" i="27"/>
  <c r="DC86" i="27"/>
  <c r="DD86" i="27"/>
  <c r="DE86" i="27"/>
  <c r="CV90" i="27"/>
  <c r="C15" i="43"/>
  <c r="C14" i="43"/>
  <c r="B86" i="27"/>
  <c r="B84" i="27"/>
  <c r="B92" i="27"/>
  <c r="B96" i="27"/>
  <c r="B91" i="27"/>
  <c r="B76" i="27"/>
  <c r="B81" i="27"/>
  <c r="B82" i="27"/>
  <c r="B93" i="27"/>
  <c r="B94" i="27"/>
  <c r="B88" i="27"/>
  <c r="B85" i="27"/>
  <c r="B90" i="27"/>
  <c r="B89" i="27"/>
  <c r="B80" i="27"/>
  <c r="B77" i="27"/>
  <c r="B95" i="27"/>
  <c r="B79" i="27"/>
  <c r="L96" i="27"/>
  <c r="L60" i="27"/>
  <c r="L80" i="27"/>
  <c r="L61" i="27"/>
  <c r="BU70" i="27"/>
  <c r="BT70" i="27"/>
  <c r="BU93" i="27"/>
  <c r="BT93" i="27"/>
  <c r="BT94" i="27"/>
  <c r="BU94" i="27"/>
  <c r="BU65" i="27"/>
  <c r="BT65" i="27"/>
  <c r="BU64" i="27"/>
  <c r="BT64" i="27"/>
  <c r="BT87" i="27"/>
  <c r="BU87" i="27"/>
  <c r="BT81" i="27"/>
  <c r="BU81" i="27"/>
  <c r="BT82" i="27"/>
  <c r="BU82" i="27"/>
  <c r="BT71" i="27"/>
  <c r="BU71" i="27"/>
  <c r="BU77" i="27"/>
  <c r="BT77" i="27"/>
  <c r="BU62" i="27"/>
  <c r="BT62" i="27"/>
  <c r="A34" i="26"/>
  <c r="BT95" i="27"/>
  <c r="BU95" i="27"/>
  <c r="BT83" i="27"/>
  <c r="BU83" i="27"/>
  <c r="BU73" i="27"/>
  <c r="BT73" i="27"/>
  <c r="BU76" i="27"/>
  <c r="BT76" i="27"/>
  <c r="BT79" i="27"/>
  <c r="BU79" i="27"/>
  <c r="BU85" i="27"/>
  <c r="BT85" i="27"/>
  <c r="BT80" i="27"/>
  <c r="BU80" i="27"/>
  <c r="BU88" i="27"/>
  <c r="BT88" i="27"/>
  <c r="BU84" i="27"/>
  <c r="BT84" i="27"/>
  <c r="BU90" i="27"/>
  <c r="BT90" i="27"/>
  <c r="BU60" i="27"/>
  <c r="BT63" i="27"/>
  <c r="BU63" i="27"/>
  <c r="BT67" i="27"/>
  <c r="BU67" i="27"/>
  <c r="BT66" i="27"/>
  <c r="BU66" i="27"/>
  <c r="BT74" i="27"/>
  <c r="BU74" i="27"/>
  <c r="BT86" i="27"/>
  <c r="BU86" i="27"/>
  <c r="BT69" i="27"/>
  <c r="BU69" i="27"/>
  <c r="BT61" i="27"/>
  <c r="BU61" i="27"/>
  <c r="BT91" i="27"/>
  <c r="BU91" i="27"/>
  <c r="L79" i="27"/>
  <c r="BT72" i="27"/>
  <c r="BU72" i="27"/>
  <c r="BT92" i="27"/>
  <c r="BU92" i="27"/>
  <c r="BT68" i="27"/>
  <c r="BU68" i="27"/>
  <c r="BT89" i="27"/>
  <c r="BU89" i="27"/>
  <c r="BU96" i="27"/>
  <c r="BT96" i="27"/>
  <c r="BU75" i="27"/>
  <c r="BT75" i="27"/>
  <c r="O19" i="27" l="1"/>
  <c r="O17" i="27" s="1"/>
  <c r="Z61" i="27"/>
  <c r="DK69" i="27"/>
  <c r="DK76" i="27"/>
  <c r="DK73" i="27"/>
  <c r="DK81" i="27"/>
  <c r="DK70" i="27"/>
  <c r="DK66" i="27"/>
  <c r="DK75" i="27"/>
  <c r="DK68" i="27"/>
  <c r="DK77" i="27"/>
  <c r="DK65" i="27"/>
  <c r="DK62" i="27"/>
  <c r="DK74" i="27"/>
  <c r="DL74" i="27" s="1"/>
  <c r="AL27" i="45" s="1"/>
  <c r="Z74" i="27"/>
  <c r="Z67" i="27"/>
  <c r="Z62" i="27"/>
  <c r="Z70" i="27"/>
  <c r="Z76" i="27"/>
  <c r="Z63" i="27"/>
  <c r="DK86" i="27"/>
  <c r="DL86" i="27"/>
  <c r="DM86" i="27" s="1"/>
  <c r="DL81" i="27"/>
  <c r="AL33" i="45" s="1"/>
  <c r="L81" i="27"/>
  <c r="G81" i="27"/>
  <c r="H81" i="27" s="1"/>
  <c r="AL42" i="45"/>
  <c r="AL31" i="45"/>
  <c r="AL44" i="45"/>
  <c r="AL41" i="45"/>
  <c r="AL47" i="45"/>
  <c r="AL48" i="45"/>
  <c r="AL36" i="45"/>
  <c r="AL32" i="45"/>
  <c r="AL43" i="45"/>
  <c r="AM16" i="45"/>
  <c r="AL35" i="45"/>
  <c r="DK71" i="27"/>
  <c r="DL71" i="27" s="1"/>
  <c r="DM71" i="27" s="1"/>
  <c r="DK67" i="27"/>
  <c r="DK64" i="27"/>
  <c r="DL64" i="27" s="1"/>
  <c r="DM64" i="27" s="1"/>
  <c r="AL34" i="45"/>
  <c r="AL37" i="45"/>
  <c r="AL46" i="45"/>
  <c r="AL45" i="45"/>
  <c r="AL40" i="45"/>
  <c r="AL39" i="45"/>
  <c r="AK48" i="45"/>
  <c r="AI48" i="45"/>
  <c r="AK38" i="45"/>
  <c r="AK40" i="45"/>
  <c r="AK33" i="45"/>
  <c r="AI33" i="45"/>
  <c r="AK46" i="45"/>
  <c r="AM47" i="45"/>
  <c r="AM37" i="45"/>
  <c r="AK41" i="45"/>
  <c r="AK32" i="45"/>
  <c r="AI32" i="45"/>
  <c r="AM34" i="45"/>
  <c r="AM38" i="45"/>
  <c r="Q47" i="45"/>
  <c r="W47" i="45" s="1"/>
  <c r="AK39" i="45"/>
  <c r="AM35" i="45"/>
  <c r="AM43" i="45"/>
  <c r="AM46" i="45"/>
  <c r="AM31" i="45"/>
  <c r="Q31" i="45"/>
  <c r="U31" i="45" s="1"/>
  <c r="AM40" i="45"/>
  <c r="AM29" i="45"/>
  <c r="AM32" i="45"/>
  <c r="AM36" i="45"/>
  <c r="AM45" i="45"/>
  <c r="AK43" i="45"/>
  <c r="AK35" i="45"/>
  <c r="AK45" i="45"/>
  <c r="AK42" i="45"/>
  <c r="AK37" i="45"/>
  <c r="AK44" i="45"/>
  <c r="AK31" i="45"/>
  <c r="AI31" i="45"/>
  <c r="AK47" i="45"/>
  <c r="AI47" i="45"/>
  <c r="AM39" i="45"/>
  <c r="S48" i="45"/>
  <c r="AM48" i="45"/>
  <c r="AM44" i="45"/>
  <c r="AM33" i="45"/>
  <c r="Q32" i="45"/>
  <c r="S32" i="45" s="1"/>
  <c r="AK36" i="45"/>
  <c r="AK34" i="45"/>
  <c r="AM30" i="45"/>
  <c r="AM41" i="45"/>
  <c r="AM42" i="45"/>
  <c r="AM27" i="45"/>
  <c r="AM20" i="45"/>
  <c r="AI13" i="45"/>
  <c r="AM13" i="45"/>
  <c r="DK72" i="27"/>
  <c r="DL72" i="27" s="1"/>
  <c r="AL25" i="45" s="1"/>
  <c r="DL77" i="27"/>
  <c r="DM77" i="27" s="1"/>
  <c r="DL76" i="27"/>
  <c r="DM76" i="27" s="1"/>
  <c r="DL75" i="27"/>
  <c r="AL28" i="45" s="1"/>
  <c r="DL73" i="27"/>
  <c r="DM73" i="27" s="1"/>
  <c r="W48" i="45"/>
  <c r="DK63" i="27"/>
  <c r="DL63" i="27" s="1"/>
  <c r="AL16" i="45" s="1"/>
  <c r="U48" i="45"/>
  <c r="DL70" i="27"/>
  <c r="DM70" i="27" s="1"/>
  <c r="DL69" i="27"/>
  <c r="AL22" i="45" s="1"/>
  <c r="DL68" i="27"/>
  <c r="DM68" i="27" s="1"/>
  <c r="DL67" i="27"/>
  <c r="DM67" i="27" s="1"/>
  <c r="DL65" i="27"/>
  <c r="AL18" i="45" s="1"/>
  <c r="DL66" i="27"/>
  <c r="DM66" i="27" s="1"/>
  <c r="DL62" i="27"/>
  <c r="AL15" i="45" s="1"/>
  <c r="DK61" i="27"/>
  <c r="DL61" i="27" s="1"/>
  <c r="AK16" i="45"/>
  <c r="AK29" i="45"/>
  <c r="AK18" i="45"/>
  <c r="AK15" i="45"/>
  <c r="AK27" i="45"/>
  <c r="AK26" i="45"/>
  <c r="AK21" i="45"/>
  <c r="AK14" i="45"/>
  <c r="AI14" i="45"/>
  <c r="AK19" i="45"/>
  <c r="AK24" i="45"/>
  <c r="AK17" i="45"/>
  <c r="AK25" i="45"/>
  <c r="AK30" i="45"/>
  <c r="AK23" i="45"/>
  <c r="AK28" i="45"/>
  <c r="AK22" i="45"/>
  <c r="AK20" i="45"/>
  <c r="DK60" i="27"/>
  <c r="DL60" i="27" s="1"/>
  <c r="DM60" i="27" s="1"/>
  <c r="Q13" i="45" s="1"/>
  <c r="AK13" i="45"/>
  <c r="AA79" i="27"/>
  <c r="D62" i="27"/>
  <c r="Q54" i="45"/>
  <c r="Y53" i="45"/>
  <c r="U53" i="45"/>
  <c r="S53" i="45"/>
  <c r="W53" i="45"/>
  <c r="S52" i="45"/>
  <c r="U52" i="45"/>
  <c r="W52" i="45"/>
  <c r="F55" i="27"/>
  <c r="F49" i="27"/>
  <c r="F52" i="27"/>
  <c r="F42" i="27"/>
  <c r="F53" i="27"/>
  <c r="J53" i="27"/>
  <c r="F57" i="27"/>
  <c r="J56" i="27"/>
  <c r="J45" i="27"/>
  <c r="K46" i="27"/>
  <c r="J41" i="27"/>
  <c r="J43" i="27"/>
  <c r="K54" i="27"/>
  <c r="F51" i="27"/>
  <c r="J54" i="27"/>
  <c r="K40" i="27"/>
  <c r="K47" i="27"/>
  <c r="J57" i="27"/>
  <c r="J48" i="27"/>
  <c r="K42" i="27"/>
  <c r="F43" i="27"/>
  <c r="J52" i="27"/>
  <c r="J49" i="27"/>
  <c r="J47" i="27"/>
  <c r="F45" i="27"/>
  <c r="K52" i="27"/>
  <c r="K44" i="27"/>
  <c r="F47" i="27"/>
  <c r="K49" i="27"/>
  <c r="K41" i="27"/>
  <c r="K45" i="27"/>
  <c r="J40" i="27"/>
  <c r="J46" i="27"/>
  <c r="K48" i="27"/>
  <c r="J55" i="27"/>
  <c r="K50" i="27"/>
  <c r="F46" i="27"/>
  <c r="F41" i="27"/>
  <c r="H41" i="27" s="1"/>
  <c r="J50" i="27"/>
  <c r="K55" i="27"/>
  <c r="K57" i="27"/>
  <c r="F54" i="27"/>
  <c r="K56" i="27"/>
  <c r="J42" i="27"/>
  <c r="F48" i="27"/>
  <c r="F50" i="27"/>
  <c r="J51" i="27"/>
  <c r="F40" i="27"/>
  <c r="K51" i="27"/>
  <c r="F44" i="27"/>
  <c r="J44" i="27"/>
  <c r="K53" i="27"/>
  <c r="F56" i="27"/>
  <c r="K43" i="27"/>
  <c r="J27" i="27"/>
  <c r="J28" i="27"/>
  <c r="K18" i="27" s="1"/>
  <c r="J29" i="27"/>
  <c r="G42" i="27"/>
  <c r="D43" i="27"/>
  <c r="D82" i="27" s="1"/>
  <c r="E42" i="27"/>
  <c r="Z79" i="27"/>
  <c r="Z60" i="27"/>
  <c r="DJ98" i="27"/>
  <c r="C12" i="43"/>
  <c r="E12" i="43" s="1"/>
  <c r="C13" i="43"/>
  <c r="E13" i="43" s="1"/>
  <c r="DM81" i="27" l="1"/>
  <c r="Q33" i="45" s="1"/>
  <c r="Y33" i="45" s="1"/>
  <c r="AL38" i="45"/>
  <c r="Y47" i="45"/>
  <c r="S31" i="45"/>
  <c r="Y32" i="45"/>
  <c r="W31" i="45"/>
  <c r="U32" i="45"/>
  <c r="AI34" i="45"/>
  <c r="U47" i="45"/>
  <c r="AC48" i="45"/>
  <c r="AG48" i="45"/>
  <c r="AE48" i="45"/>
  <c r="AA48" i="45"/>
  <c r="W32" i="45"/>
  <c r="Y31" i="45"/>
  <c r="S47" i="45"/>
  <c r="AA32" i="45"/>
  <c r="AC32" i="45"/>
  <c r="AE32" i="45"/>
  <c r="AG32" i="45"/>
  <c r="AC47" i="45"/>
  <c r="AA47" i="45"/>
  <c r="AE47" i="45"/>
  <c r="AG47" i="45"/>
  <c r="Q34" i="45"/>
  <c r="Y34" i="45" s="1"/>
  <c r="AE31" i="45"/>
  <c r="AG31" i="45"/>
  <c r="AA31" i="45"/>
  <c r="AC31" i="45"/>
  <c r="AG33" i="45"/>
  <c r="AC33" i="45"/>
  <c r="AA33" i="45"/>
  <c r="AE33" i="45"/>
  <c r="AL26" i="45"/>
  <c r="DM75" i="27"/>
  <c r="DM74" i="27"/>
  <c r="AL30" i="45"/>
  <c r="AL29" i="45"/>
  <c r="DM72" i="27"/>
  <c r="AL24" i="45"/>
  <c r="DM69" i="27"/>
  <c r="AL23" i="45"/>
  <c r="AL21" i="45"/>
  <c r="AL20" i="45"/>
  <c r="DM65" i="27"/>
  <c r="AL19" i="45"/>
  <c r="DM63" i="27"/>
  <c r="AL17" i="45"/>
  <c r="DM62" i="27"/>
  <c r="Q15" i="45" s="1"/>
  <c r="DM61" i="27"/>
  <c r="Q14" i="45" s="1"/>
  <c r="S14" i="45" s="1"/>
  <c r="AL14" i="45"/>
  <c r="AE14" i="45" s="1"/>
  <c r="AI15" i="45"/>
  <c r="AL13" i="45"/>
  <c r="U13" i="45"/>
  <c r="Y13" i="45"/>
  <c r="W13" i="45"/>
  <c r="S13" i="45"/>
  <c r="L82" i="27"/>
  <c r="E82" i="27"/>
  <c r="G82" i="27"/>
  <c r="H82" i="27" s="1"/>
  <c r="D63" i="27"/>
  <c r="Q55" i="45"/>
  <c r="Y54" i="45"/>
  <c r="W54" i="45"/>
  <c r="U54" i="45"/>
  <c r="S54" i="45"/>
  <c r="E62" i="27"/>
  <c r="G62" i="27"/>
  <c r="H62" i="27" s="1"/>
  <c r="L62" i="27"/>
  <c r="O18" i="27"/>
  <c r="L42" i="27"/>
  <c r="L40" i="27"/>
  <c r="H42" i="27"/>
  <c r="H40" i="27"/>
  <c r="F99" i="27"/>
  <c r="D34" i="27"/>
  <c r="L41" i="27"/>
  <c r="E43" i="27"/>
  <c r="D44" i="27"/>
  <c r="L43" i="27"/>
  <c r="G43" i="27"/>
  <c r="H43" i="27" s="1"/>
  <c r="D84" i="27"/>
  <c r="AD40" i="27" l="1"/>
  <c r="K8" i="27" s="1"/>
  <c r="L7" i="27" s="1"/>
  <c r="AE40" i="27"/>
  <c r="Q8" i="27" s="1"/>
  <c r="W33" i="45"/>
  <c r="S33" i="45"/>
  <c r="U33" i="45"/>
  <c r="S34" i="45"/>
  <c r="W34" i="45"/>
  <c r="U34" i="45"/>
  <c r="Q36" i="45"/>
  <c r="W36" i="45" s="1"/>
  <c r="AI36" i="45"/>
  <c r="AC34" i="45"/>
  <c r="AA34" i="45"/>
  <c r="AG34" i="45"/>
  <c r="AE34" i="45"/>
  <c r="AA14" i="45"/>
  <c r="AG14" i="45"/>
  <c r="AC14" i="45"/>
  <c r="W15" i="45"/>
  <c r="S15" i="45"/>
  <c r="Y15" i="45"/>
  <c r="U15" i="45"/>
  <c r="U14" i="45"/>
  <c r="W14" i="45"/>
  <c r="Y14" i="45"/>
  <c r="E63" i="27"/>
  <c r="Q16" i="45"/>
  <c r="AI16" i="45"/>
  <c r="AE15" i="45"/>
  <c r="AA15" i="45"/>
  <c r="AC15" i="45"/>
  <c r="AG15" i="45"/>
  <c r="AE13" i="45"/>
  <c r="AC13" i="45"/>
  <c r="AG13" i="45"/>
  <c r="AA13" i="45"/>
  <c r="G63" i="27"/>
  <c r="H63" i="27" s="1"/>
  <c r="D64" i="27"/>
  <c r="Q56" i="45"/>
  <c r="S55" i="45"/>
  <c r="U55" i="45"/>
  <c r="W55" i="45"/>
  <c r="Y55" i="45"/>
  <c r="L63" i="27"/>
  <c r="D33" i="27"/>
  <c r="Q7" i="27" s="1"/>
  <c r="D83" i="27"/>
  <c r="D45" i="27"/>
  <c r="E44" i="27"/>
  <c r="G44" i="27"/>
  <c r="H44" i="27" s="1"/>
  <c r="L44" i="27"/>
  <c r="G84" i="27"/>
  <c r="H84" i="27" s="1"/>
  <c r="E84" i="27"/>
  <c r="L84" i="27"/>
  <c r="D85" i="27"/>
  <c r="R7" i="27" l="1"/>
  <c r="U36" i="45"/>
  <c r="S36" i="45"/>
  <c r="Y36" i="45"/>
  <c r="AI35" i="45"/>
  <c r="Q35" i="45"/>
  <c r="AA36" i="45"/>
  <c r="AE36" i="45"/>
  <c r="AG36" i="45"/>
  <c r="AC36" i="45"/>
  <c r="AI37" i="45"/>
  <c r="Q37" i="45"/>
  <c r="U37" i="45" s="1"/>
  <c r="AA16" i="45"/>
  <c r="AG16" i="45"/>
  <c r="AE16" i="45"/>
  <c r="AC16" i="45"/>
  <c r="Q17" i="45"/>
  <c r="U17" i="45" s="1"/>
  <c r="AI17" i="45"/>
  <c r="W16" i="45"/>
  <c r="U16" i="45"/>
  <c r="S16" i="45"/>
  <c r="Y16" i="45"/>
  <c r="G64" i="27"/>
  <c r="H64" i="27" s="1"/>
  <c r="E64" i="27"/>
  <c r="L64" i="27"/>
  <c r="D65" i="27"/>
  <c r="Q57" i="45"/>
  <c r="S56" i="45"/>
  <c r="Y56" i="45"/>
  <c r="W56" i="45"/>
  <c r="U56" i="45"/>
  <c r="E45" i="27"/>
  <c r="D46" i="27"/>
  <c r="G45" i="27"/>
  <c r="H45" i="27" s="1"/>
  <c r="L45" i="27"/>
  <c r="G83" i="27"/>
  <c r="H83" i="27" s="1"/>
  <c r="E83" i="27"/>
  <c r="L83" i="27"/>
  <c r="G85" i="27"/>
  <c r="H85" i="27" s="1"/>
  <c r="E85" i="27"/>
  <c r="L85" i="27"/>
  <c r="W37" i="45" l="1"/>
  <c r="S37" i="45"/>
  <c r="Y37" i="45"/>
  <c r="AA35" i="45"/>
  <c r="AE35" i="45"/>
  <c r="AG35" i="45"/>
  <c r="AC35" i="45"/>
  <c r="AC37" i="45"/>
  <c r="AA37" i="45"/>
  <c r="AE37" i="45"/>
  <c r="AG37" i="45"/>
  <c r="Y17" i="45"/>
  <c r="Q18" i="45"/>
  <c r="U18" i="45" s="1"/>
  <c r="AI18" i="45"/>
  <c r="AG17" i="45"/>
  <c r="AC17" i="45"/>
  <c r="AA17" i="45"/>
  <c r="AE17" i="45"/>
  <c r="S17" i="45"/>
  <c r="W17" i="45"/>
  <c r="Y35" i="45"/>
  <c r="S35" i="45"/>
  <c r="W35" i="45"/>
  <c r="U35" i="45"/>
  <c r="G65" i="27"/>
  <c r="H65" i="27" s="1"/>
  <c r="E65" i="27"/>
  <c r="L65" i="27"/>
  <c r="D66" i="27"/>
  <c r="Q58" i="45"/>
  <c r="U57" i="45"/>
  <c r="W57" i="45"/>
  <c r="Y57" i="45"/>
  <c r="S57" i="45"/>
  <c r="D47" i="27"/>
  <c r="G46" i="27"/>
  <c r="H46" i="27" s="1"/>
  <c r="E46" i="27"/>
  <c r="L46" i="27"/>
  <c r="Y18" i="45" l="1"/>
  <c r="W18" i="45"/>
  <c r="S18" i="45"/>
  <c r="Q19" i="45"/>
  <c r="U19" i="45" s="1"/>
  <c r="AI19" i="45"/>
  <c r="AA18" i="45"/>
  <c r="AG18" i="45"/>
  <c r="AE18" i="45"/>
  <c r="AC18" i="45"/>
  <c r="Q59" i="45"/>
  <c r="U59" i="45" s="1"/>
  <c r="D86" i="27"/>
  <c r="G66" i="27"/>
  <c r="H66" i="27" s="1"/>
  <c r="L66" i="27"/>
  <c r="E66" i="27"/>
  <c r="U58" i="45"/>
  <c r="S58" i="45"/>
  <c r="Y58" i="45"/>
  <c r="W58" i="45"/>
  <c r="D48" i="27"/>
  <c r="D87" i="27" s="1"/>
  <c r="D67" i="27"/>
  <c r="E47" i="27"/>
  <c r="G47" i="27"/>
  <c r="H47" i="27" s="1"/>
  <c r="L47" i="27"/>
  <c r="D88" i="27"/>
  <c r="Q40" i="45" l="1"/>
  <c r="U40" i="45" s="1"/>
  <c r="AI40" i="45"/>
  <c r="AI39" i="45"/>
  <c r="Q39" i="45"/>
  <c r="U39" i="45" s="1"/>
  <c r="Q38" i="45"/>
  <c r="AI38" i="45"/>
  <c r="Y19" i="45"/>
  <c r="W19" i="45"/>
  <c r="Q20" i="45"/>
  <c r="AI20" i="45"/>
  <c r="S19" i="45"/>
  <c r="AE19" i="45"/>
  <c r="AA19" i="45"/>
  <c r="AG19" i="45"/>
  <c r="AC19" i="45"/>
  <c r="W59" i="45"/>
  <c r="S59" i="45"/>
  <c r="Y59" i="45"/>
  <c r="L87" i="27"/>
  <c r="E87" i="27"/>
  <c r="G87" i="27"/>
  <c r="H87" i="27" s="1"/>
  <c r="E86" i="27"/>
  <c r="L86" i="27"/>
  <c r="G86" i="27"/>
  <c r="H86" i="27" s="1"/>
  <c r="E48" i="27"/>
  <c r="Q60" i="45"/>
  <c r="E67" i="27"/>
  <c r="L67" i="27"/>
  <c r="G67" i="27"/>
  <c r="H67" i="27" s="1"/>
  <c r="L48" i="27"/>
  <c r="G48" i="27"/>
  <c r="H48" i="27" s="1"/>
  <c r="D49" i="27"/>
  <c r="Q61" i="45" s="1"/>
  <c r="D68" i="27"/>
  <c r="G88" i="27"/>
  <c r="H88" i="27" s="1"/>
  <c r="E88" i="27"/>
  <c r="L88" i="27"/>
  <c r="W40" i="45" l="1"/>
  <c r="S40" i="45"/>
  <c r="Y40" i="45"/>
  <c r="Y39" i="45"/>
  <c r="W39" i="45"/>
  <c r="S39" i="45"/>
  <c r="AA39" i="45"/>
  <c r="AC39" i="45"/>
  <c r="AE39" i="45"/>
  <c r="AG39" i="45"/>
  <c r="AE40" i="45"/>
  <c r="AC40" i="45"/>
  <c r="AA40" i="45"/>
  <c r="AG40" i="45"/>
  <c r="AE38" i="45"/>
  <c r="AC38" i="45"/>
  <c r="AG38" i="45"/>
  <c r="AA38" i="45"/>
  <c r="AA20" i="45"/>
  <c r="AG20" i="45"/>
  <c r="AC20" i="45"/>
  <c r="AE20" i="45"/>
  <c r="Q21" i="45"/>
  <c r="AI21" i="45"/>
  <c r="S20" i="45"/>
  <c r="Y20" i="45"/>
  <c r="W20" i="45"/>
  <c r="U20" i="45"/>
  <c r="U38" i="45"/>
  <c r="S38" i="45"/>
  <c r="W38" i="45"/>
  <c r="Y38" i="45"/>
  <c r="U60" i="45"/>
  <c r="S60" i="45"/>
  <c r="Y60" i="45"/>
  <c r="W60" i="45"/>
  <c r="Y61" i="45"/>
  <c r="W61" i="45"/>
  <c r="S61" i="45"/>
  <c r="U61" i="45"/>
  <c r="G68" i="27"/>
  <c r="H68" i="27" s="1"/>
  <c r="E68" i="27"/>
  <c r="L68" i="27"/>
  <c r="E49" i="27"/>
  <c r="D69" i="27"/>
  <c r="D50" i="27"/>
  <c r="G49" i="27"/>
  <c r="H49" i="27" s="1"/>
  <c r="L49" i="27"/>
  <c r="Q62" i="45" l="1"/>
  <c r="U62" i="45" s="1"/>
  <c r="D89" i="27"/>
  <c r="Q22" i="45"/>
  <c r="AI22" i="45"/>
  <c r="AG21" i="45"/>
  <c r="AC21" i="45"/>
  <c r="AA21" i="45"/>
  <c r="AE21" i="45"/>
  <c r="S21" i="45"/>
  <c r="Y21" i="45"/>
  <c r="U21" i="45"/>
  <c r="W21" i="45"/>
  <c r="E50" i="27"/>
  <c r="L50" i="27"/>
  <c r="D51" i="27"/>
  <c r="D70" i="27"/>
  <c r="G50" i="27"/>
  <c r="H50" i="27" s="1"/>
  <c r="G69" i="27"/>
  <c r="H69" i="27" s="1"/>
  <c r="E69" i="27"/>
  <c r="L69" i="27"/>
  <c r="D91" i="27"/>
  <c r="S62" i="45" l="1"/>
  <c r="Y62" i="45"/>
  <c r="W62" i="45"/>
  <c r="Q41" i="45"/>
  <c r="AI41" i="45"/>
  <c r="Q43" i="45"/>
  <c r="S43" i="45" s="1"/>
  <c r="AI43" i="45"/>
  <c r="G89" i="27"/>
  <c r="H89" i="27" s="1"/>
  <c r="L89" i="27"/>
  <c r="E89" i="27"/>
  <c r="Q23" i="45"/>
  <c r="AI23" i="45"/>
  <c r="AA22" i="45"/>
  <c r="AG22" i="45"/>
  <c r="AE22" i="45"/>
  <c r="AC22" i="45"/>
  <c r="S22" i="45"/>
  <c r="W22" i="45"/>
  <c r="Y22" i="45"/>
  <c r="U22" i="45"/>
  <c r="Q63" i="45"/>
  <c r="U63" i="45" s="1"/>
  <c r="D90" i="27"/>
  <c r="E70" i="27"/>
  <c r="L70" i="27"/>
  <c r="G70" i="27"/>
  <c r="H70" i="27" s="1"/>
  <c r="E51" i="27"/>
  <c r="D52" i="27"/>
  <c r="Q64" i="45" s="1"/>
  <c r="G51" i="27"/>
  <c r="H51" i="27" s="1"/>
  <c r="L51" i="27"/>
  <c r="D71" i="27"/>
  <c r="G91" i="27"/>
  <c r="H91" i="27" s="1"/>
  <c r="D92" i="27"/>
  <c r="E91" i="27"/>
  <c r="L91" i="27"/>
  <c r="U43" i="45" l="1"/>
  <c r="W43" i="45"/>
  <c r="Y43" i="45"/>
  <c r="AE43" i="45"/>
  <c r="AC43" i="45"/>
  <c r="AA43" i="45"/>
  <c r="AG43" i="45"/>
  <c r="Q44" i="45"/>
  <c r="W44" i="45" s="1"/>
  <c r="AI44" i="45"/>
  <c r="AG41" i="45"/>
  <c r="AC41" i="45"/>
  <c r="AA41" i="45"/>
  <c r="AE41" i="45"/>
  <c r="Q42" i="45"/>
  <c r="AI42" i="45"/>
  <c r="Y41" i="45"/>
  <c r="S41" i="45"/>
  <c r="W41" i="45"/>
  <c r="U41" i="45"/>
  <c r="Q24" i="45"/>
  <c r="AI24" i="45"/>
  <c r="AG23" i="45"/>
  <c r="AC23" i="45"/>
  <c r="AE23" i="45"/>
  <c r="AA23" i="45"/>
  <c r="U23" i="45"/>
  <c r="S23" i="45"/>
  <c r="W23" i="45"/>
  <c r="Y23" i="45"/>
  <c r="W63" i="45"/>
  <c r="Y63" i="45"/>
  <c r="S63" i="45"/>
  <c r="E90" i="27"/>
  <c r="L90" i="27"/>
  <c r="G90" i="27"/>
  <c r="H90" i="27" s="1"/>
  <c r="Y64" i="45"/>
  <c r="W64" i="45"/>
  <c r="U64" i="45"/>
  <c r="S64" i="45"/>
  <c r="G71" i="27"/>
  <c r="H71" i="27" s="1"/>
  <c r="E71" i="27"/>
  <c r="L71" i="27"/>
  <c r="D53" i="27"/>
  <c r="G52" i="27"/>
  <c r="H52" i="27" s="1"/>
  <c r="D72" i="27"/>
  <c r="L52" i="27"/>
  <c r="E52" i="27"/>
  <c r="G92" i="27"/>
  <c r="H92" i="27" s="1"/>
  <c r="E92" i="27"/>
  <c r="L92" i="27"/>
  <c r="D93" i="27"/>
  <c r="U44" i="45" l="1"/>
  <c r="Y44" i="45"/>
  <c r="S44" i="45"/>
  <c r="AC44" i="45"/>
  <c r="AA44" i="45"/>
  <c r="AE44" i="45"/>
  <c r="AG44" i="45"/>
  <c r="AE42" i="45"/>
  <c r="AG42" i="45"/>
  <c r="AA42" i="45"/>
  <c r="AC42" i="45"/>
  <c r="Q45" i="45"/>
  <c r="Y45" i="45" s="1"/>
  <c r="AI45" i="45"/>
  <c r="Q25" i="45"/>
  <c r="AI25" i="45"/>
  <c r="AC24" i="45"/>
  <c r="AG24" i="45"/>
  <c r="AE24" i="45"/>
  <c r="AA24" i="45"/>
  <c r="Y42" i="45"/>
  <c r="S42" i="45"/>
  <c r="W42" i="45"/>
  <c r="U42" i="45"/>
  <c r="W24" i="45"/>
  <c r="U24" i="45"/>
  <c r="S24" i="45"/>
  <c r="Y24" i="45"/>
  <c r="Q65" i="45"/>
  <c r="U65" i="45" s="1"/>
  <c r="D73" i="27"/>
  <c r="E72" i="27"/>
  <c r="G72" i="27"/>
  <c r="H72" i="27" s="1"/>
  <c r="L72" i="27"/>
  <c r="D54" i="27"/>
  <c r="G53" i="27"/>
  <c r="H53" i="27" s="1"/>
  <c r="L53" i="27"/>
  <c r="E53" i="27"/>
  <c r="G93" i="27"/>
  <c r="H93" i="27" s="1"/>
  <c r="D94" i="27"/>
  <c r="E93" i="27"/>
  <c r="L93" i="27"/>
  <c r="U45" i="45" l="1"/>
  <c r="W45" i="45"/>
  <c r="S45" i="45"/>
  <c r="Q46" i="45"/>
  <c r="S46" i="45" s="1"/>
  <c r="AI46" i="45"/>
  <c r="AC45" i="45"/>
  <c r="AE45" i="45"/>
  <c r="AG45" i="45"/>
  <c r="AA45" i="45"/>
  <c r="Q26" i="45"/>
  <c r="AI26" i="45"/>
  <c r="AE25" i="45"/>
  <c r="AA25" i="45"/>
  <c r="AG25" i="45"/>
  <c r="AC25" i="45"/>
  <c r="Y25" i="45"/>
  <c r="W25" i="45"/>
  <c r="U25" i="45"/>
  <c r="S25" i="45"/>
  <c r="W65" i="45"/>
  <c r="Y65" i="45"/>
  <c r="S65" i="45"/>
  <c r="G73" i="27"/>
  <c r="H73" i="27" s="1"/>
  <c r="E73" i="27"/>
  <c r="L73" i="27"/>
  <c r="D74" i="27"/>
  <c r="Q66" i="45"/>
  <c r="L54" i="27"/>
  <c r="E54" i="27"/>
  <c r="G54" i="27"/>
  <c r="H54" i="27" s="1"/>
  <c r="D55" i="27"/>
  <c r="G94" i="27"/>
  <c r="H94" i="27" s="1"/>
  <c r="E94" i="27"/>
  <c r="L94" i="27"/>
  <c r="Y46" i="45" l="1"/>
  <c r="U46" i="45"/>
  <c r="W46" i="45"/>
  <c r="AA46" i="45"/>
  <c r="AE46" i="45"/>
  <c r="AG46" i="45"/>
  <c r="AC46" i="45"/>
  <c r="Q27" i="45"/>
  <c r="U27" i="45" s="1"/>
  <c r="AI27" i="45"/>
  <c r="AA26" i="45"/>
  <c r="AG26" i="45"/>
  <c r="AC26" i="45"/>
  <c r="AE26" i="45"/>
  <c r="U26" i="45"/>
  <c r="Y26" i="45"/>
  <c r="W26" i="45"/>
  <c r="S26" i="45"/>
  <c r="Q67" i="45"/>
  <c r="U67" i="45" s="1"/>
  <c r="D75" i="27"/>
  <c r="E74" i="27"/>
  <c r="G74" i="27"/>
  <c r="H74" i="27" s="1"/>
  <c r="L74" i="27"/>
  <c r="S66" i="45"/>
  <c r="Y66" i="45"/>
  <c r="W66" i="45"/>
  <c r="U66" i="45"/>
  <c r="L55" i="27"/>
  <c r="E55" i="27"/>
  <c r="D56" i="27"/>
  <c r="Q68" i="45" s="1"/>
  <c r="G55" i="27"/>
  <c r="H55" i="27" s="1"/>
  <c r="H95" i="27"/>
  <c r="E95" i="27"/>
  <c r="L95" i="27"/>
  <c r="Y27" i="45" l="1"/>
  <c r="Q28" i="45"/>
  <c r="AI28" i="45"/>
  <c r="W27" i="45"/>
  <c r="S27" i="45"/>
  <c r="AG27" i="45"/>
  <c r="AE27" i="45"/>
  <c r="AA27" i="45"/>
  <c r="AC27" i="45"/>
  <c r="W67" i="45"/>
  <c r="Y67" i="45"/>
  <c r="S67" i="45"/>
  <c r="G75" i="27"/>
  <c r="H75" i="27" s="1"/>
  <c r="E75" i="27"/>
  <c r="L75" i="27"/>
  <c r="U68" i="45"/>
  <c r="S68" i="45"/>
  <c r="Y68" i="45"/>
  <c r="W68" i="45"/>
  <c r="D76" i="27"/>
  <c r="E56" i="27"/>
  <c r="D57" i="27"/>
  <c r="Q69" i="45" s="1"/>
  <c r="G56" i="27"/>
  <c r="H56" i="27" s="1"/>
  <c r="L56" i="27"/>
  <c r="D37" i="27"/>
  <c r="Q29" i="45" l="1"/>
  <c r="AI29" i="45"/>
  <c r="AC28" i="45"/>
  <c r="AG28" i="45"/>
  <c r="AA28" i="45"/>
  <c r="AE28" i="45"/>
  <c r="S28" i="45"/>
  <c r="Y28" i="45"/>
  <c r="W28" i="45"/>
  <c r="U28" i="45"/>
  <c r="Y69" i="45"/>
  <c r="S69" i="45"/>
  <c r="U69" i="45"/>
  <c r="W69" i="45"/>
  <c r="D77" i="27"/>
  <c r="E57" i="27"/>
  <c r="G57" i="27"/>
  <c r="H57" i="27" s="1"/>
  <c r="L57" i="27"/>
  <c r="G76" i="27"/>
  <c r="H76" i="27" s="1"/>
  <c r="E76" i="27"/>
  <c r="L76" i="27"/>
  <c r="Q30" i="45" l="1"/>
  <c r="AI30" i="45"/>
  <c r="AG29" i="45"/>
  <c r="AE29" i="45"/>
  <c r="AA29" i="45"/>
  <c r="AC29" i="45"/>
  <c r="S29" i="45"/>
  <c r="Y29" i="45"/>
  <c r="W29" i="45"/>
  <c r="U29" i="45"/>
  <c r="L77" i="27"/>
  <c r="E77" i="27"/>
  <c r="G77" i="27"/>
  <c r="H77" i="27" s="1"/>
  <c r="F17" i="27" s="1"/>
  <c r="F18" i="27" s="1"/>
  <c r="AC30" i="45" l="1"/>
  <c r="AG30" i="45"/>
  <c r="AA30" i="45"/>
  <c r="AE30" i="45"/>
  <c r="S30" i="45"/>
  <c r="U30" i="45"/>
  <c r="Y30" i="45"/>
  <c r="W30" i="45"/>
  <c r="U7" i="45"/>
  <c r="N43" i="27" l="1"/>
  <c r="R55" i="45" s="1"/>
  <c r="I46" i="27"/>
  <c r="M46" i="27" s="1"/>
  <c r="I52" i="27"/>
  <c r="M52" i="27" s="1"/>
  <c r="N56" i="27"/>
  <c r="R68" i="45" s="1"/>
  <c r="N49" i="27"/>
  <c r="R61" i="45" s="1"/>
  <c r="N51" i="27"/>
  <c r="R63" i="45" s="1"/>
  <c r="I49" i="27"/>
  <c r="M49" i="27" s="1"/>
  <c r="I53" i="27"/>
  <c r="M53" i="27" s="1"/>
  <c r="N52" i="27"/>
  <c r="R64" i="45" s="1"/>
  <c r="I55" i="27"/>
  <c r="M55" i="27" s="1"/>
  <c r="N40" i="27"/>
  <c r="R52" i="45" s="1"/>
  <c r="N55" i="27"/>
  <c r="R67" i="45" s="1"/>
  <c r="I50" i="27"/>
  <c r="M50" i="27" s="1"/>
  <c r="D35" i="27"/>
  <c r="I41" i="27"/>
  <c r="M41" i="27" s="1"/>
  <c r="I56" i="27"/>
  <c r="M56" i="27" s="1"/>
  <c r="I54" i="27"/>
  <c r="M54" i="27" s="1"/>
  <c r="N53" i="27"/>
  <c r="R65" i="45" s="1"/>
  <c r="I43" i="27"/>
  <c r="M43" i="27" s="1"/>
  <c r="I51" i="27"/>
  <c r="M51" i="27" s="1"/>
  <c r="I47" i="27"/>
  <c r="M47" i="27" s="1"/>
  <c r="I48" i="27"/>
  <c r="M48" i="27" s="1"/>
  <c r="N41" i="27"/>
  <c r="R53" i="45" s="1"/>
  <c r="N48" i="27"/>
  <c r="R60" i="45" s="1"/>
  <c r="N44" i="27"/>
  <c r="R56" i="45" s="1"/>
  <c r="N42" i="27"/>
  <c r="R54" i="45" s="1"/>
  <c r="N54" i="27"/>
  <c r="R66" i="45" s="1"/>
  <c r="I40" i="27"/>
  <c r="M40" i="27" s="1"/>
  <c r="N46" i="27"/>
  <c r="R58" i="45" s="1"/>
  <c r="I57" i="27"/>
  <c r="M57" i="27" s="1"/>
  <c r="I42" i="27"/>
  <c r="M42" i="27" s="1"/>
  <c r="N57" i="27"/>
  <c r="R69" i="45" s="1"/>
  <c r="N45" i="27"/>
  <c r="R57" i="45" s="1"/>
  <c r="I45" i="27"/>
  <c r="M45" i="27" s="1"/>
  <c r="I44" i="27"/>
  <c r="M44" i="27" s="1"/>
  <c r="N50" i="27"/>
  <c r="R62" i="45" s="1"/>
  <c r="N47" i="27"/>
  <c r="R59" i="45" s="1"/>
  <c r="AJ48" i="45" l="1"/>
  <c r="AJ31" i="45"/>
  <c r="AJ33" i="45"/>
  <c r="AJ47" i="45"/>
  <c r="AJ32" i="45"/>
  <c r="AJ34" i="45"/>
  <c r="AJ36" i="45"/>
  <c r="AJ35" i="45"/>
  <c r="AJ37" i="45"/>
  <c r="AJ40" i="45"/>
  <c r="AJ39" i="45"/>
  <c r="AJ38" i="45"/>
  <c r="AJ41" i="45"/>
  <c r="AJ43" i="45"/>
  <c r="AJ44" i="45"/>
  <c r="AJ42" i="45"/>
  <c r="AJ45" i="45"/>
  <c r="AJ46" i="45"/>
  <c r="AJ13" i="45"/>
  <c r="AH13" i="45" s="1"/>
  <c r="AJ14" i="45"/>
  <c r="AJ15" i="45"/>
  <c r="AJ16" i="45"/>
  <c r="AJ17" i="45"/>
  <c r="AJ18" i="45"/>
  <c r="AJ19" i="45"/>
  <c r="AJ20" i="45"/>
  <c r="AJ21" i="45"/>
  <c r="AJ22" i="45"/>
  <c r="AJ23" i="45"/>
  <c r="AJ24" i="45"/>
  <c r="AJ25" i="45"/>
  <c r="AJ26" i="45"/>
  <c r="AJ27" i="45"/>
  <c r="AJ28" i="45"/>
  <c r="AJ29" i="45"/>
  <c r="AJ30" i="45"/>
  <c r="O48" i="27"/>
  <c r="T60" i="45" s="1"/>
  <c r="R48" i="27"/>
  <c r="Z60" i="45" s="1"/>
  <c r="Q48" i="27"/>
  <c r="X60" i="45" s="1"/>
  <c r="P48" i="27"/>
  <c r="V60" i="45" s="1"/>
  <c r="R41" i="27"/>
  <c r="Z53" i="45" s="1"/>
  <c r="P41" i="27"/>
  <c r="V53" i="45" s="1"/>
  <c r="O41" i="27"/>
  <c r="T53" i="45" s="1"/>
  <c r="Q41" i="27"/>
  <c r="X53" i="45" s="1"/>
  <c r="N61" i="27"/>
  <c r="BV61" i="27" s="1"/>
  <c r="N63" i="27"/>
  <c r="BV63" i="27" s="1"/>
  <c r="N87" i="27"/>
  <c r="BV87" i="27" s="1"/>
  <c r="N72" i="27"/>
  <c r="BV72" i="27" s="1"/>
  <c r="N75" i="27"/>
  <c r="BV75" i="27" s="1"/>
  <c r="I76" i="27"/>
  <c r="M76" i="27" s="1"/>
  <c r="I82" i="27"/>
  <c r="M82" i="27" s="1"/>
  <c r="I89" i="27"/>
  <c r="M89" i="27" s="1"/>
  <c r="I66" i="27"/>
  <c r="I74" i="27"/>
  <c r="I86" i="27"/>
  <c r="M86" i="27" s="1"/>
  <c r="I69" i="27"/>
  <c r="N76" i="27"/>
  <c r="BV76" i="27" s="1"/>
  <c r="I91" i="27"/>
  <c r="M91" i="27" s="1"/>
  <c r="I62" i="27"/>
  <c r="I77" i="27"/>
  <c r="M77" i="27" s="1"/>
  <c r="I60" i="27"/>
  <c r="N81" i="27"/>
  <c r="BV81" i="27" s="1"/>
  <c r="I87" i="27"/>
  <c r="N96" i="27"/>
  <c r="BV96" i="27" s="1"/>
  <c r="N64" i="27"/>
  <c r="BV64" i="27" s="1"/>
  <c r="N68" i="27"/>
  <c r="BV68" i="27" s="1"/>
  <c r="N91" i="27"/>
  <c r="BV91" i="27" s="1"/>
  <c r="N77" i="27"/>
  <c r="BV77" i="27" s="1"/>
  <c r="I68" i="27"/>
  <c r="I94" i="27"/>
  <c r="M94" i="27" s="1"/>
  <c r="I64" i="27"/>
  <c r="N86" i="27"/>
  <c r="BV86" i="27" s="1"/>
  <c r="N80" i="27"/>
  <c r="BV80" i="27" s="1"/>
  <c r="N84" i="27"/>
  <c r="BV84" i="27" s="1"/>
  <c r="N69" i="27"/>
  <c r="BV69" i="27" s="1"/>
  <c r="N92" i="27"/>
  <c r="BV92" i="27" s="1"/>
  <c r="I85" i="27"/>
  <c r="M85" i="27" s="1"/>
  <c r="I65" i="27"/>
  <c r="I70" i="27"/>
  <c r="I71" i="27"/>
  <c r="N90" i="27"/>
  <c r="BV90" i="27" s="1"/>
  <c r="I80" i="27"/>
  <c r="M80" i="27" s="1"/>
  <c r="I83" i="27"/>
  <c r="N82" i="27"/>
  <c r="BV82" i="27" s="1"/>
  <c r="N62" i="27"/>
  <c r="BV62" i="27" s="1"/>
  <c r="N65" i="27"/>
  <c r="BV65" i="27" s="1"/>
  <c r="N88" i="27"/>
  <c r="BV88" i="27" s="1"/>
  <c r="N73" i="27"/>
  <c r="BV73" i="27" s="1"/>
  <c r="N71" i="27"/>
  <c r="BV71" i="27" s="1"/>
  <c r="I88" i="27"/>
  <c r="M88" i="27" s="1"/>
  <c r="I79" i="27"/>
  <c r="M79" i="27" s="1"/>
  <c r="N79" i="27"/>
  <c r="BV79" i="27" s="1"/>
  <c r="N66" i="27"/>
  <c r="BV66" i="27" s="1"/>
  <c r="N89" i="27"/>
  <c r="BV89" i="27" s="1"/>
  <c r="N74" i="27"/>
  <c r="BV74" i="27" s="1"/>
  <c r="I72" i="27"/>
  <c r="I61" i="27"/>
  <c r="I93" i="27"/>
  <c r="M93" i="27" s="1"/>
  <c r="I96" i="27"/>
  <c r="M96" i="27" s="1"/>
  <c r="I73" i="27"/>
  <c r="I67" i="27"/>
  <c r="I95" i="27"/>
  <c r="M95" i="27" s="1"/>
  <c r="I92" i="27"/>
  <c r="M92" i="27" s="1"/>
  <c r="I75" i="27"/>
  <c r="N95" i="27"/>
  <c r="BV95" i="27" s="1"/>
  <c r="N67" i="27"/>
  <c r="BV67" i="27" s="1"/>
  <c r="N60" i="27"/>
  <c r="BV60" i="27" s="1"/>
  <c r="N85" i="27"/>
  <c r="BV85" i="27" s="1"/>
  <c r="N70" i="27"/>
  <c r="BV70" i="27" s="1"/>
  <c r="N93" i="27"/>
  <c r="BV93" i="27" s="1"/>
  <c r="I63" i="27"/>
  <c r="I81" i="27"/>
  <c r="M81" i="27" s="1"/>
  <c r="I90" i="27"/>
  <c r="M90" i="27" s="1"/>
  <c r="N83" i="27"/>
  <c r="BV83" i="27" s="1"/>
  <c r="N94" i="27"/>
  <c r="BV94" i="27" s="1"/>
  <c r="I84" i="27"/>
  <c r="M84" i="27" s="1"/>
  <c r="Q51" i="27"/>
  <c r="X63" i="45" s="1"/>
  <c r="R51" i="27"/>
  <c r="Z63" i="45" s="1"/>
  <c r="O51" i="27"/>
  <c r="T63" i="45" s="1"/>
  <c r="P51" i="27"/>
  <c r="V63" i="45" s="1"/>
  <c r="R47" i="27"/>
  <c r="Z59" i="45" s="1"/>
  <c r="Q47" i="27"/>
  <c r="X59" i="45" s="1"/>
  <c r="P47" i="27"/>
  <c r="V59" i="45" s="1"/>
  <c r="O47" i="27"/>
  <c r="T59" i="45" s="1"/>
  <c r="O46" i="27"/>
  <c r="T58" i="45" s="1"/>
  <c r="P46" i="27"/>
  <c r="V58" i="45" s="1"/>
  <c r="Q46" i="27"/>
  <c r="X58" i="45" s="1"/>
  <c r="R46" i="27"/>
  <c r="Z58" i="45" s="1"/>
  <c r="R49" i="27"/>
  <c r="Z61" i="45" s="1"/>
  <c r="O49" i="27"/>
  <c r="T61" i="45" s="1"/>
  <c r="P49" i="27"/>
  <c r="V61" i="45" s="1"/>
  <c r="Q49" i="27"/>
  <c r="X61" i="45" s="1"/>
  <c r="Q57" i="27"/>
  <c r="X69" i="45" s="1"/>
  <c r="R57" i="27"/>
  <c r="Z69" i="45" s="1"/>
  <c r="O57" i="27"/>
  <c r="T69" i="45" s="1"/>
  <c r="P57" i="27"/>
  <c r="V69" i="45" s="1"/>
  <c r="P50" i="27"/>
  <c r="V62" i="45" s="1"/>
  <c r="R50" i="27"/>
  <c r="Z62" i="45" s="1"/>
  <c r="O50" i="27"/>
  <c r="T62" i="45" s="1"/>
  <c r="Q50" i="27"/>
  <c r="X62" i="45" s="1"/>
  <c r="D32" i="27"/>
  <c r="O55" i="27"/>
  <c r="T67" i="45" s="1"/>
  <c r="Q55" i="27"/>
  <c r="X67" i="45" s="1"/>
  <c r="R55" i="27"/>
  <c r="Z67" i="45" s="1"/>
  <c r="P55" i="27"/>
  <c r="V67" i="45" s="1"/>
  <c r="R56" i="27"/>
  <c r="Z68" i="45" s="1"/>
  <c r="Q56" i="27"/>
  <c r="X68" i="45" s="1"/>
  <c r="O56" i="27"/>
  <c r="T68" i="45" s="1"/>
  <c r="P56" i="27"/>
  <c r="V68" i="45" s="1"/>
  <c r="P42" i="27"/>
  <c r="V54" i="45" s="1"/>
  <c r="O42" i="27"/>
  <c r="T54" i="45" s="1"/>
  <c r="Q42" i="27"/>
  <c r="X54" i="45" s="1"/>
  <c r="R42" i="27"/>
  <c r="Z54" i="45" s="1"/>
  <c r="Q53" i="27"/>
  <c r="X65" i="45" s="1"/>
  <c r="P53" i="27"/>
  <c r="V65" i="45" s="1"/>
  <c r="O53" i="27"/>
  <c r="T65" i="45" s="1"/>
  <c r="R53" i="27"/>
  <c r="Z65" i="45" s="1"/>
  <c r="Q54" i="27"/>
  <c r="X66" i="45" s="1"/>
  <c r="R54" i="27"/>
  <c r="Z66" i="45" s="1"/>
  <c r="P54" i="27"/>
  <c r="V66" i="45" s="1"/>
  <c r="O54" i="27"/>
  <c r="T66" i="45" s="1"/>
  <c r="Q40" i="27"/>
  <c r="X52" i="45" s="1"/>
  <c r="O40" i="27"/>
  <c r="T52" i="45" s="1"/>
  <c r="P40" i="27"/>
  <c r="V52" i="45" s="1"/>
  <c r="R40" i="27"/>
  <c r="Z52" i="45" s="1"/>
  <c r="Q45" i="27"/>
  <c r="X57" i="45" s="1"/>
  <c r="R45" i="27"/>
  <c r="Z57" i="45" s="1"/>
  <c r="O45" i="27"/>
  <c r="T57" i="45" s="1"/>
  <c r="P45" i="27"/>
  <c r="V57" i="45" s="1"/>
  <c r="Q44" i="27"/>
  <c r="X56" i="45" s="1"/>
  <c r="O44" i="27"/>
  <c r="T56" i="45" s="1"/>
  <c r="P44" i="27"/>
  <c r="V56" i="45" s="1"/>
  <c r="R44" i="27"/>
  <c r="Z56" i="45" s="1"/>
  <c r="Q52" i="27"/>
  <c r="X64" i="45" s="1"/>
  <c r="R52" i="27"/>
  <c r="Z64" i="45" s="1"/>
  <c r="O52" i="27"/>
  <c r="T64" i="45" s="1"/>
  <c r="P52" i="27"/>
  <c r="V64" i="45" s="1"/>
  <c r="O43" i="27"/>
  <c r="T55" i="45" s="1"/>
  <c r="P43" i="27"/>
  <c r="V55" i="45" s="1"/>
  <c r="Q43" i="27"/>
  <c r="X55" i="45" s="1"/>
  <c r="R43" i="27"/>
  <c r="Z55" i="45" s="1"/>
  <c r="U60" i="27" l="1"/>
  <c r="V60" i="27"/>
  <c r="T60" i="27"/>
  <c r="S60" i="27"/>
  <c r="AD42" i="45"/>
  <c r="AH42" i="45"/>
  <c r="AF42" i="45"/>
  <c r="AB42" i="45"/>
  <c r="AF35" i="45"/>
  <c r="AB35" i="45"/>
  <c r="AD35" i="45"/>
  <c r="AH35" i="45"/>
  <c r="AH44" i="45"/>
  <c r="AB44" i="45"/>
  <c r="AD44" i="45"/>
  <c r="AF44" i="45"/>
  <c r="AD36" i="45"/>
  <c r="AF36" i="45"/>
  <c r="AB36" i="45"/>
  <c r="AH36" i="45"/>
  <c r="AD43" i="45"/>
  <c r="AF43" i="45"/>
  <c r="AH43" i="45"/>
  <c r="AB43" i="45"/>
  <c r="AH34" i="45"/>
  <c r="AB34" i="45"/>
  <c r="AD34" i="45"/>
  <c r="AF34" i="45"/>
  <c r="AB41" i="45"/>
  <c r="AF41" i="45"/>
  <c r="AD41" i="45"/>
  <c r="AH41" i="45"/>
  <c r="AB32" i="45"/>
  <c r="AF32" i="45"/>
  <c r="AD32" i="45"/>
  <c r="AH32" i="45"/>
  <c r="AB38" i="45"/>
  <c r="AD38" i="45"/>
  <c r="AH38" i="45"/>
  <c r="AF38" i="45"/>
  <c r="AF47" i="45"/>
  <c r="AB47" i="45"/>
  <c r="AD47" i="45"/>
  <c r="AH47" i="45"/>
  <c r="AD39" i="45"/>
  <c r="AH39" i="45"/>
  <c r="AB39" i="45"/>
  <c r="AF39" i="45"/>
  <c r="AH33" i="45"/>
  <c r="AB33" i="45"/>
  <c r="AF33" i="45"/>
  <c r="AD33" i="45"/>
  <c r="AB46" i="45"/>
  <c r="AD46" i="45"/>
  <c r="AH46" i="45"/>
  <c r="AF46" i="45"/>
  <c r="AF40" i="45"/>
  <c r="AB40" i="45"/>
  <c r="AD40" i="45"/>
  <c r="AH40" i="45"/>
  <c r="AB31" i="45"/>
  <c r="AH31" i="45"/>
  <c r="AF31" i="45"/>
  <c r="AD31" i="45"/>
  <c r="AH45" i="45"/>
  <c r="AD45" i="45"/>
  <c r="AB45" i="45"/>
  <c r="AF45" i="45"/>
  <c r="AD37" i="45"/>
  <c r="AF37" i="45"/>
  <c r="AH37" i="45"/>
  <c r="AB37" i="45"/>
  <c r="AF48" i="45"/>
  <c r="AB48" i="45"/>
  <c r="AD48" i="45"/>
  <c r="AH48" i="45"/>
  <c r="AB13" i="45"/>
  <c r="AD13" i="45"/>
  <c r="AD28" i="45"/>
  <c r="AH28" i="45"/>
  <c r="AB28" i="45"/>
  <c r="AF28" i="45"/>
  <c r="AB20" i="45"/>
  <c r="AH20" i="45"/>
  <c r="AD20" i="45"/>
  <c r="AF20" i="45"/>
  <c r="AB27" i="45"/>
  <c r="AD27" i="45"/>
  <c r="AF27" i="45"/>
  <c r="AH27" i="45"/>
  <c r="AH19" i="45"/>
  <c r="AD19" i="45"/>
  <c r="AB19" i="45"/>
  <c r="AF19" i="45"/>
  <c r="AB26" i="45"/>
  <c r="AD26" i="45"/>
  <c r="AH26" i="45"/>
  <c r="AF26" i="45"/>
  <c r="AB18" i="45"/>
  <c r="AF18" i="45"/>
  <c r="AH18" i="45"/>
  <c r="AD18" i="45"/>
  <c r="AF25" i="45"/>
  <c r="AB25" i="45"/>
  <c r="AH25" i="45"/>
  <c r="AD25" i="45"/>
  <c r="AH17" i="45"/>
  <c r="AB17" i="45"/>
  <c r="AD17" i="45"/>
  <c r="AF17" i="45"/>
  <c r="AF13" i="45"/>
  <c r="AB24" i="45"/>
  <c r="AF24" i="45"/>
  <c r="AD24" i="45"/>
  <c r="AH24" i="45"/>
  <c r="AB16" i="45"/>
  <c r="AF16" i="45"/>
  <c r="AH16" i="45"/>
  <c r="AD16" i="45"/>
  <c r="AH23" i="45"/>
  <c r="AB23" i="45"/>
  <c r="AD23" i="45"/>
  <c r="AF23" i="45"/>
  <c r="AH15" i="45"/>
  <c r="AB15" i="45"/>
  <c r="AD15" i="45"/>
  <c r="AF15" i="45"/>
  <c r="AB30" i="45"/>
  <c r="AH30" i="45"/>
  <c r="AD30" i="45"/>
  <c r="AF30" i="45"/>
  <c r="AB22" i="45"/>
  <c r="AH22" i="45"/>
  <c r="AD22" i="45"/>
  <c r="AF22" i="45"/>
  <c r="AB14" i="45"/>
  <c r="AH14" i="45"/>
  <c r="AF14" i="45"/>
  <c r="AD14" i="45"/>
  <c r="AB29" i="45"/>
  <c r="AD29" i="45"/>
  <c r="AH29" i="45"/>
  <c r="AF29" i="45"/>
  <c r="AH21" i="45"/>
  <c r="AD21" i="45"/>
  <c r="AB21" i="45"/>
  <c r="AF21" i="45"/>
  <c r="R13" i="45"/>
  <c r="AU42" i="27"/>
  <c r="AV42" i="27" s="1"/>
  <c r="AU57" i="27"/>
  <c r="AV57" i="27" s="1"/>
  <c r="AU51" i="27"/>
  <c r="AV51" i="27" s="1"/>
  <c r="AU41" i="27"/>
  <c r="AV41" i="27" s="1"/>
  <c r="AU53" i="27"/>
  <c r="AV53" i="27" s="1"/>
  <c r="AU56" i="27"/>
  <c r="AV56" i="27" s="1"/>
  <c r="AU47" i="27"/>
  <c r="AV47" i="27" s="1"/>
  <c r="S81" i="27"/>
  <c r="V81" i="27"/>
  <c r="U81" i="27"/>
  <c r="T81" i="27"/>
  <c r="T80" i="27"/>
  <c r="S80" i="27"/>
  <c r="V80" i="27"/>
  <c r="U80" i="27"/>
  <c r="AU52" i="27"/>
  <c r="AV52" i="27" s="1"/>
  <c r="AU45" i="27"/>
  <c r="AV45" i="27" s="1"/>
  <c r="R46" i="45"/>
  <c r="R94" i="27"/>
  <c r="Z46" i="45" s="1"/>
  <c r="Q94" i="27"/>
  <c r="X46" i="45" s="1"/>
  <c r="P94" i="27"/>
  <c r="V46" i="45" s="1"/>
  <c r="O94" i="27"/>
  <c r="T92" i="27"/>
  <c r="V92" i="27"/>
  <c r="S92" i="27"/>
  <c r="U92" i="27"/>
  <c r="R20" i="45"/>
  <c r="O67" i="27"/>
  <c r="P67" i="27"/>
  <c r="Q67" i="27"/>
  <c r="R67" i="27"/>
  <c r="U83" i="27"/>
  <c r="T83" i="27"/>
  <c r="S83" i="27"/>
  <c r="V83" i="27"/>
  <c r="S85" i="27"/>
  <c r="T85" i="27"/>
  <c r="U85" i="27"/>
  <c r="V85" i="27"/>
  <c r="R15" i="45"/>
  <c r="R62" i="27"/>
  <c r="Q62" i="27"/>
  <c r="O62" i="27"/>
  <c r="P62" i="27"/>
  <c r="P86" i="27"/>
  <c r="R38" i="45"/>
  <c r="R86" i="27"/>
  <c r="Q86" i="27"/>
  <c r="O86" i="27"/>
  <c r="U93" i="27"/>
  <c r="S93" i="27"/>
  <c r="T93" i="27"/>
  <c r="V93" i="27"/>
  <c r="O81" i="27"/>
  <c r="P81" i="27"/>
  <c r="V33" i="45" s="1"/>
  <c r="R81" i="27"/>
  <c r="Q81" i="27"/>
  <c r="X33" i="45" s="1"/>
  <c r="R33" i="45"/>
  <c r="U84" i="27"/>
  <c r="S84" i="27"/>
  <c r="V84" i="27"/>
  <c r="T84" i="27"/>
  <c r="V74" i="27"/>
  <c r="S74" i="27"/>
  <c r="T74" i="27"/>
  <c r="U74" i="27"/>
  <c r="V63" i="27"/>
  <c r="U63" i="27"/>
  <c r="S63" i="27"/>
  <c r="T63" i="27"/>
  <c r="AU55" i="27"/>
  <c r="AV55" i="27" s="1"/>
  <c r="O83" i="27"/>
  <c r="P83" i="27"/>
  <c r="V35" i="45" s="1"/>
  <c r="Q83" i="27"/>
  <c r="X35" i="45" s="1"/>
  <c r="R35" i="45"/>
  <c r="R83" i="27"/>
  <c r="Z35" i="45" s="1"/>
  <c r="U96" i="27"/>
  <c r="S96" i="27"/>
  <c r="V96" i="27"/>
  <c r="T96" i="27"/>
  <c r="R47" i="45"/>
  <c r="Q95" i="27"/>
  <c r="X47" i="45" s="1"/>
  <c r="R95" i="27"/>
  <c r="Z47" i="45" s="1"/>
  <c r="P95" i="27"/>
  <c r="V47" i="45" s="1"/>
  <c r="O95" i="27"/>
  <c r="R41" i="45"/>
  <c r="Q89" i="27"/>
  <c r="X41" i="45" s="1"/>
  <c r="O89" i="27"/>
  <c r="P89" i="27"/>
  <c r="V41" i="45" s="1"/>
  <c r="R89" i="27"/>
  <c r="Z41" i="45" s="1"/>
  <c r="T90" i="27"/>
  <c r="U90" i="27"/>
  <c r="V90" i="27"/>
  <c r="S90" i="27"/>
  <c r="Q92" i="27"/>
  <c r="X44" i="45" s="1"/>
  <c r="P92" i="27"/>
  <c r="V44" i="45" s="1"/>
  <c r="R92" i="27"/>
  <c r="Z44" i="45" s="1"/>
  <c r="R44" i="45"/>
  <c r="O92" i="27"/>
  <c r="T73" i="27"/>
  <c r="V73" i="27"/>
  <c r="S73" i="27"/>
  <c r="U73" i="27"/>
  <c r="O77" i="27"/>
  <c r="P77" i="27"/>
  <c r="Q77" i="27"/>
  <c r="R30" i="45"/>
  <c r="R77" i="27"/>
  <c r="T82" i="27"/>
  <c r="U82" i="27"/>
  <c r="S82" i="27"/>
  <c r="V82" i="27"/>
  <c r="V87" i="27"/>
  <c r="T87" i="27"/>
  <c r="S87" i="27"/>
  <c r="U87" i="27"/>
  <c r="AU46" i="27"/>
  <c r="AV46" i="27" s="1"/>
  <c r="P93" i="27"/>
  <c r="V45" i="45" s="1"/>
  <c r="O93" i="27"/>
  <c r="Q93" i="27"/>
  <c r="X45" i="45" s="1"/>
  <c r="R45" i="45"/>
  <c r="R93" i="27"/>
  <c r="Z45" i="45" s="1"/>
  <c r="O66" i="27"/>
  <c r="Q66" i="27"/>
  <c r="R66" i="27"/>
  <c r="P66" i="27"/>
  <c r="R19" i="45"/>
  <c r="V94" i="27"/>
  <c r="S94" i="27"/>
  <c r="T94" i="27"/>
  <c r="U94" i="27"/>
  <c r="P69" i="27"/>
  <c r="Q69" i="27"/>
  <c r="R69" i="27"/>
  <c r="R22" i="45"/>
  <c r="O69" i="27"/>
  <c r="T61" i="27"/>
  <c r="U61" i="27"/>
  <c r="V61" i="27"/>
  <c r="S61" i="27"/>
  <c r="R43" i="45"/>
  <c r="R91" i="27"/>
  <c r="Z43" i="45" s="1"/>
  <c r="O91" i="27"/>
  <c r="P91" i="27"/>
  <c r="V43" i="45" s="1"/>
  <c r="Q91" i="27"/>
  <c r="X43" i="45" s="1"/>
  <c r="R28" i="45"/>
  <c r="O75" i="27"/>
  <c r="Q75" i="27"/>
  <c r="P75" i="27"/>
  <c r="R75" i="27"/>
  <c r="T70" i="27"/>
  <c r="S70" i="27"/>
  <c r="U70" i="27"/>
  <c r="V70" i="27"/>
  <c r="Q70" i="27"/>
  <c r="P70" i="27"/>
  <c r="O70" i="27"/>
  <c r="R23" i="45"/>
  <c r="R70" i="27"/>
  <c r="S75" i="27"/>
  <c r="V75" i="27"/>
  <c r="T75" i="27"/>
  <c r="U75" i="27"/>
  <c r="P79" i="27"/>
  <c r="V31" i="45" s="1"/>
  <c r="R79" i="27"/>
  <c r="Z31" i="45" s="1"/>
  <c r="O79" i="27"/>
  <c r="R31" i="45"/>
  <c r="Q79" i="27"/>
  <c r="X31" i="45" s="1"/>
  <c r="U86" i="27"/>
  <c r="S86" i="27"/>
  <c r="T86" i="27"/>
  <c r="V86" i="27"/>
  <c r="P90" i="27"/>
  <c r="V42" i="45" s="1"/>
  <c r="R90" i="27"/>
  <c r="Z42" i="45" s="1"/>
  <c r="R42" i="45"/>
  <c r="O90" i="27"/>
  <c r="Q90" i="27"/>
  <c r="X42" i="45" s="1"/>
  <c r="P84" i="27"/>
  <c r="V36" i="45" s="1"/>
  <c r="R36" i="45"/>
  <c r="Q84" i="27"/>
  <c r="X36" i="45" s="1"/>
  <c r="O84" i="27"/>
  <c r="R84" i="27"/>
  <c r="Z36" i="45" s="1"/>
  <c r="P68" i="27"/>
  <c r="Q68" i="27"/>
  <c r="R21" i="45"/>
  <c r="R68" i="27"/>
  <c r="O68" i="27"/>
  <c r="Q72" i="27"/>
  <c r="P72" i="27"/>
  <c r="R25" i="45"/>
  <c r="O72" i="27"/>
  <c r="R72" i="27"/>
  <c r="V69" i="27"/>
  <c r="U69" i="27"/>
  <c r="T69" i="27"/>
  <c r="S69" i="27"/>
  <c r="R34" i="45"/>
  <c r="P82" i="27"/>
  <c r="V34" i="45" s="1"/>
  <c r="O82" i="27"/>
  <c r="R82" i="27"/>
  <c r="Z34" i="45" s="1"/>
  <c r="Q82" i="27"/>
  <c r="X34" i="45" s="1"/>
  <c r="AU44" i="27"/>
  <c r="AV44" i="27" s="1"/>
  <c r="AU40" i="27"/>
  <c r="AV40" i="27" s="1"/>
  <c r="D26" i="27"/>
  <c r="BM28" i="27"/>
  <c r="AU50" i="27"/>
  <c r="AV50" i="27" s="1"/>
  <c r="T62" i="27"/>
  <c r="U62" i="27"/>
  <c r="S62" i="27"/>
  <c r="V62" i="27"/>
  <c r="P85" i="27"/>
  <c r="V37" i="45" s="1"/>
  <c r="Q85" i="27"/>
  <c r="X37" i="45" s="1"/>
  <c r="O85" i="27"/>
  <c r="R85" i="27"/>
  <c r="Z37" i="45" s="1"/>
  <c r="R37" i="45"/>
  <c r="S67" i="27"/>
  <c r="V67" i="27"/>
  <c r="T67" i="27"/>
  <c r="U67" i="27"/>
  <c r="R26" i="45"/>
  <c r="O73" i="27"/>
  <c r="Q73" i="27"/>
  <c r="R73" i="27"/>
  <c r="P73" i="27"/>
  <c r="R32" i="45"/>
  <c r="R80" i="27"/>
  <c r="Z32" i="45" s="1"/>
  <c r="Q80" i="27"/>
  <c r="X32" i="45" s="1"/>
  <c r="P80" i="27"/>
  <c r="V32" i="45" s="1"/>
  <c r="O80" i="27"/>
  <c r="R17" i="45"/>
  <c r="P64" i="27"/>
  <c r="R64" i="27"/>
  <c r="Q64" i="27"/>
  <c r="O64" i="27"/>
  <c r="R29" i="45"/>
  <c r="P76" i="27"/>
  <c r="O76" i="27"/>
  <c r="R76" i="27"/>
  <c r="Q76" i="27"/>
  <c r="R39" i="45"/>
  <c r="O87" i="27"/>
  <c r="R87" i="27"/>
  <c r="Z39" i="45" s="1"/>
  <c r="Q87" i="27"/>
  <c r="X39" i="45" s="1"/>
  <c r="P87" i="27"/>
  <c r="V39" i="45" s="1"/>
  <c r="U91" i="27"/>
  <c r="T91" i="27"/>
  <c r="V91" i="27"/>
  <c r="S91" i="27"/>
  <c r="S65" i="27"/>
  <c r="U65" i="27"/>
  <c r="V65" i="27"/>
  <c r="T65" i="27"/>
  <c r="AU43" i="27"/>
  <c r="AV43" i="27" s="1"/>
  <c r="AU49" i="27"/>
  <c r="AV49" i="27" s="1"/>
  <c r="V76" i="27"/>
  <c r="S76" i="27"/>
  <c r="T76" i="27"/>
  <c r="U76" i="27"/>
  <c r="O60" i="27"/>
  <c r="Q60" i="27"/>
  <c r="X13" i="45" s="1"/>
  <c r="R60" i="27"/>
  <c r="P60" i="27"/>
  <c r="T88" i="27"/>
  <c r="V88" i="27"/>
  <c r="S88" i="27"/>
  <c r="U88" i="27"/>
  <c r="Q88" i="27"/>
  <c r="X40" i="45" s="1"/>
  <c r="R40" i="45"/>
  <c r="P88" i="27"/>
  <c r="V40" i="45" s="1"/>
  <c r="O88" i="27"/>
  <c r="R88" i="27"/>
  <c r="Z40" i="45" s="1"/>
  <c r="U89" i="27"/>
  <c r="S89" i="27"/>
  <c r="V89" i="27"/>
  <c r="T89" i="27"/>
  <c r="T72" i="27"/>
  <c r="V72" i="27"/>
  <c r="U72" i="27"/>
  <c r="S72" i="27"/>
  <c r="O96" i="27"/>
  <c r="R96" i="27"/>
  <c r="Z48" i="45" s="1"/>
  <c r="R48" i="45"/>
  <c r="Q96" i="27"/>
  <c r="X48" i="45" s="1"/>
  <c r="P96" i="27"/>
  <c r="V48" i="45" s="1"/>
  <c r="V66" i="27"/>
  <c r="T66" i="27"/>
  <c r="S66" i="27"/>
  <c r="U66" i="27"/>
  <c r="R16" i="45"/>
  <c r="P63" i="27"/>
  <c r="R63" i="27"/>
  <c r="Q63" i="27"/>
  <c r="O63" i="27"/>
  <c r="R27" i="45"/>
  <c r="O74" i="27"/>
  <c r="T27" i="45" s="1"/>
  <c r="R74" i="27"/>
  <c r="P74" i="27"/>
  <c r="Q74" i="27"/>
  <c r="AU54" i="27"/>
  <c r="AV54" i="27" s="1"/>
  <c r="S68" i="27"/>
  <c r="U68" i="27"/>
  <c r="V68" i="27"/>
  <c r="T68" i="27"/>
  <c r="V79" i="27"/>
  <c r="U79" i="27"/>
  <c r="T79" i="27"/>
  <c r="S79" i="27"/>
  <c r="S95" i="27"/>
  <c r="T95" i="27"/>
  <c r="U95" i="27"/>
  <c r="V95" i="27"/>
  <c r="R24" i="45"/>
  <c r="O71" i="27"/>
  <c r="P71" i="27"/>
  <c r="R71" i="27"/>
  <c r="Q71" i="27"/>
  <c r="R18" i="45"/>
  <c r="Q65" i="27"/>
  <c r="R65" i="27"/>
  <c r="O65" i="27"/>
  <c r="P65" i="27"/>
  <c r="V77" i="27"/>
  <c r="S77" i="27"/>
  <c r="T77" i="27"/>
  <c r="U77" i="27"/>
  <c r="S64" i="27"/>
  <c r="T64" i="27"/>
  <c r="U64" i="27"/>
  <c r="V64" i="27"/>
  <c r="T71" i="27"/>
  <c r="S71" i="27"/>
  <c r="V71" i="27"/>
  <c r="U71" i="27"/>
  <c r="P61" i="27"/>
  <c r="O61" i="27"/>
  <c r="Q61" i="27"/>
  <c r="R14" i="45"/>
  <c r="R61" i="27"/>
  <c r="AU48" i="27"/>
  <c r="AV48" i="27" s="1"/>
  <c r="AN96" i="27"/>
  <c r="AK96" i="27"/>
  <c r="AK93" i="27"/>
  <c r="AK94" i="27"/>
  <c r="AN92" i="27"/>
  <c r="AK92" i="27"/>
  <c r="AK91" i="27"/>
  <c r="AK88" i="27"/>
  <c r="AK85" i="27"/>
  <c r="AN84" i="27"/>
  <c r="AK84" i="27"/>
  <c r="AK80" i="27"/>
  <c r="AK81" i="27"/>
  <c r="AK95" i="27"/>
  <c r="AK73" i="27"/>
  <c r="AK75" i="27"/>
  <c r="AK77" i="27"/>
  <c r="AK66" i="27"/>
  <c r="AK72" i="27"/>
  <c r="AK69" i="27"/>
  <c r="AN85" i="27"/>
  <c r="AN91" i="27"/>
  <c r="AN80" i="27"/>
  <c r="AN95" i="27"/>
  <c r="AN93" i="27"/>
  <c r="AN88" i="27"/>
  <c r="AN94" i="27"/>
  <c r="V27" i="45" l="1"/>
  <c r="X27" i="45"/>
  <c r="Z16" i="45"/>
  <c r="Z33" i="45"/>
  <c r="X38" i="45"/>
  <c r="Z38" i="45"/>
  <c r="V38" i="45"/>
  <c r="O29" i="27"/>
  <c r="O31" i="27" s="1"/>
  <c r="T39" i="45"/>
  <c r="T38" i="45"/>
  <c r="T48" i="45"/>
  <c r="T42" i="45"/>
  <c r="T41" i="45"/>
  <c r="T35" i="45"/>
  <c r="T34" i="45"/>
  <c r="T43" i="45"/>
  <c r="T45" i="45"/>
  <c r="T44" i="45"/>
  <c r="T40" i="45"/>
  <c r="T31" i="45"/>
  <c r="T33" i="45"/>
  <c r="T46" i="45"/>
  <c r="T32" i="45"/>
  <c r="T37" i="45"/>
  <c r="T36" i="45"/>
  <c r="T47" i="45"/>
  <c r="X18" i="45"/>
  <c r="V29" i="45"/>
  <c r="V30" i="45"/>
  <c r="Z18" i="45"/>
  <c r="T13" i="45"/>
  <c r="Z13" i="45"/>
  <c r="T14" i="45"/>
  <c r="Z14" i="45"/>
  <c r="X14" i="45"/>
  <c r="V14" i="45"/>
  <c r="V13" i="45"/>
  <c r="X26" i="45"/>
  <c r="Z27" i="45"/>
  <c r="T26" i="45"/>
  <c r="V16" i="45"/>
  <c r="X28" i="45"/>
  <c r="X16" i="45"/>
  <c r="Z30" i="45"/>
  <c r="V18" i="45"/>
  <c r="T18" i="45"/>
  <c r="X30" i="45"/>
  <c r="V26" i="45"/>
  <c r="T30" i="45"/>
  <c r="Z26" i="45"/>
  <c r="Z29" i="45"/>
  <c r="T29" i="45"/>
  <c r="X29" i="45"/>
  <c r="Z28" i="45"/>
  <c r="V28" i="45"/>
  <c r="T28" i="45"/>
  <c r="Z24" i="45"/>
  <c r="V25" i="45"/>
  <c r="X25" i="45"/>
  <c r="Z25" i="45"/>
  <c r="T25" i="45"/>
  <c r="X24" i="45"/>
  <c r="V24" i="45"/>
  <c r="V23" i="45"/>
  <c r="T24" i="45"/>
  <c r="T23" i="45"/>
  <c r="X23" i="45"/>
  <c r="Z23" i="45"/>
  <c r="Z22" i="45"/>
  <c r="X22" i="45"/>
  <c r="V22" i="45"/>
  <c r="T22" i="45"/>
  <c r="T21" i="45"/>
  <c r="Z21" i="45"/>
  <c r="T16" i="45"/>
  <c r="X21" i="45"/>
  <c r="V21" i="45"/>
  <c r="X20" i="45"/>
  <c r="V20" i="45"/>
  <c r="T20" i="45"/>
  <c r="Z20" i="45"/>
  <c r="V19" i="45"/>
  <c r="Z19" i="45"/>
  <c r="X19" i="45"/>
  <c r="T19" i="45"/>
  <c r="T17" i="45"/>
  <c r="X17" i="45"/>
  <c r="Z17" i="45"/>
  <c r="V17" i="45"/>
  <c r="V15" i="45"/>
  <c r="T15" i="45"/>
  <c r="X15" i="45"/>
  <c r="Z15" i="45"/>
  <c r="AU71" i="27"/>
  <c r="AV71" i="27" s="1"/>
  <c r="AU79" i="27"/>
  <c r="AV79" i="27" s="1"/>
  <c r="AU81" i="27"/>
  <c r="AV81" i="27" s="1"/>
  <c r="AU94" i="27"/>
  <c r="AV94" i="27" s="1"/>
  <c r="AU96" i="27"/>
  <c r="AV96" i="27" s="1"/>
  <c r="AU76" i="27"/>
  <c r="AV76" i="27" s="1"/>
  <c r="AU80" i="27"/>
  <c r="AV80" i="27" s="1"/>
  <c r="AU73" i="27"/>
  <c r="AV73" i="27" s="1"/>
  <c r="AU85" i="27"/>
  <c r="AV85" i="27" s="1"/>
  <c r="AU84" i="27"/>
  <c r="AV84" i="27" s="1"/>
  <c r="AU70" i="27"/>
  <c r="AV70" i="27" s="1"/>
  <c r="AU95" i="27"/>
  <c r="AV95" i="27" s="1"/>
  <c r="AU65" i="27"/>
  <c r="AV65" i="27" s="1"/>
  <c r="AU61" i="27"/>
  <c r="AV61" i="27" s="1"/>
  <c r="AU74" i="27"/>
  <c r="AV74" i="27" s="1"/>
  <c r="AU67" i="27"/>
  <c r="AV67" i="27" s="1"/>
  <c r="AU82" i="27"/>
  <c r="AV82" i="27" s="1"/>
  <c r="AU91" i="27"/>
  <c r="AV91" i="27" s="1"/>
  <c r="AU88" i="27"/>
  <c r="AV88" i="27" s="1"/>
  <c r="AU68" i="27"/>
  <c r="AV68" i="27" s="1"/>
  <c r="AU75" i="27"/>
  <c r="AV75" i="27" s="1"/>
  <c r="AU66" i="27"/>
  <c r="AV66" i="27" s="1"/>
  <c r="AU92" i="27"/>
  <c r="AV92" i="27" s="1"/>
  <c r="AU62" i="27"/>
  <c r="AV62" i="27" s="1"/>
  <c r="AU63" i="27"/>
  <c r="AV63" i="27" s="1"/>
  <c r="AU64" i="27"/>
  <c r="AV64" i="27" s="1"/>
  <c r="AU93" i="27"/>
  <c r="AV93" i="27" s="1"/>
  <c r="AU87" i="27"/>
  <c r="AV87" i="27" s="1"/>
  <c r="AU86" i="27"/>
  <c r="AV86" i="27" s="1"/>
  <c r="AU72" i="27"/>
  <c r="AV72" i="27" s="1"/>
  <c r="AU60" i="27"/>
  <c r="AV60" i="27" s="1"/>
  <c r="D27" i="27"/>
  <c r="D25" i="27" s="1"/>
  <c r="AK61" i="27" s="1"/>
  <c r="AU90" i="27"/>
  <c r="AV90" i="27" s="1"/>
  <c r="AU69" i="27"/>
  <c r="AV69" i="27" s="1"/>
  <c r="AU77" i="27"/>
  <c r="AV77" i="27" s="1"/>
  <c r="AU89" i="27"/>
  <c r="AV89" i="27" s="1"/>
  <c r="AU83" i="27"/>
  <c r="AV83" i="27" s="1"/>
  <c r="AS96" i="27"/>
  <c r="AS94" i="27"/>
  <c r="AS93" i="27"/>
  <c r="AS92" i="27"/>
  <c r="AS91" i="27"/>
  <c r="AS88" i="27"/>
  <c r="AS84" i="27"/>
  <c r="AS80" i="27"/>
  <c r="AS95" i="27"/>
  <c r="AS85" i="27"/>
  <c r="AK76" i="27" l="1"/>
  <c r="AK62" i="27"/>
  <c r="AN81" i="27"/>
  <c r="AK70" i="27"/>
  <c r="O30" i="27"/>
  <c r="O32" i="27" s="1"/>
  <c r="AS40" i="27" s="1"/>
  <c r="AN89" i="27"/>
  <c r="AK89" i="27"/>
  <c r="AN76" i="27"/>
  <c r="AN77" i="27"/>
  <c r="AN87" i="27"/>
  <c r="AK86" i="27"/>
  <c r="AN86" i="27"/>
  <c r="AK82" i="27"/>
  <c r="AK83" i="27"/>
  <c r="AK87" i="27"/>
  <c r="AN82" i="27"/>
  <c r="AN83" i="27"/>
  <c r="AK90" i="27"/>
  <c r="AN90" i="27"/>
  <c r="AN75" i="27"/>
  <c r="AK64" i="27"/>
  <c r="AK71" i="27"/>
  <c r="AK67" i="27"/>
  <c r="AK79" i="27"/>
  <c r="AN79" i="27"/>
  <c r="AN73" i="27"/>
  <c r="AK65" i="27"/>
  <c r="AK63" i="27"/>
  <c r="AN74" i="27"/>
  <c r="AK74" i="27"/>
  <c r="AK60" i="27"/>
  <c r="AK68" i="27"/>
  <c r="AL60" i="27"/>
  <c r="AL69" i="27"/>
  <c r="AL66" i="27"/>
  <c r="AL77" i="27"/>
  <c r="AL73" i="27"/>
  <c r="AN71" i="27"/>
  <c r="AJ86" i="27"/>
  <c r="AJ68" i="27"/>
  <c r="AJ84" i="27"/>
  <c r="AJ96" i="27"/>
  <c r="AH74" i="27"/>
  <c r="AI75" i="27"/>
  <c r="AI76" i="27"/>
  <c r="AH70" i="27"/>
  <c r="AI69" i="27"/>
  <c r="AI62" i="27"/>
  <c r="AH76" i="27"/>
  <c r="AH92" i="27"/>
  <c r="AI80" i="27"/>
  <c r="AN63" i="27"/>
  <c r="AN60" i="27"/>
  <c r="AO79" i="27"/>
  <c r="AP96" i="27"/>
  <c r="AO89" i="27"/>
  <c r="AO96" i="27"/>
  <c r="AP63" i="27"/>
  <c r="AP85" i="27"/>
  <c r="AO93" i="27"/>
  <c r="AP84" i="27"/>
  <c r="AO64" i="27"/>
  <c r="AH86" i="27"/>
  <c r="AH61" i="27"/>
  <c r="AH81" i="27"/>
  <c r="AI68" i="27"/>
  <c r="AP81" i="27"/>
  <c r="AO88" i="27"/>
  <c r="AP62" i="27"/>
  <c r="AP60" i="27"/>
  <c r="AN61" i="27"/>
  <c r="AI81" i="27"/>
  <c r="AO68" i="27"/>
  <c r="AP69" i="27"/>
  <c r="AI92" i="27"/>
  <c r="AP74" i="27"/>
  <c r="AH65" i="27"/>
  <c r="AI79" i="27"/>
  <c r="AP82" i="27"/>
  <c r="AP65" i="27"/>
  <c r="AP70" i="27"/>
  <c r="AL75" i="27"/>
  <c r="AL88" i="27"/>
  <c r="AL76" i="27"/>
  <c r="AL90" i="27"/>
  <c r="AL93" i="27"/>
  <c r="AJ65" i="27"/>
  <c r="AJ93" i="27"/>
  <c r="AJ60" i="27"/>
  <c r="AJ63" i="27"/>
  <c r="AJ91" i="27"/>
  <c r="AH72" i="27"/>
  <c r="AI65" i="27"/>
  <c r="AH71" i="27"/>
  <c r="AH62" i="27"/>
  <c r="AI85" i="27"/>
  <c r="AI90" i="27"/>
  <c r="AH88" i="27"/>
  <c r="AH84" i="27"/>
  <c r="AI87" i="27"/>
  <c r="AN69" i="27"/>
  <c r="AN70" i="27"/>
  <c r="AP83" i="27"/>
  <c r="AP94" i="27"/>
  <c r="AP71" i="27"/>
  <c r="AO94" i="27"/>
  <c r="AO80" i="27"/>
  <c r="AP67" i="27"/>
  <c r="AP75" i="27"/>
  <c r="AO76" i="27"/>
  <c r="AO86" i="27"/>
  <c r="AL64" i="27"/>
  <c r="AJ71" i="27"/>
  <c r="AJ73" i="27"/>
  <c r="AJ76" i="27"/>
  <c r="AI74" i="27"/>
  <c r="AI66" i="27"/>
  <c r="AH80" i="27"/>
  <c r="AP80" i="27"/>
  <c r="AP73" i="27"/>
  <c r="AO83" i="27"/>
  <c r="AH69" i="27"/>
  <c r="AI95" i="27"/>
  <c r="AP77" i="27"/>
  <c r="AP66" i="27"/>
  <c r="AO61" i="27"/>
  <c r="AP91" i="27"/>
  <c r="D30" i="27"/>
  <c r="AL79" i="27"/>
  <c r="AI77" i="27"/>
  <c r="AN64" i="27"/>
  <c r="AP68" i="27"/>
  <c r="AP92" i="27"/>
  <c r="AL83" i="27"/>
  <c r="AL68" i="27"/>
  <c r="AL65" i="27"/>
  <c r="AL72" i="27"/>
  <c r="AJ80" i="27"/>
  <c r="AJ88" i="27"/>
  <c r="AI71" i="27"/>
  <c r="AI73" i="27"/>
  <c r="AN62" i="27"/>
  <c r="AP88" i="27"/>
  <c r="AO60" i="27"/>
  <c r="AI94" i="27"/>
  <c r="AP76" i="27"/>
  <c r="AO90" i="27"/>
  <c r="AL62" i="27"/>
  <c r="AL91" i="27"/>
  <c r="AL61" i="27"/>
  <c r="AL74" i="27"/>
  <c r="AL87" i="27"/>
  <c r="AJ79" i="27"/>
  <c r="AJ92" i="27"/>
  <c r="AJ67" i="27"/>
  <c r="AJ81" i="27"/>
  <c r="AJ64" i="27"/>
  <c r="AI83" i="27"/>
  <c r="AI72" i="27"/>
  <c r="AH63" i="27"/>
  <c r="AI88" i="27"/>
  <c r="AI70" i="27"/>
  <c r="AI89" i="27"/>
  <c r="AH96" i="27"/>
  <c r="AH87" i="27"/>
  <c r="AH64" i="27"/>
  <c r="AN67" i="27"/>
  <c r="AO77" i="27"/>
  <c r="AO63" i="27"/>
  <c r="AO82" i="27"/>
  <c r="AP72" i="27"/>
  <c r="AP90" i="27"/>
  <c r="AO69" i="27"/>
  <c r="AP64" i="27"/>
  <c r="AO91" i="27"/>
  <c r="AO70" i="27"/>
  <c r="AH68" i="27"/>
  <c r="AN66" i="27"/>
  <c r="AP61" i="27"/>
  <c r="AP79" i="27"/>
  <c r="AO85" i="27"/>
  <c r="AO65" i="27"/>
  <c r="AO81" i="27"/>
  <c r="AL92" i="27"/>
  <c r="AL86" i="27"/>
  <c r="AJ77" i="27"/>
  <c r="AI96" i="27"/>
  <c r="AO66" i="27"/>
  <c r="AO73" i="27"/>
  <c r="AP93" i="27"/>
  <c r="AL94" i="27"/>
  <c r="AJ69" i="27"/>
  <c r="AH95" i="27"/>
  <c r="AO75" i="27"/>
  <c r="AL96" i="27"/>
  <c r="AL89" i="27"/>
  <c r="AL84" i="27"/>
  <c r="AL67" i="27"/>
  <c r="AJ82" i="27"/>
  <c r="AJ83" i="27"/>
  <c r="AJ95" i="27"/>
  <c r="AJ62" i="27"/>
  <c r="AJ94" i="27"/>
  <c r="AH73" i="27"/>
  <c r="AI86" i="27"/>
  <c r="AI67" i="27"/>
  <c r="AH77" i="27"/>
  <c r="AH90" i="27"/>
  <c r="AI61" i="27"/>
  <c r="AI93" i="27"/>
  <c r="AH94" i="27"/>
  <c r="AO72" i="27"/>
  <c r="AP86" i="27"/>
  <c r="AO87" i="27"/>
  <c r="AO92" i="27"/>
  <c r="AL82" i="27"/>
  <c r="AL63" i="27"/>
  <c r="AJ66" i="27"/>
  <c r="AJ72" i="27"/>
  <c r="AJ61" i="27"/>
  <c r="AH91" i="27"/>
  <c r="AI64" i="27"/>
  <c r="AN72" i="27"/>
  <c r="AO67" i="27"/>
  <c r="AO71" i="27"/>
  <c r="AN65" i="27"/>
  <c r="AP87" i="27"/>
  <c r="AL95" i="27"/>
  <c r="AJ85" i="27"/>
  <c r="AH67" i="27"/>
  <c r="AI84" i="27"/>
  <c r="AP89" i="27"/>
  <c r="AH83" i="27"/>
  <c r="AI60" i="27"/>
  <c r="AP95" i="27"/>
  <c r="AO84" i="27"/>
  <c r="AL70" i="27"/>
  <c r="AJ75" i="27"/>
  <c r="AH66" i="27"/>
  <c r="AI82" i="27"/>
  <c r="AO74" i="27"/>
  <c r="AL71" i="27"/>
  <c r="AL81" i="27"/>
  <c r="AL85" i="27"/>
  <c r="AL80" i="27"/>
  <c r="AJ87" i="27"/>
  <c r="AJ70" i="27"/>
  <c r="AJ74" i="27"/>
  <c r="AJ90" i="27"/>
  <c r="AH75" i="27"/>
  <c r="AH79" i="27"/>
  <c r="AH89" i="27"/>
  <c r="AH85" i="27"/>
  <c r="AI63" i="27"/>
  <c r="AH60" i="27"/>
  <c r="AH93" i="27"/>
  <c r="AH82" i="27"/>
  <c r="AO62" i="27"/>
  <c r="AN68" i="27"/>
  <c r="AJ89" i="27"/>
  <c r="AI91" i="27"/>
  <c r="AO95" i="27"/>
  <c r="AS81" i="27" l="1"/>
  <c r="AS89" i="27"/>
  <c r="AS76" i="27"/>
  <c r="AS77" i="27"/>
  <c r="AS83" i="27"/>
  <c r="AS82" i="27"/>
  <c r="AS86" i="27"/>
  <c r="AS90" i="27"/>
  <c r="AS87" i="27"/>
  <c r="AS75" i="27"/>
  <c r="AS79" i="27"/>
  <c r="AS73" i="27"/>
  <c r="AS74" i="27"/>
  <c r="AQ93" i="27"/>
  <c r="AQ66" i="27"/>
  <c r="AQ79" i="27"/>
  <c r="AQ75" i="27"/>
  <c r="AS72" i="27"/>
  <c r="AQ62" i="27"/>
  <c r="AQ73" i="27"/>
  <c r="AQ60" i="27"/>
  <c r="AS67" i="27"/>
  <c r="AQ77" i="27"/>
  <c r="AS61" i="27"/>
  <c r="AQ90" i="27"/>
  <c r="AQ63" i="27"/>
  <c r="AQ61" i="27"/>
  <c r="AQ86" i="27"/>
  <c r="AQ67" i="27"/>
  <c r="AQ64" i="27"/>
  <c r="AS62" i="27"/>
  <c r="AQ80" i="27"/>
  <c r="AS70" i="27"/>
  <c r="AQ71" i="27"/>
  <c r="AQ70" i="27"/>
  <c r="AS71" i="27"/>
  <c r="AQ85" i="27"/>
  <c r="AQ91" i="27"/>
  <c r="AQ87" i="27"/>
  <c r="AS69" i="27"/>
  <c r="AQ65" i="27"/>
  <c r="O20" i="27"/>
  <c r="O23" i="27" s="1"/>
  <c r="AS60" i="27"/>
  <c r="AQ96" i="27"/>
  <c r="AQ72" i="27"/>
  <c r="AS63" i="27"/>
  <c r="AQ94" i="27"/>
  <c r="AS64" i="27"/>
  <c r="AQ84" i="27"/>
  <c r="AQ74" i="27"/>
  <c r="AS65" i="27"/>
  <c r="AS66" i="27"/>
  <c r="AQ69" i="27"/>
  <c r="AQ88" i="27"/>
  <c r="AQ92" i="27"/>
  <c r="AQ89" i="27"/>
  <c r="AS68" i="27"/>
  <c r="AQ82" i="27"/>
  <c r="AQ83" i="27"/>
  <c r="AQ95" i="27"/>
  <c r="AQ68" i="27"/>
  <c r="AQ81" i="27"/>
  <c r="AQ76" i="27"/>
  <c r="B73" i="27"/>
  <c r="M73" i="27"/>
  <c r="B87" i="27"/>
  <c r="M87" i="27"/>
  <c r="B83" i="27"/>
  <c r="M83" i="27"/>
  <c r="B71" i="27"/>
  <c r="M71" i="27"/>
  <c r="B65" i="27"/>
  <c r="M65" i="27"/>
  <c r="B62" i="27"/>
  <c r="M62" i="27"/>
  <c r="B68" i="27"/>
  <c r="M68" i="27"/>
  <c r="B69" i="27"/>
  <c r="M69" i="27"/>
  <c r="B63" i="27"/>
  <c r="M63" i="27"/>
  <c r="B66" i="27"/>
  <c r="M66" i="27"/>
  <c r="D28" i="27" l="1"/>
  <c r="O11" i="27" s="1"/>
  <c r="E89" i="26"/>
  <c r="F91" i="26" l="1"/>
  <c r="G93" i="26"/>
  <c r="H93" i="26"/>
  <c r="G104" i="26"/>
  <c r="H104" i="26"/>
  <c r="H112" i="26"/>
  <c r="F87" i="26"/>
  <c r="G98" i="26"/>
  <c r="J113" i="26"/>
  <c r="J117" i="26"/>
  <c r="F93" i="26"/>
  <c r="D110" i="26"/>
  <c r="D114" i="26"/>
  <c r="G95" i="26"/>
  <c r="H98" i="26"/>
  <c r="H88" i="26"/>
  <c r="I91" i="26"/>
  <c r="G91" i="26"/>
  <c r="J90" i="26"/>
  <c r="H92" i="26"/>
  <c r="I95" i="26"/>
  <c r="I87" i="26"/>
  <c r="E101" i="26"/>
  <c r="J126" i="26" l="1"/>
  <c r="J125" i="26"/>
  <c r="BI51" i="27"/>
  <c r="BE40" i="27"/>
  <c r="BE41" i="27"/>
  <c r="BF55" i="27"/>
  <c r="BI41" i="27"/>
  <c r="BF46" i="27"/>
  <c r="BI53" i="27"/>
  <c r="BE37" i="27"/>
  <c r="BI49" i="27"/>
  <c r="BG58" i="27"/>
  <c r="BF47" i="27"/>
  <c r="BF51" i="27"/>
  <c r="BK20" i="27"/>
  <c r="BE52" i="27"/>
  <c r="BF56" i="27"/>
  <c r="BE54" i="27"/>
  <c r="BF53" i="27"/>
  <c r="BI56" i="27"/>
  <c r="BF41" i="27"/>
  <c r="BI47" i="27"/>
  <c r="BF40" i="27"/>
  <c r="BE50" i="27"/>
  <c r="BI44" i="27"/>
  <c r="BF45" i="27"/>
  <c r="BI48" i="27"/>
  <c r="BI55" i="27"/>
  <c r="BE55" i="27"/>
  <c r="BF48" i="27"/>
  <c r="BE44" i="27"/>
  <c r="BF44" i="27"/>
  <c r="BI45" i="27"/>
  <c r="BE46" i="27"/>
  <c r="BF52" i="27"/>
  <c r="BF57" i="27"/>
  <c r="BC58" i="27"/>
  <c r="BE57" i="27"/>
  <c r="BE51" i="27"/>
  <c r="BI54" i="27"/>
  <c r="BE48" i="27"/>
  <c r="BD58" i="27"/>
  <c r="BE45" i="27"/>
  <c r="BE49" i="27"/>
  <c r="BF49" i="27"/>
  <c r="BF43" i="27"/>
  <c r="BH58" i="27"/>
  <c r="BE53" i="27"/>
  <c r="BE56" i="27"/>
  <c r="BI43" i="27"/>
  <c r="BD37" i="27"/>
  <c r="BG37" i="27"/>
  <c r="BE47" i="27"/>
  <c r="BF42" i="27"/>
  <c r="BF35" i="27"/>
  <c r="BE20" i="27"/>
  <c r="BF50" i="27"/>
  <c r="BH37" i="27"/>
  <c r="BI52" i="27"/>
  <c r="BI46" i="27"/>
  <c r="BI42" i="27"/>
  <c r="BE43" i="27"/>
  <c r="BI40" i="27"/>
  <c r="BE42" i="27"/>
  <c r="BF54" i="27"/>
  <c r="BI50" i="27"/>
  <c r="BI57" i="27"/>
  <c r="BB55" i="27"/>
  <c r="BB50" i="27"/>
  <c r="BB43" i="27"/>
  <c r="BB52" i="27"/>
  <c r="BB46" i="27"/>
  <c r="BB44" i="27"/>
  <c r="BB48" i="27"/>
  <c r="BB49" i="27"/>
  <c r="BB53" i="27"/>
  <c r="BB51" i="27"/>
  <c r="BB45" i="27"/>
  <c r="BB42" i="27"/>
  <c r="BB57" i="27"/>
  <c r="BB54" i="27"/>
  <c r="BB56" i="27"/>
  <c r="BB47" i="27"/>
  <c r="BB41" i="27"/>
  <c r="BB40" i="27"/>
  <c r="AR94" i="27" l="1"/>
  <c r="AR96" i="27"/>
  <c r="BC96" i="27" s="1"/>
  <c r="AR92" i="27"/>
  <c r="AR93" i="27"/>
  <c r="BC93" i="27" s="1"/>
  <c r="AR90" i="27"/>
  <c r="AR91" i="27"/>
  <c r="BC91" i="27" s="1"/>
  <c r="AR88" i="27"/>
  <c r="BC88" i="27" s="1"/>
  <c r="AR89" i="27"/>
  <c r="BC89" i="27" s="1"/>
  <c r="AR86" i="27"/>
  <c r="AR87" i="27"/>
  <c r="BC87" i="27" s="1"/>
  <c r="AR83" i="27"/>
  <c r="AR84" i="27"/>
  <c r="BC84" i="27" s="1"/>
  <c r="AR80" i="27"/>
  <c r="AR81" i="27"/>
  <c r="BC81" i="27" s="1"/>
  <c r="AR73" i="27"/>
  <c r="BF73" i="27" s="1"/>
  <c r="AR79" i="27"/>
  <c r="BC79" i="27" s="1"/>
  <c r="AR95" i="27"/>
  <c r="AR65" i="27"/>
  <c r="BE95" i="27"/>
  <c r="AR82" i="27"/>
  <c r="AR64" i="27"/>
  <c r="AR61" i="27"/>
  <c r="BB61" i="27" s="1"/>
  <c r="AR70" i="27"/>
  <c r="AR85" i="27"/>
  <c r="AR75" i="27"/>
  <c r="BC56" i="27"/>
  <c r="BG56" i="27" s="1"/>
  <c r="AR62" i="27"/>
  <c r="AR68" i="27"/>
  <c r="BD41" i="27"/>
  <c r="BC50" i="27"/>
  <c r="BG50" i="27" s="1"/>
  <c r="BD42" i="27"/>
  <c r="BC51" i="27"/>
  <c r="BG51" i="27" s="1"/>
  <c r="BD43" i="27"/>
  <c r="BH43" i="27" s="1"/>
  <c r="BC52" i="27"/>
  <c r="BG52" i="27" s="1"/>
  <c r="BD44" i="27"/>
  <c r="BC53" i="27"/>
  <c r="BG53" i="27" s="1"/>
  <c r="BC54" i="27"/>
  <c r="BG54" i="27" s="1"/>
  <c r="BD45" i="27"/>
  <c r="BD46" i="27"/>
  <c r="BH46" i="27" s="1"/>
  <c r="BC55" i="27"/>
  <c r="BG55" i="27" s="1"/>
  <c r="BD47" i="27"/>
  <c r="BH47" i="27" s="1"/>
  <c r="BD48" i="27"/>
  <c r="BD54" i="27"/>
  <c r="BH54" i="27" s="1"/>
  <c r="AR76" i="27"/>
  <c r="AR63" i="27"/>
  <c r="AR66" i="27"/>
  <c r="AR69" i="27"/>
  <c r="AR77" i="27"/>
  <c r="AR72" i="27"/>
  <c r="AR71" i="27"/>
  <c r="BD40" i="27"/>
  <c r="BH40" i="27" s="1"/>
  <c r="AW69" i="27"/>
  <c r="AY75" i="27"/>
  <c r="AZ75" i="27" s="1"/>
  <c r="BA75" i="27" s="1"/>
  <c r="BC49" i="27"/>
  <c r="BG49" i="27" s="1"/>
  <c r="AY94" i="27"/>
  <c r="AZ94" i="27" s="1"/>
  <c r="BA94" i="27" s="1"/>
  <c r="AX51" i="27"/>
  <c r="BD52" i="27"/>
  <c r="AX56" i="27"/>
  <c r="AX65" i="27"/>
  <c r="AY64" i="27"/>
  <c r="AZ64" i="27" s="1"/>
  <c r="BA64" i="27" s="1"/>
  <c r="BC45" i="27"/>
  <c r="BG45" i="27" s="1"/>
  <c r="BC43" i="27"/>
  <c r="BG43" i="27" s="1"/>
  <c r="BH33" i="27"/>
  <c r="BD51" i="27"/>
  <c r="BH51" i="27" s="1"/>
  <c r="AR74" i="27"/>
  <c r="BI74" i="27" s="1"/>
  <c r="AY69" i="27"/>
  <c r="AZ69" i="27" s="1"/>
  <c r="BA69" i="27" s="1"/>
  <c r="BC47" i="27"/>
  <c r="BG47" i="27" s="1"/>
  <c r="BD53" i="27"/>
  <c r="AY85" i="27"/>
  <c r="AZ85" i="27" s="1"/>
  <c r="BA85" i="27" s="1"/>
  <c r="AY49" i="27"/>
  <c r="AZ49" i="27" s="1"/>
  <c r="BA49" i="27" s="1"/>
  <c r="BC44" i="27"/>
  <c r="AX73" i="27"/>
  <c r="BK28" i="27"/>
  <c r="BD97" i="27"/>
  <c r="AW86" i="27"/>
  <c r="AW68" i="27"/>
  <c r="AX79" i="27"/>
  <c r="AW48" i="27"/>
  <c r="AW56" i="27"/>
  <c r="AW80" i="27"/>
  <c r="AW94" i="27"/>
  <c r="BH36" i="27"/>
  <c r="AX89" i="27"/>
  <c r="AX76" i="27"/>
  <c r="AW74" i="27"/>
  <c r="AX40" i="27"/>
  <c r="AW83" i="27"/>
  <c r="AW46" i="27"/>
  <c r="AW91" i="27"/>
  <c r="AW53" i="27"/>
  <c r="AY61" i="27"/>
  <c r="AZ61" i="27" s="1"/>
  <c r="BA61" i="27" s="1"/>
  <c r="AY88" i="27"/>
  <c r="AZ88" i="27" s="1"/>
  <c r="BA88" i="27" s="1"/>
  <c r="BC42" i="27"/>
  <c r="BG42" i="27" s="1"/>
  <c r="AY68" i="27"/>
  <c r="AZ68" i="27" s="1"/>
  <c r="BA68" i="27" s="1"/>
  <c r="AY63" i="27"/>
  <c r="AZ63" i="27" s="1"/>
  <c r="BA63" i="27" s="1"/>
  <c r="AY92" i="27"/>
  <c r="AZ92" i="27" s="1"/>
  <c r="BA92" i="27" s="1"/>
  <c r="AY48" i="27"/>
  <c r="AY43" i="27"/>
  <c r="AY71" i="27"/>
  <c r="AZ71" i="27" s="1"/>
  <c r="BA71" i="27" s="1"/>
  <c r="AY96" i="27"/>
  <c r="AZ96" i="27" s="1"/>
  <c r="BA96" i="27" s="1"/>
  <c r="AY77" i="27"/>
  <c r="AZ77" i="27" s="1"/>
  <c r="BA77" i="27" s="1"/>
  <c r="BC37" i="27"/>
  <c r="BG35" i="27" s="1"/>
  <c r="AX94" i="27"/>
  <c r="AX84" i="27"/>
  <c r="BD33" i="27"/>
  <c r="AX92" i="27"/>
  <c r="AX44" i="27"/>
  <c r="BD101" i="27"/>
  <c r="BC35" i="27"/>
  <c r="BH34" i="27"/>
  <c r="AX75" i="27"/>
  <c r="AW84" i="27"/>
  <c r="AW71" i="27"/>
  <c r="AX80" i="27"/>
  <c r="AW96" i="27"/>
  <c r="BD34" i="27"/>
  <c r="AX64" i="27"/>
  <c r="D16" i="27"/>
  <c r="AW60" i="27"/>
  <c r="AY54" i="27"/>
  <c r="BD49" i="27"/>
  <c r="BD57" i="27"/>
  <c r="AX52" i="27"/>
  <c r="AX70" i="27"/>
  <c r="BD102" i="27"/>
  <c r="AX49" i="27"/>
  <c r="AX86" i="27"/>
  <c r="AX45" i="27"/>
  <c r="AW67" i="27"/>
  <c r="AW47" i="27"/>
  <c r="AX63" i="27"/>
  <c r="AX85" i="27"/>
  <c r="AW81" i="27"/>
  <c r="AX90" i="27"/>
  <c r="AX72" i="27"/>
  <c r="AX60" i="27"/>
  <c r="BC97" i="27"/>
  <c r="AY47" i="27"/>
  <c r="AY46" i="27"/>
  <c r="AY52" i="27"/>
  <c r="AY81" i="27"/>
  <c r="AZ81" i="27" s="1"/>
  <c r="BA81" i="27" s="1"/>
  <c r="BC46" i="27"/>
  <c r="AY41" i="27"/>
  <c r="AY57" i="27"/>
  <c r="AR60" i="27"/>
  <c r="AW73" i="27"/>
  <c r="AW66" i="27"/>
  <c r="AX41" i="27"/>
  <c r="BC100" i="27"/>
  <c r="BC102" i="27"/>
  <c r="AW82" i="27"/>
  <c r="BC33" i="27"/>
  <c r="AX68" i="27"/>
  <c r="BG21" i="27"/>
  <c r="AW55" i="27"/>
  <c r="AW77" i="27"/>
  <c r="AY50" i="27"/>
  <c r="AY62" i="27"/>
  <c r="AZ62" i="27" s="1"/>
  <c r="BA62" i="27" s="1"/>
  <c r="AY76" i="27"/>
  <c r="AZ76" i="27" s="1"/>
  <c r="BA76" i="27" s="1"/>
  <c r="AY90" i="27"/>
  <c r="AZ90" i="27" s="1"/>
  <c r="BA90" i="27" s="1"/>
  <c r="BC40" i="27"/>
  <c r="BH21" i="27" s="1"/>
  <c r="AX91" i="27"/>
  <c r="BC36" i="27"/>
  <c r="AX95" i="27"/>
  <c r="AX82" i="27"/>
  <c r="AW41" i="27"/>
  <c r="BI23" i="27"/>
  <c r="BG23" i="27"/>
  <c r="AW70" i="27"/>
  <c r="BH35" i="27"/>
  <c r="AX50" i="27"/>
  <c r="AW52" i="27"/>
  <c r="BD36" i="27"/>
  <c r="AW40" i="27"/>
  <c r="AY73" i="27"/>
  <c r="AZ73" i="27" s="1"/>
  <c r="BA73" i="27" s="1"/>
  <c r="BC41" i="27"/>
  <c r="BG41" i="27" s="1"/>
  <c r="AY40" i="27"/>
  <c r="AY66" i="27"/>
  <c r="AZ66" i="27" s="1"/>
  <c r="BA66" i="27" s="1"/>
  <c r="AY86" i="27"/>
  <c r="AZ86" i="27" s="1"/>
  <c r="BA86" i="27" s="1"/>
  <c r="AY91" i="27"/>
  <c r="AZ91" i="27" s="1"/>
  <c r="BA91" i="27" s="1"/>
  <c r="AX62" i="27"/>
  <c r="AX74" i="27"/>
  <c r="AW87" i="27"/>
  <c r="BD99" i="27"/>
  <c r="AX83" i="27"/>
  <c r="AX69" i="27"/>
  <c r="BG22" i="27"/>
  <c r="AW49" i="27"/>
  <c r="BC99" i="27"/>
  <c r="AX55" i="27"/>
  <c r="AY51" i="27"/>
  <c r="BD56" i="27"/>
  <c r="BH56" i="27" s="1"/>
  <c r="AY53" i="27"/>
  <c r="AY79" i="27"/>
  <c r="AZ79" i="27" s="1"/>
  <c r="BA79" i="27" s="1"/>
  <c r="AY65" i="27"/>
  <c r="AZ65" i="27" s="1"/>
  <c r="BA65" i="27" s="1"/>
  <c r="AY93" i="27"/>
  <c r="AZ93" i="27" s="1"/>
  <c r="BA93" i="27" s="1"/>
  <c r="AX48" i="27"/>
  <c r="BC34" i="27"/>
  <c r="AW65" i="27"/>
  <c r="AX47" i="27"/>
  <c r="AW93" i="27"/>
  <c r="BI21" i="27"/>
  <c r="AW63" i="27"/>
  <c r="AW88" i="27"/>
  <c r="AX88" i="27"/>
  <c r="AX43" i="27"/>
  <c r="BG20" i="27"/>
  <c r="AW76" i="27"/>
  <c r="AY55" i="27"/>
  <c r="AY67" i="27"/>
  <c r="AZ67" i="27" s="1"/>
  <c r="BA67" i="27" s="1"/>
  <c r="O34" i="27"/>
  <c r="AW51" i="27"/>
  <c r="AX67" i="27"/>
  <c r="AW90" i="27"/>
  <c r="AW50" i="27"/>
  <c r="BI20" i="27"/>
  <c r="AW62" i="27"/>
  <c r="AX42" i="27"/>
  <c r="AX93" i="27"/>
  <c r="AY83" i="27"/>
  <c r="AZ83" i="27" s="1"/>
  <c r="BA83" i="27" s="1"/>
  <c r="AY74" i="27"/>
  <c r="AZ74" i="27" s="1"/>
  <c r="BA74" i="27" s="1"/>
  <c r="AY60" i="27"/>
  <c r="AZ60" i="27" s="1"/>
  <c r="BA60" i="27" s="1"/>
  <c r="AW95" i="27"/>
  <c r="AW89" i="27"/>
  <c r="AW42" i="27"/>
  <c r="BD100" i="27"/>
  <c r="AW54" i="27"/>
  <c r="AW79" i="27"/>
  <c r="AY45" i="27"/>
  <c r="AY87" i="27"/>
  <c r="AZ87" i="27" s="1"/>
  <c r="BA87" i="27" s="1"/>
  <c r="AW61" i="27"/>
  <c r="BD50" i="27"/>
  <c r="AY95" i="27"/>
  <c r="AZ95" i="27" s="1"/>
  <c r="BA95" i="27" s="1"/>
  <c r="AY72" i="27"/>
  <c r="AZ72" i="27" s="1"/>
  <c r="BA72" i="27" s="1"/>
  <c r="AX77" i="27"/>
  <c r="BC57" i="27"/>
  <c r="AR67" i="27"/>
  <c r="AY44" i="27"/>
  <c r="AW72" i="27"/>
  <c r="BI22" i="27"/>
  <c r="AX87" i="27"/>
  <c r="AW57" i="27"/>
  <c r="AX71" i="27"/>
  <c r="AW75" i="27"/>
  <c r="AX57" i="27"/>
  <c r="BD35" i="27"/>
  <c r="AW44" i="27"/>
  <c r="AW45" i="27"/>
  <c r="AY82" i="27"/>
  <c r="AZ82" i="27" s="1"/>
  <c r="BA82" i="27" s="1"/>
  <c r="AY89" i="27"/>
  <c r="AZ89" i="27" s="1"/>
  <c r="BA89" i="27" s="1"/>
  <c r="AY84" i="27"/>
  <c r="AZ84" i="27" s="1"/>
  <c r="BA84" i="27" s="1"/>
  <c r="AY42" i="27"/>
  <c r="AW92" i="27"/>
  <c r="AW43" i="27"/>
  <c r="BC48" i="27"/>
  <c r="BD55" i="27"/>
  <c r="AX81" i="27"/>
  <c r="AX54" i="27"/>
  <c r="AX53" i="27"/>
  <c r="BC101" i="27"/>
  <c r="AY56" i="27"/>
  <c r="AY80" i="27"/>
  <c r="AZ80" i="27" s="1"/>
  <c r="BA80" i="27" s="1"/>
  <c r="AY70" i="27"/>
  <c r="AZ70" i="27" s="1"/>
  <c r="BA70" i="27" s="1"/>
  <c r="AX61" i="27"/>
  <c r="AW85" i="27"/>
  <c r="AX46" i="27"/>
  <c r="AX66" i="27"/>
  <c r="AW64" i="27"/>
  <c r="AX96" i="27"/>
  <c r="BB80" i="27" l="1"/>
  <c r="BC80" i="27"/>
  <c r="BB90" i="27"/>
  <c r="BC90" i="27"/>
  <c r="BI85" i="27"/>
  <c r="BC85" i="27"/>
  <c r="BE82" i="27"/>
  <c r="BC82" i="27"/>
  <c r="BE83" i="27"/>
  <c r="BC83" i="27"/>
  <c r="BD92" i="27"/>
  <c r="BH92" i="27" s="1"/>
  <c r="BC92" i="27"/>
  <c r="BI95" i="27"/>
  <c r="BC95" i="27"/>
  <c r="BF86" i="27"/>
  <c r="BC86" i="27"/>
  <c r="BG86" i="27" s="1"/>
  <c r="BF94" i="27"/>
  <c r="BC94" i="27"/>
  <c r="BG94" i="27"/>
  <c r="BB94" i="27"/>
  <c r="BD94" i="27"/>
  <c r="BH94" i="27" s="1"/>
  <c r="BI94" i="27"/>
  <c r="BE94" i="27"/>
  <c r="BD95" i="27"/>
  <c r="BB96" i="27"/>
  <c r="BD96" i="27"/>
  <c r="BE96" i="27"/>
  <c r="BF96" i="27"/>
  <c r="BI96" i="27"/>
  <c r="BG96" i="27"/>
  <c r="BH96" i="27"/>
  <c r="BF92" i="27"/>
  <c r="BG92" i="27"/>
  <c r="BB92" i="27"/>
  <c r="BI92" i="27"/>
  <c r="BE92" i="27"/>
  <c r="BD93" i="27"/>
  <c r="BH93" i="27" s="1"/>
  <c r="BB93" i="27"/>
  <c r="BF93" i="27"/>
  <c r="BI93" i="27"/>
  <c r="BE93" i="27"/>
  <c r="BG93" i="27"/>
  <c r="BD90" i="27"/>
  <c r="BH90" i="27" s="1"/>
  <c r="BF90" i="27"/>
  <c r="BI90" i="27"/>
  <c r="BE90" i="27"/>
  <c r="BE91" i="27"/>
  <c r="BI91" i="27"/>
  <c r="BF91" i="27"/>
  <c r="BD91" i="27"/>
  <c r="BH91" i="27" s="1"/>
  <c r="BG91" i="27"/>
  <c r="BB91" i="27"/>
  <c r="BF88" i="27"/>
  <c r="BB88" i="27"/>
  <c r="BI88" i="27"/>
  <c r="BE88" i="27"/>
  <c r="BD88" i="27"/>
  <c r="BH88" i="27" s="1"/>
  <c r="BE89" i="27"/>
  <c r="BD89" i="27"/>
  <c r="BH89" i="27" s="1"/>
  <c r="BB89" i="27"/>
  <c r="BI89" i="27"/>
  <c r="BF89" i="27"/>
  <c r="BG89" i="27"/>
  <c r="BD86" i="27"/>
  <c r="BH86" i="27" s="1"/>
  <c r="BI86" i="27"/>
  <c r="BB86" i="27"/>
  <c r="BE86" i="27"/>
  <c r="BI87" i="27"/>
  <c r="BE87" i="27"/>
  <c r="BD87" i="27"/>
  <c r="BH87" i="27" s="1"/>
  <c r="BF87" i="27"/>
  <c r="BB87" i="27"/>
  <c r="BD85" i="27"/>
  <c r="BI83" i="27"/>
  <c r="BE85" i="27"/>
  <c r="BB83" i="27"/>
  <c r="BF83" i="27"/>
  <c r="BD83" i="27"/>
  <c r="BH83" i="27" s="1"/>
  <c r="BE84" i="27"/>
  <c r="BD84" i="27"/>
  <c r="BH84" i="27" s="1"/>
  <c r="BF84" i="27"/>
  <c r="BB84" i="27"/>
  <c r="BI84" i="27"/>
  <c r="BH80" i="27"/>
  <c r="BI80" i="27"/>
  <c r="BF80" i="27"/>
  <c r="BD80" i="27"/>
  <c r="BE80" i="27"/>
  <c r="BF81" i="27"/>
  <c r="BB81" i="27"/>
  <c r="BI81" i="27"/>
  <c r="BD81" i="27"/>
  <c r="BH81" i="27" s="1"/>
  <c r="BE81" i="27"/>
  <c r="BD73" i="27"/>
  <c r="BH73" i="27" s="1"/>
  <c r="BE73" i="27"/>
  <c r="BB73" i="27"/>
  <c r="BI73" i="27"/>
  <c r="BC73" i="27"/>
  <c r="BG73" i="27" s="1"/>
  <c r="BE79" i="27"/>
  <c r="BD79" i="27"/>
  <c r="BH79" i="27" s="1"/>
  <c r="BI79" i="27"/>
  <c r="BF79" i="27"/>
  <c r="BB79" i="27"/>
  <c r="W7" i="27"/>
  <c r="BH95" i="27"/>
  <c r="BF95" i="27"/>
  <c r="BB95" i="27"/>
  <c r="BC65" i="27"/>
  <c r="BG65" i="27" s="1"/>
  <c r="BF65" i="27"/>
  <c r="BB65" i="27"/>
  <c r="BE65" i="27"/>
  <c r="BD65" i="27"/>
  <c r="BI65" i="27"/>
  <c r="BI82" i="27"/>
  <c r="BF82" i="27"/>
  <c r="BD82" i="27"/>
  <c r="BH82" i="27" s="1"/>
  <c r="BB82" i="27"/>
  <c r="BI64" i="27"/>
  <c r="BD64" i="27"/>
  <c r="BC64" i="27"/>
  <c r="BG64" i="27" s="1"/>
  <c r="BB64" i="27"/>
  <c r="BF64" i="27"/>
  <c r="BE64" i="27"/>
  <c r="BC61" i="27"/>
  <c r="BG61" i="27" s="1"/>
  <c r="BF61" i="27"/>
  <c r="BI61" i="27"/>
  <c r="BE61" i="27"/>
  <c r="BD61" i="27"/>
  <c r="BD70" i="27"/>
  <c r="BI70" i="27"/>
  <c r="BC70" i="27"/>
  <c r="BG70" i="27" s="1"/>
  <c r="BB70" i="27"/>
  <c r="BE70" i="27"/>
  <c r="BF70" i="27"/>
  <c r="BB85" i="27"/>
  <c r="BH85" i="27"/>
  <c r="BF85" i="27"/>
  <c r="BF75" i="27"/>
  <c r="BE75" i="27"/>
  <c r="BB75" i="27"/>
  <c r="BD75" i="27"/>
  <c r="BH75" i="27" s="1"/>
  <c r="BI75" i="27"/>
  <c r="BC75" i="27"/>
  <c r="BG75" i="27" s="1"/>
  <c r="BD68" i="27"/>
  <c r="BH68" i="27" s="1"/>
  <c r="BE68" i="27"/>
  <c r="BC68" i="27"/>
  <c r="BG68" i="27" s="1"/>
  <c r="BI68" i="27"/>
  <c r="BF68" i="27"/>
  <c r="BB68" i="27"/>
  <c r="BD62" i="27"/>
  <c r="BF62" i="27"/>
  <c r="BC62" i="27"/>
  <c r="BG62" i="27" s="1"/>
  <c r="BE62" i="27"/>
  <c r="BI62" i="27"/>
  <c r="BB62" i="27"/>
  <c r="BH41" i="27"/>
  <c r="BK41" i="27" s="1"/>
  <c r="BH42" i="27"/>
  <c r="BK42" i="27" s="1"/>
  <c r="BJ51" i="27"/>
  <c r="BJ43" i="27"/>
  <c r="BH44" i="27"/>
  <c r="BJ54" i="27"/>
  <c r="BH45" i="27"/>
  <c r="BJ45" i="27" s="1"/>
  <c r="BJ21" i="27"/>
  <c r="BJ22" i="27"/>
  <c r="BJ23" i="27"/>
  <c r="BH48" i="27"/>
  <c r="BF74" i="27"/>
  <c r="BB72" i="27"/>
  <c r="BD72" i="27"/>
  <c r="BH72" i="27" s="1"/>
  <c r="BI72" i="27"/>
  <c r="BE72" i="27"/>
  <c r="BF72" i="27"/>
  <c r="BC72" i="27"/>
  <c r="BG72" i="27" s="1"/>
  <c r="BF69" i="27"/>
  <c r="BE69" i="27"/>
  <c r="BI69" i="27"/>
  <c r="BB69" i="27"/>
  <c r="BC69" i="27"/>
  <c r="BG69" i="27" s="1"/>
  <c r="BD69" i="27"/>
  <c r="BB66" i="27"/>
  <c r="BF66" i="27"/>
  <c r="BC66" i="27"/>
  <c r="BG66" i="27" s="1"/>
  <c r="BD66" i="27"/>
  <c r="BI66" i="27"/>
  <c r="BE66" i="27"/>
  <c r="BE63" i="27"/>
  <c r="BB63" i="27"/>
  <c r="BI63" i="27"/>
  <c r="BC63" i="27"/>
  <c r="BG63" i="27" s="1"/>
  <c r="BD63" i="27"/>
  <c r="BF63" i="27"/>
  <c r="BB76" i="27"/>
  <c r="BD76" i="27"/>
  <c r="BH76" i="27" s="1"/>
  <c r="BE76" i="27"/>
  <c r="BC76" i="27"/>
  <c r="BG76" i="27" s="1"/>
  <c r="BI76" i="27"/>
  <c r="BF76" i="27"/>
  <c r="BD77" i="27"/>
  <c r="BH77" i="27" s="1"/>
  <c r="BC77" i="27"/>
  <c r="BG77" i="27" s="1"/>
  <c r="BE77" i="27"/>
  <c r="BB77" i="27"/>
  <c r="BI77" i="27"/>
  <c r="BF77" i="27"/>
  <c r="BB71" i="27"/>
  <c r="BD71" i="27"/>
  <c r="BH71" i="27" s="1"/>
  <c r="BF71" i="27"/>
  <c r="BE71" i="27"/>
  <c r="BI71" i="27"/>
  <c r="BC71" i="27"/>
  <c r="BG71" i="27" s="1"/>
  <c r="BJ20" i="27"/>
  <c r="BE74" i="27"/>
  <c r="BH49" i="27"/>
  <c r="BK49" i="27" s="1"/>
  <c r="BH55" i="27"/>
  <c r="BK55" i="27" s="1"/>
  <c r="BK47" i="27"/>
  <c r="BJ47" i="27"/>
  <c r="BK54" i="27"/>
  <c r="BH50" i="27"/>
  <c r="BJ50" i="27" s="1"/>
  <c r="BC74" i="27"/>
  <c r="BG74" i="27" s="1"/>
  <c r="BB74" i="27"/>
  <c r="BD74" i="27"/>
  <c r="BK43" i="27"/>
  <c r="BG36" i="27"/>
  <c r="BH57" i="27"/>
  <c r="BG34" i="27"/>
  <c r="BH53" i="27"/>
  <c r="BJ53" i="27" s="1"/>
  <c r="BK51" i="27"/>
  <c r="BH52" i="27"/>
  <c r="BJ52" i="27" s="1"/>
  <c r="BG33" i="27"/>
  <c r="BG44" i="27"/>
  <c r="BJ56" i="27"/>
  <c r="AZ42" i="27"/>
  <c r="BA42" i="27" s="1"/>
  <c r="AZ52" i="27"/>
  <c r="BA52" i="27" s="1"/>
  <c r="BH23" i="27"/>
  <c r="BE67" i="27"/>
  <c r="BC67" i="27"/>
  <c r="BF67" i="27"/>
  <c r="BI67" i="27"/>
  <c r="BB67" i="27"/>
  <c r="BD67" i="27"/>
  <c r="O21" i="27"/>
  <c r="V8" i="27" s="1"/>
  <c r="D17" i="27"/>
  <c r="BF60" i="27"/>
  <c r="BG85" i="27"/>
  <c r="BG87" i="27"/>
  <c r="BG79" i="27"/>
  <c r="BC60" i="27"/>
  <c r="BB60" i="27"/>
  <c r="BI60" i="27"/>
  <c r="BG84" i="27"/>
  <c r="BG81" i="27"/>
  <c r="BG80" i="27"/>
  <c r="BG88" i="27"/>
  <c r="BG90" i="27"/>
  <c r="BG82" i="27"/>
  <c r="BE60" i="27"/>
  <c r="BG95" i="27"/>
  <c r="BG83" i="27"/>
  <c r="BD60" i="27"/>
  <c r="AZ47" i="27"/>
  <c r="BA47" i="27" s="1"/>
  <c r="AZ55" i="27"/>
  <c r="BA55" i="27" s="1"/>
  <c r="AZ53" i="27"/>
  <c r="BA53" i="27" s="1"/>
  <c r="BG57" i="27"/>
  <c r="AZ57" i="27"/>
  <c r="BA57" i="27" s="1"/>
  <c r="AZ40" i="27"/>
  <c r="BA40" i="27" s="1"/>
  <c r="BN28" i="27"/>
  <c r="BD32" i="27"/>
  <c r="BK56" i="27"/>
  <c r="AZ41" i="27"/>
  <c r="BA41" i="27" s="1"/>
  <c r="BG48" i="27"/>
  <c r="AZ54" i="27"/>
  <c r="BA54" i="27" s="1"/>
  <c r="AZ51" i="27"/>
  <c r="BA51" i="27" s="1"/>
  <c r="BH20" i="27"/>
  <c r="D18" i="27"/>
  <c r="O22" i="27"/>
  <c r="AZ43" i="27"/>
  <c r="BA43" i="27" s="1"/>
  <c r="AZ44" i="27"/>
  <c r="BA44" i="27" s="1"/>
  <c r="AZ46" i="27"/>
  <c r="BA46" i="27" s="1"/>
  <c r="AZ48" i="27"/>
  <c r="BA48" i="27" s="1"/>
  <c r="AZ56" i="27"/>
  <c r="BA56" i="27" s="1"/>
  <c r="AZ50" i="27"/>
  <c r="BA50" i="27" s="1"/>
  <c r="AZ45" i="27"/>
  <c r="BA45" i="27" s="1"/>
  <c r="BG40" i="27"/>
  <c r="BJ40" i="27" s="1"/>
  <c r="BH22" i="27"/>
  <c r="BG46" i="27"/>
  <c r="BD114" i="27" l="1"/>
  <c r="BD110" i="27"/>
  <c r="BD111" i="27"/>
  <c r="BD113" i="27"/>
  <c r="BD104" i="27"/>
  <c r="BD108" i="27"/>
  <c r="BD106" i="27"/>
  <c r="BD117" i="27"/>
  <c r="BD105" i="27"/>
  <c r="BD109" i="27"/>
  <c r="BP73" i="27"/>
  <c r="BJ73" i="27"/>
  <c r="BL73" i="27" s="1"/>
  <c r="BK73" i="27"/>
  <c r="BH65" i="27"/>
  <c r="BJ65" i="27" s="1"/>
  <c r="BL65" i="27" s="1"/>
  <c r="V7" i="27"/>
  <c r="U7" i="27"/>
  <c r="BP65" i="27"/>
  <c r="BH61" i="27"/>
  <c r="BK61" i="27" s="1"/>
  <c r="BH67" i="27"/>
  <c r="BD107" i="27"/>
  <c r="BC105" i="27"/>
  <c r="BH64" i="27"/>
  <c r="BK64" i="27" s="1"/>
  <c r="BG120" i="27"/>
  <c r="BP64" i="27"/>
  <c r="BP61" i="27"/>
  <c r="BP70" i="27"/>
  <c r="BH70" i="27"/>
  <c r="BJ70" i="27" s="1"/>
  <c r="BL70" i="27" s="1"/>
  <c r="BK75" i="27"/>
  <c r="BJ75" i="27"/>
  <c r="BL75" i="27" s="1"/>
  <c r="BP75" i="27"/>
  <c r="BD119" i="27"/>
  <c r="BH63" i="27"/>
  <c r="BK63" i="27" s="1"/>
  <c r="BC106" i="27"/>
  <c r="BJ44" i="27"/>
  <c r="BL44" i="27" s="1"/>
  <c r="BH62" i="27"/>
  <c r="BJ62" i="27" s="1"/>
  <c r="BL62" i="27" s="1"/>
  <c r="BL51" i="27"/>
  <c r="BJ42" i="27"/>
  <c r="BL42" i="27" s="1"/>
  <c r="BD112" i="27"/>
  <c r="BP62" i="27"/>
  <c r="BP68" i="27"/>
  <c r="BK68" i="27"/>
  <c r="BJ68" i="27"/>
  <c r="BL68" i="27" s="1"/>
  <c r="BJ41" i="27"/>
  <c r="BL41" i="27" s="1"/>
  <c r="BL54" i="27"/>
  <c r="BL43" i="27"/>
  <c r="BK45" i="27"/>
  <c r="BH121" i="27"/>
  <c r="BH66" i="27"/>
  <c r="BJ66" i="27" s="1"/>
  <c r="BL66" i="27" s="1"/>
  <c r="BJ48" i="27"/>
  <c r="BL48" i="27" s="1"/>
  <c r="BL45" i="27"/>
  <c r="BC121" i="27"/>
  <c r="BD120" i="27"/>
  <c r="BD121" i="27"/>
  <c r="BC110" i="27"/>
  <c r="BJ76" i="27"/>
  <c r="BL76" i="27" s="1"/>
  <c r="BH120" i="27"/>
  <c r="BP69" i="27"/>
  <c r="BP76" i="27"/>
  <c r="BK76" i="27"/>
  <c r="BP63" i="27"/>
  <c r="BJ71" i="27"/>
  <c r="BL71" i="27" s="1"/>
  <c r="BP71" i="27"/>
  <c r="BK71" i="27"/>
  <c r="BD115" i="27"/>
  <c r="BD116" i="27"/>
  <c r="BP66" i="27"/>
  <c r="BP77" i="27"/>
  <c r="BK77" i="27"/>
  <c r="BJ77" i="27"/>
  <c r="BL77" i="27" s="1"/>
  <c r="BH69" i="27"/>
  <c r="BK69" i="27" s="1"/>
  <c r="BK72" i="27"/>
  <c r="BP72" i="27"/>
  <c r="BJ72" i="27"/>
  <c r="BL72" i="27" s="1"/>
  <c r="BJ49" i="27"/>
  <c r="BL49" i="27" s="1"/>
  <c r="BL47" i="27"/>
  <c r="BC111" i="27"/>
  <c r="BP74" i="27"/>
  <c r="BC104" i="27"/>
  <c r="BJ55" i="27"/>
  <c r="BL55" i="27" s="1"/>
  <c r="BL50" i="27"/>
  <c r="BL53" i="27"/>
  <c r="BK53" i="27"/>
  <c r="BL56" i="27"/>
  <c r="BK50" i="27"/>
  <c r="BD118" i="27"/>
  <c r="BH74" i="27"/>
  <c r="BJ57" i="27"/>
  <c r="BL57" i="27" s="1"/>
  <c r="BL52" i="27"/>
  <c r="BK44" i="27"/>
  <c r="BK52" i="27"/>
  <c r="BL40" i="27"/>
  <c r="BK88" i="27"/>
  <c r="BJ88" i="27"/>
  <c r="BL88" i="27" s="1"/>
  <c r="BP88" i="27"/>
  <c r="BC113" i="27"/>
  <c r="BJ80" i="27"/>
  <c r="BL80" i="27" s="1"/>
  <c r="BP80" i="27"/>
  <c r="BK80" i="27"/>
  <c r="BK48" i="27"/>
  <c r="BJ93" i="27"/>
  <c r="BL93" i="27" s="1"/>
  <c r="BK93" i="27"/>
  <c r="BP93" i="27"/>
  <c r="BJ91" i="27"/>
  <c r="BL91" i="27" s="1"/>
  <c r="BK91" i="27"/>
  <c r="BP91" i="27"/>
  <c r="BC116" i="27"/>
  <c r="BP79" i="27"/>
  <c r="BK79" i="27"/>
  <c r="BJ79" i="27"/>
  <c r="BL79" i="27" s="1"/>
  <c r="BP67" i="27"/>
  <c r="BC118" i="27"/>
  <c r="BH60" i="27"/>
  <c r="BK81" i="27"/>
  <c r="BP81" i="27"/>
  <c r="BJ81" i="27"/>
  <c r="BL81" i="27" s="1"/>
  <c r="BP87" i="27"/>
  <c r="BJ87" i="27"/>
  <c r="BL87" i="27" s="1"/>
  <c r="BK87" i="27"/>
  <c r="BC112" i="27"/>
  <c r="BJ94" i="27"/>
  <c r="BL94" i="27" s="1"/>
  <c r="BP94" i="27"/>
  <c r="BK94" i="27"/>
  <c r="BC119" i="27"/>
  <c r="BK37" i="27"/>
  <c r="BP92" i="27"/>
  <c r="BJ92" i="27"/>
  <c r="BL92" i="27" s="1"/>
  <c r="BK92" i="27"/>
  <c r="BC117" i="27"/>
  <c r="BK46" i="27"/>
  <c r="BJ46" i="27"/>
  <c r="BL46" i="27" s="1"/>
  <c r="BG60" i="27"/>
  <c r="BK84" i="27"/>
  <c r="BP84" i="27"/>
  <c r="BJ84" i="27"/>
  <c r="BL84" i="27" s="1"/>
  <c r="BC109" i="27"/>
  <c r="BK85" i="27"/>
  <c r="BJ85" i="27"/>
  <c r="BL85" i="27" s="1"/>
  <c r="BP85" i="27"/>
  <c r="BK40" i="27"/>
  <c r="BP83" i="27"/>
  <c r="BC108" i="27"/>
  <c r="BK83" i="27"/>
  <c r="BJ83" i="27"/>
  <c r="BL83" i="27" s="1"/>
  <c r="BK82" i="27"/>
  <c r="BP82" i="27"/>
  <c r="BJ82" i="27"/>
  <c r="BL82" i="27" s="1"/>
  <c r="BC107" i="27"/>
  <c r="BJ86" i="27"/>
  <c r="BL86" i="27" s="1"/>
  <c r="BP86" i="27"/>
  <c r="BK86" i="27"/>
  <c r="BG67" i="27"/>
  <c r="BK89" i="27"/>
  <c r="BP89" i="27"/>
  <c r="BJ89" i="27"/>
  <c r="BL89" i="27" s="1"/>
  <c r="BC114" i="27"/>
  <c r="BG121" i="27"/>
  <c r="BK57" i="27"/>
  <c r="BP60" i="27"/>
  <c r="F22" i="27"/>
  <c r="BK95" i="27"/>
  <c r="BP95" i="27"/>
  <c r="BJ95" i="27"/>
  <c r="BL95" i="27" s="1"/>
  <c r="BC120" i="27"/>
  <c r="BP90" i="27"/>
  <c r="BJ90" i="27"/>
  <c r="BL90" i="27" s="1"/>
  <c r="BK90" i="27"/>
  <c r="BC115" i="27"/>
  <c r="BP96" i="27"/>
  <c r="BK96" i="27"/>
  <c r="BJ96" i="27"/>
  <c r="BL96" i="27" s="1"/>
  <c r="B74" i="27" l="1"/>
  <c r="M74" i="27"/>
  <c r="M60" i="27"/>
  <c r="B60" i="27"/>
  <c r="M72" i="27"/>
  <c r="B72" i="27"/>
  <c r="B67" i="27"/>
  <c r="M67" i="27"/>
  <c r="B61" i="27"/>
  <c r="M61" i="27"/>
  <c r="BK65" i="27"/>
  <c r="V6" i="27"/>
  <c r="B75" i="27"/>
  <c r="M75" i="27"/>
  <c r="M64" i="27"/>
  <c r="B64" i="27"/>
  <c r="M70" i="27"/>
  <c r="B70" i="27"/>
  <c r="BJ61" i="27"/>
  <c r="BL61" i="27" s="1"/>
  <c r="BJ67" i="27"/>
  <c r="BL67" i="27" s="1"/>
  <c r="BJ64" i="27"/>
  <c r="BL64" i="27" s="1"/>
  <c r="BK70" i="27"/>
  <c r="BJ63" i="27"/>
  <c r="BL63" i="27" s="1"/>
  <c r="BK62" i="27"/>
  <c r="BK66" i="27"/>
  <c r="BJ69" i="27"/>
  <c r="BL69" i="27" s="1"/>
  <c r="BK60" i="27"/>
  <c r="BK74" i="27"/>
  <c r="BJ74" i="27"/>
  <c r="BL74" i="27" s="1"/>
  <c r="AZ109" i="27"/>
  <c r="BJ60" i="27"/>
  <c r="BK67" i="27"/>
  <c r="BJ33" i="27"/>
  <c r="W6" i="27" l="1"/>
  <c r="W8" i="27"/>
  <c r="U8" i="27"/>
  <c r="U6" i="27"/>
  <c r="D31" i="27"/>
  <c r="B98" i="27"/>
  <c r="R28" i="27"/>
  <c r="N8" i="27" s="1"/>
  <c r="BL60" i="27"/>
  <c r="D36" i="27" l="1"/>
  <c r="AT79" i="27" s="1"/>
  <c r="K17" i="27"/>
  <c r="N7" i="27" s="1"/>
  <c r="O7" i="27" s="1"/>
  <c r="J11" i="27" s="1"/>
  <c r="AT94" i="27" l="1"/>
  <c r="AT73" i="27"/>
  <c r="AT86" i="27"/>
  <c r="AT65" i="27"/>
  <c r="D92" i="26" s="1"/>
  <c r="AT87" i="27"/>
  <c r="AT95" i="27"/>
  <c r="AT66" i="27"/>
  <c r="C93" i="26" s="1"/>
  <c r="AT74" i="27"/>
  <c r="AT80" i="27"/>
  <c r="AT88" i="27"/>
  <c r="AT96" i="27"/>
  <c r="AT67" i="27"/>
  <c r="AT75" i="27"/>
  <c r="B102" i="26" s="1"/>
  <c r="AT81" i="27"/>
  <c r="AT89" i="27"/>
  <c r="AT68" i="27"/>
  <c r="AT76" i="27"/>
  <c r="AT82" i="27"/>
  <c r="AT90" i="27"/>
  <c r="AT61" i="27"/>
  <c r="G88" i="26" s="1"/>
  <c r="AT69" i="27"/>
  <c r="F96" i="26" s="1"/>
  <c r="AT77" i="27"/>
  <c r="AT83" i="27"/>
  <c r="AT91" i="27"/>
  <c r="AT62" i="27"/>
  <c r="AT70" i="27"/>
  <c r="C97" i="26" s="1"/>
  <c r="AT60" i="27"/>
  <c r="G87" i="26" s="1"/>
  <c r="AT84" i="27"/>
  <c r="AT92" i="27"/>
  <c r="AT63" i="27"/>
  <c r="F90" i="26" s="1"/>
  <c r="AT71" i="27"/>
  <c r="F98" i="26" s="1"/>
  <c r="AT40" i="27"/>
  <c r="AT85" i="27"/>
  <c r="AT93" i="27"/>
  <c r="AT64" i="27"/>
  <c r="AT72" i="27"/>
  <c r="I99" i="26" s="1"/>
  <c r="C103" i="26"/>
  <c r="C100" i="26"/>
  <c r="C101" i="26"/>
  <c r="C107" i="26"/>
  <c r="C112" i="26"/>
  <c r="C115" i="26"/>
  <c r="C111" i="26"/>
  <c r="C120" i="26"/>
  <c r="C118" i="26"/>
  <c r="C108" i="26"/>
  <c r="C119" i="26"/>
  <c r="C123" i="26"/>
  <c r="C122" i="26"/>
  <c r="C88" i="26"/>
  <c r="C121" i="26"/>
  <c r="E96" i="26" l="1"/>
  <c r="D96" i="26"/>
  <c r="D89" i="26"/>
  <c r="G89" i="26"/>
  <c r="G125" i="26" s="1"/>
  <c r="I126" i="26"/>
  <c r="I125" i="26"/>
  <c r="F94" i="26"/>
  <c r="H94" i="26"/>
  <c r="F88" i="26"/>
  <c r="E88" i="26"/>
  <c r="F92" i="26"/>
  <c r="E92" i="26"/>
  <c r="C116" i="26"/>
  <c r="E116" i="26"/>
  <c r="C109" i="26"/>
  <c r="E109" i="26"/>
  <c r="C114" i="26"/>
  <c r="E114" i="26"/>
  <c r="E98" i="26"/>
  <c r="D98" i="26"/>
  <c r="C117" i="26"/>
  <c r="E117" i="26"/>
  <c r="C113" i="26"/>
  <c r="E113" i="26"/>
  <c r="C110" i="26"/>
  <c r="E110" i="26"/>
  <c r="C106" i="26"/>
  <c r="E106" i="26"/>
  <c r="C90" i="26"/>
  <c r="D90" i="26"/>
  <c r="C91" i="26"/>
  <c r="E91" i="26"/>
  <c r="B95" i="26"/>
  <c r="E95" i="26"/>
  <c r="B94" i="26"/>
  <c r="E94" i="26"/>
  <c r="C87" i="26"/>
  <c r="E87" i="26"/>
  <c r="B99" i="26"/>
  <c r="C99" i="26"/>
  <c r="B98" i="26"/>
  <c r="C98" i="26"/>
  <c r="B96" i="26"/>
  <c r="C96" i="26"/>
  <c r="C104" i="26"/>
  <c r="B104" i="26"/>
  <c r="D97" i="26"/>
  <c r="B97" i="26"/>
  <c r="D93" i="26"/>
  <c r="B93" i="26"/>
  <c r="D91" i="26"/>
  <c r="B91" i="26"/>
  <c r="C89" i="26"/>
  <c r="B89" i="26"/>
  <c r="D88" i="26"/>
  <c r="B88" i="26"/>
  <c r="D87" i="26"/>
  <c r="B87" i="26"/>
  <c r="D101" i="26"/>
  <c r="B101" i="26"/>
  <c r="B103" i="26"/>
  <c r="D103" i="26"/>
  <c r="B100" i="26"/>
  <c r="D100" i="26"/>
  <c r="F99" i="26"/>
  <c r="D99" i="26"/>
  <c r="D94" i="26"/>
  <c r="C94" i="26"/>
  <c r="B92" i="26"/>
  <c r="C92" i="26"/>
  <c r="E90" i="26"/>
  <c r="B90" i="26"/>
  <c r="C102" i="26"/>
  <c r="D102" i="26"/>
  <c r="D95" i="26"/>
  <c r="C95" i="26"/>
  <c r="G126" i="26" l="1"/>
  <c r="F126" i="26"/>
  <c r="F125" i="26"/>
  <c r="H126" i="26"/>
  <c r="H125" i="26"/>
  <c r="E125" i="26"/>
  <c r="E126" i="26"/>
  <c r="C125" i="26"/>
  <c r="C126" i="26"/>
  <c r="B126" i="26"/>
  <c r="B125" i="26"/>
  <c r="D125" i="26"/>
  <c r="D126"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author>
    <author>Junstrom, Adam</author>
  </authors>
  <commentList>
    <comment ref="AB2" authorId="0" shapeId="0" xr:uid="{00000000-0006-0000-0300-000001000000}">
      <text>
        <r>
          <rPr>
            <b/>
            <sz val="9"/>
            <color indexed="81"/>
            <rFont val="Tahoma"/>
            <family val="2"/>
          </rPr>
          <t xml:space="preserve">Do not include one-third allowable stress increase.  ASIF is automatically applied in the calculations.
</t>
        </r>
        <r>
          <rPr>
            <sz val="9"/>
            <color indexed="81"/>
            <rFont val="Tahoma"/>
            <family val="2"/>
          </rPr>
          <t xml:space="preserve">
</t>
        </r>
      </text>
    </comment>
    <comment ref="AW2" authorId="0" shapeId="0" xr:uid="{00000000-0006-0000-0300-000002000000}">
      <text>
        <r>
          <rPr>
            <sz val="9"/>
            <color indexed="81"/>
            <rFont val="Tahoma"/>
            <family val="2"/>
          </rPr>
          <t>Length of one side, not both sides added</t>
        </r>
      </text>
    </comment>
    <comment ref="BB2" authorId="0" shapeId="0" xr:uid="{00000000-0006-0000-0300-000003000000}">
      <text>
        <r>
          <rPr>
            <b/>
            <sz val="9"/>
            <color indexed="81"/>
            <rFont val="Tahoma"/>
            <family val="2"/>
          </rPr>
          <t>Do not include one-third allowable stress increase.  ASIF is automatically applied in the calculations.</t>
        </r>
        <r>
          <rPr>
            <sz val="9"/>
            <color indexed="81"/>
            <rFont val="Tahoma"/>
            <family val="2"/>
          </rPr>
          <t xml:space="preserve">
</t>
        </r>
      </text>
    </comment>
    <comment ref="BW2" authorId="0" shapeId="0" xr:uid="{00000000-0006-0000-0300-000004000000}">
      <text>
        <r>
          <rPr>
            <sz val="9"/>
            <color indexed="81"/>
            <rFont val="Tahoma"/>
            <family val="2"/>
          </rPr>
          <t xml:space="preserve">Length of one side, not both sides added
</t>
        </r>
      </text>
    </comment>
    <comment ref="CA2" authorId="1" shapeId="0" xr:uid="{00000000-0006-0000-0300-000005000000}">
      <text>
        <r>
          <rPr>
            <b/>
            <sz val="9"/>
            <color indexed="81"/>
            <rFont val="Tahoma"/>
            <family val="2"/>
          </rPr>
          <t>These values can be used as reference to determine the effective reinforced length.</t>
        </r>
        <r>
          <rPr>
            <sz val="9"/>
            <color indexed="81"/>
            <rFont val="Tahoma"/>
            <family val="2"/>
          </rPr>
          <t xml:space="preserve">
</t>
        </r>
      </text>
    </comment>
    <comment ref="CB2" authorId="1" shapeId="0" xr:uid="{00000000-0006-0000-0300-000006000000}">
      <text>
        <r>
          <rPr>
            <b/>
            <sz val="9"/>
            <color indexed="81"/>
            <rFont val="Tahoma"/>
            <family val="2"/>
          </rPr>
          <t>These values can be used as reference to determine the effective reinforced length.</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AJunstrom</author>
    <author>Junstrom, Adam</author>
  </authors>
  <commentList>
    <comment ref="M18" authorId="0" shapeId="0" xr:uid="{00000000-0006-0000-0400-000001000000}">
      <text>
        <r>
          <rPr>
            <sz val="9"/>
            <color indexed="81"/>
            <rFont val="Tahoma"/>
            <family val="2"/>
          </rPr>
          <t>Not used in this version.</t>
        </r>
      </text>
    </comment>
    <comment ref="M31" authorId="0" shapeId="0" xr:uid="{00000000-0006-0000-0400-000002000000}">
      <text>
        <r>
          <rPr>
            <sz val="9"/>
            <color indexed="81"/>
            <rFont val="Tahoma"/>
            <family val="2"/>
          </rPr>
          <t>Not used in this version.</t>
        </r>
      </text>
    </comment>
    <comment ref="M60" authorId="1" shapeId="0" xr:uid="{00000000-0006-0000-0400-000003000000}">
      <text>
        <r>
          <rPr>
            <b/>
            <sz val="9"/>
            <color indexed="81"/>
            <rFont val="Tahoma"/>
            <family val="2"/>
          </rPr>
          <t>Junstrom, Adam:</t>
        </r>
        <r>
          <rPr>
            <sz val="9"/>
            <color indexed="81"/>
            <rFont val="Tahoma"/>
            <family val="2"/>
          </rPr>
          <t xml:space="preserve">
This MOI discounts any compression portion of a tension-only reinforcement.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tc={BCE4B31B-1ABE-438E-B041-1AC244538EDC}</author>
  </authors>
  <commentList>
    <comment ref="C2" authorId="0" shapeId="0" xr:uid="{BCE4B31B-1ABE-438E-B041-1AC244538EDC}">
      <text>
        <t>[Threaded comment]
Your version of Excel allows you to read this threaded comment; however, any edits to it will get removed if the file is opened in a newer version of Excel. Learn more: https://go.microsoft.com/fwlink/?linkid=870924
Comment:
    pole_id</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tc={46B39D92-19CB-4397-95E8-9D246D60D031}</author>
    <author>tc={8381BFB1-DE9F-4954-9C11-DAF6AD792013}</author>
  </authors>
  <commentList>
    <comment ref="A2" authorId="0" shapeId="0" xr:uid="{46B39D92-19CB-4397-95E8-9D246D60D031}">
      <text>
        <t>[Threaded comment]
Your version of Excel allows you to read this threaded comment; however, any edits to it will get removed if the file is opened in a newer version of Excel. Learn more: https://go.microsoft.com/fwlink/?linkid=870924
Comment:
    Global ID
Reply:
    section_id</t>
      </text>
    </comment>
    <comment ref="C2" authorId="1" shapeId="0" xr:uid="{8381BFB1-DE9F-4954-9C11-DAF6AD792013}">
      <text>
        <t>[Threaded comment]
Your version of Excel allows you to read this threaded comment; however, any edits to it will get removed if the file is opened in a newer version of Excel. Learn more: https://go.microsoft.com/fwlink/?linkid=870924
Comment:
    Local tool ID</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tc={70FAA5CF-FB98-4F4F-8577-3C0253E37701}</author>
    <author>tc={E7C5DD8E-D031-4E40-B3AE-38EE5D3ABE65}</author>
  </authors>
  <commentList>
    <comment ref="A2" authorId="0" shapeId="0" xr:uid="{70FAA5CF-FB98-4F4F-8577-3C0253E37701}">
      <text>
        <t>[Threaded comment]
Your version of Excel allows you to read this threaded comment; however, any edits to it will get removed if the file is opened in a newer version of Excel. Learn more: https://go.microsoft.com/fwlink/?linkid=870924
Comment:
    Global ID
Reply:
    section_id</t>
      </text>
    </comment>
    <comment ref="C2" authorId="1" shapeId="0" xr:uid="{E7C5DD8E-D031-4E40-B3AE-38EE5D3ABE65}">
      <text>
        <t>[Threaded comment]
Your version of Excel allows you to read this threaded comment; however, any edits to it will get removed if the file is opened in a newer version of Excel. Learn more: https://go.microsoft.com/fwlink/?linkid=870924
Comment:
    Local tool ID</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tc={0DA719D1-3A79-4937-9B0A-4F704DB708A9}</author>
  </authors>
  <commentList>
    <comment ref="A2" authorId="0" shapeId="0" xr:uid="{0DA719D1-3A79-4937-9B0A-4F704DB708A9}">
      <text>
        <t>[Threaded comment]
Your version of Excel allows you to read this threaded comment; however, any edits to it will get removed if the file is opened in a newer version of Excel. Learn more: https://go.microsoft.com/fwlink/?linkid=870924
Comment:
    group_id</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tc={F5D32514-A3B4-43A8-9C88-F6D0DA834D07}</author>
  </authors>
  <commentList>
    <comment ref="A2" authorId="0" shapeId="0" xr:uid="{F5D32514-A3B4-43A8-9C88-F6D0DA834D07}">
      <text>
        <t>[Threaded comment]
Your version of Excel allows you to read this threaded comment; however, any edits to it will get removed if the file is opened in a newer version of Excel. Learn more: https://go.microsoft.com/fwlink/?linkid=870924
Comment:
    reinforcement_id</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tc={F22A094E-DA0C-464E-B108-97D0457F9DDB}</author>
  </authors>
  <commentList>
    <comment ref="A2" authorId="0" shapeId="0" xr:uid="{F22A094E-DA0C-464E-B108-97D0457F9DDB}">
      <text>
        <t>[Threaded comment]
Your version of Excel allows you to read this threaded comment; however, any edits to it will get removed if the file is opened in a newer version of Excel. Learn more: https://go.microsoft.com/fwlink/?linkid=870924
Comment:
    group_id</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tc={75116590-CBF3-41F5-8B63-A95FE8FC44A7}</author>
  </authors>
  <commentList>
    <comment ref="A2" authorId="0" shapeId="0" xr:uid="{75116590-CBF3-41F5-8B63-A95FE8FC44A7}">
      <text>
        <t>[Threaded comment]
Your version of Excel allows you to read this threaded comment; however, any edits to it will get removed if the file is opened in a newer version of Excel. Learn more: https://go.microsoft.com/fwlink/?linkid=870924
Comment:
    interference_id</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tc={AB6F940F-14FA-4EF7-BEDF-B8F0BF23CDEC}</author>
  </authors>
  <commentList>
    <comment ref="A2" authorId="0" shapeId="0" xr:uid="{AB6F940F-14FA-4EF7-BEDF-B8F0BF23CDEC}">
      <text>
        <t>[Threaded comment]
Your version of Excel allows you to read this threaded comment; however, any edits to it will get removed if the file is opened in a newer version of Excel. Learn more: https://go.microsoft.com/fwlink/?linkid=870924
Comment:
    result_id</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tc={B3799959-616C-429C-8C18-DD12B5D2E618}</author>
  </authors>
  <commentList>
    <comment ref="B2" authorId="0" shapeId="0" xr:uid="{B3799959-616C-429C-8C18-DD12B5D2E618}">
      <text>
        <t>[Threaded comment]
Your version of Excel allows you to read this threaded comment; however, any edits to it will get removed if the file is opened in a newer version of Excel. Learn more: https://go.microsoft.com/fwlink/?linkid=870924
Comment:
    matl_id</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tc={A4BB4E92-662F-4592-AD3C-EC75962C449E}</author>
  </authors>
  <commentList>
    <comment ref="B2" authorId="0" shapeId="0" xr:uid="{A4BB4E92-662F-4592-AD3C-EC75962C449E}">
      <text>
        <t>[Threaded comment]
Your version of Excel allows you to read this threaded comment; however, any edits to it will get removed if the file is opened in a newer version of Excel. Learn more: https://go.microsoft.com/fwlink/?linkid=870924
Comment:
    bolt_id</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tc={1CF2249B-0A9F-4B42-8E73-C26FCAC60011}</author>
  </authors>
  <commentList>
    <comment ref="B2" authorId="0" shapeId="0" xr:uid="{1CF2249B-0A9F-4B42-8E73-C26FCAC60011}">
      <text>
        <t>[Threaded comment]
Your version of Excel allows you to read this threaded comment; however, any edits to it will get removed if the file is opened in a newer version of Excel. Learn more: https://go.microsoft.com/fwlink/?linkid=870924
Comment:
    reinf_id</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6BD5546-1A05-4F61-9A4C-C62EDA087B17}" name="123456_Test" type="6" refreshedVersion="6" background="1" saveData="1">
    <textPr prompt="0" sourceFile="C:\Users\MRudolph\Desktop\C Drive Testing\CCIpole\EDS Testing\Test Sites\123456\123456_Test.eri" tab="0" qualifier="none">
      <textFields>
        <textField/>
      </textFields>
    </textPr>
  </connection>
  <connection id="2" xr16:uid="{BD3B843F-D2AF-4059-BB34-3241E2572482}" name="123456_Test1" type="6" refreshedVersion="7" background="1" saveData="1">
    <textPr prompt="0" sourceFile="C:\Users\MRudolph\Desktop\C Drive Testing\EDS Testing\CCIpole\Test Sites\123456\123456_Test.eri" tab="0" qualifier="none">
      <textFields>
        <textField/>
      </textFields>
    </textPr>
  </connection>
  <connection id="3" xr16:uid="{17154D80-2812-4391-9992-524DEEDEEE63}" name="123456_Test2" type="6" refreshedVersion="7" background="1" saveData="1">
    <textPr prompt="0" sourceFile="C:\Users\MRudolph\Desktop\C Drive Testing\EDS Testing\CCIpole\Test Sites\123456\123456_Test.eri" tab="0" qualifier="none">
      <textFields>
        <textField/>
      </textFields>
    </textPr>
  </connection>
  <connection id="4" xr16:uid="{465B5140-87BC-4F70-9943-5081A51F560B}" name="123456_Test3" type="6" refreshedVersion="7" background="1" saveData="1">
    <textPr prompt="0" sourceFile="C:\Users\MRudolph\Desktop\C Drive Testing\EDS Testing\CCIpole\Test Sites\123456\123456_Test.eri" tab="0" qualifier="none">
      <textFields>
        <textField/>
      </textFields>
    </textPr>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<sst xmlns="http://schemas.openxmlformats.org/spreadsheetml/2006/main" count="7262" uniqueCount="3260">
  <si>
    <t>Pole Height Above Base (ft)</t>
  </si>
  <si>
    <t>Section Length (ft)</t>
  </si>
  <si>
    <t>Number of Sides</t>
  </si>
  <si>
    <t>Top Diameter (in)</t>
  </si>
  <si>
    <t>Bottom Diameter (in)</t>
  </si>
  <si>
    <t>Wall Thickness (in)</t>
  </si>
  <si>
    <t>% Capacity</t>
  </si>
  <si>
    <t>Elevation (ft)</t>
  </si>
  <si>
    <t>Pass / Fail</t>
  </si>
  <si>
    <t>Reinforcement Details</t>
  </si>
  <si>
    <t>Tapered Pole Grade</t>
  </si>
  <si>
    <t>Lap Splice Length (ft)</t>
  </si>
  <si>
    <t>Pole Geometry</t>
  </si>
  <si>
    <t>Moment</t>
  </si>
  <si>
    <t>Moment arm</t>
  </si>
  <si>
    <t>Force in element</t>
  </si>
  <si>
    <t>Ic</t>
  </si>
  <si>
    <t>Iyc</t>
  </si>
  <si>
    <t>Ixc</t>
  </si>
  <si>
    <t>d(yc)</t>
  </si>
  <si>
    <t>A*d0</t>
  </si>
  <si>
    <t>d(y0)</t>
  </si>
  <si>
    <t>Area</t>
  </si>
  <si>
    <t>rotation</t>
  </si>
  <si>
    <t>flat width (w/ bend)</t>
  </si>
  <si>
    <t>Slope of stress plot</t>
  </si>
  <si>
    <t>flat width inside</t>
  </si>
  <si>
    <t>flat width center</t>
  </si>
  <si>
    <t>inside of side</t>
  </si>
  <si>
    <t>center of side</t>
  </si>
  <si>
    <t>OR</t>
  </si>
  <si>
    <t>FLAT</t>
  </si>
  <si>
    <t>d(1)</t>
  </si>
  <si>
    <t>d(2)</t>
  </si>
  <si>
    <t>stress (1)</t>
  </si>
  <si>
    <t>stress (2)</t>
  </si>
  <si>
    <t>Fy</t>
  </si>
  <si>
    <t>Thickness (in)</t>
  </si>
  <si>
    <t>Pole Face to Centroid (in)</t>
  </si>
  <si>
    <t>y(plastic)</t>
  </si>
  <si>
    <t>F1</t>
  </si>
  <si>
    <t>F2</t>
  </si>
  <si>
    <t>F3</t>
  </si>
  <si>
    <t>F4</t>
  </si>
  <si>
    <t>D1</t>
  </si>
  <si>
    <t>D2</t>
  </si>
  <si>
    <t>D3</t>
  </si>
  <si>
    <t>D4</t>
  </si>
  <si>
    <t>centroid</t>
  </si>
  <si>
    <t>Centroid</t>
  </si>
  <si>
    <t>Type</t>
  </si>
  <si>
    <t>Lu</t>
  </si>
  <si>
    <t>Bolt Hole Size (mm)</t>
  </si>
  <si>
    <t>Hole Size (in)</t>
  </si>
  <si>
    <t>A gross</t>
  </si>
  <si>
    <t>A net</t>
  </si>
  <si>
    <t>Reinforcement Material</t>
  </si>
  <si>
    <t>Material</t>
  </si>
  <si>
    <t>Fy (ksi)</t>
  </si>
  <si>
    <t>Fu (ksi)</t>
  </si>
  <si>
    <t>A572-65</t>
  </si>
  <si>
    <t>Fu</t>
  </si>
  <si>
    <t>Tensile Capacity</t>
  </si>
  <si>
    <t>Shear Lag (U)</t>
  </si>
  <si>
    <t>Lap Splice Start Elevation (ft)</t>
  </si>
  <si>
    <t>TNX Output</t>
  </si>
  <si>
    <t>Critical Section Diameter (in)</t>
  </si>
  <si>
    <t>Taper</t>
  </si>
  <si>
    <t># of sides</t>
  </si>
  <si>
    <t>Rotation (degrees)</t>
  </si>
  <si>
    <t>Outer Diameter (in)</t>
  </si>
  <si>
    <t>Component Type</t>
  </si>
  <si>
    <t>Size</t>
  </si>
  <si>
    <t>Critical Element</t>
  </si>
  <si>
    <t>Axial</t>
  </si>
  <si>
    <t>Shear</t>
  </si>
  <si>
    <t>Bending</t>
  </si>
  <si>
    <t>Interaction:</t>
  </si>
  <si>
    <t>Calculations worksheet: Auto input mode</t>
  </si>
  <si>
    <t>Calculations worksheet: Manual input mode</t>
  </si>
  <si>
    <t>Input Data</t>
  </si>
  <si>
    <t>Calculations</t>
  </si>
  <si>
    <t>F'y Comp</t>
  </si>
  <si>
    <t>F'y Tens Y</t>
  </si>
  <si>
    <t>F'y Tens R</t>
  </si>
  <si>
    <t xml:space="preserve">Critical Element:  </t>
  </si>
  <si>
    <t>for correct c (non-rectangular reinforcement)</t>
  </si>
  <si>
    <t>Moment of Inertia</t>
  </si>
  <si>
    <t>Geometric Layout of Elements</t>
  </si>
  <si>
    <t>f'y</t>
  </si>
  <si>
    <t>Total Forces in Elements and Resultant Moments</t>
  </si>
  <si>
    <t>Total Forces in Sub-elements and Resultant Moments</t>
  </si>
  <si>
    <t>difference</t>
  </si>
  <si>
    <t>sub elements</t>
  </si>
  <si>
    <t>elements</t>
  </si>
  <si>
    <t>S*f'y</t>
  </si>
  <si>
    <t>---------------- for testing purposes ---------------</t>
  </si>
  <si>
    <t>Increment (ft):</t>
  </si>
  <si>
    <r>
      <t xml:space="preserve">The current step in the "Results" page process </t>
    </r>
    <r>
      <rPr>
        <sz val="11"/>
        <color indexed="8"/>
        <rFont val="Calibri"/>
        <family val="2"/>
      </rPr>
      <t>→</t>
    </r>
  </si>
  <si>
    <t>Back button:</t>
  </si>
  <si>
    <t>Next Button:</t>
  </si>
  <si>
    <t>Current:</t>
  </si>
  <si>
    <t>Number of sections to analyze</t>
  </si>
  <si>
    <t>Results still valid</t>
  </si>
  <si>
    <t>Number of tower sections</t>
  </si>
  <si>
    <t>Section is reinforced</t>
  </si>
  <si>
    <t># of Sides</t>
  </si>
  <si>
    <t>Work Order:</t>
  </si>
  <si>
    <t>Rev. F Table 5</t>
  </si>
  <si>
    <t>Compact</t>
  </si>
  <si>
    <t>Noncompact</t>
  </si>
  <si>
    <r>
      <t>(F</t>
    </r>
    <r>
      <rPr>
        <vertAlign val="subscript"/>
        <sz val="11"/>
        <rFont val="Calibri"/>
        <family val="2"/>
      </rPr>
      <t>y</t>
    </r>
    <r>
      <rPr>
        <sz val="11"/>
        <rFont val="Calibri"/>
        <family val="2"/>
      </rPr>
      <t>)</t>
    </r>
    <r>
      <rPr>
        <vertAlign val="superscript"/>
        <sz val="11"/>
        <rFont val="Calibri"/>
        <family val="2"/>
      </rPr>
      <t>1/2</t>
    </r>
    <r>
      <rPr>
        <sz val="11"/>
        <rFont val="Calibri"/>
        <family val="2"/>
      </rPr>
      <t>(w/t)</t>
    </r>
  </si>
  <si>
    <t>Reinforcement</t>
  </si>
  <si>
    <t>Bolt Hole Size (in)</t>
  </si>
  <si>
    <t>Site BU:</t>
  </si>
  <si>
    <t>Rev. F</t>
  </si>
  <si>
    <t>Rev. G Table 4-8</t>
  </si>
  <si>
    <t>c (pole)</t>
  </si>
  <si>
    <t>c (reinforcements)</t>
  </si>
  <si>
    <t>Max Slope Stress Plot</t>
  </si>
  <si>
    <t>c (total)</t>
  </si>
  <si>
    <t>Weight Multiplier</t>
  </si>
  <si>
    <t>Actual Wall Thickness (in)</t>
  </si>
  <si>
    <t>Thickness still valid</t>
  </si>
  <si>
    <r>
      <t>M</t>
    </r>
    <r>
      <rPr>
        <b/>
        <vertAlign val="subscript"/>
        <sz val="10"/>
        <color indexed="8"/>
        <rFont val="Calibri"/>
        <family val="2"/>
      </rPr>
      <t xml:space="preserve">ux     </t>
    </r>
    <r>
      <rPr>
        <b/>
        <sz val="10"/>
        <color indexed="8"/>
        <rFont val="Calibri"/>
        <family val="2"/>
      </rPr>
      <t>(kip-ft)</t>
    </r>
  </si>
  <si>
    <r>
      <t>V</t>
    </r>
    <r>
      <rPr>
        <b/>
        <vertAlign val="subscript"/>
        <sz val="10"/>
        <color indexed="8"/>
        <rFont val="Calibri"/>
        <family val="2"/>
      </rPr>
      <t xml:space="preserve">u              </t>
    </r>
    <r>
      <rPr>
        <b/>
        <sz val="10"/>
        <color indexed="8"/>
        <rFont val="Calibri"/>
        <family val="2"/>
      </rPr>
      <t>(K)</t>
    </r>
  </si>
  <si>
    <r>
      <t>P</t>
    </r>
    <r>
      <rPr>
        <b/>
        <vertAlign val="subscript"/>
        <sz val="10"/>
        <color indexed="8"/>
        <rFont val="Calibri"/>
        <family val="2"/>
      </rPr>
      <t>u</t>
    </r>
    <r>
      <rPr>
        <b/>
        <sz val="10"/>
        <color indexed="8"/>
        <rFont val="Calibri"/>
        <family val="2"/>
      </rPr>
      <t xml:space="preserve">         (K)</t>
    </r>
  </si>
  <si>
    <t>case 1</t>
  </si>
  <si>
    <t>case 2</t>
  </si>
  <si>
    <t>case 3</t>
  </si>
  <si>
    <t>case 4</t>
  </si>
  <si>
    <t>Max Pole Stress</t>
  </si>
  <si>
    <t>Max Reinf. Stress</t>
  </si>
  <si>
    <t>y plastic</t>
  </si>
  <si>
    <t>Total</t>
  </si>
  <si>
    <t>Tower</t>
  </si>
  <si>
    <t>Reinf</t>
  </si>
  <si>
    <t>thickness</t>
  </si>
  <si>
    <t>width</t>
  </si>
  <si>
    <t>For c only</t>
  </si>
  <si>
    <t>For forces</t>
  </si>
  <si>
    <t>connection length</t>
  </si>
  <si>
    <t>B (in)</t>
  </si>
  <si>
    <t>H (in)</t>
  </si>
  <si>
    <t>number of sides</t>
  </si>
  <si>
    <t>Elevation to plot</t>
  </si>
  <si>
    <t>plate</t>
  </si>
  <si>
    <t>channel</t>
  </si>
  <si>
    <r>
      <t>Gross Area (in</t>
    </r>
    <r>
      <rPr>
        <vertAlign val="superscript"/>
        <sz val="10"/>
        <rFont val="Arial"/>
        <family val="2"/>
      </rPr>
      <t>2</t>
    </r>
    <r>
      <rPr>
        <sz val="10"/>
        <rFont val="Arial"/>
        <family val="2"/>
      </rPr>
      <t>)</t>
    </r>
  </si>
  <si>
    <r>
      <t>I</t>
    </r>
    <r>
      <rPr>
        <vertAlign val="subscript"/>
        <sz val="10"/>
        <rFont val="Arial"/>
        <family val="2"/>
      </rPr>
      <t>x</t>
    </r>
  </si>
  <si>
    <r>
      <t>I</t>
    </r>
    <r>
      <rPr>
        <vertAlign val="subscript"/>
        <sz val="10"/>
        <rFont val="Arial"/>
        <family val="2"/>
      </rPr>
      <t>y</t>
    </r>
  </si>
  <si>
    <r>
      <t>L</t>
    </r>
    <r>
      <rPr>
        <vertAlign val="subscript"/>
        <sz val="10"/>
        <rFont val="Arial"/>
        <family val="2"/>
      </rPr>
      <t>u</t>
    </r>
    <r>
      <rPr>
        <sz val="10"/>
        <rFont val="Arial"/>
        <family val="2"/>
      </rPr>
      <t xml:space="preserve"> (in)</t>
    </r>
  </si>
  <si>
    <r>
      <t>Net Area (in</t>
    </r>
    <r>
      <rPr>
        <vertAlign val="superscript"/>
        <sz val="10"/>
        <rFont val="Arial"/>
        <family val="2"/>
      </rPr>
      <t>2</t>
    </r>
    <r>
      <rPr>
        <sz val="10"/>
        <rFont val="Arial"/>
        <family val="2"/>
      </rPr>
      <t>)</t>
    </r>
  </si>
  <si>
    <t>A514-GR100</t>
  </si>
  <si>
    <t>y0 (N.A.)</t>
  </si>
  <si>
    <t>Round Pole</t>
  </si>
  <si>
    <t>D/t</t>
  </si>
  <si>
    <t>Z</t>
  </si>
  <si>
    <t>S</t>
  </si>
  <si>
    <t>E/fy</t>
  </si>
  <si>
    <t>f'y compression</t>
  </si>
  <si>
    <t>f'y bending</t>
  </si>
  <si>
    <t>Which "reinforcement details" rows to show:</t>
  </si>
  <si>
    <t>N/A</t>
  </si>
  <si>
    <t>max stress (total section)</t>
  </si>
  <si>
    <t>Pole</t>
  </si>
  <si>
    <t>Rows Added</t>
  </si>
  <si>
    <t>Delete Start</t>
  </si>
  <si>
    <t>Delete End</t>
  </si>
  <si>
    <t>Total Lines</t>
  </si>
  <si>
    <t>Row H</t>
  </si>
  <si>
    <t>Row I</t>
  </si>
  <si>
    <t>Row J</t>
  </si>
  <si>
    <t>Row K</t>
  </si>
  <si>
    <t>Row L</t>
  </si>
  <si>
    <t>Row M</t>
  </si>
  <si>
    <t>Row N</t>
  </si>
  <si>
    <t>A607-65</t>
  </si>
  <si>
    <t>Directory path of TNX file</t>
  </si>
  <si>
    <t>Line number for TNX integration</t>
  </si>
  <si>
    <t>Reinf.</t>
  </si>
  <si>
    <t>R1</t>
  </si>
  <si>
    <t>R2</t>
  </si>
  <si>
    <t>R3</t>
  </si>
  <si>
    <t>R4</t>
  </si>
  <si>
    <t>R5</t>
  </si>
  <si>
    <t>R6</t>
  </si>
  <si>
    <t>R7</t>
  </si>
  <si>
    <t>R8</t>
  </si>
  <si>
    <t>R9</t>
  </si>
  <si>
    <t>R10</t>
  </si>
  <si>
    <r>
      <t>Moment of Inertia (in</t>
    </r>
    <r>
      <rPr>
        <b/>
        <vertAlign val="superscript"/>
        <sz val="12"/>
        <color theme="3"/>
        <rFont val="Calibri"/>
        <family val="2"/>
        <scheme val="minor"/>
      </rPr>
      <t>4</t>
    </r>
    <r>
      <rPr>
        <b/>
        <sz val="12"/>
        <color theme="3"/>
        <rFont val="Calibri"/>
        <family val="2"/>
        <scheme val="minor"/>
      </rPr>
      <t>)</t>
    </r>
  </si>
  <si>
    <r>
      <t>Area (in</t>
    </r>
    <r>
      <rPr>
        <b/>
        <vertAlign val="superscript"/>
        <sz val="12"/>
        <color theme="3"/>
        <rFont val="Calibri"/>
        <family val="2"/>
        <scheme val="minor"/>
      </rPr>
      <t>2</t>
    </r>
    <r>
      <rPr>
        <b/>
        <sz val="12"/>
        <color theme="3"/>
        <rFont val="Calibri"/>
        <family val="2"/>
        <scheme val="minor"/>
      </rPr>
      <t>)</t>
    </r>
  </si>
  <si>
    <t>[Databases]</t>
  </si>
  <si>
    <t>A53-B-42</t>
  </si>
  <si>
    <t>Row P</t>
  </si>
  <si>
    <t>Row Q</t>
  </si>
  <si>
    <t>A615-75</t>
  </si>
  <si>
    <t>Component Stress Ratio</t>
  </si>
  <si>
    <t>Axial Capacity</t>
  </si>
  <si>
    <t>Shear Capacity</t>
  </si>
  <si>
    <t>Section                    Elevation (ft)</t>
  </si>
  <si>
    <t>Mc/I</t>
  </si>
  <si>
    <t>A572-50</t>
  </si>
  <si>
    <t>A36</t>
  </si>
  <si>
    <t>S-22</t>
  </si>
  <si>
    <t>Pole Material</t>
  </si>
  <si>
    <t>Elevations Not to Plot</t>
  </si>
  <si>
    <t>Bottom</t>
  </si>
  <si>
    <t>Top</t>
  </si>
  <si>
    <t>Section Height (ft)</t>
  </si>
  <si>
    <t>Model</t>
  </si>
  <si>
    <t>100FP-040100</t>
  </si>
  <si>
    <t>100FP-050100</t>
  </si>
  <si>
    <t>100FP-060100</t>
  </si>
  <si>
    <t>100FP-070100</t>
  </si>
  <si>
    <t>100FP-080100</t>
  </si>
  <si>
    <t>100FP-070150</t>
  </si>
  <si>
    <t>100FP-080150</t>
  </si>
  <si>
    <t>100FP-090150</t>
  </si>
  <si>
    <t>100FP-100150</t>
  </si>
  <si>
    <t>100FP-040075</t>
  </si>
  <si>
    <t>Page 2</t>
  </si>
  <si>
    <t>TNX Geometry Input</t>
  </si>
  <si>
    <t>Page 3</t>
  </si>
  <si>
    <t>Page 4</t>
  </si>
  <si>
    <t>Analysis Results</t>
  </si>
  <si>
    <t>Page 5</t>
  </si>
  <si>
    <t>Additional Calculations</t>
  </si>
  <si>
    <t>Instructions:  Click "Critical Axis" button to plot stress ratio vs. angle of rotation.</t>
  </si>
  <si>
    <t>Rotation</t>
  </si>
  <si>
    <t>pwd</t>
  </si>
  <si>
    <t>Show Headers</t>
  </si>
  <si>
    <t>A572-60</t>
  </si>
  <si>
    <t>A53-B-35</t>
  </si>
  <si>
    <t>S-128</t>
  </si>
  <si>
    <t>A500-50</t>
  </si>
  <si>
    <t>A607-60</t>
  </si>
  <si>
    <t>A36M-42</t>
  </si>
  <si>
    <t>Summary</t>
  </si>
  <si>
    <t>_x000C_</t>
  </si>
  <si>
    <t>Directory path of exported TNX file</t>
  </si>
  <si>
    <t>Show the "N/A" row</t>
  </si>
  <si>
    <t>Section forces input row # of next value</t>
  </si>
  <si>
    <t>Total number of lines in "TNX Forces" worksheet</t>
  </si>
  <si>
    <t>MS-400 (1.1875")</t>
  </si>
  <si>
    <t>MS-450 (1.1875")</t>
  </si>
  <si>
    <t>MS-600 (1.1875")</t>
  </si>
  <si>
    <t>MS-650 (1.1875")</t>
  </si>
  <si>
    <t>MS-850 (1.1875")</t>
  </si>
  <si>
    <t>MS-400 (1.25")</t>
  </si>
  <si>
    <t>MS-450 (1.25")</t>
  </si>
  <si>
    <t>MS-600 (1.25")</t>
  </si>
  <si>
    <t>MS-650 (1.25")</t>
  </si>
  <si>
    <t>MS-850 (1.25")</t>
  </si>
  <si>
    <t>A36M-45</t>
  </si>
  <si>
    <t>A36M-50</t>
  </si>
  <si>
    <t>A572-55</t>
  </si>
  <si>
    <t>Overall</t>
  </si>
  <si>
    <t>Analysis Date (footer)</t>
  </si>
  <si>
    <t>Revision</t>
  </si>
  <si>
    <t>Description of Change</t>
  </si>
  <si>
    <t>Date</t>
  </si>
  <si>
    <t>Created By</t>
  </si>
  <si>
    <t>Approved By</t>
  </si>
  <si>
    <t>AJunstrom</t>
  </si>
  <si>
    <t>JKim</t>
  </si>
  <si>
    <t>1.0</t>
  </si>
  <si>
    <t>Initial Release</t>
  </si>
  <si>
    <t>●  Minor formatting changes.</t>
  </si>
  <si>
    <t>●  Added chronos file import function.</t>
  </si>
  <si>
    <t>●  Added logic so that the tool will not select an elevation within or at the very bottom of a lap splice to be a critical section.  The purpose is to avoid an error encountered in TNX when solving the model.</t>
  </si>
  <si>
    <t>Bottom Effective Elevation (ft)</t>
  </si>
  <si>
    <t>Top Effective Elevation (ft)</t>
  </si>
  <si>
    <t>R11</t>
  </si>
  <si>
    <t>R12</t>
  </si>
  <si>
    <t>R13</t>
  </si>
  <si>
    <t>R14</t>
  </si>
  <si>
    <t>R15</t>
  </si>
  <si>
    <t>R16</t>
  </si>
  <si>
    <t>R17</t>
  </si>
  <si>
    <t>R18</t>
  </si>
  <si>
    <t>R19</t>
  </si>
  <si>
    <t>R20</t>
  </si>
  <si>
    <t>R21</t>
  </si>
  <si>
    <t>R22</t>
  </si>
  <si>
    <t>R23</t>
  </si>
  <si>
    <t>R24</t>
  </si>
  <si>
    <t>R25</t>
  </si>
  <si>
    <t>R26</t>
  </si>
  <si>
    <t>R27</t>
  </si>
  <si>
    <t>R28</t>
  </si>
  <si>
    <t>R29</t>
  </si>
  <si>
    <t>R30</t>
  </si>
  <si>
    <t>●  Increased the number of reinforcement sections that can be entered (from 10 to 30).</t>
  </si>
  <si>
    <t>Yes</t>
  </si>
  <si>
    <t>N</t>
  </si>
  <si>
    <t>No</t>
  </si>
  <si>
    <t>Row R</t>
  </si>
  <si>
    <t>Row T</t>
  </si>
  <si>
    <t>Diameter (in)</t>
  </si>
  <si>
    <r>
      <t>Σ(Area</t>
    </r>
    <r>
      <rPr>
        <vertAlign val="subscript"/>
        <sz val="11"/>
        <rFont val="Calibri"/>
        <family val="2"/>
      </rPr>
      <t>i</t>
    </r>
    <r>
      <rPr>
        <sz val="11"/>
        <rFont val="Calibri"/>
        <family val="2"/>
      </rPr>
      <t>) =</t>
    </r>
  </si>
  <si>
    <t>Effective B (in)</t>
  </si>
  <si>
    <t>Effective H (in)</t>
  </si>
  <si>
    <t>Tension Only?</t>
  </si>
  <si>
    <r>
      <t>C</t>
    </r>
    <r>
      <rPr>
        <vertAlign val="subscript"/>
        <sz val="12"/>
        <rFont val="Arial"/>
        <family val="2"/>
      </rPr>
      <t>c</t>
    </r>
  </si>
  <si>
    <r>
      <rPr>
        <sz val="12"/>
        <rFont val="Arial"/>
        <family val="2"/>
      </rPr>
      <t>F'</t>
    </r>
    <r>
      <rPr>
        <vertAlign val="subscript"/>
        <sz val="12"/>
        <rFont val="Arial"/>
        <family val="2"/>
      </rPr>
      <t>y</t>
    </r>
  </si>
  <si>
    <r>
      <t>Effective Length Factor K</t>
    </r>
    <r>
      <rPr>
        <vertAlign val="subscript"/>
        <sz val="14"/>
        <rFont val="Arial"/>
        <family val="2"/>
      </rPr>
      <t>x</t>
    </r>
  </si>
  <si>
    <r>
      <t>Effective Length Factor K</t>
    </r>
    <r>
      <rPr>
        <vertAlign val="subscript"/>
        <sz val="14"/>
        <rFont val="Arial"/>
        <family val="2"/>
      </rPr>
      <t>y</t>
    </r>
  </si>
  <si>
    <r>
      <t>F</t>
    </r>
    <r>
      <rPr>
        <vertAlign val="subscript"/>
        <sz val="12"/>
        <rFont val="Arial"/>
        <family val="2"/>
      </rPr>
      <t>ay</t>
    </r>
  </si>
  <si>
    <r>
      <t>F</t>
    </r>
    <r>
      <rPr>
        <vertAlign val="subscript"/>
        <sz val="12"/>
        <rFont val="Arial"/>
        <family val="2"/>
      </rPr>
      <t>ax</t>
    </r>
  </si>
  <si>
    <r>
      <t>λ</t>
    </r>
    <r>
      <rPr>
        <vertAlign val="subscript"/>
        <sz val="12"/>
        <rFont val="Calibri"/>
        <family val="2"/>
      </rPr>
      <t>cy</t>
    </r>
  </si>
  <si>
    <r>
      <t>λ</t>
    </r>
    <r>
      <rPr>
        <vertAlign val="subscript"/>
        <sz val="12"/>
        <rFont val="Calibri"/>
        <family val="2"/>
      </rPr>
      <t>cx</t>
    </r>
  </si>
  <si>
    <r>
      <rPr>
        <sz val="12"/>
        <rFont val="Arial"/>
        <family val="2"/>
      </rPr>
      <t>r</t>
    </r>
    <r>
      <rPr>
        <vertAlign val="subscript"/>
        <sz val="12"/>
        <rFont val="Arial"/>
        <family val="2"/>
      </rPr>
      <t>y</t>
    </r>
  </si>
  <si>
    <r>
      <rPr>
        <sz val="12"/>
        <rFont val="Arial"/>
        <family val="2"/>
      </rPr>
      <t>r</t>
    </r>
    <r>
      <rPr>
        <vertAlign val="subscript"/>
        <sz val="12"/>
        <rFont val="Arial"/>
        <family val="2"/>
      </rPr>
      <t>x</t>
    </r>
  </si>
  <si>
    <r>
      <t>F</t>
    </r>
    <r>
      <rPr>
        <vertAlign val="subscript"/>
        <sz val="12"/>
        <rFont val="Arial"/>
        <family val="2"/>
      </rPr>
      <t>cr,y</t>
    </r>
  </si>
  <si>
    <r>
      <t>F</t>
    </r>
    <r>
      <rPr>
        <vertAlign val="subscript"/>
        <sz val="12"/>
        <rFont val="Arial"/>
        <family val="2"/>
      </rPr>
      <t>cr,x</t>
    </r>
  </si>
  <si>
    <t>Rev G</t>
  </si>
  <si>
    <r>
      <t>φ</t>
    </r>
    <r>
      <rPr>
        <vertAlign val="subscript"/>
        <sz val="10"/>
        <rFont val="Calibri"/>
        <family val="2"/>
      </rPr>
      <t>c</t>
    </r>
  </si>
  <si>
    <r>
      <t>φ</t>
    </r>
    <r>
      <rPr>
        <vertAlign val="subscript"/>
        <sz val="10"/>
        <rFont val="Arial"/>
        <family val="2"/>
      </rPr>
      <t>t,y</t>
    </r>
  </si>
  <si>
    <r>
      <t>φ</t>
    </r>
    <r>
      <rPr>
        <vertAlign val="subscript"/>
        <sz val="10"/>
        <rFont val="Arial"/>
        <family val="2"/>
      </rPr>
      <t>t,r</t>
    </r>
  </si>
  <si>
    <t>Using stored tnx data for the import tnx function called by the export tnx function</t>
  </si>
  <si>
    <t>Reinforcement Name</t>
  </si>
  <si>
    <t>Reinforcement #</t>
  </si>
  <si>
    <r>
      <t>φ</t>
    </r>
    <r>
      <rPr>
        <vertAlign val="subscript"/>
        <sz val="10"/>
        <rFont val="Arial"/>
        <family val="2"/>
      </rPr>
      <t>v</t>
    </r>
  </si>
  <si>
    <t>Rev. G Compression Capacity x-x (kips)</t>
  </si>
  <si>
    <t>Rev. F Compression Capacity x-x (kips)</t>
  </si>
  <si>
    <t>Rev. F Compression Capacity y-y (kips)</t>
  </si>
  <si>
    <t>Rev. F Tension Yield Capacity (kips)</t>
  </si>
  <si>
    <t>Rev. F Tension Rupture Capacity (kips)</t>
  </si>
  <si>
    <t>Rev. F Shear Capacity (kips)</t>
  </si>
  <si>
    <t>Rev. G Compression Capacity y-y (kips)</t>
  </si>
  <si>
    <t>Rev. G Tension Yield Capacity (kips)</t>
  </si>
  <si>
    <t>Rev. G Tension Rupture Capacity (kips)</t>
  </si>
  <si>
    <t>Rev. G Shear Capacity (kips)</t>
  </si>
  <si>
    <t>X</t>
  </si>
  <si>
    <t>Tension Only</t>
  </si>
  <si>
    <t>Iterate to find neutral axis (for tension-only)</t>
  </si>
  <si>
    <r>
      <t>∆</t>
    </r>
    <r>
      <rPr>
        <sz val="14"/>
        <rFont val="Arial"/>
        <family val="2"/>
      </rPr>
      <t>Y</t>
    </r>
    <r>
      <rPr>
        <vertAlign val="subscript"/>
        <sz val="14"/>
        <rFont val="Arial"/>
        <family val="2"/>
      </rPr>
      <t>NA</t>
    </r>
    <r>
      <rPr>
        <sz val="14"/>
        <rFont val="Arial"/>
        <family val="2"/>
      </rPr>
      <t xml:space="preserve"> =</t>
    </r>
  </si>
  <si>
    <t>geometric</t>
  </si>
  <si>
    <t>forces</t>
  </si>
  <si>
    <r>
      <t>∆</t>
    </r>
    <r>
      <rPr>
        <sz val="14"/>
        <rFont val="Arial"/>
        <family val="2"/>
      </rPr>
      <t>Y</t>
    </r>
    <r>
      <rPr>
        <vertAlign val="subscript"/>
        <sz val="14"/>
        <rFont val="Arial"/>
        <family val="2"/>
      </rPr>
      <t>NA</t>
    </r>
    <r>
      <rPr>
        <sz val="14"/>
        <rFont val="Arial"/>
        <family val="2"/>
      </rPr>
      <t xml:space="preserve"> - ∆Yc =</t>
    </r>
  </si>
  <si>
    <t>∑F =</t>
  </si>
  <si>
    <r>
      <t>φ</t>
    </r>
    <r>
      <rPr>
        <vertAlign val="subscript"/>
        <sz val="10"/>
        <rFont val="Calibri"/>
        <family val="2"/>
      </rPr>
      <t>f</t>
    </r>
  </si>
  <si>
    <t>Progress Bar Increment</t>
  </si>
  <si>
    <t>N.A. Shift (in)</t>
  </si>
  <si>
    <t>Critical Axis (deg.)</t>
  </si>
  <si>
    <r>
      <t>∑F</t>
    </r>
    <r>
      <rPr>
        <b/>
        <vertAlign val="subscript"/>
        <sz val="10"/>
        <color theme="3"/>
        <rFont val="Calibri"/>
        <family val="2"/>
        <scheme val="minor"/>
      </rPr>
      <t>N.A.</t>
    </r>
    <r>
      <rPr>
        <b/>
        <sz val="10"/>
        <color theme="3"/>
        <rFont val="Calibri"/>
        <family val="2"/>
        <scheme val="minor"/>
      </rPr>
      <t xml:space="preserve"> (kip)</t>
    </r>
  </si>
  <si>
    <t>Verification Output</t>
  </si>
  <si>
    <t>y2</t>
  </si>
  <si>
    <t>c</t>
  </si>
  <si>
    <t>b</t>
  </si>
  <si>
    <t>h</t>
  </si>
  <si>
    <t>F</t>
  </si>
  <si>
    <t>theta</t>
  </si>
  <si>
    <t>Equivalent Ix</t>
  </si>
  <si>
    <t>Equivatlent Iy</t>
  </si>
  <si>
    <r>
      <t>Equivalent Rectangle I</t>
    </r>
    <r>
      <rPr>
        <vertAlign val="subscript"/>
        <sz val="10"/>
        <rFont val="Arial"/>
        <family val="2"/>
      </rPr>
      <t>x</t>
    </r>
    <r>
      <rPr>
        <sz val="10"/>
        <rFont val="Arial"/>
        <family val="2"/>
      </rPr>
      <t xml:space="preserve"> (in</t>
    </r>
    <r>
      <rPr>
        <vertAlign val="superscript"/>
        <sz val="10"/>
        <rFont val="Arial"/>
        <family val="2"/>
      </rPr>
      <t>4</t>
    </r>
    <r>
      <rPr>
        <sz val="10"/>
        <rFont val="Arial"/>
        <family val="2"/>
      </rPr>
      <t>)</t>
    </r>
  </si>
  <si>
    <r>
      <t>Equivalent Rectangle I</t>
    </r>
    <r>
      <rPr>
        <vertAlign val="subscript"/>
        <sz val="10"/>
        <rFont val="Arial"/>
        <family val="2"/>
      </rPr>
      <t>y</t>
    </r>
    <r>
      <rPr>
        <sz val="10"/>
        <rFont val="Arial"/>
        <family val="2"/>
      </rPr>
      <t xml:space="preserve"> (in</t>
    </r>
    <r>
      <rPr>
        <vertAlign val="superscript"/>
        <sz val="10"/>
        <rFont val="Arial"/>
        <family val="2"/>
      </rPr>
      <t>4</t>
    </r>
    <r>
      <rPr>
        <sz val="10"/>
        <rFont val="Arial"/>
        <family val="2"/>
      </rPr>
      <t>)</t>
    </r>
  </si>
  <si>
    <t>CCI-SFP-040075</t>
  </si>
  <si>
    <t>CCI-SFP-045100</t>
  </si>
  <si>
    <t>CCI-SFP-060100</t>
  </si>
  <si>
    <t>CCI-SFP-065125</t>
  </si>
  <si>
    <t>CCI-SFP-085125</t>
  </si>
  <si>
    <t>CCI-AFP-040075</t>
  </si>
  <si>
    <t>CCI-AFP-045100</t>
  </si>
  <si>
    <t>CCI-AFP-060100</t>
  </si>
  <si>
    <t>CCI-AFP-065125</t>
  </si>
  <si>
    <t>CCI-AFP-085125</t>
  </si>
  <si>
    <t>Connection Length (in) [Channels]</t>
  </si>
  <si>
    <t>Control Panel</t>
  </si>
  <si>
    <t>Worksheet Visibility</t>
  </si>
  <si>
    <t>Worksheet Protection</t>
  </si>
  <si>
    <t>Logo Settings</t>
  </si>
  <si>
    <t>Rating</t>
  </si>
  <si>
    <t>JHuwel</t>
  </si>
  <si>
    <t>F'y Elastic</t>
  </si>
  <si>
    <t>Additional Outputs</t>
  </si>
  <si>
    <t>Area (adjusted for tension only)</t>
  </si>
  <si>
    <t>SUM =</t>
  </si>
  <si>
    <t>^(used in macros)</t>
  </si>
  <si>
    <t>Axial (kips)</t>
  </si>
  <si>
    <t>NOT USED: SEE SUB-ELEMENTS -&gt;</t>
  </si>
  <si>
    <t>●  Modified the import forces function to utilize the .MPAUX output file, which is new in tnxTower version 6.1.4.1.  The import forces function is compatible with tnxTower versions 6.1.4.1 or later.</t>
  </si>
  <si>
    <t xml:space="preserve">●  Expanded the allowed reinforcement types to include solid round and arbitrary shapes.  The allowed types include plate, channel, solid round, and arbitrary.  "Arbitrary" allows the user to freely enter any custom shape by inputting Rev. F / Rev. G available capacities. </t>
  </si>
  <si>
    <t>●  Enhanced the tnxTower integration functions tby allowing users to export multiple times without having to import a tnx file each time.</t>
  </si>
  <si>
    <t xml:space="preserve">●  Allow reinforcements to be installed directly on top of each other ("piggy-back").  The tool only allows two reinforcement sections to occupy a flat at any given elevation (i.e a user cannot model 3 sections on top of each other). </t>
  </si>
  <si>
    <t>●  Allow tension-only reinforcement sections.</t>
  </si>
  <si>
    <t>●  Added progress bars, which are displayed during calculations.</t>
  </si>
  <si>
    <t xml:space="preserve">●  Added the option to display Rev. F and Rev. G available capacities in the Reinforcements Database.  The available strengths of user-entered sections can be edited. </t>
  </si>
  <si>
    <t xml:space="preserve">●  Added the option to display internal axial forces of the reinforcements in the Additional Calculations Table.  A checkbox allows the user to view component stress ratios (default) or axial forces.  </t>
  </si>
  <si>
    <t>Bolted</t>
  </si>
  <si>
    <t>Area of Bolt (in2)</t>
  </si>
  <si>
    <t>Bolt Fu (ksi)</t>
  </si>
  <si>
    <t>Bolt Diameter (in)</t>
  </si>
  <si>
    <t>Sleeve Fu (ksi)</t>
  </si>
  <si>
    <t>Sleeve Outer Diameter (in)</t>
  </si>
  <si>
    <t>Sleeve Inner Diameter (in)</t>
  </si>
  <si>
    <t>Sleeve Area (in2)</t>
  </si>
  <si>
    <r>
      <t>Ω</t>
    </r>
    <r>
      <rPr>
        <vertAlign val="subscript"/>
        <sz val="10"/>
        <rFont val="Calibri"/>
        <family val="2"/>
      </rPr>
      <t>bolt</t>
    </r>
  </si>
  <si>
    <r>
      <t>Rev. G F</t>
    </r>
    <r>
      <rPr>
        <vertAlign val="subscript"/>
        <sz val="10"/>
        <rFont val="Arial"/>
        <family val="2"/>
      </rPr>
      <t>NVN</t>
    </r>
  </si>
  <si>
    <r>
      <t>Rev. G F</t>
    </r>
    <r>
      <rPr>
        <vertAlign val="subscript"/>
        <sz val="10"/>
        <rFont val="Arial"/>
        <family val="2"/>
      </rPr>
      <t>NVX</t>
    </r>
  </si>
  <si>
    <r>
      <t>Rev. F F</t>
    </r>
    <r>
      <rPr>
        <vertAlign val="subscript"/>
        <sz val="10"/>
        <rFont val="Arial"/>
        <family val="2"/>
      </rPr>
      <t>VN</t>
    </r>
  </si>
  <si>
    <r>
      <t>Rev. F F</t>
    </r>
    <r>
      <rPr>
        <vertAlign val="subscript"/>
        <sz val="10"/>
        <rFont val="Arial"/>
        <family val="2"/>
      </rPr>
      <t>VX</t>
    </r>
  </si>
  <si>
    <r>
      <t>Rev. G Sleeve ΦR</t>
    </r>
    <r>
      <rPr>
        <vertAlign val="subscript"/>
        <sz val="10"/>
        <rFont val="Arial"/>
        <family val="2"/>
      </rPr>
      <t>NX</t>
    </r>
  </si>
  <si>
    <r>
      <t>Rev. G Sleeve F</t>
    </r>
    <r>
      <rPr>
        <vertAlign val="subscript"/>
        <sz val="10"/>
        <rFont val="Arial"/>
        <family val="2"/>
      </rPr>
      <t>NVX</t>
    </r>
  </si>
  <si>
    <r>
      <t>Rev. F R</t>
    </r>
    <r>
      <rPr>
        <vertAlign val="subscript"/>
        <sz val="10"/>
        <rFont val="Arial"/>
        <family val="2"/>
      </rPr>
      <t>N</t>
    </r>
  </si>
  <si>
    <r>
      <t>Rev. F R</t>
    </r>
    <r>
      <rPr>
        <vertAlign val="subscript"/>
        <sz val="10"/>
        <rFont val="Arial"/>
        <family val="2"/>
      </rPr>
      <t>X</t>
    </r>
  </si>
  <si>
    <r>
      <t>Rev. G ΦR</t>
    </r>
    <r>
      <rPr>
        <vertAlign val="subscript"/>
        <sz val="10"/>
        <rFont val="Arial"/>
        <family val="2"/>
      </rPr>
      <t>NN</t>
    </r>
  </si>
  <si>
    <r>
      <t>Rev. G ΦR</t>
    </r>
    <r>
      <rPr>
        <vertAlign val="subscript"/>
        <sz val="10"/>
        <rFont val="Arial"/>
        <family val="2"/>
      </rPr>
      <t>NX</t>
    </r>
  </si>
  <si>
    <r>
      <t>Rev. F Sleeve R</t>
    </r>
    <r>
      <rPr>
        <vertAlign val="subscript"/>
        <sz val="10"/>
        <rFont val="Arial"/>
        <family val="2"/>
      </rPr>
      <t>N</t>
    </r>
  </si>
  <si>
    <r>
      <t>Rev. F Sleeve F</t>
    </r>
    <r>
      <rPr>
        <vertAlign val="subscript"/>
        <sz val="10"/>
        <rFont val="Arial"/>
        <family val="2"/>
      </rPr>
      <t>VX</t>
    </r>
  </si>
  <si>
    <r>
      <t>φ</t>
    </r>
    <r>
      <rPr>
        <vertAlign val="subscript"/>
        <sz val="10"/>
        <rFont val="Arial"/>
        <family val="2"/>
      </rPr>
      <t>bolt shear</t>
    </r>
  </si>
  <si>
    <r>
      <t>φ</t>
    </r>
    <r>
      <rPr>
        <vertAlign val="subscript"/>
        <sz val="10"/>
        <rFont val="Arial"/>
        <family val="2"/>
      </rPr>
      <t>bolt bearing</t>
    </r>
  </si>
  <si>
    <t>Bolt Name</t>
  </si>
  <si>
    <t>Description</t>
  </si>
  <si>
    <t>PC 8.8 - M20 (100)</t>
  </si>
  <si>
    <t>PC 8.8 - M20 (120)</t>
  </si>
  <si>
    <t>Rev. F Bolt (N) + Sleeve Shear Capacity</t>
  </si>
  <si>
    <t>Rev. F Bolt (X) + Sleeve Shear Capacity</t>
  </si>
  <si>
    <t>Rev. G Bolt (N) + Sleeve Shear Capacity</t>
  </si>
  <si>
    <t>Rev. G Bolt (X) + Sleeve Shear Capacity</t>
  </si>
  <si>
    <t>Bottom End Connection Type</t>
  </si>
  <si>
    <t>Bottom Interference Elevation (ft)</t>
  </si>
  <si>
    <t>Top Interference Elevation (ft)</t>
  </si>
  <si>
    <r>
      <t>Bottom L</t>
    </r>
    <r>
      <rPr>
        <vertAlign val="subscript"/>
        <sz val="10"/>
        <rFont val="Arial"/>
        <family val="2"/>
      </rPr>
      <t>c,e</t>
    </r>
  </si>
  <si>
    <r>
      <t>Bottom L</t>
    </r>
    <r>
      <rPr>
        <vertAlign val="subscript"/>
        <sz val="10"/>
        <rFont val="Arial"/>
        <family val="2"/>
      </rPr>
      <t>c,i</t>
    </r>
  </si>
  <si>
    <r>
      <t>Bottom L</t>
    </r>
    <r>
      <rPr>
        <vertAlign val="subscript"/>
        <sz val="10"/>
        <rFont val="Arial"/>
        <family val="2"/>
      </rPr>
      <t>e</t>
    </r>
    <r>
      <rPr>
        <sz val="10"/>
        <rFont val="Arial"/>
        <family val="2"/>
      </rPr>
      <t xml:space="preserve"> (Rev. F)</t>
    </r>
  </si>
  <si>
    <t>Top End Connection Same?</t>
  </si>
  <si>
    <t>Top End Connection Type</t>
  </si>
  <si>
    <t>Bottom End Connection Bolt Type</t>
  </si>
  <si>
    <r>
      <t xml:space="preserve">Threads Included (N) or Excluded (X) </t>
    </r>
    <r>
      <rPr>
        <sz val="10"/>
        <color theme="0"/>
        <rFont val="Arial"/>
        <family val="2"/>
      </rPr>
      <t>(Bottom)</t>
    </r>
  </si>
  <si>
    <t>Threads Included (N) or Excluded (X) (Top)</t>
  </si>
  <si>
    <t># of End Connection Bolts          (Bottom)</t>
  </si>
  <si>
    <t># of End Connection Bolts          (Top)</t>
  </si>
  <si>
    <t>Top End Connection Bolt Type</t>
  </si>
  <si>
    <r>
      <t>Bottom L</t>
    </r>
    <r>
      <rPr>
        <vertAlign val="subscript"/>
        <sz val="10"/>
        <rFont val="Arial"/>
        <family val="2"/>
      </rPr>
      <t>i</t>
    </r>
    <r>
      <rPr>
        <sz val="10"/>
        <rFont val="Arial"/>
        <family val="2"/>
      </rPr>
      <t xml:space="preserve"> (Rev. F)</t>
    </r>
  </si>
  <si>
    <t>Top Lc,e</t>
  </si>
  <si>
    <t>Top Lc,i</t>
  </si>
  <si>
    <t>Top Le (Rev. F)</t>
  </si>
  <si>
    <t>Top Li (Rev. F)</t>
  </si>
  <si>
    <t>Rev. F Bolt-Shaft Bearing Capacity (Bottom) Deformation (*t*Fu kips)</t>
  </si>
  <si>
    <t>Rev. F Bolt-Shaft Bearing Capacity (Bottom)                No Deformation (*t*Fu kips)</t>
  </si>
  <si>
    <t>Rev. F Bolt-Shaft Bearing Capacity (Top)                       No Deformation (*t*Fu kips)</t>
  </si>
  <si>
    <t>Rev. F Bolt-Shaft Bearing Capacity (Top)                        Deformation (*t*Fu kips)</t>
  </si>
  <si>
    <r>
      <t>Rev. G Bolt-Shaft Bearing Capacity (Bottom)                No Deformation          (*t*F</t>
    </r>
    <r>
      <rPr>
        <vertAlign val="subscript"/>
        <sz val="10"/>
        <rFont val="Arial"/>
        <family val="2"/>
      </rPr>
      <t>u</t>
    </r>
    <r>
      <rPr>
        <sz val="10"/>
        <rFont val="Arial"/>
        <family val="2"/>
      </rPr>
      <t xml:space="preserve"> kips)</t>
    </r>
  </si>
  <si>
    <t>Rev. G Bolt-Shaft Bearing Capacity (Bottom)                   Deformation          (*t*Fu kips)</t>
  </si>
  <si>
    <t>Rev. G Bolt-Shaft Bearing Capacity (Top)                    No Deformation          (*t*Fu kips)</t>
  </si>
  <si>
    <t>Rev. G Bolt-Shaft Bearing Capacity (Top)                        Deformation          (*t*Fu kips)</t>
  </si>
  <si>
    <t>Check Connections?</t>
  </si>
  <si>
    <t>Deformation Allowed?</t>
  </si>
  <si>
    <t>Yield</t>
  </si>
  <si>
    <t>Rupture</t>
  </si>
  <si>
    <t>Bolt Shear</t>
  </si>
  <si>
    <t>Bolt Bearing - Shaft</t>
  </si>
  <si>
    <t>Bolt Bearing - Reinf</t>
  </si>
  <si>
    <t>Controlling</t>
  </si>
  <si>
    <t>Bolts</t>
  </si>
  <si>
    <t>Compression</t>
  </si>
  <si>
    <t>Top?</t>
  </si>
  <si>
    <t>Bottom?</t>
  </si>
  <si>
    <t>End Connection</t>
  </si>
  <si>
    <t>Rev. G Bolt Shear Capacity (Top)     (kips)</t>
  </si>
  <si>
    <t>Rev. G Bolt Shear Capacity (Bottom) (kips)</t>
  </si>
  <si>
    <t>ASIF</t>
  </si>
  <si>
    <t>Rev. F Bolt Shear Capacity (Bottom)   (kips)</t>
  </si>
  <si>
    <t>Rev. F Bolt Shear Capacity   (Top)        (kips)</t>
  </si>
  <si>
    <t>Rev. F Bolt-Reinf. Bearing Capacity (Bottom)            No Deformation (kips)</t>
  </si>
  <si>
    <t>Rev. F Bolt-Reinf. Bearing Capacity (Bottom)               Deformation (kips)</t>
  </si>
  <si>
    <t>Rev. F Bolt-Reinf. Bearing Capacity (Top)                  No Deformation (kips)</t>
  </si>
  <si>
    <t>Rev. F Bolt-Reinf. Bearing Capacity (Top)               Deformation (kips)</t>
  </si>
  <si>
    <t>Rev. G Bolt-Reinf. Bearing Capacity (Bottom)            No Deformation (kips)</t>
  </si>
  <si>
    <t>Rev. G Bolt-Reinf. Bearing Capacity (Bottom)               Deformation (kips)</t>
  </si>
  <si>
    <t>Rev. G Bolt-Reinf. Bearing Capacity (Top)                  No Deformation (kips)</t>
  </si>
  <si>
    <t>Rev. G Bolt-Reinf. Bearing Capacity (Top)               Deformation (kips)</t>
  </si>
  <si>
    <t>Bolt Diameter (mm)</t>
  </si>
  <si>
    <t/>
  </si>
  <si>
    <t>Check section capacity every ___ degrees.</t>
  </si>
  <si>
    <t>Perform design check for ineffective modifications</t>
  </si>
  <si>
    <t>Forced section break at __ ft</t>
  </si>
  <si>
    <t>Original Reinf Config</t>
  </si>
  <si>
    <t>Max slope</t>
  </si>
  <si>
    <t>angle</t>
  </si>
  <si>
    <t>offset</t>
  </si>
  <si>
    <t>Minimum Section Length</t>
  </si>
  <si>
    <t>Elevations Reversed</t>
  </si>
  <si>
    <t>Top Connection Length + Edge Dist (in)</t>
  </si>
  <si>
    <t>Bottom Connection Length + Edge Dist (in)</t>
  </si>
  <si>
    <t>Interference Width (in)</t>
  </si>
  <si>
    <t>Elevation</t>
  </si>
  <si>
    <t>Diameter</t>
  </si>
  <si>
    <t>Flat Width</t>
  </si>
  <si>
    <t xml:space="preserve">     </t>
  </si>
  <si>
    <t>Num of sides</t>
  </si>
  <si>
    <t>y0</t>
  </si>
  <si>
    <t>Group</t>
  </si>
  <si>
    <t>Reinforcement?</t>
  </si>
  <si>
    <t>Flat</t>
  </si>
  <si>
    <t>Flat Rotation</t>
  </si>
  <si>
    <t>Width</t>
  </si>
  <si>
    <t>Thickness</t>
  </si>
  <si>
    <t>in   =</t>
  </si>
  <si>
    <t>degrees</t>
  </si>
  <si>
    <t>Calibration</t>
  </si>
  <si>
    <t>pixels</t>
  </si>
  <si>
    <t>xc,18</t>
  </si>
  <si>
    <t>yc,18</t>
  </si>
  <si>
    <t>Scale</t>
  </si>
  <si>
    <t>Factor</t>
  </si>
  <si>
    <t>x0</t>
  </si>
  <si>
    <t xml:space="preserve">Reinforcement  </t>
  </si>
  <si>
    <t>do,18</t>
  </si>
  <si>
    <t>di,18</t>
  </si>
  <si>
    <t>Pole Flat Width (in)</t>
  </si>
  <si>
    <t>Include other reinforcement as interference</t>
  </si>
  <si>
    <t>Interference Assistant On</t>
  </si>
  <si>
    <t>Input Interferences</t>
  </si>
  <si>
    <r>
      <t>φ</t>
    </r>
    <r>
      <rPr>
        <vertAlign val="subscript"/>
        <sz val="10"/>
        <rFont val="Arial"/>
        <family val="2"/>
      </rPr>
      <t>shear yield</t>
    </r>
  </si>
  <si>
    <r>
      <t>φ</t>
    </r>
    <r>
      <rPr>
        <vertAlign val="subscript"/>
        <sz val="10"/>
        <rFont val="Arial"/>
        <family val="2"/>
      </rPr>
      <t>shear rupture</t>
    </r>
  </si>
  <si>
    <t>Bottom Weld Grade (ksi)</t>
  </si>
  <si>
    <t>Bottom Transverse Weld Fillet Size (in)</t>
  </si>
  <si>
    <t>Bottom Longitudinal Weld Fillet Size (in)</t>
  </si>
  <si>
    <t>Bottom Transverse Weld Length</t>
  </si>
  <si>
    <t>Bottom Longitudinal Weld Length</t>
  </si>
  <si>
    <t>Bottom Transverse Weld Groove Depth (in)</t>
  </si>
  <si>
    <t>Bottom Transverse Weld Effective Throat</t>
  </si>
  <si>
    <t>Bottom Longitudinal Weld Effective Throat</t>
  </si>
  <si>
    <t>Bottom Transverse Weld Groove Angle (degrees)</t>
  </si>
  <si>
    <t>None</t>
  </si>
  <si>
    <t>Top Weld Grade (ksi)</t>
  </si>
  <si>
    <t>Top Transverse Weld Length</t>
  </si>
  <si>
    <t>Top Transverse Weld Fillet Size (in)</t>
  </si>
  <si>
    <t>Top Transverse Weld Groove Depth (in)</t>
  </si>
  <si>
    <t>Top Transverse Weld Groove Angle (degrees)</t>
  </si>
  <si>
    <t>Top Transverse Weld Effective Throat</t>
  </si>
  <si>
    <t>Top Longitudinal Weld Length</t>
  </si>
  <si>
    <t>Top Longitudinal Weld Fillet Size (in)</t>
  </si>
  <si>
    <t>Top Longitudinal Weld Effective Throat</t>
  </si>
  <si>
    <t>Longitudinal</t>
  </si>
  <si>
    <t>Transverse</t>
  </si>
  <si>
    <t>Bottom Long Weld Length</t>
  </si>
  <si>
    <t>Bottom Trans Weld Length</t>
  </si>
  <si>
    <t>Top Long Weld Length</t>
  </si>
  <si>
    <t>Top Trans Weld Length</t>
  </si>
  <si>
    <t>Rev. G Bottom Longitudinal Weld Strength</t>
  </si>
  <si>
    <t>Rev. G Bottom Transverse Weld Strength</t>
  </si>
  <si>
    <r>
      <t>End Connection Bolt Spacing (in)</t>
    </r>
    <r>
      <rPr>
        <sz val="10"/>
        <color theme="0"/>
        <rFont val="Arial"/>
        <family val="2"/>
      </rPr>
      <t xml:space="preserve"> (B)</t>
    </r>
  </si>
  <si>
    <r>
      <t>End Connection Edge Distance (in)</t>
    </r>
    <r>
      <rPr>
        <sz val="10"/>
        <color theme="0"/>
        <rFont val="Arial"/>
        <family val="2"/>
      </rPr>
      <t xml:space="preserve"> (B)</t>
    </r>
  </si>
  <si>
    <r>
      <t xml:space="preserve">End Connection Bolt Spacing (in) </t>
    </r>
    <r>
      <rPr>
        <sz val="10"/>
        <color theme="0"/>
        <rFont val="Arial"/>
        <family val="2"/>
      </rPr>
      <t>(T)</t>
    </r>
  </si>
  <si>
    <r>
      <t xml:space="preserve">End Connection Edge Distance (in) </t>
    </r>
    <r>
      <rPr>
        <sz val="10"/>
        <color theme="0"/>
        <rFont val="Arial"/>
        <family val="2"/>
      </rPr>
      <t>(T)</t>
    </r>
  </si>
  <si>
    <t>Individual Reinforcement Ratings</t>
  </si>
  <si>
    <t>MAX</t>
  </si>
  <si>
    <t>Bottom Connected to Flange/Base Plate?</t>
  </si>
  <si>
    <t>Bottom Weld</t>
  </si>
  <si>
    <t>Base/Flange Connection?</t>
  </si>
  <si>
    <t>Top Weld</t>
  </si>
  <si>
    <t>Rev. F Bottom Longitudinal Weld Strength</t>
  </si>
  <si>
    <t>Rev. F Bottom Transverse Weld Strength</t>
  </si>
  <si>
    <t>Trans Reinf Strength</t>
  </si>
  <si>
    <t>Trans Base/Flange Strength</t>
  </si>
  <si>
    <t>Trans Pole Strength</t>
  </si>
  <si>
    <t>Long Weld Strength</t>
  </si>
  <si>
    <t>Trans Weld Strength</t>
  </si>
  <si>
    <t>Long Reinf Strength</t>
  </si>
  <si>
    <t>Long Pole Strength</t>
  </si>
  <si>
    <t>Bottom Trans Weld Type</t>
  </si>
  <si>
    <r>
      <t>φ</t>
    </r>
    <r>
      <rPr>
        <vertAlign val="subscript"/>
        <sz val="10"/>
        <rFont val="Arial"/>
        <family val="2"/>
      </rPr>
      <t>weld shear</t>
    </r>
  </si>
  <si>
    <r>
      <t>φ</t>
    </r>
    <r>
      <rPr>
        <vertAlign val="subscript"/>
        <sz val="10"/>
        <rFont val="Arial"/>
        <family val="2"/>
      </rPr>
      <t>weld tension</t>
    </r>
  </si>
  <si>
    <t>(for welded connection checks)</t>
  </si>
  <si>
    <t>Top Trans Weld Type</t>
  </si>
  <si>
    <t>Top Connected to Flange/Base Plate?</t>
  </si>
  <si>
    <t>Rev. F Top Transverse Weld Strength</t>
  </si>
  <si>
    <t>Rev. G Top Transverse Weld Strength</t>
  </si>
  <si>
    <t>Rev. F Top Longitudinal Weld Strength</t>
  </si>
  <si>
    <t>Rev. G Top Longitudinal Weld Strength</t>
  </si>
  <si>
    <t>Weld Connection</t>
  </si>
  <si>
    <t>Welded Connection</t>
  </si>
  <si>
    <t>CJP Groove</t>
  </si>
  <si>
    <t>Welded</t>
  </si>
  <si>
    <t>x</t>
  </si>
  <si>
    <t>Reinforcement welded to base/flange plate at current elevation</t>
  </si>
  <si>
    <t>vba</t>
  </si>
  <si>
    <t>base/flange grade req'd</t>
  </si>
  <si>
    <t>CCI-WSFP-040075</t>
  </si>
  <si>
    <t>CCI-WSFP-045100</t>
  </si>
  <si>
    <t>CCI-WSFP-060100</t>
  </si>
  <si>
    <t>CCI-WSFP-065125</t>
  </si>
  <si>
    <t>CCI-WSFP-085125</t>
  </si>
  <si>
    <t>CCI-WAFP-040075</t>
  </si>
  <si>
    <t>CCI-WAFP-045100</t>
  </si>
  <si>
    <t>CCI-WAFP-060100</t>
  </si>
  <si>
    <t>CCI-WAFP-065125</t>
  </si>
  <si>
    <t>CCI-WAFP-085125</t>
  </si>
  <si>
    <t>Bottom Termination Length (in)</t>
  </si>
  <si>
    <t>Top Termination Length (in)</t>
  </si>
  <si>
    <r>
      <t xml:space="preserve">●  Added a bolted connection check, which includes bolt shear, bolt bearing on reinforcement member, and bolt bearing on pole shaft.  The only bolts evaluated are the bottom and top end connection bolts.  For bolt bearing checks, the user has the option whether or not to allow hole deformation.  Selecting "allow hole deformation" changes the coefficients in TIA-222-G Section 4.9.6.2 from 1.2 and 2.4 to 1.5 and 3.0, respecively.  For Rev. F analyses, selecting this option will cause AISC 9th Edition Equation J3-4 to be used instead of J3-1.  See Crown Castle Document </t>
    </r>
    <r>
      <rPr>
        <b/>
        <sz val="10"/>
        <rFont val="Calibri"/>
        <family val="2"/>
        <scheme val="minor"/>
      </rPr>
      <t>ENG-MAP-20009</t>
    </r>
    <r>
      <rPr>
        <sz val="10"/>
        <rFont val="Calibri"/>
        <family val="2"/>
        <scheme val="minor"/>
      </rPr>
      <t xml:space="preserve"> for more information on this decision.  The decision to allow the increased bearing strength was only intended to be used for analyzing existing reinforcements.  New designs should be based on the original, lower bound coefficients.</t>
    </r>
  </si>
  <si>
    <t>●  Added separate database for bolt input.</t>
  </si>
  <si>
    <t>●  Reworked the individual reinforcement ratings output to display the individual reinforcement max ratings/loads based on their respective critical rotations and not the global critical rotation.</t>
  </si>
  <si>
    <t>●  Added an analysis options menu which includes rotation increment, connection check, and ineffective mod check.</t>
  </si>
  <si>
    <t>●  Minor bug fixes.</t>
  </si>
  <si>
    <t>●  Reworked pole section break algorithm to include a section break at 0.25' below the bottom of a reinforced elevation.  If connection check is enabled, a section break is also included at 0.25' below the top of a reinforced elevation.  A section length check is performed and adjusts breaks to ensure no sections is ≤ 0.1'.</t>
  </si>
  <si>
    <r>
      <t xml:space="preserve">●  Modified moment capacity calculation for reinforced </t>
    </r>
    <r>
      <rPr>
        <u/>
        <sz val="10"/>
        <rFont val="Calibri"/>
        <family val="2"/>
        <scheme val="minor"/>
      </rPr>
      <t>round</t>
    </r>
    <r>
      <rPr>
        <sz val="10"/>
        <rFont val="Calibri"/>
        <family val="2"/>
        <scheme val="minor"/>
      </rPr>
      <t xml:space="preserve"> pole sections.  The moment capacity contribution of the bare pole is now reduced when a reinforcement section controls.  This change now makes round pole calculations consistent with polygonal pole calculations.</t>
    </r>
  </si>
  <si>
    <t>●  Added a welded connection check, which calculates the weld strength along with the strength of the affected connecting members (e.g. pole, base/flange plate, reinforcing plate).</t>
  </si>
  <si>
    <t>Fillet Weld Group?</t>
  </si>
  <si>
    <t>Rev. F Bottom Connection Capacity (kips)</t>
  </si>
  <si>
    <t>Rev. G Bottom Connection Capacity (kips)</t>
  </si>
  <si>
    <t>User-Defined         Capacity Inputs</t>
  </si>
  <si>
    <t>Rev. F Top Connection Capacity (kips)</t>
  </si>
  <si>
    <t>Rev. G Top Connection Capacity (kips)</t>
  </si>
  <si>
    <t>Connection Capacity Input</t>
  </si>
  <si>
    <t>Reinforcement Configuration</t>
  </si>
  <si>
    <t>Top Longitudinal (Vertical) Weld</t>
  </si>
  <si>
    <t>Top Transverse (Horizontal) Weld</t>
  </si>
  <si>
    <t>Bottom Transverse (Horizontal) Weld</t>
  </si>
  <si>
    <t>Bottom Longitudinal (Vertical) Weld</t>
  </si>
  <si>
    <t xml:space="preserve">         Other than the bolt capacity, the only other required input is the "Sleeve Outer Diameter," which is necessary for bolt bearing calculations.</t>
  </si>
  <si>
    <r>
      <rPr>
        <b/>
        <sz val="10"/>
        <rFont val="Arial"/>
        <family val="2"/>
      </rPr>
      <t>Note:</t>
    </r>
    <r>
      <rPr>
        <sz val="10"/>
        <rFont val="Arial"/>
        <family val="2"/>
      </rPr>
      <t xml:space="preserve"> Revision F displayed capacities do not include the one-third allowable stress increase.  The allowable stress increase factor is applied internally and reflected in the results.</t>
    </r>
  </si>
  <si>
    <t>●  Fixed a bug in the calculations for top welded connections that have a longitudinal weld.</t>
  </si>
  <si>
    <t>●  Added two new connection types:  "Capacity Input" and "None."  "Capacity Input" can be used for nonstandard connections in which external calculations are required.  "None" can be selected to simply not evaluate a given reinforcing member's connection.</t>
  </si>
  <si>
    <t>●  Made improvements in the user interface.</t>
  </si>
  <si>
    <t>●  Fixed a bug in the "Ineffective Mod Check" function.</t>
  </si>
  <si>
    <t>●  Fixed a bug that caused the "Interference Assistant" to sometimes stop working.</t>
  </si>
  <si>
    <t>2.5.1</t>
  </si>
  <si>
    <t>●  Bug fixes.</t>
  </si>
  <si>
    <t>Mn (limited to elastic)</t>
  </si>
  <si>
    <t>Mn (plastic permitted)</t>
  </si>
  <si>
    <t>Reduced Mn for reinf. controlling</t>
  </si>
  <si>
    <t>E or P</t>
  </si>
  <si>
    <t>Mpole</t>
  </si>
  <si>
    <t>Target</t>
  </si>
  <si>
    <t>Elastic</t>
  </si>
  <si>
    <t>-</t>
  </si>
  <si>
    <t>●  Updated calculations to consider plastic or partial-plastic flexural capacities when applicable.  Specifically, the previous limit state of extreme fiber yielding is no longer considered.  F'y of the pole is taken directly from Table 4-8 of Rev. G and no longer limited to F'y = Fy.  Rev. F analyses are not affected by this change.</t>
  </si>
  <si>
    <t>3.0.0</t>
  </si>
  <si>
    <t>POLE</t>
  </si>
  <si>
    <t># Sides</t>
  </si>
  <si>
    <t>OD</t>
  </si>
  <si>
    <t>t</t>
  </si>
  <si>
    <t>ID</t>
  </si>
  <si>
    <t>x1</t>
  </si>
  <si>
    <t>y1</t>
  </si>
  <si>
    <t>x2</t>
  </si>
  <si>
    <t>x3</t>
  </si>
  <si>
    <t>y3</t>
  </si>
  <si>
    <t>x4</t>
  </si>
  <si>
    <t>y4</t>
  </si>
  <si>
    <t>REINFORCEMENT</t>
  </si>
  <si>
    <t>#</t>
  </si>
  <si>
    <t>xO</t>
  </si>
  <si>
    <t>yO</t>
  </si>
  <si>
    <t>N.A. Shift</t>
  </si>
  <si>
    <t>P-to-P D</t>
  </si>
  <si>
    <t>Elevation =</t>
  </si>
  <si>
    <t>ft</t>
  </si>
  <si>
    <t>Cross section tool.  Toggles a custom elevation input in the "Calculations" worksheet.</t>
  </si>
  <si>
    <t>View Rotation =</t>
  </si>
  <si>
    <t>Number</t>
  </si>
  <si>
    <t>flat #</t>
  </si>
  <si>
    <t>Previous cross section elevation (cell AR8 in "Input" worksheet)</t>
  </si>
  <si>
    <t>3.1.0</t>
  </si>
  <si>
    <t>●  Added the ability to model lateral offsets on a polygonal pole flat.</t>
  </si>
  <si>
    <t>●  Added the ability to place reinforcement on the corners of polygonal poles.</t>
  </si>
  <si>
    <t>●  Updated the cross-section plot to be a to-scale graphic of the reinforced pole.</t>
  </si>
  <si>
    <t>x5</t>
  </si>
  <si>
    <t>y5</t>
  </si>
  <si>
    <t>x6</t>
  </si>
  <si>
    <t>y6</t>
  </si>
  <si>
    <t>x7</t>
  </si>
  <si>
    <t>y7</t>
  </si>
  <si>
    <t>x8</t>
  </si>
  <si>
    <t>y8</t>
  </si>
  <si>
    <t>t_web</t>
  </si>
  <si>
    <t>t_flange</t>
  </si>
  <si>
    <t>h_flange</t>
  </si>
  <si>
    <t>y_bar</t>
  </si>
  <si>
    <t>Channels (dimensions)</t>
  </si>
  <si>
    <t>xO_cut_out</t>
  </si>
  <si>
    <t>yO_cut_out</t>
  </si>
  <si>
    <t>cut_out_t</t>
  </si>
  <si>
    <t>cut_out_w</t>
  </si>
  <si>
    <t>radius</t>
  </si>
  <si>
    <t>Channels</t>
  </si>
  <si>
    <t>Round</t>
  </si>
  <si>
    <t>3.2.0</t>
  </si>
  <si>
    <t>●  One of the macros caused compatibility issues with certain machines – corrected the issue which also decreased the solve time.</t>
  </si>
  <si>
    <t xml:space="preserve">●  Corrected the cross-section plotter to plot all three shapes (rectangle, round, channel) instead of just rectangles.  </t>
  </si>
  <si>
    <t>3.2.1</t>
  </si>
  <si>
    <t>●  Resolved a compatibility issue experienced when using Office 365 versions of Excel.  Specifically, the issue occurred when exporting the new tnxTower file.</t>
  </si>
  <si>
    <t>3.2.2</t>
  </si>
  <si>
    <t>●  Widened the section forces table columns to prevent numbers from being too large to display properly.</t>
  </si>
  <si>
    <t>3.3.0</t>
  </si>
  <si>
    <t>●  Corrected a formula error in 'Calculations' cells BC79:BC96.</t>
  </si>
  <si>
    <t>Bend Radius</t>
  </si>
  <si>
    <t>Rev. H Compression Capacity x-x (kips)</t>
  </si>
  <si>
    <t>Rev. H Compression Capacity y-y (kips)</t>
  </si>
  <si>
    <t>Rev. H Tension Yield Capacity (kips)</t>
  </si>
  <si>
    <t>Rev. H Tension Rupture Capacity (kips)</t>
  </si>
  <si>
    <t>Rev. H Shear Capacity (kips)</t>
  </si>
  <si>
    <t>Rev. H Bolt Shear Capacity (Bottom) (kips)</t>
  </si>
  <si>
    <t>Rev. H Bolt Shear Capacity (Top) (kips)</t>
  </si>
  <si>
    <t>Rev. H Bolt-Shaft Bearing Capacity (Bottom) No Deformation 
(*t*Fu kips)</t>
  </si>
  <si>
    <t>Rev. H Bolt-Shaft Bearing Capacity (Bottom) Deformation (*t*Fu kips)</t>
  </si>
  <si>
    <t>Rev. H Bolt-Shaft Bearing Capacity (Top) No Deformation (*t*Fu kips)</t>
  </si>
  <si>
    <t>Rev. H Bolt-Shaft Bearing Capacity (Top) Deformation (*t*Fu kips)</t>
  </si>
  <si>
    <t>Rev. H Bolt-Reinf. Bearing Capacity (Bottom) No Deformation (kips)</t>
  </si>
  <si>
    <t>Rev. H Bolt-Reinf. Bearing Capacity (Bottom) Deformation (kips)</t>
  </si>
  <si>
    <t>Rev. H Bolt-Reinf. Bearing Capacity (Top) No Deformation (kips)</t>
  </si>
  <si>
    <t>Rev. H Bolt-Reinf. Bearing Capacity (Top) Deformation (kips)</t>
  </si>
  <si>
    <t>Rev. H Bottom Transverse Weld Strangth</t>
  </si>
  <si>
    <t>Rev. H Bottom Longitudinal Weld Strength</t>
  </si>
  <si>
    <t>Rev. H Top Transverse Weld Strength</t>
  </si>
  <si>
    <t>Rev. H Top Longitudinal Weld Strength</t>
  </si>
  <si>
    <t>E, (ksi)</t>
  </si>
  <si>
    <t>Fy, (ksi)</t>
  </si>
  <si>
    <t>Lcx (in)</t>
  </si>
  <si>
    <t>Lcy (in)</t>
  </si>
  <si>
    <t>rx (in)</t>
  </si>
  <si>
    <t>ry (in)</t>
  </si>
  <si>
    <t>Fex, FB (ksi)</t>
  </si>
  <si>
    <t>Fey, FB (ksi)</t>
  </si>
  <si>
    <t>Lcx/rx</t>
  </si>
  <si>
    <t>Lcy/ry</t>
  </si>
  <si>
    <t>Fcr Limit</t>
  </si>
  <si>
    <t>Fcrx (ksi)</t>
  </si>
  <si>
    <t>Fcry (ksi)</t>
  </si>
  <si>
    <t>Pnx, FB (kip)</t>
  </si>
  <si>
    <t>Pny, FB (kip)</t>
  </si>
  <si>
    <t>Flexural Buckling</t>
  </si>
  <si>
    <t>yo</t>
  </si>
  <si>
    <t>eo</t>
  </si>
  <si>
    <t>x(bar)</t>
  </si>
  <si>
    <t>xo</t>
  </si>
  <si>
    <t>Ag</t>
  </si>
  <si>
    <t>ro^2(bar)</t>
  </si>
  <si>
    <t>Ix (FTB)</t>
  </si>
  <si>
    <t>Iy (FTB)</t>
  </si>
  <si>
    <t>Lz</t>
  </si>
  <si>
    <t>Kz</t>
  </si>
  <si>
    <t>Lcz</t>
  </si>
  <si>
    <t>J</t>
  </si>
  <si>
    <t>G</t>
  </si>
  <si>
    <t>Cw</t>
  </si>
  <si>
    <t>Fez</t>
  </si>
  <si>
    <t>Fe (FTB)</t>
  </si>
  <si>
    <t>Fcr(FTB)</t>
  </si>
  <si>
    <t>Fcr</t>
  </si>
  <si>
    <t>c1</t>
  </si>
  <si>
    <t>c2</t>
  </si>
  <si>
    <t>Fel(f)</t>
  </si>
  <si>
    <t>Fel(w)</t>
  </si>
  <si>
    <t>be</t>
  </si>
  <si>
    <t>he</t>
  </si>
  <si>
    <t>Ae</t>
  </si>
  <si>
    <t>Pn</t>
  </si>
  <si>
    <t>Flexural Torsional Buckling</t>
  </si>
  <si>
    <t>H2</t>
  </si>
  <si>
    <t>Channel Height, h</t>
  </si>
  <si>
    <t>Channel Flange Width, b</t>
  </si>
  <si>
    <t>Channel inside depth, T</t>
  </si>
  <si>
    <t>Channel web thickness, tw</t>
  </si>
  <si>
    <t>λf</t>
  </si>
  <si>
    <t>MP3-03 (1.1875in)</t>
  </si>
  <si>
    <t>MP3-03 (1.25in)</t>
  </si>
  <si>
    <t>MP3-04 (1.1875in)</t>
  </si>
  <si>
    <t>MP3-04 (1.25in)</t>
  </si>
  <si>
    <t>MP3-05 (1.1875in)</t>
  </si>
  <si>
    <t>MP3-05 (1.25in)</t>
  </si>
  <si>
    <t>MP3-06 (1.1875in)</t>
  </si>
  <si>
    <t>MP3-06 (1.25in)</t>
  </si>
  <si>
    <t>MP3-08 (1.25in)</t>
  </si>
  <si>
    <t>Channel flange thickness, tf</t>
  </si>
  <si>
    <t>λrf</t>
  </si>
  <si>
    <r>
      <rPr>
        <sz val="10"/>
        <rFont val="Calibri"/>
        <family val="2"/>
      </rPr>
      <t>λ</t>
    </r>
    <r>
      <rPr>
        <sz val="10"/>
        <rFont val="Arial"/>
        <family val="2"/>
      </rPr>
      <t>rw</t>
    </r>
  </si>
  <si>
    <r>
      <rPr>
        <sz val="10"/>
        <rFont val="Calibri"/>
        <family val="2"/>
      </rPr>
      <t>λ</t>
    </r>
    <r>
      <rPr>
        <sz val="10"/>
        <rFont val="Arial"/>
        <family val="2"/>
      </rPr>
      <t>w</t>
    </r>
  </si>
  <si>
    <t>Lb(top)</t>
  </si>
  <si>
    <t>Rb(top)</t>
  </si>
  <si>
    <t>Lb(bottom)</t>
  </si>
  <si>
    <t>Rb(bottom)</t>
  </si>
  <si>
    <t>Rev. H Bottom Connection Capacity (kips)</t>
  </si>
  <si>
    <t>Rev. H Top Connection Capacity (kips)</t>
  </si>
  <si>
    <t>Rev. G/H</t>
  </si>
  <si>
    <t>Rev. G Table 4-8 (Add. 2) /Rev. H Table 4-8</t>
  </si>
  <si>
    <t>1.5 Times of the inside diameter of section</t>
  </si>
  <si>
    <t>Is Splice less than 1.5D?</t>
  </si>
  <si>
    <t>Derated Material Strength</t>
  </si>
  <si>
    <t>Splice Length in inches</t>
  </si>
  <si>
    <t>Inside diameter of section</t>
  </si>
  <si>
    <t>Splice/Inside Diameter of Section</t>
  </si>
  <si>
    <t>Reduction Factor</t>
  </si>
  <si>
    <t>Fey</t>
  </si>
  <si>
    <r>
      <t>Rev. H F</t>
    </r>
    <r>
      <rPr>
        <vertAlign val="subscript"/>
        <sz val="10"/>
        <rFont val="Arial"/>
        <family val="2"/>
      </rPr>
      <t>NVN</t>
    </r>
  </si>
  <si>
    <r>
      <t>Rev. H F</t>
    </r>
    <r>
      <rPr>
        <vertAlign val="subscript"/>
        <sz val="10"/>
        <rFont val="Arial"/>
        <family val="2"/>
      </rPr>
      <t>NVX</t>
    </r>
  </si>
  <si>
    <r>
      <t>Rev. H ΦR</t>
    </r>
    <r>
      <rPr>
        <vertAlign val="subscript"/>
        <sz val="10"/>
        <rFont val="Arial"/>
        <family val="2"/>
      </rPr>
      <t>NN</t>
    </r>
  </si>
  <si>
    <r>
      <t>Rev. H ΦR</t>
    </r>
    <r>
      <rPr>
        <vertAlign val="subscript"/>
        <sz val="10"/>
        <rFont val="Arial"/>
        <family val="2"/>
      </rPr>
      <t>NX</t>
    </r>
  </si>
  <si>
    <r>
      <t>Rev. H Sleeve F</t>
    </r>
    <r>
      <rPr>
        <vertAlign val="subscript"/>
        <sz val="10"/>
        <rFont val="Arial"/>
        <family val="2"/>
      </rPr>
      <t>NVX</t>
    </r>
  </si>
  <si>
    <r>
      <t>Rev. H Sleeve ΦR</t>
    </r>
    <r>
      <rPr>
        <vertAlign val="subscript"/>
        <sz val="10"/>
        <rFont val="Arial"/>
        <family val="2"/>
      </rPr>
      <t>NX</t>
    </r>
  </si>
  <si>
    <t>Rev. H Bolt (N) Capacity</t>
  </si>
  <si>
    <t>Rev. H Bolt (X) Capacity</t>
  </si>
  <si>
    <t>r</t>
  </si>
  <si>
    <r>
      <t>f</t>
    </r>
    <r>
      <rPr>
        <vertAlign val="subscript"/>
        <sz val="11"/>
        <rFont val="Calibri"/>
        <family val="2"/>
      </rPr>
      <t>y</t>
    </r>
    <r>
      <rPr>
        <sz val="11"/>
        <rFont val="Calibri"/>
        <family val="2"/>
      </rPr>
      <t xml:space="preserve"> pole (ksi)</t>
    </r>
  </si>
  <si>
    <r>
      <t>f</t>
    </r>
    <r>
      <rPr>
        <vertAlign val="subscript"/>
        <sz val="11"/>
        <rFont val="Calibri"/>
        <family val="2"/>
      </rPr>
      <t>u</t>
    </r>
    <r>
      <rPr>
        <sz val="11"/>
        <rFont val="Calibri"/>
        <family val="2"/>
      </rPr>
      <t xml:space="preserve"> pole (ksi)</t>
    </r>
  </si>
  <si>
    <r>
      <t>P</t>
    </r>
    <r>
      <rPr>
        <vertAlign val="subscript"/>
        <sz val="11"/>
        <rFont val="Calibri"/>
        <family val="2"/>
      </rPr>
      <t>u</t>
    </r>
    <r>
      <rPr>
        <sz val="11"/>
        <rFont val="Calibri"/>
        <family val="2"/>
      </rPr>
      <t xml:space="preserve"> (kips)</t>
    </r>
  </si>
  <si>
    <r>
      <t>M</t>
    </r>
    <r>
      <rPr>
        <vertAlign val="subscript"/>
        <sz val="11"/>
        <rFont val="Calibri"/>
        <family val="2"/>
      </rPr>
      <t>ux</t>
    </r>
    <r>
      <rPr>
        <sz val="11"/>
        <rFont val="Calibri"/>
        <family val="2"/>
      </rPr>
      <t xml:space="preserve"> (kip-ft)</t>
    </r>
  </si>
  <si>
    <r>
      <t>V</t>
    </r>
    <r>
      <rPr>
        <vertAlign val="subscript"/>
        <sz val="11"/>
        <rFont val="Calibri"/>
        <family val="2"/>
      </rPr>
      <t>u</t>
    </r>
    <r>
      <rPr>
        <sz val="11"/>
        <rFont val="Calibri"/>
        <family val="2"/>
      </rPr>
      <t xml:space="preserve"> (kips)</t>
    </r>
  </si>
  <si>
    <r>
      <t>f</t>
    </r>
    <r>
      <rPr>
        <vertAlign val="subscript"/>
        <sz val="11"/>
        <rFont val="Calibri"/>
        <family val="2"/>
        <scheme val="minor"/>
      </rPr>
      <t>y</t>
    </r>
    <r>
      <rPr>
        <sz val="11"/>
        <rFont val="Calibri"/>
        <family val="2"/>
        <scheme val="minor"/>
      </rPr>
      <t xml:space="preserve"> base/flange (ksi)</t>
    </r>
  </si>
  <si>
    <r>
      <t>∆</t>
    </r>
    <r>
      <rPr>
        <sz val="14"/>
        <rFont val="Arial"/>
        <family val="2"/>
      </rPr>
      <t>Y</t>
    </r>
    <r>
      <rPr>
        <vertAlign val="subscript"/>
        <sz val="14"/>
        <rFont val="Arial"/>
        <family val="2"/>
      </rPr>
      <t>c</t>
    </r>
    <r>
      <rPr>
        <sz val="14"/>
        <rFont val="Arial"/>
        <family val="2"/>
      </rPr>
      <t xml:space="preserve"> =</t>
    </r>
  </si>
  <si>
    <r>
      <rPr>
        <sz val="11"/>
        <rFont val="Calibri"/>
        <family val="2"/>
      </rPr>
      <t>∆</t>
    </r>
    <r>
      <rPr>
        <sz val="11"/>
        <rFont val="Arial"/>
        <family val="2"/>
      </rPr>
      <t>θ</t>
    </r>
  </si>
  <si>
    <r>
      <t>I</t>
    </r>
    <r>
      <rPr>
        <vertAlign val="subscript"/>
        <sz val="14"/>
        <rFont val="Calibri"/>
        <family val="2"/>
      </rPr>
      <t>total</t>
    </r>
  </si>
  <si>
    <r>
      <t>I</t>
    </r>
    <r>
      <rPr>
        <vertAlign val="subscript"/>
        <sz val="14"/>
        <rFont val="Calibri"/>
        <family val="2"/>
      </rPr>
      <t>pole</t>
    </r>
  </si>
  <si>
    <r>
      <t>A</t>
    </r>
    <r>
      <rPr>
        <vertAlign val="subscript"/>
        <sz val="14"/>
        <rFont val="Calibri"/>
        <family val="2"/>
      </rPr>
      <t>total</t>
    </r>
  </si>
  <si>
    <r>
      <t>A</t>
    </r>
    <r>
      <rPr>
        <vertAlign val="subscript"/>
        <sz val="14"/>
        <rFont val="Calibri"/>
        <family val="2"/>
      </rPr>
      <t>pole</t>
    </r>
  </si>
  <si>
    <r>
      <rPr>
        <sz val="11"/>
        <rFont val="Calibri"/>
        <family val="2"/>
      </rPr>
      <t>∆</t>
    </r>
    <r>
      <rPr>
        <sz val="10"/>
        <rFont val="Arial"/>
        <family val="2"/>
      </rPr>
      <t>Y</t>
    </r>
    <r>
      <rPr>
        <vertAlign val="subscript"/>
        <sz val="10"/>
        <rFont val="Arial"/>
        <family val="2"/>
      </rPr>
      <t>N.A.</t>
    </r>
  </si>
  <si>
    <r>
      <t>I</t>
    </r>
    <r>
      <rPr>
        <vertAlign val="subscript"/>
        <sz val="11"/>
        <rFont val="Calibri"/>
        <family val="2"/>
        <scheme val="minor"/>
      </rPr>
      <t>unreinforced pole</t>
    </r>
  </si>
  <si>
    <r>
      <t>Δ(</t>
    </r>
    <r>
      <rPr>
        <sz val="11"/>
        <rFont val="Arial"/>
        <family val="2"/>
      </rPr>
      <t>θ to y-axis)</t>
    </r>
  </si>
  <si>
    <r>
      <t>I</t>
    </r>
    <r>
      <rPr>
        <vertAlign val="subscript"/>
        <sz val="11"/>
        <rFont val="Calibri"/>
        <family val="2"/>
      </rPr>
      <t>c</t>
    </r>
    <r>
      <rPr>
        <sz val="11"/>
        <rFont val="Calibri"/>
        <family val="2"/>
      </rPr>
      <t xml:space="preserve"> + A*D</t>
    </r>
    <r>
      <rPr>
        <vertAlign val="subscript"/>
        <sz val="11"/>
        <rFont val="Calibri"/>
        <family val="2"/>
      </rPr>
      <t>y</t>
    </r>
    <r>
      <rPr>
        <vertAlign val="superscript"/>
        <sz val="11"/>
        <rFont val="Calibri"/>
        <family val="2"/>
      </rPr>
      <t>2</t>
    </r>
  </si>
  <si>
    <r>
      <t>y</t>
    </r>
    <r>
      <rPr>
        <vertAlign val="subscript"/>
        <sz val="11"/>
        <rFont val="Calibri"/>
        <family val="2"/>
      </rPr>
      <t>0</t>
    </r>
    <r>
      <rPr>
        <sz val="11"/>
        <rFont val="Calibri"/>
        <family val="2"/>
      </rPr>
      <t xml:space="preserve"> (N.A.)</t>
    </r>
  </si>
  <si>
    <r>
      <t>y</t>
    </r>
    <r>
      <rPr>
        <vertAlign val="subscript"/>
        <sz val="11"/>
        <rFont val="Calibri"/>
        <family val="2"/>
      </rPr>
      <t>1</t>
    </r>
  </si>
  <si>
    <r>
      <t>y</t>
    </r>
    <r>
      <rPr>
        <vertAlign val="subscript"/>
        <sz val="11"/>
        <rFont val="Calibri"/>
        <family val="2"/>
      </rPr>
      <t>2</t>
    </r>
  </si>
  <si>
    <r>
      <t>y</t>
    </r>
    <r>
      <rPr>
        <vertAlign val="subscript"/>
        <sz val="11"/>
        <rFont val="Calibri"/>
        <family val="2"/>
      </rPr>
      <t>3</t>
    </r>
  </si>
  <si>
    <r>
      <t>y</t>
    </r>
    <r>
      <rPr>
        <vertAlign val="subscript"/>
        <sz val="11"/>
        <rFont val="Calibri"/>
        <family val="2"/>
      </rPr>
      <t>4</t>
    </r>
  </si>
  <si>
    <r>
      <t>M</t>
    </r>
    <r>
      <rPr>
        <vertAlign val="subscript"/>
        <sz val="11"/>
        <rFont val="Calibri"/>
        <family val="2"/>
      </rPr>
      <t>n</t>
    </r>
    <r>
      <rPr>
        <sz val="11"/>
        <rFont val="Calibri"/>
        <family val="2"/>
      </rPr>
      <t xml:space="preserve"> Element</t>
    </r>
  </si>
  <si>
    <r>
      <t>f</t>
    </r>
    <r>
      <rPr>
        <vertAlign val="subscript"/>
        <sz val="11"/>
        <rFont val="Calibri"/>
        <family val="2"/>
      </rPr>
      <t>B</t>
    </r>
  </si>
  <si>
    <r>
      <t>F</t>
    </r>
    <r>
      <rPr>
        <vertAlign val="subscript"/>
        <sz val="11"/>
        <rFont val="Calibri"/>
        <family val="2"/>
      </rPr>
      <t>B</t>
    </r>
  </si>
  <si>
    <r>
      <t>8</t>
    </r>
    <r>
      <rPr>
        <sz val="11"/>
        <rFont val="Calibri"/>
        <family val="2"/>
      </rPr>
      <t>→18</t>
    </r>
  </si>
  <si>
    <r>
      <t>(F</t>
    </r>
    <r>
      <rPr>
        <vertAlign val="subscript"/>
        <sz val="11"/>
        <rFont val="Calibri"/>
        <family val="2"/>
      </rPr>
      <t>y</t>
    </r>
    <r>
      <rPr>
        <sz val="11"/>
        <rFont val="Calibri"/>
        <family val="2"/>
      </rPr>
      <t>/E)</t>
    </r>
    <r>
      <rPr>
        <vertAlign val="superscript"/>
        <sz val="11"/>
        <rFont val="Calibri"/>
        <family val="2"/>
      </rPr>
      <t>1/2</t>
    </r>
    <r>
      <rPr>
        <sz val="11"/>
        <rFont val="Calibri"/>
        <family val="2"/>
      </rPr>
      <t>(w/t)</t>
    </r>
  </si>
  <si>
    <r>
      <t>f'</t>
    </r>
    <r>
      <rPr>
        <b/>
        <vertAlign val="subscript"/>
        <sz val="11"/>
        <rFont val="Calibri"/>
        <family val="2"/>
      </rPr>
      <t>y</t>
    </r>
    <r>
      <rPr>
        <b/>
        <sz val="11"/>
        <rFont val="Calibri"/>
        <family val="2"/>
      </rPr>
      <t xml:space="preserve"> (pole only)</t>
    </r>
  </si>
  <si>
    <r>
      <t>f'</t>
    </r>
    <r>
      <rPr>
        <vertAlign val="subscript"/>
        <sz val="11"/>
        <rFont val="Calibri"/>
        <family val="2"/>
      </rPr>
      <t>y</t>
    </r>
  </si>
  <si>
    <r>
      <t>f'</t>
    </r>
    <r>
      <rPr>
        <vertAlign val="subscript"/>
        <sz val="11"/>
        <rFont val="Calibri"/>
        <family val="2"/>
      </rPr>
      <t>y</t>
    </r>
    <r>
      <rPr>
        <sz val="11"/>
        <rFont val="Calibri"/>
        <family val="2"/>
      </rPr>
      <t xml:space="preserve"> (limited to elastic)</t>
    </r>
  </si>
  <si>
    <r>
      <t>f'</t>
    </r>
    <r>
      <rPr>
        <vertAlign val="subscript"/>
        <sz val="11"/>
        <rFont val="Calibri"/>
        <family val="2"/>
      </rPr>
      <t>y</t>
    </r>
    <r>
      <rPr>
        <sz val="11"/>
        <rFont val="Calibri"/>
        <family val="2"/>
      </rPr>
      <t xml:space="preserve"> (plastic permitted)</t>
    </r>
  </si>
  <si>
    <r>
      <t>f'</t>
    </r>
    <r>
      <rPr>
        <b/>
        <vertAlign val="subscript"/>
        <sz val="11"/>
        <rFont val="Calibri"/>
        <family val="2"/>
      </rPr>
      <t>y</t>
    </r>
    <r>
      <rPr>
        <b/>
        <sz val="11"/>
        <rFont val="Calibri"/>
        <family val="2"/>
      </rPr>
      <t xml:space="preserve"> reinforcements</t>
    </r>
  </si>
  <si>
    <r>
      <t>M</t>
    </r>
    <r>
      <rPr>
        <vertAlign val="subscript"/>
        <sz val="11"/>
        <rFont val="Calibri"/>
        <family val="2"/>
        <scheme val="minor"/>
      </rPr>
      <t>u</t>
    </r>
  </si>
  <si>
    <r>
      <t>φM</t>
    </r>
    <r>
      <rPr>
        <vertAlign val="subscript"/>
        <sz val="11"/>
        <rFont val="Calibri"/>
        <family val="2"/>
      </rPr>
      <t>n</t>
    </r>
  </si>
  <si>
    <r>
      <t>y</t>
    </r>
    <r>
      <rPr>
        <vertAlign val="subscript"/>
        <sz val="11"/>
        <rFont val="Calibri"/>
        <family val="2"/>
        <scheme val="minor"/>
      </rPr>
      <t>p</t>
    </r>
    <r>
      <rPr>
        <sz val="11"/>
        <rFont val="Calibri"/>
        <family val="2"/>
        <scheme val="minor"/>
      </rPr>
      <t xml:space="preserve"> Reinf.</t>
    </r>
  </si>
  <si>
    <r>
      <t>P</t>
    </r>
    <r>
      <rPr>
        <vertAlign val="subscript"/>
        <sz val="11"/>
        <rFont val="Calibri"/>
        <family val="2"/>
      </rPr>
      <t xml:space="preserve">u </t>
    </r>
  </si>
  <si>
    <r>
      <t>V</t>
    </r>
    <r>
      <rPr>
        <vertAlign val="subscript"/>
        <sz val="11"/>
        <rFont val="Calibri"/>
        <family val="2"/>
      </rPr>
      <t xml:space="preserve">u </t>
    </r>
  </si>
  <si>
    <r>
      <t>φP</t>
    </r>
    <r>
      <rPr>
        <vertAlign val="subscript"/>
        <sz val="11"/>
        <rFont val="Calibri"/>
        <family val="2"/>
      </rPr>
      <t>n</t>
    </r>
  </si>
  <si>
    <r>
      <t>φV</t>
    </r>
    <r>
      <rPr>
        <vertAlign val="subscript"/>
        <sz val="11"/>
        <rFont val="Calibri"/>
        <family val="2"/>
      </rPr>
      <t>n</t>
    </r>
  </si>
  <si>
    <t>4.0.0</t>
  </si>
  <si>
    <t>BMihalko</t>
  </si>
  <si>
    <t>Apply Rev. H Section 15.5:</t>
  </si>
  <si>
    <r>
      <t>[Channel] e</t>
    </r>
    <r>
      <rPr>
        <vertAlign val="subscript"/>
        <sz val="10"/>
        <rFont val="Arial"/>
        <family val="2"/>
      </rPr>
      <t>0</t>
    </r>
    <r>
      <rPr>
        <sz val="10"/>
        <rFont val="Arial"/>
        <family val="2"/>
      </rPr>
      <t xml:space="preserve"> (in)</t>
    </r>
  </si>
  <si>
    <r>
      <t>[Channel] J (in</t>
    </r>
    <r>
      <rPr>
        <vertAlign val="superscript"/>
        <sz val="10"/>
        <rFont val="Arial"/>
        <family val="2"/>
      </rPr>
      <t>4</t>
    </r>
    <r>
      <rPr>
        <sz val="10"/>
        <rFont val="Arial"/>
        <family val="2"/>
      </rPr>
      <t>)</t>
    </r>
  </si>
  <si>
    <r>
      <t>[Channel] C</t>
    </r>
    <r>
      <rPr>
        <vertAlign val="subscript"/>
        <sz val="10"/>
        <rFont val="Arial"/>
        <family val="2"/>
      </rPr>
      <t>W</t>
    </r>
    <r>
      <rPr>
        <sz val="10"/>
        <rFont val="Arial"/>
        <family val="2"/>
      </rPr>
      <t xml:space="preserve"> (in</t>
    </r>
    <r>
      <rPr>
        <vertAlign val="superscript"/>
        <sz val="10"/>
        <rFont val="Arial"/>
        <family val="2"/>
      </rPr>
      <t>6</t>
    </r>
    <r>
      <rPr>
        <sz val="10"/>
        <rFont val="Arial"/>
        <family val="2"/>
      </rPr>
      <t>)</t>
    </r>
  </si>
  <si>
    <t>MP3-08 (1.1875in)</t>
  </si>
  <si>
    <t>[Channel]Web Thickness (in)</t>
  </si>
  <si>
    <t>[Channel] Flange Thickness (in)</t>
  </si>
  <si>
    <t>* Values are auto-calculated, but user may overwrite with AISC tabulated data.</t>
  </si>
  <si>
    <t>4.0.1</t>
  </si>
  <si>
    <t>●  Corrected a data validation issue that prevented users from adding custom channel shapes.</t>
  </si>
  <si>
    <t>4.1.0</t>
  </si>
  <si>
    <t>● Improved certain macros to decrease the solution time for ineffective modification checks.  This change also corrected certain situations where the ineffective mod check would report inaccurate individual reinforcement ratings.
● Corrected a graphics issue with the cross-section viewer.  Occasionally the tool would fail to delete the old image and overlay multiple images.</t>
  </si>
  <si>
    <t>Wind Pressure Multiplier of 0.95 used in any pole section.  This will assign all new pole sections 0.95.</t>
  </si>
  <si>
    <t>4.1.1</t>
  </si>
  <si>
    <t>●  When importing a model that uses 0.95 for the Wind Pressure Multipliers, added logic that will include the 0.95 factors in the exported model.</t>
  </si>
  <si>
    <t>4.2.0</t>
  </si>
  <si>
    <t>● Related to the Rev G bolt capacity update from 4.0.0, now also changed the factor used for shear sleeves from 0.5 to 0.55.  Also changed the factor used on shear sleeves in Rev. H from 0.5 to 0.625.
● For Rev. H compression capacity calculations, a bug previously prevented user-defined materials to be considered.
● Improved macro runtime speed.</t>
  </si>
  <si>
    <t>4.2.1</t>
  </si>
  <si>
    <t>● Improved macro runtime speed.
● Fixed a bug that prevented user from selecting custom reinforcement entered in any of the bottom 10 rows of the Reinforcements database.</t>
  </si>
  <si>
    <t>Copyright © 2019 Crown Castle</t>
  </si>
  <si>
    <t>● Corrected a VLOOKUP statement in the "Calculations" worksheet column AC, which impacted user-defined connection capacities in Rev. H.</t>
  </si>
  <si>
    <t>4.2.2</t>
  </si>
  <si>
    <t>Load Z Normalization:</t>
  </si>
  <si>
    <t>● Incorporated "Load Z" toggle for Revisions F and G.</t>
  </si>
  <si>
    <t>4.3.0</t>
  </si>
  <si>
    <t>CCI-SFP-040125</t>
  </si>
  <si>
    <t>CCI-SFP-050125</t>
  </si>
  <si>
    <t>CCI-AFP-040125</t>
  </si>
  <si>
    <t>CCI-AFP-050125</t>
  </si>
  <si>
    <t>CCI-WSFP-040125</t>
  </si>
  <si>
    <t>CCI-WSFP-050125</t>
  </si>
  <si>
    <t>CCI-WAFP-040125</t>
  </si>
  <si>
    <t>CCI-WAFP-050125</t>
  </si>
  <si>
    <t>4.4.0</t>
  </si>
  <si>
    <t>● Added new Crown flat plate options in the database.
● In Rev. H, previously the shear sleeve was not being multiplied by the Rb factor.  Corrected this issue.</t>
  </si>
  <si>
    <t>● Adjusted format of buttons on various tabs to repair bug experienced on certain PCs</t>
  </si>
  <si>
    <t>IMiller</t>
  </si>
  <si>
    <t>4.4.1</t>
  </si>
  <si>
    <t>Note: The Revision can be a single cell range or multiple cells in a single column range.</t>
  </si>
  <si>
    <t>Note: search term is not case-sensitive</t>
  </si>
  <si>
    <t>Default Sheet Name</t>
  </si>
  <si>
    <t>Acceptable Formats</t>
  </si>
  <si>
    <t>Example</t>
  </si>
  <si>
    <t>Notes</t>
  </si>
  <si>
    <t>Sheet Name'!Address</t>
  </si>
  <si>
    <t>Revision History!E1:E1 or 'Revision History'!E1:E1</t>
  </si>
  <si>
    <t>Sheet Name'!Named_Range</t>
  </si>
  <si>
    <t>Revision History!Revision or Revision History!E1:E1</t>
  </si>
  <si>
    <t>Named_Range</t>
  </si>
  <si>
    <t>This method will only work for globaly defined ranges</t>
  </si>
  <si>
    <r>
      <t xml:space="preserve">The default sheet name is optional for each row. If it is specified, you don't need to enter the sheet name for each version. However, if you do enter a sheet name for a specific version, it will supercede the default sheet name. </t>
    </r>
    <r>
      <rPr>
        <b/>
        <sz val="11"/>
        <color theme="1"/>
        <rFont val="Calibri"/>
        <family val="2"/>
        <scheme val="minor"/>
      </rPr>
      <t>This feature is not compatible with global (workbook scope) ranges, it should only be used with ranges on a specific sheet.</t>
    </r>
  </si>
  <si>
    <t>Input</t>
  </si>
  <si>
    <t xml:space="preserve">Geometry (Length, Splice, Sides) </t>
  </si>
  <si>
    <t>Geometry (Top Dia)</t>
  </si>
  <si>
    <t>Geometry (Bot Dia, thickness)</t>
  </si>
  <si>
    <t>Geometry (Bend Radius)</t>
  </si>
  <si>
    <t>Geometry (Material)</t>
  </si>
  <si>
    <t>4.5.0</t>
  </si>
  <si>
    <t>Reinf (Elevations)</t>
  </si>
  <si>
    <t>Reinf (Model)</t>
  </si>
  <si>
    <t>Reinf (Locations)</t>
  </si>
  <si>
    <t>Interferences (Elevations)</t>
  </si>
  <si>
    <t>Interferences (Locations)</t>
  </si>
  <si>
    <t>BU</t>
  </si>
  <si>
    <t>WO</t>
  </si>
  <si>
    <t>Materials</t>
  </si>
  <si>
    <t>Reinforcements</t>
  </si>
  <si>
    <t>B20:D30</t>
  </si>
  <si>
    <t>Custom Materials</t>
  </si>
  <si>
    <t>G8:R17</t>
  </si>
  <si>
    <t>W8:AD17</t>
  </si>
  <si>
    <t>AE8:AE17</t>
  </si>
  <si>
    <t>AI8:AI17</t>
  </si>
  <si>
    <t>C21:J50</t>
  </si>
  <si>
    <t>N21:N50</t>
  </si>
  <si>
    <t>U21:AL50</t>
  </si>
  <si>
    <t>C52:Q81</t>
  </si>
  <si>
    <t>U52:AL81</t>
  </si>
  <si>
    <t>B61:CB83</t>
  </si>
  <si>
    <t>B6:AJ13</t>
  </si>
  <si>
    <t>Custom Bolts</t>
  </si>
  <si>
    <t>R4:R4</t>
  </si>
  <si>
    <t>R5:R5</t>
  </si>
  <si>
    <t>S8:S8</t>
  </si>
  <si>
    <t>AR8:AR8</t>
  </si>
  <si>
    <t>F27:F27</t>
  </si>
  <si>
    <t>F30:F30</t>
  </si>
  <si>
    <t>CCIpole</t>
  </si>
  <si>
    <t>MRudolph</t>
  </si>
  <si>
    <t>● Added Rev H functionality
● Updated Rev G bolt capacity to follow Addendum 1 and 2 (0.45 and 0.55 factor on equations from Section 4.9.6.3)</t>
  </si>
  <si>
    <t>TIA Revision</t>
  </si>
  <si>
    <t>U3:U3</t>
  </si>
  <si>
    <t>BB8:BB8</t>
  </si>
  <si>
    <t>Current Version:</t>
  </si>
  <si>
    <t>Range Description</t>
  </si>
  <si>
    <t>Error Handling:</t>
  </si>
  <si>
    <t>Custom Reinforcement Inputs</t>
  </si>
  <si>
    <t>Results</t>
  </si>
  <si>
    <t>Incremement Length</t>
  </si>
  <si>
    <t>G3:G3</t>
  </si>
  <si>
    <t>Revisions!B40:B60</t>
  </si>
  <si>
    <t>Elevation View</t>
  </si>
  <si>
    <t>Rotation View</t>
  </si>
  <si>
    <t>Section 15.5 Option</t>
  </si>
  <si>
    <t>Load Z Option</t>
  </si>
  <si>
    <t>TNX Data</t>
  </si>
  <si>
    <t>Raw TNX File</t>
  </si>
  <si>
    <t>A:A</t>
  </si>
  <si>
    <t>NexGen2 - M20</t>
  </si>
  <si>
    <t>NexGen2 20mm PC8.8 bolt</t>
  </si>
  <si>
    <t>FORGBolt (Group A) 22mm PC8.8 bolt</t>
  </si>
  <si>
    <t>FORGBolt (Group B) 22mm PC10.9 bolt</t>
  </si>
  <si>
    <t>BoxBolt - 5/8"</t>
  </si>
  <si>
    <t>Hollo Bolt  - 5/8"</t>
  </si>
  <si>
    <t>Huck BOM Bolt - 5/8"</t>
  </si>
  <si>
    <t>Huck BOM 5/8" dia per ENG-STD-10183</t>
  </si>
  <si>
    <t>BoxBolt 5/8" dia per ENG-STD-10183</t>
  </si>
  <si>
    <t>Hollo Bolt 5/8" dia per ENG-STD-10183</t>
  </si>
  <si>
    <t>Rev. H Bolt (N) + Sleeve Shear Capacity</t>
  </si>
  <si>
    <t>Rev. H Bolt (X) + Sleeve Shear Capacity</t>
  </si>
  <si>
    <t>Rev. H Shear Sleeve Capacity</t>
  </si>
  <si>
    <t>New AJAX 20mm per ENG-STD-10183</t>
  </si>
  <si>
    <t>New AJAX 20mm with "Hi Shear" Sleeve per ENG-STD-10183</t>
  </si>
  <si>
    <t>AJAX - M20 x 2.5</t>
  </si>
  <si>
    <t>AJAX - M20 x 2.5 (Hi Shear Sleeve)</t>
  </si>
  <si>
    <t xml:space="preserve">         The capacities of bolts with manufacturer-specified working loads can be manually entered in any of the seven rightmost columns, as necessary.  Rev. F capacities should not include the allowable stress increase factor.</t>
  </si>
  <si>
    <t>Notes:</t>
  </si>
  <si>
    <t>Standard Reinf Bolt Selections</t>
  </si>
  <si>
    <t>B3:CB60</t>
  </si>
  <si>
    <t>B3:CB52</t>
  </si>
  <si>
    <t>B53:CB83</t>
  </si>
  <si>
    <t>Legacy AJAX 20mm bolt with Aero 100 ksi sleeve</t>
  </si>
  <si>
    <t>Legacy AJAX 20mm bolt with Aero 120 ksi sleeve</t>
  </si>
  <si>
    <t>TNX Re-synced after analysis?</t>
  </si>
  <si>
    <t xml:space="preserve"> </t>
  </si>
  <si>
    <t>CCIpole Import - Overwrite geometry with TNX data?</t>
  </si>
  <si>
    <t>● Added ability to import data from previous versions of the tool into current version
● Updated TNX import function to not overwrite Unmodified Pole Geometry data so users can import newest TNX file without first having to update the geometry in TNX.
● Updated Bolt Database to be in line with ENG-STD-10183
● Default location for the exported TNX model now set to same location as CCIpole.
● Added ability to browse for MPAUXDATA file for easier import of loading from additional runs (LC3, MRI, etc.)
● The 5 generated PDF's now are combined into 1 single PDF</t>
  </si>
  <si>
    <t>Rev. H Apply Connection Length Reduction Factor (Rb)?</t>
  </si>
  <si>
    <t>B15:AM22</t>
  </si>
  <si>
    <t>4.5.1</t>
  </si>
  <si>
    <t>● Added validation to import functionality for standard reinforcement names changing between versions
● Adjusted Combine PDF function to not reference Acrobat directly
● Updated Import macro so that custom pole materials can be utilized correctly</t>
  </si>
  <si>
    <t>Imported CCIpole filepath</t>
  </si>
  <si>
    <r>
      <t>Gross Area (in</t>
    </r>
    <r>
      <rPr>
        <vertAlign val="superscript"/>
        <sz val="10"/>
        <color theme="1"/>
        <rFont val="Calibri"/>
        <family val="2"/>
        <scheme val="minor"/>
      </rPr>
      <t>2</t>
    </r>
    <r>
      <rPr>
        <sz val="10"/>
        <color theme="1"/>
        <rFont val="Calibri"/>
        <family val="2"/>
        <scheme val="minor"/>
      </rPr>
      <t>)</t>
    </r>
  </si>
  <si>
    <t>Bottom Termination Type</t>
  </si>
  <si>
    <t>Top Termination Type</t>
  </si>
  <si>
    <t>Net Area (in2)</t>
  </si>
  <si>
    <t>Lu (in)</t>
  </si>
  <si>
    <t>FORGBolt - M20 (A)</t>
  </si>
  <si>
    <t>FORGBolt - M20 (B)</t>
  </si>
  <si>
    <t>Hollo Bolt 5/8" dia for seismic loading conditions per ENG-STD-10183</t>
  </si>
  <si>
    <t>Hollo Bolt  - 5/8" (Seismic)</t>
  </si>
  <si>
    <t>4.5.2</t>
  </si>
  <si>
    <t>Connection Details for Custom Reinforcements</t>
  </si>
  <si>
    <t># Bolts</t>
  </si>
  <si>
    <t>N or X</t>
  </si>
  <si>
    <t>End</t>
  </si>
  <si>
    <t>Transverse (Horiz.) Weld Type</t>
  </si>
  <si>
    <t>Edge Dist
(in)</t>
  </si>
  <si>
    <t>Bolt Spacing
(in)</t>
  </si>
  <si>
    <t>Weld Grade
(ksi)</t>
  </si>
  <si>
    <t>Horiz. Fillet Size (in)</t>
  </si>
  <si>
    <t>Vertical Weld Length (in)</t>
  </si>
  <si>
    <t>Vertical Fillet Size (in)</t>
  </si>
  <si>
    <t>Section Length
(ft)</t>
  </si>
  <si>
    <t>Top Diameter
(in)</t>
  </si>
  <si>
    <t>Bend Radius
(in)</t>
  </si>
  <si>
    <t>Horiz. Weld Length 
(in)</t>
  </si>
  <si>
    <t>Horiz. Groove Depth 
(in)</t>
  </si>
  <si>
    <t>Horiz. Groove Angle 
(deg)</t>
  </si>
  <si>
    <t>deg</t>
  </si>
  <si>
    <t>H</t>
  </si>
  <si>
    <t>AZ8:AZ8</t>
  </si>
  <si>
    <t>● Updated the "Reinforcement Details" table on the Input tab to show termination type
● Added Connection Details for Custom Reinforcements table to the Input tab to be printed in the pdf for ease of QA
● Added note to the output indicating whether the ineffective mod check was turned off</t>
  </si>
  <si>
    <t>4.5.3</t>
  </si>
  <si>
    <t>● Updated Import function so there should not be any unintentionally skipped rows in the "Reinforcement Configuration" table
● Updated the "Connection Details for Custom Reinforcements" table to only show custom reinforcements that are utilized in the "Reinforcement Configuration" table</t>
  </si>
  <si>
    <t>4.5.4</t>
  </si>
  <si>
    <t>● Updated function which calculates the equivalent thickness of a reinforced section so that it no longer gets stuck in an infinite loop if it is not able to converge on a solution  within 1% error
● Updated the "Analysis Results" table to match report formatting. Less manual editing should be needed now in MS Word
● Updated button macro so that it only shows the ineffective mod check warning when about to create geometry or run analysis, not after every time a user clicks Next</t>
  </si>
  <si>
    <r>
      <rPr>
        <sz val="10"/>
        <rFont val="Arial"/>
        <family val="2"/>
      </rPr>
      <t xml:space="preserve">         See </t>
    </r>
    <r>
      <rPr>
        <u/>
        <sz val="10"/>
        <color theme="10"/>
        <rFont val="Arial"/>
        <family val="2"/>
      </rPr>
      <t>ENG-STD-10183</t>
    </r>
    <r>
      <rPr>
        <sz val="10"/>
        <rFont val="Arial"/>
        <family val="2"/>
      </rPr>
      <t xml:space="preserve"> for further information</t>
    </r>
  </si>
  <si>
    <t>4.5.5</t>
  </si>
  <si>
    <t>Rev. H Pole Shear</t>
  </si>
  <si>
    <r>
      <t>F</t>
    </r>
    <r>
      <rPr>
        <vertAlign val="subscript"/>
        <sz val="10"/>
        <rFont val="Arial"/>
        <family val="2"/>
      </rPr>
      <t>nv1</t>
    </r>
  </si>
  <si>
    <r>
      <t>F</t>
    </r>
    <r>
      <rPr>
        <vertAlign val="subscript"/>
        <sz val="10"/>
        <rFont val="Arial"/>
        <family val="2"/>
      </rPr>
      <t>nv2</t>
    </r>
  </si>
  <si>
    <r>
      <t>F</t>
    </r>
    <r>
      <rPr>
        <vertAlign val="subscript"/>
        <sz val="10"/>
        <rFont val="Arial"/>
        <family val="2"/>
      </rPr>
      <t>nv</t>
    </r>
  </si>
  <si>
    <t>● Corrected error in Calculations tab for Rev H compression capacity. Now uses the minimum of Fy or F'y as specified in 4.8.2 - was previously just using F'y per Rev G.
● Corrected error in Calculations tab for Rev H shear capacity. Now uses the calculations specified in section 4.8.2.1 &amp; 4.8.2.2 - was previously using Rev G methodology.
● Added a warning to users if the B and H inputs for custom plate reinforcements do not match with the Gross Area value. This can cause a discrepancy in the moment capacity calculations.
● Updated references to FRM and STD documents to be links which open the documents directly
● Updated Import macro to delete previous WO number</t>
  </si>
  <si>
    <t>4.5.6</t>
  </si>
  <si>
    <t>● Updated logic for Rev H shear capacity of round poles. Should no longer error out at 0ft elevation check.</t>
  </si>
  <si>
    <t>4.5.7</t>
  </si>
  <si>
    <t>● Updated the initialization code to bypass the warning if opening from a web address (this happens when opening a file still syncing from SharePoint).</t>
  </si>
  <si>
    <t>section_id</t>
  </si>
  <si>
    <t>elev_bot</t>
  </si>
  <si>
    <t>elev_top</t>
  </si>
  <si>
    <t>length_section</t>
  </si>
  <si>
    <t>length_splice</t>
  </si>
  <si>
    <t>num_sides</t>
  </si>
  <si>
    <t>diam_bot</t>
  </si>
  <si>
    <t>diam_top</t>
  </si>
  <si>
    <t>wall_thickness</t>
  </si>
  <si>
    <t>bend_radius</t>
  </si>
  <si>
    <t>pole_type</t>
  </si>
  <si>
    <t>section_name</t>
  </si>
  <si>
    <t>socket_length</t>
  </si>
  <si>
    <t>weight_mult</t>
  </si>
  <si>
    <t>wp_mult</t>
  </si>
  <si>
    <t>af_factor</t>
  </si>
  <si>
    <t>ar_factor</t>
  </si>
  <si>
    <t>round_area_ratio</t>
  </si>
  <si>
    <t>flat_area_ratio</t>
  </si>
  <si>
    <t>upper_structure_type</t>
  </si>
  <si>
    <t>analysis_deg</t>
  </si>
  <si>
    <t>geom_increment_length</t>
  </si>
  <si>
    <t>reinf_group_id</t>
  </si>
  <si>
    <t>elev_bot_actual</t>
  </si>
  <si>
    <t>elev_bot_eff</t>
  </si>
  <si>
    <t>elev_top_actual</t>
  </si>
  <si>
    <t>elev_top_eff</t>
  </si>
  <si>
    <t>reinf_id</t>
  </si>
  <si>
    <t>pole_flat</t>
  </si>
  <si>
    <t>horizontal_offset</t>
  </si>
  <si>
    <t>description</t>
  </si>
  <si>
    <t>section_reinforced</t>
  </si>
  <si>
    <t>result_lkup_value</t>
  </si>
  <si>
    <t>rating</t>
  </si>
  <si>
    <t>pole_reinf_section_results</t>
  </si>
  <si>
    <t>*Missing from Results Tab</t>
  </si>
  <si>
    <t>check_connections</t>
  </si>
  <si>
    <t>hole_deformation</t>
  </si>
  <si>
    <t>ineff_mod_check</t>
  </si>
  <si>
    <t>result_lkup_id</t>
  </si>
  <si>
    <t>RNFBSH</t>
  </si>
  <si>
    <t>Reinforcement Bolt Shearing</t>
  </si>
  <si>
    <t>Overall (Results col BN)</t>
  </si>
  <si>
    <t>Tension</t>
  </si>
  <si>
    <t>Bolt</t>
  </si>
  <si>
    <t>Comp</t>
  </si>
  <si>
    <t>name</t>
  </si>
  <si>
    <t>type</t>
  </si>
  <si>
    <t>sr_diam</t>
  </si>
  <si>
    <t>channel_thkns_web</t>
  </si>
  <si>
    <t>channel_thkns_flange</t>
  </si>
  <si>
    <t>channel_eo</t>
  </si>
  <si>
    <t>channel_J</t>
  </si>
  <si>
    <t>channel_Cw</t>
  </si>
  <si>
    <t>area_gross</t>
  </si>
  <si>
    <t>istension</t>
  </si>
  <si>
    <t>Ix</t>
  </si>
  <si>
    <t>Iy</t>
  </si>
  <si>
    <t>Kx</t>
  </si>
  <si>
    <t>Ky</t>
  </si>
  <si>
    <t>bolt_hole_size</t>
  </si>
  <si>
    <t>area_net</t>
  </si>
  <si>
    <t>shear_lag</t>
  </si>
  <si>
    <t>connection_type_bot</t>
  </si>
  <si>
    <t>connection_cap_revF_bot</t>
  </si>
  <si>
    <t>connection_cap_revG_bot</t>
  </si>
  <si>
    <t>connection_cap_revH_bot</t>
  </si>
  <si>
    <t>bolt_N_or_X_bot</t>
  </si>
  <si>
    <t>bolt_num_bot</t>
  </si>
  <si>
    <t>bolt_spacing_bot</t>
  </si>
  <si>
    <t>bolt_edge_dist_bot</t>
  </si>
  <si>
    <t>FlangeOrBP_connected_bot</t>
  </si>
  <si>
    <t>weld_grade_bot</t>
  </si>
  <si>
    <t>weld_trans_type_bot</t>
  </si>
  <si>
    <t>weld_trans_length_bot</t>
  </si>
  <si>
    <t>weld_groove_depth_bot</t>
  </si>
  <si>
    <t>weld_groove_angle_bot</t>
  </si>
  <si>
    <t>weld_trans_fillet_size_bot</t>
  </si>
  <si>
    <t>weld_trans_eff_throat_bot</t>
  </si>
  <si>
    <t>weld_long_type_bot</t>
  </si>
  <si>
    <t>weld_long_length_bot</t>
  </si>
  <si>
    <t>weld_long_fillet_size_bot</t>
  </si>
  <si>
    <t>weld_long_eff_throat_bot</t>
  </si>
  <si>
    <t>top_bot_connections_symmetrical</t>
  </si>
  <si>
    <t>connection_type_top</t>
  </si>
  <si>
    <t>connection_cap_revF_top</t>
  </si>
  <si>
    <t>connection_cap_revG_top</t>
  </si>
  <si>
    <t>connection_cap_revH_top</t>
  </si>
  <si>
    <t>bolt_N_or_X_top</t>
  </si>
  <si>
    <t>bolt_num_top</t>
  </si>
  <si>
    <t>bolt_spacing_top</t>
  </si>
  <si>
    <t>bolt_edge_dist_top</t>
  </si>
  <si>
    <t>FlangeOrBP_connected_top</t>
  </si>
  <si>
    <t>weld_grade_top</t>
  </si>
  <si>
    <t>weld_trans_type_top</t>
  </si>
  <si>
    <t>weld_trans_length_top</t>
  </si>
  <si>
    <t>weld_groove_depth_top</t>
  </si>
  <si>
    <t>weld_groove_angle_top</t>
  </si>
  <si>
    <t>weld_trans_fillet_size_top</t>
  </si>
  <si>
    <t>weld_trans_eff_throat_top</t>
  </si>
  <si>
    <t>weld_long_type_top</t>
  </si>
  <si>
    <t>weld_long_length_top</t>
  </si>
  <si>
    <t>weld_long_fillet_size_top</t>
  </si>
  <si>
    <t>weld_long_eff_throat_top</t>
  </si>
  <si>
    <t>conn_length_channel</t>
  </si>
  <si>
    <t>conn_length_bot</t>
  </si>
  <si>
    <t>conn_length_top</t>
  </si>
  <si>
    <t>cap_comp_xx_f</t>
  </si>
  <si>
    <t>cap_comp_yy_f</t>
  </si>
  <si>
    <t>cap_tens_yield_f</t>
  </si>
  <si>
    <t>cap_tens_rupture_f</t>
  </si>
  <si>
    <t>cap_shear_f</t>
  </si>
  <si>
    <t>cap_bolt_shear_bot_f</t>
  </si>
  <si>
    <t>cap_bolt_shear_top_f</t>
  </si>
  <si>
    <t>cap_boltshaft_bearing_nodeform_bot_f</t>
  </si>
  <si>
    <t>cap_boltshaft_bearing_deform_bot_f</t>
  </si>
  <si>
    <t>cap_boltshaft_bearing_nodeform_top_f</t>
  </si>
  <si>
    <t>cap_boltshaft_bearing_deform_top_f</t>
  </si>
  <si>
    <t>cap_boltreinf_bearing_nodeform_bot_f</t>
  </si>
  <si>
    <t>cap_boltreinf_bearing_deform_bot_f</t>
  </si>
  <si>
    <t>cap_boltreinf_bearing_nodeform_top_f</t>
  </si>
  <si>
    <t>cap_boltreinf_bearing_deform_top_f</t>
  </si>
  <si>
    <t>cap_weld_trans_bot_f</t>
  </si>
  <si>
    <t>cap_weld_long_bot_f</t>
  </si>
  <si>
    <t>cap_weld_trans_top_f</t>
  </si>
  <si>
    <t>cap_weld_long_top_f</t>
  </si>
  <si>
    <t>cap_comp_xx_g</t>
  </si>
  <si>
    <t>cap_comp_yy_g</t>
  </si>
  <si>
    <t>cap_tens_yield_g</t>
  </si>
  <si>
    <t>cap_tens_rupture_g</t>
  </si>
  <si>
    <t>cap_shear_g</t>
  </si>
  <si>
    <t>cap_bolt_shear_bot_g</t>
  </si>
  <si>
    <t>cap_bolt_shear_top_g</t>
  </si>
  <si>
    <t>cap_boltshaft_bearing_nodeform_bot_g</t>
  </si>
  <si>
    <t>cap_boltshaft_bearing_deform_bot_g</t>
  </si>
  <si>
    <t>cap_boltshaft_bearing_nodeform_top_g</t>
  </si>
  <si>
    <t>cap_boltshaft_bearing_deform_top_g</t>
  </si>
  <si>
    <t>cap_boltreinf_bearing_nodeform_bot_g</t>
  </si>
  <si>
    <t>cap_boltreinf_bearing_deform_bot_g</t>
  </si>
  <si>
    <t>cap_boltreinf_bearing_nodeform_top_g</t>
  </si>
  <si>
    <t>cap_boltreinf_bearing_deform_top_g</t>
  </si>
  <si>
    <t>cap_weld_trans_bot_g</t>
  </si>
  <si>
    <t>cap_weld_long_bot_g</t>
  </si>
  <si>
    <t>cap_weld_trans_top_g</t>
  </si>
  <si>
    <t>cap_weld_long_top_g</t>
  </si>
  <si>
    <t>cap_comp_xx_h</t>
  </si>
  <si>
    <t>cap_comp_yy_h</t>
  </si>
  <si>
    <t>cap_tens_yield_h</t>
  </si>
  <si>
    <t>cap_tens_rupture_h</t>
  </si>
  <si>
    <t>cap_shear_h</t>
  </si>
  <si>
    <t>cap_bolt_shear_bot_h</t>
  </si>
  <si>
    <t>cap_bolt_shear_top_h</t>
  </si>
  <si>
    <t>cap_boltshaft_bearing_nodeform_bot_h</t>
  </si>
  <si>
    <t>cap_boltshaft_bearing_deform_bot_h</t>
  </si>
  <si>
    <t>cap_boltshaft_bearing_nodeform_top_h</t>
  </si>
  <si>
    <t>cap_boltshaft_bearing_deform_top_h</t>
  </si>
  <si>
    <t>cap_boltreinf_bearing_nodeform_bot_h</t>
  </si>
  <si>
    <t>cap_boltreinf_bearing_deform_bot_h</t>
  </si>
  <si>
    <t>cap_boltreinf_bearing_nodeform_top_h</t>
  </si>
  <si>
    <t>cap_boltreinf_bearing_deform_top_h</t>
  </si>
  <si>
    <t>cap_weld_trans_bot_h</t>
  </si>
  <si>
    <t>cap_weld_long_bot_h</t>
  </si>
  <si>
    <t>cap_weld_trans_top_h</t>
  </si>
  <si>
    <t>cap_weld_long_top_h</t>
  </si>
  <si>
    <t>diam</t>
  </si>
  <si>
    <t>area</t>
  </si>
  <si>
    <t>fu_bolt</t>
  </si>
  <si>
    <t>sleeve_diam_out</t>
  </si>
  <si>
    <t>sleeve_diam_in</t>
  </si>
  <si>
    <t>fu_sleeve</t>
  </si>
  <si>
    <t>bolt_n_sleeve_shear_revF</t>
  </si>
  <si>
    <t>bolt_x_sleeve_shear_revF</t>
  </si>
  <si>
    <t>bolt_n_sleeve_shear_revG</t>
  </si>
  <si>
    <t>bolt_x_sleeve_shear_revG</t>
  </si>
  <si>
    <t>bolt_n_sleeve_shear_revH</t>
  </si>
  <si>
    <t>bolt_x_sleeve_shear_revH</t>
  </si>
  <si>
    <t>rb_applied_revH</t>
  </si>
  <si>
    <t>Bolt ID</t>
  </si>
  <si>
    <t>Reinf ID</t>
  </si>
  <si>
    <t>In round tower section?</t>
  </si>
  <si>
    <t>note</t>
  </si>
  <si>
    <t>LastRow</t>
  </si>
  <si>
    <t>Override</t>
  </si>
  <si>
    <t>CellName</t>
  </si>
  <si>
    <t>CellRange</t>
  </si>
  <si>
    <t>SheetName</t>
  </si>
  <si>
    <t>4.6.0</t>
  </si>
  <si>
    <t>fy</t>
  </si>
  <si>
    <t>fu</t>
  </si>
  <si>
    <t>matl_id</t>
  </si>
  <si>
    <t>Reinf1 Bolt Shear</t>
  </si>
  <si>
    <t>Reinf3 Tension Rupture</t>
  </si>
  <si>
    <t>Do we need a lookup table?</t>
  </si>
  <si>
    <t>Just store overall rating, not applied/allowable forces</t>
  </si>
  <si>
    <t>Not storing MOI &amp; Areas &amp; Mu Pu Vu</t>
  </si>
  <si>
    <t>Updated CCIpole run_analysis macro to output the ind reinf group controlling check</t>
  </si>
  <si>
    <t>Just storing the overall rating, not applied/allowable forces</t>
  </si>
  <si>
    <t>Calcs Modified?</t>
  </si>
  <si>
    <t>modified</t>
  </si>
  <si>
    <t>controlling_component</t>
  </si>
  <si>
    <t>pole_rating</t>
  </si>
  <si>
    <t>controlling_rating</t>
  </si>
  <si>
    <t>CASE</t>
  </si>
  <si>
    <t>TIA</t>
  </si>
  <si>
    <t>Load Z</t>
  </si>
  <si>
    <t>Section 15.5_H</t>
  </si>
  <si>
    <t>NULL</t>
  </si>
  <si>
    <t>pole_structure_id</t>
  </si>
  <si>
    <t>pole_type and socket_length added to match with pole_section table</t>
  </si>
  <si>
    <t>work_order_seq_num</t>
  </si>
  <si>
    <t>TABLE NO LONGER EXISTS WITHIN DB. ALL NECESSARY RESULT DATA STORED WITHIN "pole_reinf_results" TABLE</t>
  </si>
  <si>
    <r>
      <t xml:space="preserve">Do we need </t>
    </r>
    <r>
      <rPr>
        <b/>
        <sz val="10"/>
        <rFont val="Arial"/>
        <family val="2"/>
      </rPr>
      <t>pole_structure_id</t>
    </r>
  </si>
  <si>
    <t>*Should come from ERI file</t>
  </si>
  <si>
    <t>*Added code to "Export_TNX_File" sub to populate "upper_structure_type" field</t>
  </si>
  <si>
    <t>Pole Interaction</t>
  </si>
  <si>
    <t>qty</t>
  </si>
  <si>
    <t>local_section_id</t>
  </si>
  <si>
    <t>local_matl_id</t>
  </si>
  <si>
    <t>group_id</t>
  </si>
  <si>
    <t>local_group_id</t>
  </si>
  <si>
    <t>local_reinf_id</t>
  </si>
  <si>
    <t>local_bolt_id_bot</t>
  </si>
  <si>
    <t>local_bolt_id_top</t>
  </si>
  <si>
    <t>Storing only "custom" bolts</t>
  </si>
  <si>
    <t>Storing only "custom" reinforcements</t>
  </si>
  <si>
    <t>y</t>
  </si>
  <si>
    <t>z</t>
  </si>
  <si>
    <t>E3</t>
  </si>
  <si>
    <t>15.875</t>
  </si>
  <si>
    <t>0.30679615758</t>
  </si>
  <si>
    <t>0.47860200582</t>
  </si>
  <si>
    <t>21</t>
  </si>
  <si>
    <t>30</t>
  </si>
  <si>
    <t>6.4427193091</t>
  </si>
  <si>
    <t>9.2038847273</t>
  </si>
  <si>
    <t>14.358060175</t>
  </si>
  <si>
    <t>54</t>
  </si>
  <si>
    <t>66</t>
  </si>
  <si>
    <t>12.425244382</t>
  </si>
  <si>
    <t>15.1864098</t>
  </si>
  <si>
    <t>23.690799288</t>
  </si>
  <si>
    <t>60</t>
  </si>
  <si>
    <t>75</t>
  </si>
  <si>
    <t>13.805827091</t>
  </si>
  <si>
    <t>17.257283864</t>
  </si>
  <si>
    <t>26.921362827</t>
  </si>
  <si>
    <t>6.09</t>
  </si>
  <si>
    <t>9.78</t>
  </si>
  <si>
    <t>pole.pole</t>
  </si>
  <si>
    <t>pole_id</t>
  </si>
  <si>
    <t>structure_id</t>
  </si>
  <si>
    <t>bus_num</t>
  </si>
  <si>
    <t>modified_person_id</t>
  </si>
  <si>
    <t>process_stage</t>
  </si>
  <si>
    <t>valid_from</t>
  </si>
  <si>
    <t>valid_to</t>
  </si>
  <si>
    <t>Default?</t>
  </si>
  <si>
    <t>local_interference_id</t>
  </si>
  <si>
    <t>Showing only "custom" materials</t>
  </si>
  <si>
    <t>ind_default</t>
  </si>
  <si>
    <t>local_bolt_id</t>
  </si>
  <si>
    <t>bolt_id_bot</t>
  </si>
  <si>
    <t>bolt_id_top</t>
  </si>
  <si>
    <t>Matl ID</t>
  </si>
  <si>
    <t>*these values should be entered into the tool but generated from Structure Class data</t>
  </si>
  <si>
    <t>tool_version</t>
  </si>
  <si>
    <t>local_reinforcement_id</t>
  </si>
  <si>
    <t>result_lkup</t>
  </si>
  <si>
    <t>Imported from EDS?</t>
  </si>
  <si>
    <t>pole.sections</t>
  </si>
  <si>
    <t>pole.reinforced_sections</t>
  </si>
  <si>
    <t>pole.reinforcements</t>
  </si>
  <si>
    <t>pole.reinforcement_details</t>
  </si>
  <si>
    <t>pole.interferences</t>
  </si>
  <si>
    <t>pole.interference_details</t>
  </si>
  <si>
    <t>pole.reinforcement_results</t>
  </si>
  <si>
    <t>gen.pole_matls</t>
  </si>
  <si>
    <t>gen.pole_bolts</t>
  </si>
  <si>
    <t>gen.pole_reinforcements</t>
  </si>
  <si>
    <t>C:\Users\MRudolph\Desktop\C Drive Testing\EDS Testing\CCIpole</t>
  </si>
  <si>
    <t>[File Info]</t>
  </si>
  <si>
    <t>[Common]</t>
  </si>
  <si>
    <t>DesignStandardSeries=TIA/EIA</t>
  </si>
  <si>
    <t>UnitsSystem=US</t>
  </si>
  <si>
    <t>ClientName=Crown Castle</t>
  </si>
  <si>
    <t>ProjectName=BU 816010</t>
  </si>
  <si>
    <t>ProjectNumber=</t>
  </si>
  <si>
    <t>CreatedBy=EMR</t>
  </si>
  <si>
    <t>CreatedOn=Mon Jul 01 12:47:28 2013</t>
  </si>
  <si>
    <t>[US Units]</t>
  </si>
  <si>
    <t>Length=ft</t>
  </si>
  <si>
    <t>LengthPrec=3</t>
  </si>
  <si>
    <t>Coordinate=ft</t>
  </si>
  <si>
    <t>CoordinatePrec=3</t>
  </si>
  <si>
    <t>Force=K</t>
  </si>
  <si>
    <t>ForcePrec=3</t>
  </si>
  <si>
    <t>Load=klf</t>
  </si>
  <si>
    <t>LoadPrec=3</t>
  </si>
  <si>
    <t>Moment=kip-ft</t>
  </si>
  <si>
    <t>MomentPrec=3</t>
  </si>
  <si>
    <t>Properties=in</t>
  </si>
  <si>
    <t>PropertiesPrec=3</t>
  </si>
  <si>
    <t>Pressure=ksf</t>
  </si>
  <si>
    <t>PressurePrec=3</t>
  </si>
  <si>
    <t>Velocity=mph</t>
  </si>
  <si>
    <t>VelocityPrec=0</t>
  </si>
  <si>
    <t>Displacement=in</t>
  </si>
  <si>
    <t>DisplacementPrec=3</t>
  </si>
  <si>
    <t>Mass=lb</t>
  </si>
  <si>
    <t>MassPrec=3</t>
  </si>
  <si>
    <t>Acceleration=G</t>
  </si>
  <si>
    <t>AccelerationPrec=3</t>
  </si>
  <si>
    <t>Stress=ksi</t>
  </si>
  <si>
    <t>StressPrec=3</t>
  </si>
  <si>
    <t>Density=pcf</t>
  </si>
  <si>
    <t>DensityPrec=3</t>
  </si>
  <si>
    <t>UnitWt=plf</t>
  </si>
  <si>
    <t>UnitWtPrec=3</t>
  </si>
  <si>
    <t>Strength=ksi</t>
  </si>
  <si>
    <t>StrengthPrec=3</t>
  </si>
  <si>
    <t>Modulus=ksi</t>
  </si>
  <si>
    <t>ModulusPrec=3</t>
  </si>
  <si>
    <t>Temperature=F</t>
  </si>
  <si>
    <t>TemperaturePrec=3</t>
  </si>
  <si>
    <t>Printer=in</t>
  </si>
  <si>
    <t>PrinterPrec=3</t>
  </si>
  <si>
    <t>Rotation=deg</t>
  </si>
  <si>
    <t>RotationPrec=3</t>
  </si>
  <si>
    <t>Spacing=ft</t>
  </si>
  <si>
    <t>SpacingPrec=3</t>
  </si>
  <si>
    <t>[SI Units]</t>
  </si>
  <si>
    <t>Length=m</t>
  </si>
  <si>
    <t>LengthPrec=4</t>
  </si>
  <si>
    <t>Coordinate=m</t>
  </si>
  <si>
    <t>CoordinatePrec=4</t>
  </si>
  <si>
    <t>Force=N</t>
  </si>
  <si>
    <t>ForcePrec=2</t>
  </si>
  <si>
    <t>Load=Nlm</t>
  </si>
  <si>
    <t>LoadPrec=2</t>
  </si>
  <si>
    <t>Moment=N-m</t>
  </si>
  <si>
    <t>MomentPrec=0</t>
  </si>
  <si>
    <t>Properties=mm</t>
  </si>
  <si>
    <t>PropertiesPrec=0</t>
  </si>
  <si>
    <t>Pressure=kPa</t>
  </si>
  <si>
    <t>PressurePrec=2</t>
  </si>
  <si>
    <t>Velocity=kph</t>
  </si>
  <si>
    <t>Displacement=mm</t>
  </si>
  <si>
    <t>DisplacementPrec=2</t>
  </si>
  <si>
    <t>Mass=kg</t>
  </si>
  <si>
    <t>MassPrec=2</t>
  </si>
  <si>
    <t>AccelerationPrec=2</t>
  </si>
  <si>
    <t>Stress=kPa</t>
  </si>
  <si>
    <t>StressPrec=0</t>
  </si>
  <si>
    <t>Density=N/m3</t>
  </si>
  <si>
    <t>DensityPrec=2</t>
  </si>
  <si>
    <t>UnitWt=Nlm</t>
  </si>
  <si>
    <t>UnitWtPrec=2</t>
  </si>
  <si>
    <t>Strength=kPa</t>
  </si>
  <si>
    <t>StrengthPrec=0</t>
  </si>
  <si>
    <t>Modulus=kPa</t>
  </si>
  <si>
    <t>ModulusPrec=0</t>
  </si>
  <si>
    <t>Temperature=C</t>
  </si>
  <si>
    <t>TemperaturePrec=0</t>
  </si>
  <si>
    <t>Printer=mm</t>
  </si>
  <si>
    <t>PrinterPrec=0</t>
  </si>
  <si>
    <t>RotationPrec=4</t>
  </si>
  <si>
    <t>Spacing=m</t>
  </si>
  <si>
    <t>SpacingPrec=4</t>
  </si>
  <si>
    <t>Architectural=No</t>
  </si>
  <si>
    <t>[Codes]</t>
  </si>
  <si>
    <t>SteelCode=TIA-222-H</t>
  </si>
  <si>
    <t>AluminumCode=Aluminum Assoc.</t>
  </si>
  <si>
    <t>TimberCode=AFPA NDS 1993</t>
  </si>
  <si>
    <t>ConcreteCode=ACI USD</t>
  </si>
  <si>
    <t>MasonryCode=UBC Unity</t>
  </si>
  <si>
    <t>BuildingCode=User Defined</t>
  </si>
  <si>
    <t>PatternLive=Yes</t>
  </si>
  <si>
    <t>PostalCode=53223</t>
  </si>
  <si>
    <t>PatternPerCent=100</t>
  </si>
  <si>
    <t>LoadsActPositiveDown=Yes</t>
  </si>
  <si>
    <t>IncludeSelfWeight=Yes</t>
  </si>
  <si>
    <t>UseLiveLoadReduction=Yes</t>
  </si>
  <si>
    <t>PreCompositeConstructionLoad=0.01</t>
  </si>
  <si>
    <t>ConstructionLoad=0.01</t>
  </si>
  <si>
    <t>PreCompositeDeadLoad=0.01</t>
  </si>
  <si>
    <t>PostCompositeDeadLoad=0.01</t>
  </si>
  <si>
    <t>RoofLiveLoad=0.02</t>
  </si>
  <si>
    <t>FloorLiveLoad=0.04</t>
  </si>
  <si>
    <t>SnowLoad=0.02</t>
  </si>
  <si>
    <t>WindLoad=0.02</t>
  </si>
  <si>
    <t>UBCSeismicZone=4</t>
  </si>
  <si>
    <t>UBCSeismicI=1</t>
  </si>
  <si>
    <t>UBCSeismicS=1</t>
  </si>
  <si>
    <t>UBCSeismicRw=8</t>
  </si>
  <si>
    <t>UBCWindExposureCategory=B</t>
  </si>
  <si>
    <t>UBCWindI=1</t>
  </si>
  <si>
    <t>UBCWindSpeed=70</t>
  </si>
  <si>
    <t>UBCWindOpenDoor=No</t>
  </si>
  <si>
    <t>UBCSnowLoad=0.02</t>
  </si>
  <si>
    <t>UBCConcentratedForce=0</t>
  </si>
  <si>
    <t>UBCSnowI=1</t>
  </si>
  <si>
    <t>UBCSnowCe=0.7</t>
  </si>
  <si>
    <t>UBCIsGarage=No</t>
  </si>
  <si>
    <t>UBCUsePostal=Yes</t>
  </si>
  <si>
    <t>SBCCISeismicAv=0.4</t>
  </si>
  <si>
    <t>SBCCISeismicAa=0.4</t>
  </si>
  <si>
    <t>SBCCISeismicS=1</t>
  </si>
  <si>
    <t>SBCCISeismicR=8</t>
  </si>
  <si>
    <t>SBCCISeismicCd=4</t>
  </si>
  <si>
    <t>SBCCIWindExposureCategory=A</t>
  </si>
  <si>
    <t>SBCCIWindI=1</t>
  </si>
  <si>
    <t>SBCCIWindSpeed=70</t>
  </si>
  <si>
    <t>SBCCIWindOpenDoor=No</t>
  </si>
  <si>
    <t>SBCCISnowLoad=0.02</t>
  </si>
  <si>
    <t>SBCCIConcentratedForce=0</t>
  </si>
  <si>
    <t>SBCCISnowI=1</t>
  </si>
  <si>
    <t>SBCCISnowCe=0.7</t>
  </si>
  <si>
    <t>SBCCISnowCt=1</t>
  </si>
  <si>
    <t>SBCCIIsGarage=No</t>
  </si>
  <si>
    <t>SBCCIUsePostal=Yes</t>
  </si>
  <si>
    <t>BOCASeismicAv=0.4</t>
  </si>
  <si>
    <t>BOCASeismicAa=0.4</t>
  </si>
  <si>
    <t>BOCASeismicS=1</t>
  </si>
  <si>
    <t>BOCASeismicR=8</t>
  </si>
  <si>
    <t>BOCASeismicCd=4</t>
  </si>
  <si>
    <t>BOCAWindExposureCategory=A</t>
  </si>
  <si>
    <t>BOCAWindI=1</t>
  </si>
  <si>
    <t>BOCAWindSpeed=70</t>
  </si>
  <si>
    <t>BOCAWindOpenDoor=No</t>
  </si>
  <si>
    <t>BOCASnowLoad=0.02</t>
  </si>
  <si>
    <t>BOCAConcentratedForce=0</t>
  </si>
  <si>
    <t>BOCASnowI=1</t>
  </si>
  <si>
    <t>BOCASnowCe=0.7</t>
  </si>
  <si>
    <t>BOCAIsGarage=No</t>
  </si>
  <si>
    <t>BOCAUsePostal=Yes</t>
  </si>
  <si>
    <t>[Application]</t>
  </si>
  <si>
    <t>MemberMatFile=STEEL_GRADE</t>
  </si>
  <si>
    <t>MatName=A500-46</t>
  </si>
  <si>
    <t>MatValues=46000 62000 29000000 11200000 6.5e-006 0.283565999</t>
  </si>
  <si>
    <t>MatName=A572-65</t>
  </si>
  <si>
    <t>MatValues=65000 80000 29000000 11200000 6.5e-006 0.283565999</t>
  </si>
  <si>
    <t>MatName=A36</t>
  </si>
  <si>
    <t>MatValues=36000 58000 29000000 11194000 6.5e-006 0.283564814814815</t>
  </si>
  <si>
    <t>BoltMatFile=STEEL_GRADE</t>
  </si>
  <si>
    <t>MatName=A325N</t>
  </si>
  <si>
    <t>MatValues=120000 90000 48000</t>
  </si>
  <si>
    <t>[Structure]</t>
  </si>
  <si>
    <t>ViewerCompanyName=Crown Castle</t>
  </si>
  <si>
    <t>ViewerStreetAddress=2000 Corporate Drive</t>
  </si>
  <si>
    <t>ViewerPhone=(724) 416-2000</t>
  </si>
  <si>
    <t>ViewerCompanyBitmap=CCI</t>
  </si>
  <si>
    <t>sReportProjectNumber=1908720</t>
  </si>
  <si>
    <t>sReportJobType=0</t>
  </si>
  <si>
    <t>sReportCarrierName=DISH Network</t>
  </si>
  <si>
    <t>sReportCarrierSiteNumber=STSTL00220A</t>
  </si>
  <si>
    <t>sReportCarrierSiteName=IL-CCI-T-880720</t>
  </si>
  <si>
    <t>sReportSiteAddress=3320 STEPPIG ROAD, COLUMBIA, Monroe County, IL</t>
  </si>
  <si>
    <t>sReportLatitudeDegree=38.000000</t>
  </si>
  <si>
    <t>sReportLatitudeMinute=25.000000</t>
  </si>
  <si>
    <t>sReportLatitudeSecond=1.700000</t>
  </si>
  <si>
    <t>sReportLongitudeDegree=-90.000000</t>
  </si>
  <si>
    <t>sReportLongitudeMinute=12.000000</t>
  </si>
  <si>
    <t>sReportLongitudeSecond=50.900000</t>
  </si>
  <si>
    <t>sReportLocalCodeRequirement=IBC 2009</t>
  </si>
  <si>
    <t>sReportSiteHistory=Modifications were previously designed for this tower by B&amp;T Engineering, Project No. 80936.009A, dated 05/15/2012. Per the Modification Inspection Report by B+T Group, Project No. 85563.001, dated 11/08/2012, these modifications have b</t>
  </si>
  <si>
    <t>sReportTowerManufacturer=FWT</t>
  </si>
  <si>
    <t>sReportMonthManufactured=July</t>
  </si>
  <si>
    <t>sReportYearManufactured=1994</t>
  </si>
  <si>
    <t>sReportOriginalSpeed=1232.000000</t>
  </si>
  <si>
    <t>sReportOriginalCode=TIA/EIA-222-E</t>
  </si>
  <si>
    <t>sReportTowerType=Monopole</t>
  </si>
  <si>
    <t>sReportEngrName=</t>
  </si>
  <si>
    <t>sReportEngrTitle=</t>
  </si>
  <si>
    <t>sReportHQPhoneNumber=</t>
  </si>
  <si>
    <t>sReportEmailAddress=</t>
  </si>
  <si>
    <t>sReportLogoPath=C:\Users\Sumanth\Desktop\B+T Report Header.png</t>
  </si>
  <si>
    <t>sReportCCiContactName=Amber Puckett</t>
  </si>
  <si>
    <t>sReportCCiAddress1=</t>
  </si>
  <si>
    <t>sReportCCiAddress2=</t>
  </si>
  <si>
    <t>sReportCCiBUNumber=880720</t>
  </si>
  <si>
    <t>sReportCCiSiteName=MICHAEL STUMPF PROPERTY #1</t>
  </si>
  <si>
    <t>sReportCCiJDENumber=626413</t>
  </si>
  <si>
    <t>sReportCCiWONumber=1908720</t>
  </si>
  <si>
    <t>sReportCCiPONumber=</t>
  </si>
  <si>
    <t>sReportCCiAppNumber=536264</t>
  </si>
  <si>
    <t>sReportCCiRevNumber=0</t>
  </si>
  <si>
    <t>sReportDocsProvided=Online Application&lt;~~&gt;Verizon Wireless Co-Locate, Revision# 1&lt;~~&gt;203647&lt;~~&gt;CCI Sites</t>
  </si>
  <si>
    <t>sReportDocsProvided=Tower Manufacturer Drawings&lt;~~&gt;Andrew, Drawing No. MP-94531&lt;~~&gt;406488&lt;~~&gt;CCI Sites</t>
  </si>
  <si>
    <t>sReportDocsProvided=Tower Reinforcement Drawings&lt;~~&gt;B+T Grp, Project No. 85563.001&lt;~~&gt;3180572&lt;~~&gt;CCI Sites</t>
  </si>
  <si>
    <t>sReportDocsProvided=&lt;~~&gt;&lt;~~&gt;&lt;~~&gt;CCI Sites</t>
  </si>
  <si>
    <t>sReportDocsProvided=Post Modification Inspection&lt;~~&gt;B+T Grp, Project No. 85563.001&lt;~~&gt;3368978&lt;~~&gt;CCI Sites</t>
  </si>
  <si>
    <t>sReportDocsProvided=Foundation Drawings&lt;~~&gt;Andrew, Job No. CA 807&lt;~~&gt;406487&lt;~~&gt;CCI Sites</t>
  </si>
  <si>
    <t>sReportDocsProvided=Geotech Report&lt;~~&gt;TEP, Project No. 128932.10&lt;~~&gt;3360465&lt;~~&gt;CCI Sites</t>
  </si>
  <si>
    <t>sReportDocsProvided=Antenna Configuration&lt;~~&gt;Previous Failing SA by Morrison Hershfield, Project No. CN2-175R3/6140001&lt;~~&gt;Date: 11/13/2013&lt;~~&gt;CCI Sites</t>
  </si>
  <si>
    <t>sReportRecommendations=N/A&lt;~~&gt;</t>
  </si>
  <si>
    <t>sReportAppurt1=73&lt;~~&gt;76&lt;~~&gt;2&lt;~~&gt;amphenol&lt;~~&gt;HTXCW331821X000 w/ Mount Pipe&lt;~~&gt;&lt;~~&gt;6&lt;~~&gt;7/8&lt;~~&gt;&lt;~~&gt;Proposed</t>
  </si>
  <si>
    <t>sReportAppurt1=73&lt;~~&gt;76&lt;~~&gt;2&lt;~~&gt;amphenol&lt;~~&gt;HTXCW331821X000 w/ Mount Pipe&lt;~~&gt;&lt;~~&gt;&lt;~~&gt;&lt;~~&gt;&lt;~~&gt;Proposed</t>
  </si>
  <si>
    <t>sReportAppurt1=73&lt;~~&gt;76&lt;~~&gt;1&lt;~~&gt;ericsson&lt;~~&gt;RRUS 12 W/SOLAR SHIELD&lt;~~&gt;&lt;~~&gt;&lt;~~&gt;&lt;~~&gt;&lt;~~&gt;Proposed</t>
  </si>
  <si>
    <t>sReportAppurt2=73&lt;~~&gt;76&lt;~~&gt;2&lt;~~&gt;antel&lt;~~&gt;BXA-80063/6CFx6 w/ Mount Pipe&lt;~~&gt;&lt;~~&gt;&lt;~~&gt;&lt;~~&gt;7&lt;~~&gt;Temporary</t>
  </si>
  <si>
    <t>sReportAppurt2=73&lt;~~&gt;73&lt;~~&gt;1&lt;~~&gt;tower mounts&lt;~~&gt;T-Arm Mount [TA 901-3]&lt;~~&gt;&lt;~~&gt;12&lt;~~&gt;7/8&lt;~~&gt;1&lt;~~&gt;Existing-C</t>
  </si>
  <si>
    <t>sReportAppurt2=65&lt;~~&gt;65&lt;~~&gt;1&lt;~~&gt;andrew&lt;~~&gt;VHLPX2-11W-6WH&lt;~~&gt;&lt;~~&gt;1&lt;~~&gt;EWP90&lt;~~&gt;2&lt;~~&gt;Reserved</t>
  </si>
  <si>
    <t>sReportAppurt2=65&lt;~~&gt;65&lt;~~&gt;1&lt;~~&gt;tower mounts&lt;~~&gt;Side Arm Mount [SO 102-1]&lt;~~&gt;&lt;~~&gt;&lt;~~&gt;&lt;~~&gt;2&lt;~~&gt;Reserved</t>
  </si>
  <si>
    <t>sReportAppurt3=75&lt;~~&gt;75&lt;~~&gt;3&lt;~~&gt;Decibel&lt;~~&gt;DB872&lt;~~&gt;&lt;~~&gt;-&lt;~~&gt;</t>
  </si>
  <si>
    <t>sReportAddlCapacity=Anchor Rods&lt;~~&gt;1&lt;~~&gt;0&lt;~~&gt;&lt;~~&gt;&lt;~~&gt;Yes</t>
  </si>
  <si>
    <t>sReportAddlCapacity=Base Plate&lt;~~&gt;1&lt;~~&gt;0&lt;~~&gt;&lt;~~&gt;&lt;~~&gt;Yes</t>
  </si>
  <si>
    <t>sReportAddlCapacity=Base Foundation&lt;~~&gt;1&lt;~~&gt;0&lt;~~&gt;&lt;~~&gt;&lt;~~&gt;Yes</t>
  </si>
  <si>
    <t>sReportAddlCapacity=Base Foundation Soil Interaction&lt;~~&gt;1&lt;~~&gt;0&lt;~~&gt;&lt;~~&gt;&lt;~~&gt;No</t>
  </si>
  <si>
    <t>sReportAddlCapacity=Base Foundation (Compared w/ Design Loads)&lt;~~&gt;&lt;~~&gt;&lt;~~&gt;&lt;~~&gt;&lt;~~&gt;No</t>
  </si>
  <si>
    <t>sReportAddlCapacity=Guy Anchor Shaft&lt;~~&gt;&lt;~~&gt;&lt;~~&gt;&lt;~~&gt;&lt;~~&gt;No</t>
  </si>
  <si>
    <t>sReportAddlCapacity=Guy Anchor Foundation Structural&lt;~~&gt;&lt;~~&gt;&lt;~~&gt;&lt;~~&gt;&lt;~~&gt;No</t>
  </si>
  <si>
    <t>sReportAddlCapacity=Guy Anchor Foundation Soil Interaction&lt;~~&gt;&lt;~~&gt;&lt;~~&gt;&lt;~~&gt;&lt;~~&gt;No</t>
  </si>
  <si>
    <t>sReportAddlCapacity=Guy Anchor Foundation (Comp. w/ Design Loads)&lt;~~&gt;&lt;~~&gt;&lt;~~&gt;&lt;~~&gt;&lt;~~&gt;No</t>
  </si>
  <si>
    <t>sReportAddlCapacity=Reinforcement Plates 0.5 ft to 30.5 ft&lt;~~&gt;&lt;~~&gt;&lt;~~&gt;&lt;~~&gt;&lt;~~&gt;No</t>
  </si>
  <si>
    <t>sReportAddlCapacity=Reinforcement Plates 25.5 ft to 40.5 ft&lt;~~&gt;&lt;~~&gt;&lt;~~&gt;&lt;~~&gt;&lt;~~&gt;No</t>
  </si>
  <si>
    <t>sReportAddlCapacity=Reinforcing Anchor Bolts&lt;~~&gt;&lt;~~&gt;0&lt;~~&gt;&lt;~~&gt;&lt;~~&gt;No</t>
  </si>
  <si>
    <t>sReportAppurt1Note1=</t>
  </si>
  <si>
    <t>sReportAppurt1Note2=</t>
  </si>
  <si>
    <t>sReportAppurt1Note3=</t>
  </si>
  <si>
    <t>sReportAppurt1Note4=</t>
  </si>
  <si>
    <t>sReportAppurt1Note5=</t>
  </si>
  <si>
    <t>sReportAppurt1Note6=</t>
  </si>
  <si>
    <t>sReportAppurt1Note7=</t>
  </si>
  <si>
    <t>sReportAppurt2Note1=Existing Equipment</t>
  </si>
  <si>
    <t>sReportAppurt2Note2=Reserved Equipment</t>
  </si>
  <si>
    <t>sReportAppurt2Note3=Equipment To Be Removed</t>
  </si>
  <si>
    <t>sReportAppurt2Note4=</t>
  </si>
  <si>
    <t>sReportAppurt2Note5=</t>
  </si>
  <si>
    <t>sReportAppurt2Note6=</t>
  </si>
  <si>
    <t>sReportAppurt2Note7=</t>
  </si>
  <si>
    <t>sReportAddlCapacityNote1=See additional documentation in “Appendix C – Additional Calculations” for calculations supporting the % capacity consumed.</t>
  </si>
  <si>
    <t>sReportAddlCapacityNote2=Capacities up to 105% are considered acceptable based on analysis methods used.</t>
  </si>
  <si>
    <t>sReportAddlCapacityNote3=Foundation capacity determined by comparing analysis reactions to original design reactions.</t>
  </si>
  <si>
    <t>sReportAddlCapacityNote4=</t>
  </si>
  <si>
    <t>DesignCode=TIA-222-H</t>
  </si>
  <si>
    <t>TowerType=3x Free Standing</t>
  </si>
  <si>
    <t>AntennaType=Tapered Pole</t>
  </si>
  <si>
    <t>OverallHeight=90.000000</t>
  </si>
  <si>
    <t>BaseElevation=0.000000</t>
  </si>
  <si>
    <t>Lambda=10.000000</t>
  </si>
  <si>
    <t>TowerBaseFaceWidth=1.583330</t>
  </si>
  <si>
    <t>WindSpeed=94.000000</t>
  </si>
  <si>
    <t>WindSpeedIce=30.000000</t>
  </si>
  <si>
    <t>WindSpeedService=60.000000</t>
  </si>
  <si>
    <t>IceThickness=0.000000</t>
  </si>
  <si>
    <t>CSA_S37_RefVelPress=0.009398</t>
  </si>
  <si>
    <t>CSA_S37_ReliabilityClass=0</t>
  </si>
  <si>
    <t>CSA_S37_ServiceabilityFactor=1.000000</t>
  </si>
  <si>
    <t>UseModified_TIA_222_IceParameters=No</t>
  </si>
  <si>
    <t>TIA_222_IceThicknessMultiplier=1.000000</t>
  </si>
  <si>
    <t>DoNotUse_TIA_222_IceEscalation=No</t>
  </si>
  <si>
    <t>IceDensity=56.000000</t>
  </si>
  <si>
    <t>SeismicSiteClass=3</t>
  </si>
  <si>
    <t>SeismicSs=0.000000</t>
  </si>
  <si>
    <t>SeismicS1=0.000000</t>
  </si>
  <si>
    <t>TempDrop=50.000000</t>
  </si>
  <si>
    <t>GroutFc=8.000000</t>
  </si>
  <si>
    <t>GirtOffset=1.000000</t>
  </si>
  <si>
    <t>GirtOffsetLatticedPole=1.000000</t>
  </si>
  <si>
    <t>MastVert=0.000000</t>
  </si>
  <si>
    <t>MastHorz=0.000000</t>
  </si>
  <si>
    <t>GuyVert=0.000000</t>
  </si>
  <si>
    <t>GuyHorz=0.000000</t>
  </si>
  <si>
    <t>AntennaPoleType=0</t>
  </si>
  <si>
    <t>AntennaPoleHt=0.000000</t>
  </si>
  <si>
    <t>BeaconDiameter=0.000000</t>
  </si>
  <si>
    <t>AntennaPoleIx=0.000000</t>
  </si>
  <si>
    <t>AntennaPoleIy=0.000000</t>
  </si>
  <si>
    <t>AntennaPoleEmod=0.000000</t>
  </si>
  <si>
    <t>AntennaPoleWtNoIce=0.000000</t>
  </si>
  <si>
    <t>AntennaPoleWtIce=0.000000</t>
  </si>
  <si>
    <t>AntennaPoleWindNoIce=0.000000</t>
  </si>
  <si>
    <t>AntennaPoleWindIce=0.000000</t>
  </si>
  <si>
    <t>AntennaPoleWindService=0.000000</t>
  </si>
  <si>
    <t>AntennaPoleCaAaNoIce=0.000000</t>
  </si>
  <si>
    <t>AntennaPoleCaAaIce=0.000000</t>
  </si>
  <si>
    <t>BeaconWtNoIce=0.000000</t>
  </si>
  <si>
    <t>BeaconWtIce=0.000000</t>
  </si>
  <si>
    <t>BeaconWindNoIce=0.000000</t>
  </si>
  <si>
    <t>BeaconWindIce=0.000000</t>
  </si>
  <si>
    <t>BeaconWindService=0.000000</t>
  </si>
  <si>
    <t>BeaconCaAaNoIce=0.000000</t>
  </si>
  <si>
    <t>BeaconCaAaIce=0.000000</t>
  </si>
  <si>
    <t>HogRodTakeup=0.000000</t>
  </si>
  <si>
    <t>TowerTaper=None</t>
  </si>
  <si>
    <t>GuyedMonopoleBaseType=Fixed Base</t>
  </si>
  <si>
    <t>TaperHeight=10.000000</t>
  </si>
  <si>
    <t>PivotHeight=0.000000</t>
  </si>
  <si>
    <t>AutoCalcGH=Yes</t>
  </si>
  <si>
    <t>IncludeCapacityNote=Yes</t>
  </si>
  <si>
    <t>IncludeAppurtGraphics=Yes</t>
  </si>
  <si>
    <t>DisplayNotes=Yes</t>
  </si>
  <si>
    <t>DisplayReactions=Yes</t>
  </si>
  <si>
    <t>DisplaySchedule=Yes</t>
  </si>
  <si>
    <t>DisplayAppurtenanceTable=No</t>
  </si>
  <si>
    <t>DisplayMaterialStrengthTable=Yes</t>
  </si>
  <si>
    <t>AutoCalc_ASCE_GH=No</t>
  </si>
  <si>
    <t>ASCE_ExposureCat=1</t>
  </si>
  <si>
    <t>ASCE_Year=3</t>
  </si>
  <si>
    <t>ASCEGh=0.850000</t>
  </si>
  <si>
    <t>ASCEI=1.000000</t>
  </si>
  <si>
    <t>UseASCEWind=No</t>
  </si>
  <si>
    <t>UserGHElev=0.000000</t>
  </si>
  <si>
    <t>UseCodeGuySF=Yes</t>
  </si>
  <si>
    <t>GuySF=1.000000</t>
  </si>
  <si>
    <t>CalcWindAt=0</t>
  </si>
  <si>
    <t>TowerBoltGrade=A325N</t>
  </si>
  <si>
    <t>TowerBoltMinEdgeDist=1.500000</t>
  </si>
  <si>
    <t>AllowStressRatio=1.050000</t>
  </si>
  <si>
    <t>AllowAntStressRatio=1.050000</t>
  </si>
  <si>
    <t>WindCalcPoints=</t>
  </si>
  <si>
    <t>UseIndexPlate=No</t>
  </si>
  <si>
    <t>EnterUserDefinedGhValues=No</t>
  </si>
  <si>
    <t>BaseTowerGhInput=1.000000</t>
  </si>
  <si>
    <t>UpperStructureGhInput=1.000000</t>
  </si>
  <si>
    <t>EnterUserDefinedCgValues=No</t>
  </si>
  <si>
    <t>BaseTowerCgInput=2.000000</t>
  </si>
  <si>
    <t>UpperStructureCgInput=2.000000</t>
  </si>
  <si>
    <t>CheckVonMises=Yes</t>
  </si>
  <si>
    <t>UseClearSpans=Yes</t>
  </si>
  <si>
    <t>UseClearSpansKlr=No</t>
  </si>
  <si>
    <t>AntennaFaceWidth=0.000000</t>
  </si>
  <si>
    <t>DoInteraction=No</t>
  </si>
  <si>
    <t>DoHorzInteraction=No</t>
  </si>
  <si>
    <t>DoDiagInteraction=No</t>
  </si>
  <si>
    <t>UseMomentMagnification=No</t>
  </si>
  <si>
    <t>UseShielding=No</t>
  </si>
  <si>
    <t>UseFeedlineAsCylinder=No</t>
  </si>
  <si>
    <t>OffsetBotGirt=No</t>
  </si>
  <si>
    <t>PrintBitmaps=No</t>
  </si>
  <si>
    <t>UseTopTakeup=Yes</t>
  </si>
  <si>
    <t>ConstantSlope=No</t>
  </si>
  <si>
    <t>UseCodeStressRatio=No</t>
  </si>
  <si>
    <t>UseLegLoads=No</t>
  </si>
  <si>
    <t>ERIDesignMode=Check Sections</t>
  </si>
  <si>
    <t>WindExposure=1</t>
  </si>
  <si>
    <t>WindZone=2</t>
  </si>
  <si>
    <t>StructureCategory=1</t>
  </si>
  <si>
    <t>RiskCategory=1</t>
  </si>
  <si>
    <t>TopoCategory=0</t>
  </si>
  <si>
    <t>RSMTopographicFeature=0</t>
  </si>
  <si>
    <t>RSM_L=0.000000</t>
  </si>
  <si>
    <t>RSM_X=0.000000</t>
  </si>
  <si>
    <t>CrestHeight=0.000000</t>
  </si>
  <si>
    <t>TIA_222_H_TopoFeatureDownwind=No</t>
  </si>
  <si>
    <t>BaseElevAboveSeaLevel=363.000000</t>
  </si>
  <si>
    <t>ConsiderRooftopSpeedUp=No</t>
  </si>
  <si>
    <t>RooftopWS=0.000000</t>
  </si>
  <si>
    <t>RooftopHS=0.000000</t>
  </si>
  <si>
    <t>RooftopParapetHt=0.000000</t>
  </si>
  <si>
    <t>RooftopXB=0.000000</t>
  </si>
  <si>
    <t>UseTIA222H_AnnexS=Yes</t>
  </si>
  <si>
    <t>UseASCE7_10_Seismic_LComb=No</t>
  </si>
  <si>
    <t>EIACWindMult=1</t>
  </si>
  <si>
    <t>EIACWindMultIce=0.75</t>
  </si>
  <si>
    <t>EIACIgnoreCableDrag=No</t>
  </si>
  <si>
    <t>Notes=</t>
  </si>
  <si>
    <t>AntennaRec=1</t>
  </si>
  <si>
    <t>AntennaNumSesctions=1</t>
  </si>
  <si>
    <t>AntennaTaperPoleMatlGrade=A500-46</t>
  </si>
  <si>
    <t>AntennaRec=2</t>
  </si>
  <si>
    <t>AntennaRec=3</t>
  </si>
  <si>
    <t>AntennaTaperPoleNumSides=12</t>
  </si>
  <si>
    <t>AntennaTaperPoleMatlGrade=A572-65</t>
  </si>
  <si>
    <t>AntennaTaperPoleNumSides=18</t>
  </si>
  <si>
    <t>SuppElev1=0.000000</t>
  </si>
  <si>
    <t>SuppNone1=Yes</t>
  </si>
  <si>
    <t>SuppLegA1=No</t>
  </si>
  <si>
    <t>SuppLegB1=No</t>
  </si>
  <si>
    <t>SuppLegC1=No</t>
  </si>
  <si>
    <t>SuppLegD1=No</t>
  </si>
  <si>
    <t>SuppVert1=No</t>
  </si>
  <si>
    <t>SuppElev2=0.000000</t>
  </si>
  <si>
    <t>SuppNone2=Yes</t>
  </si>
  <si>
    <t>SuppLegA2=No</t>
  </si>
  <si>
    <t>SuppLegB2=No</t>
  </si>
  <si>
    <t>SuppLegC2=No</t>
  </si>
  <si>
    <t>SuppLegD2=No</t>
  </si>
  <si>
    <t>SuppVert2=No</t>
  </si>
  <si>
    <t>SuppNone3=Yes</t>
  </si>
  <si>
    <t>SuppLegA3=No</t>
  </si>
  <si>
    <t>SuppLegB3=No</t>
  </si>
  <si>
    <t>SuppLegC3=No</t>
  </si>
  <si>
    <t>SuppLegD3=No</t>
  </si>
  <si>
    <t>SuppVert3=No</t>
  </si>
  <si>
    <t>EliminateBase=No</t>
  </si>
  <si>
    <t>MRSSNumSpiderLegs=0</t>
  </si>
  <si>
    <t>MRSSUseMitredLegs=No</t>
  </si>
  <si>
    <t>MRSSSpiderType=Tube</t>
  </si>
  <si>
    <t>MRSSSpiderSize=HSS8x8x3/8</t>
  </si>
  <si>
    <t>MRSSSpiderGradeVal=36</t>
  </si>
  <si>
    <t>MRSSSpiderGrade=A36</t>
  </si>
  <si>
    <t>MRSSSpacerThick=0.250000</t>
  </si>
  <si>
    <t>MRSSSpiderRadius=15.000000</t>
  </si>
  <si>
    <t>MRSSClampRingHt=15.000000</t>
  </si>
  <si>
    <t>MRSSSpiderMaxPoleMoment=0.000000</t>
  </si>
  <si>
    <t>NumTowerRecs=0</t>
  </si>
  <si>
    <t>BasePlateDataPlateGradeVal=36</t>
  </si>
  <si>
    <t>BasePlateDataPlateGrade=A36</t>
  </si>
  <si>
    <t>BasePlateDataSquareBasePlate=No</t>
  </si>
  <si>
    <t>BasePlateDataGrouted=No</t>
  </si>
  <si>
    <t>BasePlateDataAnchorBoltGrade=A325X</t>
  </si>
  <si>
    <t>BasePlateDataBasePlateType=Plain Plate</t>
  </si>
  <si>
    <t>BasePlateDataNumBolts=12</t>
  </si>
  <si>
    <t>BasePlateDataNumBoltsPerStiffener=1</t>
  </si>
  <si>
    <t>BasePlateDataAnchorBoltSize=1.500000</t>
  </si>
  <si>
    <t>BasePlateDataAnchorBoltCircle=0.000000</t>
  </si>
  <si>
    <t>BasePlateDataEmbedmentLength=24.000000</t>
  </si>
  <si>
    <t>BasePlateDataGroutSpace=2.000000</t>
  </si>
  <si>
    <t>BasePlateDataThick=0.000000</t>
  </si>
  <si>
    <t>BasePlateDataInnerDiameter=0.000000</t>
  </si>
  <si>
    <t>BasePlateDataOuterDiameter=0.000000</t>
  </si>
  <si>
    <t>BasePlateDataClippedCorner=0.000000</t>
  </si>
  <si>
    <t>BasePlateDataStiffenerThick=0.000000</t>
  </si>
  <si>
    <t>BasePlateDataStiffenerHeight=0.000000</t>
  </si>
  <si>
    <t>BasePlateDatafpc=4.000000</t>
  </si>
  <si>
    <t>FtgDataFtgType=Pier Broms Eqn</t>
  </si>
  <si>
    <t>FtgDataPierDiameter=60.000000</t>
  </si>
  <si>
    <t>FtgDataPierLength=30.000000</t>
  </si>
  <si>
    <t>FtgDataSpreadPierWidth=24.000000</t>
  </si>
  <si>
    <t>FtgDataSpreadFtgDepth=0.000000</t>
  </si>
  <si>
    <t>FtgDataSpreadFtgWidth=8.000000</t>
  </si>
  <si>
    <t>FtgDataSpreadFtgThickness=24.000000</t>
  </si>
  <si>
    <t>FtgDataTieSpacing=12.000000</t>
  </si>
  <si>
    <t>FtgDataAllowBrgPressure=3.000000</t>
  </si>
  <si>
    <t>FtgDataConcretefpc=3.500000</t>
  </si>
  <si>
    <t>FtgDataRebarFy=60.000000</t>
  </si>
  <si>
    <t>FtgDataPierBarSize=#10</t>
  </si>
  <si>
    <t>FtgDataTopBarSize=#8</t>
  </si>
  <si>
    <t>FtgDataBotBarSize=#8</t>
  </si>
  <si>
    <t>FtgDataTieSize=#4</t>
  </si>
  <si>
    <t>FtgDataNumBotBars=0</t>
  </si>
  <si>
    <t>FtgDataNumPierBars=0</t>
  </si>
  <si>
    <t>FtgDataNumTopBars=0</t>
  </si>
  <si>
    <t>FtgDataSoilLayers0soilType=Medium Clay</t>
  </si>
  <si>
    <t>FtgDataSoilLayers0layerDepth=50.000000</t>
  </si>
  <si>
    <t>FtgDataSoilLayers0density=120.000000</t>
  </si>
  <si>
    <t>FtgDataSoilLayers0shearStrength=0.000000</t>
  </si>
  <si>
    <t>FtgDataSoilLayers0phiAngle=30.000000</t>
  </si>
  <si>
    <t>FtgDataSoilLayers1soilType=</t>
  </si>
  <si>
    <t>FtgDataSoilLayers1layerDepth=0.000000</t>
  </si>
  <si>
    <t>FtgDataSoilLayers1density=0.000000</t>
  </si>
  <si>
    <t>FtgDataSoilLayers1shearStrength=0.000000</t>
  </si>
  <si>
    <t>FtgDataSoilLayers1phiAngle=0.000000</t>
  </si>
  <si>
    <t>FtgDataSoilLayers2soilType=</t>
  </si>
  <si>
    <t>FtgDataSoilLayers2layerDepth=0.000000</t>
  </si>
  <si>
    <t>FtgDataSoilLayers2density=0.000000</t>
  </si>
  <si>
    <t>FtgDataSoilLayers2shearStrength=0.000000</t>
  </si>
  <si>
    <t>FtgDataSoilLayers2phiAngle=0.000000</t>
  </si>
  <si>
    <t>FtgDataSoilLayers3soilType=</t>
  </si>
  <si>
    <t>FtgDataSoilLayers3layerDepth=0.000000</t>
  </si>
  <si>
    <t>FtgDataSoilLayers3density=0.000000</t>
  </si>
  <si>
    <t>FtgDataSoilLayers3shearStrength=0.000000</t>
  </si>
  <si>
    <t>FtgDataSoilLayers3phiAngle=0.000000</t>
  </si>
  <si>
    <t>FtgDataSoilLayers4soilType=</t>
  </si>
  <si>
    <t>FtgDataSoilLayers4layerDepth=0.000000</t>
  </si>
  <si>
    <t>FtgDataSoilLayers4density=0.000000</t>
  </si>
  <si>
    <t>FtgDataSoilLayers4shearStrength=0.000000</t>
  </si>
  <si>
    <t>FtgDataSoilLayers4phiAngle=0.000000</t>
  </si>
  <si>
    <t>DesignChoicesList=0 1</t>
  </si>
  <si>
    <t>DesignChoicesList=1 1</t>
  </si>
  <si>
    <t>DesignChoicesList=2 1</t>
  </si>
  <si>
    <t>DesignChoicesList=3 1</t>
  </si>
  <si>
    <t>DesignChoicesList=4 1</t>
  </si>
  <si>
    <t>DesignChoicesList=5 1</t>
  </si>
  <si>
    <t>DesignChoicesList=6 1</t>
  </si>
  <si>
    <t>DesignChoicesList=7 1</t>
  </si>
  <si>
    <t>DesignChoicesList=8 1</t>
  </si>
  <si>
    <t>DesignChoicesList=9 1</t>
  </si>
  <si>
    <t>DesignChoicesList=10 1</t>
  </si>
  <si>
    <t>DesignChoicesList=11 1</t>
  </si>
  <si>
    <t>DesignChoicesList=12 1</t>
  </si>
  <si>
    <t>DesignChoicesList=13 1</t>
  </si>
  <si>
    <t>DesignChoicesList=14 1</t>
  </si>
  <si>
    <t>DesignChoicesList=15 1</t>
  </si>
  <si>
    <t>DesignChoicesList=16 1</t>
  </si>
  <si>
    <t>DesignChoicesList=17 1</t>
  </si>
  <si>
    <t>DesignChoicesList=18 1</t>
  </si>
  <si>
    <t>DesignChoicesList=19 1</t>
  </si>
  <si>
    <t>DesignChoicesList=20 1</t>
  </si>
  <si>
    <t>DesignChoicesList=21 1</t>
  </si>
  <si>
    <t>DesignChoicesList=22 1</t>
  </si>
  <si>
    <t>DesignChoicesList=23 1</t>
  </si>
  <si>
    <t>DesignChoicesList=24 1</t>
  </si>
  <si>
    <t>DesignChoicesList=25 1</t>
  </si>
  <si>
    <t>DesignChoicesList=26 1</t>
  </si>
  <si>
    <t>DesignChoicesList=27 1</t>
  </si>
  <si>
    <t>DesignChoicesList=28 1</t>
  </si>
  <si>
    <t>DesignChoicesList=29 1</t>
  </si>
  <si>
    <t>DesignChoicesList=30 1</t>
  </si>
  <si>
    <t>DesignChoicesList=31 1</t>
  </si>
  <si>
    <t>DesignChoicesList=32 1</t>
  </si>
  <si>
    <t>DesignChoicesList=33 1</t>
  </si>
  <si>
    <t>DesignChoicesList=34 1</t>
  </si>
  <si>
    <t>DesignChoicesList=35 1</t>
  </si>
  <si>
    <t>DesignChoicesList=36 1</t>
  </si>
  <si>
    <t>DesignChoicesList=37 1</t>
  </si>
  <si>
    <t>DesignChoicesList=38 1</t>
  </si>
  <si>
    <t>DesignChoicesList=39 1</t>
  </si>
  <si>
    <t>DesignChoicesList=40 1</t>
  </si>
  <si>
    <t>DesignChoicesList=41 1</t>
  </si>
  <si>
    <t>DesignChoicesList=42 1</t>
  </si>
  <si>
    <t>DesignChoicesList=43 1</t>
  </si>
  <si>
    <t>DesignChoicesList=44 1</t>
  </si>
  <si>
    <t>DesignChoicesList=45 1</t>
  </si>
  <si>
    <t>DesignChoicesList=46 1</t>
  </si>
  <si>
    <t>DesignChoicesList=47 1</t>
  </si>
  <si>
    <t>DesignChoicesList=48 1</t>
  </si>
  <si>
    <t>DesignChoicesList=49 1</t>
  </si>
  <si>
    <t>DesignChoicesList=50 1</t>
  </si>
  <si>
    <t>DesignChoicesList=51 1</t>
  </si>
  <si>
    <t>DesignChoicesList=52 1</t>
  </si>
  <si>
    <t>DesignChoicesList=53 1</t>
  </si>
  <si>
    <t>DesignChoicesList=54 1</t>
  </si>
  <si>
    <t>DesignChoicesList=55 1</t>
  </si>
  <si>
    <t>DesignChoicesList=56 1</t>
  </si>
  <si>
    <t>DesignChoicesList=57 1</t>
  </si>
  <si>
    <t>DesignChoicesList=58 1</t>
  </si>
  <si>
    <t>DesignChoicesList=59 1</t>
  </si>
  <si>
    <t>DesignChoicesList=60 1</t>
  </si>
  <si>
    <t>DesignChoicesList=61 1</t>
  </si>
  <si>
    <t>DesignChoicesList=62 1</t>
  </si>
  <si>
    <t>DesignChoicesList=63 1</t>
  </si>
  <si>
    <t>DesignChoicesList=64 1</t>
  </si>
  <si>
    <t>DesignChoicesList=65 1</t>
  </si>
  <si>
    <t>DesignChoicesList=66 1</t>
  </si>
  <si>
    <t>DesignChoicesList=67 1</t>
  </si>
  <si>
    <t>DesignChoicesList=68 1</t>
  </si>
  <si>
    <t>DesignChoicesList=69 1</t>
  </si>
  <si>
    <t>DesignChoicesList=70 1</t>
  </si>
  <si>
    <t>DesignChoicesList=71 1</t>
  </si>
  <si>
    <t>DesignChoicesList=72 1</t>
  </si>
  <si>
    <t>DesignChoicesList=73 1</t>
  </si>
  <si>
    <t>DesignChoicesList=74 1</t>
  </si>
  <si>
    <t>DesignChoicesList=75 1</t>
  </si>
  <si>
    <t>DesignChoicesList=76 1</t>
  </si>
  <si>
    <t>DesignChoicesList=77 1</t>
  </si>
  <si>
    <t>DesignChoicesList=78 1</t>
  </si>
  <si>
    <t>DesignChoicesList=79 1</t>
  </si>
  <si>
    <t>DesignChoicesList=80 1</t>
  </si>
  <si>
    <t>DesignChoicesList=81 1</t>
  </si>
  <si>
    <t>DesignChoicesList=82 1</t>
  </si>
  <si>
    <t>DesignChoicesList=83 1</t>
  </si>
  <si>
    <t>DesignChoicesList=84 1</t>
  </si>
  <si>
    <t>DesignChoicesList=85 1</t>
  </si>
  <si>
    <t>DesignChoicesList=86 1</t>
  </si>
  <si>
    <t>DesignChoicesList=87 1</t>
  </si>
  <si>
    <t>DesignChoicesList=88 1</t>
  </si>
  <si>
    <t>DesignChoicesList=89 1</t>
  </si>
  <si>
    <t>DesignChoicesList=90 1</t>
  </si>
  <si>
    <t>DesignChoicesList=91 1</t>
  </si>
  <si>
    <t>DesignChoicesList=92 1</t>
  </si>
  <si>
    <t>DesignChoicesList=93 1</t>
  </si>
  <si>
    <t>DesignChoicesList=94 1</t>
  </si>
  <si>
    <t>DesignChoicesList=95 1</t>
  </si>
  <si>
    <t>DesignChoicesList=96 1</t>
  </si>
  <si>
    <t>DesignChoicesList=97 1</t>
  </si>
  <si>
    <t>DesignChoicesList=98 1</t>
  </si>
  <si>
    <t>DesignChoicesList=99 1</t>
  </si>
  <si>
    <t>DesignChoicesList=100 1</t>
  </si>
  <si>
    <t>DesignChoicesList=101 1</t>
  </si>
  <si>
    <t>DesignChoicesList=102 1</t>
  </si>
  <si>
    <t>DesignChoicesList=103 1</t>
  </si>
  <si>
    <t>DesignChoicesList=104 1</t>
  </si>
  <si>
    <t>DesignChoicesList=105 1</t>
  </si>
  <si>
    <t>DesignChoicesList=106 1</t>
  </si>
  <si>
    <t>DesignChoicesList=107 1</t>
  </si>
  <si>
    <t>DesignChoicesList=108 1</t>
  </si>
  <si>
    <t>DesignChoicesList=109 1</t>
  </si>
  <si>
    <t>DesignChoicesList=110 1</t>
  </si>
  <si>
    <t>DesignChoicesList=111 1</t>
  </si>
  <si>
    <t>DesignChoicesList=112 1</t>
  </si>
  <si>
    <t>DesignChoicesList=113 1</t>
  </si>
  <si>
    <t>CostData=0.500000 0.500000 0.500000 0.500000 0.500000 0.500000 0.500000 0.500000 0.500000 0.500000 0.500000 0.500000 0.500000 0.500000</t>
  </si>
  <si>
    <t>HandlingCostData=0.500000 0.500000 0.500000 0.500000 0.500000 0.500000 0.500000 0.500000 0.500000 0.500000 0.500000 0.500000 0.500000 0.500000</t>
  </si>
  <si>
    <t>NumGuyRecs=0</t>
  </si>
  <si>
    <t>NumFeedLineRecs=28</t>
  </si>
  <si>
    <t>FeedLineRec=1</t>
  </si>
  <si>
    <t>FeedLineEnabled=Yes</t>
  </si>
  <si>
    <t>FeedLineDatabase=</t>
  </si>
  <si>
    <t>FeedLineDescription=***</t>
  </si>
  <si>
    <t>FeedLineClassificationCategory=&lt;unassigned&gt;</t>
  </si>
  <si>
    <t>FeedLineNote=</t>
  </si>
  <si>
    <t>FeedLineNum=1</t>
  </si>
  <si>
    <t>FeedLineUseShielding=No</t>
  </si>
  <si>
    <t>ExcludeFeedLineFromTorque=No</t>
  </si>
  <si>
    <t>FeedLineNumPerRow=1</t>
  </si>
  <si>
    <t>FeedLineFace=0</t>
  </si>
  <si>
    <t>FeedLineComponentType=Ar (CaAa)</t>
  </si>
  <si>
    <t>FeedLineGroupTreatmentType=Individual Lines</t>
  </si>
  <si>
    <t>FeedLineRoundClusterDia=0.000000</t>
  </si>
  <si>
    <t>FeedLineWidth=0.000000</t>
  </si>
  <si>
    <t>FeedLinePerimeter=0.000000</t>
  </si>
  <si>
    <t>FlatAttachmentEffectiveWidthRatio=1.0000</t>
  </si>
  <si>
    <t>AutoCalcFlatAttachmentEffectiveWidthRatio=No</t>
  </si>
  <si>
    <t>FeedLineShieldingFactorKaNoIce=1.0000</t>
  </si>
  <si>
    <t>FeedLineShieldingFactorKaIce=1.0000</t>
  </si>
  <si>
    <t>FeedLineAutoCalcKa=No</t>
  </si>
  <si>
    <t>FeedLineCaAaNoIce=0.000000</t>
  </si>
  <si>
    <t>FeedLineCaAaIce=0.000000</t>
  </si>
  <si>
    <t>FeedLineCaAaIce_1=0.000000</t>
  </si>
  <si>
    <t>FeedLineCaAaIce_2=0.000000</t>
  </si>
  <si>
    <t>FeedLineCaAaIce_4=0.000000</t>
  </si>
  <si>
    <t>FeedLineWtNoIce=0.000000</t>
  </si>
  <si>
    <t>FeedLineWtIce=0.000000</t>
  </si>
  <si>
    <t>FeedLineWtIce_1=0.000000</t>
  </si>
  <si>
    <t>FeedLineWtIce_2=0.000000</t>
  </si>
  <si>
    <t>FeedLineWtIce_4=0.000000</t>
  </si>
  <si>
    <t>FeedLineFaceOffset=0.000000</t>
  </si>
  <si>
    <t>FeedLineOffsetFrac=0.000000</t>
  </si>
  <si>
    <t>FeedLinePerimeterOffsetStartFrac=0.000000</t>
  </si>
  <si>
    <t>FeedLinePerimeterOffsetEndFrac=0.000000</t>
  </si>
  <si>
    <t>FeedLineStartHt=0.000000</t>
  </si>
  <si>
    <t>FeedLineEndHt=0.000000</t>
  </si>
  <si>
    <t>FeedLineClearSpacing=0.000000</t>
  </si>
  <si>
    <t>FeedLineRowClearSpacing=0.000000</t>
  </si>
  <si>
    <t>FeedLineRec=2</t>
  </si>
  <si>
    <t>FeedLineRec=3</t>
  </si>
  <si>
    <t>FeedLineDescription=MP3-04</t>
  </si>
  <si>
    <t>FeedLineNote=DOC 3180572</t>
  </si>
  <si>
    <t>FeedLineFace=2</t>
  </si>
  <si>
    <t>FeedLineComponentType=Surface Af (CaAa)</t>
  </si>
  <si>
    <t>FeedLineGroupTreatmentType=Side Projected Area</t>
  </si>
  <si>
    <t>FeedLineWidth=4.780000</t>
  </si>
  <si>
    <t>FeedLinePerimeter=12.780000</t>
  </si>
  <si>
    <t>AutoCalcFlatAttachmentEffectiveWidthRatio=Yes</t>
  </si>
  <si>
    <t>FeedLinePerimeterOffsetStartFrac=0.250000</t>
  </si>
  <si>
    <t>FeedLinePerimeterOffsetEndFrac=0.250000</t>
  </si>
  <si>
    <t>FeedLineEndHt=40.500000</t>
  </si>
  <si>
    <t>FeedLineRec=4</t>
  </si>
  <si>
    <t>FeedLineFace=1</t>
  </si>
  <si>
    <t>FeedLineRec=5</t>
  </si>
  <si>
    <t>FeedLineRec=6</t>
  </si>
  <si>
    <t>FeedLineRec=7</t>
  </si>
  <si>
    <t>FeedLineEnabled=No</t>
  </si>
  <si>
    <t>FeedLineDatabase=miscl</t>
  </si>
  <si>
    <t>FeedLineDescription=CCI-65FP-045100</t>
  </si>
  <si>
    <t>FeedLineNote=DOC 4115346</t>
  </si>
  <si>
    <t>FeedLineWidth=4.500000</t>
  </si>
  <si>
    <t>FeedLinePerimeter=11.000000</t>
  </si>
  <si>
    <t>FeedLineCaAaNoIce=0.166667</t>
  </si>
  <si>
    <t>FeedLineCaAaIce=0.250000</t>
  </si>
  <si>
    <t>FeedLineCaAaIce_1=0.333334</t>
  </si>
  <si>
    <t>FeedLineCaAaIce_2=0.500000</t>
  </si>
  <si>
    <t>FeedLineCaAaIce_4=0.833333</t>
  </si>
  <si>
    <t>FeedLinePerimeterOffsetEndFrac=0.100000</t>
  </si>
  <si>
    <t>FeedLineStartHt=36.500000</t>
  </si>
  <si>
    <t>FeedLineEndHt=46.500000</t>
  </si>
  <si>
    <t>FeedLineRec=8</t>
  </si>
  <si>
    <t>FeedLineRec=9</t>
  </si>
  <si>
    <t>FeedLineRec=10</t>
  </si>
  <si>
    <t>FeedLineRec=11</t>
  </si>
  <si>
    <t>FeedLineRec=12</t>
  </si>
  <si>
    <t>FeedLineDatabase=ericsson</t>
  </si>
  <si>
    <t>FeedLineDescription=HCS 6X12 4AWG(1-5/8)</t>
  </si>
  <si>
    <t>FeedLineClassificationCategory=Proposed</t>
  </si>
  <si>
    <t>FeedLineNote=Proposed</t>
  </si>
  <si>
    <t>FeedLineNum=3</t>
  </si>
  <si>
    <t>FeedLineNumPerRow=3</t>
  </si>
  <si>
    <t>FeedLineComponentType=Inside Pole</t>
  </si>
  <si>
    <t>FeedLineWidth=1.660000</t>
  </si>
  <si>
    <t>FeedLinePerimeter=5.215040</t>
  </si>
  <si>
    <t>FeedLineWtNoIce=0.002400</t>
  </si>
  <si>
    <t>FeedLineEndHt=90.000000</t>
  </si>
  <si>
    <t>FeedLineClearSpacing=1.660000</t>
  </si>
  <si>
    <t>FeedLineRowClearSpacing=1.660000</t>
  </si>
  <si>
    <t>FeedLineRec=13</t>
  </si>
  <si>
    <t>FeedLineRec=14</t>
  </si>
  <si>
    <t>FeedLineDatabase=andrew</t>
  </si>
  <si>
    <t>FeedLineDescription=LDF5-50A(7/8)</t>
  </si>
  <si>
    <t>FeedLineClassificationCategory=Existing</t>
  </si>
  <si>
    <t>FeedLineNote=Installed</t>
  </si>
  <si>
    <t>FeedLineNum=12</t>
  </si>
  <si>
    <t>FeedLineNumPerRow=12</t>
  </si>
  <si>
    <t>FeedLineWidth=1.090000</t>
  </si>
  <si>
    <t>FeedLinePerimeter=3.424340</t>
  </si>
  <si>
    <t>FeedLineWtNoIce=0.000330</t>
  </si>
  <si>
    <t>FeedLineEndHt=73.000000</t>
  </si>
  <si>
    <t>FeedLineClearSpacing=1.090000</t>
  </si>
  <si>
    <t>FeedLineRowClearSpacing=1.090000</t>
  </si>
  <si>
    <t>FeedLineRec=15</t>
  </si>
  <si>
    <t>FeedLineDatabase=commscope</t>
  </si>
  <si>
    <t>FeedLineDescription=RFA1608-16S26-XXX(1-1/4)</t>
  </si>
  <si>
    <t>FeedLineWidth=1.270000</t>
  </si>
  <si>
    <t>FeedLinePerimeter=3.989820</t>
  </si>
  <si>
    <t>FeedLineWtNoIce=0.001305</t>
  </si>
  <si>
    <t>FeedLineClearSpacing=1.270000</t>
  </si>
  <si>
    <t>FeedLineRowClearSpacing=1.270000</t>
  </si>
  <si>
    <t>FeedLineRec=16</t>
  </si>
  <si>
    <t>FeedLineRec=17</t>
  </si>
  <si>
    <t>FeedLineRec=18</t>
  </si>
  <si>
    <t>FeedLineDescription=CCI-65FP-040125</t>
  </si>
  <si>
    <t>FeedLineWidth=4.000000</t>
  </si>
  <si>
    <t>FeedLinePerimeter=10.500000</t>
  </si>
  <si>
    <t>FeedLineCaAaNoIce=0.208333</t>
  </si>
  <si>
    <t>FeedLineCaAaIce=0.291667</t>
  </si>
  <si>
    <t>FeedLineCaAaIce_1=0.375000</t>
  </si>
  <si>
    <t>FeedLineCaAaIce_2=0.514667</t>
  </si>
  <si>
    <t>FeedLineCaAaIce_4=0.875000</t>
  </si>
  <si>
    <t>FeedLineStartHt=10.500000</t>
  </si>
  <si>
    <t>FeedLineEndHt=25.500000</t>
  </si>
  <si>
    <t>FeedLineRowClearSpacing=4.000000</t>
  </si>
  <si>
    <t>FeedLineRec=19</t>
  </si>
  <si>
    <t>FeedLineRec=20</t>
  </si>
  <si>
    <t>FeedLineRec=21</t>
  </si>
  <si>
    <t>FeedLineDescription=*</t>
  </si>
  <si>
    <t>FeedLineRec=22</t>
  </si>
  <si>
    <t>FeedLineStartHt=70.000000</t>
  </si>
  <si>
    <t>FeedLineEndHt=75.000000</t>
  </si>
  <si>
    <t>FeedLineRec=23</t>
  </si>
  <si>
    <t>FeedLineRec=24</t>
  </si>
  <si>
    <t>FeedLineRec=25</t>
  </si>
  <si>
    <t>FeedLineRec=26</t>
  </si>
  <si>
    <t>FeedLineDescription=CCI-65FP-050125</t>
  </si>
  <si>
    <t>FeedLineWidth=5.000000</t>
  </si>
  <si>
    <t>FeedLinePerimeter=12.500000</t>
  </si>
  <si>
    <t>FeedLineCaAaIce_2=0.541667</t>
  </si>
  <si>
    <t>FeedLineEndHt=70.000000</t>
  </si>
  <si>
    <t>FeedLineRowClearSpacing=5.000000</t>
  </si>
  <si>
    <t>FeedLineRec=27</t>
  </si>
  <si>
    <t>FeedLineRec=28</t>
  </si>
  <si>
    <t>NumFeedTowerRecs=0</t>
  </si>
  <si>
    <t>FCDescription=</t>
  </si>
  <si>
    <t>FCNoIceAxial=0.000000</t>
  </si>
  <si>
    <t>FCNoIceShear=0.000000</t>
  </si>
  <si>
    <t>FCNoIceMoment=0.000000</t>
  </si>
  <si>
    <t>FCNoIceTorque=0.000000</t>
  </si>
  <si>
    <t>FCIceAxial=0.000000</t>
  </si>
  <si>
    <t>FCIceShear=0.000000</t>
  </si>
  <si>
    <t>FCIceMoment=0.000000</t>
  </si>
  <si>
    <t>FCIceTorque=0.000000</t>
  </si>
  <si>
    <t>FCServiceShear=0.000000</t>
  </si>
  <si>
    <t>FCServiceMoment=0.000000</t>
  </si>
  <si>
    <t>FCServiceTorque=0.000000</t>
  </si>
  <si>
    <t>NumTowerLoadRecs=35</t>
  </si>
  <si>
    <t>TowerLoadRec=1</t>
  </si>
  <si>
    <t>TowerLoadEnabled=Yes</t>
  </si>
  <si>
    <t>TowerLoadDatabase=</t>
  </si>
  <si>
    <t>TowerLoadDescription=***</t>
  </si>
  <si>
    <t>TowerLoadType=</t>
  </si>
  <si>
    <t>TowerLoadClassificationCategory=&lt;unassigned&gt;</t>
  </si>
  <si>
    <t>TowerLoadNote=</t>
  </si>
  <si>
    <t>TowerLoadNum=1</t>
  </si>
  <si>
    <t>TowerLoadFace=0</t>
  </si>
  <si>
    <t>TowerOffsetType=None</t>
  </si>
  <si>
    <t>TowerOffsetDist=0.000000</t>
  </si>
  <si>
    <t>TowerVertOffset=0.000000</t>
  </si>
  <si>
    <t>TowerLateralOffset=0.000000</t>
  </si>
  <si>
    <t>TowerAzimuthAdjustment=0.000000</t>
  </si>
  <si>
    <t>TowerAppurtSymbol=&lt;None&gt;</t>
  </si>
  <si>
    <t>TowerLoadShieldingFactorKaNoIce=1.0000</t>
  </si>
  <si>
    <t>TowerLoadShieldingFactorKaIce=1.0000</t>
  </si>
  <si>
    <t>TowerLoadAutoCalcKa=No</t>
  </si>
  <si>
    <t>TowerLoadCaAaNoIce=0.000000</t>
  </si>
  <si>
    <t>TowerLoadCaAaIce=0.000000</t>
  </si>
  <si>
    <t>TowerLoadCaAaIce_1=0.000000</t>
  </si>
  <si>
    <t>TowerLoadCaAaIce_2=0.000000</t>
  </si>
  <si>
    <t>TowerLoadCaAaIce_4=0.000000</t>
  </si>
  <si>
    <t>TowerLoadCaAaNoIce_Side=0.000000</t>
  </si>
  <si>
    <t>TowerLoadCaAaIce_Side=0.000000</t>
  </si>
  <si>
    <t>TowerLoadCaAaIce_Side_1=0.000000</t>
  </si>
  <si>
    <t>TowerLoadCaAaIce_Side_2=0.000000</t>
  </si>
  <si>
    <t>TowerLoadCaAaIce_Side_4=0.000000</t>
  </si>
  <si>
    <t>TowerLoadWtNoIce=0.000000</t>
  </si>
  <si>
    <t>TowerLoadWtIce=0.000000</t>
  </si>
  <si>
    <t>TowerLoadWtIce_1=0.000000</t>
  </si>
  <si>
    <t>TowerLoadWtIce_2=0.000000</t>
  </si>
  <si>
    <t>TowerLoadWtIce_4=0.000000</t>
  </si>
  <si>
    <t>TowerLoadStartHt=0.000000</t>
  </si>
  <si>
    <t>TowerLoadEndHt=0.000000</t>
  </si>
  <si>
    <t>TowerLoadRec=2</t>
  </si>
  <si>
    <t>TowerLoadRec=3</t>
  </si>
  <si>
    <t>TowerLoadDatabase=andrew</t>
  </si>
  <si>
    <t>TowerLoadDescription=HBXX-6516DS-A2M w/ Mount Pipe</t>
  </si>
  <si>
    <t>TowerLoadType=Antenna</t>
  </si>
  <si>
    <t>TowerLoadClassificationCategory=Proposed</t>
  </si>
  <si>
    <t>TowerLoadNote=Proposed</t>
  </si>
  <si>
    <t>TowerLoadFace=2</t>
  </si>
  <si>
    <t>TowerOffsetType=From Leg</t>
  </si>
  <si>
    <t>TowerOffsetDist=48.000000</t>
  </si>
  <si>
    <t>TowerAppurtSymbol=3 Flat Panels</t>
  </si>
  <si>
    <t>TowerLoadShieldingFactorKaNoIce=0.9000</t>
  </si>
  <si>
    <t>TowerLoadShieldingFactorKaIce=0.9000</t>
  </si>
  <si>
    <t>TowerLoadWtIce_1=0.147410</t>
  </si>
  <si>
    <t>TowerLoadStartHt=90.000000</t>
  </si>
  <si>
    <t>TowerLoadEndHt=90.000000</t>
  </si>
  <si>
    <t>TowerLoadRec=4</t>
  </si>
  <si>
    <t>TowerLoadFace=1</t>
  </si>
  <si>
    <t>TowerLoadRec=5</t>
  </si>
  <si>
    <t>TowerLoadRec=6</t>
  </si>
  <si>
    <t>TowerLoadDatabase=ericsson</t>
  </si>
  <si>
    <t>TowerLoadDescription=AIR6449 B41_T-MOBILE w/ Mount Pipe</t>
  </si>
  <si>
    <t>TowerLoadRec=7</t>
  </si>
  <si>
    <t>TowerLoadRec=8</t>
  </si>
  <si>
    <t>TowerLoadRec=9</t>
  </si>
  <si>
    <t>TowerLoadDatabase=rfs celwave</t>
  </si>
  <si>
    <t>TowerLoadDescription=APXVAALL24_43-U-NA20_TMO w/ Mount Pipe</t>
  </si>
  <si>
    <t>TowerLoadRec=10</t>
  </si>
  <si>
    <t>TowerLoadRec=11</t>
  </si>
  <si>
    <t>TowerLoadRec=12</t>
  </si>
  <si>
    <t>TowerLoadDescription=RADIO 4415 B66A_CCIV3</t>
  </si>
  <si>
    <t>TowerLoadType=Other</t>
  </si>
  <si>
    <t>TowerLoadWtNoIce=0.046000</t>
  </si>
  <si>
    <t>TowerLoadWtIce=0.058709</t>
  </si>
  <si>
    <t>TowerLoadWtIce_1=0.073485</t>
  </si>
  <si>
    <t>TowerLoadWtIce_2=0.110910</t>
  </si>
  <si>
    <t>TowerLoadWtIce_4=0.222705</t>
  </si>
  <si>
    <t>TowerLoadRec=13</t>
  </si>
  <si>
    <t>TowerLoadRec=14</t>
  </si>
  <si>
    <t>TowerLoadRec=15</t>
  </si>
  <si>
    <t>TowerLoadDescription=RADIO 4424 B25_TMO</t>
  </si>
  <si>
    <t>TowerLoadWtNoIce=0.086000</t>
  </si>
  <si>
    <t>TowerLoadWtIce=0.106935</t>
  </si>
  <si>
    <t>TowerLoadWtIce_1=0.130838</t>
  </si>
  <si>
    <t>TowerLoadWtIce_2=0.188328</t>
  </si>
  <si>
    <t>TowerLoadWtIce_4=0.347486</t>
  </si>
  <si>
    <t>TowerLoadRec=16</t>
  </si>
  <si>
    <t>TowerLoadRec=17</t>
  </si>
  <si>
    <t>TowerLoadRec=18</t>
  </si>
  <si>
    <t>TowerLoadDescription=RADIO 4449 B71 B85A_T-MOBILE</t>
  </si>
  <si>
    <t>TowerLoadWtNoIce=0.073000</t>
  </si>
  <si>
    <t>TowerLoadWtIce=0.092974</t>
  </si>
  <si>
    <t>TowerLoadWtIce_1=0.115637</t>
  </si>
  <si>
    <t>TowerLoadWtIce_2=0.170442</t>
  </si>
  <si>
    <t>TowerLoadWtIce_4=0.323403</t>
  </si>
  <si>
    <t>TowerLoadRec=19</t>
  </si>
  <si>
    <t>TowerLoadRec=20</t>
  </si>
  <si>
    <t>TowerLoadRec=21</t>
  </si>
  <si>
    <t>TowerLoadEnabled=No</t>
  </si>
  <si>
    <t>TowerLoadDescription=P-(MCRM1030-3)</t>
  </si>
  <si>
    <t>TowerLoadType=Mount</t>
  </si>
  <si>
    <t>TowerLoadNote=P</t>
  </si>
  <si>
    <t>TowerAppurtSymbol=4' Standoff</t>
  </si>
  <si>
    <t>TowerLoadCaAaNoIce=1.980000</t>
  </si>
  <si>
    <t>TowerLoadCaAaIce=2.478000</t>
  </si>
  <si>
    <t>TowerLoadCaAaIce_1=2.976000</t>
  </si>
  <si>
    <t>TowerLoadCaAaIce_2=3.972000</t>
  </si>
  <si>
    <t>TowerLoadCaAaIce_4=5.964000</t>
  </si>
  <si>
    <t>TowerLoadCaAaNoIce_Side=1.980000</t>
  </si>
  <si>
    <t>TowerLoadCaAaIce_Side=2.478000</t>
  </si>
  <si>
    <t>TowerLoadCaAaIce_Side_1=2.976000</t>
  </si>
  <si>
    <t>TowerLoadCaAaIce_Side_2=3.972000</t>
  </si>
  <si>
    <t>TowerLoadCaAaIce_Side_4=5.964000</t>
  </si>
  <si>
    <t>TowerLoadWtNoIce=0.190300</t>
  </si>
  <si>
    <t>TowerLoadWtIce=0.250000</t>
  </si>
  <si>
    <t>TowerLoadWtIce_1=0.309700</t>
  </si>
  <si>
    <t>TowerLoadWtIce_2=0.429100</t>
  </si>
  <si>
    <t>TowerLoadWtIce_4=0.667900</t>
  </si>
  <si>
    <t>TowerLoadRec=22</t>
  </si>
  <si>
    <t>TowerLoadDatabase=tower mounts</t>
  </si>
  <si>
    <t>TowerLoadDescription=T-Arm Mount [TA 602-3]</t>
  </si>
  <si>
    <t>TowerAppurtSymbol=12' T-Bar</t>
  </si>
  <si>
    <t>TowerLoadCaAaNoIce=13.400000</t>
  </si>
  <si>
    <t>TowerLoadCaAaIce=16.440000</t>
  </si>
  <si>
    <t>TowerLoadCaAaIce_1=19.700000</t>
  </si>
  <si>
    <t>TowerLoadCaAaIce_2=25.860000</t>
  </si>
  <si>
    <t>TowerLoadCaAaIce_4=40.310000</t>
  </si>
  <si>
    <t>TowerLoadCaAaNoIce_Side=13.400000</t>
  </si>
  <si>
    <t>TowerLoadCaAaIce_Side=16.440000</t>
  </si>
  <si>
    <t>TowerLoadCaAaIce_Side_1=19.700000</t>
  </si>
  <si>
    <t>TowerLoadCaAaIce_Side_2=25.860000</t>
  </si>
  <si>
    <t>TowerLoadCaAaIce_Side_4=40.310000</t>
  </si>
  <si>
    <t>TowerLoadWtNoIce=0.774300</t>
  </si>
  <si>
    <t>TowerLoadWtIce=1.004040</t>
  </si>
  <si>
    <t>TowerLoadWtIce_1=1.291530</t>
  </si>
  <si>
    <t>TowerLoadWtIce_2=2.052600</t>
  </si>
  <si>
    <t>TowerLoadWtIce_4=4.408860</t>
  </si>
  <si>
    <t>TowerLoadRec=23</t>
  </si>
  <si>
    <t>TowerLoadRec=24</t>
  </si>
  <si>
    <t>TowerLoadDescription=Pipe Mount [PM 601-1]</t>
  </si>
  <si>
    <t>TowerOffsetType=From Face</t>
  </si>
  <si>
    <t>TowerOffsetDist=6.000000</t>
  </si>
  <si>
    <t>TowerAppurtSymbol=4' Lightning Rod</t>
  </si>
  <si>
    <t>TowerLoadCaAaNoIce=1.320000</t>
  </si>
  <si>
    <t>TowerLoadCaAaIce=1.580000</t>
  </si>
  <si>
    <t>TowerLoadCaAaIce_1=1.840000</t>
  </si>
  <si>
    <t>TowerLoadCaAaIce_2=2.400000</t>
  </si>
  <si>
    <t>TowerLoadCaAaIce_4=3.620000</t>
  </si>
  <si>
    <t>TowerLoadCaAaNoIce_Side=1.320000</t>
  </si>
  <si>
    <t>TowerLoadCaAaIce_Side=1.580000</t>
  </si>
  <si>
    <t>TowerLoadCaAaIce_Side_1=1.840000</t>
  </si>
  <si>
    <t>TowerLoadCaAaIce_Side_2=2.400000</t>
  </si>
  <si>
    <t>TowerLoadCaAaIce_Side_4=3.620000</t>
  </si>
  <si>
    <t>TowerLoadWtNoIce=0.065000</t>
  </si>
  <si>
    <t>TowerLoadWtIce=0.077470</t>
  </si>
  <si>
    <t>TowerLoadWtIce_1=0.093000</t>
  </si>
  <si>
    <t>TowerLoadWtIce_2=0.133820</t>
  </si>
  <si>
    <t>TowerLoadWtIce_4=0.258850</t>
  </si>
  <si>
    <t>TowerLoadStartHt=83.000000</t>
  </si>
  <si>
    <t>TowerLoadEndHt=83.000000</t>
  </si>
  <si>
    <t>TowerLoadRec=25</t>
  </si>
  <si>
    <t>TowerLoadRec=26</t>
  </si>
  <si>
    <t>TowerLoadDescription=SBNHH-1D65B w/ Mount Pipe</t>
  </si>
  <si>
    <t>TowerLoadClassificationCategory=Existing</t>
  </si>
  <si>
    <t>TowerLoadNum=2</t>
  </si>
  <si>
    <t>TowerVertOffset=3.000000</t>
  </si>
  <si>
    <t>TowerAppurtSymbol=2 Flat Panels</t>
  </si>
  <si>
    <t>TowerLoadShieldingFactorKaNoIce=0.8000</t>
  </si>
  <si>
    <t>TowerLoadShieldingFactorKaIce=0.8000</t>
  </si>
  <si>
    <t>TowerLoadCaAaNoIce=4.090000</t>
  </si>
  <si>
    <t>TowerLoadCaAaIce=4.490000</t>
  </si>
  <si>
    <t>TowerLoadCaAaIce_1=4.890000</t>
  </si>
  <si>
    <t>TowerLoadCaAaIce_2=5.720000</t>
  </si>
  <si>
    <t>TowerLoadCaAaIce_4=7.480000</t>
  </si>
  <si>
    <t>TowerLoadCaAaNoIce_Side=3.300000</t>
  </si>
  <si>
    <t>TowerLoadCaAaIce_Side=3.680000</t>
  </si>
  <si>
    <t>TowerLoadCaAaIce_Side_1=4.070000</t>
  </si>
  <si>
    <t>TowerLoadCaAaIce_Side_2=4.870000</t>
  </si>
  <si>
    <t>TowerLoadCaAaIce_Side_4=6.590000</t>
  </si>
  <si>
    <t>TowerLoadWtNoIce=0.066470</t>
  </si>
  <si>
    <t>TowerLoadWtIce=0.129680</t>
  </si>
  <si>
    <t>TowerLoadWtIce_1=0.203750</t>
  </si>
  <si>
    <t>TowerLoadWtIce_2=0.385890</t>
  </si>
  <si>
    <t>TowerLoadWtIce_4=0.895860</t>
  </si>
  <si>
    <t>TowerLoadStartHt=73.000000</t>
  </si>
  <si>
    <t>TowerLoadEndHt=73.000000</t>
  </si>
  <si>
    <t>TowerLoadRec=27</t>
  </si>
  <si>
    <t>TowerLoadRec=28</t>
  </si>
  <si>
    <t>TowerLoadRec=29</t>
  </si>
  <si>
    <t>TowerLoadDescription=RRUS 32</t>
  </si>
  <si>
    <t>TowerVertOffset=2.000000</t>
  </si>
  <si>
    <t>TowerLoadWtNoIce=0.055000</t>
  </si>
  <si>
    <t>TowerLoadWtIce=0.077392</t>
  </si>
  <si>
    <t>TowerLoadWtIce_1=0.102930</t>
  </si>
  <si>
    <t>TowerLoadWtIce_2=0.164585</t>
  </si>
  <si>
    <t>TowerLoadWtIce_4=0.335651</t>
  </si>
  <si>
    <t>TowerLoadRec=30</t>
  </si>
  <si>
    <t>TowerLoadRec=31</t>
  </si>
  <si>
    <t>TowerLoadRec=32</t>
  </si>
  <si>
    <t>TowerLoadDatabase=raycap</t>
  </si>
  <si>
    <t>TowerLoadDescription=RCMDC-3315-PF-48</t>
  </si>
  <si>
    <t>TowerOffsetDist=12.000000</t>
  </si>
  <si>
    <t>TowerLoadWtNoIce=0.032000</t>
  </si>
  <si>
    <t>TowerLoadWtIce=0.062461</t>
  </si>
  <si>
    <t>TowerLoadWtIce_1=0.096568</t>
  </si>
  <si>
    <t>TowerLoadWtIce_2=0.176497</t>
  </si>
  <si>
    <t>TowerLoadWtIce_4=0.388661</t>
  </si>
  <si>
    <t>TowerLoadRec=33</t>
  </si>
  <si>
    <t>TowerLoadRec=34</t>
  </si>
  <si>
    <t>TowerLoadRec=35</t>
  </si>
  <si>
    <t>NumDishRecs=5</t>
  </si>
  <si>
    <t>DishRec=1</t>
  </si>
  <si>
    <t>DishEnabled=Yes</t>
  </si>
  <si>
    <t>DishDatabase=</t>
  </si>
  <si>
    <t>DishDescription=***</t>
  </si>
  <si>
    <t>DishClassificationCategory=&lt;unassigned&gt;</t>
  </si>
  <si>
    <t>DishNote=</t>
  </si>
  <si>
    <t>DishNum=1</t>
  </si>
  <si>
    <t>DishFace=0</t>
  </si>
  <si>
    <t>DishType=Paraboloid w/o Radome</t>
  </si>
  <si>
    <t>DishOffsetType=None</t>
  </si>
  <si>
    <t>DishVertOffset=0.000000</t>
  </si>
  <si>
    <t>DishLateralOffset=0.000000</t>
  </si>
  <si>
    <t>DishOffsetDist=0.000000</t>
  </si>
  <si>
    <t>DishArea=0.000000</t>
  </si>
  <si>
    <t>DishAreaIce=0.000000</t>
  </si>
  <si>
    <t>DishAreaIce_1=0.000000</t>
  </si>
  <si>
    <t>DishAreaIce_2=0.000000</t>
  </si>
  <si>
    <t>DishAreaIce_4=0.000000</t>
  </si>
  <si>
    <t>DishDiameter=0.000000</t>
  </si>
  <si>
    <t>DishWtNoIce=0.000000</t>
  </si>
  <si>
    <t>DishWtIce=0.000000</t>
  </si>
  <si>
    <t>DishWtIce_1=0.000000</t>
  </si>
  <si>
    <t>DishWtIce_2=0.000000</t>
  </si>
  <si>
    <t>DishWtIce_4=0.000000</t>
  </si>
  <si>
    <t>DishStartHt=0.000000</t>
  </si>
  <si>
    <t>DishAzimuthAdjustment=0.000000</t>
  </si>
  <si>
    <t>DishBeamWidth=0.000000</t>
  </si>
  <si>
    <t>DishRec=2</t>
  </si>
  <si>
    <t>DishRec=3</t>
  </si>
  <si>
    <t>DishDatabase=radiowaves</t>
  </si>
  <si>
    <t>DishDescription=HP3-18</t>
  </si>
  <si>
    <t>DishClassificationCategory=Proposed</t>
  </si>
  <si>
    <t>DishNote=Proposed</t>
  </si>
  <si>
    <t>DishFace=1</t>
  </si>
  <si>
    <t>DishOffsetType=From Face</t>
  </si>
  <si>
    <t>DishOffsetDist=12.000000</t>
  </si>
  <si>
    <t>DishArea=7.880000</t>
  </si>
  <si>
    <t>DishAreaIce=8.300000</t>
  </si>
  <si>
    <t>DishAreaIce_1=8.720000</t>
  </si>
  <si>
    <t>DishAreaIce_2=9.560000</t>
  </si>
  <si>
    <t>DishAreaIce_4=11.240000</t>
  </si>
  <si>
    <t>DishDiameter=3.166667</t>
  </si>
  <si>
    <t>DishWtNoIce=0.050000</t>
  </si>
  <si>
    <t>DishWtIce=0.090000</t>
  </si>
  <si>
    <t>DishWtIce_1=0.140000</t>
  </si>
  <si>
    <t>DishWtIce_2=0.220000</t>
  </si>
  <si>
    <t>DishWtIce_4=0.390000</t>
  </si>
  <si>
    <t>DishStartHt=83.000000</t>
  </si>
  <si>
    <t>DishRec=4</t>
  </si>
  <si>
    <t>DishRec=5</t>
  </si>
  <si>
    <t>NumUserForceRecs=0</t>
  </si>
  <si>
    <t>ReportInputCosts=No</t>
  </si>
  <si>
    <t>ReportInputGeometry=Yes</t>
  </si>
  <si>
    <t>ReportInputOptions=Yes</t>
  </si>
  <si>
    <t>ReportMaxForces=Yes</t>
  </si>
  <si>
    <t>ReportInputMap=No</t>
  </si>
  <si>
    <t>CostReportOutputType=No Cost Output</t>
  </si>
  <si>
    <t>CapacityReportOutputType=Capacity Summary</t>
  </si>
  <si>
    <t>ReportPrintForceTotals=No</t>
  </si>
  <si>
    <t>ReportPrintForceDetails=No</t>
  </si>
  <si>
    <t>ReportPrintMastVectors=No</t>
  </si>
  <si>
    <t>ReportPrintAntPoleVectors=No</t>
  </si>
  <si>
    <t>ReportPrintDiscreteVectors=No</t>
  </si>
  <si>
    <t>ReportPrintDishVectors=No</t>
  </si>
  <si>
    <t>ReportPrintFeedTowerVectors=No</t>
  </si>
  <si>
    <t>ReportPrintUserLoadVectors=No</t>
  </si>
  <si>
    <t>ReportPrintPressures=No</t>
  </si>
  <si>
    <t>ReportPrintAppurtForces=No</t>
  </si>
  <si>
    <t>ReportPrintGuyForces=No</t>
  </si>
  <si>
    <t>ReportPrintGuyStressing=No</t>
  </si>
  <si>
    <t>ReportPrintDeflections=Yes</t>
  </si>
  <si>
    <t>ReportPrintReactions=Yes</t>
  </si>
  <si>
    <t>ReportPrintStressChecks=Yes</t>
  </si>
  <si>
    <t>ReportPrintBoltChecks=No</t>
  </si>
  <si>
    <t>ReportPrintInputGVerificationTables=No</t>
  </si>
  <si>
    <t>ReportPrintOutputGVerificationTables=No</t>
  </si>
  <si>
    <t>MastMultiplier=1.000000</t>
  </si>
  <si>
    <t>SocketTopMount=No</t>
  </si>
  <si>
    <t>SRTakeCompression=No</t>
  </si>
  <si>
    <t>AllLegPanelsSame=No</t>
  </si>
  <si>
    <t>UseCombinedBoltCapacity=No</t>
  </si>
  <si>
    <t>SecHorzBracesLeg=No</t>
  </si>
  <si>
    <t>SortByComponent=Yes</t>
  </si>
  <si>
    <t>SRCutEnds=No</t>
  </si>
  <si>
    <t>SRConcentric=No</t>
  </si>
  <si>
    <t>CalcBlockShear=No</t>
  </si>
  <si>
    <t>Use4SidedDiamondBracing=No</t>
  </si>
  <si>
    <t>TriangulateInnerBracing=No</t>
  </si>
  <si>
    <t>PrintCarrierNotes=No</t>
  </si>
  <si>
    <t>AddIBCWindCase=No</t>
  </si>
  <si>
    <t>UseStateCountyLookup=Yes</t>
  </si>
  <si>
    <t>State=California</t>
  </si>
  <si>
    <t>County=Kern</t>
  </si>
  <si>
    <t>EnforceAllOffsetsVer2=Yes</t>
  </si>
  <si>
    <t>LegBoltsAtTop=No</t>
  </si>
  <si>
    <t>PrintMonopoleAtIncrements=No</t>
  </si>
  <si>
    <t>UseTIA222Exemptions_MinBracingResistance=No</t>
  </si>
  <si>
    <t>UseTIA222Exemptions_TensionSplice=No</t>
  </si>
  <si>
    <t>IgnoreKLryFor60DegAngleLegs=No</t>
  </si>
  <si>
    <t>ASCE_7_10_WindData=No</t>
  </si>
  <si>
    <t>ASCE_7_10_ConvertWindToASD=No</t>
  </si>
  <si>
    <t>SolutionUsePDelta=Yes</t>
  </si>
  <si>
    <t>UseFeedlineTorque=Yes</t>
  </si>
  <si>
    <t>UsePinnedElements=No</t>
  </si>
  <si>
    <t>UseMaxKz=No</t>
  </si>
  <si>
    <t>UseRigidIndex=Yes</t>
  </si>
  <si>
    <t>UseTrueCable=No</t>
  </si>
  <si>
    <t>UseASCELy=No</t>
  </si>
  <si>
    <t>CalcBracingForces=No</t>
  </si>
  <si>
    <t>IgnoreBracingFEA=No</t>
  </si>
  <si>
    <t>UseSubCriticalFlow=No</t>
  </si>
  <si>
    <t>AssumePoleWithNoAttachments=No</t>
  </si>
  <si>
    <t>AssumePoleWithShroud=No</t>
  </si>
  <si>
    <t>PoleCornerRadiusKnown=No</t>
  </si>
  <si>
    <t>SolutionMinStiffness=0.000000</t>
  </si>
  <si>
    <t>SolutionMaxStiffness=0.000000</t>
  </si>
  <si>
    <t>SolutionMaxCycles=200</t>
  </si>
  <si>
    <t>SolutionPower=0.000000</t>
  </si>
  <si>
    <t>SolutionTolerance=0.001000</t>
  </si>
  <si>
    <t>CantKFactor=1.000000</t>
  </si>
  <si>
    <t>RadiusSampleDist=5.000000</t>
  </si>
  <si>
    <t>BypassStabilityChecks=Yes</t>
  </si>
  <si>
    <t>UseWindProjection=Yes</t>
  </si>
  <si>
    <t>UseIceEscalation=No</t>
  </si>
  <si>
    <t>UseDishCoeff=Yes</t>
  </si>
  <si>
    <t>UseMastResponse=No</t>
  </si>
  <si>
    <t>AutoCalcTorqArmArea=No</t>
  </si>
  <si>
    <t>Use_TIA_222_G_Addendum2_MP=Yes</t>
  </si>
  <si>
    <t>WindDirOption=1</t>
  </si>
  <si>
    <t>WindDir0_0=Yes</t>
  </si>
  <si>
    <t>WindDir0_1=Yes</t>
  </si>
  <si>
    <t>WindDir0_2=No</t>
  </si>
  <si>
    <t>WindDir0_3=Yes</t>
  </si>
  <si>
    <t>WindDir0_4=Yes</t>
  </si>
  <si>
    <t>WindDir0_5=Yes</t>
  </si>
  <si>
    <t>WindDir0_6=No</t>
  </si>
  <si>
    <t>WindDir0_7=Yes</t>
  </si>
  <si>
    <t>WindDir0_8=Yes</t>
  </si>
  <si>
    <t>WindDir0_9=Yes</t>
  </si>
  <si>
    <t>WindDir0_10=No</t>
  </si>
  <si>
    <t>WindDir0_11=Yes</t>
  </si>
  <si>
    <t>WindDir0_12=Yes</t>
  </si>
  <si>
    <t>WindDir0_13=Yes</t>
  </si>
  <si>
    <t>WindDir0_14=No</t>
  </si>
  <si>
    <t>WindDir0_15=Yes</t>
  </si>
  <si>
    <t>WindDir1_0=Yes</t>
  </si>
  <si>
    <t>WindDir1_1=Yes</t>
  </si>
  <si>
    <t>WindDir1_2=No</t>
  </si>
  <si>
    <t>WindDir1_3=Yes</t>
  </si>
  <si>
    <t>WindDir1_4=Yes</t>
  </si>
  <si>
    <t>WindDir1_5=Yes</t>
  </si>
  <si>
    <t>WindDir1_6=No</t>
  </si>
  <si>
    <t>WindDir1_7=Yes</t>
  </si>
  <si>
    <t>WindDir1_8=Yes</t>
  </si>
  <si>
    <t>WindDir1_9=Yes</t>
  </si>
  <si>
    <t>WindDir1_10=No</t>
  </si>
  <si>
    <t>WindDir1_11=Yes</t>
  </si>
  <si>
    <t>WindDir1_12=Yes</t>
  </si>
  <si>
    <t>WindDir1_13=Yes</t>
  </si>
  <si>
    <t>WindDir1_14=No</t>
  </si>
  <si>
    <t>WindDir1_15=Yes</t>
  </si>
  <si>
    <t>WindDir2_0=Yes</t>
  </si>
  <si>
    <t>WindDir2_1=Yes</t>
  </si>
  <si>
    <t>WindDir2_2=No</t>
  </si>
  <si>
    <t>WindDir2_3=Yes</t>
  </si>
  <si>
    <t>WindDir2_4=Yes</t>
  </si>
  <si>
    <t>WindDir2_5=Yes</t>
  </si>
  <si>
    <t>WindDir2_6=No</t>
  </si>
  <si>
    <t>WindDir2_7=Yes</t>
  </si>
  <si>
    <t>WindDir2_8=Yes</t>
  </si>
  <si>
    <t>WindDir2_9=Yes</t>
  </si>
  <si>
    <t>WindDir2_10=No</t>
  </si>
  <si>
    <t>WindDir2_11=Yes</t>
  </si>
  <si>
    <t>WindDir2_12=Yes</t>
  </si>
  <si>
    <t>WindDir2_13=Yes</t>
  </si>
  <si>
    <t>WindDir2_14=No</t>
  </si>
  <si>
    <t>WindDir2_15=Yes</t>
  </si>
  <si>
    <t>SuppressWindPatternLoading=No</t>
  </si>
  <si>
    <t>DoELCAnalysis=No</t>
  </si>
  <si>
    <t>[End Structure]</t>
  </si>
  <si>
    <t>[End Application]</t>
  </si>
  <si>
    <t>[CHRONOS]</t>
  </si>
  <si>
    <t>[Nodes]</t>
  </si>
  <si>
    <t>#node_number activity x y z</t>
  </si>
  <si>
    <t>[Supports]</t>
  </si>
  <si>
    <t>#node_number code_dx dy dz ox oy oz stiffness_dx dy dz ox oy oz alpha beta gamma ref_temp</t>
  </si>
  <si>
    <t>[ConnectionArray]</t>
  </si>
  <si>
    <t>#node_number conn[24]</t>
  </si>
  <si>
    <t>1 1 2 0 0 0 0 0 0 0 0 0 0 0 0 0 0 0 0 0 0 0 0 0 0</t>
  </si>
  <si>
    <t>2 1 0 0 0 0 0 0 0 0 0 0 0 0 0 0 0 0 0 0 0 0 0 0 0</t>
  </si>
  <si>
    <t>3 1 0 0 0 0 0 0 0 0 0 0 0 0 0 0 0 0 0 0 0 0 0 0 0</t>
  </si>
  <si>
    <t>4 1 0 0 0 0 0 0 0 0 0 0 0 0 0 0 0 0 0 0 0 0 0 0 0</t>
  </si>
  <si>
    <t>5 1 0 0 0 0 0 0 0 0 0 0 0 0 0 0 0 0 0 0 0 0 0 0 0</t>
  </si>
  <si>
    <t>6 1 0 0 0 0 0 0 0 0 0 0 0 0 0 0 0 0 0 0 0 0 0 0 0</t>
  </si>
  <si>
    <t>[Elements]</t>
  </si>
  <si>
    <t>#elem_number activity group mat prop inspect</t>
  </si>
  <si>
    <t>#for groups 1,2,3,4,5,6,7,8,9</t>
  </si>
  <si>
    <t>#   node1 node2</t>
  </si>
  <si>
    <t>#for group 1a (composite beam)</t>
  </si>
  <si>
    <t>#   composite_prop_id node1 node2</t>
  </si>
  <si>
    <t>1 1 1 1 1 1</t>
  </si>
  <si>
    <t>2 1 1 2 2 1</t>
  </si>
  <si>
    <t>7 1</t>
  </si>
  <si>
    <t>3 1 1 3 3 1</t>
  </si>
  <si>
    <t>[Segments]</t>
  </si>
  <si>
    <t>#master_element number_of_internal_nodes</t>
  </si>
  <si>
    <t>#internal_node1 internal_node2 falseTE: node is - if end of span....</t>
  </si>
  <si>
    <t>14 1</t>
  </si>
  <si>
    <t>15 1</t>
  </si>
  <si>
    <t>19 1</t>
  </si>
  <si>
    <t>[Material]</t>
  </si>
  <si>
    <t>#mat activity</t>
  </si>
  <si>
    <t>#description</t>
  </si>
  <si>
    <t>#emod poiss thermal mden wden</t>
  </si>
  <si>
    <t>1 1</t>
  </si>
  <si>
    <t>TP8.625x8.625x0.375-A500-46</t>
  </si>
  <si>
    <t>29000 29000 29000 0.295337 0.295337 6.5e-006 15.2293 490.002</t>
  </si>
  <si>
    <t>2 1</t>
  </si>
  <si>
    <t>3 1</t>
  </si>
  <si>
    <t>4 1</t>
  </si>
  <si>
    <t>5 1</t>
  </si>
  <si>
    <t>6 1</t>
  </si>
  <si>
    <t>8 1</t>
  </si>
  <si>
    <t>9 1</t>
  </si>
  <si>
    <t>10 1</t>
  </si>
  <si>
    <t>11 1</t>
  </si>
  <si>
    <t>12 1</t>
  </si>
  <si>
    <t>13 1</t>
  </si>
  <si>
    <t>16 1</t>
  </si>
  <si>
    <t>17 1</t>
  </si>
  <si>
    <t>18 1</t>
  </si>
  <si>
    <t>20 1</t>
  </si>
  <si>
    <t>21 1</t>
  </si>
  <si>
    <t>22 1</t>
  </si>
  <si>
    <t>23 1</t>
  </si>
  <si>
    <t>24 1</t>
  </si>
  <si>
    <t>25 1</t>
  </si>
  <si>
    <t>26 1</t>
  </si>
  <si>
    <t>27 1</t>
  </si>
  <si>
    <t>28 1</t>
  </si>
  <si>
    <t>[Properties]</t>
  </si>
  <si>
    <t>#prop activity group</t>
  </si>
  <si>
    <t>#desigination</t>
  </si>
  <si>
    <t>#section_file</t>
  </si>
  <si>
    <t>#if group = 1 (beam)</t>
  </si>
  <si>
    <t>#  area ix iy iz ixy sfy sfx cw</t>
  </si>
  <si>
    <t>#else if group = 2 (npbeam)</t>
  </si>
  <si>
    <t>#  area ix iy iz r1 r2 r3 r4 n1 n2 n3 n4</t>
  </si>
  <si>
    <t>#else if group = 3,4,5,6,7 (truss,strut,hook,gap,or slot)</t>
  </si>
  <si>
    <t>#  area</t>
  </si>
  <si>
    <t>#else if group = 8 (fuse)</t>
  </si>
  <si>
    <t>#  area comp_capacity ecu/ecy ten_capacity etu/ety</t>
  </si>
  <si>
    <t>#else if group = 9 (cable)</t>
  </si>
  <si>
    <t>#  area diameter</t>
  </si>
  <si>
    <t>1 1 1</t>
  </si>
  <si>
    <t>TP8.625x8.625x0.375</t>
  </si>
  <si>
    <t>9.7193 82.8608 82.8608 165.722 0 0 0 0</t>
  </si>
  <si>
    <t>2 1 1</t>
  </si>
  <si>
    <t>3 1 1</t>
  </si>
  <si>
    <t>[Combinations]</t>
  </si>
  <si>
    <t>#comb_number activity</t>
  </si>
  <si>
    <t>#list_of_factors</t>
  </si>
  <si>
    <t>Dead Only</t>
  </si>
  <si>
    <t>1.0*1</t>
  </si>
  <si>
    <t>1.2 Dead+1.0 Wind 0 deg - No Ice</t>
  </si>
  <si>
    <t>1.2*1,1.0*2</t>
  </si>
  <si>
    <t>0.9 Dead+1.0 Wind 0 deg - No Ice</t>
  </si>
  <si>
    <t>0.9*1,1.0*2</t>
  </si>
  <si>
    <t>1.2 Dead+1.0 Wind 30 deg - No Ice</t>
  </si>
  <si>
    <t>1.2*1,1.0*3</t>
  </si>
  <si>
    <t>0.9 Dead+1.0 Wind 30 deg - No Ice</t>
  </si>
  <si>
    <t>0.9*1,1.0*3</t>
  </si>
  <si>
    <t>1.2 Dead+1.0 Wind 60 deg - No Ice</t>
  </si>
  <si>
    <t>1.2*1,1.0*4</t>
  </si>
  <si>
    <t>0.9 Dead+1.0 Wind 60 deg - No Ice</t>
  </si>
  <si>
    <t>0.9*1,1.0*4</t>
  </si>
  <si>
    <t>1.2 Dead+1.0 Wind 90 deg - No Ice</t>
  </si>
  <si>
    <t>1.2*1,1.0*5</t>
  </si>
  <si>
    <t>0.9 Dead+1.0 Wind 90 deg - No Ice</t>
  </si>
  <si>
    <t>0.9*1,1.0*5</t>
  </si>
  <si>
    <t>1.2 Dead+1.0 Wind 120 deg - No Ice</t>
  </si>
  <si>
    <t>1.2*1,1.0*6</t>
  </si>
  <si>
    <t>0.9 Dead+1.0 Wind 120 deg - No Ice</t>
  </si>
  <si>
    <t>0.9*1,1.0*6</t>
  </si>
  <si>
    <t>1.2 Dead+1.0 Wind 150 deg - No Ice</t>
  </si>
  <si>
    <t>1.2*1,1.0*7</t>
  </si>
  <si>
    <t>0.9 Dead+1.0 Wind 150 deg - No Ice</t>
  </si>
  <si>
    <t>0.9*1,1.0*7</t>
  </si>
  <si>
    <t>1.2 Dead+1.0 Wind 180 deg - No Ice</t>
  </si>
  <si>
    <t>1.2*1,1.0*8</t>
  </si>
  <si>
    <t>0.9 Dead+1.0 Wind 180 deg - No Ice</t>
  </si>
  <si>
    <t>0.9*1,1.0*8</t>
  </si>
  <si>
    <t>1.2 Dead+1.0 Wind 210 deg - No Ice</t>
  </si>
  <si>
    <t>1.2*1,1.0*9</t>
  </si>
  <si>
    <t>0.9 Dead+1.0 Wind 210 deg - No Ice</t>
  </si>
  <si>
    <t>0.9*1,1.0*9</t>
  </si>
  <si>
    <t>1.2 Dead+1.0 Wind 240 deg - No Ice</t>
  </si>
  <si>
    <t>1.2*1,1.0*10</t>
  </si>
  <si>
    <t>0.9 Dead+1.0 Wind 240 deg - No Ice</t>
  </si>
  <si>
    <t>0.9*1,1.0*10</t>
  </si>
  <si>
    <t>1.2 Dead+1.0 Wind 270 deg - No Ice</t>
  </si>
  <si>
    <t>1.2*1,1.0*11</t>
  </si>
  <si>
    <t>0.9 Dead+1.0 Wind 270 deg - No Ice</t>
  </si>
  <si>
    <t>0.9*1,1.0*11</t>
  </si>
  <si>
    <t>1.2 Dead+1.0 Wind 300 deg - No Ice</t>
  </si>
  <si>
    <t>1.2*1,1.0*12</t>
  </si>
  <si>
    <t>0.9 Dead+1.0 Wind 300 deg - No Ice</t>
  </si>
  <si>
    <t>0.9*1,1.0*12</t>
  </si>
  <si>
    <t>1.2 Dead+1.0 Wind 330 deg - No Ice</t>
  </si>
  <si>
    <t>1.2*1,1.0*13</t>
  </si>
  <si>
    <t>0.9 Dead+1.0 Wind 330 deg - No Ice</t>
  </si>
  <si>
    <t>0.9*1,1.0*13</t>
  </si>
  <si>
    <t>Dead+Wind 0 deg - Service</t>
  </si>
  <si>
    <t>1.0*1,1.0*14</t>
  </si>
  <si>
    <t>Dead+Wind 30 deg - Service</t>
  </si>
  <si>
    <t>1.0*1,1.0*15</t>
  </si>
  <si>
    <t>Dead+Wind 60 deg - Service</t>
  </si>
  <si>
    <t>1.0*1,1.0*16</t>
  </si>
  <si>
    <t>29 1</t>
  </si>
  <si>
    <t>Dead+Wind 90 deg - Service</t>
  </si>
  <si>
    <t>1.0*1,1.0*17</t>
  </si>
  <si>
    <t>30 1</t>
  </si>
  <si>
    <t>Dead+Wind 120 deg - Service</t>
  </si>
  <si>
    <t>1.0*1,1.0*18</t>
  </si>
  <si>
    <t>31 1</t>
  </si>
  <si>
    <t>Dead+Wind 150 deg - Service</t>
  </si>
  <si>
    <t>1.0*1,1.0*19</t>
  </si>
  <si>
    <t>32 1</t>
  </si>
  <si>
    <t>Dead+Wind 180 deg - Service</t>
  </si>
  <si>
    <t>1.0*1,1.0*20</t>
  </si>
  <si>
    <t>33 1</t>
  </si>
  <si>
    <t>Dead+Wind 210 deg - Service</t>
  </si>
  <si>
    <t>1.0*1,1.0*21</t>
  </si>
  <si>
    <t>34 1</t>
  </si>
  <si>
    <t>Dead+Wind 240 deg - Service</t>
  </si>
  <si>
    <t>1.0*1,1.0*22</t>
  </si>
  <si>
    <t>35 1</t>
  </si>
  <si>
    <t>Dead+Wind 270 deg - Service</t>
  </si>
  <si>
    <t>1.0*1,1.0*23</t>
  </si>
  <si>
    <t>36 1</t>
  </si>
  <si>
    <t>Dead+Wind 300 deg - Service</t>
  </si>
  <si>
    <t>1.0*1,1.0*24</t>
  </si>
  <si>
    <t>37 1</t>
  </si>
  <si>
    <t>Dead+Wind 330 deg - Service</t>
  </si>
  <si>
    <t>1.0*1,1.0*25</t>
  </si>
  <si>
    <t>[Envelopes]</t>
  </si>
  <si>
    <t>#envelope_number activity</t>
  </si>
  <si>
    <t>#list_of_combinations</t>
  </si>
  <si>
    <t>[Cases]</t>
  </si>
  <si>
    <t>#rec activity internal_ref_case</t>
  </si>
  <si>
    <t>1 1 3</t>
  </si>
  <si>
    <t>Dead</t>
  </si>
  <si>
    <t>2 1 9</t>
  </si>
  <si>
    <t>No Ice Wind 0 deg</t>
  </si>
  <si>
    <t>3 1 9</t>
  </si>
  <si>
    <t>No Ice Wind 30 deg</t>
  </si>
  <si>
    <t>4 1 9</t>
  </si>
  <si>
    <t>No Ice Wind 60 deg</t>
  </si>
  <si>
    <t>5 1 9</t>
  </si>
  <si>
    <t>No Ice Wind 90 deg</t>
  </si>
  <si>
    <t>6 1 9</t>
  </si>
  <si>
    <t>No Ice Wind 120 deg</t>
  </si>
  <si>
    <t>7 1 9</t>
  </si>
  <si>
    <t>No Ice Wind 150 deg</t>
  </si>
  <si>
    <t>8 1 9</t>
  </si>
  <si>
    <t>No Ice Wind 180 deg</t>
  </si>
  <si>
    <t>9 1 9</t>
  </si>
  <si>
    <t>No Ice Wind 210 deg</t>
  </si>
  <si>
    <t>10 1 9</t>
  </si>
  <si>
    <t>No Ice Wind 240 deg</t>
  </si>
  <si>
    <t>11 1 9</t>
  </si>
  <si>
    <t>No Ice Wind 270 deg</t>
  </si>
  <si>
    <t>12 1 9</t>
  </si>
  <si>
    <t>No Ice Wind 300 deg</t>
  </si>
  <si>
    <t>13 1 9</t>
  </si>
  <si>
    <t>No Ice Wind 330 deg</t>
  </si>
  <si>
    <t>14 1 9</t>
  </si>
  <si>
    <t>Service Wind 0 deg</t>
  </si>
  <si>
    <t>15 1 9</t>
  </si>
  <si>
    <t>Service Wind 30 deg</t>
  </si>
  <si>
    <t>16 1 9</t>
  </si>
  <si>
    <t>Service Wind 60 deg</t>
  </si>
  <si>
    <t>17 1 9</t>
  </si>
  <si>
    <t>Service Wind 90 deg</t>
  </si>
  <si>
    <t>18 1 9</t>
  </si>
  <si>
    <t>Service Wind 120 deg</t>
  </si>
  <si>
    <t>19 1 9</t>
  </si>
  <si>
    <t>Service Wind 150 deg</t>
  </si>
  <si>
    <t>20 1 9</t>
  </si>
  <si>
    <t>Service Wind 180 deg</t>
  </si>
  <si>
    <t>21 1 9</t>
  </si>
  <si>
    <t>Service Wind 210 deg</t>
  </si>
  <si>
    <t>22 1 9</t>
  </si>
  <si>
    <t>Service Wind 240 deg</t>
  </si>
  <si>
    <t>23 1 9</t>
  </si>
  <si>
    <t>Service Wind 270 deg</t>
  </si>
  <si>
    <t>24 1 9</t>
  </si>
  <si>
    <t>Service Wind 300 deg</t>
  </si>
  <si>
    <t>25 1 9</t>
  </si>
  <si>
    <t>Service Wind 330 deg</t>
  </si>
  <si>
    <t>[OutputOptions]</t>
  </si>
  <si>
    <t>#device</t>
  </si>
  <si>
    <t>#echo</t>
  </si>
  <si>
    <t>#case_list</t>
  </si>
  <si>
    <t>#combination_list</t>
  </si>
  <si>
    <t>#envelope_list</t>
  </si>
  <si>
    <t>#prn_report</t>
  </si>
  <si>
    <t>#reband</t>
  </si>
  <si>
    <t>#restart</t>
  </si>
  <si>
    <t>#save_stiff</t>
  </si>
  <si>
    <t>#anatype</t>
  </si>
  <si>
    <t>#if anatype = 2</t>
  </si>
  <si>
    <t>#  pdelta_only</t>
  </si>
  <si>
    <t>#  axial_effect</t>
  </si>
  <si>
    <t>#  tol min_stif power cycle start stop</t>
  </si>
  <si>
    <t>#if anatype = 3 or 4</t>
  </si>
  <si>
    <t>#  dtype (1,2,3,4: mode shapes,modal time history,response spectrum, direct time history)</t>
  </si>
  <si>
    <t>#  if dtype = 1</t>
  </si>
  <si>
    <t>#    no_modes cut_off</t>
  </si>
  <si>
    <t>#    prn_modes</t>
  </si>
  <si>
    <t>#  if dtype = 2</t>
  </si>
  <si>
    <t>#    no_modes cut_off step_size no_steps interval damp_ratio gmo_no</t>
  </si>
  <si>
    <t>#  if dtype = 3</t>
  </si>
  <si>
    <t>#    no_modes cut_off damp_ratio  gmo_no mode_comb dir_comb</t>
  </si>
  <si>
    <t>#  if dtype = 4</t>
  </si>
  <si>
    <t>#    step_size no_steps interval alpha_damp beta_damp gmo_no</t>
  </si>
  <si>
    <t>#displ_list</t>
  </si>
  <si>
    <t>#reacts_list</t>
  </si>
  <si>
    <t>#forces_list</t>
  </si>
  <si>
    <t>chronos.txt</t>
  </si>
  <si>
    <t>All</t>
  </si>
  <si>
    <t>[ReportOptions]</t>
  </si>
  <si>
    <t>#rec activity group type</t>
  </si>
  <si>
    <t>#elemlist</t>
  </si>
  <si>
    <t>#if type = 4,5 (force range SumOfAppliedForcesmary or worst)</t>
  </si>
  <si>
    <t>#  amin amax smin smax mmin mmax tmin tmax</t>
  </si>
  <si>
    <t>#else if type = 6 (axial force past limit)</t>
  </si>
  <si>
    <t>#  compression tension</t>
  </si>
  <si>
    <t>1 1 1 2</t>
  </si>
  <si>
    <t>2 1 1 2</t>
  </si>
  <si>
    <t>3 1 1 2</t>
  </si>
  <si>
    <t>[EndCHRONOS]</t>
  </si>
  <si>
    <t>[EndOverwrite]</t>
  </si>
  <si>
    <t>2c0e9ac</t>
  </si>
  <si>
    <t>LastUsedBy=MRudolph</t>
  </si>
  <si>
    <t>LastUsedOn=Thu Nov 03 13:46:28 2022</t>
  </si>
  <si>
    <t>VersionUsed=8.1.1.0</t>
  </si>
  <si>
    <t>ViewerUserName=MRudolph</t>
  </si>
  <si>
    <t>ViewerCityState=Canonsburg, PA</t>
  </si>
  <si>
    <t>ViewerFAX=(724) 416-2000</t>
  </si>
  <si>
    <t>ViewerLogo=The Foundations to a Wireless World</t>
  </si>
  <si>
    <t>sReportSiteHistory=&lt;~~&gt;</t>
  </si>
  <si>
    <t>TowerTopFaceWidth=0.718750</t>
  </si>
  <si>
    <t>TIA_222_H_AnnexS_Ratio=1.000000</t>
  </si>
  <si>
    <t>NumAntennaRecs=3</t>
  </si>
  <si>
    <t>AntennaBraceType=X Brace</t>
  </si>
  <si>
    <t>AntennaHeight=90.000000</t>
  </si>
  <si>
    <t>AntennaDiagonalSpacing=18.000000</t>
  </si>
  <si>
    <t>AntennaDiagonalSpacingEx=18.000000</t>
  </si>
  <si>
    <t>AntennaNumSections=1</t>
  </si>
  <si>
    <t>AntennaSectionLength=15.000000</t>
  </si>
  <si>
    <t>AntennaLegType=Solid Round</t>
  </si>
  <si>
    <t>AntennaLegSize=1 1/2</t>
  </si>
  <si>
    <t>AntennaLegGrade=50</t>
  </si>
  <si>
    <t>AntennaLegMatlGrade=A572-50</t>
  </si>
  <si>
    <t>AntennaDiagonalGrade=36</t>
  </si>
  <si>
    <t>AntennaDiagonalMatlGrade=A36</t>
  </si>
  <si>
    <t>AntennaInnerBracingGrade=36</t>
  </si>
  <si>
    <t>AntennaInnerBracingMatlGrade=A36</t>
  </si>
  <si>
    <t>AntennaTopGirtGrade=36</t>
  </si>
  <si>
    <t>AntennaTopGirtMatlGrade=A36</t>
  </si>
  <si>
    <t>AntennaBotGirtGrade=36</t>
  </si>
  <si>
    <t>AntennaBotGirtMatlGrade=A36</t>
  </si>
  <si>
    <t>AntennaInnerGirtGrade=36</t>
  </si>
  <si>
    <t>AntennaInnerGirtMatlGrade=A36</t>
  </si>
  <si>
    <t>AntennaLongHorizontalGrade=50</t>
  </si>
  <si>
    <t>AntennaLongHorizontalMatlGrade=A572-50</t>
  </si>
  <si>
    <t>AntennaShortHorizontalGrade=50</t>
  </si>
  <si>
    <t>AntennaShortHorizontalMatlGrade=A572-50</t>
  </si>
  <si>
    <t>AntennaDiagonalType=Solid Round</t>
  </si>
  <si>
    <t>AntennaDiagonalSize=1/2</t>
  </si>
  <si>
    <t>AntennaInnerBracingType=Solid Round</t>
  </si>
  <si>
    <t>AntennaInnerBracingSize=</t>
  </si>
  <si>
    <t>AntennaTopGirtType=Flat Bar</t>
  </si>
  <si>
    <t>AntennaTopGirtSize=1x1/2</t>
  </si>
  <si>
    <t>AntennaBotGirtType=Flat Bar</t>
  </si>
  <si>
    <t>AntennaBotGirtSize=1x1/2</t>
  </si>
  <si>
    <t>AntennaTopGirtOffset=0.000000</t>
  </si>
  <si>
    <t>AntennaBotGirtOffset=0.000000</t>
  </si>
  <si>
    <t>AntennaHasKBraceEndPanels=No</t>
  </si>
  <si>
    <t>AntennaHasHorizontals=Yes</t>
  </si>
  <si>
    <t>AntennaLongHorizontalType=Solid Round</t>
  </si>
  <si>
    <t>AntennaLongHorizontalSize=3/4</t>
  </si>
  <si>
    <t>AntennaShortHorizontalType=Solid Round</t>
  </si>
  <si>
    <t>AntennaShortHorizontalSize=9/16</t>
  </si>
  <si>
    <t>AntennaRedundantGrade=36</t>
  </si>
  <si>
    <t>AntennaRedundantMatlGrade=A36</t>
  </si>
  <si>
    <t>AntennaRedundantType=Double Equal Angle</t>
  </si>
  <si>
    <t>AntennaRedundantDiagType=Double Equal Angle</t>
  </si>
  <si>
    <t>AntennaRedundantSubDiagonalType=Double Equal Angle</t>
  </si>
  <si>
    <t>AntennaRedundantSubHorizontalType=Double Equal Angle</t>
  </si>
  <si>
    <t>AntennaRedundantVerticalType=Double Equal Angle</t>
  </si>
  <si>
    <t>AntennaRedundantHipType=Double Equal Angle</t>
  </si>
  <si>
    <t>AntennaRedundantHipDiagonalType=Double Equal Angle</t>
  </si>
  <si>
    <t>AntennaRedundantHorizontalSize=</t>
  </si>
  <si>
    <t>AntennaRedundantHorizontalSize2=</t>
  </si>
  <si>
    <t>AntennaRedundantHorizontalSize3=</t>
  </si>
  <si>
    <t>AntennaRedundantHorizontalSize4=</t>
  </si>
  <si>
    <t>AntennaRedundantDiagonalSize=</t>
  </si>
  <si>
    <t>AntennaRedundantDiagonalSize2=</t>
  </si>
  <si>
    <t>AntennaRedundantDiagonalSize3=</t>
  </si>
  <si>
    <t>AntennaRedundantDiagonalSize4=</t>
  </si>
  <si>
    <t>AntennaRedundantSubHorizontalSize=</t>
  </si>
  <si>
    <t>AntennaRedundantSubDiagonalSize=</t>
  </si>
  <si>
    <t>AntennaSubDiagLocation=0.450000</t>
  </si>
  <si>
    <t>AntennaRedundantVerticalSize=</t>
  </si>
  <si>
    <t>AntennaRedundantHipDiagonalSize=</t>
  </si>
  <si>
    <t>AntennaRedundantHipDiagonalSize2=</t>
  </si>
  <si>
    <t>AntennaRedundantHipDiagonalSize3=</t>
  </si>
  <si>
    <t>AntennaRedundantHipDiagonalSize4=</t>
  </si>
  <si>
    <t>AntennaRedundantHipSize=</t>
  </si>
  <si>
    <t>AntennaRedundantHipSize2=</t>
  </si>
  <si>
    <t>AntennaRedundantHipSize3=</t>
  </si>
  <si>
    <t>AntennaRedundantHipSize4=</t>
  </si>
  <si>
    <t>AntennaNumInnerGirts=2</t>
  </si>
  <si>
    <t>AntennaInnerGirtType=Flat Bar</t>
  </si>
  <si>
    <t>AntennaInnerGirtSize=1x1/2</t>
  </si>
  <si>
    <t>AntennaPoleShapeType=Pipe</t>
  </si>
  <si>
    <t>AntennaPoleSize=P8x.406</t>
  </si>
  <si>
    <t>AntennaPoleGrade=35</t>
  </si>
  <si>
    <t>AntennaPoleMatlGrade=A53-B-35</t>
  </si>
  <si>
    <t>AntennaPoleSpliceLength=0.000000</t>
  </si>
  <si>
    <t>AntennaTaperPoleNumSides=1</t>
  </si>
  <si>
    <t>AntennaTaperPoleTopDiameter=8.625000</t>
  </si>
  <si>
    <t>AntennaTaperPoleBotDiameter=8.625000</t>
  </si>
  <si>
    <t>AntennaTaperPoleWallThickness=0.375000</t>
  </si>
  <si>
    <t>AntennaTaperPoleBendRadius=1.500000</t>
  </si>
  <si>
    <t>AntennaTaperPoleGrade=46</t>
  </si>
  <si>
    <t>AntennaSWMult=1.000000</t>
  </si>
  <si>
    <t>AntennaWPMult=1.000000</t>
  </si>
  <si>
    <t>AntennaAutoCalcKSingleAngle=No</t>
  </si>
  <si>
    <t>AntennaAutoCalcKSolidRound=No</t>
  </si>
  <si>
    <t>AntennaAfGusset=0.000000</t>
  </si>
  <si>
    <t>AntennaTfGusset=0.000000</t>
  </si>
  <si>
    <t>AntennaGussetBoltEdgeDistance=0.000000</t>
  </si>
  <si>
    <t>AntennaGussetGrade=36</t>
  </si>
  <si>
    <t>AntennaGussetMatlGrade=A36</t>
  </si>
  <si>
    <t>AntennaAfMult=1.000000</t>
  </si>
  <si>
    <t>AntennaArMult=1.000000</t>
  </si>
  <si>
    <t>AntennaFlatIPAPole=0.000000</t>
  </si>
  <si>
    <t>AntennaRoundIPAPole=0.000000</t>
  </si>
  <si>
    <t>AntennaFlatIPALeg=0.000000</t>
  </si>
  <si>
    <t>AntennaRoundIPALeg=0.000000</t>
  </si>
  <si>
    <t>AntennaFlatIPAHorizontal=0.000000</t>
  </si>
  <si>
    <t>AntennaRoundIPAHorizontal=0.000000</t>
  </si>
  <si>
    <t>AntennaFlatIPADiagonal=0.000000</t>
  </si>
  <si>
    <t>AntennaRoundIPADiagonal=0.000000</t>
  </si>
  <si>
    <t>AntennaCSA_S37_SpeedUpFactor=1.000000</t>
  </si>
  <si>
    <t>AntennaKLegs=1.000000</t>
  </si>
  <si>
    <t>AntennaKXBracedDiags=1.000000</t>
  </si>
  <si>
    <t>AntennaKKBracedDiags=1.000000</t>
  </si>
  <si>
    <t>AntennaKZBracedDiags=1.000000</t>
  </si>
  <si>
    <t>AntennaKHorzs=1.000000</t>
  </si>
  <si>
    <t>AntennaKSecHorzs=1.000000</t>
  </si>
  <si>
    <t>AntennaKGirts=1.000000</t>
  </si>
  <si>
    <t>AntennaKInners=1.000000</t>
  </si>
  <si>
    <t>AntennaKXBracedDiagsY=1.000000</t>
  </si>
  <si>
    <t>AntennaKKBracedDiagsY=1.000000</t>
  </si>
  <si>
    <t>AntennaKZBracedDiagsY=1.000000</t>
  </si>
  <si>
    <t>AntennaKHorzsY=1.000000</t>
  </si>
  <si>
    <t>AntennaKSecHorzsY=1.000000</t>
  </si>
  <si>
    <t>AntennaKGirtsY=1.000000</t>
  </si>
  <si>
    <t>AntennaKInnersY=1.000000</t>
  </si>
  <si>
    <t>AntennaKRedHorz=1.000000</t>
  </si>
  <si>
    <t>AntennaKRedDiag=1.000000</t>
  </si>
  <si>
    <t>AntennaKRedSubDiag=1.000000</t>
  </si>
  <si>
    <t>AntennaKRedSubHorz=1.000000</t>
  </si>
  <si>
    <t>AntennaKRedVert=1.000000</t>
  </si>
  <si>
    <t>AntennaKRedHip=1.000000</t>
  </si>
  <si>
    <t>AntennaKRedHipDiag=1.000000</t>
  </si>
  <si>
    <t>AntennaKTLX=0.500000</t>
  </si>
  <si>
    <t>AntennaKTLZ=0.850000</t>
  </si>
  <si>
    <t>AntennaKTLLeg=1.000000</t>
  </si>
  <si>
    <t>AntennaInnerKTLX=0.500000</t>
  </si>
  <si>
    <t>AntennaInnerKTLZ=0.850000</t>
  </si>
  <si>
    <t>AntennaInnerKTLLeg=1.000000</t>
  </si>
  <si>
    <t>AntennaStitchBoltLocationHoriz=Numeric Input</t>
  </si>
  <si>
    <t>AntennaStitchBoltLocationDiag=Numeric Input</t>
  </si>
  <si>
    <t>AntennaStitchSpacing=36.000000</t>
  </si>
  <si>
    <t>AntennaStitchSpacingHorz=36.000000</t>
  </si>
  <si>
    <t>AntennaStitchSpacingDiag=36.000000</t>
  </si>
  <si>
    <t>AntennaStitchSpacingRed=36.000000</t>
  </si>
  <si>
    <t>AntennaLegNetWidthDeduct=0.000000</t>
  </si>
  <si>
    <t>AntennaLegUFactor=1.000000</t>
  </si>
  <si>
    <t>AntennaDiagonalNetWidthDeduct=0.000000</t>
  </si>
  <si>
    <t>AntennaTopGirtNetWidthDeduct=0.000000</t>
  </si>
  <si>
    <t>AntennaBotGirtNetWidthDeduct=0.000000</t>
  </si>
  <si>
    <t>AntennaInnerGirtNetWidthDeduct=0.000000</t>
  </si>
  <si>
    <t>AntennaHorizontalNetWidthDeduct=0.000000</t>
  </si>
  <si>
    <t>AntennaShortHorizontalNetWidthDeduct=0.000000</t>
  </si>
  <si>
    <t>AntennaDiagonalUFactor=0.750000</t>
  </si>
  <si>
    <t>AntennaTopGirtUFactor=0.750000</t>
  </si>
  <si>
    <t>AntennaBotGirtUFactor=0.750000</t>
  </si>
  <si>
    <t>AntennaInnerGirtUFactor=0.750000</t>
  </si>
  <si>
    <t>AntennaHorizontalUFactor=0.750000</t>
  </si>
  <si>
    <t>AntennaShortHorizontalUFactor=0.750000</t>
  </si>
  <si>
    <t>AntennaLegConnType=Flange</t>
  </si>
  <si>
    <t>AntennaLegNumBolts=0</t>
  </si>
  <si>
    <t>AntennaDiagonalNumBolts=0</t>
  </si>
  <si>
    <t>AntennaTopGirtNumBolts=0</t>
  </si>
  <si>
    <t>AntennaBotGirtNumBolts=0</t>
  </si>
  <si>
    <t>AntennaInnerGirtNumBolts=0</t>
  </si>
  <si>
    <t>AntennaHorizontalNumBolts=0</t>
  </si>
  <si>
    <t>AntennaShortHorizontalNumBolts=0</t>
  </si>
  <si>
    <t>AntennaLegBoltGrade=A325N</t>
  </si>
  <si>
    <t>AntennaLegBoltSize=0.750000</t>
  </si>
  <si>
    <t>AntennaDiagonalBoltGrade=A325N</t>
  </si>
  <si>
    <t>AntennaDiagonalBoltSize=0.625000</t>
  </si>
  <si>
    <t>AntennaTopGirtBoltGrade=A325N</t>
  </si>
  <si>
    <t>AntennaTopGirtBoltSize=0.625000</t>
  </si>
  <si>
    <t>AntennaBotGirtBoltGrade=A325N</t>
  </si>
  <si>
    <t>AntennaBotGirtBoltSize=0.625000</t>
  </si>
  <si>
    <t>AntennaInnerGirtBoltGrade=A325N</t>
  </si>
  <si>
    <t>AntennaInnerGirtBoltSize=0.625000</t>
  </si>
  <si>
    <t>AntennaHorizontalBoltGrade=A325N</t>
  </si>
  <si>
    <t>AntennaHorizontalBoltSize=0.625000</t>
  </si>
  <si>
    <t>AntennaShortHorizontalBoltGrade=A325N</t>
  </si>
  <si>
    <t>AntennaShortHorizontalBoltSize=0.625000</t>
  </si>
  <si>
    <t>AntennaLegBoltEdgeDistance=0.000000</t>
  </si>
  <si>
    <t>AntennaDiagonalBoltEdgeDistance=0.000000</t>
  </si>
  <si>
    <t>AntennaTopGirtBoltEdgeDistance=0.000000</t>
  </si>
  <si>
    <t>AntennaBotGirtBoltEdgeDistance=0.000000</t>
  </si>
  <si>
    <t>AntennaInnerGirtBoltEdgeDistance=0.000000</t>
  </si>
  <si>
    <t>AntennaHorizontalBoltEdgeDistance=0.000000</t>
  </si>
  <si>
    <t>AntennaShortHorizontalBoltEdgeDistance=0.000000</t>
  </si>
  <si>
    <t>AntennaDiagonalGageG1Distance=0.000000</t>
  </si>
  <si>
    <t>AntennaTopGirtGageG1Distance=0.000000</t>
  </si>
  <si>
    <t>AntennaBotGirtGageG1Distance=0.000000</t>
  </si>
  <si>
    <t>AntennaInnerGirtGageG1Distance=0.000000</t>
  </si>
  <si>
    <t>AntennaHorizontalGageG1Distance=0.000000</t>
  </si>
  <si>
    <t>AntennaShortHorizontalGageG1Distance=0.000000</t>
  </si>
  <si>
    <t>AntennaRedundantHorizontalBoltGrade=A325N</t>
  </si>
  <si>
    <t>AntennaRedundantHorizontalBoltSize=0.625000</t>
  </si>
  <si>
    <t>AntennaRedundantHorizontalNumBolts=0</t>
  </si>
  <si>
    <t>AntennaRedundantHorizontalBoltEdgeDistance=0.000000</t>
  </si>
  <si>
    <t>AntennaRedundantHorizontalGageG1Distance=0.000000</t>
  </si>
  <si>
    <t>AntennaRedundantHorizontalNetWidthDeduct=0.000000</t>
  </si>
  <si>
    <t>AntennaRedundantHorizontalUFactor=0.750000</t>
  </si>
  <si>
    <t>AntennaRedundantDiagonalBoltGrade=A325N</t>
  </si>
  <si>
    <t>AntennaRedundantDiagonalBoltSize=0.625000</t>
  </si>
  <si>
    <t>AntennaRedundantDiagonalNumBolts=0</t>
  </si>
  <si>
    <t>AntennaRedundantDiagonalBoltEdgeDistance=0.000000</t>
  </si>
  <si>
    <t>AntennaRedundantDiagonalGageG1Distance=0.000000</t>
  </si>
  <si>
    <t>AntennaRedundantDiagonalNetWidthDeduct=0.000000</t>
  </si>
  <si>
    <t>AntennaRedundantDiagonalUFactor=0.750000</t>
  </si>
  <si>
    <t>AntennaRedundantSubDiagonalBoltGrade=A325N</t>
  </si>
  <si>
    <t>AntennaRedundantSubDiagonalBoltSize=0.625000</t>
  </si>
  <si>
    <t>AntennaRedundantSubDiagonalNumBolts=0</t>
  </si>
  <si>
    <t>AntennaRedundantSubDiagonalBoltEdgeDistance=0.000000</t>
  </si>
  <si>
    <t>AntennaRedundantSubDiagonalGageG1Distance=0.000000</t>
  </si>
  <si>
    <t>AntennaRedundantSubDiagonalNetWidthDeduct=0.000000</t>
  </si>
  <si>
    <t>AntennaRedundantSubDiagonalUFactor=0.750000</t>
  </si>
  <si>
    <t>AntennaRedundantSubHorizontalBoltGrade=A325N</t>
  </si>
  <si>
    <t>AntennaRedundantSubHorizontalBoltSize=0.625000</t>
  </si>
  <si>
    <t>AntennaRedundantSubHorizontalNumBolts=0</t>
  </si>
  <si>
    <t>AntennaRedundantSubHorizontalBoltEdgeDistance=0.000000</t>
  </si>
  <si>
    <t>AntennaRedundantSubHorizontalGageG1Distance=0.000000</t>
  </si>
  <si>
    <t>AntennaRedundantSubHorizontalNetWidthDeduct=0.000000</t>
  </si>
  <si>
    <t>AntennaRedundantSubHorizontalUFactor=0.750000</t>
  </si>
  <si>
    <t>AntennaRedundantVerticalBoltGrade=A325N</t>
  </si>
  <si>
    <t>AntennaRedundantVerticalBoltSize=0.625000</t>
  </si>
  <si>
    <t>AntennaRedundantVerticalNumBolts=0</t>
  </si>
  <si>
    <t>AntennaRedundantVerticalBoltEdgeDistance=0.000000</t>
  </si>
  <si>
    <t>AntennaRedundantVerticalGageG1Distance=0.000000</t>
  </si>
  <si>
    <t>AntennaRedundantVerticalNetWidthDeduct=0.000000</t>
  </si>
  <si>
    <t>AntennaRedundantVerticalUFactor=0.750000</t>
  </si>
  <si>
    <t>AntennaRedundantHipBoltGrade=A325N</t>
  </si>
  <si>
    <t>AntennaRedundantHipBoltSize=0.625000</t>
  </si>
  <si>
    <t>AntennaRedundantHipNumBolts=0</t>
  </si>
  <si>
    <t>AntennaRedundantHipBoltEdgeDistance=0.000000</t>
  </si>
  <si>
    <t>AntennaRedundantHipGageG1Distance=0.000000</t>
  </si>
  <si>
    <t>AntennaRedundantHipNetWidthDeduct=0.000000</t>
  </si>
  <si>
    <t>AntennaRedundantHipUFactor=0.750000</t>
  </si>
  <si>
    <t>AntennaRedundantHipDiagonalBoltGrade=A325N</t>
  </si>
  <si>
    <t>AntennaRedundantHipDiagonalBoltSize=0.625000</t>
  </si>
  <si>
    <t>AntennaRedundantHipDiagonalNumBolts=0</t>
  </si>
  <si>
    <t>AntennaRedundantHipDiagonalBoltEdgeDistance=0.000000</t>
  </si>
  <si>
    <t>AntennaRedundantHipDiagonalGageG1Distance=0.000000</t>
  </si>
  <si>
    <t>AntennaRedundantHipDiagonalNetWidthDeduct=0.000000</t>
  </si>
  <si>
    <t>AntennaRedundantHipDiagonalUFactor=0.750000</t>
  </si>
  <si>
    <t>AntennaDiagonalOutOfPlaneRestraint=No</t>
  </si>
  <si>
    <t>AntennaTopGirtOutOfPlaneRestraint=No</t>
  </si>
  <si>
    <t>AntennaBottomGirtOutOfPlaneRestraint=No</t>
  </si>
  <si>
    <t>AntennaMidGirtOutOfPlaneRestraint=No</t>
  </si>
  <si>
    <t>AntennaHorizontalOutOfPlaneRestraint=No</t>
  </si>
  <si>
    <t>AntennaSecondaryHorizontalOutOfPlaneRestraint=No</t>
  </si>
  <si>
    <t>AntennaDiagOffsetNEY=0.000000</t>
  </si>
  <si>
    <t>AntennaDiagOffsetNEX=0.000000</t>
  </si>
  <si>
    <t>AntennaDiagOffsetPEY=0.000000</t>
  </si>
  <si>
    <t>AntennaDiagOffsetPEX=0.000000</t>
  </si>
  <si>
    <t>AntennaKbraceOffsetNEY=0.000000</t>
  </si>
  <si>
    <t>AntennaKbraceOffsetNEX=0.000000</t>
  </si>
  <si>
    <t>AntennaKbraceOffsetPEY=0.000000</t>
  </si>
  <si>
    <t>AntennaKbraceOffsetPEX=0.000000</t>
  </si>
  <si>
    <t>AntennaHeight=75.000000</t>
  </si>
  <si>
    <t>AntennaSectionLength=38.961000</t>
  </si>
  <si>
    <t>AntennaPoleSpliceLength=2.500000</t>
  </si>
  <si>
    <t>AntennaTaperPoleBotDiameter=13.962700</t>
  </si>
  <si>
    <t>AntennaTaperPoleWallThickness=0.187500</t>
  </si>
  <si>
    <t>AntennaTaperPoleBendRadius=0.750000</t>
  </si>
  <si>
    <t>AntennaTaperPoleGrade=65</t>
  </si>
  <si>
    <t>AntennaHeight=38.539000</t>
  </si>
  <si>
    <t>AntennaSectionLength=38.539000</t>
  </si>
  <si>
    <t>AntennaTaperPoleTopDiameter=13.245197</t>
  </si>
  <si>
    <t>AntennaTaperPoleBotDiameter=19.000000</t>
  </si>
  <si>
    <t>FeedLineCaAaNoIce=0.165996</t>
  </si>
  <si>
    <t>FeedLineCaAaIce=0.266004</t>
  </si>
  <si>
    <t>FeedLineCaAaIce_1=0.366000</t>
  </si>
  <si>
    <t>FeedLineCaAaIce_2=0.566004</t>
  </si>
  <si>
    <t>FeedLineCaAaIce_4=0.966000</t>
  </si>
  <si>
    <t>FeedLineWtIce=0.003720</t>
  </si>
  <si>
    <t>FeedLineWtIce_1=0.005650</t>
  </si>
  <si>
    <t>FeedLineWtIce_2=0.011343</t>
  </si>
  <si>
    <t>FeedLineWtIce_4=0.030060</t>
  </si>
  <si>
    <t>FeedLineCaAaNoIce=0.109000</t>
  </si>
  <si>
    <t>FeedLineCaAaIce=0.209004</t>
  </si>
  <si>
    <t>FeedLineCaAaIce_1=0.309000</t>
  </si>
  <si>
    <t>FeedLineCaAaIce_2=0.509004</t>
  </si>
  <si>
    <t>FeedLineCaAaIce_4=0.909000</t>
  </si>
  <si>
    <t>FeedLineWtIce=0.001301</t>
  </si>
  <si>
    <t>FeedLineWtIce_1=0.002883</t>
  </si>
  <si>
    <t>FeedLineWtIce_2=0.007880</t>
  </si>
  <si>
    <t>FeedLineWtIce_4=0.025204</t>
  </si>
  <si>
    <t>FeedLineCaAaNoIce=0.127000</t>
  </si>
  <si>
    <t>FeedLineCaAaIce=0.227000</t>
  </si>
  <si>
    <t>FeedLineCaAaIce_1=0.327000</t>
  </si>
  <si>
    <t>FeedLineCaAaIce_2=0.527000</t>
  </si>
  <si>
    <t>FeedLineCaAaIce_4=0.927000</t>
  </si>
  <si>
    <t>FeedLineWtIce=0.002386</t>
  </si>
  <si>
    <t>FeedLineWtIce_1=0.004078</t>
  </si>
  <si>
    <t>FeedLineWtIce_2=0.009295</t>
  </si>
  <si>
    <t>FeedLineWtIce_4=0.027059</t>
  </si>
  <si>
    <t>TowerLoadCaAaNoIce=5.180302</t>
  </si>
  <si>
    <t>TowerLoadCaAaIce=5.701327</t>
  </si>
  <si>
    <t>TowerLoadCaAaIce_1=6.238507</t>
  </si>
  <si>
    <t>TowerLoadCaAaIce_2=7.361336</t>
  </si>
  <si>
    <t>TowerLoadCaAaIce_4=9.800867</t>
  </si>
  <si>
    <t>TowerLoadCaAaNoIce_Side=3.970251</t>
  </si>
  <si>
    <t>TowerLoadCaAaIce_Side=4.467503</t>
  </si>
  <si>
    <t>TowerLoadCaAaIce_Side_1=4.980910</t>
  </si>
  <si>
    <t>TowerLoadCaAaIce_Side_2=6.056193</t>
  </si>
  <si>
    <t>TowerLoadCaAaIce_Side_4=8.400631</t>
  </si>
  <si>
    <t>TowerLoadWtNoIce=0.049766</t>
  </si>
  <si>
    <t>TowerLoadWtIce=0.094443</t>
  </si>
  <si>
    <t>TowerLoadWtIce_2=0.279599</t>
  </si>
  <si>
    <t>TowerLoadWtIce_4=0.658722</t>
  </si>
  <si>
    <t>TowerLoadCaAaNoIce=5.186929</t>
  </si>
  <si>
    <t>TowerLoadCaAaIce=5.594074</t>
  </si>
  <si>
    <t>TowerLoadCaAaIce_1=6.015907</t>
  </si>
  <si>
    <t>TowerLoadCaAaIce_2=6.903632</t>
  </si>
  <si>
    <t>TowerLoadCaAaIce_4=8.855329</t>
  </si>
  <si>
    <t>TowerLoadCaAaNoIce_Side=2.705445</t>
  </si>
  <si>
    <t>TowerLoadCaAaIce_Side=3.037644</t>
  </si>
  <si>
    <t>TowerLoadCaAaIce_Side_1=3.384529</t>
  </si>
  <si>
    <t>TowerLoadCaAaIce_Side_2=4.122362</t>
  </si>
  <si>
    <t>TowerLoadCaAaIce_Side_4=5.774271</t>
  </si>
  <si>
    <t>TowerLoadWtNoIce=0.128375</t>
  </si>
  <si>
    <t>TowerLoadWtIce=0.174017</t>
  </si>
  <si>
    <t>TowerLoadWtIce_1=0.226574</t>
  </si>
  <si>
    <t>TowerLoadWtIce_2=0.353819</t>
  </si>
  <si>
    <t>TowerLoadWtIce_4=0.706553</t>
  </si>
  <si>
    <t>TowerLoadCaAaNoIce=14.693505</t>
  </si>
  <si>
    <t>TowerLoadCaAaIce=15.455338</t>
  </si>
  <si>
    <t>TowerLoadCaAaIce_1=16.229734</t>
  </si>
  <si>
    <t>TowerLoadCaAaIce_2=17.816210</t>
  </si>
  <si>
    <t>TowerLoadCaAaIce_4=21.139903</t>
  </si>
  <si>
    <t>TowerLoadCaAaNoIce_Side=6.873443</t>
  </si>
  <si>
    <t>TowerLoadCaAaIce_Side=7.553733</t>
  </si>
  <si>
    <t>TowerLoadCaAaIce_Side_1=8.246585</t>
  </si>
  <si>
    <t>TowerLoadCaAaIce_Side_2=9.669973</t>
  </si>
  <si>
    <t>TowerLoadCaAaIce_Side_4=12.667490</t>
  </si>
  <si>
    <t>TowerLoadWtNoIce=0.182777</t>
  </si>
  <si>
    <t>TowerLoadWtIce=0.310525</t>
  </si>
  <si>
    <t>TowerLoadWtIce_1=0.452678</t>
  </si>
  <si>
    <t>TowerLoadWtIce_2=0.781582</t>
  </si>
  <si>
    <t>TowerLoadWtIce_4=1.627513</t>
  </si>
  <si>
    <t>TowerLoadCaAaNoIce=1.912167</t>
  </si>
  <si>
    <t>TowerLoadCaAaIce=2.098617</t>
  </si>
  <si>
    <t>TowerLoadCaAaIce_1=2.293710</t>
  </si>
  <si>
    <t>TowerLoadCaAaIce_2=2.709821</t>
  </si>
  <si>
    <t>TowerLoadCaAaIce_4=3.645747</t>
  </si>
  <si>
    <t>TowerLoadCaAaNoIce_Side=0.782250</t>
  </si>
  <si>
    <t>TowerLoadCaAaIce_Side=0.918145</t>
  </si>
  <si>
    <t>TowerLoadCaAaIce_Side_1=1.062682</t>
  </si>
  <si>
    <t>TowerLoadCaAaIce_Side_2=1.377682</t>
  </si>
  <si>
    <t>TowerLoadCaAaIce_Side_4=2.111386</t>
  </si>
  <si>
    <t>TowerLoadCaAaNoIce=2.394000</t>
  </si>
  <si>
    <t>TowerLoadCaAaIce=2.602488</t>
  </si>
  <si>
    <t>TowerLoadCaAaIce_1=2.819617</t>
  </si>
  <si>
    <t>TowerLoadCaAaIce_2=3.279803</t>
  </si>
  <si>
    <t>TowerLoadCaAaIce_4=4.303877</t>
  </si>
  <si>
    <t>TowerLoadCaAaNoIce_Side=1.878625</t>
  </si>
  <si>
    <t>TowerLoadCaAaIce_Side=2.067020</t>
  </si>
  <si>
    <t>TowerLoadCaAaIce_Side_1=2.264057</t>
  </si>
  <si>
    <t>TowerLoadCaAaIce_Side_2=2.684057</t>
  </si>
  <si>
    <t>TowerLoadCaAaIce_Side_4=3.627761</t>
  </si>
  <si>
    <t>TowerLoadCaAaNoIce=2.298450</t>
  </si>
  <si>
    <t>TowerLoadCaAaIce=2.504410</t>
  </si>
  <si>
    <t>TowerLoadCaAaIce_1=2.719012</t>
  </si>
  <si>
    <t>TowerLoadCaAaIce_2=3.174141</t>
  </si>
  <si>
    <t>TowerLoadCaAaIce_4=4.188104</t>
  </si>
  <si>
    <t>TowerLoadCaAaNoIce_Side=1.850949</t>
  </si>
  <si>
    <t>TowerLoadCaAaIce_Side=2.040251</t>
  </si>
  <si>
    <t>TowerLoadCaAaIce_Side_1=2.238196</t>
  </si>
  <si>
    <t>TowerLoadCaAaIce_Side_2=2.660010</t>
  </si>
  <si>
    <t>TowerLoadCaAaIce_Side_4=3.607344</t>
  </si>
  <si>
    <t>TowerLoadCaAaNoIce=3.333229</t>
  </si>
  <si>
    <t>TowerLoadCaAaIce=3.596809</t>
  </si>
  <si>
    <t>TowerLoadCaAaIce_1=3.869031</t>
  </si>
  <si>
    <t>TowerLoadCaAaIce_2=4.439402</t>
  </si>
  <si>
    <t>TowerLoadCaAaIce_4=5.683846</t>
  </si>
  <si>
    <t>TowerLoadCaAaNoIce_Side=1.982789</t>
  </si>
  <si>
    <t>TowerLoadCaAaIce_Side=2.213703</t>
  </si>
  <si>
    <t>TowerLoadCaAaIce_Side_1=2.453258</t>
  </si>
  <si>
    <t>TowerLoadCaAaIce_Side_2=2.958295</t>
  </si>
  <si>
    <t>TowerLoadCaAaIce_Side_4=4.072073</t>
  </si>
  <si>
    <t>TowerLoadCaAaNoIce=4.325848</t>
  </si>
  <si>
    <t>TowerLoadCaAaIce=4.608873</t>
  </si>
  <si>
    <t>TowerLoadCaAaIce_1=4.900540</t>
  </si>
  <si>
    <t>TowerLoadCaAaIce_2=5.509799</t>
  </si>
  <si>
    <t>TowerLoadCaAaIce_4=6.832021</t>
  </si>
  <si>
    <t>TowerLoadCaAaNoIce_Side=2.557090</t>
  </si>
  <si>
    <t>TowerLoadCaAaIce_Side=2.794161</t>
  </si>
  <si>
    <t>TowerLoadCaAaIce_Side_1=3.039874</t>
  </si>
  <si>
    <t>TowerLoadCaAaIce_Side_2=3.557226</t>
  </si>
  <si>
    <t>TowerLoadCaAaIce_Side_4=4.695633</t>
  </si>
  <si>
    <t>{.{&lt;tag11&gt;}.}</t>
  </si>
  <si>
    <t>Place "tag11" data here.</t>
  </si>
  <si>
    <t>{.{~tag11~}.}</t>
  </si>
  <si>
    <t>{.{&lt;tag121&gt;}.}</t>
  </si>
  <si>
    <t>Place "tag121" data here.</t>
  </si>
  <si>
    <t>{.{~tag121~}.}</t>
  </si>
  <si>
    <t>{.{&lt;tag131&gt;}.}</t>
  </si>
  <si>
    <t>Place "tag131" data here.</t>
  </si>
  <si>
    <t>{.{~tag131~}.}</t>
  </si>
  <si>
    <t>{.{&lt;123&gt;}.}</t>
  </si>
  <si>
    <t>Place "123" data here.</t>
  </si>
  <si>
    <t>{.{~123~}.}</t>
  </si>
  <si>
    <t>{.{&lt;dfdf&gt;}.}</t>
  </si>
  <si>
    <t>Place "dfdf" data here.</t>
  </si>
  <si>
    <t>{.{~dfdf~}.}</t>
  </si>
  <si>
    <t>1 1 0 75 0</t>
  </si>
  <si>
    <t>2 1 0 76 0</t>
  </si>
  <si>
    <t>3 1 0 77 0</t>
  </si>
  <si>
    <t>4 1 0 78 0</t>
  </si>
  <si>
    <t>5 1 0 79 0</t>
  </si>
  <si>
    <t>6 1 0 80 0</t>
  </si>
  <si>
    <t>7 1 0 81 0</t>
  </si>
  <si>
    <t>8 1 0 82 0</t>
  </si>
  <si>
    <t>9 1 0 83 0</t>
  </si>
  <si>
    <t>10 1 0 84 0</t>
  </si>
  <si>
    <t>11 1 0 85 0</t>
  </si>
  <si>
    <t>12 1 0 86 0</t>
  </si>
  <si>
    <t>13 1 0 87 0</t>
  </si>
  <si>
    <t>14 1 0 88 0</t>
  </si>
  <si>
    <t>15 1 0 89 0</t>
  </si>
  <si>
    <t>16 1 0 90 0</t>
  </si>
  <si>
    <t>17 1 0 36.039 0</t>
  </si>
  <si>
    <t>18 1 0 38.539 0</t>
  </si>
  <si>
    <t>19 1 0 40.458 0</t>
  </si>
  <si>
    <t>20 1 0 42.377 0</t>
  </si>
  <si>
    <t>21 1 0 44.296 0</t>
  </si>
  <si>
    <t>22 1 0 46.215 0</t>
  </si>
  <si>
    <t>23 1 0 48.134 0</t>
  </si>
  <si>
    <t>24 1 0 50.053 0</t>
  </si>
  <si>
    <t>25 1 0 51.972 0</t>
  </si>
  <si>
    <t>26 1 0 53.891 0</t>
  </si>
  <si>
    <t>27 1 0 55.81 0</t>
  </si>
  <si>
    <t>28 1 0 57.729 0</t>
  </si>
  <si>
    <t>29 1 0 59.648 0</t>
  </si>
  <si>
    <t>30 1 0 61.567 0</t>
  </si>
  <si>
    <t>31 1 0 63.486 0</t>
  </si>
  <si>
    <t>32 1 0 65.405 0</t>
  </si>
  <si>
    <t>33 1 0 67.324 0</t>
  </si>
  <si>
    <t>34 1 0 69.243 0</t>
  </si>
  <si>
    <t>35 1 0 71.162 0</t>
  </si>
  <si>
    <t>36 1 0 73.081 0</t>
  </si>
  <si>
    <t>37 1 0 0 0</t>
  </si>
  <si>
    <t>38 1 0 1.89679 0</t>
  </si>
  <si>
    <t>39 1 0 3.79358 0</t>
  </si>
  <si>
    <t>40 1 0 5.69037 0</t>
  </si>
  <si>
    <t>41 1 0 7.58716 0</t>
  </si>
  <si>
    <t>42 1 0 9.48395 0</t>
  </si>
  <si>
    <t>43 1 0 11.3807 0</t>
  </si>
  <si>
    <t>44 1 0 13.2775 0</t>
  </si>
  <si>
    <t>45 1 0 15.1743 0</t>
  </si>
  <si>
    <t>46 1 0 17.0711 0</t>
  </si>
  <si>
    <t>47 1 0 18.9679 0</t>
  </si>
  <si>
    <t>48 1 0 20.8647 0</t>
  </si>
  <si>
    <t>49 1 0 22.7615 0</t>
  </si>
  <si>
    <t>50 1 0 24.6583 0</t>
  </si>
  <si>
    <t>51 1 0 26.5551 0</t>
  </si>
  <si>
    <t>52 1 0 28.4518 0</t>
  </si>
  <si>
    <t>53 1 0 30.3486 0</t>
  </si>
  <si>
    <t>54 1 0 32.2454 0</t>
  </si>
  <si>
    <t>55 1 0 34.1422 0</t>
  </si>
  <si>
    <t>37 1 1 1 1 1 1 0 0 0 0 0 0 0 0 0 0 0 0 0</t>
  </si>
  <si>
    <t>7 1 0 0 0 0 0 0 0 0 0 0 0 0 0 0 0 0 0 0 0 0 0 0 0</t>
  </si>
  <si>
    <t>8 1 0 0 0 0 0 0 0 0 0 0 0 0 0 0 0 0 0 0 0 0 0 0 0</t>
  </si>
  <si>
    <t>9 1 0 0 0 0 0 0 0 0 0 0 0 0 0 0 0 0 0 0 0 0 0 0 0</t>
  </si>
  <si>
    <t>10 1 0 0 0 0 0 0 0 0 0 0 0 0 0 0 0 0 0 0 0 0 0 0 0</t>
  </si>
  <si>
    <t>11 1 0 0 0 0 0 0 0 0 0 0 0 0 0 0 0 0 0 0 0 0 0 0 0</t>
  </si>
  <si>
    <t>12 1 0 0 0 0 0 0 0 0 0 0 0 0 0 0 0 0 0 0 0 0 0 0 0</t>
  </si>
  <si>
    <t>13 1 0 0 0 0 0 0 0 0 0 0 0 0 0 0 0 0 0 0 0 0 0 0 0</t>
  </si>
  <si>
    <t>14 1 0 0 0 0 0 0 0 0 0 0 0 0 0 0 0 0 0 0 0 0 0 0 0</t>
  </si>
  <si>
    <t>15 1 0 0 0 0 0 0 0 0 0 0 0 0 0 0 0 0 0 0 0 0 0 0 0</t>
  </si>
  <si>
    <t>16 1 0 0 0 0 0 0 0 0 0 0 0 0 0 0 0 0 0 0 0 0 0 0 0</t>
  </si>
  <si>
    <t>17 2 3 0 0 0 0 0 0 0 0 0 0 0 0 0 0 0 0 0 0 0 0 0 0</t>
  </si>
  <si>
    <t>18 2 3 0 0 0 0 0 0 0 0 0 0 0 0 0 0 0 0 0 0 0 0 0 0</t>
  </si>
  <si>
    <t>19 2 0 0 0 0 0 0 0 0 0 0 0 0 0 0 0 0 0 0 0 0 0 0 0</t>
  </si>
  <si>
    <t>20 2 0 0 0 0 0 0 0 0 0 0 0 0 0 0 0 0 0 0 0 0 0 0 0</t>
  </si>
  <si>
    <t>21 2 0 0 0 0 0 0 0 0 0 0 0 0 0 0 0 0 0 0 0 0 0 0 0</t>
  </si>
  <si>
    <t>22 2 0 0 0 0 0 0 0 0 0 0 0 0 0 0 0 0 0 0 0 0 0 0 0</t>
  </si>
  <si>
    <t>23 2 0 0 0 0 0 0 0 0 0 0 0 0 0 0 0 0 0 0 0 0 0 0 0</t>
  </si>
  <si>
    <t>24 2 0 0 0 0 0 0 0 0 0 0 0 0 0 0 0 0 0 0 0 0 0 0 0</t>
  </si>
  <si>
    <t>25 2 0 0 0 0 0 0 0 0 0 0 0 0 0 0 0 0 0 0 0 0 0 0 0</t>
  </si>
  <si>
    <t>26 2 0 0 0 0 0 0 0 0 0 0 0 0 0 0 0 0 0 0 0 0 0 0 0</t>
  </si>
  <si>
    <t>27 2 0 0 0 0 0 0 0 0 0 0 0 0 0 0 0 0 0 0 0 0 0 0 0</t>
  </si>
  <si>
    <t>28 2 0 0 0 0 0 0 0 0 0 0 0 0 0 0 0 0 0 0 0 0 0 0 0</t>
  </si>
  <si>
    <t>29 2 0 0 0 0 0 0 0 0 0 0 0 0 0 0 0 0 0 0 0 0 0 0 0</t>
  </si>
  <si>
    <t>30 2 0 0 0 0 0 0 0 0 0 0 0 0 0 0 0 0 0 0 0 0 0 0 0</t>
  </si>
  <si>
    <t>31 2 0 0 0 0 0 0 0 0 0 0 0 0 0 0 0 0 0 0 0 0 0 0 0</t>
  </si>
  <si>
    <t>32 2 0 0 0 0 0 0 0 0 0 0 0 0 0 0 0 0 0 0 0 0 0 0 0</t>
  </si>
  <si>
    <t>33 2 0 0 0 0 0 0 0 0 0 0 0 0 0 0 0 0 0 0 0 0 0 0 0</t>
  </si>
  <si>
    <t>34 2 0 0 0 0 0 0 0 0 0 0 0 0 0 0 0 0 0 0 0 0 0 0 0</t>
  </si>
  <si>
    <t>35 2 0 0 0 0 0 0 0 0 0 0 0 0 0 0 0 0 0 0 0 0 0 0 0</t>
  </si>
  <si>
    <t>36 2 0 0 0 0 0 0 0 0 0 0 0 0 0 0 0 0 0 0 0 0 0 0 0</t>
  </si>
  <si>
    <t>37 3 0 0 0 0 0 0 0 0 0 0 0 0 0 0 0 0 0 0 0 0 0 0 0</t>
  </si>
  <si>
    <t>38 3 0 0 0 0 0 0 0 0 0 0 0 0 0 0 0 0 0 0 0 0 0 0 0</t>
  </si>
  <si>
    <t>39 3 0 0 0 0 0 0 0 0 0 0 0 0 0 0 0 0 0 0 0 0 0 0 0</t>
  </si>
  <si>
    <t>40 3 0 0 0 0 0 0 0 0 0 0 0 0 0 0 0 0 0 0 0 0 0 0 0</t>
  </si>
  <si>
    <t>41 3 0 0 0 0 0 0 0 0 0 0 0 0 0 0 0 0 0 0 0 0 0 0 0</t>
  </si>
  <si>
    <t>42 3 0 0 0 0 0 0 0 0 0 0 0 0 0 0 0 0 0 0 0 0 0 0 0</t>
  </si>
  <si>
    <t>43 3 0 0 0 0 0 0 0 0 0 0 0 0 0 0 0 0 0 0 0 0 0 0 0</t>
  </si>
  <si>
    <t>44 3 0 0 0 0 0 0 0 0 0 0 0 0 0 0 0 0 0 0 0 0 0 0 0</t>
  </si>
  <si>
    <t>45 3 0 0 0 0 0 0 0 0 0 0 0 0 0 0 0 0 0 0 0 0 0 0 0</t>
  </si>
  <si>
    <t>46 3 0 0 0 0 0 0 0 0 0 0 0 0 0 0 0 0 0 0 0 0 0 0 0</t>
  </si>
  <si>
    <t>47 3 0 0 0 0 0 0 0 0 0 0 0 0 0 0 0 0 0 0 0 0 0 0 0</t>
  </si>
  <si>
    <t>48 3 0 0 0 0 0 0 0 0 0 0 0 0 0 0 0 0 0 0 0 0 0 0 0</t>
  </si>
  <si>
    <t>49 3 0 0 0 0 0 0 0 0 0 0 0 0 0 0 0 0 0 0 0 0 0 0 0</t>
  </si>
  <si>
    <t>50 3 0 0 0 0 0 0 0 0 0 0 0 0 0 0 0 0 0 0 0 0 0 0 0</t>
  </si>
  <si>
    <t>51 3 0 0 0 0 0 0 0 0 0 0 0 0 0 0 0 0 0 0 0 0 0 0 0</t>
  </si>
  <si>
    <t>52 3 0 0 0 0 0 0 0 0 0 0 0 0 0 0 0 0 0 0 0 0 0 0 0</t>
  </si>
  <si>
    <t>53 3 0 0 0 0 0 0 0 0 0 0 0 0 0 0 0 0 0 0 0 0 0 0 0</t>
  </si>
  <si>
    <t>54 3 0 0 0 0 0 0 0 0 0 0 0 0 0 0 0 0 0 0 0 0 0 0 0</t>
  </si>
  <si>
    <t>55 3 0 0 0 0 0 0 0 0 0 0 0 0 0 0 0 0 0 0 0 0 0 0 0</t>
  </si>
  <si>
    <t>1 16</t>
  </si>
  <si>
    <t>37 18</t>
  </si>
  <si>
    <t>1 14</t>
  </si>
  <si>
    <t xml:space="preserve">2 3 4 5 6 7 8 9 10 11 12 13 14 15 </t>
  </si>
  <si>
    <t>2 19</t>
  </si>
  <si>
    <t xml:space="preserve">-18 19 20 21 22 23 24 25 26 27 28 29 30 31 32 33 34 35 36 </t>
  </si>
  <si>
    <t>3 19</t>
  </si>
  <si>
    <t xml:space="preserve">38 39 40 41 42 43 44 45 46 47 48 49 50 51 52 53 54 55 -17 </t>
  </si>
  <si>
    <t>TP13.963x8.625x0.188-A572-65</t>
  </si>
  <si>
    <t>TP19x13.245x0.188-A572-65</t>
  </si>
  <si>
    <t>TP13.963x8.625x0.188</t>
  </si>
  <si>
    <t>8.31678 201.436 201.436 408.164 0 0 0 0</t>
  </si>
  <si>
    <t>TP19x13.245x0.188</t>
  </si>
  <si>
    <t>11.1958 500.593 500.593 1001.85 0 0 0 0</t>
  </si>
  <si>
    <t>Latticed Pole Legs L1 90.000-75.000</t>
  </si>
  <si>
    <t>Latticed Pole Legs L2 75.000-36.039</t>
  </si>
  <si>
    <t>Latticed Pole Legs L3 36.039-0.000</t>
  </si>
  <si>
    <t>4 1 1 0</t>
  </si>
  <si>
    <t>5 1 1 0</t>
  </si>
  <si>
    <t>6 1 1 0</t>
  </si>
  <si>
    <t>4.5.8</t>
  </si>
  <si>
    <t>BP/Flange Plate Details</t>
  </si>
  <si>
    <t>Options (Check Connections)</t>
  </si>
  <si>
    <t>Options (Allow Deformation)</t>
  </si>
  <si>
    <t>Options (Analysis Degrees)</t>
  </si>
  <si>
    <t>Options (Ineffective Mods)</t>
  </si>
  <si>
    <t>Macro References</t>
  </si>
  <si>
    <t>A36:A36</t>
  </si>
  <si>
    <t>A9:A9</t>
  </si>
  <si>
    <t>A10:A10</t>
  </si>
  <si>
    <t>A37:A37</t>
  </si>
  <si>
    <t>G74:G74</t>
  </si>
  <si>
    <t>Flange Data</t>
  </si>
  <si>
    <t>I74:J83</t>
  </si>
  <si>
    <t>Options (Use Flange Data)</t>
  </si>
  <si>
    <t>flange_data</t>
  </si>
  <si>
    <t>● Updated column BV on Calculations tab for slight error when calculating c distance which did not impact results.
● Corrected default E value for certain custom reinforcements.
● Added worksheet change macro which highlights and records any manually overwritten calculations.
● Tool should now be importing all analysis options (including hole deformation) from previous tools.
● Added "SAPI" tabs and "EDS_Connection" module in vba for compatibility with EDS database.
● Added a "Use stored Base /Flange Plate information" option to the tool to allow for the import of flange plate steel grades from CCIplate or previous CCIpole tools.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</si>
</sst>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0.00000"/>
    <numFmt numFmtId="165" formatCode="0.000000"/>
    <numFmt numFmtId="166" formatCode="0.0000"/>
    <numFmt numFmtId="167" formatCode="0.000"/>
    <numFmt numFmtId="168" formatCode="0.0%"/>
    <numFmt numFmtId="169" formatCode="0.000%"/>
    <numFmt numFmtId="170" formatCode="0.0000000"/>
    <numFmt numFmtId="171" formatCode="0.0"/>
  </numFmts>
  <fonts count="142"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8"/>
      <name val="Arial"/>
      <family val="2"/>
    </font>
    <font>
      <b/>
      <sz val="10"/>
      <name val="Arial"/>
      <family val="2"/>
    </font>
    <font>
      <sz val="10"/>
      <name val="Arial"/>
      <family val="2"/>
    </font>
    <font>
      <sz val="10"/>
      <name val="Arial"/>
      <family val="2"/>
    </font>
    <font>
      <sz val="11"/>
      <name val="Arial"/>
      <family val="2"/>
    </font>
    <font>
      <sz val="11"/>
      <color indexed="8"/>
      <name val="Calibri"/>
      <family val="2"/>
    </font>
    <font>
      <b/>
      <sz val="10"/>
      <color indexed="8"/>
      <name val="Calibri"/>
      <family val="2"/>
    </font>
    <font>
      <b/>
      <vertAlign val="subscript"/>
      <sz val="10"/>
      <color indexed="8"/>
      <name val="Calibri"/>
      <family val="2"/>
    </font>
    <font>
      <sz val="8.1999999999999993"/>
      <name val="Arial"/>
      <family val="2"/>
    </font>
    <font>
      <sz val="11"/>
      <name val="Calibri"/>
      <family val="2"/>
    </font>
    <font>
      <vertAlign val="subscript"/>
      <sz val="11"/>
      <name val="Calibri"/>
      <family val="2"/>
    </font>
    <font>
      <vertAlign val="superscript"/>
      <sz val="11"/>
      <name val="Calibri"/>
      <family val="2"/>
    </font>
    <font>
      <sz val="11"/>
      <color theme="1"/>
      <name val="Calibri"/>
      <family val="2"/>
      <scheme val="minor"/>
    </font>
    <font>
      <sz val="11"/>
      <color rgb="FF006100"/>
      <name val="Calibri"/>
      <family val="2"/>
      <scheme val="minor"/>
    </font>
    <font>
      <sz val="11"/>
      <color rgb="FF3F3F76"/>
      <name val="Calibri"/>
      <family val="2"/>
      <scheme val="minor"/>
    </font>
    <font>
      <b/>
      <sz val="11"/>
      <color rgb="FF3F3F3F"/>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sz val="10"/>
      <color theme="0"/>
      <name val="Calibri"/>
      <family val="2"/>
      <scheme val="minor"/>
    </font>
    <font>
      <sz val="10"/>
      <color rgb="FF3A3A3B"/>
      <name val="Arial"/>
      <family val="2"/>
    </font>
    <font>
      <b/>
      <u/>
      <sz val="16"/>
      <name val="Cambria"/>
      <family val="1"/>
      <scheme val="major"/>
    </font>
    <font>
      <sz val="16"/>
      <color theme="1"/>
      <name val="Agency FB"/>
      <family val="2"/>
    </font>
    <font>
      <i/>
      <sz val="11"/>
      <color theme="1"/>
      <name val="Calibri"/>
      <family val="2"/>
      <scheme val="minor"/>
    </font>
    <font>
      <sz val="14"/>
      <color theme="1"/>
      <name val="Britannic Bold"/>
      <family val="2"/>
    </font>
    <font>
      <sz val="11"/>
      <name val="Calibri"/>
      <family val="2"/>
      <scheme val="minor"/>
    </font>
    <font>
      <sz val="10"/>
      <color rgb="FFFF0000"/>
      <name val="Calibri"/>
      <family val="2"/>
      <scheme val="minor"/>
    </font>
    <font>
      <sz val="11"/>
      <color theme="0"/>
      <name val="Calibri"/>
      <family val="2"/>
      <scheme val="minor"/>
    </font>
    <font>
      <sz val="10"/>
      <name val="Calibri"/>
      <family val="2"/>
      <scheme val="minor"/>
    </font>
    <font>
      <sz val="9"/>
      <color theme="1"/>
      <name val="Calibri"/>
      <family val="2"/>
      <scheme val="minor"/>
    </font>
    <font>
      <i/>
      <u/>
      <sz val="11"/>
      <color theme="1"/>
      <name val="Calibri"/>
      <family val="2"/>
      <scheme val="minor"/>
    </font>
    <font>
      <u/>
      <sz val="10"/>
      <color rgb="FFFF0000"/>
      <name val="Calibri"/>
      <family val="2"/>
      <scheme val="minor"/>
    </font>
    <font>
      <vertAlign val="superscript"/>
      <sz val="10"/>
      <name val="Arial"/>
      <family val="2"/>
    </font>
    <font>
      <vertAlign val="subscript"/>
      <sz val="10"/>
      <name val="Arial"/>
      <family val="2"/>
    </font>
    <font>
      <sz val="10"/>
      <color indexed="8"/>
      <name val="Calibri"/>
      <family val="2"/>
    </font>
    <font>
      <sz val="10"/>
      <color indexed="8"/>
      <name val="Calibri"/>
      <family val="2"/>
      <scheme val="minor"/>
    </font>
    <font>
      <sz val="12"/>
      <color theme="1"/>
      <name val="Calibri"/>
      <family val="2"/>
      <scheme val="minor"/>
    </font>
    <font>
      <b/>
      <sz val="13"/>
      <color theme="3"/>
      <name val="Calibri"/>
      <family val="2"/>
      <scheme val="minor"/>
    </font>
    <font>
      <b/>
      <sz val="11"/>
      <color theme="3"/>
      <name val="Calibri"/>
      <family val="2"/>
      <scheme val="minor"/>
    </font>
    <font>
      <b/>
      <sz val="12"/>
      <color theme="3"/>
      <name val="Calibri"/>
      <family val="2"/>
      <scheme val="minor"/>
    </font>
    <font>
      <b/>
      <vertAlign val="superscript"/>
      <sz val="12"/>
      <color theme="3"/>
      <name val="Calibri"/>
      <family val="2"/>
      <scheme val="minor"/>
    </font>
    <font>
      <sz val="10"/>
      <color theme="0"/>
      <name val="Arial"/>
      <family val="2"/>
    </font>
    <font>
      <i/>
      <sz val="22"/>
      <color theme="1"/>
      <name val="Calibri"/>
      <family val="2"/>
    </font>
    <font>
      <sz val="10"/>
      <name val="Calibri"/>
      <family val="2"/>
    </font>
    <font>
      <sz val="16"/>
      <name val="Calibri"/>
      <family val="2"/>
      <scheme val="minor"/>
    </font>
    <font>
      <sz val="12"/>
      <name val="Calibri"/>
      <family val="2"/>
    </font>
    <font>
      <vertAlign val="subscript"/>
      <sz val="12"/>
      <name val="Calibri"/>
      <family val="2"/>
    </font>
    <font>
      <sz val="12"/>
      <name val="Arial"/>
      <family val="2"/>
    </font>
    <font>
      <vertAlign val="subscript"/>
      <sz val="12"/>
      <name val="Arial"/>
      <family val="2"/>
    </font>
    <font>
      <vertAlign val="subscript"/>
      <sz val="14"/>
      <name val="Arial"/>
      <family val="2"/>
    </font>
    <font>
      <vertAlign val="subscript"/>
      <sz val="10"/>
      <name val="Calibri"/>
      <family val="2"/>
    </font>
    <font>
      <sz val="11"/>
      <color theme="1" tint="0.499984740745262"/>
      <name val="Calibri"/>
      <family val="2"/>
      <scheme val="minor"/>
    </font>
    <font>
      <b/>
      <sz val="11"/>
      <name val="Calibri"/>
      <family val="2"/>
      <scheme val="minor"/>
    </font>
    <font>
      <sz val="14"/>
      <name val="Calibri"/>
      <family val="2"/>
      <scheme val="minor"/>
    </font>
    <font>
      <sz val="14"/>
      <name val="Calibri"/>
      <family val="2"/>
    </font>
    <font>
      <sz val="14"/>
      <name val="Arial"/>
      <family val="2"/>
    </font>
    <font>
      <b/>
      <vertAlign val="subscript"/>
      <sz val="10"/>
      <color theme="3"/>
      <name val="Calibri"/>
      <family val="2"/>
      <scheme val="minor"/>
    </font>
    <font>
      <b/>
      <sz val="10"/>
      <color theme="3"/>
      <name val="Calibri"/>
      <family val="2"/>
      <scheme val="minor"/>
    </font>
    <font>
      <b/>
      <sz val="10"/>
      <color theme="3"/>
      <name val="Arial"/>
      <family val="2"/>
    </font>
    <font>
      <sz val="9"/>
      <color indexed="81"/>
      <name val="Tahoma"/>
      <family val="2"/>
    </font>
    <font>
      <b/>
      <sz val="9"/>
      <color indexed="81"/>
      <name val="Tahoma"/>
      <family val="2"/>
    </font>
    <font>
      <sz val="8"/>
      <color theme="1"/>
      <name val="Calibri"/>
      <family val="2"/>
      <scheme val="minor"/>
    </font>
    <font>
      <u/>
      <sz val="18"/>
      <name val="Aharoni"/>
    </font>
    <font>
      <sz val="12"/>
      <name val="Aharoni"/>
    </font>
    <font>
      <i/>
      <sz val="10"/>
      <name val="Arial"/>
      <family val="2"/>
    </font>
    <font>
      <i/>
      <sz val="10"/>
      <color theme="1"/>
      <name val="Calibri"/>
      <family val="2"/>
    </font>
    <font>
      <i/>
      <sz val="10"/>
      <color theme="1"/>
      <name val="Tahoma"/>
      <family val="2"/>
    </font>
    <font>
      <b/>
      <sz val="10"/>
      <name val="Calibri"/>
      <family val="2"/>
      <scheme val="minor"/>
    </font>
    <font>
      <u/>
      <sz val="10"/>
      <name val="Calibri"/>
      <family val="2"/>
      <scheme val="minor"/>
    </font>
    <font>
      <b/>
      <sz val="14"/>
      <name val="Arial"/>
      <family val="2"/>
    </font>
    <font>
      <b/>
      <sz val="10"/>
      <color rgb="FFFF0000"/>
      <name val="Arial"/>
      <family val="2"/>
    </font>
    <font>
      <sz val="14"/>
      <color rgb="FF00B050"/>
      <name val="Calibri"/>
      <family val="2"/>
      <scheme val="minor"/>
    </font>
    <font>
      <sz val="10"/>
      <color rgb="FF00B050"/>
      <name val="Arial"/>
      <family val="2"/>
    </font>
    <font>
      <sz val="11"/>
      <color rgb="FF00B050"/>
      <name val="Calibri"/>
      <family val="2"/>
      <scheme val="minor"/>
    </font>
    <font>
      <sz val="16"/>
      <color rgb="FF00B050"/>
      <name val="Calibri"/>
      <family val="2"/>
      <scheme val="minor"/>
    </font>
    <font>
      <b/>
      <sz val="11"/>
      <color rgb="FF00B050"/>
      <name val="Calibri"/>
      <family val="2"/>
      <scheme val="minor"/>
    </font>
    <font>
      <sz val="10"/>
      <color rgb="FF00B050"/>
      <name val="Arial"/>
      <family val="2"/>
    </font>
    <font>
      <u/>
      <sz val="28"/>
      <name val="Arial Black"/>
      <family val="2"/>
    </font>
    <font>
      <vertAlign val="subscript"/>
      <sz val="11"/>
      <name val="Calibri"/>
      <family val="2"/>
      <scheme val="minor"/>
    </font>
    <font>
      <i/>
      <sz val="11"/>
      <name val="Calibri"/>
      <family val="2"/>
      <scheme val="minor"/>
    </font>
    <font>
      <sz val="12"/>
      <name val="Calibri"/>
      <family val="2"/>
      <scheme val="minor"/>
    </font>
    <font>
      <vertAlign val="subscript"/>
      <sz val="14"/>
      <name val="Calibri"/>
      <family val="2"/>
    </font>
    <font>
      <u/>
      <sz val="11"/>
      <name val="Calibri"/>
      <family val="2"/>
      <scheme val="minor"/>
    </font>
    <font>
      <b/>
      <sz val="11"/>
      <color theme="0"/>
      <name val="Calibri"/>
      <family val="2"/>
      <scheme val="minor"/>
    </font>
    <font>
      <b/>
      <vertAlign val="subscript"/>
      <sz val="11"/>
      <name val="Calibri"/>
      <family val="2"/>
    </font>
    <font>
      <b/>
      <sz val="11"/>
      <name val="Calibri"/>
      <family val="2"/>
    </font>
    <font>
      <b/>
      <u/>
      <sz val="11"/>
      <name val="Calibri"/>
      <family val="2"/>
      <scheme val="minor"/>
    </font>
    <font>
      <sz val="8"/>
      <name val="Calibri"/>
      <family val="2"/>
      <scheme val="minor"/>
    </font>
    <font>
      <b/>
      <sz val="12"/>
      <name val="Calibri"/>
      <family val="2"/>
      <scheme val="minor"/>
    </font>
    <font>
      <sz val="8"/>
      <color rgb="FF000000"/>
      <name val="Segoe UI"/>
      <family val="2"/>
    </font>
    <font>
      <sz val="10"/>
      <color rgb="FF000000"/>
      <name val="Arial"/>
      <family val="2"/>
    </font>
    <font>
      <b/>
      <sz val="10"/>
      <color theme="0"/>
      <name val="Arial"/>
      <family val="2"/>
    </font>
    <font>
      <sz val="10"/>
      <name val="Arial"/>
      <family val="2"/>
    </font>
    <font>
      <vertAlign val="superscript"/>
      <sz val="10"/>
      <color theme="1"/>
      <name val="Calibri"/>
      <family val="2"/>
      <scheme val="minor"/>
    </font>
    <font>
      <sz val="9"/>
      <color indexed="8"/>
      <name val="Calibri"/>
      <family val="2"/>
    </font>
    <font>
      <b/>
      <sz val="8"/>
      <name val="Arial"/>
      <family val="2"/>
    </font>
    <font>
      <u/>
      <sz val="10"/>
      <color theme="10"/>
      <name val="Arial"/>
      <family val="2"/>
    </font>
    <font>
      <i/>
      <sz val="10"/>
      <color rgb="FFFF0000"/>
      <name val="Arial"/>
      <family val="2"/>
    </font>
    <font>
      <sz val="10"/>
      <color rgb="FFFF0000"/>
      <name val="Arial"/>
      <family val="2"/>
    </font>
  </fonts>
  <fills count="23">
    <fill>
      <patternFill patternType="none"/>
    </fill>
    <fill>
      <patternFill patternType="gray125"/>
    </fill>
    <fill>
      <patternFill patternType="lightUp"/>
    </fill>
    <fill>
      <patternFill patternType="solid">
        <fgColor rgb="FFF2F2F2"/>
      </patternFill>
    </fill>
    <fill>
      <patternFill patternType="solid">
        <fgColor rgb="FFC6EFCE"/>
      </patternFill>
    </fill>
    <fill>
      <patternFill patternType="solid">
        <fgColor rgb="FFFFCC99"/>
      </patternFill>
    </fill>
    <fill>
      <patternFill patternType="solid">
        <fgColor rgb="FFFFFFCC"/>
      </patternFill>
    </fill>
    <fill>
      <patternFill patternType="solid">
        <fgColor theme="4" tint="0.79998168889431442"/>
        <bgColor indexed="64"/>
      </patternFill>
    </fill>
    <fill>
      <patternFill patternType="solid">
        <fgColor rgb="FFFFFFE6"/>
        <bgColor indexed="64"/>
      </patternFill>
    </fill>
    <fill>
      <patternFill patternType="solid">
        <fgColor theme="0" tint="-4.9989318521683403E-2"/>
        <bgColor indexed="64"/>
      </patternFill>
    </fill>
    <fill>
      <patternFill patternType="solid">
        <fgColor rgb="FFFFFFA5"/>
        <bgColor indexed="64"/>
      </patternFill>
    </fill>
    <fill>
      <patternFill patternType="mediumGray">
        <bgColor theme="0" tint="-0.34998626667073579"/>
      </patternFill>
    </fill>
    <fill>
      <patternFill patternType="solid">
        <fgColor rgb="FFFFFF00"/>
        <bgColor indexed="64"/>
      </patternFill>
    </fill>
    <fill>
      <patternFill patternType="solid">
        <fgColor theme="8" tint="0.79998168889431442"/>
        <bgColor indexed="64"/>
      </patternFill>
    </fill>
    <fill>
      <patternFill patternType="solid">
        <fgColor rgb="FFE7F6FF"/>
        <bgColor indexed="64"/>
      </patternFill>
    </fill>
    <fill>
      <patternFill patternType="solid">
        <fgColor theme="4"/>
        <bgColor indexed="64"/>
      </patternFill>
    </fill>
    <fill>
      <patternFill patternType="solid">
        <fgColor theme="0" tint="-0.14999847407452621"/>
        <bgColor indexed="64"/>
      </patternFill>
    </fill>
    <fill>
      <patternFill patternType="solid">
        <fgColor theme="0"/>
        <bgColor indexed="64"/>
      </patternFill>
    </fill>
    <fill>
      <patternFill patternType="solid">
        <fgColor rgb="FF7030A0"/>
        <bgColor indexed="64"/>
      </patternFill>
    </fill>
    <fill>
      <patternFill patternType="solid">
        <fgColor theme="0" tint="-0.1498764000366222"/>
        <bgColor indexed="64"/>
      </patternFill>
    </fill>
    <fill>
      <patternFill patternType="solid">
        <fgColor theme="8"/>
        <bgColor indexed="64"/>
      </patternFill>
    </fill>
    <fill>
      <patternFill patternType="solid">
        <fgColor rgb="FFFFC000"/>
        <bgColor indexed="64"/>
      </patternFill>
    </fill>
    <fill>
      <patternFill patternType="solid">
        <fgColor rgb="FFFF0000"/>
        <bgColor indexed="64"/>
      </patternFill>
    </fill>
  </fills>
  <borders count="89">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bottom/>
      <diagonal/>
    </border>
    <border>
      <left style="thin">
        <color indexed="64"/>
      </left>
      <right/>
      <top style="thin">
        <color indexed="64"/>
      </top>
      <bottom style="thin">
        <color indexed="64"/>
      </bottom>
      <diagonal/>
    </border>
    <border>
      <left/>
      <right style="thin">
        <color indexed="64"/>
      </right>
      <top/>
      <bottom/>
      <diagonal/>
    </border>
    <border>
      <left/>
      <right/>
      <top style="thin">
        <color indexed="64"/>
      </top>
      <bottom style="thin">
        <color indexed="64"/>
      </bottom>
      <diagonal/>
    </border>
    <border>
      <left style="thin">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right/>
      <top style="double">
        <color indexed="64"/>
      </top>
      <bottom/>
      <diagonal/>
    </border>
    <border>
      <left/>
      <right style="thin">
        <color indexed="64"/>
      </right>
      <top style="double">
        <color indexed="64"/>
      </top>
      <bottom/>
      <diagonal/>
    </border>
    <border>
      <left style="thick">
        <color indexed="64"/>
      </left>
      <right/>
      <top/>
      <bottom/>
      <diagonal/>
    </border>
    <border>
      <left style="thin">
        <color indexed="64"/>
      </left>
      <right/>
      <top style="double">
        <color indexed="64"/>
      </top>
      <bottom/>
      <diagonal/>
    </border>
    <border>
      <left style="thin">
        <color indexed="64"/>
      </left>
      <right/>
      <top/>
      <bottom style="thin">
        <color indexed="64"/>
      </bottom>
      <diagonal/>
    </border>
    <border>
      <left style="double">
        <color indexed="64"/>
      </left>
      <right style="thin">
        <color indexed="64"/>
      </right>
      <top style="thin">
        <color indexed="64"/>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diagonal/>
    </border>
    <border>
      <left style="thick">
        <color indexed="64"/>
      </left>
      <right/>
      <top/>
      <bottom style="thin">
        <color indexed="64"/>
      </bottom>
      <diagonal/>
    </border>
    <border>
      <left style="double">
        <color indexed="64"/>
      </left>
      <right/>
      <top style="thin">
        <color indexed="64"/>
      </top>
      <bottom/>
      <diagonal/>
    </border>
    <border>
      <left style="double">
        <color indexed="64"/>
      </left>
      <right/>
      <top/>
      <bottom/>
      <diagonal/>
    </border>
    <border>
      <left style="double">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dashed">
        <color indexed="64"/>
      </left>
      <right style="dashed">
        <color indexed="64"/>
      </right>
      <top style="dashed">
        <color indexed="64"/>
      </top>
      <bottom style="dashed">
        <color indexed="64"/>
      </bottom>
      <diagonal/>
    </border>
    <border>
      <left style="thin">
        <color indexed="64"/>
      </left>
      <right/>
      <top style="thin">
        <color indexed="64"/>
      </top>
      <bottom style="double">
        <color indexed="64"/>
      </bottom>
      <diagonal/>
    </border>
    <border>
      <left style="thin">
        <color indexed="64"/>
      </left>
      <right style="hair">
        <color indexed="64"/>
      </right>
      <top/>
      <bottom style="thin">
        <color indexed="64"/>
      </bottom>
      <diagonal/>
    </border>
    <border>
      <left style="hair">
        <color indexed="64"/>
      </left>
      <right style="hair">
        <color indexed="64"/>
      </right>
      <top/>
      <bottom style="thin">
        <color indexed="64"/>
      </bottom>
      <diagonal/>
    </border>
    <border>
      <left style="dashed">
        <color indexed="64"/>
      </left>
      <right/>
      <top style="dashed">
        <color indexed="64"/>
      </top>
      <bottom style="dashed">
        <color indexed="64"/>
      </bottom>
      <diagonal/>
    </border>
    <border>
      <left/>
      <right style="dashed">
        <color indexed="64"/>
      </right>
      <top style="dashed">
        <color indexed="64"/>
      </top>
      <bottom style="dashed">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hair">
        <color indexed="64"/>
      </left>
      <right/>
      <top style="thin">
        <color indexed="64"/>
      </top>
      <bottom style="thin">
        <color indexed="64"/>
      </bottom>
      <diagonal/>
    </border>
    <border>
      <left/>
      <right style="hair">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style="medium">
        <color theme="0" tint="-0.34998626667073579"/>
      </left>
      <right/>
      <top style="medium">
        <color theme="0" tint="-0.34998626667073579"/>
      </top>
      <bottom style="medium">
        <color theme="0" tint="-0.34998626667073579"/>
      </bottom>
      <diagonal/>
    </border>
    <border>
      <left/>
      <right/>
      <top style="medium">
        <color theme="0" tint="-0.34998626667073579"/>
      </top>
      <bottom style="medium">
        <color theme="0" tint="-0.34998626667073579"/>
      </bottom>
      <diagonal/>
    </border>
    <border>
      <left/>
      <right style="medium">
        <color theme="0" tint="-0.34998626667073579"/>
      </right>
      <top style="medium">
        <color theme="0" tint="-0.34998626667073579"/>
      </top>
      <bottom style="medium">
        <color theme="0" tint="-0.34998626667073579"/>
      </bottom>
      <diagonal/>
    </border>
    <border>
      <left style="medium">
        <color theme="0" tint="-0.34998626667073579"/>
      </left>
      <right/>
      <top style="medium">
        <color indexed="64"/>
      </top>
      <bottom style="medium">
        <color theme="0" tint="-0.34998626667073579"/>
      </bottom>
      <diagonal/>
    </border>
    <border>
      <left/>
      <right style="medium">
        <color theme="0" tint="-0.34998626667073579"/>
      </right>
      <top style="medium">
        <color indexed="64"/>
      </top>
      <bottom style="medium">
        <color theme="0" tint="-0.34998626667073579"/>
      </bottom>
      <diagonal/>
    </border>
    <border>
      <left style="medium">
        <color theme="0" tint="-0.34998626667073579"/>
      </left>
      <right style="medium">
        <color theme="0" tint="-0.34998626667073579"/>
      </right>
      <top style="medium">
        <color indexed="64"/>
      </top>
      <bottom style="medium">
        <color theme="0" tint="-0.34998626667073579"/>
      </bottom>
      <diagonal/>
    </border>
    <border>
      <left style="medium">
        <color theme="0" tint="-0.34998626667073579"/>
      </left>
      <right style="medium">
        <color theme="0" tint="-0.34998626667073579"/>
      </right>
      <top style="medium">
        <color theme="0" tint="-0.34998626667073579"/>
      </top>
      <bottom style="medium">
        <color theme="0" tint="-0.34998626667073579"/>
      </bottom>
      <diagonal/>
    </border>
    <border>
      <left/>
      <right style="double">
        <color indexed="64"/>
      </right>
      <top style="thin">
        <color indexed="64"/>
      </top>
      <bottom style="thin">
        <color indexed="64"/>
      </bottom>
      <diagonal/>
    </border>
    <border>
      <left/>
      <right/>
      <top/>
      <bottom style="thick">
        <color theme="4" tint="0.499984740745262"/>
      </bottom>
      <diagonal/>
    </border>
    <border>
      <left style="double">
        <color indexed="64"/>
      </left>
      <right/>
      <top style="thin">
        <color indexed="64"/>
      </top>
      <bottom style="thin">
        <color indexed="64"/>
      </bottom>
      <diagonal/>
    </border>
    <border>
      <left/>
      <right style="thin">
        <color indexed="64"/>
      </right>
      <top/>
      <bottom style="thin">
        <color indexed="64"/>
      </bottom>
      <diagonal/>
    </border>
    <border>
      <left/>
      <right style="double">
        <color indexed="64"/>
      </right>
      <top/>
      <bottom style="thin">
        <color indexed="64"/>
      </bottom>
      <diagonal/>
    </border>
    <border>
      <left style="double">
        <color indexed="64"/>
      </left>
      <right style="thin">
        <color indexed="64"/>
      </right>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double">
        <color auto="1"/>
      </right>
      <top style="thin">
        <color indexed="64"/>
      </top>
      <bottom style="medium">
        <color indexed="64"/>
      </bottom>
      <diagonal/>
    </border>
    <border>
      <left style="double">
        <color auto="1"/>
      </left>
      <right/>
      <top style="thin">
        <color indexed="64"/>
      </top>
      <bottom style="medium">
        <color indexed="64"/>
      </bottom>
      <diagonal/>
    </border>
    <border>
      <left style="thin">
        <color indexed="64"/>
      </left>
      <right/>
      <top style="thin">
        <color indexed="64"/>
      </top>
      <bottom/>
      <diagonal/>
    </border>
    <border>
      <left/>
      <right style="thin">
        <color indexed="64"/>
      </right>
      <top style="thin">
        <color indexed="64"/>
      </top>
      <bottom style="medium">
        <color indexed="64"/>
      </bottom>
      <diagonal/>
    </border>
    <border>
      <left/>
      <right style="thin">
        <color indexed="64"/>
      </right>
      <top style="thin">
        <color indexed="64"/>
      </top>
      <bottom/>
      <diagonal/>
    </border>
    <border>
      <left style="double">
        <color indexed="64"/>
      </left>
      <right style="double">
        <color indexed="64"/>
      </right>
      <top style="thin">
        <color indexed="64"/>
      </top>
      <bottom style="thin">
        <color indexed="64"/>
      </bottom>
      <diagonal/>
    </border>
    <border>
      <left/>
      <right style="double">
        <color indexed="64"/>
      </right>
      <top style="thin">
        <color indexed="64"/>
      </top>
      <bottom/>
      <diagonal/>
    </border>
    <border>
      <left/>
      <right style="double">
        <color indexed="64"/>
      </right>
      <top/>
      <bottom/>
      <diagonal/>
    </border>
    <border>
      <left style="hair">
        <color indexed="64"/>
      </left>
      <right style="hair">
        <color indexed="64"/>
      </right>
      <top/>
      <bottom/>
      <diagonal/>
    </border>
    <border>
      <left style="thin">
        <color indexed="64"/>
      </left>
      <right style="hair">
        <color indexed="64"/>
      </right>
      <top/>
      <bottom/>
      <diagonal/>
    </border>
    <border>
      <left style="thick">
        <color indexed="64"/>
      </left>
      <right/>
      <top style="thin">
        <color indexed="64"/>
      </top>
      <bottom style="thin">
        <color indexed="64"/>
      </bottom>
      <diagonal/>
    </border>
    <border>
      <left/>
      <right style="thick">
        <color indexed="64"/>
      </right>
      <top style="thin">
        <color indexed="64"/>
      </top>
      <bottom style="thin">
        <color indexed="64"/>
      </bottom>
      <diagonal/>
    </border>
    <border>
      <left style="thin">
        <color rgb="FF7F7F7F"/>
      </left>
      <right style="thin">
        <color rgb="FF7F7F7F"/>
      </right>
      <top style="thin">
        <color rgb="FF3F3F3F"/>
      </top>
      <bottom style="double">
        <color auto="1"/>
      </bottom>
      <diagonal/>
    </border>
    <border>
      <left style="thin">
        <color rgb="FF3F3F3F"/>
      </left>
      <right style="thin">
        <color rgb="FF3F3F3F"/>
      </right>
      <top style="thin">
        <color rgb="FF3F3F3F"/>
      </top>
      <bottom/>
      <diagonal/>
    </border>
    <border>
      <left style="double">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rgb="FFB2B2B2"/>
      </left>
      <right/>
      <top style="thin">
        <color rgb="FFB2B2B2"/>
      </top>
      <bottom style="thin">
        <color rgb="FFB2B2B2"/>
      </bottom>
      <diagonal/>
    </border>
    <border>
      <left/>
      <right style="thin">
        <color rgb="FFB2B2B2"/>
      </right>
      <top style="thin">
        <color rgb="FFB2B2B2"/>
      </top>
      <bottom style="thin">
        <color rgb="FFB2B2B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0">
    <xf numFmtId="0" fontId="0" fillId="0" borderId="0"/>
    <xf numFmtId="0" fontId="56" fillId="4" borderId="0" applyNumberFormat="0" applyBorder="0" applyAlignment="0" applyProtection="0"/>
    <xf numFmtId="0" fontId="57" fillId="5" borderId="43" applyNumberFormat="0" applyAlignment="0" applyProtection="0"/>
    <xf numFmtId="0" fontId="46" fillId="6" borderId="44" applyNumberFormat="0" applyFont="0" applyAlignment="0" applyProtection="0"/>
    <xf numFmtId="0" fontId="58" fillId="3" borderId="45" applyNumberFormat="0" applyAlignment="0" applyProtection="0"/>
    <xf numFmtId="0" fontId="80" fillId="0" borderId="54" applyNumberFormat="0" applyFill="0" applyAlignment="0" applyProtection="0"/>
    <xf numFmtId="0" fontId="81" fillId="0" borderId="0" applyNumberFormat="0" applyFill="0" applyBorder="0" applyAlignment="0" applyProtection="0"/>
    <xf numFmtId="9" fontId="135" fillId="0" borderId="0" applyFont="0" applyFill="0" applyBorder="0" applyAlignment="0" applyProtection="0"/>
    <xf numFmtId="0" fontId="139" fillId="0" borderId="0" applyNumberFormat="0" applyFill="0" applyBorder="0" applyAlignment="0" applyProtection="0"/>
    <xf numFmtId="0" fontId="45" fillId="0" borderId="0"/>
  </cellStyleXfs>
  <cellXfs count="957">
    <xf numFmtId="0" fontId="0" fillId="0" borderId="0" xfId="0"/>
    <xf numFmtId="0" fontId="0" fillId="0" borderId="0" xfId="0"/>
    <xf numFmtId="0" fontId="60" fillId="0" borderId="0" xfId="0" applyFont="1"/>
    <xf numFmtId="0" fontId="60" fillId="7" borderId="1" xfId="0" applyFont="1" applyFill="1" applyBorder="1"/>
    <xf numFmtId="0" fontId="61" fillId="7" borderId="1" xfId="0" applyFont="1" applyFill="1" applyBorder="1"/>
    <xf numFmtId="0" fontId="60" fillId="0" borderId="0" xfId="0" applyFont="1" applyAlignment="1">
      <alignment horizontal="center"/>
    </xf>
    <xf numFmtId="0" fontId="59" fillId="0" borderId="0" xfId="0" applyFont="1"/>
    <xf numFmtId="0" fontId="0" fillId="0" borderId="0" xfId="0" applyAlignment="1">
      <alignment horizontal="right"/>
    </xf>
    <xf numFmtId="0" fontId="60" fillId="7" borderId="1" xfId="0" applyFont="1" applyFill="1" applyBorder="1" applyAlignment="1">
      <alignment horizontal="center"/>
    </xf>
    <xf numFmtId="167" fontId="0" fillId="0" borderId="0" xfId="0" applyNumberFormat="1" applyAlignment="1"/>
    <xf numFmtId="0" fontId="0" fillId="0" borderId="0" xfId="0" applyFill="1"/>
    <xf numFmtId="0" fontId="0" fillId="0" borderId="0" xfId="0" applyBorder="1"/>
    <xf numFmtId="0" fontId="62" fillId="0" borderId="4" xfId="0" applyFont="1" applyBorder="1" applyAlignment="1"/>
    <xf numFmtId="0" fontId="60" fillId="7" borderId="5" xfId="0" applyFont="1" applyFill="1" applyBorder="1"/>
    <xf numFmtId="0" fontId="0" fillId="7" borderId="5" xfId="0" applyFill="1" applyBorder="1"/>
    <xf numFmtId="0" fontId="47" fillId="0" borderId="0" xfId="0" applyFont="1" applyAlignment="1">
      <alignment vertical="center"/>
    </xf>
    <xf numFmtId="0" fontId="43" fillId="0" borderId="0" xfId="0" applyFont="1" applyAlignment="1">
      <alignment wrapText="1"/>
    </xf>
    <xf numFmtId="0" fontId="60" fillId="8" borderId="7" xfId="0" quotePrefix="1" applyFont="1" applyFill="1" applyBorder="1" applyAlignment="1">
      <alignment horizontal="center"/>
    </xf>
    <xf numFmtId="0" fontId="45" fillId="0" borderId="0" xfId="0" quotePrefix="1" applyFont="1" applyAlignment="1">
      <alignment horizontal="center"/>
    </xf>
    <xf numFmtId="0" fontId="0" fillId="0" borderId="0" xfId="0" applyAlignment="1">
      <alignment horizontal="center"/>
    </xf>
    <xf numFmtId="0" fontId="0" fillId="0" borderId="1" xfId="0" applyBorder="1"/>
    <xf numFmtId="0" fontId="63" fillId="0" borderId="0" xfId="0" applyFont="1"/>
    <xf numFmtId="0" fontId="64" fillId="0" borderId="0" xfId="0" applyFont="1" applyAlignment="1"/>
    <xf numFmtId="0" fontId="65" fillId="0" borderId="0" xfId="0" applyFont="1"/>
    <xf numFmtId="0" fontId="51" fillId="0" borderId="0" xfId="0" applyFont="1"/>
    <xf numFmtId="0" fontId="0" fillId="0" borderId="0" xfId="0" applyAlignment="1">
      <alignment horizontal="center"/>
    </xf>
    <xf numFmtId="0" fontId="66" fillId="0" borderId="0" xfId="0" applyFont="1" applyAlignment="1"/>
    <xf numFmtId="0" fontId="67" fillId="0" borderId="0" xfId="0" applyFont="1" applyAlignment="1">
      <alignment vertical="top"/>
    </xf>
    <xf numFmtId="0" fontId="0" fillId="0" borderId="0" xfId="0" applyAlignment="1">
      <alignment horizontal="center" wrapText="1"/>
    </xf>
    <xf numFmtId="0" fontId="60" fillId="0" borderId="0" xfId="0" applyFont="1" applyBorder="1" applyAlignment="1">
      <alignment horizontal="center"/>
    </xf>
    <xf numFmtId="0" fontId="68" fillId="0" borderId="0" xfId="0" applyFont="1"/>
    <xf numFmtId="0" fontId="61" fillId="7" borderId="5" xfId="0" applyFont="1" applyFill="1" applyBorder="1" applyAlignment="1">
      <alignment horizontal="center" wrapText="1"/>
    </xf>
    <xf numFmtId="0" fontId="61" fillId="7" borderId="1" xfId="0" applyFont="1" applyFill="1" applyBorder="1" applyAlignment="1">
      <alignment horizontal="center" wrapText="1"/>
    </xf>
    <xf numFmtId="0" fontId="0" fillId="0" borderId="1" xfId="0" applyBorder="1" applyAlignment="1">
      <alignment horizontal="center"/>
    </xf>
    <xf numFmtId="0" fontId="70" fillId="0" borderId="0" xfId="0" applyFont="1"/>
    <xf numFmtId="0" fontId="42" fillId="0" borderId="0" xfId="0" applyFont="1"/>
    <xf numFmtId="0" fontId="74" fillId="0" borderId="0" xfId="0" applyFont="1" applyAlignment="1">
      <alignment horizontal="left" vertical="center"/>
    </xf>
    <xf numFmtId="0" fontId="45" fillId="0" borderId="0" xfId="0" applyFont="1" applyAlignment="1">
      <alignment horizontal="center" vertical="center" wrapText="1"/>
    </xf>
    <xf numFmtId="0" fontId="0" fillId="0" borderId="0" xfId="0"/>
    <xf numFmtId="0" fontId="41" fillId="0" borderId="0" xfId="0" applyFont="1" applyAlignment="1">
      <alignment horizontal="right"/>
    </xf>
    <xf numFmtId="0" fontId="41" fillId="0" borderId="0" xfId="0" applyFont="1" applyAlignment="1"/>
    <xf numFmtId="0" fontId="40" fillId="0" borderId="0" xfId="0" applyFont="1"/>
    <xf numFmtId="0" fontId="39" fillId="0" borderId="0" xfId="0" applyFont="1"/>
    <xf numFmtId="0" fontId="45" fillId="0" borderId="0" xfId="0" applyFont="1" applyAlignment="1">
      <alignment horizontal="left"/>
    </xf>
    <xf numFmtId="0" fontId="0" fillId="0" borderId="0" xfId="0" applyAlignment="1">
      <alignment horizontal="left"/>
    </xf>
    <xf numFmtId="0" fontId="38" fillId="0" borderId="0" xfId="0" applyFont="1"/>
    <xf numFmtId="0" fontId="37" fillId="0" borderId="0" xfId="0" applyFont="1"/>
    <xf numFmtId="0" fontId="0" fillId="0" borderId="0" xfId="0" applyFill="1" applyBorder="1"/>
    <xf numFmtId="0" fontId="0" fillId="0" borderId="0" xfId="0" applyFont="1" applyAlignment="1">
      <alignment horizontal="left"/>
    </xf>
    <xf numFmtId="0" fontId="45" fillId="0" borderId="0" xfId="0" applyFont="1" applyAlignment="1">
      <alignment horizontal="center"/>
    </xf>
    <xf numFmtId="0" fontId="81" fillId="0" borderId="58" xfId="6" applyBorder="1" applyAlignment="1">
      <alignment horizontal="center"/>
    </xf>
    <xf numFmtId="0" fontId="81" fillId="0" borderId="56" xfId="6" applyBorder="1" applyAlignment="1">
      <alignment horizontal="center"/>
    </xf>
    <xf numFmtId="0" fontId="81" fillId="0" borderId="34" xfId="6" applyBorder="1" applyAlignment="1">
      <alignment horizontal="center"/>
    </xf>
    <xf numFmtId="168" fontId="44" fillId="7" borderId="16" xfId="0" applyNumberFormat="1" applyFont="1" applyFill="1" applyBorder="1" applyAlignment="1"/>
    <xf numFmtId="168" fontId="44" fillId="7" borderId="24" xfId="0" applyNumberFormat="1" applyFont="1" applyFill="1" applyBorder="1" applyAlignment="1"/>
    <xf numFmtId="168" fontId="44" fillId="0" borderId="16" xfId="0" applyNumberFormat="1" applyFont="1" applyBorder="1" applyAlignment="1"/>
    <xf numFmtId="168" fontId="44" fillId="0" borderId="24" xfId="0" applyNumberFormat="1" applyFont="1" applyBorder="1" applyAlignment="1"/>
    <xf numFmtId="168" fontId="44" fillId="7" borderId="1" xfId="0" applyNumberFormat="1" applyFont="1" applyFill="1" applyBorder="1" applyAlignment="1"/>
    <xf numFmtId="168" fontId="44" fillId="0" borderId="1" xfId="0" applyNumberFormat="1" applyFont="1" applyBorder="1" applyAlignment="1"/>
    <xf numFmtId="1" fontId="58" fillId="0" borderId="5" xfId="4" applyNumberFormat="1" applyFill="1" applyBorder="1" applyAlignment="1">
      <alignment horizontal="center"/>
    </xf>
    <xf numFmtId="1" fontId="58" fillId="7" borderId="5" xfId="4" applyNumberFormat="1" applyFill="1" applyBorder="1" applyAlignment="1">
      <alignment horizontal="center"/>
    </xf>
    <xf numFmtId="0" fontId="57" fillId="6" borderId="44" xfId="3" applyFont="1" applyAlignment="1" applyProtection="1">
      <alignment horizontal="center"/>
      <protection locked="0"/>
    </xf>
    <xf numFmtId="0" fontId="84" fillId="0" borderId="0" xfId="0" applyFont="1"/>
    <xf numFmtId="0" fontId="36" fillId="0" borderId="0" xfId="0" applyFont="1" applyAlignment="1"/>
    <xf numFmtId="0" fontId="85" fillId="0" borderId="0" xfId="0" applyFont="1"/>
    <xf numFmtId="0" fontId="0" fillId="0" borderId="0" xfId="0"/>
    <xf numFmtId="0" fontId="45" fillId="0" borderId="0" xfId="0" applyFont="1"/>
    <xf numFmtId="0" fontId="35" fillId="0" borderId="0" xfId="0" applyFont="1"/>
    <xf numFmtId="0" fontId="34" fillId="0" borderId="0" xfId="0" applyFont="1"/>
    <xf numFmtId="0" fontId="0" fillId="0" borderId="0" xfId="0" applyProtection="1">
      <protection locked="0"/>
    </xf>
    <xf numFmtId="167" fontId="0" fillId="0" borderId="0" xfId="0" applyNumberFormat="1" applyProtection="1">
      <protection locked="0"/>
    </xf>
    <xf numFmtId="0" fontId="33" fillId="0" borderId="0" xfId="0" applyFont="1"/>
    <xf numFmtId="0" fontId="45" fillId="0" borderId="0" xfId="0" applyFont="1" applyProtection="1"/>
    <xf numFmtId="0" fontId="0" fillId="0" borderId="0" xfId="0" applyProtection="1"/>
    <xf numFmtId="0" fontId="45" fillId="0" borderId="0" xfId="0" applyFont="1" applyBorder="1" applyProtection="1"/>
    <xf numFmtId="0" fontId="0" fillId="0" borderId="0" xfId="0" applyBorder="1" applyProtection="1"/>
    <xf numFmtId="21" fontId="0" fillId="0" borderId="0" xfId="0" applyNumberFormat="1"/>
    <xf numFmtId="11" fontId="0" fillId="0" borderId="0" xfId="0" applyNumberFormat="1"/>
    <xf numFmtId="0" fontId="32" fillId="0" borderId="0" xfId="0" applyFont="1"/>
    <xf numFmtId="0" fontId="47" fillId="0" borderId="0" xfId="0" applyFont="1"/>
    <xf numFmtId="14" fontId="0" fillId="0" borderId="0" xfId="0" applyNumberFormat="1"/>
    <xf numFmtId="0" fontId="31" fillId="0" borderId="0" xfId="0" applyFont="1"/>
    <xf numFmtId="0" fontId="86" fillId="0" borderId="1" xfId="0" applyFont="1" applyBorder="1"/>
    <xf numFmtId="0" fontId="86" fillId="0" borderId="1" xfId="0" applyFont="1" applyBorder="1" applyAlignment="1">
      <alignment wrapText="1"/>
    </xf>
    <xf numFmtId="0" fontId="44" fillId="0" borderId="1" xfId="0" applyFont="1" applyBorder="1" applyAlignment="1">
      <alignment horizontal="center" vertical="center"/>
    </xf>
    <xf numFmtId="0" fontId="45" fillId="9" borderId="1" xfId="0" quotePrefix="1" applyFont="1" applyFill="1" applyBorder="1" applyAlignment="1">
      <alignment horizontal="center"/>
    </xf>
    <xf numFmtId="0" fontId="71" fillId="9" borderId="1" xfId="0" applyFont="1" applyFill="1" applyBorder="1"/>
    <xf numFmtId="14" fontId="0" fillId="9" borderId="1" xfId="0" applyNumberFormat="1" applyFill="1" applyBorder="1" applyAlignment="1">
      <alignment horizontal="center"/>
    </xf>
    <xf numFmtId="0" fontId="45" fillId="9" borderId="1" xfId="0" applyFont="1" applyFill="1" applyBorder="1" applyAlignment="1">
      <alignment horizontal="center"/>
    </xf>
    <xf numFmtId="0" fontId="0" fillId="0" borderId="0" xfId="0" applyNumberFormat="1"/>
    <xf numFmtId="0" fontId="44" fillId="0" borderId="0" xfId="0" applyNumberFormat="1" applyFont="1"/>
    <xf numFmtId="0" fontId="0" fillId="0" borderId="4" xfId="0" applyBorder="1"/>
    <xf numFmtId="0" fontId="30" fillId="0" borderId="0" xfId="0" applyFont="1"/>
    <xf numFmtId="0" fontId="0" fillId="0" borderId="63" xfId="0" applyBorder="1"/>
    <xf numFmtId="0" fontId="0" fillId="0" borderId="65" xfId="0" applyBorder="1"/>
    <xf numFmtId="0" fontId="0" fillId="0" borderId="6" xfId="0" applyBorder="1"/>
    <xf numFmtId="0" fontId="0" fillId="0" borderId="15" xfId="0" applyBorder="1"/>
    <xf numFmtId="0" fontId="0" fillId="0" borderId="56" xfId="0" applyBorder="1"/>
    <xf numFmtId="167" fontId="68" fillId="0" borderId="0" xfId="0" applyNumberFormat="1" applyFont="1" applyAlignment="1">
      <alignment horizontal="center"/>
    </xf>
    <xf numFmtId="0" fontId="52" fillId="0" borderId="0" xfId="0" applyFont="1" applyAlignment="1">
      <alignment horizontal="center"/>
    </xf>
    <xf numFmtId="0" fontId="68" fillId="0" borderId="1" xfId="0" applyFont="1" applyBorder="1" applyAlignment="1">
      <alignment horizontal="center"/>
    </xf>
    <xf numFmtId="0" fontId="59" fillId="0" borderId="0" xfId="0" applyFont="1" applyBorder="1"/>
    <xf numFmtId="0" fontId="0" fillId="0" borderId="0" xfId="0" applyFont="1" applyBorder="1" applyAlignment="1">
      <alignment horizontal="center" vertical="center" wrapText="1"/>
    </xf>
    <xf numFmtId="0" fontId="0" fillId="0" borderId="0" xfId="0" applyAlignment="1" applyProtection="1">
      <alignment horizontal="center"/>
      <protection locked="0"/>
    </xf>
    <xf numFmtId="0" fontId="45" fillId="0" borderId="0" xfId="0" applyFont="1" applyBorder="1" applyAlignment="1">
      <alignment horizontal="center" vertical="center" wrapText="1"/>
    </xf>
    <xf numFmtId="0" fontId="88" fillId="0" borderId="0" xfId="0" applyFont="1" applyBorder="1" applyAlignment="1">
      <alignment horizontal="center" vertical="center" wrapText="1"/>
    </xf>
    <xf numFmtId="0" fontId="90" fillId="0" borderId="0" xfId="0" applyFont="1" applyBorder="1" applyAlignment="1">
      <alignment horizontal="center" vertical="center" wrapText="1"/>
    </xf>
    <xf numFmtId="0" fontId="90" fillId="0" borderId="0" xfId="0" applyFont="1" applyAlignment="1">
      <alignment horizontal="center" vertical="center" wrapText="1"/>
    </xf>
    <xf numFmtId="0" fontId="86" fillId="0" borderId="0" xfId="0" applyFont="1"/>
    <xf numFmtId="0" fontId="94" fillId="0" borderId="0" xfId="0" applyFont="1" applyAlignment="1">
      <alignment vertical="center"/>
    </xf>
    <xf numFmtId="0" fontId="0" fillId="0" borderId="1" xfId="0" applyBorder="1" applyAlignment="1">
      <alignment horizontal="center"/>
    </xf>
    <xf numFmtId="0" fontId="29" fillId="0" borderId="0" xfId="0" applyFont="1"/>
    <xf numFmtId="0" fontId="0" fillId="0" borderId="0" xfId="0" quotePrefix="1" applyNumberFormat="1" applyFont="1"/>
    <xf numFmtId="0" fontId="95" fillId="0" borderId="0" xfId="0" applyFont="1"/>
    <xf numFmtId="0" fontId="28" fillId="0" borderId="0" xfId="0" applyFont="1"/>
    <xf numFmtId="0" fontId="96" fillId="0" borderId="0" xfId="0" applyFont="1"/>
    <xf numFmtId="0" fontId="97" fillId="0" borderId="0" xfId="0" applyFont="1" applyAlignment="1">
      <alignment horizontal="right"/>
    </xf>
    <xf numFmtId="0" fontId="96" fillId="0" borderId="0" xfId="0" applyFont="1" applyAlignment="1">
      <alignment horizontal="center"/>
    </xf>
    <xf numFmtId="0" fontId="27" fillId="0" borderId="0" xfId="0" applyFont="1"/>
    <xf numFmtId="2" fontId="0" fillId="0" borderId="0" xfId="0" applyNumberFormat="1"/>
    <xf numFmtId="2" fontId="44" fillId="0" borderId="1" xfId="0" applyNumberFormat="1" applyFont="1" applyBorder="1" applyAlignment="1"/>
    <xf numFmtId="2" fontId="44" fillId="7" borderId="1" xfId="0" applyNumberFormat="1" applyFont="1" applyFill="1" applyBorder="1" applyAlignment="1"/>
    <xf numFmtId="167" fontId="44" fillId="0" borderId="1" xfId="0" applyNumberFormat="1" applyFont="1" applyBorder="1" applyAlignment="1"/>
    <xf numFmtId="167" fontId="44" fillId="7" borderId="1" xfId="0" applyNumberFormat="1" applyFont="1" applyFill="1" applyBorder="1" applyAlignment="1"/>
    <xf numFmtId="1" fontId="44" fillId="0" borderId="1" xfId="0" applyNumberFormat="1" applyFont="1" applyBorder="1" applyAlignment="1"/>
    <xf numFmtId="1" fontId="44" fillId="7" borderId="1" xfId="0" applyNumberFormat="1" applyFont="1" applyFill="1" applyBorder="1" applyAlignment="1"/>
    <xf numFmtId="0" fontId="100" fillId="0" borderId="56" xfId="6" applyFont="1" applyBorder="1" applyAlignment="1">
      <alignment horizontal="center" wrapText="1"/>
    </xf>
    <xf numFmtId="0" fontId="100" fillId="0" borderId="34" xfId="6" applyFont="1" applyBorder="1" applyAlignment="1">
      <alignment horizontal="center" wrapText="1"/>
    </xf>
    <xf numFmtId="2" fontId="90" fillId="0" borderId="0" xfId="0" applyNumberFormat="1" applyFont="1" applyBorder="1" applyAlignment="1">
      <alignment horizontal="center" vertical="center" wrapText="1"/>
    </xf>
    <xf numFmtId="0" fontId="45" fillId="0" borderId="0" xfId="0" applyFont="1" applyProtection="1">
      <protection locked="0"/>
    </xf>
    <xf numFmtId="0" fontId="71" fillId="0" borderId="0" xfId="0" applyFont="1" applyProtection="1">
      <protection locked="0" hidden="1"/>
    </xf>
    <xf numFmtId="0" fontId="68" fillId="0" borderId="0" xfId="0" applyFont="1" applyProtection="1">
      <protection locked="0" hidden="1"/>
    </xf>
    <xf numFmtId="0" fontId="68" fillId="0" borderId="0" xfId="0" applyFont="1" applyAlignment="1" applyProtection="1">
      <protection locked="0" hidden="1"/>
    </xf>
    <xf numFmtId="171" fontId="44" fillId="7" borderId="1" xfId="0" applyNumberFormat="1" applyFont="1" applyFill="1" applyBorder="1" applyAlignment="1"/>
    <xf numFmtId="171" fontId="44" fillId="0" borderId="1" xfId="0" applyNumberFormat="1" applyFont="1" applyBorder="1" applyAlignment="1"/>
    <xf numFmtId="0" fontId="84" fillId="0" borderId="4" xfId="0" applyFont="1" applyBorder="1" applyProtection="1">
      <protection locked="0"/>
    </xf>
    <xf numFmtId="2" fontId="0" fillId="0" borderId="0" xfId="0" applyNumberFormat="1" applyProtection="1">
      <protection locked="0"/>
    </xf>
    <xf numFmtId="14" fontId="0" fillId="0" borderId="1" xfId="0" applyNumberFormat="1" applyBorder="1" applyAlignment="1">
      <alignment horizontal="center" vertical="center"/>
    </xf>
    <xf numFmtId="0" fontId="0" fillId="0" borderId="1" xfId="0" applyBorder="1" applyAlignment="1">
      <alignment horizontal="center" vertical="center"/>
    </xf>
    <xf numFmtId="0" fontId="72" fillId="0" borderId="1" xfId="0" applyFont="1" applyBorder="1" applyAlignment="1" applyProtection="1">
      <alignment horizontal="center"/>
      <protection locked="0"/>
    </xf>
    <xf numFmtId="0" fontId="45" fillId="0" borderId="0" xfId="0" applyFont="1" applyAlignment="1">
      <alignment wrapText="1"/>
    </xf>
    <xf numFmtId="0" fontId="45" fillId="0" borderId="0" xfId="0" applyFont="1" applyFill="1" applyAlignment="1">
      <alignment wrapText="1"/>
    </xf>
    <xf numFmtId="0" fontId="26" fillId="0" borderId="0" xfId="0" applyFont="1"/>
    <xf numFmtId="0" fontId="107" fillId="0" borderId="0" xfId="0" applyFont="1"/>
    <xf numFmtId="0" fontId="25" fillId="0" borderId="0" xfId="0" applyFont="1"/>
    <xf numFmtId="0" fontId="24" fillId="0" borderId="0" xfId="0" applyFont="1"/>
    <xf numFmtId="0" fontId="23" fillId="0" borderId="0" xfId="0" applyFont="1"/>
    <xf numFmtId="0" fontId="22" fillId="0" borderId="0" xfId="0" applyFont="1" applyAlignment="1">
      <alignment horizontal="center"/>
    </xf>
    <xf numFmtId="0" fontId="21" fillId="0" borderId="0" xfId="0" applyFont="1" applyAlignment="1">
      <alignment horizontal="right"/>
    </xf>
    <xf numFmtId="0" fontId="20" fillId="0" borderId="1" xfId="0" applyFont="1" applyBorder="1"/>
    <xf numFmtId="0" fontId="19" fillId="0" borderId="0" xfId="0" applyFont="1"/>
    <xf numFmtId="0" fontId="60" fillId="0" borderId="69" xfId="0" applyFont="1" applyFill="1" applyBorder="1" applyAlignment="1" applyProtection="1">
      <alignment horizontal="center"/>
      <protection hidden="1"/>
    </xf>
    <xf numFmtId="0" fontId="72" fillId="0" borderId="28" xfId="0" applyFont="1" applyBorder="1" applyAlignment="1" applyProtection="1">
      <alignment horizontal="center"/>
      <protection locked="0"/>
    </xf>
    <xf numFmtId="0" fontId="72" fillId="0" borderId="29" xfId="0" applyFont="1" applyBorder="1" applyAlignment="1" applyProtection="1">
      <alignment horizontal="center"/>
      <protection locked="0"/>
    </xf>
    <xf numFmtId="0" fontId="60" fillId="0" borderId="70" xfId="0" applyFont="1" applyFill="1" applyBorder="1" applyAlignment="1" applyProtection="1">
      <alignment horizontal="center"/>
      <protection hidden="1"/>
    </xf>
    <xf numFmtId="0" fontId="0" fillId="0" borderId="0" xfId="0" applyAlignment="1">
      <alignment horizontal="right"/>
    </xf>
    <xf numFmtId="0" fontId="57" fillId="5" borderId="43" xfId="2"/>
    <xf numFmtId="0" fontId="0" fillId="0" borderId="0" xfId="0" applyFill="1" applyBorder="1" applyAlignment="1">
      <alignment horizontal="right"/>
    </xf>
    <xf numFmtId="0" fontId="45" fillId="0" borderId="0" xfId="0" applyFont="1" applyAlignment="1">
      <alignment horizontal="right"/>
    </xf>
    <xf numFmtId="0" fontId="0" fillId="0" borderId="0" xfId="0" applyFont="1" applyFill="1" applyBorder="1" applyAlignment="1">
      <alignment horizontal="right"/>
    </xf>
    <xf numFmtId="0" fontId="44" fillId="0" borderId="0" xfId="0" applyFont="1" applyFill="1" applyBorder="1" applyAlignment="1">
      <alignment horizontal="right"/>
    </xf>
    <xf numFmtId="0" fontId="45" fillId="0" borderId="0" xfId="0" applyFont="1" applyFill="1" applyBorder="1" applyAlignment="1">
      <alignment horizontal="right"/>
    </xf>
    <xf numFmtId="0" fontId="18" fillId="0" borderId="0" xfId="0" applyFont="1"/>
    <xf numFmtId="0" fontId="18" fillId="0" borderId="0" xfId="0" applyFont="1" applyBorder="1"/>
    <xf numFmtId="0" fontId="17" fillId="0" borderId="0" xfId="0" applyFont="1"/>
    <xf numFmtId="0" fontId="60" fillId="10" borderId="1" xfId="0" applyFont="1" applyFill="1" applyBorder="1"/>
    <xf numFmtId="0" fontId="16" fillId="0" borderId="0" xfId="0" applyFont="1" applyBorder="1"/>
    <xf numFmtId="0" fontId="45" fillId="0" borderId="1" xfId="0" applyFont="1" applyBorder="1" applyAlignment="1">
      <alignment horizontal="center" vertical="center"/>
    </xf>
    <xf numFmtId="0" fontId="72" fillId="0" borderId="0" xfId="0" applyFont="1"/>
    <xf numFmtId="0" fontId="60" fillId="0" borderId="0" xfId="0" applyFont="1" applyAlignment="1">
      <alignment horizontal="right"/>
    </xf>
    <xf numFmtId="0" fontId="15" fillId="0" borderId="0" xfId="0" applyFont="1"/>
    <xf numFmtId="0" fontId="59" fillId="0" borderId="0" xfId="0" applyFont="1" applyAlignment="1">
      <alignment horizontal="right"/>
    </xf>
    <xf numFmtId="0" fontId="0" fillId="0" borderId="0" xfId="0" applyBorder="1"/>
    <xf numFmtId="0" fontId="0" fillId="0" borderId="63" xfId="0" applyNumberFormat="1" applyBorder="1"/>
    <xf numFmtId="0" fontId="0" fillId="0" borderId="3" xfId="0" applyBorder="1"/>
    <xf numFmtId="0" fontId="0" fillId="0" borderId="2" xfId="0" applyBorder="1"/>
    <xf numFmtId="0" fontId="45" fillId="0" borderId="1" xfId="0" applyFont="1" applyBorder="1" applyAlignment="1">
      <alignment horizontal="center" vertical="center"/>
    </xf>
    <xf numFmtId="0" fontId="14" fillId="0" borderId="0" xfId="0" applyFont="1"/>
    <xf numFmtId="0" fontId="71" fillId="0" borderId="1" xfId="0" applyFont="1" applyBorder="1"/>
    <xf numFmtId="0" fontId="71" fillId="0" borderId="1" xfId="0" applyFont="1" applyFill="1" applyBorder="1" applyAlignment="1">
      <alignment wrapText="1"/>
    </xf>
    <xf numFmtId="0" fontId="71" fillId="9" borderId="1" xfId="0" applyFont="1" applyFill="1" applyBorder="1" applyAlignment="1">
      <alignment wrapText="1"/>
    </xf>
    <xf numFmtId="0" fontId="71" fillId="0" borderId="1" xfId="0" applyFont="1" applyFill="1" applyBorder="1" applyAlignment="1">
      <alignment wrapText="1"/>
    </xf>
    <xf numFmtId="0" fontId="71" fillId="9" borderId="1" xfId="0" applyFont="1" applyFill="1" applyBorder="1" applyAlignment="1">
      <alignment wrapText="1"/>
    </xf>
    <xf numFmtId="0" fontId="0" fillId="0" borderId="1" xfId="0" applyBorder="1" applyAlignment="1">
      <alignment horizontal="center"/>
    </xf>
    <xf numFmtId="0" fontId="71" fillId="9" borderId="1" xfId="0" applyFont="1" applyFill="1" applyBorder="1"/>
    <xf numFmtId="0" fontId="0" fillId="0" borderId="0" xfId="0" applyNumberFormat="1" applyAlignment="1" applyProtection="1">
      <alignment horizontal="right"/>
    </xf>
    <xf numFmtId="0" fontId="0" fillId="0" borderId="0" xfId="0" applyNumberFormat="1" applyAlignment="1" applyProtection="1">
      <alignment horizontal="center"/>
    </xf>
    <xf numFmtId="167" fontId="0" fillId="0" borderId="0" xfId="0" applyNumberFormat="1" applyAlignment="1" applyProtection="1">
      <alignment horizontal="right"/>
    </xf>
    <xf numFmtId="0" fontId="0" fillId="0" borderId="0" xfId="0" applyNumberFormat="1" applyBorder="1" applyAlignment="1" applyProtection="1">
      <alignment horizontal="right"/>
    </xf>
    <xf numFmtId="0" fontId="0" fillId="0" borderId="0" xfId="0" applyAlignment="1" applyProtection="1">
      <alignment horizontal="center"/>
    </xf>
    <xf numFmtId="0" fontId="0" fillId="0" borderId="0" xfId="0" applyAlignment="1" applyProtection="1">
      <alignment horizontal="right"/>
    </xf>
    <xf numFmtId="0" fontId="45" fillId="0" borderId="0" xfId="0" applyFont="1" applyAlignment="1" applyProtection="1">
      <alignment horizontal="right"/>
    </xf>
    <xf numFmtId="0" fontId="45" fillId="0" borderId="0" xfId="0" applyNumberFormat="1" applyFont="1" applyAlignment="1" applyProtection="1">
      <alignment horizontal="right"/>
    </xf>
    <xf numFmtId="2" fontId="45" fillId="0" borderId="0" xfId="0" applyNumberFormat="1" applyFont="1" applyBorder="1" applyAlignment="1" applyProtection="1">
      <alignment horizontal="right"/>
    </xf>
    <xf numFmtId="167" fontId="45" fillId="0" borderId="0" xfId="0" applyNumberFormat="1" applyFont="1" applyBorder="1" applyAlignment="1" applyProtection="1">
      <alignment horizontal="right"/>
    </xf>
    <xf numFmtId="167" fontId="0" fillId="0" borderId="0" xfId="0" applyNumberFormat="1" applyBorder="1" applyAlignment="1" applyProtection="1">
      <alignment horizontal="right"/>
    </xf>
    <xf numFmtId="2" fontId="0" fillId="0" borderId="0" xfId="0" applyNumberFormat="1" applyBorder="1" applyAlignment="1" applyProtection="1">
      <alignment horizontal="right"/>
    </xf>
    <xf numFmtId="2" fontId="0" fillId="0" borderId="0" xfId="0" applyNumberFormat="1" applyAlignment="1" applyProtection="1">
      <alignment horizontal="right"/>
    </xf>
    <xf numFmtId="2" fontId="45" fillId="0" borderId="0" xfId="0" applyNumberFormat="1" applyFont="1" applyAlignment="1" applyProtection="1">
      <alignment horizontal="right"/>
    </xf>
    <xf numFmtId="0" fontId="45" fillId="0" borderId="0" xfId="0" applyNumberFormat="1" applyFont="1" applyAlignment="1" applyProtection="1">
      <alignment horizontal="center"/>
    </xf>
    <xf numFmtId="0" fontId="45" fillId="0" borderId="0" xfId="0" applyFont="1" applyAlignment="1" applyProtection="1">
      <alignment horizontal="center"/>
    </xf>
    <xf numFmtId="0" fontId="0" fillId="0" borderId="0" xfId="0" applyNumberFormat="1" applyAlignment="1" applyProtection="1">
      <alignment horizontal="right"/>
      <protection locked="0"/>
    </xf>
    <xf numFmtId="0" fontId="45" fillId="0" borderId="0" xfId="0" applyNumberFormat="1" applyFont="1" applyAlignment="1" applyProtection="1">
      <alignment horizontal="center"/>
      <protection locked="0"/>
    </xf>
    <xf numFmtId="0" fontId="45" fillId="0" borderId="0" xfId="0" applyNumberFormat="1" applyFont="1" applyAlignment="1" applyProtection="1">
      <alignment horizontal="right"/>
      <protection locked="0"/>
    </xf>
    <xf numFmtId="0" fontId="0" fillId="0" borderId="0" xfId="0" applyNumberFormat="1" applyBorder="1" applyAlignment="1" applyProtection="1">
      <alignment horizontal="right"/>
      <protection locked="0"/>
    </xf>
    <xf numFmtId="0" fontId="0" fillId="0" borderId="0" xfId="0" applyNumberFormat="1" applyBorder="1" applyAlignment="1" applyProtection="1">
      <alignment horizontal="center"/>
      <protection locked="0"/>
    </xf>
    <xf numFmtId="0" fontId="0" fillId="0" borderId="0" xfId="0" applyAlignment="1" applyProtection="1">
      <alignment horizontal="right"/>
      <protection locked="0"/>
    </xf>
    <xf numFmtId="0" fontId="0" fillId="0" borderId="0" xfId="0" applyNumberFormat="1" applyAlignment="1" applyProtection="1">
      <alignment horizontal="center"/>
      <protection locked="0"/>
    </xf>
    <xf numFmtId="0" fontId="71" fillId="0" borderId="1" xfId="0" applyFont="1" applyBorder="1" applyAlignment="1">
      <alignment wrapText="1"/>
    </xf>
    <xf numFmtId="0" fontId="45" fillId="0" borderId="1" xfId="0" applyFont="1" applyBorder="1" applyAlignment="1">
      <alignment horizontal="center"/>
    </xf>
    <xf numFmtId="14" fontId="0" fillId="0" borderId="1" xfId="0" applyNumberFormat="1" applyBorder="1" applyAlignment="1">
      <alignment horizontal="center"/>
    </xf>
    <xf numFmtId="0" fontId="45" fillId="9" borderId="1" xfId="0" applyFont="1" applyFill="1" applyBorder="1" applyAlignment="1">
      <alignment horizontal="center" vertical="center"/>
    </xf>
    <xf numFmtId="0" fontId="68" fillId="0" borderId="0" xfId="0" applyFont="1" applyAlignment="1">
      <alignment horizontal="right"/>
    </xf>
    <xf numFmtId="14" fontId="0" fillId="9" borderId="1" xfId="0" applyNumberFormat="1" applyFill="1" applyBorder="1" applyAlignment="1">
      <alignment horizontal="center" vertical="center"/>
    </xf>
    <xf numFmtId="0" fontId="45" fillId="0" borderId="0" xfId="0" applyFont="1" applyAlignment="1" applyProtection="1">
      <alignment horizontal="right"/>
      <protection locked="0"/>
    </xf>
    <xf numFmtId="167" fontId="0" fillId="0" borderId="0" xfId="0" applyNumberFormat="1" applyAlignment="1" applyProtection="1">
      <alignment horizontal="right"/>
      <protection locked="0"/>
    </xf>
    <xf numFmtId="171" fontId="45" fillId="9" borderId="1" xfId="0" quotePrefix="1" applyNumberFormat="1" applyFont="1" applyFill="1" applyBorder="1" applyAlignment="1">
      <alignment horizontal="center" vertical="center"/>
    </xf>
    <xf numFmtId="0" fontId="104" fillId="0" borderId="1" xfId="0" applyFont="1" applyBorder="1" applyAlignment="1" applyProtection="1">
      <alignment horizontal="center"/>
      <protection locked="0"/>
    </xf>
    <xf numFmtId="0" fontId="44" fillId="0" borderId="1" xfId="0" applyFont="1" applyBorder="1" applyAlignment="1">
      <alignment horizontal="center"/>
    </xf>
    <xf numFmtId="0" fontId="13" fillId="0" borderId="0" xfId="0" applyFont="1"/>
    <xf numFmtId="0" fontId="12" fillId="0" borderId="0" xfId="0" applyFont="1"/>
    <xf numFmtId="0" fontId="104" fillId="0" borderId="1" xfId="0" applyNumberFormat="1" applyFont="1" applyBorder="1" applyAlignment="1" applyProtection="1">
      <alignment horizontal="center"/>
      <protection locked="0"/>
    </xf>
    <xf numFmtId="0" fontId="44" fillId="0" borderId="0" xfId="0" applyFont="1" applyAlignment="1">
      <alignment horizontal="center"/>
    </xf>
    <xf numFmtId="0" fontId="10" fillId="0" borderId="0" xfId="0" applyFont="1"/>
    <xf numFmtId="2" fontId="0" fillId="0" borderId="0" xfId="0" applyNumberFormat="1" applyAlignment="1" applyProtection="1">
      <alignment horizontal="right"/>
      <protection locked="0"/>
    </xf>
    <xf numFmtId="2" fontId="45" fillId="0" borderId="0" xfId="0" applyNumberFormat="1" applyFont="1" applyBorder="1" applyAlignment="1" applyProtection="1">
      <alignment horizontal="right"/>
      <protection locked="0"/>
    </xf>
    <xf numFmtId="0" fontId="84" fillId="0" borderId="0" xfId="0" applyFont="1" applyFill="1" applyBorder="1"/>
    <xf numFmtId="0" fontId="60" fillId="8" borderId="3" xfId="0" quotePrefix="1" applyFont="1" applyFill="1" applyBorder="1" applyAlignment="1">
      <alignment horizontal="center"/>
    </xf>
    <xf numFmtId="2" fontId="58" fillId="3" borderId="45" xfId="4" applyNumberFormat="1" applyAlignment="1" applyProtection="1">
      <protection locked="0"/>
    </xf>
    <xf numFmtId="2" fontId="58" fillId="3" borderId="74" xfId="4" applyNumberFormat="1" applyBorder="1" applyAlignment="1" applyProtection="1">
      <protection locked="0"/>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0" fillId="9" borderId="1" xfId="0" applyFill="1" applyBorder="1"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2" fontId="0" fillId="0" borderId="0" xfId="0" applyNumberFormat="1" applyFill="1" applyAlignment="1" applyProtection="1">
      <alignment horizontal="right"/>
    </xf>
    <xf numFmtId="0" fontId="0" fillId="0" borderId="0" xfId="0" applyNumberFormat="1" applyFill="1" applyAlignment="1" applyProtection="1">
      <alignment horizontal="right"/>
    </xf>
    <xf numFmtId="0" fontId="0" fillId="0" borderId="0" xfId="0" applyFill="1" applyAlignment="1" applyProtection="1">
      <alignment horizontal="right"/>
    </xf>
    <xf numFmtId="0" fontId="45" fillId="0" borderId="0" xfId="0" applyNumberFormat="1" applyFont="1" applyFill="1" applyAlignment="1" applyProtection="1">
      <alignment horizontal="right"/>
    </xf>
    <xf numFmtId="167" fontId="0" fillId="0" borderId="0" xfId="0" applyNumberFormat="1" applyFill="1" applyAlignment="1" applyProtection="1">
      <alignment horizontal="right"/>
    </xf>
    <xf numFmtId="2" fontId="45" fillId="0" borderId="0" xfId="0" applyNumberFormat="1" applyFont="1" applyFill="1" applyBorder="1" applyAlignment="1" applyProtection="1">
      <alignment horizontal="right"/>
    </xf>
    <xf numFmtId="0" fontId="45" fillId="0" borderId="0" xfId="0" applyFont="1" applyFill="1" applyAlignment="1" applyProtection="1">
      <alignment horizontal="right"/>
    </xf>
    <xf numFmtId="0" fontId="0" fillId="0" borderId="0" xfId="0" applyAlignment="1">
      <alignment horizontal="center"/>
    </xf>
    <xf numFmtId="0" fontId="45" fillId="0" borderId="0" xfId="0" applyFont="1" applyFill="1" applyProtection="1"/>
    <xf numFmtId="0" fontId="45" fillId="0" borderId="0" xfId="0" applyNumberFormat="1" applyFont="1" applyFill="1" applyAlignment="1" applyProtection="1">
      <alignment horizontal="center"/>
    </xf>
    <xf numFmtId="167" fontId="45" fillId="0" borderId="0" xfId="0" applyNumberFormat="1" applyFont="1" applyFill="1" applyAlignment="1" applyProtection="1">
      <alignment horizontal="right"/>
    </xf>
    <xf numFmtId="0" fontId="45" fillId="0" borderId="0" xfId="0" applyNumberFormat="1" applyFont="1" applyFill="1" applyBorder="1" applyAlignment="1" applyProtection="1">
      <alignment horizontal="right"/>
    </xf>
    <xf numFmtId="0" fontId="45" fillId="0" borderId="0" xfId="0" applyFont="1" applyFill="1" applyAlignment="1" applyProtection="1">
      <alignment horizontal="center"/>
    </xf>
    <xf numFmtId="0" fontId="45" fillId="0" borderId="0" xfId="0" applyFont="1" applyFill="1" applyAlignment="1" applyProtection="1">
      <alignment horizontal="center"/>
      <protection locked="0"/>
    </xf>
    <xf numFmtId="0" fontId="45" fillId="0" borderId="0" xfId="0" applyNumberFormat="1" applyFont="1" applyFill="1" applyAlignment="1" applyProtection="1">
      <alignment horizontal="center"/>
      <protection locked="0"/>
    </xf>
    <xf numFmtId="2" fontId="45" fillId="0" borderId="0" xfId="0" applyNumberFormat="1" applyFont="1" applyFill="1" applyAlignment="1" applyProtection="1">
      <alignment horizontal="right"/>
    </xf>
    <xf numFmtId="0" fontId="45" fillId="0" borderId="0" xfId="0" applyFont="1" applyFill="1"/>
    <xf numFmtId="0" fontId="0" fillId="0" borderId="0" xfId="0" applyFill="1" applyAlignment="1" applyProtection="1">
      <alignment horizontal="right"/>
      <protection locked="0"/>
    </xf>
    <xf numFmtId="0" fontId="0" fillId="0" borderId="0" xfId="0" applyFill="1" applyAlignment="1" applyProtection="1">
      <alignment horizontal="center"/>
      <protection locked="0"/>
    </xf>
    <xf numFmtId="167" fontId="0" fillId="0" borderId="0" xfId="0" applyNumberFormat="1" applyAlignment="1" applyProtection="1">
      <alignment horizontal="center"/>
      <protection locked="0"/>
    </xf>
    <xf numFmtId="2" fontId="0" fillId="0" borderId="0" xfId="0" applyNumberFormat="1" applyAlignment="1" applyProtection="1">
      <alignment horizontal="center"/>
      <protection locked="0"/>
    </xf>
    <xf numFmtId="0" fontId="115" fillId="0" borderId="0" xfId="0" applyFont="1"/>
    <xf numFmtId="0" fontId="116" fillId="0" borderId="0" xfId="0" applyFont="1"/>
    <xf numFmtId="0" fontId="117" fillId="0" borderId="0" xfId="0" applyFont="1"/>
    <xf numFmtId="0" fontId="115" fillId="0" borderId="0" xfId="0" applyFont="1" applyBorder="1"/>
    <xf numFmtId="0" fontId="116" fillId="0" borderId="0" xfId="0" quotePrefix="1" applyFont="1"/>
    <xf numFmtId="0" fontId="116" fillId="0" borderId="0" xfId="0" applyFont="1" applyAlignment="1">
      <alignment horizontal="center"/>
    </xf>
    <xf numFmtId="0" fontId="116" fillId="0" borderId="0" xfId="0" applyFont="1" applyAlignment="1">
      <alignment horizontal="right"/>
    </xf>
    <xf numFmtId="2" fontId="116" fillId="0" borderId="0" xfId="0" applyNumberFormat="1" applyFont="1" applyAlignment="1">
      <alignment horizontal="center"/>
    </xf>
    <xf numFmtId="0" fontId="116" fillId="0" borderId="0" xfId="0" applyFont="1" applyBorder="1" applyAlignment="1">
      <alignment horizontal="right"/>
    </xf>
    <xf numFmtId="169" fontId="115" fillId="0" borderId="0" xfId="0" applyNumberFormat="1" applyFont="1"/>
    <xf numFmtId="0" fontId="115" fillId="0" borderId="0" xfId="0" applyFont="1" applyAlignment="1">
      <alignment vertical="center"/>
    </xf>
    <xf numFmtId="0" fontId="116" fillId="0" borderId="0" xfId="0" applyFont="1" applyAlignment="1">
      <alignment vertical="center"/>
    </xf>
    <xf numFmtId="0" fontId="115" fillId="0" borderId="0" xfId="0" applyFont="1" applyAlignment="1"/>
    <xf numFmtId="166" fontId="116" fillId="0" borderId="0" xfId="0" applyNumberFormat="1" applyFont="1"/>
    <xf numFmtId="0" fontId="114" fillId="0" borderId="0" xfId="0" applyFont="1"/>
    <xf numFmtId="167" fontId="115" fillId="0" borderId="0" xfId="0" applyNumberFormat="1" applyFont="1"/>
    <xf numFmtId="166" fontId="116" fillId="0" borderId="0" xfId="0" applyNumberFormat="1" applyFont="1" applyFill="1" applyAlignment="1"/>
    <xf numFmtId="166" fontId="115" fillId="0" borderId="0" xfId="0" applyNumberFormat="1" applyFont="1"/>
    <xf numFmtId="166" fontId="115" fillId="0" borderId="0" xfId="0" applyNumberFormat="1" applyFont="1" applyFill="1" applyAlignment="1"/>
    <xf numFmtId="0" fontId="115" fillId="0" borderId="0" xfId="0" applyFont="1" applyFill="1"/>
    <xf numFmtId="0" fontId="115" fillId="0" borderId="0" xfId="0" applyFont="1" applyAlignment="1">
      <alignment horizontal="center"/>
    </xf>
    <xf numFmtId="0" fontId="118" fillId="0" borderId="0" xfId="0" applyFont="1"/>
    <xf numFmtId="170" fontId="115" fillId="0" borderId="0" xfId="0" applyNumberFormat="1" applyFont="1"/>
    <xf numFmtId="167" fontId="116" fillId="0" borderId="0" xfId="0" applyNumberFormat="1" applyFont="1"/>
    <xf numFmtId="0" fontId="116" fillId="0" borderId="0" xfId="0" applyFont="1" applyBorder="1" applyAlignment="1">
      <alignment horizontal="left"/>
    </xf>
    <xf numFmtId="0" fontId="115" fillId="0" borderId="0" xfId="0" applyFont="1" applyBorder="1" applyAlignment="1">
      <alignment horizontal="left"/>
    </xf>
    <xf numFmtId="164" fontId="115" fillId="0" borderId="0" xfId="0" applyNumberFormat="1" applyFont="1"/>
    <xf numFmtId="167" fontId="115" fillId="0" borderId="1" xfId="0" applyNumberFormat="1" applyFont="1" applyBorder="1"/>
    <xf numFmtId="166" fontId="115" fillId="2" borderId="4" xfId="0" applyNumberFormat="1" applyFont="1" applyFill="1" applyBorder="1"/>
    <xf numFmtId="166" fontId="115" fillId="2" borderId="0" xfId="0" applyNumberFormat="1" applyFont="1" applyFill="1" applyBorder="1"/>
    <xf numFmtId="0" fontId="115" fillId="2" borderId="19" xfId="0" applyFont="1" applyFill="1" applyBorder="1"/>
    <xf numFmtId="0" fontId="115" fillId="2" borderId="3" xfId="0" applyFont="1" applyFill="1" applyBorder="1"/>
    <xf numFmtId="0" fontId="115" fillId="2" borderId="0" xfId="0" applyFont="1" applyFill="1" applyBorder="1"/>
    <xf numFmtId="0" fontId="115" fillId="2" borderId="63" xfId="0" applyFont="1" applyFill="1" applyBorder="1"/>
    <xf numFmtId="0" fontId="115" fillId="2" borderId="67" xfId="0" applyFont="1" applyFill="1" applyBorder="1"/>
    <xf numFmtId="0" fontId="115" fillId="2" borderId="21" xfId="0" applyFont="1" applyFill="1" applyBorder="1"/>
    <xf numFmtId="0" fontId="115" fillId="2" borderId="32" xfId="0" applyFont="1" applyFill="1" applyBorder="1"/>
    <xf numFmtId="0" fontId="115" fillId="2" borderId="13" xfId="0" applyFont="1" applyFill="1" applyBorder="1"/>
    <xf numFmtId="0" fontId="115" fillId="2" borderId="4" xfId="0" applyFont="1" applyFill="1" applyBorder="1"/>
    <xf numFmtId="0" fontId="115" fillId="2" borderId="68" xfId="0" applyFont="1" applyFill="1" applyBorder="1"/>
    <xf numFmtId="0" fontId="115" fillId="2" borderId="22" xfId="0" applyFont="1" applyFill="1" applyBorder="1"/>
    <xf numFmtId="0" fontId="115" fillId="2" borderId="33" xfId="0" applyFont="1" applyFill="1" applyBorder="1"/>
    <xf numFmtId="0" fontId="118" fillId="2" borderId="13" xfId="0" applyFont="1" applyFill="1" applyBorder="1"/>
    <xf numFmtId="0" fontId="118" fillId="2" borderId="0" xfId="0" applyFont="1" applyFill="1" applyBorder="1"/>
    <xf numFmtId="0" fontId="118" fillId="2" borderId="4" xfId="0" applyFont="1" applyFill="1" applyBorder="1"/>
    <xf numFmtId="0" fontId="118" fillId="2" borderId="68" xfId="0" applyFont="1" applyFill="1" applyBorder="1"/>
    <xf numFmtId="0" fontId="118" fillId="2" borderId="22" xfId="0" applyFont="1" applyFill="1" applyBorder="1"/>
    <xf numFmtId="0" fontId="118" fillId="2" borderId="33" xfId="0" applyFont="1" applyFill="1" applyBorder="1"/>
    <xf numFmtId="166" fontId="115" fillId="2" borderId="15" xfId="0" applyNumberFormat="1" applyFont="1" applyFill="1" applyBorder="1"/>
    <xf numFmtId="166" fontId="115" fillId="2" borderId="2" xfId="0" applyNumberFormat="1" applyFont="1" applyFill="1" applyBorder="1"/>
    <xf numFmtId="0" fontId="115" fillId="2" borderId="20" xfId="0" applyFont="1" applyFill="1" applyBorder="1"/>
    <xf numFmtId="0" fontId="115" fillId="2" borderId="2" xfId="0" applyFont="1" applyFill="1" applyBorder="1"/>
    <xf numFmtId="0" fontId="115" fillId="2" borderId="15" xfId="0" applyFont="1" applyFill="1" applyBorder="1"/>
    <xf numFmtId="0" fontId="115" fillId="2" borderId="57" xfId="0" applyFont="1" applyFill="1" applyBorder="1"/>
    <xf numFmtId="0" fontId="115" fillId="2" borderId="23" xfId="0" applyFont="1" applyFill="1" applyBorder="1"/>
    <xf numFmtId="0" fontId="115" fillId="2" borderId="34" xfId="0" applyFont="1" applyFill="1" applyBorder="1"/>
    <xf numFmtId="0" fontId="115" fillId="0" borderId="3" xfId="0" applyFont="1" applyBorder="1"/>
    <xf numFmtId="167" fontId="115" fillId="0" borderId="0" xfId="0" applyNumberFormat="1" applyFont="1" applyAlignment="1"/>
    <xf numFmtId="0" fontId="115" fillId="0" borderId="2" xfId="0" applyFont="1" applyBorder="1"/>
    <xf numFmtId="0" fontId="0" fillId="0" borderId="1" xfId="0" applyFont="1" applyBorder="1" applyAlignment="1">
      <alignment horizontal="center"/>
    </xf>
    <xf numFmtId="0" fontId="95" fillId="0" borderId="1" xfId="0" applyFont="1" applyBorder="1" applyAlignment="1">
      <alignment horizontal="right" wrapText="1"/>
    </xf>
    <xf numFmtId="0" fontId="95" fillId="0" borderId="1" xfId="0" applyFont="1" applyBorder="1"/>
    <xf numFmtId="0" fontId="71" fillId="0" borderId="0" xfId="0" applyFont="1"/>
    <xf numFmtId="0" fontId="95" fillId="0" borderId="0" xfId="0" applyFont="1" applyBorder="1"/>
    <xf numFmtId="0" fontId="96" fillId="0" borderId="0" xfId="0" applyFont="1" applyAlignment="1">
      <alignment horizontal="left" vertical="top" wrapText="1"/>
    </xf>
    <xf numFmtId="0" fontId="87" fillId="0" borderId="14" xfId="0" applyFont="1" applyBorder="1"/>
    <xf numFmtId="0" fontId="45" fillId="0" borderId="11" xfId="0" applyFont="1" applyBorder="1"/>
    <xf numFmtId="0" fontId="45" fillId="0" borderId="12" xfId="0" applyFont="1" applyBorder="1"/>
    <xf numFmtId="0" fontId="87" fillId="0" borderId="4" xfId="0" applyFont="1" applyBorder="1"/>
    <xf numFmtId="0" fontId="45" fillId="0" borderId="0" xfId="0" applyFont="1" applyBorder="1" applyAlignment="1">
      <alignment horizontal="right"/>
    </xf>
    <xf numFmtId="0" fontId="68" fillId="5" borderId="43" xfId="2" applyFont="1" applyBorder="1" applyAlignment="1" applyProtection="1">
      <alignment vertical="center"/>
      <protection locked="0"/>
    </xf>
    <xf numFmtId="0" fontId="45" fillId="0" borderId="0" xfId="0" applyFont="1" applyBorder="1"/>
    <xf numFmtId="0" fontId="45" fillId="0" borderId="6" xfId="0" applyFont="1" applyBorder="1"/>
    <xf numFmtId="0" fontId="68" fillId="5" borderId="43" xfId="2" applyFont="1" applyAlignment="1" applyProtection="1">
      <alignment vertical="center"/>
      <protection locked="0"/>
    </xf>
    <xf numFmtId="0" fontId="45" fillId="0" borderId="4" xfId="0" applyFont="1" applyBorder="1"/>
    <xf numFmtId="0" fontId="68" fillId="0" borderId="0" xfId="0" applyFont="1" applyBorder="1" applyAlignment="1">
      <alignment horizontal="right"/>
    </xf>
    <xf numFmtId="0" fontId="45" fillId="0" borderId="8" xfId="0" applyFont="1" applyBorder="1"/>
    <xf numFmtId="0" fontId="68" fillId="0" borderId="9" xfId="0" applyFont="1" applyBorder="1" applyAlignment="1">
      <alignment horizontal="right"/>
    </xf>
    <xf numFmtId="0" fontId="68" fillId="5" borderId="73" xfId="2" applyFont="1" applyBorder="1" applyAlignment="1" applyProtection="1">
      <alignment vertical="center"/>
      <protection locked="0"/>
    </xf>
    <xf numFmtId="0" fontId="122" fillId="0" borderId="9" xfId="0" applyFont="1" applyBorder="1"/>
    <xf numFmtId="0" fontId="45" fillId="0" borderId="9" xfId="0" applyFont="1" applyBorder="1"/>
    <xf numFmtId="0" fontId="45" fillId="0" borderId="10" xfId="0" applyFont="1" applyBorder="1"/>
    <xf numFmtId="0" fontId="45" fillId="0" borderId="26" xfId="0" applyFont="1" applyBorder="1" applyAlignment="1">
      <alignment horizontal="right"/>
    </xf>
    <xf numFmtId="0" fontId="96" fillId="0" borderId="0" xfId="0" applyFont="1" applyAlignment="1">
      <alignment horizontal="left"/>
    </xf>
    <xf numFmtId="167" fontId="45" fillId="0" borderId="0" xfId="0" applyNumberFormat="1" applyFont="1"/>
    <xf numFmtId="0" fontId="88" fillId="0" borderId="0" xfId="0" applyFont="1" applyAlignment="1">
      <alignment horizontal="right"/>
    </xf>
    <xf numFmtId="167" fontId="123" fillId="0" borderId="0" xfId="0" applyNumberFormat="1" applyFont="1"/>
    <xf numFmtId="167" fontId="45" fillId="0" borderId="26" xfId="0" applyNumberFormat="1" applyFont="1" applyBorder="1" applyAlignment="1">
      <alignment horizontal="right"/>
    </xf>
    <xf numFmtId="0" fontId="45" fillId="0" borderId="1" xfId="0" applyFont="1" applyBorder="1" applyAlignment="1">
      <alignment wrapText="1"/>
    </xf>
    <xf numFmtId="0" fontId="52" fillId="0" borderId="1" xfId="0" applyFont="1" applyBorder="1" applyAlignment="1">
      <alignment wrapText="1"/>
    </xf>
    <xf numFmtId="0" fontId="45" fillId="0" borderId="5" xfId="0" applyFont="1" applyBorder="1" applyAlignment="1">
      <alignment wrapText="1"/>
    </xf>
    <xf numFmtId="0" fontId="45" fillId="0" borderId="17" xfId="0" applyFont="1" applyBorder="1" applyAlignment="1">
      <alignment wrapText="1"/>
    </xf>
    <xf numFmtId="0" fontId="68" fillId="0" borderId="55" xfId="0" applyFont="1" applyBorder="1" applyAlignment="1">
      <alignment horizontal="center" wrapText="1"/>
    </xf>
    <xf numFmtId="0" fontId="68" fillId="0" borderId="1" xfId="0" applyFont="1" applyBorder="1" applyAlignment="1">
      <alignment horizontal="center" wrapText="1"/>
    </xf>
    <xf numFmtId="0" fontId="68" fillId="0" borderId="24" xfId="0" applyFont="1" applyBorder="1" applyAlignment="1">
      <alignment horizontal="center" wrapText="1"/>
    </xf>
    <xf numFmtId="0" fontId="45" fillId="0" borderId="1" xfId="0" applyFont="1" applyBorder="1" applyAlignment="1">
      <alignment horizontal="center" wrapText="1"/>
    </xf>
    <xf numFmtId="0" fontId="45" fillId="0" borderId="5" xfId="0" applyFont="1" applyBorder="1" applyAlignment="1">
      <alignment horizontal="center" wrapText="1"/>
    </xf>
    <xf numFmtId="0" fontId="45" fillId="0" borderId="24" xfId="0" applyFont="1" applyBorder="1" applyAlignment="1">
      <alignment horizontal="center" wrapText="1"/>
    </xf>
    <xf numFmtId="0" fontId="45" fillId="0" borderId="18" xfId="0" applyFont="1" applyBorder="1" applyAlignment="1">
      <alignment wrapText="1"/>
    </xf>
    <xf numFmtId="0" fontId="125" fillId="0" borderId="17" xfId="0" applyFont="1" applyBorder="1" applyAlignment="1">
      <alignment horizontal="center" wrapText="1"/>
    </xf>
    <xf numFmtId="0" fontId="125" fillId="0" borderId="1" xfId="0" applyFont="1" applyBorder="1" applyAlignment="1">
      <alignment horizontal="center" wrapText="1"/>
    </xf>
    <xf numFmtId="0" fontId="125" fillId="0" borderId="5" xfId="0" applyFont="1" applyBorder="1" applyAlignment="1">
      <alignment horizontal="center" wrapText="1"/>
    </xf>
    <xf numFmtId="0" fontId="125" fillId="0" borderId="16" xfId="0" applyFont="1" applyBorder="1" applyAlignment="1">
      <alignment horizontal="center" wrapText="1"/>
    </xf>
    <xf numFmtId="0" fontId="45" fillId="0" borderId="16" xfId="0" applyFont="1" applyBorder="1" applyAlignment="1">
      <alignment wrapText="1"/>
    </xf>
    <xf numFmtId="0" fontId="68" fillId="0" borderId="0" xfId="0" applyFont="1" applyAlignment="1">
      <alignment horizontal="center" wrapText="1"/>
    </xf>
    <xf numFmtId="164" fontId="45" fillId="0" borderId="0" xfId="0" applyNumberFormat="1" applyFont="1" applyAlignment="1">
      <alignment wrapText="1"/>
    </xf>
    <xf numFmtId="166" fontId="45" fillId="0" borderId="26" xfId="0" applyNumberFormat="1" applyFont="1" applyBorder="1"/>
    <xf numFmtId="0" fontId="45" fillId="0" borderId="26" xfId="0" applyFont="1" applyBorder="1"/>
    <xf numFmtId="0" fontId="68" fillId="0" borderId="26" xfId="0" applyFont="1" applyBorder="1"/>
    <xf numFmtId="16" fontId="68" fillId="0" borderId="1" xfId="0" quotePrefix="1" applyNumberFormat="1" applyFont="1" applyBorder="1" applyAlignment="1">
      <alignment horizontal="center"/>
    </xf>
    <xf numFmtId="0" fontId="45" fillId="0" borderId="1" xfId="0" quotePrefix="1" applyFont="1" applyBorder="1" applyAlignment="1">
      <alignment horizontal="center"/>
    </xf>
    <xf numFmtId="0" fontId="45" fillId="0" borderId="1" xfId="0" applyFont="1" applyBorder="1" applyAlignment="1">
      <alignment vertical="center"/>
    </xf>
    <xf numFmtId="167" fontId="45" fillId="0" borderId="1" xfId="0" applyNumberFormat="1" applyFont="1" applyBorder="1" applyAlignment="1">
      <alignment horizontal="center"/>
    </xf>
    <xf numFmtId="0" fontId="45" fillId="0" borderId="1" xfId="0" applyFont="1" applyBorder="1"/>
    <xf numFmtId="0" fontId="0" fillId="0" borderId="1" xfId="0" applyNumberFormat="1" applyFont="1" applyBorder="1"/>
    <xf numFmtId="167" fontId="0" fillId="0" borderId="5" xfId="0" applyNumberFormat="1" applyFont="1" applyBorder="1" applyAlignment="1">
      <alignment horizontal="center"/>
    </xf>
    <xf numFmtId="167" fontId="0" fillId="0" borderId="17" xfId="0" applyNumberFormat="1" applyFont="1" applyBorder="1"/>
    <xf numFmtId="167" fontId="0" fillId="0" borderId="1" xfId="0" applyNumberFormat="1" applyFont="1" applyBorder="1"/>
    <xf numFmtId="167" fontId="0" fillId="0" borderId="5" xfId="0" applyNumberFormat="1" applyFont="1" applyBorder="1"/>
    <xf numFmtId="166" fontId="0" fillId="0" borderId="1" xfId="0" applyNumberFormat="1" applyFont="1" applyBorder="1"/>
    <xf numFmtId="166" fontId="0" fillId="0" borderId="5" xfId="0" applyNumberFormat="1" applyFont="1" applyBorder="1"/>
    <xf numFmtId="0" fontId="68" fillId="0" borderId="1" xfId="0" applyNumberFormat="1" applyFont="1" applyBorder="1"/>
    <xf numFmtId="167" fontId="68" fillId="0" borderId="17" xfId="0" applyNumberFormat="1" applyFont="1" applyBorder="1"/>
    <xf numFmtId="167" fontId="68" fillId="0" borderId="1" xfId="0" applyNumberFormat="1" applyFont="1" applyBorder="1"/>
    <xf numFmtId="0" fontId="68" fillId="0" borderId="1" xfId="0" applyFont="1" applyBorder="1"/>
    <xf numFmtId="0" fontId="0" fillId="0" borderId="5" xfId="0" applyFont="1" applyBorder="1" applyAlignment="1">
      <alignment horizontal="center"/>
    </xf>
    <xf numFmtId="0" fontId="68" fillId="0" borderId="0" xfId="0" applyFont="1" applyBorder="1"/>
    <xf numFmtId="0" fontId="0" fillId="0" borderId="0" xfId="0" applyNumberFormat="1" applyFont="1" applyBorder="1"/>
    <xf numFmtId="0" fontId="0" fillId="0" borderId="0" xfId="0" applyFont="1" applyBorder="1" applyAlignment="1">
      <alignment horizontal="center"/>
    </xf>
    <xf numFmtId="167" fontId="0" fillId="0" borderId="0" xfId="0" applyNumberFormat="1" applyFont="1" applyBorder="1"/>
    <xf numFmtId="0" fontId="0" fillId="0" borderId="0" xfId="0" applyFont="1"/>
    <xf numFmtId="0" fontId="0" fillId="0" borderId="26" xfId="0" applyNumberFormat="1" applyFont="1" applyBorder="1"/>
    <xf numFmtId="0" fontId="95" fillId="0" borderId="26" xfId="0" applyNumberFormat="1" applyFont="1" applyBorder="1"/>
    <xf numFmtId="0" fontId="0" fillId="11" borderId="1" xfId="0" applyFont="1" applyFill="1" applyBorder="1" applyAlignment="1">
      <alignment horizontal="center"/>
    </xf>
    <xf numFmtId="0" fontId="68" fillId="0" borderId="26" xfId="0" applyNumberFormat="1" applyFont="1" applyFill="1" applyBorder="1"/>
    <xf numFmtId="167" fontId="0" fillId="11" borderId="1" xfId="0" applyNumberFormat="1" applyFont="1" applyFill="1" applyBorder="1" applyAlignment="1">
      <alignment horizontal="center"/>
    </xf>
    <xf numFmtId="167" fontId="0" fillId="0" borderId="1" xfId="0" applyNumberFormat="1" applyFont="1" applyBorder="1" applyAlignment="1">
      <alignment horizontal="center"/>
    </xf>
    <xf numFmtId="0" fontId="68" fillId="0" borderId="26" xfId="0" applyNumberFormat="1" applyFont="1" applyBorder="1"/>
    <xf numFmtId="167" fontId="0" fillId="0" borderId="26" xfId="0" applyNumberFormat="1" applyFont="1" applyBorder="1" applyAlignment="1">
      <alignment horizontal="right"/>
    </xf>
    <xf numFmtId="0" fontId="0" fillId="0" borderId="26" xfId="0" applyNumberFormat="1" applyFont="1" applyBorder="1" applyAlignment="1">
      <alignment horizontal="right"/>
    </xf>
    <xf numFmtId="0" fontId="0" fillId="0" borderId="0" xfId="0" applyFont="1" applyBorder="1"/>
    <xf numFmtId="0" fontId="0" fillId="0" borderId="26" xfId="0" applyFont="1" applyBorder="1" applyAlignment="1">
      <alignment horizontal="right"/>
    </xf>
    <xf numFmtId="0" fontId="0" fillId="0" borderId="0" xfId="0" applyFont="1" applyBorder="1" applyAlignment="1">
      <alignment vertical="center"/>
    </xf>
    <xf numFmtId="0" fontId="68" fillId="0" borderId="0" xfId="0" applyFont="1" applyAlignment="1">
      <alignment horizontal="center"/>
    </xf>
    <xf numFmtId="0" fontId="0" fillId="0" borderId="0" xfId="0" applyFont="1" applyAlignment="1">
      <alignment horizontal="center"/>
    </xf>
    <xf numFmtId="0" fontId="52" fillId="0" borderId="0" xfId="0" applyFont="1" applyBorder="1" applyAlignment="1">
      <alignment horizontal="center"/>
    </xf>
    <xf numFmtId="0" fontId="68" fillId="0" borderId="26" xfId="0" applyFont="1" applyBorder="1" applyAlignment="1">
      <alignment horizontal="right"/>
    </xf>
    <xf numFmtId="0" fontId="68" fillId="0" borderId="26" xfId="0" applyFont="1" applyFill="1" applyBorder="1" applyAlignment="1">
      <alignment horizontal="right"/>
    </xf>
    <xf numFmtId="166" fontId="0" fillId="0" borderId="0" xfId="0" applyNumberFormat="1" applyFont="1"/>
    <xf numFmtId="0" fontId="70" fillId="0" borderId="0" xfId="0" quotePrefix="1" applyFont="1"/>
    <xf numFmtId="0" fontId="70" fillId="0" borderId="0" xfId="0" applyFont="1" applyAlignment="1">
      <alignment horizontal="center"/>
    </xf>
    <xf numFmtId="167" fontId="70" fillId="0" borderId="0" xfId="0" applyNumberFormat="1" applyFont="1" applyAlignment="1">
      <alignment horizontal="center"/>
    </xf>
    <xf numFmtId="2" fontId="70" fillId="0" borderId="0" xfId="0" applyNumberFormat="1" applyFont="1" applyAlignment="1">
      <alignment horizontal="center"/>
    </xf>
    <xf numFmtId="0" fontId="68" fillId="0" borderId="16" xfId="0" applyFont="1" applyBorder="1"/>
    <xf numFmtId="0" fontId="45" fillId="0" borderId="5" xfId="0" applyFont="1" applyBorder="1"/>
    <xf numFmtId="0" fontId="130" fillId="0" borderId="5" xfId="0" applyFont="1" applyBorder="1"/>
    <xf numFmtId="167" fontId="45" fillId="0" borderId="24" xfId="0" applyNumberFormat="1" applyFont="1" applyBorder="1"/>
    <xf numFmtId="167" fontId="45" fillId="0" borderId="1" xfId="0" applyNumberFormat="1" applyFont="1" applyBorder="1"/>
    <xf numFmtId="165" fontId="45" fillId="0" borderId="1" xfId="0" applyNumberFormat="1" applyFont="1" applyBorder="1"/>
    <xf numFmtId="167" fontId="45" fillId="0" borderId="18" xfId="0" applyNumberFormat="1" applyFont="1" applyBorder="1"/>
    <xf numFmtId="167" fontId="68" fillId="0" borderId="18" xfId="0" applyNumberFormat="1" applyFont="1" applyBorder="1"/>
    <xf numFmtId="167" fontId="45" fillId="0" borderId="1" xfId="0" applyNumberFormat="1" applyFont="1" applyFill="1" applyBorder="1"/>
    <xf numFmtId="167" fontId="45" fillId="0" borderId="18" xfId="0" applyNumberFormat="1" applyFont="1" applyFill="1" applyBorder="1"/>
    <xf numFmtId="166" fontId="84" fillId="0" borderId="0" xfId="0" applyNumberFormat="1" applyFont="1" applyFill="1" applyAlignment="1"/>
    <xf numFmtId="166" fontId="70" fillId="0" borderId="0" xfId="0" applyNumberFormat="1" applyFont="1" applyFill="1" applyAlignment="1"/>
    <xf numFmtId="164" fontId="70" fillId="0" borderId="0" xfId="0" applyNumberFormat="1" applyFont="1"/>
    <xf numFmtId="0" fontId="70" fillId="0" borderId="0" xfId="0" applyFont="1" applyAlignment="1">
      <alignment horizontal="right"/>
    </xf>
    <xf numFmtId="0" fontId="70" fillId="0" borderId="0" xfId="0" applyFont="1" applyAlignment="1">
      <alignment horizontal="center" vertical="center"/>
    </xf>
    <xf numFmtId="0" fontId="84" fillId="0" borderId="0" xfId="0" applyFont="1" applyAlignment="1">
      <alignment horizontal="center"/>
    </xf>
    <xf numFmtId="164" fontId="70" fillId="0" borderId="0" xfId="0" applyNumberFormat="1" applyFont="1" applyAlignment="1">
      <alignment horizontal="center"/>
    </xf>
    <xf numFmtId="0" fontId="126" fillId="0" borderId="0" xfId="0" applyFont="1"/>
    <xf numFmtId="165" fontId="70" fillId="0" borderId="0" xfId="0" applyNumberFormat="1" applyFont="1"/>
    <xf numFmtId="167" fontId="70" fillId="0" borderId="0" xfId="0" applyNumberFormat="1" applyFont="1"/>
    <xf numFmtId="167" fontId="84" fillId="0" borderId="1" xfId="0" applyNumberFormat="1" applyFont="1" applyBorder="1"/>
    <xf numFmtId="0" fontId="84" fillId="0" borderId="1" xfId="0" applyFont="1" applyBorder="1" applyAlignment="1">
      <alignment horizontal="center"/>
    </xf>
    <xf numFmtId="0" fontId="70" fillId="0" borderId="0" xfId="0" applyNumberFormat="1" applyFont="1"/>
    <xf numFmtId="167" fontId="84" fillId="0" borderId="0" xfId="0" applyNumberFormat="1" applyFont="1"/>
    <xf numFmtId="167" fontId="45" fillId="0" borderId="5" xfId="0" applyNumberFormat="1" applyFont="1" applyBorder="1"/>
    <xf numFmtId="167" fontId="95" fillId="0" borderId="1" xfId="0" applyNumberFormat="1" applyFont="1" applyBorder="1"/>
    <xf numFmtId="167" fontId="45" fillId="0" borderId="0" xfId="0" applyNumberFormat="1" applyFont="1" applyBorder="1"/>
    <xf numFmtId="167" fontId="45" fillId="0" borderId="17" xfId="0" applyNumberFormat="1" applyFont="1" applyBorder="1"/>
    <xf numFmtId="164" fontId="45" fillId="0" borderId="1" xfId="0" applyNumberFormat="1" applyFont="1" applyBorder="1"/>
    <xf numFmtId="167" fontId="45" fillId="0" borderId="16" xfId="0" applyNumberFormat="1" applyFont="1" applyBorder="1"/>
    <xf numFmtId="164" fontId="45" fillId="0" borderId="1" xfId="0" applyNumberFormat="1" applyFont="1" applyBorder="1" applyAlignment="1">
      <alignment horizontal="center"/>
    </xf>
    <xf numFmtId="0" fontId="45" fillId="0" borderId="0" xfId="0" applyFont="1" applyAlignment="1"/>
    <xf numFmtId="166" fontId="45" fillId="0" borderId="0" xfId="0" applyNumberFormat="1" applyFont="1"/>
    <xf numFmtId="0" fontId="45" fillId="0" borderId="0" xfId="0" applyNumberFormat="1" applyFont="1"/>
    <xf numFmtId="164" fontId="45" fillId="0" borderId="0" xfId="0" applyNumberFormat="1" applyFont="1"/>
    <xf numFmtId="0" fontId="68" fillId="0" borderId="1" xfId="0" applyFont="1" applyBorder="1" applyAlignment="1">
      <alignment wrapText="1"/>
    </xf>
    <xf numFmtId="0" fontId="45" fillId="0" borderId="0" xfId="0" applyFont="1" applyBorder="1" applyAlignment="1">
      <alignment wrapText="1"/>
    </xf>
    <xf numFmtId="0" fontId="45" fillId="0" borderId="7" xfId="0" applyFont="1" applyBorder="1" applyAlignment="1">
      <alignment wrapText="1"/>
    </xf>
    <xf numFmtId="0" fontId="45" fillId="0" borderId="7" xfId="0" applyFont="1" applyBorder="1"/>
    <xf numFmtId="167" fontId="45" fillId="0" borderId="7" xfId="0" applyNumberFormat="1" applyFont="1" applyBorder="1"/>
    <xf numFmtId="0" fontId="0" fillId="0" borderId="1" xfId="0" applyFont="1" applyBorder="1"/>
    <xf numFmtId="0" fontId="0" fillId="0" borderId="7" xfId="0" applyFont="1" applyBorder="1"/>
    <xf numFmtId="0" fontId="45" fillId="0" borderId="1" xfId="0" applyFont="1" applyFill="1" applyBorder="1"/>
    <xf numFmtId="166" fontId="119" fillId="2" borderId="3" xfId="0" applyNumberFormat="1" applyFont="1" applyFill="1" applyBorder="1"/>
    <xf numFmtId="0" fontId="45" fillId="0" borderId="0" xfId="0" applyFont="1" applyBorder="1" applyAlignment="1">
      <alignment horizontal="center"/>
    </xf>
    <xf numFmtId="0" fontId="45" fillId="0" borderId="0" xfId="0" applyFont="1" applyAlignment="1">
      <alignment horizontal="right" vertical="center"/>
    </xf>
    <xf numFmtId="0" fontId="68" fillId="4" borderId="27" xfId="1" applyFont="1" applyBorder="1" applyAlignment="1">
      <alignment vertical="center"/>
    </xf>
    <xf numFmtId="0" fontId="68" fillId="0" borderId="2" xfId="0" applyFont="1" applyBorder="1" applyAlignment="1">
      <alignment horizontal="center"/>
    </xf>
    <xf numFmtId="0" fontId="45" fillId="9" borderId="1" xfId="0" applyFont="1" applyFill="1" applyBorder="1" applyAlignment="1">
      <alignment horizontal="center" vertical="center"/>
    </xf>
    <xf numFmtId="0" fontId="66" fillId="0" borderId="0" xfId="0" applyFont="1" applyFill="1" applyAlignment="1" applyProtection="1">
      <alignment horizontal="left" vertical="top"/>
      <protection locked="0"/>
    </xf>
    <xf numFmtId="0" fontId="44" fillId="0" borderId="0" xfId="0" applyFont="1" applyFill="1" applyAlignment="1">
      <alignment horizontal="center" wrapText="1"/>
    </xf>
    <xf numFmtId="0" fontId="45" fillId="0" borderId="0" xfId="0" applyFont="1" applyFill="1" applyAlignment="1">
      <alignment horizontal="center" vertical="center" wrapText="1"/>
    </xf>
    <xf numFmtId="0" fontId="0" fillId="0" borderId="0" xfId="0" applyFill="1" applyAlignment="1" applyProtection="1">
      <alignment horizontal="center"/>
    </xf>
    <xf numFmtId="0" fontId="0" fillId="0" borderId="0" xfId="0" applyFill="1" applyProtection="1">
      <protection locked="0"/>
    </xf>
    <xf numFmtId="0" fontId="0" fillId="0" borderId="0" xfId="0" applyFill="1" applyAlignment="1">
      <alignment horizontal="center"/>
    </xf>
    <xf numFmtId="0" fontId="86" fillId="0" borderId="0" xfId="0" applyFont="1" applyFill="1" applyAlignment="1">
      <alignment horizontal="center" vertical="center" wrapText="1"/>
    </xf>
    <xf numFmtId="0" fontId="0" fillId="0" borderId="0" xfId="0" applyFont="1" applyFill="1" applyAlignment="1">
      <alignment horizontal="center" vertical="center" wrapText="1"/>
    </xf>
    <xf numFmtId="0" fontId="0" fillId="0" borderId="0" xfId="0" applyFill="1" applyProtection="1"/>
    <xf numFmtId="0" fontId="45" fillId="0" borderId="26" xfId="0" applyFont="1" applyFill="1" applyBorder="1" applyAlignment="1">
      <alignment horizontal="right"/>
    </xf>
    <xf numFmtId="0" fontId="45" fillId="0" borderId="2" xfId="0" applyFont="1" applyFill="1" applyBorder="1" applyAlignment="1">
      <alignment horizontal="center"/>
    </xf>
    <xf numFmtId="2" fontId="45" fillId="0" borderId="0" xfId="0" applyNumberFormat="1" applyFont="1" applyFill="1" applyBorder="1" applyAlignment="1">
      <alignment horizontal="center"/>
    </xf>
    <xf numFmtId="0" fontId="58" fillId="3" borderId="45" xfId="4" applyAlignment="1" applyProtection="1">
      <alignment vertical="center"/>
    </xf>
    <xf numFmtId="0" fontId="68" fillId="0" borderId="1" xfId="0" applyFont="1" applyFill="1" applyBorder="1" applyAlignment="1"/>
    <xf numFmtId="0" fontId="68" fillId="0" borderId="17" xfId="0" applyFont="1" applyFill="1" applyBorder="1" applyAlignment="1">
      <alignment horizontal="center" wrapText="1"/>
    </xf>
    <xf numFmtId="0" fontId="68" fillId="0" borderId="24" xfId="0" applyFont="1" applyFill="1" applyBorder="1" applyAlignment="1">
      <alignment horizontal="center" wrapText="1"/>
    </xf>
    <xf numFmtId="0" fontId="68" fillId="0" borderId="56" xfId="0" applyFont="1" applyFill="1" applyBorder="1" applyAlignment="1">
      <alignment horizontal="center" wrapText="1"/>
    </xf>
    <xf numFmtId="0" fontId="68" fillId="0" borderId="34" xfId="0" applyFont="1" applyFill="1" applyBorder="1" applyAlignment="1">
      <alignment horizontal="center" wrapText="1"/>
    </xf>
    <xf numFmtId="0" fontId="68" fillId="0" borderId="1" xfId="0" applyFont="1" applyFill="1" applyBorder="1" applyAlignment="1">
      <alignment horizontal="center" vertical="center" wrapText="1"/>
    </xf>
    <xf numFmtId="0" fontId="68" fillId="0" borderId="5" xfId="0" applyFont="1" applyFill="1" applyBorder="1" applyAlignment="1">
      <alignment horizontal="center" wrapText="1"/>
    </xf>
    <xf numFmtId="0" fontId="68" fillId="0" borderId="1" xfId="0" applyFont="1" applyFill="1" applyBorder="1" applyAlignment="1">
      <alignment horizontal="center" wrapText="1"/>
    </xf>
    <xf numFmtId="0" fontId="68" fillId="0" borderId="25" xfId="0" applyFont="1" applyFill="1" applyBorder="1" applyAlignment="1">
      <alignment horizontal="center" wrapText="1"/>
    </xf>
    <xf numFmtId="0" fontId="115" fillId="0" borderId="2" xfId="0" applyFont="1" applyFill="1" applyBorder="1"/>
    <xf numFmtId="0" fontId="115" fillId="0" borderId="0" xfId="0" applyFont="1" applyFill="1" applyBorder="1"/>
    <xf numFmtId="0" fontId="68" fillId="0" borderId="17" xfId="0" applyFont="1" applyFill="1" applyBorder="1"/>
    <xf numFmtId="0" fontId="68" fillId="0" borderId="24" xfId="0" applyFont="1" applyFill="1" applyBorder="1"/>
    <xf numFmtId="0" fontId="68" fillId="0" borderId="1" xfId="0" applyFont="1" applyFill="1" applyBorder="1"/>
    <xf numFmtId="0" fontId="68" fillId="0" borderId="7" xfId="0" applyFont="1" applyFill="1" applyBorder="1"/>
    <xf numFmtId="0" fontId="45" fillId="0" borderId="25" xfId="0" applyFont="1" applyFill="1" applyBorder="1"/>
    <xf numFmtId="0" fontId="45" fillId="0" borderId="0" xfId="0" applyFont="1" applyFill="1" applyBorder="1"/>
    <xf numFmtId="0" fontId="68" fillId="0" borderId="0" xfId="0" applyFont="1" applyFill="1" applyBorder="1"/>
    <xf numFmtId="169" fontId="45" fillId="0" borderId="24" xfId="0" applyNumberFormat="1" applyFont="1" applyFill="1" applyBorder="1"/>
    <xf numFmtId="169" fontId="45" fillId="0" borderId="0" xfId="0" applyNumberFormat="1" applyFont="1" applyFill="1" applyBorder="1"/>
    <xf numFmtId="0" fontId="45" fillId="0" borderId="1" xfId="0" applyFont="1" applyFill="1" applyBorder="1" applyAlignment="1">
      <alignment horizontal="center" vertical="center"/>
    </xf>
    <xf numFmtId="0" fontId="45" fillId="0" borderId="1" xfId="0" applyFont="1" applyFill="1" applyBorder="1" applyAlignment="1">
      <alignment horizontal="center" vertical="center" wrapText="1"/>
    </xf>
    <xf numFmtId="0" fontId="45" fillId="0" borderId="1" xfId="0" applyFont="1" applyFill="1" applyBorder="1" applyAlignment="1">
      <alignment horizontal="center" wrapText="1"/>
    </xf>
    <xf numFmtId="0" fontId="45" fillId="0" borderId="1" xfId="0" applyFont="1" applyFill="1" applyBorder="1" applyAlignment="1">
      <alignment horizontal="center"/>
    </xf>
    <xf numFmtId="0" fontId="0" fillId="0" borderId="0" xfId="0" applyNumberFormat="1" applyFill="1" applyProtection="1">
      <protection locked="0"/>
    </xf>
    <xf numFmtId="0" fontId="71" fillId="9" borderId="1" xfId="0" applyFont="1" applyFill="1" applyBorder="1" applyAlignment="1">
      <alignment vertical="center" wrapText="1"/>
    </xf>
    <xf numFmtId="0" fontId="113" fillId="0" borderId="0" xfId="0" applyFont="1" applyFill="1" applyBorder="1" applyAlignment="1">
      <alignment horizontal="center"/>
    </xf>
    <xf numFmtId="0" fontId="112" fillId="0" borderId="38" xfId="0" applyFont="1" applyFill="1" applyBorder="1" applyAlignment="1"/>
    <xf numFmtId="0" fontId="112" fillId="0" borderId="39" xfId="0" applyFont="1" applyFill="1" applyBorder="1" applyAlignment="1"/>
    <xf numFmtId="0" fontId="112" fillId="0" borderId="40" xfId="0" applyFont="1" applyFill="1" applyBorder="1" applyAlignment="1"/>
    <xf numFmtId="0" fontId="112" fillId="0" borderId="38" xfId="0" applyFont="1" applyFill="1" applyBorder="1" applyAlignment="1">
      <alignment vertical="center"/>
    </xf>
    <xf numFmtId="0" fontId="112" fillId="0" borderId="39" xfId="0" applyFont="1" applyFill="1" applyBorder="1" applyAlignment="1">
      <alignment vertical="center"/>
    </xf>
    <xf numFmtId="0" fontId="112" fillId="0" borderId="40" xfId="0" applyFont="1" applyFill="1" applyBorder="1" applyAlignment="1">
      <alignment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45" fillId="12" borderId="0" xfId="0" applyFont="1" applyFill="1" applyAlignment="1">
      <alignment horizontal="center" vertical="center" wrapText="1"/>
    </xf>
    <xf numFmtId="0" fontId="45" fillId="0" borderId="0" xfId="0" applyNumberFormat="1" applyFont="1" applyFill="1" applyAlignment="1" applyProtection="1">
      <alignment horizontal="right"/>
      <protection locked="0"/>
    </xf>
    <xf numFmtId="0" fontId="0" fillId="0" borderId="0" xfId="0" applyNumberFormat="1" applyFill="1" applyAlignment="1" applyProtection="1">
      <alignment horizontal="right"/>
      <protection locked="0"/>
    </xf>
    <xf numFmtId="0" fontId="45" fillId="9" borderId="1" xfId="0" applyFont="1" applyFill="1" applyBorder="1"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45" fillId="0" borderId="1" xfId="0" applyFont="1" applyBorder="1" applyAlignment="1">
      <alignment horizontal="center" vertical="center"/>
    </xf>
    <xf numFmtId="0" fontId="9" fillId="0" borderId="0" xfId="0" applyFont="1"/>
    <xf numFmtId="0" fontId="0" fillId="0" borderId="0" xfId="0" applyAlignment="1">
      <alignment horizontal="center"/>
    </xf>
    <xf numFmtId="0" fontId="45" fillId="9" borderId="1" xfId="0" applyFont="1" applyFill="1" applyBorder="1"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45" fillId="0" borderId="1" xfId="0" applyFont="1" applyBorder="1" applyAlignment="1">
      <alignment horizontal="center" vertical="center"/>
    </xf>
    <xf numFmtId="0" fontId="45" fillId="9" borderId="1" xfId="0" applyFont="1" applyFill="1" applyBorder="1" applyAlignment="1">
      <alignment horizontal="center" vertical="center"/>
    </xf>
    <xf numFmtId="0" fontId="71" fillId="0" borderId="1" xfId="0" applyFont="1" applyBorder="1" applyAlignment="1">
      <alignment vertical="center" wrapText="1"/>
    </xf>
    <xf numFmtId="0" fontId="45" fillId="0" borderId="1" xfId="0" applyFont="1" applyBorder="1"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68" fillId="0" borderId="0" xfId="0" applyFont="1" applyProtection="1">
      <protection locked="0"/>
    </xf>
    <xf numFmtId="0" fontId="45" fillId="0" borderId="0" xfId="0" applyFont="1" applyAlignment="1" applyProtection="1">
      <alignment horizontal="center"/>
      <protection locked="0"/>
    </xf>
    <xf numFmtId="0" fontId="45" fillId="9" borderId="1" xfId="0" applyFont="1" applyFill="1" applyBorder="1" applyAlignment="1">
      <alignment horizontal="center" vertical="center"/>
    </xf>
    <xf numFmtId="0" fontId="0" fillId="0" borderId="0" xfId="0" applyNumberFormat="1" applyBorder="1" applyAlignment="1" applyProtection="1">
      <alignment horizontal="center"/>
    </xf>
    <xf numFmtId="0" fontId="45" fillId="0" borderId="0" xfId="0" applyNumberFormat="1" applyFont="1" applyBorder="1" applyAlignment="1" applyProtection="1">
      <alignment horizontal="center"/>
    </xf>
    <xf numFmtId="14" fontId="0" fillId="0" borderId="1" xfId="0" applyNumberFormat="1" applyBorder="1" applyAlignment="1">
      <alignment horizontal="center" vertical="center"/>
    </xf>
    <xf numFmtId="0" fontId="45" fillId="0" borderId="1" xfId="0" applyFont="1" applyBorder="1" applyAlignment="1">
      <alignment horizontal="center" vertical="center"/>
    </xf>
    <xf numFmtId="0" fontId="45" fillId="9" borderId="1" xfId="0" applyFont="1" applyFill="1" applyBorder="1" applyAlignment="1">
      <alignment horizontal="center" vertical="center"/>
    </xf>
    <xf numFmtId="0" fontId="0" fillId="0" borderId="0" xfId="0" applyAlignment="1">
      <alignment horizontal="center"/>
    </xf>
    <xf numFmtId="14" fontId="0" fillId="0" borderId="1" xfId="0" applyNumberFormat="1" applyBorder="1" applyAlignment="1">
      <alignment horizontal="center" vertical="center"/>
    </xf>
    <xf numFmtId="0" fontId="45" fillId="0" borderId="1" xfId="0" applyFont="1" applyBorder="1" applyAlignment="1">
      <alignment horizontal="center" vertical="center"/>
    </xf>
    <xf numFmtId="0" fontId="45" fillId="9" borderId="1" xfId="0" applyFont="1" applyFill="1" applyBorder="1" applyAlignment="1">
      <alignment horizontal="center" vertical="center"/>
    </xf>
    <xf numFmtId="49" fontId="0" fillId="13" borderId="1" xfId="0" quotePrefix="1" applyNumberFormat="1" applyFill="1" applyBorder="1"/>
    <xf numFmtId="49" fontId="0" fillId="0" borderId="0" xfId="0" quotePrefix="1" applyNumberFormat="1"/>
    <xf numFmtId="0" fontId="0" fillId="0" borderId="0" xfId="0" quotePrefix="1"/>
    <xf numFmtId="0" fontId="0" fillId="0" borderId="1" xfId="0" quotePrefix="1" applyBorder="1"/>
    <xf numFmtId="0" fontId="45" fillId="0" borderId="0" xfId="0" quotePrefix="1" applyFont="1"/>
    <xf numFmtId="0" fontId="0" fillId="0" borderId="76" xfId="0" applyBorder="1" applyAlignment="1">
      <alignment vertical="center"/>
    </xf>
    <xf numFmtId="0" fontId="57" fillId="5" borderId="43" xfId="2" applyProtection="1">
      <protection locked="0"/>
    </xf>
    <xf numFmtId="0" fontId="134" fillId="15" borderId="0" xfId="0" applyFont="1" applyFill="1"/>
    <xf numFmtId="0" fontId="0" fillId="16" borderId="0" xfId="0" applyFill="1"/>
    <xf numFmtId="0" fontId="45" fillId="16" borderId="0" xfId="0" applyFont="1" applyFill="1"/>
    <xf numFmtId="0" fontId="0" fillId="0" borderId="0" xfId="0" applyAlignment="1">
      <alignment horizontal="center"/>
    </xf>
    <xf numFmtId="0" fontId="72" fillId="0" borderId="1" xfId="0" applyFont="1" applyBorder="1" applyAlignment="1" applyProtection="1">
      <alignment horizontal="center"/>
      <protection locked="0"/>
    </xf>
    <xf numFmtId="0" fontId="44" fillId="0" borderId="0" xfId="0" applyFont="1"/>
    <xf numFmtId="2" fontId="0" fillId="0" borderId="0" xfId="0" applyNumberFormat="1" applyFill="1" applyProtection="1"/>
    <xf numFmtId="0" fontId="0" fillId="0" borderId="0" xfId="0" applyFont="1" applyFill="1" applyAlignment="1">
      <alignment wrapText="1"/>
    </xf>
    <xf numFmtId="0" fontId="0" fillId="12" borderId="0" xfId="0" applyFill="1" applyProtection="1"/>
    <xf numFmtId="0" fontId="0" fillId="0" borderId="0" xfId="0" applyNumberFormat="1" applyFill="1" applyProtection="1"/>
    <xf numFmtId="0" fontId="0" fillId="0" borderId="0" xfId="0" applyFont="1" applyProtection="1"/>
    <xf numFmtId="0" fontId="0" fillId="0" borderId="0" xfId="0" applyNumberFormat="1" applyProtection="1"/>
    <xf numFmtId="0" fontId="0" fillId="12" borderId="0" xfId="0" applyNumberFormat="1" applyFill="1" applyProtection="1"/>
    <xf numFmtId="0" fontId="8" fillId="0" borderId="0" xfId="0" applyFont="1"/>
    <xf numFmtId="0" fontId="7" fillId="0" borderId="0" xfId="0" applyFont="1"/>
    <xf numFmtId="0" fontId="45" fillId="0" borderId="0" xfId="0" applyNumberFormat="1" applyFont="1" applyFill="1" applyProtection="1"/>
    <xf numFmtId="168" fontId="0" fillId="0" borderId="0" xfId="7" applyNumberFormat="1" applyFont="1"/>
    <xf numFmtId="0" fontId="0" fillId="0" borderId="0" xfId="0" applyFont="1" applyFill="1" applyProtection="1"/>
    <xf numFmtId="14" fontId="0" fillId="0" borderId="1" xfId="0" applyNumberFormat="1" applyBorder="1" applyAlignment="1">
      <alignment horizontal="center" vertical="center"/>
    </xf>
    <xf numFmtId="0" fontId="6" fillId="0" borderId="0" xfId="0" applyFont="1"/>
    <xf numFmtId="0" fontId="0" fillId="14" borderId="77" xfId="3" applyFont="1" applyFill="1" applyBorder="1" applyAlignment="1" applyProtection="1">
      <alignment horizontal="center" vertical="center"/>
      <protection hidden="1"/>
    </xf>
    <xf numFmtId="0" fontId="0" fillId="0" borderId="0" xfId="0" applyNumberFormat="1" applyFill="1" applyAlignment="1" applyProtection="1">
      <alignment horizontal="center"/>
    </xf>
    <xf numFmtId="0" fontId="5" fillId="0" borderId="0" xfId="0" applyFont="1"/>
    <xf numFmtId="0" fontId="134" fillId="18" borderId="1" xfId="0" applyFont="1" applyFill="1" applyBorder="1" applyAlignment="1">
      <alignment horizontal="center" vertical="center"/>
    </xf>
    <xf numFmtId="0" fontId="0" fillId="0" borderId="0" xfId="0" applyAlignment="1">
      <alignment horizontal="center"/>
    </xf>
    <xf numFmtId="0" fontId="45" fillId="9" borderId="1" xfId="0" applyFont="1" applyFill="1" applyBorder="1" applyAlignment="1">
      <alignment horizontal="center" vertical="center"/>
    </xf>
    <xf numFmtId="0" fontId="45" fillId="0" borderId="1" xfId="0" applyFont="1" applyBorder="1" applyAlignment="1">
      <alignment horizontal="center" vertical="center"/>
    </xf>
    <xf numFmtId="14" fontId="0" fillId="0" borderId="1" xfId="0" applyNumberFormat="1" applyBorder="1" applyAlignment="1">
      <alignment horizontal="center" vertical="center"/>
    </xf>
    <xf numFmtId="0" fontId="139" fillId="0" borderId="0" xfId="8" applyFill="1" applyAlignment="1">
      <alignment horizontal="left" indent="3"/>
    </xf>
    <xf numFmtId="0" fontId="139" fillId="0" borderId="0" xfId="8" applyProtection="1"/>
    <xf numFmtId="0" fontId="68" fillId="0" borderId="85" xfId="0" applyFont="1" applyBorder="1" applyAlignment="1">
      <alignment horizontal="center"/>
    </xf>
    <xf numFmtId="0" fontId="52" fillId="0" borderId="83" xfId="0" applyFont="1" applyBorder="1" applyAlignment="1">
      <alignment horizontal="center"/>
    </xf>
    <xf numFmtId="0" fontId="45" fillId="0" borderId="86" xfId="0" applyFont="1" applyBorder="1"/>
    <xf numFmtId="0" fontId="45" fillId="0" borderId="87" xfId="0" applyFont="1" applyBorder="1"/>
    <xf numFmtId="0" fontId="95" fillId="0" borderId="87" xfId="0" applyFont="1" applyBorder="1" applyAlignment="1">
      <alignment horizontal="center"/>
    </xf>
    <xf numFmtId="0" fontId="45" fillId="0" borderId="88" xfId="0" applyFont="1" applyBorder="1"/>
    <xf numFmtId="0" fontId="95" fillId="0" borderId="88" xfId="0" applyFont="1" applyBorder="1" applyAlignment="1">
      <alignment horizontal="center"/>
    </xf>
    <xf numFmtId="0" fontId="0" fillId="0" borderId="1" xfId="0" applyFill="1" applyBorder="1"/>
    <xf numFmtId="2" fontId="0" fillId="0" borderId="1" xfId="0" applyNumberFormat="1" applyFill="1" applyBorder="1"/>
    <xf numFmtId="0" fontId="140" fillId="0" borderId="1" xfId="0" applyFont="1" applyBorder="1" applyAlignment="1">
      <alignment horizontal="center" vertical="center"/>
    </xf>
    <xf numFmtId="0" fontId="0" fillId="12" borderId="1" xfId="0" applyFill="1" applyBorder="1"/>
    <xf numFmtId="0" fontId="45" fillId="12" borderId="0" xfId="0" applyFont="1" applyFill="1"/>
    <xf numFmtId="0" fontId="0" fillId="0" borderId="0" xfId="0" applyAlignment="1">
      <alignment horizontal="center"/>
    </xf>
    <xf numFmtId="0" fontId="140" fillId="20" borderId="1" xfId="0" applyFont="1" applyFill="1" applyBorder="1" applyAlignment="1">
      <alignment horizontal="center" vertical="center"/>
    </xf>
    <xf numFmtId="0" fontId="0" fillId="12" borderId="0" xfId="0" applyFill="1"/>
    <xf numFmtId="0" fontId="140" fillId="0" borderId="1" xfId="0" applyFont="1" applyFill="1" applyBorder="1" applyAlignment="1">
      <alignment horizontal="center" vertical="center"/>
    </xf>
    <xf numFmtId="0" fontId="0" fillId="0" borderId="0" xfId="0" applyFont="1" applyProtection="1">
      <protection locked="0"/>
    </xf>
    <xf numFmtId="0" fontId="0" fillId="0" borderId="0" xfId="0" quotePrefix="1" applyProtection="1"/>
    <xf numFmtId="0" fontId="45" fillId="0" borderId="0" xfId="0" applyFont="1" applyFill="1" applyProtection="1">
      <protection locked="0"/>
    </xf>
    <xf numFmtId="0" fontId="84" fillId="0" borderId="0" xfId="0" applyFont="1" applyProtection="1">
      <protection hidden="1"/>
    </xf>
    <xf numFmtId="0" fontId="140" fillId="12" borderId="1" xfId="0" applyFont="1" applyFill="1" applyBorder="1" applyAlignment="1">
      <alignment horizontal="center" vertical="center"/>
    </xf>
    <xf numFmtId="0" fontId="45" fillId="0" borderId="0" xfId="9"/>
    <xf numFmtId="0" fontId="45" fillId="0" borderId="0" xfId="9" applyAlignment="1">
      <alignment vertical="center"/>
    </xf>
    <xf numFmtId="0" fontId="45" fillId="0" borderId="0" xfId="9" quotePrefix="1" applyAlignment="1">
      <alignment vertical="center"/>
    </xf>
    <xf numFmtId="0" fontId="107" fillId="0" borderId="0" xfId="9" applyFont="1"/>
    <xf numFmtId="0" fontId="44" fillId="0" borderId="0" xfId="9" applyFont="1" applyAlignment="1">
      <alignment horizontal="center" vertical="center"/>
    </xf>
    <xf numFmtId="0" fontId="47" fillId="12" borderId="0" xfId="0" applyFont="1" applyFill="1" applyAlignment="1">
      <alignment vertical="center"/>
    </xf>
    <xf numFmtId="0" fontId="0" fillId="12" borderId="0" xfId="0" applyFont="1" applyFill="1" applyAlignment="1">
      <alignment horizontal="center" vertical="center" wrapText="1"/>
    </xf>
    <xf numFmtId="0" fontId="0" fillId="12" borderId="0" xfId="0" applyFont="1" applyFill="1" applyAlignment="1">
      <alignment wrapText="1"/>
    </xf>
    <xf numFmtId="0" fontId="45" fillId="12" borderId="0" xfId="0" applyFont="1" applyFill="1" applyAlignment="1">
      <alignment wrapText="1"/>
    </xf>
    <xf numFmtId="0" fontId="96" fillId="0" borderId="0" xfId="0" applyFont="1" applyFill="1" applyAlignment="1">
      <alignment horizontal="center"/>
    </xf>
    <xf numFmtId="0" fontId="4" fillId="0" borderId="0" xfId="0" applyFont="1"/>
    <xf numFmtId="0" fontId="0" fillId="0" borderId="1" xfId="0" applyFont="1" applyFill="1" applyBorder="1" applyAlignment="1">
      <alignment horizontal="center"/>
    </xf>
    <xf numFmtId="0" fontId="70" fillId="0" borderId="11" xfId="0" applyFont="1" applyFill="1" applyBorder="1" applyProtection="1">
      <protection hidden="1"/>
    </xf>
    <xf numFmtId="0" fontId="45" fillId="0" borderId="0" xfId="0" applyNumberFormat="1" applyFont="1" applyFill="1" applyAlignment="1" applyProtection="1">
      <alignment wrapText="1"/>
    </xf>
    <xf numFmtId="0" fontId="0" fillId="20" borderId="0" xfId="0" applyFill="1"/>
    <xf numFmtId="0" fontId="141" fillId="12" borderId="0" xfId="0" applyFont="1" applyFill="1"/>
    <xf numFmtId="0" fontId="3" fillId="0" borderId="0" xfId="0" applyFont="1"/>
    <xf numFmtId="0" fontId="0" fillId="16" borderId="1" xfId="0" applyFill="1" applyBorder="1"/>
    <xf numFmtId="0" fontId="45" fillId="16" borderId="1" xfId="0" applyFont="1" applyFill="1" applyBorder="1" applyAlignment="1"/>
    <xf numFmtId="0" fontId="140" fillId="21" borderId="1" xfId="0" applyFont="1" applyFill="1" applyBorder="1" applyAlignment="1">
      <alignment horizontal="center" vertical="center"/>
    </xf>
    <xf numFmtId="0" fontId="107" fillId="22" borderId="1" xfId="0" applyFont="1" applyFill="1" applyBorder="1" applyAlignment="1">
      <alignment horizontal="center" vertical="center"/>
    </xf>
    <xf numFmtId="0" fontId="0" fillId="17" borderId="0" xfId="0" applyFill="1"/>
    <xf numFmtId="0" fontId="105" fillId="17" borderId="0" xfId="0" applyFont="1" applyFill="1"/>
    <xf numFmtId="0" fontId="45" fillId="17" borderId="0" xfId="0" applyFont="1" applyFill="1"/>
    <xf numFmtId="0" fontId="106" fillId="17" borderId="0" xfId="0" applyFont="1" applyFill="1"/>
    <xf numFmtId="0" fontId="84" fillId="17" borderId="0" xfId="0" applyFont="1" applyFill="1"/>
    <xf numFmtId="0" fontId="0" fillId="17" borderId="0" xfId="0" applyFill="1" applyAlignment="1">
      <alignment horizontal="right"/>
    </xf>
    <xf numFmtId="0" fontId="45" fillId="12" borderId="1" xfId="0" applyFont="1" applyFill="1" applyBorder="1"/>
    <xf numFmtId="0" fontId="45" fillId="0" borderId="0" xfId="9" quotePrefix="1" applyNumberFormat="1" applyAlignment="1">
      <alignment vertical="center"/>
    </xf>
    <xf numFmtId="0" fontId="2" fillId="0" borderId="0" xfId="0" applyFont="1"/>
    <xf numFmtId="0" fontId="45" fillId="0" borderId="0" xfId="9" applyNumberFormat="1" applyAlignment="1">
      <alignment vertical="center"/>
    </xf>
    <xf numFmtId="0" fontId="44" fillId="0" borderId="0" xfId="0" applyFont="1" applyAlignment="1">
      <alignment horizontal="right"/>
    </xf>
    <xf numFmtId="0" fontId="113" fillId="19" borderId="0" xfId="0" quotePrefix="1" applyFont="1" applyFill="1" applyBorder="1" applyAlignment="1">
      <alignment horizontal="center" vertical="center"/>
    </xf>
    <xf numFmtId="0" fontId="11" fillId="6" borderId="78" xfId="3" applyFont="1" applyBorder="1" applyAlignment="1" applyProtection="1">
      <alignment horizontal="center"/>
      <protection locked="0"/>
    </xf>
    <xf numFmtId="0" fontId="11" fillId="6" borderId="79" xfId="3" applyFont="1" applyBorder="1" applyAlignment="1" applyProtection="1">
      <alignment horizontal="center"/>
      <protection locked="0"/>
    </xf>
    <xf numFmtId="0" fontId="60" fillId="0" borderId="3" xfId="0" applyFont="1" applyBorder="1" applyAlignment="1">
      <alignment horizontal="center"/>
    </xf>
    <xf numFmtId="167" fontId="60" fillId="0" borderId="3" xfId="0" applyNumberFormat="1" applyFont="1" applyBorder="1" applyAlignment="1">
      <alignment horizontal="center"/>
    </xf>
    <xf numFmtId="0" fontId="60" fillId="0" borderId="3" xfId="0" applyNumberFormat="1" applyFont="1" applyBorder="1" applyAlignment="1">
      <alignment horizontal="center" vertical="center"/>
    </xf>
    <xf numFmtId="0" fontId="60" fillId="0" borderId="65" xfId="0" applyNumberFormat="1" applyFont="1" applyBorder="1" applyAlignment="1">
      <alignment horizontal="center" vertical="center"/>
    </xf>
    <xf numFmtId="0" fontId="60" fillId="0" borderId="15" xfId="0" applyFont="1" applyBorder="1" applyAlignment="1">
      <alignment horizontal="center"/>
    </xf>
    <xf numFmtId="0" fontId="60" fillId="0" borderId="2" xfId="0" applyFont="1" applyBorder="1" applyAlignment="1">
      <alignment horizontal="center"/>
    </xf>
    <xf numFmtId="167" fontId="60" fillId="0" borderId="2" xfId="0" applyNumberFormat="1" applyFont="1" applyBorder="1" applyAlignment="1">
      <alignment horizontal="center"/>
    </xf>
    <xf numFmtId="0" fontId="60" fillId="0" borderId="2" xfId="0" applyNumberFormat="1" applyFont="1" applyBorder="1" applyAlignment="1">
      <alignment horizontal="center" vertical="center"/>
    </xf>
    <xf numFmtId="0" fontId="60" fillId="0" borderId="56" xfId="0" applyNumberFormat="1" applyFont="1" applyBorder="1" applyAlignment="1">
      <alignment horizontal="center" vertical="center"/>
    </xf>
    <xf numFmtId="0" fontId="60" fillId="17" borderId="63" xfId="0" applyFont="1" applyFill="1" applyBorder="1" applyAlignment="1">
      <alignment horizontal="center" vertical="center" wrapText="1"/>
    </xf>
    <xf numFmtId="0" fontId="60" fillId="17" borderId="3" xfId="0" applyFont="1" applyFill="1" applyBorder="1" applyAlignment="1">
      <alignment horizontal="center" vertical="center" wrapText="1"/>
    </xf>
    <xf numFmtId="0" fontId="60" fillId="17" borderId="15" xfId="0" applyFont="1" applyFill="1" applyBorder="1" applyAlignment="1">
      <alignment horizontal="center" vertical="center" wrapText="1"/>
    </xf>
    <xf numFmtId="0" fontId="60" fillId="17" borderId="2" xfId="0" applyFont="1" applyFill="1" applyBorder="1" applyAlignment="1">
      <alignment horizontal="center" vertical="center" wrapText="1"/>
    </xf>
    <xf numFmtId="0" fontId="60" fillId="0" borderId="63" xfId="0" applyFont="1" applyBorder="1" applyAlignment="1">
      <alignment horizontal="center"/>
    </xf>
    <xf numFmtId="0" fontId="72" fillId="7" borderId="63" xfId="0" applyFont="1" applyFill="1" applyBorder="1" applyAlignment="1">
      <alignment horizontal="center" vertical="center" wrapText="1"/>
    </xf>
    <xf numFmtId="0" fontId="72" fillId="7" borderId="3" xfId="0" applyFont="1" applyFill="1" applyBorder="1" applyAlignment="1">
      <alignment horizontal="center" vertical="center" wrapText="1"/>
    </xf>
    <xf numFmtId="0" fontId="137" fillId="7" borderId="63" xfId="0" applyFont="1" applyFill="1" applyBorder="1" applyAlignment="1">
      <alignment horizontal="center" vertical="center" wrapText="1"/>
    </xf>
    <xf numFmtId="0" fontId="137" fillId="7" borderId="3" xfId="0" applyFont="1" applyFill="1" applyBorder="1" applyAlignment="1">
      <alignment horizontal="center" vertical="center" wrapText="1"/>
    </xf>
    <xf numFmtId="0" fontId="137" fillId="7" borderId="65" xfId="0" applyFont="1" applyFill="1" applyBorder="1" applyAlignment="1">
      <alignment horizontal="center" vertical="center" wrapText="1"/>
    </xf>
    <xf numFmtId="0" fontId="72" fillId="7" borderId="65" xfId="0" applyFont="1" applyFill="1" applyBorder="1" applyAlignment="1">
      <alignment horizontal="center" vertical="center" wrapText="1"/>
    </xf>
    <xf numFmtId="0" fontId="72" fillId="7" borderId="32" xfId="0" applyFont="1" applyFill="1" applyBorder="1" applyAlignment="1">
      <alignment horizontal="center" vertical="center" wrapText="1"/>
    </xf>
    <xf numFmtId="0" fontId="72" fillId="7" borderId="1" xfId="0" applyFont="1" applyFill="1" applyBorder="1" applyAlignment="1">
      <alignment horizontal="center" vertical="center"/>
    </xf>
    <xf numFmtId="166" fontId="60" fillId="0" borderId="1" xfId="0" applyNumberFormat="1" applyFont="1" applyBorder="1" applyAlignment="1">
      <alignment horizontal="center"/>
    </xf>
    <xf numFmtId="0" fontId="60" fillId="0" borderId="1" xfId="0" applyFont="1" applyBorder="1" applyAlignment="1">
      <alignment horizontal="center"/>
    </xf>
    <xf numFmtId="167" fontId="60" fillId="0" borderId="1" xfId="0" applyNumberFormat="1" applyFont="1" applyBorder="1" applyAlignment="1">
      <alignment horizontal="center"/>
    </xf>
    <xf numFmtId="167" fontId="71" fillId="0" borderId="1" xfId="0" applyNumberFormat="1" applyFont="1" applyBorder="1" applyAlignment="1">
      <alignment horizontal="center"/>
    </xf>
    <xf numFmtId="0" fontId="60" fillId="7" borderId="5" xfId="0" applyFont="1" applyFill="1" applyBorder="1" applyAlignment="1">
      <alignment horizontal="center" vertical="center" wrapText="1"/>
    </xf>
    <xf numFmtId="0" fontId="60" fillId="7" borderId="24" xfId="0" applyFont="1" applyFill="1" applyBorder="1" applyAlignment="1">
      <alignment horizontal="center" vertical="center" wrapText="1"/>
    </xf>
    <xf numFmtId="0" fontId="60" fillId="7" borderId="7" xfId="0" applyFont="1" applyFill="1" applyBorder="1" applyAlignment="1">
      <alignment horizontal="center" vertical="center" wrapText="1"/>
    </xf>
    <xf numFmtId="0" fontId="78" fillId="7" borderId="5" xfId="0" applyFont="1" applyFill="1" applyBorder="1" applyAlignment="1">
      <alignment horizontal="center" vertical="center" wrapText="1"/>
    </xf>
    <xf numFmtId="0" fontId="78" fillId="7" borderId="24" xfId="0" applyFont="1" applyFill="1" applyBorder="1" applyAlignment="1">
      <alignment horizontal="center" vertical="center" wrapText="1"/>
    </xf>
    <xf numFmtId="0" fontId="72" fillId="10" borderId="5" xfId="0" applyFont="1" applyFill="1" applyBorder="1" applyAlignment="1" applyProtection="1">
      <alignment horizontal="center" wrapText="1"/>
      <protection locked="0"/>
    </xf>
    <xf numFmtId="0" fontId="72" fillId="10" borderId="7" xfId="0" applyFont="1" applyFill="1" applyBorder="1" applyAlignment="1" applyProtection="1">
      <alignment horizontal="center" wrapText="1"/>
      <protection locked="0"/>
    </xf>
    <xf numFmtId="0" fontId="72" fillId="10" borderId="24" xfId="0" applyFont="1" applyFill="1" applyBorder="1" applyAlignment="1" applyProtection="1">
      <alignment horizontal="center" wrapText="1"/>
      <protection locked="0"/>
    </xf>
    <xf numFmtId="0" fontId="60" fillId="10" borderId="5" xfId="0" applyFont="1" applyFill="1" applyBorder="1" applyAlignment="1">
      <alignment horizontal="center" wrapText="1"/>
    </xf>
    <xf numFmtId="0" fontId="60" fillId="10" borderId="7" xfId="0" applyFont="1" applyFill="1" applyBorder="1" applyAlignment="1">
      <alignment horizontal="center" wrapText="1"/>
    </xf>
    <xf numFmtId="0" fontId="60" fillId="10" borderId="24" xfId="0" applyFont="1" applyFill="1" applyBorder="1" applyAlignment="1">
      <alignment horizontal="center" wrapText="1"/>
    </xf>
    <xf numFmtId="0" fontId="60" fillId="0" borderId="5" xfId="0" applyFont="1" applyBorder="1" applyAlignment="1" applyProtection="1">
      <alignment horizontal="center"/>
      <protection locked="0"/>
    </xf>
    <xf numFmtId="0" fontId="60" fillId="0" borderId="7" xfId="0" applyFont="1" applyBorder="1" applyAlignment="1" applyProtection="1">
      <alignment horizontal="center"/>
      <protection locked="0"/>
    </xf>
    <xf numFmtId="0" fontId="60" fillId="0" borderId="24" xfId="0" applyFont="1" applyBorder="1" applyAlignment="1" applyProtection="1">
      <alignment horizontal="center"/>
      <protection locked="0"/>
    </xf>
    <xf numFmtId="0" fontId="72" fillId="0" borderId="5" xfId="0" applyFont="1" applyBorder="1" applyAlignment="1" applyProtection="1">
      <alignment horizontal="center"/>
      <protection locked="0"/>
    </xf>
    <xf numFmtId="0" fontId="72" fillId="0" borderId="7" xfId="0" applyFont="1" applyBorder="1" applyAlignment="1" applyProtection="1">
      <alignment horizontal="center"/>
      <protection locked="0"/>
    </xf>
    <xf numFmtId="0" fontId="72" fillId="0" borderId="24" xfId="0" applyFont="1" applyBorder="1" applyAlignment="1" applyProtection="1">
      <alignment horizontal="center"/>
      <protection locked="0"/>
    </xf>
    <xf numFmtId="0" fontId="60" fillId="0" borderId="5" xfId="0" applyFont="1" applyBorder="1" applyAlignment="1">
      <alignment horizontal="center"/>
    </xf>
    <xf numFmtId="0" fontId="60" fillId="0" borderId="1" xfId="0" applyFont="1" applyFill="1" applyBorder="1" applyAlignment="1" applyProtection="1">
      <alignment horizontal="center"/>
      <protection locked="0"/>
    </xf>
    <xf numFmtId="0" fontId="72" fillId="0" borderId="1" xfId="0" applyFont="1" applyBorder="1" applyAlignment="1" applyProtection="1">
      <alignment horizontal="center"/>
      <protection locked="0"/>
    </xf>
    <xf numFmtId="0" fontId="60" fillId="0" borderId="1" xfId="0" applyFont="1" applyBorder="1" applyAlignment="1" applyProtection="1">
      <alignment horizontal="center"/>
      <protection locked="0"/>
    </xf>
    <xf numFmtId="0" fontId="77" fillId="7" borderId="5" xfId="0" applyFont="1" applyFill="1" applyBorder="1" applyAlignment="1" applyProtection="1">
      <alignment horizontal="center" vertical="center" wrapText="1"/>
      <protection locked="0"/>
    </xf>
    <xf numFmtId="0" fontId="77" fillId="7" borderId="7" xfId="0" applyFont="1" applyFill="1" applyBorder="1" applyAlignment="1" applyProtection="1">
      <alignment horizontal="center" vertical="center" wrapText="1"/>
      <protection locked="0"/>
    </xf>
    <xf numFmtId="0" fontId="77" fillId="7" borderId="24" xfId="0" applyFont="1" applyFill="1" applyBorder="1" applyAlignment="1" applyProtection="1">
      <alignment horizontal="center" vertical="center" wrapText="1"/>
      <protection locked="0"/>
    </xf>
    <xf numFmtId="0" fontId="60" fillId="7" borderId="1" xfId="0" applyFont="1" applyFill="1" applyBorder="1" applyAlignment="1">
      <alignment horizontal="center" wrapText="1"/>
    </xf>
    <xf numFmtId="0" fontId="69" fillId="0" borderId="1" xfId="0" applyFont="1" applyFill="1" applyBorder="1" applyAlignment="1">
      <alignment horizontal="center"/>
    </xf>
    <xf numFmtId="0" fontId="60" fillId="0" borderId="1" xfId="0" applyNumberFormat="1" applyFont="1" applyBorder="1" applyAlignment="1">
      <alignment horizontal="center"/>
    </xf>
    <xf numFmtId="0" fontId="77" fillId="7" borderId="5" xfId="0" applyFont="1" applyFill="1" applyBorder="1" applyAlignment="1">
      <alignment horizontal="center" vertical="center" wrapText="1"/>
    </xf>
    <xf numFmtId="0" fontId="77" fillId="7" borderId="7" xfId="0" applyFont="1" applyFill="1" applyBorder="1" applyAlignment="1">
      <alignment horizontal="center" vertical="center" wrapText="1"/>
    </xf>
    <xf numFmtId="0" fontId="77" fillId="7" borderId="24" xfId="0" applyFont="1" applyFill="1" applyBorder="1" applyAlignment="1">
      <alignment horizontal="center" vertical="center" wrapText="1"/>
    </xf>
    <xf numFmtId="0" fontId="60" fillId="7" borderId="1" xfId="0" applyFont="1" applyFill="1" applyBorder="1" applyAlignment="1">
      <alignment horizontal="center" vertical="center" wrapText="1"/>
    </xf>
    <xf numFmtId="2" fontId="69" fillId="0" borderId="5" xfId="0" applyNumberFormat="1" applyFont="1" applyFill="1" applyBorder="1" applyAlignment="1" applyProtection="1">
      <alignment horizontal="center"/>
      <protection locked="0"/>
    </xf>
    <xf numFmtId="2" fontId="69" fillId="0" borderId="7" xfId="0" applyNumberFormat="1" applyFont="1" applyFill="1" applyBorder="1" applyAlignment="1" applyProtection="1">
      <alignment horizontal="center"/>
      <protection locked="0"/>
    </xf>
    <xf numFmtId="2" fontId="69" fillId="0" borderId="24" xfId="0" applyNumberFormat="1" applyFont="1" applyFill="1" applyBorder="1" applyAlignment="1" applyProtection="1">
      <alignment horizontal="center"/>
      <protection locked="0"/>
    </xf>
    <xf numFmtId="0" fontId="60" fillId="0" borderId="5" xfId="0" applyFont="1" applyFill="1" applyBorder="1" applyAlignment="1" applyProtection="1">
      <alignment horizontal="center"/>
      <protection locked="0"/>
    </xf>
    <xf numFmtId="0" fontId="60" fillId="0" borderId="7" xfId="0" applyFont="1" applyFill="1" applyBorder="1" applyAlignment="1" applyProtection="1">
      <alignment horizontal="center"/>
      <protection locked="0"/>
    </xf>
    <xf numFmtId="0" fontId="60" fillId="0" borderId="24" xfId="0" applyFont="1" applyFill="1" applyBorder="1" applyAlignment="1" applyProtection="1">
      <alignment horizontal="center"/>
      <protection locked="0"/>
    </xf>
    <xf numFmtId="0" fontId="71" fillId="0" borderId="5" xfId="0" applyFont="1" applyFill="1" applyBorder="1" applyAlignment="1" applyProtection="1">
      <alignment horizontal="center"/>
      <protection locked="0"/>
    </xf>
    <xf numFmtId="0" fontId="71" fillId="0" borderId="7" xfId="0" applyFont="1" applyFill="1" applyBorder="1" applyAlignment="1" applyProtection="1">
      <alignment horizontal="center"/>
      <protection locked="0"/>
    </xf>
    <xf numFmtId="0" fontId="71" fillId="0" borderId="24" xfId="0" applyFont="1" applyFill="1" applyBorder="1" applyAlignment="1" applyProtection="1">
      <alignment horizontal="center"/>
      <protection locked="0"/>
    </xf>
    <xf numFmtId="0" fontId="1" fillId="0" borderId="2" xfId="0" applyNumberFormat="1" applyFont="1" applyBorder="1" applyAlignment="1" applyProtection="1">
      <alignment horizontal="left" indent="1"/>
      <protection locked="0"/>
    </xf>
    <xf numFmtId="0" fontId="0" fillId="0" borderId="2" xfId="0" applyNumberFormat="1" applyBorder="1" applyAlignment="1" applyProtection="1">
      <alignment horizontal="left" indent="1"/>
      <protection locked="0"/>
    </xf>
    <xf numFmtId="0" fontId="45" fillId="0" borderId="7" xfId="0" applyNumberFormat="1" applyFont="1" applyBorder="1" applyAlignment="1" applyProtection="1">
      <alignment horizontal="left" indent="1"/>
      <protection locked="0"/>
    </xf>
    <xf numFmtId="0" fontId="0" fillId="0" borderId="7" xfId="0" applyNumberFormat="1" applyBorder="1" applyAlignment="1" applyProtection="1">
      <alignment horizontal="left" indent="1"/>
      <protection locked="0"/>
    </xf>
    <xf numFmtId="0" fontId="60" fillId="7" borderId="1" xfId="0" applyFont="1" applyFill="1" applyBorder="1" applyAlignment="1" applyProtection="1">
      <alignment horizontal="center" wrapText="1"/>
      <protection locked="0"/>
    </xf>
    <xf numFmtId="0" fontId="108" fillId="0" borderId="0" xfId="0" applyFont="1" applyAlignment="1">
      <alignment horizontal="right"/>
    </xf>
    <xf numFmtId="0" fontId="109" fillId="0" borderId="0" xfId="0" applyFont="1" applyAlignment="1">
      <alignment horizontal="right"/>
    </xf>
    <xf numFmtId="0" fontId="79" fillId="0" borderId="5" xfId="0" applyFont="1" applyBorder="1" applyAlignment="1">
      <alignment horizontal="center" vertical="center"/>
    </xf>
    <xf numFmtId="0" fontId="79" fillId="0" borderId="7" xfId="0" applyFont="1" applyBorder="1" applyAlignment="1">
      <alignment horizontal="center" vertical="center"/>
    </xf>
    <xf numFmtId="0" fontId="79" fillId="0" borderId="24" xfId="0" applyFont="1" applyBorder="1" applyAlignment="1">
      <alignment horizontal="center" vertical="center"/>
    </xf>
    <xf numFmtId="0" fontId="73" fillId="0" borderId="0" xfId="0" applyFont="1" applyAlignment="1">
      <alignment horizontal="center"/>
    </xf>
    <xf numFmtId="0" fontId="11" fillId="6" borderId="44" xfId="3" applyFont="1" applyAlignment="1" applyProtection="1">
      <alignment horizontal="center"/>
      <protection locked="0"/>
    </xf>
    <xf numFmtId="0" fontId="55" fillId="6" borderId="44" xfId="3" applyFont="1" applyAlignment="1" applyProtection="1">
      <alignment horizontal="center"/>
      <protection locked="0"/>
    </xf>
    <xf numFmtId="0" fontId="60" fillId="10" borderId="5" xfId="0" applyFont="1" applyFill="1" applyBorder="1" applyAlignment="1" applyProtection="1">
      <alignment horizontal="center" wrapText="1"/>
      <protection locked="0"/>
    </xf>
    <xf numFmtId="0" fontId="60" fillId="10" borderId="7" xfId="0" applyFont="1" applyFill="1" applyBorder="1" applyAlignment="1" applyProtection="1">
      <alignment horizontal="center" wrapText="1"/>
      <protection locked="0"/>
    </xf>
    <xf numFmtId="0" fontId="60" fillId="10" borderId="24" xfId="0" applyFont="1" applyFill="1" applyBorder="1" applyAlignment="1" applyProtection="1">
      <alignment horizontal="center" wrapText="1"/>
      <protection locked="0"/>
    </xf>
    <xf numFmtId="0" fontId="60" fillId="0" borderId="0" xfId="0" applyFont="1" applyFill="1" applyBorder="1" applyAlignment="1">
      <alignment horizontal="left"/>
    </xf>
    <xf numFmtId="0" fontId="62" fillId="0" borderId="0" xfId="0" applyFont="1" applyFill="1" applyBorder="1" applyAlignment="1">
      <alignment horizontal="center"/>
    </xf>
    <xf numFmtId="167" fontId="62" fillId="0" borderId="0" xfId="0" applyNumberFormat="1" applyFont="1" applyFill="1" applyBorder="1" applyAlignment="1">
      <alignment horizontal="center"/>
    </xf>
    <xf numFmtId="0" fontId="62" fillId="0" borderId="0" xfId="0" applyNumberFormat="1" applyFont="1" applyFill="1" applyBorder="1" applyAlignment="1">
      <alignment horizontal="center"/>
    </xf>
    <xf numFmtId="167" fontId="60" fillId="8" borderId="16" xfId="0" applyNumberFormat="1" applyFont="1" applyFill="1" applyBorder="1" applyAlignment="1">
      <alignment horizontal="center"/>
    </xf>
    <xf numFmtId="167" fontId="60" fillId="8" borderId="1" xfId="0" applyNumberFormat="1" applyFont="1" applyFill="1" applyBorder="1" applyAlignment="1">
      <alignment horizontal="center"/>
    </xf>
    <xf numFmtId="0" fontId="60" fillId="8" borderId="1" xfId="0" applyFont="1" applyFill="1" applyBorder="1" applyAlignment="1">
      <alignment horizontal="center"/>
    </xf>
    <xf numFmtId="0" fontId="60" fillId="8" borderId="5" xfId="0" applyFont="1" applyFill="1" applyBorder="1" applyAlignment="1">
      <alignment horizontal="center"/>
    </xf>
    <xf numFmtId="0" fontId="101" fillId="0" borderId="59" xfId="0" applyFont="1" applyBorder="1" applyAlignment="1">
      <alignment horizontal="center" vertical="center"/>
    </xf>
    <xf numFmtId="0" fontId="101" fillId="0" borderId="60" xfId="0" applyFont="1" applyBorder="1" applyAlignment="1">
      <alignment horizontal="center" vertical="center"/>
    </xf>
    <xf numFmtId="0" fontId="101" fillId="0" borderId="64" xfId="0" applyFont="1" applyBorder="1" applyAlignment="1">
      <alignment horizontal="center" vertical="center"/>
    </xf>
    <xf numFmtId="0" fontId="43" fillId="0" borderId="46" xfId="0" applyFont="1" applyBorder="1" applyAlignment="1" applyProtection="1">
      <alignment horizontal="center" vertical="center"/>
      <protection locked="0"/>
    </xf>
    <xf numFmtId="0" fontId="43" fillId="0" borderId="47" xfId="0" applyFont="1" applyBorder="1" applyAlignment="1" applyProtection="1">
      <alignment horizontal="center" vertical="center"/>
      <protection locked="0"/>
    </xf>
    <xf numFmtId="0" fontId="43" fillId="0" borderId="48" xfId="0" applyFont="1" applyBorder="1" applyAlignment="1" applyProtection="1">
      <alignment horizontal="center" vertical="center"/>
      <protection locked="0"/>
    </xf>
    <xf numFmtId="168" fontId="43" fillId="0" borderId="52" xfId="0" applyNumberFormat="1" applyFont="1" applyBorder="1" applyAlignment="1" applyProtection="1">
      <alignment horizontal="center" vertical="center"/>
      <protection locked="0"/>
    </xf>
    <xf numFmtId="2" fontId="58" fillId="7" borderId="5" xfId="4" applyNumberFormat="1" applyFill="1" applyBorder="1" applyAlignment="1">
      <alignment horizontal="center"/>
    </xf>
    <xf numFmtId="2" fontId="58" fillId="7" borderId="7" xfId="4" applyNumberFormat="1" applyFill="1" applyBorder="1" applyAlignment="1">
      <alignment horizontal="center"/>
    </xf>
    <xf numFmtId="2" fontId="58" fillId="7" borderId="53" xfId="4" applyNumberFormat="1" applyFill="1" applyBorder="1" applyAlignment="1">
      <alignment horizontal="center"/>
    </xf>
    <xf numFmtId="2" fontId="58" fillId="0" borderId="5" xfId="4" applyNumberFormat="1" applyFill="1" applyBorder="1" applyAlignment="1">
      <alignment horizontal="center"/>
    </xf>
    <xf numFmtId="2" fontId="58" fillId="0" borderId="7" xfId="4" applyNumberFormat="1" applyFill="1" applyBorder="1" applyAlignment="1">
      <alignment horizontal="center"/>
    </xf>
    <xf numFmtId="2" fontId="58" fillId="0" borderId="53" xfId="4" applyNumberFormat="1" applyFill="1" applyBorder="1" applyAlignment="1">
      <alignment horizontal="center"/>
    </xf>
    <xf numFmtId="2" fontId="58" fillId="7" borderId="24" xfId="4" applyNumberFormat="1" applyFill="1" applyBorder="1" applyAlignment="1">
      <alignment horizontal="center"/>
    </xf>
    <xf numFmtId="2" fontId="58" fillId="0" borderId="5" xfId="4" applyNumberFormat="1" applyFill="1" applyBorder="1" applyAlignment="1">
      <alignment horizontal="center" wrapText="1"/>
    </xf>
    <xf numFmtId="2" fontId="58" fillId="0" borderId="7" xfId="4" applyNumberFormat="1" applyFill="1" applyBorder="1" applyAlignment="1">
      <alignment horizontal="center" wrapText="1"/>
    </xf>
    <xf numFmtId="2" fontId="58" fillId="0" borderId="24" xfId="4" applyNumberFormat="1" applyFill="1" applyBorder="1" applyAlignment="1">
      <alignment horizontal="center" wrapText="1"/>
    </xf>
    <xf numFmtId="0" fontId="81" fillId="0" borderId="15" xfId="6" applyFill="1" applyBorder="1" applyAlignment="1">
      <alignment horizontal="center" wrapText="1"/>
    </xf>
    <xf numFmtId="0" fontId="81" fillId="0" borderId="2" xfId="6" applyFill="1" applyBorder="1" applyAlignment="1">
      <alignment horizontal="center" wrapText="1"/>
    </xf>
    <xf numFmtId="0" fontId="81" fillId="0" borderId="56" xfId="6" applyFill="1" applyBorder="1" applyAlignment="1">
      <alignment horizontal="center" wrapText="1"/>
    </xf>
    <xf numFmtId="0" fontId="81" fillId="0" borderId="57" xfId="6" applyFill="1" applyBorder="1" applyAlignment="1">
      <alignment horizontal="center" wrapText="1"/>
    </xf>
    <xf numFmtId="0" fontId="82" fillId="0" borderId="59" xfId="5" applyFont="1" applyFill="1" applyBorder="1" applyAlignment="1">
      <alignment horizontal="center" vertical="center"/>
    </xf>
    <xf numFmtId="0" fontId="82" fillId="0" borderId="60" xfId="5" applyFont="1" applyFill="1" applyBorder="1" applyAlignment="1">
      <alignment horizontal="center" vertical="center"/>
    </xf>
    <xf numFmtId="0" fontId="82" fillId="0" borderId="61" xfId="5" applyFont="1" applyFill="1" applyBorder="1" applyAlignment="1">
      <alignment horizontal="center" vertical="center"/>
    </xf>
    <xf numFmtId="0" fontId="82" fillId="0" borderId="62" xfId="5" applyFont="1" applyFill="1" applyBorder="1" applyAlignment="1">
      <alignment horizontal="center" vertical="center"/>
    </xf>
    <xf numFmtId="0" fontId="43" fillId="0" borderId="52" xfId="0" applyFont="1" applyBorder="1" applyAlignment="1" applyProtection="1">
      <alignment horizontal="center" vertical="center"/>
      <protection locked="0"/>
    </xf>
    <xf numFmtId="0" fontId="64" fillId="0" borderId="0" xfId="0" applyFont="1" applyAlignment="1">
      <alignment horizontal="center" vertical="top"/>
    </xf>
    <xf numFmtId="0" fontId="60" fillId="8" borderId="5" xfId="0" applyNumberFormat="1" applyFont="1" applyFill="1" applyBorder="1" applyAlignment="1">
      <alignment horizontal="center"/>
    </xf>
    <xf numFmtId="0" fontId="60" fillId="8" borderId="7" xfId="0" applyNumberFormat="1" applyFont="1" applyFill="1" applyBorder="1" applyAlignment="1">
      <alignment horizontal="center"/>
    </xf>
    <xf numFmtId="0" fontId="60" fillId="8" borderId="24" xfId="0" applyNumberFormat="1" applyFont="1" applyFill="1" applyBorder="1" applyAlignment="1">
      <alignment horizontal="center"/>
    </xf>
    <xf numFmtId="0" fontId="64" fillId="0" borderId="0" xfId="0" applyFont="1" applyAlignment="1">
      <alignment horizontal="left" vertical="top" indent="14"/>
    </xf>
    <xf numFmtId="0" fontId="61" fillId="7" borderId="16" xfId="0" applyFont="1" applyFill="1" applyBorder="1" applyAlignment="1">
      <alignment horizontal="center" wrapText="1"/>
    </xf>
    <xf numFmtId="0" fontId="61" fillId="7" borderId="1" xfId="0" applyFont="1" applyFill="1" applyBorder="1" applyAlignment="1">
      <alignment horizontal="center" wrapText="1"/>
    </xf>
    <xf numFmtId="167" fontId="60" fillId="8" borderId="75" xfId="0" applyNumberFormat="1" applyFont="1" applyFill="1" applyBorder="1" applyAlignment="1">
      <alignment horizontal="center"/>
    </xf>
    <xf numFmtId="167" fontId="60" fillId="8" borderId="32" xfId="0" applyNumberFormat="1" applyFont="1" applyFill="1" applyBorder="1" applyAlignment="1">
      <alignment horizontal="center"/>
    </xf>
    <xf numFmtId="0" fontId="61" fillId="7" borderId="5" xfId="0" applyFont="1" applyFill="1" applyBorder="1" applyAlignment="1">
      <alignment horizontal="center" wrapText="1"/>
    </xf>
    <xf numFmtId="0" fontId="61" fillId="7" borderId="7" xfId="0" applyFont="1" applyFill="1" applyBorder="1" applyAlignment="1">
      <alignment horizontal="center" wrapText="1"/>
    </xf>
    <xf numFmtId="0" fontId="61" fillId="7" borderId="24" xfId="0" applyFont="1" applyFill="1" applyBorder="1" applyAlignment="1">
      <alignment horizontal="center" wrapText="1"/>
    </xf>
    <xf numFmtId="167" fontId="60" fillId="8" borderId="5" xfId="0" applyNumberFormat="1" applyFont="1" applyFill="1" applyBorder="1" applyAlignment="1">
      <alignment horizontal="center"/>
    </xf>
    <xf numFmtId="167" fontId="60" fillId="8" borderId="7" xfId="0" applyNumberFormat="1" applyFont="1" applyFill="1" applyBorder="1" applyAlignment="1">
      <alignment horizontal="center"/>
    </xf>
    <xf numFmtId="167" fontId="60" fillId="8" borderId="24" xfId="0" applyNumberFormat="1" applyFont="1" applyFill="1" applyBorder="1" applyAlignment="1">
      <alignment horizontal="center"/>
    </xf>
    <xf numFmtId="0" fontId="44" fillId="0" borderId="5" xfId="0" applyFont="1" applyBorder="1" applyAlignment="1">
      <alignment horizontal="center"/>
    </xf>
    <xf numFmtId="0" fontId="44" fillId="0" borderId="7" xfId="0" applyFont="1" applyBorder="1" applyAlignment="1">
      <alignment horizontal="center"/>
    </xf>
    <xf numFmtId="0" fontId="44" fillId="0" borderId="24" xfId="0" applyFont="1" applyBorder="1" applyAlignment="1">
      <alignment horizontal="center"/>
    </xf>
    <xf numFmtId="0" fontId="61" fillId="7" borderId="5" xfId="0" applyFont="1" applyFill="1" applyBorder="1" applyAlignment="1">
      <alignment horizontal="center"/>
    </xf>
    <xf numFmtId="0" fontId="61" fillId="7" borderId="7" xfId="0" applyFont="1" applyFill="1" applyBorder="1" applyAlignment="1">
      <alignment horizontal="center"/>
    </xf>
    <xf numFmtId="0" fontId="61" fillId="7" borderId="24" xfId="0" applyFont="1" applyFill="1" applyBorder="1" applyAlignment="1">
      <alignment horizontal="center"/>
    </xf>
    <xf numFmtId="0" fontId="60" fillId="8" borderId="5" xfId="0" applyFont="1" applyFill="1" applyBorder="1" applyAlignment="1">
      <alignment horizontal="right"/>
    </xf>
    <xf numFmtId="0" fontId="60" fillId="8" borderId="7" xfId="0" applyFont="1" applyFill="1" applyBorder="1" applyAlignment="1">
      <alignment horizontal="right"/>
    </xf>
    <xf numFmtId="0" fontId="60" fillId="8" borderId="7" xfId="0" applyFont="1" applyFill="1" applyBorder="1" applyAlignment="1">
      <alignment horizontal="left"/>
    </xf>
    <xf numFmtId="0" fontId="60" fillId="8" borderId="24" xfId="0" applyFont="1" applyFill="1" applyBorder="1" applyAlignment="1">
      <alignment horizontal="left"/>
    </xf>
    <xf numFmtId="0" fontId="44" fillId="0" borderId="2" xfId="0" applyFont="1" applyBorder="1" applyAlignment="1">
      <alignment horizontal="center"/>
    </xf>
    <xf numFmtId="0" fontId="60" fillId="8" borderId="32" xfId="0" applyFont="1" applyFill="1" applyBorder="1" applyAlignment="1">
      <alignment horizontal="center"/>
    </xf>
    <xf numFmtId="0" fontId="60" fillId="8" borderId="63" xfId="0" applyFont="1" applyFill="1" applyBorder="1" applyAlignment="1">
      <alignment horizontal="center"/>
    </xf>
    <xf numFmtId="167" fontId="60" fillId="8" borderId="63" xfId="0" applyNumberFormat="1" applyFont="1" applyFill="1" applyBorder="1" applyAlignment="1">
      <alignment horizontal="center"/>
    </xf>
    <xf numFmtId="167" fontId="60" fillId="8" borderId="3" xfId="0" applyNumberFormat="1" applyFont="1" applyFill="1" applyBorder="1" applyAlignment="1">
      <alignment horizontal="center"/>
    </xf>
    <xf numFmtId="167" fontId="60" fillId="8" borderId="65" xfId="0" applyNumberFormat="1" applyFont="1" applyFill="1" applyBorder="1" applyAlignment="1">
      <alignment horizontal="center"/>
    </xf>
    <xf numFmtId="0" fontId="60" fillId="8" borderId="63" xfId="0" applyNumberFormat="1" applyFont="1" applyFill="1" applyBorder="1" applyAlignment="1">
      <alignment horizontal="center"/>
    </xf>
    <xf numFmtId="0" fontId="60" fillId="8" borderId="3" xfId="0" applyNumberFormat="1" applyFont="1" applyFill="1" applyBorder="1" applyAlignment="1">
      <alignment horizontal="center"/>
    </xf>
    <xf numFmtId="0" fontId="60" fillId="8" borderId="65" xfId="0" applyNumberFormat="1" applyFont="1" applyFill="1" applyBorder="1" applyAlignment="1">
      <alignment horizontal="center"/>
    </xf>
    <xf numFmtId="0" fontId="60" fillId="8" borderId="63" xfId="0" applyFont="1" applyFill="1" applyBorder="1" applyAlignment="1">
      <alignment horizontal="right"/>
    </xf>
    <xf numFmtId="0" fontId="60" fillId="8" borderId="3" xfId="0" applyFont="1" applyFill="1" applyBorder="1" applyAlignment="1">
      <alignment horizontal="right"/>
    </xf>
    <xf numFmtId="0" fontId="60" fillId="8" borderId="3" xfId="0" applyFont="1" applyFill="1" applyBorder="1" applyAlignment="1">
      <alignment horizontal="left"/>
    </xf>
    <xf numFmtId="0" fontId="60" fillId="8" borderId="65" xfId="0" applyFont="1" applyFill="1" applyBorder="1" applyAlignment="1">
      <alignment horizontal="left"/>
    </xf>
    <xf numFmtId="0" fontId="138" fillId="9" borderId="37" xfId="0" applyFont="1" applyFill="1" applyBorder="1" applyAlignment="1" applyProtection="1">
      <alignment horizontal="center" vertical="center" wrapText="1"/>
      <protection locked="0"/>
    </xf>
    <xf numFmtId="0" fontId="138" fillId="9" borderId="37" xfId="0" applyFont="1" applyFill="1" applyBorder="1" applyAlignment="1" applyProtection="1">
      <alignment horizontal="center" vertical="center"/>
      <protection locked="0"/>
    </xf>
    <xf numFmtId="168" fontId="43" fillId="0" borderId="49" xfId="0" applyNumberFormat="1" applyFont="1" applyBorder="1" applyAlignment="1" applyProtection="1">
      <alignment horizontal="center" vertical="center"/>
      <protection locked="0"/>
    </xf>
    <xf numFmtId="168" fontId="43" fillId="0" borderId="50" xfId="0" applyNumberFormat="1" applyFont="1" applyBorder="1" applyAlignment="1" applyProtection="1">
      <alignment horizontal="center" vertical="center"/>
      <protection locked="0"/>
    </xf>
    <xf numFmtId="0" fontId="43" fillId="0" borderId="51" xfId="0" applyFont="1" applyBorder="1" applyAlignment="1" applyProtection="1">
      <alignment horizontal="center" vertical="center"/>
      <protection locked="0"/>
    </xf>
    <xf numFmtId="0" fontId="138" fillId="9" borderId="38" xfId="0" applyFont="1" applyFill="1" applyBorder="1" applyAlignment="1" applyProtection="1">
      <alignment horizontal="center" vertical="center"/>
      <protection locked="0"/>
    </xf>
    <xf numFmtId="0" fontId="138" fillId="9" borderId="39" xfId="0" applyFont="1" applyFill="1" applyBorder="1" applyAlignment="1" applyProtection="1">
      <alignment horizontal="center" vertical="center"/>
      <protection locked="0"/>
    </xf>
    <xf numFmtId="0" fontId="138" fillId="9" borderId="40" xfId="0" applyFont="1" applyFill="1" applyBorder="1" applyAlignment="1" applyProtection="1">
      <alignment horizontal="center" vertical="center"/>
      <protection locked="0"/>
    </xf>
    <xf numFmtId="1" fontId="58" fillId="0" borderId="5" xfId="4" applyNumberFormat="1" applyFill="1" applyBorder="1" applyAlignment="1">
      <alignment horizontal="center"/>
    </xf>
    <xf numFmtId="1" fontId="58" fillId="0" borderId="7" xfId="4" applyNumberFormat="1" applyFill="1" applyBorder="1" applyAlignment="1">
      <alignment horizontal="center"/>
    </xf>
    <xf numFmtId="1" fontId="58" fillId="0" borderId="24" xfId="4" applyNumberFormat="1" applyFill="1" applyBorder="1" applyAlignment="1">
      <alignment horizontal="center"/>
    </xf>
    <xf numFmtId="1" fontId="58" fillId="0" borderId="25" xfId="4" applyNumberFormat="1" applyFill="1" applyBorder="1" applyAlignment="1">
      <alignment horizontal="center"/>
    </xf>
    <xf numFmtId="1" fontId="58" fillId="0" borderId="66" xfId="4" applyNumberFormat="1" applyFill="1" applyBorder="1" applyAlignment="1">
      <alignment horizontal="center"/>
    </xf>
    <xf numFmtId="2" fontId="58" fillId="0" borderId="66" xfId="4" applyNumberFormat="1" applyFill="1" applyBorder="1" applyAlignment="1">
      <alignment horizontal="center"/>
    </xf>
    <xf numFmtId="2" fontId="58" fillId="0" borderId="16" xfId="4" applyNumberFormat="1" applyFill="1" applyBorder="1" applyAlignment="1">
      <alignment horizontal="center"/>
    </xf>
    <xf numFmtId="1" fontId="58" fillId="7" borderId="5" xfId="4" applyNumberFormat="1" applyFill="1" applyBorder="1" applyAlignment="1">
      <alignment horizontal="center"/>
    </xf>
    <xf numFmtId="1" fontId="58" fillId="7" borderId="7" xfId="4" applyNumberFormat="1" applyFill="1" applyBorder="1" applyAlignment="1">
      <alignment horizontal="center"/>
    </xf>
    <xf numFmtId="1" fontId="58" fillId="7" borderId="24" xfId="4" applyNumberFormat="1" applyFill="1" applyBorder="1" applyAlignment="1">
      <alignment horizontal="center"/>
    </xf>
    <xf numFmtId="1" fontId="58" fillId="7" borderId="25" xfId="4" applyNumberFormat="1" applyFill="1" applyBorder="1" applyAlignment="1">
      <alignment horizontal="center"/>
    </xf>
    <xf numFmtId="1" fontId="58" fillId="7" borderId="66" xfId="4" applyNumberFormat="1" applyFill="1" applyBorder="1" applyAlignment="1">
      <alignment horizontal="center"/>
    </xf>
    <xf numFmtId="2" fontId="58" fillId="7" borderId="66" xfId="4" applyNumberFormat="1" applyFill="1" applyBorder="1" applyAlignment="1">
      <alignment horizontal="center"/>
    </xf>
    <xf numFmtId="2" fontId="58" fillId="7" borderId="16" xfId="4" applyNumberFormat="1" applyFill="1" applyBorder="1" applyAlignment="1">
      <alignment horizontal="center"/>
    </xf>
    <xf numFmtId="0" fontId="81" fillId="0" borderId="23" xfId="6" applyFill="1" applyBorder="1" applyAlignment="1">
      <alignment horizontal="center" wrapText="1"/>
    </xf>
    <xf numFmtId="1" fontId="58" fillId="7" borderId="53" xfId="4" applyNumberFormat="1" applyFill="1" applyBorder="1" applyAlignment="1">
      <alignment horizontal="center"/>
    </xf>
    <xf numFmtId="1" fontId="58" fillId="0" borderId="53" xfId="4" applyNumberFormat="1" applyFill="1" applyBorder="1" applyAlignment="1">
      <alignment horizontal="center"/>
    </xf>
    <xf numFmtId="2" fontId="58" fillId="0" borderId="55" xfId="4" applyNumberFormat="1" applyFill="1" applyBorder="1" applyAlignment="1">
      <alignment horizontal="center"/>
    </xf>
    <xf numFmtId="2" fontId="58" fillId="0" borderId="24" xfId="4" applyNumberFormat="1" applyFill="1" applyBorder="1" applyAlignment="1">
      <alignment horizontal="center"/>
    </xf>
    <xf numFmtId="0" fontId="82" fillId="0" borderId="59" xfId="5" applyFont="1" applyBorder="1" applyAlignment="1">
      <alignment horizontal="center" vertical="center" wrapText="1"/>
    </xf>
    <xf numFmtId="0" fontId="82" fillId="0" borderId="60" xfId="5" applyFont="1" applyBorder="1" applyAlignment="1">
      <alignment horizontal="center" vertical="center" wrapText="1"/>
    </xf>
    <xf numFmtId="0" fontId="82" fillId="0" borderId="64" xfId="5" applyFont="1" applyBorder="1" applyAlignment="1">
      <alignment horizontal="center" vertical="center" wrapText="1"/>
    </xf>
    <xf numFmtId="0" fontId="64" fillId="0" borderId="2" xfId="0" applyFont="1" applyBorder="1" applyAlignment="1">
      <alignment horizontal="center" vertical="top"/>
    </xf>
    <xf numFmtId="0" fontId="81" fillId="0" borderId="32" xfId="6" applyFill="1" applyBorder="1" applyAlignment="1">
      <alignment horizontal="center" vertical="center" wrapText="1"/>
    </xf>
    <xf numFmtId="0" fontId="81" fillId="0" borderId="34" xfId="6" applyFill="1" applyBorder="1" applyAlignment="1">
      <alignment horizontal="center" vertical="center" wrapText="1"/>
    </xf>
    <xf numFmtId="0" fontId="44" fillId="0" borderId="0" xfId="0" applyFont="1" applyAlignment="1">
      <alignment horizontal="center" wrapText="1"/>
    </xf>
    <xf numFmtId="0" fontId="0" fillId="0" borderId="1" xfId="0" applyBorder="1" applyAlignment="1">
      <alignment horizontal="left" wrapText="1"/>
    </xf>
    <xf numFmtId="0" fontId="45" fillId="0" borderId="1" xfId="0" applyFont="1" applyBorder="1" applyAlignment="1">
      <alignment horizontal="center"/>
    </xf>
    <xf numFmtId="0" fontId="45" fillId="0" borderId="5" xfId="0" applyFont="1" applyBorder="1" applyAlignment="1">
      <alignment horizontal="center"/>
    </xf>
    <xf numFmtId="0" fontId="45" fillId="0" borderId="7" xfId="0" applyFont="1" applyBorder="1" applyAlignment="1">
      <alignment horizontal="center"/>
    </xf>
    <xf numFmtId="0" fontId="45" fillId="0" borderId="24" xfId="0" applyFont="1" applyBorder="1" applyAlignment="1">
      <alignment horizontal="center"/>
    </xf>
    <xf numFmtId="0" fontId="130" fillId="0" borderId="32" xfId="0" applyFont="1" applyBorder="1" applyAlignment="1">
      <alignment horizontal="center" wrapText="1"/>
    </xf>
    <xf numFmtId="0" fontId="130" fillId="0" borderId="33" xfId="0" applyFont="1" applyBorder="1" applyAlignment="1">
      <alignment horizontal="center" wrapText="1"/>
    </xf>
    <xf numFmtId="0" fontId="130" fillId="0" borderId="34" xfId="0" applyFont="1" applyBorder="1" applyAlignment="1">
      <alignment horizontal="center" wrapText="1"/>
    </xf>
    <xf numFmtId="0" fontId="130" fillId="0" borderId="1" xfId="0" applyFont="1" applyBorder="1" applyAlignment="1">
      <alignment horizontal="center" wrapText="1"/>
    </xf>
    <xf numFmtId="0" fontId="68" fillId="0" borderId="1" xfId="0" applyFont="1" applyBorder="1" applyAlignment="1">
      <alignment horizontal="center"/>
    </xf>
    <xf numFmtId="0" fontId="68" fillId="0" borderId="1" xfId="0" applyFont="1" applyBorder="1" applyAlignment="1">
      <alignment horizontal="center" wrapText="1"/>
    </xf>
    <xf numFmtId="0" fontId="45" fillId="0" borderId="1" xfId="0" applyFont="1" applyBorder="1" applyAlignment="1">
      <alignment horizontal="center" wrapText="1"/>
    </xf>
    <xf numFmtId="0" fontId="68" fillId="0" borderId="5" xfId="0" applyFont="1" applyBorder="1" applyAlignment="1">
      <alignment horizontal="center"/>
    </xf>
    <xf numFmtId="0" fontId="68" fillId="0" borderId="7" xfId="0" applyFont="1" applyBorder="1" applyAlignment="1">
      <alignment horizontal="center"/>
    </xf>
    <xf numFmtId="0" fontId="68" fillId="0" borderId="24" xfId="0" applyFont="1" applyBorder="1" applyAlignment="1">
      <alignment horizontal="center"/>
    </xf>
    <xf numFmtId="0" fontId="45" fillId="0" borderId="32" xfId="0" applyFont="1" applyBorder="1" applyAlignment="1">
      <alignment horizontal="center" wrapText="1"/>
    </xf>
    <xf numFmtId="0" fontId="45" fillId="0" borderId="33" xfId="0" applyFont="1" applyBorder="1" applyAlignment="1">
      <alignment horizontal="center" wrapText="1"/>
    </xf>
    <xf numFmtId="0" fontId="45" fillId="0" borderId="34" xfId="0" applyFont="1" applyBorder="1" applyAlignment="1">
      <alignment horizontal="center" wrapText="1"/>
    </xf>
    <xf numFmtId="0" fontId="68" fillId="0" borderId="32" xfId="0" applyFont="1" applyBorder="1" applyAlignment="1">
      <alignment horizontal="center" wrapText="1"/>
    </xf>
    <xf numFmtId="0" fontId="130" fillId="0" borderId="1" xfId="0" applyFont="1" applyFill="1" applyBorder="1" applyAlignment="1">
      <alignment horizontal="center" wrapText="1"/>
    </xf>
    <xf numFmtId="0" fontId="0" fillId="0" borderId="1" xfId="0" applyFont="1" applyBorder="1" applyAlignment="1">
      <alignment horizontal="center"/>
    </xf>
    <xf numFmtId="0" fontId="45" fillId="0" borderId="32" xfId="0" applyFont="1" applyFill="1" applyBorder="1" applyAlignment="1">
      <alignment horizontal="center" wrapText="1"/>
    </xf>
    <xf numFmtId="0" fontId="45" fillId="0" borderId="34" xfId="0" applyFont="1" applyFill="1" applyBorder="1" applyAlignment="1">
      <alignment horizontal="center" wrapText="1"/>
    </xf>
    <xf numFmtId="0" fontId="45" fillId="0" borderId="32" xfId="0" applyFont="1" applyFill="1" applyBorder="1" applyAlignment="1">
      <alignment horizontal="center" vertical="center"/>
    </xf>
    <xf numFmtId="0" fontId="45" fillId="0" borderId="33" xfId="0" applyFont="1" applyFill="1" applyBorder="1" applyAlignment="1">
      <alignment horizontal="center" vertical="center"/>
    </xf>
    <xf numFmtId="0" fontId="45" fillId="0" borderId="34" xfId="0" applyFont="1" applyFill="1" applyBorder="1" applyAlignment="1">
      <alignment horizontal="center" vertical="center"/>
    </xf>
    <xf numFmtId="0" fontId="95" fillId="0" borderId="71" xfId="0" applyFont="1" applyBorder="1" applyAlignment="1">
      <alignment horizontal="center"/>
    </xf>
    <xf numFmtId="0" fontId="95" fillId="0" borderId="7" xfId="0" applyFont="1" applyBorder="1" applyAlignment="1">
      <alignment horizontal="center"/>
    </xf>
    <xf numFmtId="0" fontId="95" fillId="0" borderId="24" xfId="0" applyFont="1" applyBorder="1" applyAlignment="1">
      <alignment horizontal="center"/>
    </xf>
    <xf numFmtId="0" fontId="95" fillId="0" borderId="5" xfId="0" applyFont="1" applyFill="1" applyBorder="1" applyAlignment="1">
      <alignment horizontal="center"/>
    </xf>
    <xf numFmtId="0" fontId="95" fillId="0" borderId="7" xfId="0" applyFont="1" applyFill="1" applyBorder="1" applyAlignment="1">
      <alignment horizontal="center"/>
    </xf>
    <xf numFmtId="0" fontId="95" fillId="0" borderId="72" xfId="0" applyFont="1" applyFill="1" applyBorder="1" applyAlignment="1">
      <alignment horizontal="center"/>
    </xf>
    <xf numFmtId="0" fontId="68" fillId="0" borderId="33" xfId="0" applyFont="1" applyBorder="1" applyAlignment="1">
      <alignment horizontal="center" wrapText="1"/>
    </xf>
    <xf numFmtId="0" fontId="68" fillId="0" borderId="34" xfId="0" applyFont="1" applyBorder="1" applyAlignment="1">
      <alignment horizontal="center" wrapText="1"/>
    </xf>
    <xf numFmtId="0" fontId="68" fillId="0" borderId="30" xfId="0" applyFont="1" applyBorder="1" applyAlignment="1">
      <alignment horizontal="left"/>
    </xf>
    <xf numFmtId="0" fontId="45" fillId="0" borderId="31" xfId="0" applyFont="1" applyBorder="1" applyAlignment="1">
      <alignment horizontal="left"/>
    </xf>
    <xf numFmtId="0" fontId="87" fillId="0" borderId="0" xfId="0" applyFont="1" applyAlignment="1">
      <alignment horizontal="center" vertical="center"/>
    </xf>
    <xf numFmtId="0" fontId="68" fillId="0" borderId="26" xfId="0" applyFont="1" applyFill="1" applyBorder="1" applyAlignment="1">
      <alignment horizontal="left"/>
    </xf>
    <xf numFmtId="0" fontId="0" fillId="0" borderId="26" xfId="0" applyFont="1" applyFill="1" applyBorder="1" applyAlignment="1">
      <alignment horizontal="left"/>
    </xf>
    <xf numFmtId="0" fontId="68" fillId="0" borderId="26" xfId="0" applyFont="1" applyBorder="1" applyAlignment="1">
      <alignment horizontal="left"/>
    </xf>
    <xf numFmtId="0" fontId="0" fillId="0" borderId="26" xfId="0" applyFont="1" applyBorder="1" applyAlignment="1">
      <alignment horizontal="left"/>
    </xf>
    <xf numFmtId="0" fontId="95" fillId="0" borderId="17" xfId="0" applyFont="1" applyBorder="1" applyAlignment="1">
      <alignment horizontal="center"/>
    </xf>
    <xf numFmtId="0" fontId="95" fillId="0" borderId="1" xfId="0" applyFont="1" applyBorder="1" applyAlignment="1">
      <alignment horizontal="center"/>
    </xf>
    <xf numFmtId="0" fontId="95" fillId="0" borderId="18" xfId="0" applyFont="1" applyBorder="1" applyAlignment="1">
      <alignment horizontal="center"/>
    </xf>
    <xf numFmtId="0" fontId="95" fillId="0" borderId="26" xfId="0" applyFont="1" applyBorder="1" applyAlignment="1">
      <alignment horizontal="left"/>
    </xf>
    <xf numFmtId="0" fontId="68" fillId="0" borderId="26" xfId="0" applyFont="1" applyBorder="1" applyAlignment="1">
      <alignment horizontal="left" indent="2"/>
    </xf>
    <xf numFmtId="0" fontId="68" fillId="0" borderId="26" xfId="0" applyFont="1" applyFill="1" applyBorder="1" applyAlignment="1">
      <alignment horizontal="left" indent="2"/>
    </xf>
    <xf numFmtId="0" fontId="120" fillId="0" borderId="0" xfId="0" applyFont="1" applyAlignment="1">
      <alignment horizontal="center" vertical="top"/>
    </xf>
    <xf numFmtId="0" fontId="87" fillId="0" borderId="9" xfId="0" applyFont="1" applyBorder="1" applyAlignment="1">
      <alignment horizontal="left"/>
    </xf>
    <xf numFmtId="169" fontId="68" fillId="0" borderId="35" xfId="1" applyNumberFormat="1" applyFont="1" applyFill="1" applyBorder="1" applyAlignment="1">
      <alignment horizontal="center" vertical="center"/>
    </xf>
    <xf numFmtId="169" fontId="68" fillId="0" borderId="36" xfId="1" applyNumberFormat="1" applyFont="1" applyFill="1" applyBorder="1" applyAlignment="1">
      <alignment horizontal="center" vertical="center"/>
    </xf>
    <xf numFmtId="1" fontId="68" fillId="0" borderId="0" xfId="0" applyNumberFormat="1" applyFont="1" applyBorder="1" applyAlignment="1">
      <alignment horizontal="center" vertical="center"/>
    </xf>
    <xf numFmtId="0" fontId="95" fillId="0" borderId="9" xfId="0" applyFont="1" applyBorder="1" applyAlignment="1">
      <alignment horizontal="center"/>
    </xf>
    <xf numFmtId="0" fontId="45" fillId="0" borderId="26" xfId="0" applyFont="1" applyBorder="1" applyAlignment="1">
      <alignment horizontal="left"/>
    </xf>
    <xf numFmtId="0" fontId="131" fillId="0" borderId="80" xfId="0" applyFont="1" applyBorder="1" applyAlignment="1">
      <alignment horizontal="center" vertical="center"/>
    </xf>
    <xf numFmtId="0" fontId="131" fillId="0" borderId="81" xfId="0" applyFont="1" applyBorder="1" applyAlignment="1">
      <alignment horizontal="center" vertical="center"/>
    </xf>
    <xf numFmtId="0" fontId="131" fillId="0" borderId="83" xfId="0" applyFont="1" applyBorder="1" applyAlignment="1">
      <alignment horizontal="center" vertical="center"/>
    </xf>
    <xf numFmtId="0" fontId="131" fillId="0" borderId="0" xfId="0" applyFont="1" applyBorder="1" applyAlignment="1">
      <alignment horizontal="center" vertical="center"/>
    </xf>
    <xf numFmtId="0" fontId="131" fillId="0" borderId="82" xfId="0" applyFont="1" applyBorder="1" applyAlignment="1">
      <alignment horizontal="center" vertical="center"/>
    </xf>
    <xf numFmtId="0" fontId="131" fillId="0" borderId="84" xfId="0" applyFont="1" applyBorder="1" applyAlignment="1">
      <alignment horizontal="center" vertical="center"/>
    </xf>
    <xf numFmtId="169" fontId="45" fillId="0" borderId="32" xfId="0" applyNumberFormat="1" applyFont="1" applyFill="1" applyBorder="1" applyAlignment="1">
      <alignment horizontal="center" vertical="center"/>
    </xf>
    <xf numFmtId="169" fontId="45" fillId="0" borderId="33" xfId="0" applyNumberFormat="1" applyFont="1" applyFill="1" applyBorder="1" applyAlignment="1">
      <alignment horizontal="center" vertical="center"/>
    </xf>
    <xf numFmtId="169" fontId="45" fillId="0" borderId="34" xfId="0" applyNumberFormat="1" applyFont="1" applyFill="1" applyBorder="1" applyAlignment="1">
      <alignment horizontal="center" vertical="center"/>
    </xf>
    <xf numFmtId="0" fontId="68" fillId="0" borderId="32" xfId="0" applyFont="1" applyFill="1" applyBorder="1" applyAlignment="1">
      <alignment horizontal="center" wrapText="1"/>
    </xf>
    <xf numFmtId="0" fontId="45" fillId="0" borderId="55" xfId="0" applyFont="1" applyBorder="1" applyAlignment="1">
      <alignment horizontal="center"/>
    </xf>
    <xf numFmtId="0" fontId="95" fillId="0" borderId="5" xfId="0" applyFont="1" applyBorder="1" applyAlignment="1">
      <alignment horizontal="center"/>
    </xf>
    <xf numFmtId="0" fontId="68" fillId="0" borderId="30" xfId="0" applyFont="1" applyFill="1" applyBorder="1" applyAlignment="1">
      <alignment horizontal="left"/>
    </xf>
    <xf numFmtId="0" fontId="45" fillId="0" borderId="31" xfId="0" applyFont="1" applyFill="1" applyBorder="1" applyAlignment="1">
      <alignment horizontal="left"/>
    </xf>
    <xf numFmtId="0" fontId="129" fillId="0" borderId="0" xfId="0" applyFont="1" applyAlignment="1">
      <alignment horizontal="center"/>
    </xf>
    <xf numFmtId="0" fontId="122" fillId="0" borderId="5" xfId="0" applyFont="1" applyBorder="1" applyAlignment="1">
      <alignment horizontal="center"/>
    </xf>
    <xf numFmtId="0" fontId="122" fillId="0" borderId="7" xfId="0" applyFont="1" applyBorder="1" applyAlignment="1">
      <alignment horizontal="center"/>
    </xf>
    <xf numFmtId="0" fontId="0" fillId="11" borderId="1" xfId="0" applyFont="1" applyFill="1" applyBorder="1" applyAlignment="1">
      <alignment horizontal="center" vertical="center"/>
    </xf>
    <xf numFmtId="0" fontId="70" fillId="0" borderId="0" xfId="0" applyFont="1" applyBorder="1" applyAlignment="1">
      <alignment horizontal="center"/>
    </xf>
    <xf numFmtId="0" fontId="0" fillId="0" borderId="1" xfId="0" applyFont="1" applyBorder="1" applyAlignment="1">
      <alignment horizontal="center" vertical="center"/>
    </xf>
    <xf numFmtId="0" fontId="95" fillId="0" borderId="24" xfId="0" applyFont="1" applyFill="1" applyBorder="1" applyAlignment="1">
      <alignment horizontal="center"/>
    </xf>
    <xf numFmtId="0" fontId="68" fillId="0" borderId="63" xfId="0" applyFont="1" applyBorder="1" applyAlignment="1">
      <alignment horizontal="center"/>
    </xf>
    <xf numFmtId="0" fontId="68" fillId="0" borderId="3" xfId="0" applyFont="1" applyBorder="1" applyAlignment="1">
      <alignment horizontal="center"/>
    </xf>
    <xf numFmtId="0" fontId="68" fillId="0" borderId="65" xfId="0" applyFont="1" applyBorder="1" applyAlignment="1">
      <alignment horizontal="center"/>
    </xf>
    <xf numFmtId="0" fontId="68" fillId="0" borderId="34" xfId="0" applyFont="1" applyFill="1" applyBorder="1" applyAlignment="1">
      <alignment horizontal="center" wrapText="1"/>
    </xf>
    <xf numFmtId="0" fontId="45" fillId="0" borderId="5" xfId="0" applyFont="1" applyFill="1" applyBorder="1" applyAlignment="1">
      <alignment horizontal="center"/>
    </xf>
    <xf numFmtId="0" fontId="45" fillId="0" borderId="53" xfId="0" applyFont="1" applyFill="1" applyBorder="1" applyAlignment="1">
      <alignment horizontal="center"/>
    </xf>
    <xf numFmtId="0" fontId="68" fillId="0" borderId="5" xfId="0" applyFont="1" applyFill="1" applyBorder="1" applyAlignment="1">
      <alignment horizontal="center"/>
    </xf>
    <xf numFmtId="0" fontId="68" fillId="0" borderId="7" xfId="0" applyFont="1" applyFill="1" applyBorder="1" applyAlignment="1">
      <alignment horizontal="center"/>
    </xf>
    <xf numFmtId="0" fontId="68" fillId="0" borderId="24" xfId="0" applyFont="1" applyFill="1" applyBorder="1" applyAlignment="1">
      <alignment horizontal="center"/>
    </xf>
    <xf numFmtId="0" fontId="68" fillId="0" borderId="0" xfId="0" applyFont="1" applyAlignment="1">
      <alignment horizontal="left" vertical="center"/>
    </xf>
    <xf numFmtId="0" fontId="95" fillId="11" borderId="1" xfId="0" applyFont="1" applyFill="1" applyBorder="1" applyAlignment="1">
      <alignment horizontal="center"/>
    </xf>
    <xf numFmtId="0" fontId="95" fillId="0" borderId="9" xfId="0" applyFont="1" applyFill="1" applyBorder="1" applyAlignment="1">
      <alignment horizontal="center"/>
    </xf>
    <xf numFmtId="0" fontId="95" fillId="0" borderId="0" xfId="0" applyFont="1" applyFill="1" applyBorder="1" applyAlignment="1">
      <alignment horizontal="center"/>
    </xf>
    <xf numFmtId="0" fontId="68" fillId="0" borderId="32" xfId="0" applyFont="1" applyBorder="1" applyAlignment="1">
      <alignment horizontal="center" vertical="center" wrapText="1"/>
    </xf>
    <xf numFmtId="0" fontId="68" fillId="0" borderId="34" xfId="0" applyFont="1" applyBorder="1" applyAlignment="1">
      <alignment horizontal="center" vertical="center" wrapText="1"/>
    </xf>
    <xf numFmtId="0" fontId="68" fillId="0" borderId="17" xfId="0" applyFont="1" applyFill="1" applyBorder="1" applyAlignment="1">
      <alignment horizontal="center"/>
    </xf>
    <xf numFmtId="0" fontId="68" fillId="0" borderId="1" xfId="0" applyFont="1" applyFill="1" applyBorder="1" applyAlignment="1">
      <alignment horizontal="center"/>
    </xf>
    <xf numFmtId="0" fontId="95" fillId="0" borderId="1" xfId="0" applyFont="1" applyFill="1" applyBorder="1" applyAlignment="1">
      <alignment horizontal="center" wrapText="1"/>
    </xf>
    <xf numFmtId="0" fontId="45" fillId="0" borderId="84" xfId="0" applyFont="1" applyBorder="1" applyAlignment="1">
      <alignment horizontal="center" vertical="center"/>
    </xf>
    <xf numFmtId="0" fontId="68" fillId="0" borderId="84" xfId="0" applyFont="1" applyBorder="1" applyAlignment="1">
      <alignment horizontal="center" vertical="center"/>
    </xf>
    <xf numFmtId="0" fontId="68" fillId="0" borderId="32" xfId="0" applyFont="1" applyBorder="1" applyAlignment="1">
      <alignment horizontal="center"/>
    </xf>
    <xf numFmtId="0" fontId="45" fillId="0" borderId="34" xfId="0" applyFont="1" applyBorder="1" applyAlignment="1">
      <alignment horizontal="center"/>
    </xf>
    <xf numFmtId="0" fontId="23" fillId="0" borderId="6" xfId="0" applyFont="1" applyBorder="1" applyAlignment="1">
      <alignment horizontal="center" wrapText="1"/>
    </xf>
    <xf numFmtId="0" fontId="24" fillId="0" borderId="6" xfId="0" applyFont="1" applyBorder="1" applyAlignment="1">
      <alignment horizontal="center" wrapText="1"/>
    </xf>
    <xf numFmtId="0" fontId="43" fillId="0" borderId="0" xfId="0" applyFont="1" applyAlignment="1">
      <alignment horizontal="center" wrapText="1"/>
    </xf>
    <xf numFmtId="0" fontId="60" fillId="8" borderId="42" xfId="0" applyFont="1" applyFill="1" applyBorder="1" applyAlignment="1">
      <alignment horizontal="center"/>
    </xf>
    <xf numFmtId="0" fontId="60" fillId="8" borderId="41" xfId="0" applyFont="1" applyFill="1" applyBorder="1" applyAlignment="1">
      <alignment horizontal="center"/>
    </xf>
    <xf numFmtId="0" fontId="60" fillId="8" borderId="24" xfId="0" applyFont="1" applyFill="1" applyBorder="1" applyAlignment="1">
      <alignment horizontal="center"/>
    </xf>
    <xf numFmtId="0" fontId="0" fillId="0" borderId="0" xfId="0" applyAlignment="1">
      <alignment horizontal="center"/>
    </xf>
    <xf numFmtId="0" fontId="44" fillId="0" borderId="0" xfId="0" applyFont="1" applyAlignment="1">
      <alignment horizontal="center"/>
    </xf>
    <xf numFmtId="0" fontId="44" fillId="0" borderId="0" xfId="0" applyFont="1" applyFill="1" applyBorder="1" applyAlignment="1">
      <alignment horizontal="center"/>
    </xf>
    <xf numFmtId="0" fontId="0" fillId="0" borderId="1" xfId="0" applyBorder="1" applyAlignment="1">
      <alignment horizontal="left" vertical="top" wrapText="1"/>
    </xf>
    <xf numFmtId="0" fontId="45" fillId="0" borderId="32" xfId="0" applyFont="1" applyBorder="1" applyAlignment="1">
      <alignment horizontal="center" vertical="center"/>
    </xf>
    <xf numFmtId="0" fontId="0" fillId="0" borderId="33" xfId="0" applyBorder="1" applyAlignment="1">
      <alignment horizontal="center" vertical="center"/>
    </xf>
    <xf numFmtId="0" fontId="0" fillId="0" borderId="34" xfId="0" applyBorder="1" applyAlignment="1">
      <alignment horizontal="center" vertical="center"/>
    </xf>
    <xf numFmtId="0" fontId="86" fillId="9" borderId="1" xfId="0" applyFont="1" applyFill="1" applyBorder="1" applyAlignment="1">
      <alignment horizontal="left" vertical="top" wrapText="1"/>
    </xf>
    <xf numFmtId="0" fontId="0" fillId="9" borderId="32" xfId="0" applyFill="1" applyBorder="1" applyAlignment="1">
      <alignment horizontal="center" vertical="center"/>
    </xf>
    <xf numFmtId="0" fontId="0" fillId="9" borderId="34" xfId="0" applyFill="1" applyBorder="1" applyAlignment="1">
      <alignment horizontal="center" vertical="center"/>
    </xf>
    <xf numFmtId="14" fontId="0" fillId="9" borderId="32" xfId="0" applyNumberFormat="1" applyFill="1" applyBorder="1" applyAlignment="1">
      <alignment horizontal="center" vertical="center"/>
    </xf>
    <xf numFmtId="0" fontId="0" fillId="0" borderId="32" xfId="0" applyBorder="1" applyAlignment="1">
      <alignment horizontal="center" vertical="center"/>
    </xf>
    <xf numFmtId="14" fontId="0" fillId="0" borderId="32" xfId="0" applyNumberFormat="1" applyBorder="1" applyAlignment="1">
      <alignment horizontal="center" vertical="center"/>
    </xf>
    <xf numFmtId="0" fontId="45" fillId="0" borderId="33" xfId="0" applyFont="1" applyBorder="1" applyAlignment="1">
      <alignment horizontal="center" vertical="center"/>
    </xf>
    <xf numFmtId="0" fontId="45" fillId="0" borderId="34" xfId="0" applyFont="1" applyBorder="1"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45" fillId="0" borderId="1" xfId="0" applyFont="1" applyBorder="1" applyAlignment="1">
      <alignment horizontal="center" vertical="center"/>
    </xf>
    <xf numFmtId="0" fontId="0" fillId="9" borderId="1" xfId="0" applyFill="1" applyBorder="1" applyAlignment="1">
      <alignment horizontal="center" vertical="center"/>
    </xf>
    <xf numFmtId="14" fontId="0" fillId="9" borderId="33" xfId="0" applyNumberFormat="1" applyFill="1" applyBorder="1" applyAlignment="1">
      <alignment horizontal="center" vertical="center"/>
    </xf>
    <xf numFmtId="14" fontId="0" fillId="9" borderId="34" xfId="0" applyNumberFormat="1" applyFill="1" applyBorder="1" applyAlignment="1">
      <alignment horizontal="center" vertical="center"/>
    </xf>
    <xf numFmtId="0" fontId="0" fillId="9" borderId="33" xfId="0" applyFill="1" applyBorder="1" applyAlignment="1">
      <alignment horizontal="center" vertical="center"/>
    </xf>
    <xf numFmtId="0" fontId="45" fillId="9" borderId="32" xfId="0" applyFont="1" applyFill="1" applyBorder="1" applyAlignment="1">
      <alignment horizontal="center" vertical="center"/>
    </xf>
    <xf numFmtId="0" fontId="45" fillId="9" borderId="34" xfId="0" applyFont="1" applyFill="1" applyBorder="1" applyAlignment="1">
      <alignment horizontal="center" vertical="center"/>
    </xf>
    <xf numFmtId="0" fontId="45" fillId="9" borderId="1" xfId="0" applyFont="1" applyFill="1" applyBorder="1" applyAlignment="1">
      <alignment horizontal="center" vertical="center"/>
    </xf>
    <xf numFmtId="171" fontId="0" fillId="0" borderId="32" xfId="0" applyNumberFormat="1" applyBorder="1" applyAlignment="1">
      <alignment horizontal="center" vertical="center"/>
    </xf>
    <xf numFmtId="171" fontId="0" fillId="0" borderId="33" xfId="0" applyNumberFormat="1" applyBorder="1" applyAlignment="1">
      <alignment horizontal="center" vertical="center"/>
    </xf>
    <xf numFmtId="171" fontId="0" fillId="0" borderId="34" xfId="0" applyNumberFormat="1" applyBorder="1" applyAlignment="1">
      <alignment horizontal="center" vertical="center"/>
    </xf>
    <xf numFmtId="14" fontId="45" fillId="0" borderId="1" xfId="0" applyNumberFormat="1" applyFont="1" applyBorder="1" applyAlignment="1">
      <alignment horizontal="center" vertical="center"/>
    </xf>
    <xf numFmtId="14" fontId="0" fillId="0" borderId="34" xfId="0" applyNumberFormat="1" applyBorder="1" applyAlignment="1">
      <alignment horizontal="center" vertical="center"/>
    </xf>
    <xf numFmtId="0" fontId="113" fillId="19" borderId="2" xfId="0" quotePrefix="1" applyFont="1" applyFill="1" applyBorder="1" applyAlignment="1">
      <alignment horizontal="center" vertical="center"/>
    </xf>
    <xf numFmtId="0" fontId="113" fillId="19" borderId="56" xfId="0" quotePrefix="1" applyFont="1" applyFill="1" applyBorder="1" applyAlignment="1">
      <alignment horizontal="center" vertical="center"/>
    </xf>
    <xf numFmtId="0" fontId="113" fillId="19" borderId="1" xfId="0" quotePrefix="1" applyFont="1" applyFill="1" applyBorder="1" applyAlignment="1">
      <alignment horizontal="center" vertical="center"/>
    </xf>
    <xf numFmtId="0" fontId="113" fillId="19" borderId="0" xfId="0" quotePrefix="1" applyFont="1" applyFill="1" applyAlignment="1">
      <alignment horizontal="center" vertical="center"/>
    </xf>
    <xf numFmtId="0" fontId="113" fillId="19" borderId="15" xfId="0" quotePrefix="1" applyFont="1" applyFill="1" applyBorder="1" applyAlignment="1">
      <alignment horizontal="center" vertical="center"/>
    </xf>
    <xf numFmtId="0" fontId="113" fillId="19" borderId="15" xfId="0" quotePrefix="1" applyFont="1" applyFill="1" applyBorder="1" applyAlignment="1">
      <alignment horizontal="left" vertical="center"/>
    </xf>
    <xf numFmtId="0" fontId="113" fillId="19" borderId="2" xfId="0" quotePrefix="1" applyFont="1" applyFill="1" applyBorder="1" applyAlignment="1">
      <alignment horizontal="left" vertical="center"/>
    </xf>
  </cellXfs>
  <cellStyles count="10">
    <cellStyle name="Good" xfId="1" builtinId="26"/>
    <cellStyle name="Heading 2" xfId="5" builtinId="17"/>
    <cellStyle name="Heading 4" xfId="6" builtinId="19"/>
    <cellStyle name="Hyperlink" xfId="8" builtinId="8"/>
    <cellStyle name="Input" xfId="2" builtinId="20"/>
    <cellStyle name="Normal" xfId="0" builtinId="0"/>
    <cellStyle name="Normal 2" xfId="9" xr:uid="{6C10C1B5-625D-40DC-9F61-31141440E2D4}"/>
    <cellStyle name="Note" xfId="3" builtinId="10"/>
    <cellStyle name="Output" xfId="4" builtinId="21"/>
    <cellStyle name="Percent" xfId="7" builtinId="5"/>
  </cellStyles>
  <dxfs count="449">
    <dxf>
      <numFmt numFmtId="0" formatCode="General"/>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rgb="FF800000"/>
      </font>
      <fill>
        <patternFill>
          <bgColor rgb="FFFFCCCC"/>
        </patternFill>
      </fill>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alignment horizontal="center" vertical="bottom" textRotation="0" wrapText="0" indent="0" justifyLastLine="0" shrinkToFit="0" readingOrder="0"/>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protection locked="0" hidden="0"/>
    </dxf>
    <dxf>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numFmt numFmtId="0" formatCode="General"/>
      <protection locked="0" hidden="0"/>
    </dxf>
    <dxf>
      <protection locked="0" hidden="0"/>
    </dxf>
    <dxf>
      <protection locked="0" hidden="0"/>
    </dxf>
    <dxf>
      <protection locked="0" hidden="0"/>
    </dxf>
    <dxf>
      <numFmt numFmtId="0" formatCode="General"/>
      <protection locked="0" hidden="0"/>
    </dxf>
    <dxf>
      <numFmt numFmtId="0" formatCode="General"/>
      <protection locked="0" hidden="0"/>
    </dxf>
    <dxf>
      <protection locked="0" hidden="0"/>
    </dxf>
    <dxf>
      <font>
        <b val="0"/>
        <i val="0"/>
        <strike val="0"/>
        <condense val="0"/>
        <extend val="0"/>
        <outline val="0"/>
        <shadow val="0"/>
        <u val="none"/>
        <vertAlign val="baseline"/>
        <sz val="10"/>
        <color auto="1"/>
        <name val="Arial"/>
        <scheme val="none"/>
      </font>
      <protection locked="0" hidden="0"/>
    </dxf>
    <dxf>
      <font>
        <b val="0"/>
        <i val="0"/>
        <strike val="0"/>
        <condense val="0"/>
        <extend val="0"/>
        <outline val="0"/>
        <shadow val="0"/>
        <u val="none"/>
        <vertAlign val="baseline"/>
        <sz val="10"/>
        <color auto="1"/>
        <name val="Arial"/>
        <scheme val="none"/>
      </font>
      <protection locked="0" hidden="0"/>
    </dxf>
    <dxf>
      <protection locked="0" hidden="0"/>
    </dxf>
    <dxf>
      <font>
        <b val="0"/>
        <i val="0"/>
        <strike val="0"/>
        <condense val="0"/>
        <extend val="0"/>
        <outline val="0"/>
        <shadow val="0"/>
        <u val="none"/>
        <vertAlign val="baseline"/>
        <sz val="10"/>
        <color auto="1"/>
        <name val="Arial"/>
        <scheme val="none"/>
      </font>
      <fill>
        <patternFill patternType="solid">
          <fgColor indexed="64"/>
          <bgColor rgb="FFFFFF00"/>
        </patternFill>
      </fill>
      <alignment horizontal="general" vertical="bottom" textRotation="0" wrapText="1" indent="0" justifyLastLine="0" shrinkToFit="0" readingOrder="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fill>
        <patternFill patternType="none">
          <fgColor indexed="64"/>
          <bgColor auto="1"/>
        </patternFill>
      </fill>
      <alignment horizontal="right" vertical="bottom" textRotation="0" wrapText="0" indent="0" justifyLastLine="0" shrinkToFit="0" readingOrder="0"/>
      <protection locked="0" hidden="0"/>
    </dxf>
    <dxf>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fill>
        <patternFill patternType="none">
          <fgColor indexed="64"/>
          <bgColor auto="1"/>
        </patternFill>
      </fil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fill>
        <patternFill patternType="none">
          <fgColor indexed="64"/>
          <bgColor auto="1"/>
        </patternFill>
      </fil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protection locked="1" hidden="0"/>
    </dxf>
    <dxf>
      <protection locked="1" hidden="0"/>
    </dxf>
    <dxf>
      <protection locked="1" hidden="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3"/>
        </patternFill>
      </fill>
    </dxf>
    <dxf>
      <fill>
        <patternFill>
          <bgColor rgb="FFF7FCB3"/>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numFmt numFmtId="0" formatCode="General"/>
      <protection locked="1" hidden="0"/>
    </dxf>
    <dxf>
      <protection locked="1" hidden="0"/>
    </dxf>
    <dxf>
      <protection locked="1" hidden="0"/>
    </dxf>
    <dxf>
      <protection locked="1" hidden="0"/>
    </dxf>
    <dxf>
      <protection locked="1" hidden="0"/>
    </dxf>
    <dxf>
      <protection locked="1" hidden="0"/>
    </dxf>
    <dxf>
      <font>
        <b val="0"/>
        <i val="0"/>
        <strike val="0"/>
        <condense val="0"/>
        <extend val="0"/>
        <outline val="0"/>
        <shadow val="0"/>
        <u val="none"/>
        <vertAlign val="baseline"/>
        <sz val="11"/>
        <color auto="1"/>
        <name val="Arial"/>
        <scheme val="none"/>
      </font>
      <alignment horizontal="general" vertical="center" textRotation="0" wrapText="0" indent="0" justifyLastLine="0" shrinkToFit="0" readingOrder="0"/>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border>
        <right/>
        <top/>
        <bottom/>
        <vertical/>
        <horizontal/>
      </border>
    </dxf>
    <dxf>
      <border>
        <right/>
        <top/>
        <bottom/>
      </border>
    </dxf>
    <dxf>
      <fill>
        <patternFill>
          <bgColor theme="0" tint="-0.24994659260841701"/>
        </patternFill>
      </fill>
    </dxf>
    <dxf>
      <border>
        <right/>
        <top/>
        <bottom/>
      </border>
    </dxf>
    <dxf>
      <fill>
        <patternFill>
          <bgColor theme="0" tint="-0.24994659260841701"/>
        </patternFill>
      </fill>
    </dxf>
    <dxf>
      <font>
        <color theme="0"/>
      </font>
      <fill>
        <patternFill patternType="none">
          <bgColor auto="1"/>
        </patternFill>
      </fill>
    </dxf>
    <dxf>
      <font>
        <color theme="0"/>
      </font>
    </dxf>
    <dxf>
      <font>
        <color theme="0"/>
      </font>
      <fill>
        <patternFill patternType="none">
          <bgColor auto="1"/>
        </patternFill>
      </fill>
    </dxf>
    <dxf>
      <border>
        <left/>
        <right/>
        <top/>
        <bottom/>
      </border>
    </dxf>
  </dxfs>
  <tableStyles count="0" defaultTableStyle="TableStyleMedium9" defaultPivotStyle="PivotStyleLight16"/>
  <colors>
    <mruColors>
      <color rgb="FFE7F6FF"/>
      <color rgb="FF0000FF"/>
      <color rgb="FF969696"/>
      <color rgb="FFFFFFA5"/>
      <color rgb="FFFFFF99"/>
      <color rgb="FFF7FCB2"/>
      <color rgb="FFF7FCB3"/>
      <color rgb="FFDCE6F1"/>
      <color rgb="FFD1D9FF"/>
      <color rgb="FFE3E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10/relationships/person" Target="persons/person.xml"/><Relationship Id="rId21" Type="http://schemas.openxmlformats.org/officeDocument/2006/relationships/worksheet" Target="worksheets/sheet21.xml"/><Relationship Id="rId34" Type="http://schemas.openxmlformats.org/officeDocument/2006/relationships/theme" Target="theme/theme1.xml"/><Relationship Id="rId42"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43" Type="http://schemas.openxmlformats.org/officeDocument/2006/relationships/customXml" Target="../customXml/item3.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eetMetadata" Target="metadata.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activeX/activeX9.xml><?xml version="1.0" encoding="utf-8"?>
<ax:ocx xmlns:ax="http://schemas.microsoft.com/office/2006/activeX" xmlns:r="http://schemas.openxmlformats.org/officeDocument/2006/relationships" ax:classid="{8BD21D50-EC42-11CE-9E0D-00AA006002F3}" ax:persistence="persistStreamInit" r:id="rId1"/>
</file>

<file path=xl/activeX/activeX10.xml><?xml version="1.0" encoding="utf-8"?>
<ax:ocx xmlns:ax="http://schemas.microsoft.com/office/2006/activeX" xmlns:r="http://schemas.openxmlformats.org/officeDocument/2006/relationships" ax:classid="{8BD21D50-EC42-11CE-9E0D-00AA006002F3}" ax:persistence="persistStreamInit" r:id="rId1"/>
</file>

<file path=xl/activeX/activeX11.xml><?xml version="1.0" encoding="utf-8"?>
<ax:ocx xmlns:ax="http://schemas.microsoft.com/office/2006/activeX" xmlns:r="http://schemas.openxmlformats.org/officeDocument/2006/relationships" ax:classid="{8BD21D50-EC42-11CE-9E0D-00AA006002F3}" ax:persistence="persistStreamInit" r:id="rId1"/>
</file>

<file path=xl/activeX/activeX12.xml><?xml version="1.0" encoding="utf-8"?>
<ax:ocx xmlns:ax="http://schemas.microsoft.com/office/2006/activeX" xmlns:r="http://schemas.openxmlformats.org/officeDocument/2006/relationships" ax:classid="{8BD21D50-EC42-11CE-9E0D-00AA006002F3}" ax:persistence="persistStreamInit" r:id="rId1"/>
</file>

<file path=xl/activeX/activeX13.xml><?xml version="1.0" encoding="utf-8"?>
<ax:ocx xmlns:ax="http://schemas.microsoft.com/office/2006/activeX" xmlns:r="http://schemas.openxmlformats.org/officeDocument/2006/relationships" ax:classid="{8BD21D5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77039225827822E-2"/>
          <c:y val="3.3161183341605983E-2"/>
          <c:w val="0.94164859264861456"/>
          <c:h val="0.92554487183125289"/>
        </c:manualLayout>
      </c:layout>
      <c:scatterChart>
        <c:scatterStyle val="lineMarker"/>
        <c:varyColors val="0"/>
        <c:ser>
          <c:idx val="0"/>
          <c:order val="0"/>
          <c:spPr>
            <a:ln w="28575">
              <a:noFill/>
            </a:ln>
          </c:spPr>
          <c:xVal>
            <c:numRef>
              <c:f>Calculations!$G$109:$G$289</c:f>
              <c:numCache>
                <c:formatCode>General</c:formatCode>
                <c:ptCount val="18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numCache>
            </c:numRef>
          </c:xVal>
          <c:yVal>
            <c:numRef>
              <c:f>Calculations!$H$109:$H$289</c:f>
              <c:numCache>
                <c:formatCode>General</c:formatCode>
                <c:ptCount val="181"/>
              </c:numCache>
            </c:numRef>
          </c:yVal>
          <c:smooth val="0"/>
          <c:extLst>
            <c:ext xmlns:c16="http://schemas.microsoft.com/office/drawing/2014/chart" uri="{C3380CC4-5D6E-409C-BE32-E72D297353CC}">
              <c16:uniqueId val="{00000000-0831-4B63-9010-BF8BACD963DB}"/>
            </c:ext>
          </c:extLst>
        </c:ser>
        <c:dLbls>
          <c:showLegendKey val="0"/>
          <c:showVal val="0"/>
          <c:showCatName val="0"/>
          <c:showSerName val="0"/>
          <c:showPercent val="0"/>
          <c:showBubbleSize val="0"/>
        </c:dLbls>
        <c:axId val="169052032"/>
        <c:axId val="169053568"/>
      </c:scatterChart>
      <c:valAx>
        <c:axId val="169052032"/>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69053568"/>
        <c:crosses val="autoZero"/>
        <c:crossBetween val="midCat"/>
      </c:valAx>
      <c:valAx>
        <c:axId val="169053568"/>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69052032"/>
        <c:crosses val="autoZero"/>
        <c:crossBetween val="midCat"/>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056" l="0.70000000000000051" r="0.70000000000000051" t="0.75000000000000056" header="0.30000000000000027" footer="0.30000000000000027"/>
    <c:pageSetup/>
  </c:printSettings>
</c:chartSpace>
</file>

<file path=xl/ctrlProps/ctrlProp1.xml><?xml version="1.0" encoding="utf-8"?>
<formControlPr xmlns="http://schemas.microsoft.com/office/spreadsheetml/2009/9/main" objectType="CheckBox" checked="Checked" fmlaLink="Calculations!$F$27" lockText="1" noThreeD="1"/>
</file>

<file path=xl/ctrlProps/ctrlProp2.xml><?xml version="1.0" encoding="utf-8"?>
<formControlPr xmlns="http://schemas.microsoft.com/office/spreadsheetml/2009/9/main" objectType="CheckBox" fmlaLink="Calculations!$F$30" lockText="1" noThreeD="1"/>
</file>

<file path=xl/ctrlProps/ctrlProp3.xml><?xml version="1.0" encoding="utf-8"?>
<formControlPr xmlns="http://schemas.microsoft.com/office/spreadsheetml/2009/9/main" objectType="CheckBox" fmlaLink="$FU$3"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jpe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2.png"/></Relationships>
</file>

<file path=xl/drawings/_rels/drawing4.xml.rels><?xml version="1.0" encoding="UTF-8" standalone="yes"?>
<Relationships xmlns="http://schemas.openxmlformats.org/package/2006/relationships"><Relationship Id="rId1" Type="http://schemas.openxmlformats.org/officeDocument/2006/relationships/image" Target="../media/image12.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2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3.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6.emf"/><Relationship Id="rId1" Type="http://schemas.openxmlformats.org/officeDocument/2006/relationships/image" Target="../media/image17.emf"/><Relationship Id="rId5" Type="http://schemas.openxmlformats.org/officeDocument/2006/relationships/image" Target="../media/image13.emf"/><Relationship Id="rId4" Type="http://schemas.openxmlformats.org/officeDocument/2006/relationships/image" Target="../media/image14.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18.emf"/><Relationship Id="rId3" Type="http://schemas.openxmlformats.org/officeDocument/2006/relationships/image" Target="../media/image23.emf"/><Relationship Id="rId7" Type="http://schemas.openxmlformats.org/officeDocument/2006/relationships/image" Target="../media/image19.emf"/><Relationship Id="rId2" Type="http://schemas.openxmlformats.org/officeDocument/2006/relationships/image" Target="../media/image24.emf"/><Relationship Id="rId1" Type="http://schemas.openxmlformats.org/officeDocument/2006/relationships/image" Target="../media/image25.emf"/><Relationship Id="rId6" Type="http://schemas.openxmlformats.org/officeDocument/2006/relationships/image" Target="../media/image20.emf"/><Relationship Id="rId5" Type="http://schemas.openxmlformats.org/officeDocument/2006/relationships/image" Target="../media/image21.emf"/><Relationship Id="rId4"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xdr:twoCellAnchor editAs="oneCell">
    <xdr:from>
      <xdr:col>1</xdr:col>
      <xdr:colOff>4969</xdr:colOff>
      <xdr:row>165</xdr:row>
      <xdr:rowOff>37272</xdr:rowOff>
    </xdr:from>
    <xdr:to>
      <xdr:col>6</xdr:col>
      <xdr:colOff>109743</xdr:colOff>
      <xdr:row>166</xdr:row>
      <xdr:rowOff>81170</xdr:rowOff>
    </xdr:to>
    <xdr:sp macro="[0]!Sheet4.Mat_dbase_Click" textlink="">
      <xdr:nvSpPr>
        <xdr:cNvPr id="26" name="Rectangle 25">
          <a:extLst>
            <a:ext uri="{FF2B5EF4-FFF2-40B4-BE49-F238E27FC236}">
              <a16:creationId xmlns:a16="http://schemas.microsoft.com/office/drawing/2014/main" id="{00000000-0008-0000-0000-00001A000000}"/>
            </a:ext>
          </a:extLst>
        </xdr:cNvPr>
        <xdr:cNvSpPr/>
      </xdr:nvSpPr>
      <xdr:spPr>
        <a:xfrm>
          <a:off x="795544" y="17325147"/>
          <a:ext cx="1343024" cy="205823"/>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Materials</a:t>
          </a:r>
          <a:r>
            <a:rPr lang="en-US" sz="1050" u="sng" baseline="0">
              <a:solidFill>
                <a:srgbClr val="0000FF"/>
              </a:solidFill>
              <a:latin typeface="Cambria (Headings)"/>
            </a:rPr>
            <a:t> Database</a:t>
          </a:r>
          <a:endParaRPr lang="en-US" sz="1050" u="sng">
            <a:solidFill>
              <a:srgbClr val="0000FF"/>
            </a:solidFill>
            <a:latin typeface="Cambria (Headings)"/>
          </a:endParaRPr>
        </a:p>
      </xdr:txBody>
    </xdr:sp>
    <xdr:clientData fPrintsWithSheet="0"/>
  </xdr:twoCellAnchor>
  <xdr:twoCellAnchor editAs="oneCell">
    <xdr:from>
      <xdr:col>1</xdr:col>
      <xdr:colOff>14494</xdr:colOff>
      <xdr:row>166</xdr:row>
      <xdr:rowOff>142461</xdr:rowOff>
    </xdr:from>
    <xdr:to>
      <xdr:col>8</xdr:col>
      <xdr:colOff>36443</xdr:colOff>
      <xdr:row>168</xdr:row>
      <xdr:rowOff>22778</xdr:rowOff>
    </xdr:to>
    <xdr:sp macro="[0]!Sheet4.Reinf_dbase_Click" textlink="">
      <xdr:nvSpPr>
        <xdr:cNvPr id="27" name="Rectangle 26">
          <a:extLst>
            <a:ext uri="{FF2B5EF4-FFF2-40B4-BE49-F238E27FC236}">
              <a16:creationId xmlns:a16="http://schemas.microsoft.com/office/drawing/2014/main" id="{00000000-0008-0000-0000-00001B000000}"/>
            </a:ext>
          </a:extLst>
        </xdr:cNvPr>
        <xdr:cNvSpPr/>
      </xdr:nvSpPr>
      <xdr:spPr>
        <a:xfrm>
          <a:off x="805069" y="17592261"/>
          <a:ext cx="1755499" cy="204167"/>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Reinforcements Database</a:t>
          </a:r>
        </a:p>
      </xdr:txBody>
    </xdr:sp>
    <xdr:clientData fPrintsWithSheet="0"/>
  </xdr:twoCellAnchor>
  <xdr:twoCellAnchor editAs="oneCell">
    <xdr:from>
      <xdr:col>10</xdr:col>
      <xdr:colOff>221145</xdr:colOff>
      <xdr:row>18</xdr:row>
      <xdr:rowOff>16565</xdr:rowOff>
    </xdr:from>
    <xdr:to>
      <xdr:col>15</xdr:col>
      <xdr:colOff>210792</xdr:colOff>
      <xdr:row>18</xdr:row>
      <xdr:rowOff>226115</xdr:rowOff>
    </xdr:to>
    <xdr:sp macro="[0]!Sheet4.Design_Options_Click" textlink="">
      <xdr:nvSpPr>
        <xdr:cNvPr id="24" name="Rectangle 23">
          <a:extLst>
            <a:ext uri="{FF2B5EF4-FFF2-40B4-BE49-F238E27FC236}">
              <a16:creationId xmlns:a16="http://schemas.microsoft.com/office/drawing/2014/main" id="{00000000-0008-0000-0000-000018000000}"/>
            </a:ext>
          </a:extLst>
        </xdr:cNvPr>
        <xdr:cNvSpPr/>
      </xdr:nvSpPr>
      <xdr:spPr>
        <a:xfrm>
          <a:off x="3240570" y="2378765"/>
          <a:ext cx="1227897" cy="20955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Design Options</a:t>
          </a:r>
        </a:p>
      </xdr:txBody>
    </xdr:sp>
    <xdr:clientData fPrintsWithSheet="0"/>
  </xdr:twoCellAnchor>
  <xdr:twoCellAnchor editAs="absolute">
    <xdr:from>
      <xdr:col>6</xdr:col>
      <xdr:colOff>99365</xdr:colOff>
      <xdr:row>5</xdr:row>
      <xdr:rowOff>21419</xdr:rowOff>
    </xdr:from>
    <xdr:to>
      <xdr:col>10</xdr:col>
      <xdr:colOff>217290</xdr:colOff>
      <xdr:row>5</xdr:row>
      <xdr:rowOff>227243</xdr:rowOff>
    </xdr:to>
    <xdr:sp macro="[0]!Sheet4.Import_Click" textlink="">
      <xdr:nvSpPr>
        <xdr:cNvPr id="25" name="Rectangle 24">
          <a:extLst>
            <a:ext uri="{FF2B5EF4-FFF2-40B4-BE49-F238E27FC236}">
              <a16:creationId xmlns:a16="http://schemas.microsoft.com/office/drawing/2014/main" id="{00000000-0008-0000-0000-000019000000}"/>
            </a:ext>
          </a:extLst>
        </xdr:cNvPr>
        <xdr:cNvSpPr/>
      </xdr:nvSpPr>
      <xdr:spPr>
        <a:xfrm>
          <a:off x="2128190" y="1278719"/>
          <a:ext cx="1108525" cy="205824"/>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Import TNX File</a:t>
          </a:r>
        </a:p>
      </xdr:txBody>
    </xdr:sp>
    <xdr:clientData fPrintsWithSheet="0"/>
  </xdr:twoCellAnchor>
  <xdr:twoCellAnchor editAs="absolute">
    <xdr:from>
      <xdr:col>29</xdr:col>
      <xdr:colOff>190500</xdr:colOff>
      <xdr:row>0</xdr:row>
      <xdr:rowOff>9524</xdr:rowOff>
    </xdr:from>
    <xdr:to>
      <xdr:col>36</xdr:col>
      <xdr:colOff>61382</xdr:colOff>
      <xdr:row>2</xdr:row>
      <xdr:rowOff>198966</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7915275" y="9524"/>
          <a:ext cx="1604432" cy="61806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r"/>
          <a:r>
            <a:rPr lang="en-US" sz="1100" b="1">
              <a:latin typeface="+mj-lt"/>
            </a:rPr>
            <a:t>TNX Geometry Input</a:t>
          </a:r>
        </a:p>
      </xdr:txBody>
    </xdr:sp>
    <xdr:clientData fPrintsWithSheet="0"/>
  </xdr:twoCellAnchor>
  <xdr:twoCellAnchor editAs="absolute">
    <xdr:from>
      <xdr:col>30</xdr:col>
      <xdr:colOff>62534</xdr:colOff>
      <xdr:row>2</xdr:row>
      <xdr:rowOff>413</xdr:rowOff>
    </xdr:from>
    <xdr:to>
      <xdr:col>35</xdr:col>
      <xdr:colOff>53009</xdr:colOff>
      <xdr:row>2</xdr:row>
      <xdr:rowOff>208307</xdr:rowOff>
    </xdr:to>
    <xdr:sp macro="[0]!Sheet4.Analysis_Options_Click" textlink="">
      <xdr:nvSpPr>
        <xdr:cNvPr id="5" name="Rectangle 4">
          <a:extLst>
            <a:ext uri="{FF2B5EF4-FFF2-40B4-BE49-F238E27FC236}">
              <a16:creationId xmlns:a16="http://schemas.microsoft.com/office/drawing/2014/main" id="{00000000-0008-0000-0000-000005000000}"/>
            </a:ext>
          </a:extLst>
        </xdr:cNvPr>
        <xdr:cNvSpPr/>
      </xdr:nvSpPr>
      <xdr:spPr>
        <a:xfrm>
          <a:off x="8053595" y="431109"/>
          <a:ext cx="1232866" cy="207894"/>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Analysis Options</a:t>
          </a:r>
        </a:p>
      </xdr:txBody>
    </xdr:sp>
    <xdr:clientData fPrintsWithSheet="0"/>
  </xdr:twoCellAnchor>
  <xdr:twoCellAnchor editAs="absolute">
    <xdr:from>
      <xdr:col>36</xdr:col>
      <xdr:colOff>19050</xdr:colOff>
      <xdr:row>0</xdr:row>
      <xdr:rowOff>0</xdr:rowOff>
    </xdr:from>
    <xdr:to>
      <xdr:col>38</xdr:col>
      <xdr:colOff>180975</xdr:colOff>
      <xdr:row>2</xdr:row>
      <xdr:rowOff>218017</xdr:rowOff>
    </xdr:to>
    <xdr:pic macro="[0]!Next_Click">
      <xdr:nvPicPr>
        <xdr:cNvPr id="54134" name="Picture 13">
          <a:extLst>
            <a:ext uri="{FF2B5EF4-FFF2-40B4-BE49-F238E27FC236}">
              <a16:creationId xmlns:a16="http://schemas.microsoft.com/office/drawing/2014/main" id="{00000000-0008-0000-0000-000076D3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477375" y="0"/>
          <a:ext cx="657225" cy="64664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editAs="absolute">
    <xdr:from>
      <xdr:col>0</xdr:col>
      <xdr:colOff>771525</xdr:colOff>
      <xdr:row>0</xdr:row>
      <xdr:rowOff>9526</xdr:rowOff>
    </xdr:from>
    <xdr:to>
      <xdr:col>2</xdr:col>
      <xdr:colOff>153129</xdr:colOff>
      <xdr:row>2</xdr:row>
      <xdr:rowOff>1</xdr:rowOff>
    </xdr:to>
    <xdr:pic macro="[0]!Reset_Click">
      <xdr:nvPicPr>
        <xdr:cNvPr id="54136" name="detail-icon-img" descr="isync, refresh, reload icon">
          <a:extLst>
            <a:ext uri="{FF2B5EF4-FFF2-40B4-BE49-F238E27FC236}">
              <a16:creationId xmlns:a16="http://schemas.microsoft.com/office/drawing/2014/main" id="{00000000-0008-0000-0000-000078D3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71525" y="9526"/>
          <a:ext cx="419829" cy="41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editAs="absolute">
    <xdr:from>
      <xdr:col>2</xdr:col>
      <xdr:colOff>152401</xdr:colOff>
      <xdr:row>0</xdr:row>
      <xdr:rowOff>47626</xdr:rowOff>
    </xdr:from>
    <xdr:to>
      <xdr:col>7</xdr:col>
      <xdr:colOff>76201</xdr:colOff>
      <xdr:row>1</xdr:row>
      <xdr:rowOff>219075</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1190626" y="47626"/>
          <a:ext cx="1162050" cy="3333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r>
            <a:rPr lang="en-US" sz="1100" b="1">
              <a:latin typeface="+mj-lt"/>
            </a:rPr>
            <a:t>Reset All</a:t>
          </a:r>
          <a:r>
            <a:rPr lang="en-US" sz="1100" b="1" baseline="0">
              <a:latin typeface="+mj-lt"/>
            </a:rPr>
            <a:t> Data</a:t>
          </a:r>
          <a:endParaRPr lang="en-US" sz="1100" b="1">
            <a:latin typeface="+mj-lt"/>
          </a:endParaRPr>
        </a:p>
      </xdr:txBody>
    </xdr:sp>
    <xdr:clientData fPrintsWithSheet="0"/>
  </xdr:twoCellAnchor>
  <xdr:twoCellAnchor editAs="absolute">
    <xdr:from>
      <xdr:col>39</xdr:col>
      <xdr:colOff>142875</xdr:colOff>
      <xdr:row>114</xdr:row>
      <xdr:rowOff>171450</xdr:rowOff>
    </xdr:from>
    <xdr:to>
      <xdr:col>50</xdr:col>
      <xdr:colOff>155796</xdr:colOff>
      <xdr:row>177</xdr:row>
      <xdr:rowOff>0</xdr:rowOff>
    </xdr:to>
    <xdr:pic>
      <xdr:nvPicPr>
        <xdr:cNvPr id="181" name="Picture 180">
          <a:extLst>
            <a:ext uri="{FF2B5EF4-FFF2-40B4-BE49-F238E27FC236}">
              <a16:creationId xmlns:a16="http://schemas.microsoft.com/office/drawing/2014/main" id="{00000000-0008-0000-0000-0000B5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344150" y="6153150"/>
          <a:ext cx="2737071" cy="2133600"/>
        </a:xfrm>
        <a:prstGeom prst="rect">
          <a:avLst/>
        </a:prstGeom>
      </xdr:spPr>
    </xdr:pic>
    <xdr:clientData fPrintsWithSheet="0"/>
  </xdr:twoCellAnchor>
  <xdr:twoCellAnchor>
    <xdr:from>
      <xdr:col>16</xdr:col>
      <xdr:colOff>219074</xdr:colOff>
      <xdr:row>2</xdr:row>
      <xdr:rowOff>11431</xdr:rowOff>
    </xdr:from>
    <xdr:to>
      <xdr:col>19</xdr:col>
      <xdr:colOff>247649</xdr:colOff>
      <xdr:row>2</xdr:row>
      <xdr:rowOff>211455</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4943474" y="461011"/>
          <a:ext cx="782955" cy="2000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r"/>
          <a:r>
            <a:rPr lang="en-US" sz="1100" i="1"/>
            <a:t>per</a:t>
          </a:r>
          <a:r>
            <a:rPr lang="en-US" sz="1100" i="1" baseline="0"/>
            <a:t> TIA-222-</a:t>
          </a:r>
          <a:endParaRPr lang="en-US" sz="1100" i="1"/>
        </a:p>
      </xdr:txBody>
    </xdr:sp>
    <xdr:clientData/>
  </xdr:twoCellAnchor>
  <xdr:oneCellAnchor>
    <xdr:from>
      <xdr:col>16</xdr:col>
      <xdr:colOff>28218</xdr:colOff>
      <xdr:row>0</xdr:row>
      <xdr:rowOff>0</xdr:rowOff>
    </xdr:from>
    <xdr:ext cx="1315167" cy="457200"/>
    <xdr:sp macro="" textlink="">
      <xdr:nvSpPr>
        <xdr:cNvPr id="12" name="Rectangle 11">
          <a:extLst>
            <a:ext uri="{FF2B5EF4-FFF2-40B4-BE49-F238E27FC236}">
              <a16:creationId xmlns:a16="http://schemas.microsoft.com/office/drawing/2014/main" id="{00000000-0008-0000-0000-00000C000000}"/>
            </a:ext>
          </a:extLst>
        </xdr:cNvPr>
        <xdr:cNvSpPr/>
      </xdr:nvSpPr>
      <xdr:spPr>
        <a:xfrm>
          <a:off x="4666893" y="0"/>
          <a:ext cx="1315167" cy="457200"/>
        </a:xfrm>
        <a:prstGeom prst="rect">
          <a:avLst/>
        </a:prstGeom>
        <a:noFill/>
      </xdr:spPr>
      <xdr:txBody>
        <a:bodyPr wrap="none" lIns="91440" tIns="45720" rIns="91440" bIns="45720" anchor="t">
          <a:noAutofit/>
        </a:bodyPr>
        <a:lstStyle/>
        <a:p>
          <a:pPr algn="ctr"/>
          <a:r>
            <a:rPr lang="en-US" sz="2800" b="1" cap="none" spc="0">
              <a:ln w="12700">
                <a:solidFill>
                  <a:schemeClr val="tx2">
                    <a:satMod val="155000"/>
                  </a:schemeClr>
                </a:solidFill>
                <a:prstDash val="solid"/>
              </a:ln>
              <a:solidFill>
                <a:schemeClr val="bg1">
                  <a:lumMod val="85000"/>
                </a:schemeClr>
              </a:solidFill>
              <a:effectLst>
                <a:outerShdw blurRad="41275" dist="20320" dir="1800000" algn="tl" rotWithShape="0">
                  <a:srgbClr val="000000">
                    <a:alpha val="40000"/>
                  </a:srgbClr>
                </a:outerShdw>
              </a:effectLst>
            </a:rPr>
            <a:t>CCIpole</a:t>
          </a:r>
        </a:p>
      </xdr:txBody>
    </xdr:sp>
    <xdr:clientData/>
  </xdr:oneCellAnchor>
  <xdr:twoCellAnchor editAs="oneCell">
    <xdr:from>
      <xdr:col>0</xdr:col>
      <xdr:colOff>781050</xdr:colOff>
      <xdr:row>3</xdr:row>
      <xdr:rowOff>103122</xdr:rowOff>
    </xdr:from>
    <xdr:to>
      <xdr:col>2</xdr:col>
      <xdr:colOff>103260</xdr:colOff>
      <xdr:row>4</xdr:row>
      <xdr:rowOff>169797</xdr:rowOff>
    </xdr:to>
    <xdr:pic macro="[0]!Print_PDF_Click">
      <xdr:nvPicPr>
        <xdr:cNvPr id="183" name="Picture 182" descr="http://mattbaier.com/wp-content/uploads/2012/08/pdf-icon.png">
          <a:extLst>
            <a:ext uri="{FF2B5EF4-FFF2-40B4-BE49-F238E27FC236}">
              <a16:creationId xmlns:a16="http://schemas.microsoft.com/office/drawing/2014/main" id="{00000000-0008-0000-0000-0000B7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781050" y="856839"/>
          <a:ext cx="356708" cy="356567"/>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fPrintsWithSheet="0"/>
  </xdr:twoCellAnchor>
  <xdr:twoCellAnchor editAs="absolute">
    <xdr:from>
      <xdr:col>2</xdr:col>
      <xdr:colOff>142877</xdr:colOff>
      <xdr:row>3</xdr:row>
      <xdr:rowOff>124657</xdr:rowOff>
    </xdr:from>
    <xdr:to>
      <xdr:col>7</xdr:col>
      <xdr:colOff>1</xdr:colOff>
      <xdr:row>4</xdr:row>
      <xdr:rowOff>162756</xdr:rowOff>
    </xdr:to>
    <xdr:sp macro="" textlink="">
      <xdr:nvSpPr>
        <xdr:cNvPr id="184" name="TextBox 183">
          <a:extLst>
            <a:ext uri="{FF2B5EF4-FFF2-40B4-BE49-F238E27FC236}">
              <a16:creationId xmlns:a16="http://schemas.microsoft.com/office/drawing/2014/main" id="{00000000-0008-0000-0000-0000B8000000}"/>
            </a:ext>
          </a:extLst>
        </xdr:cNvPr>
        <xdr:cNvSpPr txBox="1"/>
      </xdr:nvSpPr>
      <xdr:spPr>
        <a:xfrm>
          <a:off x="1177375" y="878374"/>
          <a:ext cx="1098687" cy="32799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r>
            <a:rPr lang="en-US" sz="1100" b="1">
              <a:latin typeface="+mj-lt"/>
            </a:rPr>
            <a:t>Print PDF</a:t>
          </a:r>
        </a:p>
      </xdr:txBody>
    </xdr:sp>
    <xdr:clientData fPrintsWithSheet="0"/>
  </xdr:twoCellAnchor>
  <xdr:twoCellAnchor editAs="oneCell">
    <xdr:from>
      <xdr:col>31</xdr:col>
      <xdr:colOff>85727</xdr:colOff>
      <xdr:row>3</xdr:row>
      <xdr:rowOff>38100</xdr:rowOff>
    </xdr:from>
    <xdr:to>
      <xdr:col>37</xdr:col>
      <xdr:colOff>222327</xdr:colOff>
      <xdr:row>5</xdr:row>
      <xdr:rowOff>85725</xdr:rowOff>
    </xdr:to>
    <xdr:pic>
      <xdr:nvPicPr>
        <xdr:cNvPr id="14" name="Crown_Logo">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582027" y="815340"/>
          <a:ext cx="1645360" cy="550545"/>
        </a:xfrm>
        <a:prstGeom prst="rect">
          <a:avLst/>
        </a:prstGeom>
      </xdr:spPr>
    </xdr:pic>
    <xdr:clientData/>
  </xdr:twoCellAnchor>
  <xdr:twoCellAnchor editAs="absolute">
    <xdr:from>
      <xdr:col>39</xdr:col>
      <xdr:colOff>114300</xdr:colOff>
      <xdr:row>17</xdr:row>
      <xdr:rowOff>142875</xdr:rowOff>
    </xdr:from>
    <xdr:to>
      <xdr:col>53</xdr:col>
      <xdr:colOff>209550</xdr:colOff>
      <xdr:row>83</xdr:row>
      <xdr:rowOff>409575</xdr:rowOff>
    </xdr:to>
    <xdr:sp macro="" textlink="">
      <xdr:nvSpPr>
        <xdr:cNvPr id="2" name="Rectangle 1">
          <a:extLst>
            <a:ext uri="{FF2B5EF4-FFF2-40B4-BE49-F238E27FC236}">
              <a16:creationId xmlns:a16="http://schemas.microsoft.com/office/drawing/2014/main" id="{00000000-0008-0000-0000-000002000000}"/>
            </a:ext>
          </a:extLst>
        </xdr:cNvPr>
        <xdr:cNvSpPr/>
      </xdr:nvSpPr>
      <xdr:spPr>
        <a:xfrm>
          <a:off x="10315575" y="2190750"/>
          <a:ext cx="3562350" cy="3667125"/>
        </a:xfrm>
        <a:prstGeom prst="rect">
          <a:avLst/>
        </a:prstGeom>
        <a:noFill/>
        <a:ln w="12700">
          <a:solidFill>
            <a:schemeClr val="tx1"/>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absolute">
        <xdr:from>
          <xdr:col>22</xdr:col>
          <xdr:colOff>66675</xdr:colOff>
          <xdr:row>1</xdr:row>
          <xdr:rowOff>238125</xdr:rowOff>
        </xdr:from>
        <xdr:to>
          <xdr:col>29</xdr:col>
          <xdr:colOff>0</xdr:colOff>
          <xdr:row>2</xdr:row>
          <xdr:rowOff>228600</xdr:rowOff>
        </xdr:to>
        <xdr:sp macro="" textlink="">
          <xdr:nvSpPr>
            <xdr:cNvPr id="1380" name="H_15" hidden="1">
              <a:extLst>
                <a:ext uri="{63B3BB69-23CF-44E3-9099-C40C66FF867C}">
                  <a14:compatExt spid="_x0000_s1380"/>
                </a:ext>
                <a:ext uri="{FF2B5EF4-FFF2-40B4-BE49-F238E27FC236}">
                  <a16:creationId xmlns:a16="http://schemas.microsoft.com/office/drawing/2014/main" id="{00000000-0008-0000-0000-000064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 TIA-222-H Section 15.5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22</xdr:col>
          <xdr:colOff>66675</xdr:colOff>
          <xdr:row>1</xdr:row>
          <xdr:rowOff>238125</xdr:rowOff>
        </xdr:from>
        <xdr:to>
          <xdr:col>29</xdr:col>
          <xdr:colOff>0</xdr:colOff>
          <xdr:row>2</xdr:row>
          <xdr:rowOff>228600</xdr:rowOff>
        </xdr:to>
        <xdr:sp macro="" textlink="">
          <xdr:nvSpPr>
            <xdr:cNvPr id="1410" name="Load_Z" hidden="1">
              <a:extLst>
                <a:ext uri="{63B3BB69-23CF-44E3-9099-C40C66FF867C}">
                  <a14:compatExt spid="_x0000_s1410"/>
                </a:ext>
                <a:ext uri="{FF2B5EF4-FFF2-40B4-BE49-F238E27FC236}">
                  <a16:creationId xmlns:a16="http://schemas.microsoft.com/office/drawing/2014/main" id="{00000000-0008-0000-0000-000082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Load Z Normalization</a:t>
              </a:r>
            </a:p>
          </xdr:txBody>
        </xdr:sp>
        <xdr:clientData fPrintsWithSheet="0"/>
      </xdr:twoCellAnchor>
    </mc:Choice>
    <mc:Fallback/>
  </mc:AlternateContent>
  <xdr:twoCellAnchor editAs="absolute">
    <xdr:from>
      <xdr:col>54</xdr:col>
      <xdr:colOff>0</xdr:colOff>
      <xdr:row>83</xdr:row>
      <xdr:rowOff>217832</xdr:rowOff>
    </xdr:from>
    <xdr:to>
      <xdr:col>56</xdr:col>
      <xdr:colOff>149087</xdr:colOff>
      <xdr:row>83</xdr:row>
      <xdr:rowOff>423242</xdr:rowOff>
    </xdr:to>
    <xdr:sp macro="[0]!Sheet4.magnify_plot_Click" textlink="">
      <xdr:nvSpPr>
        <xdr:cNvPr id="22" name="magnify_plot">
          <a:extLst>
            <a:ext uri="{FF2B5EF4-FFF2-40B4-BE49-F238E27FC236}">
              <a16:creationId xmlns:a16="http://schemas.microsoft.com/office/drawing/2014/main" id="{00000000-0008-0000-0000-000016000000}"/>
            </a:ext>
          </a:extLst>
        </xdr:cNvPr>
        <xdr:cNvSpPr/>
      </xdr:nvSpPr>
      <xdr:spPr>
        <a:xfrm>
          <a:off x="13916025" y="5666132"/>
          <a:ext cx="644387" cy="20541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Enlarge</a:t>
          </a:r>
        </a:p>
      </xdr:txBody>
    </xdr:sp>
    <xdr:clientData fPrintsWithSheet="0"/>
  </xdr:twoCellAnchor>
  <xdr:twoCellAnchor editAs="absolute">
    <xdr:from>
      <xdr:col>1</xdr:col>
      <xdr:colOff>8281</xdr:colOff>
      <xdr:row>2</xdr:row>
      <xdr:rowOff>8283</xdr:rowOff>
    </xdr:from>
    <xdr:to>
      <xdr:col>2</xdr:col>
      <xdr:colOff>135152</xdr:colOff>
      <xdr:row>3</xdr:row>
      <xdr:rowOff>57979</xdr:rowOff>
    </xdr:to>
    <xdr:pic macro="[0]!Import_Previous_Version.Import_Previous_Version">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795129" y="438979"/>
          <a:ext cx="374521" cy="372717"/>
        </a:xfrm>
        <a:prstGeom prst="rect">
          <a:avLst/>
        </a:prstGeom>
      </xdr:spPr>
    </xdr:pic>
    <xdr:clientData fPrintsWithSheet="0"/>
  </xdr:twoCellAnchor>
  <xdr:twoCellAnchor editAs="absolute">
    <xdr:from>
      <xdr:col>2</xdr:col>
      <xdr:colOff>139563</xdr:colOff>
      <xdr:row>2</xdr:row>
      <xdr:rowOff>55908</xdr:rowOff>
    </xdr:from>
    <xdr:to>
      <xdr:col>10</xdr:col>
      <xdr:colOff>224459</xdr:colOff>
      <xdr:row>3</xdr:row>
      <xdr:rowOff>69988</xdr:rowOff>
    </xdr:to>
    <xdr:sp macro="" textlink="">
      <xdr:nvSpPr>
        <xdr:cNvPr id="28" name="TextBox 27">
          <a:extLst>
            <a:ext uri="{FF2B5EF4-FFF2-40B4-BE49-F238E27FC236}">
              <a16:creationId xmlns:a16="http://schemas.microsoft.com/office/drawing/2014/main" id="{00000000-0008-0000-0000-00001C000000}"/>
            </a:ext>
          </a:extLst>
        </xdr:cNvPr>
        <xdr:cNvSpPr txBox="1"/>
      </xdr:nvSpPr>
      <xdr:spPr>
        <a:xfrm>
          <a:off x="1174061" y="486604"/>
          <a:ext cx="2072722" cy="3371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r>
            <a:rPr lang="en-US" sz="1100" b="1">
              <a:latin typeface="+mj-lt"/>
            </a:rPr>
            <a:t>Import Previous Tool</a:t>
          </a:r>
          <a:r>
            <a:rPr lang="en-US" sz="1100" b="1" baseline="0">
              <a:latin typeface="+mj-lt"/>
            </a:rPr>
            <a:t> Inputs</a:t>
          </a:r>
          <a:endParaRPr lang="en-US" sz="1100" b="1">
            <a:latin typeface="+mj-lt"/>
          </a:endParaRPr>
        </a:p>
      </xdr:txBody>
    </xdr:sp>
    <xdr:clientData fPrintsWithSheet="0"/>
  </xdr:twoCellAnchor>
  <mc:AlternateContent xmlns:mc="http://schemas.openxmlformats.org/markup-compatibility/2006">
    <mc:Choice xmlns:a14="http://schemas.microsoft.com/office/drawing/2010/main" Requires="a14">
      <xdr:twoCellAnchor editAs="absolute">
        <xdr:from>
          <xdr:col>39</xdr:col>
          <xdr:colOff>152399</xdr:colOff>
          <xdr:row>17</xdr:row>
          <xdr:rowOff>152403</xdr:rowOff>
        </xdr:from>
        <xdr:to>
          <xdr:col>53</xdr:col>
          <xdr:colOff>177799</xdr:colOff>
          <xdr:row>83</xdr:row>
          <xdr:rowOff>303442</xdr:rowOff>
        </xdr:to>
        <xdr:pic>
          <xdr:nvPicPr>
            <xdr:cNvPr id="23" name="CS_View">
              <a:extLst>
                <a:ext uri="{FF2B5EF4-FFF2-40B4-BE49-F238E27FC236}">
                  <a16:creationId xmlns:a16="http://schemas.microsoft.com/office/drawing/2014/main" id="{00000000-0008-0000-0000-000017000000}"/>
                </a:ext>
              </a:extLst>
            </xdr:cNvPr>
            <xdr:cNvPicPr>
              <a:picLocks noChangeAspect="1" noChangeArrowheads="1"/>
              <a:extLst>
                <a:ext uri="{84589F7E-364E-4C9E-8A38-B11213B215E9}">
                  <a14:cameraTool cellRange="CS" spid="_x0000_s893165"/>
                </a:ext>
              </a:extLst>
            </xdr:cNvPicPr>
          </xdr:nvPicPr>
          <xdr:blipFill>
            <a:blip xmlns:r="http://schemas.openxmlformats.org/officeDocument/2006/relationships" r:embed="rId7"/>
            <a:srcRect/>
            <a:stretch>
              <a:fillRect/>
            </a:stretch>
          </xdr:blipFill>
          <xdr:spPr bwMode="auto">
            <a:xfrm>
              <a:off x="10353674" y="2200278"/>
              <a:ext cx="3492500" cy="3551464"/>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33131</xdr:colOff>
      <xdr:row>2</xdr:row>
      <xdr:rowOff>24848</xdr:rowOff>
    </xdr:from>
    <xdr:to>
      <xdr:col>14</xdr:col>
      <xdr:colOff>82826</xdr:colOff>
      <xdr:row>2</xdr:row>
      <xdr:rowOff>232742</xdr:rowOff>
    </xdr:to>
    <xdr:sp macro="[0]!Sheet17.Export_Click" textlink="">
      <xdr:nvSpPr>
        <xdr:cNvPr id="10" name="Export" hidden="1">
          <a:extLst>
            <a:ext uri="{FF2B5EF4-FFF2-40B4-BE49-F238E27FC236}">
              <a16:creationId xmlns:a16="http://schemas.microsoft.com/office/drawing/2014/main" id="{00000000-0008-0000-0100-00000A000000}"/>
            </a:ext>
          </a:extLst>
        </xdr:cNvPr>
        <xdr:cNvSpPr/>
      </xdr:nvSpPr>
      <xdr:spPr>
        <a:xfrm>
          <a:off x="2170044" y="1217544"/>
          <a:ext cx="1060173" cy="207894"/>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Export to TNX</a:t>
          </a:r>
        </a:p>
      </xdr:txBody>
    </xdr:sp>
    <xdr:clientData/>
  </xdr:twoCellAnchor>
  <xdr:twoCellAnchor editAs="absolute">
    <xdr:from>
      <xdr:col>1</xdr:col>
      <xdr:colOff>17908</xdr:colOff>
      <xdr:row>0</xdr:row>
      <xdr:rowOff>0</xdr:rowOff>
    </xdr:from>
    <xdr:to>
      <xdr:col>3</xdr:col>
      <xdr:colOff>179076</xdr:colOff>
      <xdr:row>0</xdr:row>
      <xdr:rowOff>638175</xdr:rowOff>
    </xdr:to>
    <xdr:pic macro="[0]!Back_Click">
      <xdr:nvPicPr>
        <xdr:cNvPr id="1248327" name="back" descr="arrow, arrow left, back, blue left, circle arrow, go back, left, prev, previous icon">
          <a:extLst>
            <a:ext uri="{FF2B5EF4-FFF2-40B4-BE49-F238E27FC236}">
              <a16:creationId xmlns:a16="http://schemas.microsoft.com/office/drawing/2014/main" id="{00000000-0008-0000-0100-0000470C13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0075" y="0"/>
          <a:ext cx="638175" cy="638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editAs="absolute">
    <xdr:from>
      <xdr:col>47</xdr:col>
      <xdr:colOff>133350</xdr:colOff>
      <xdr:row>0</xdr:row>
      <xdr:rowOff>0</xdr:rowOff>
    </xdr:from>
    <xdr:to>
      <xdr:col>175</xdr:col>
      <xdr:colOff>48763</xdr:colOff>
      <xdr:row>0</xdr:row>
      <xdr:rowOff>638175</xdr:rowOff>
    </xdr:to>
    <xdr:pic macro="[0]!Next_Click">
      <xdr:nvPicPr>
        <xdr:cNvPr id="1248328" name="next" descr="arrow, arrow left, back, blue left, circle arrow, go back, left, prev, previous icon">
          <a:extLst>
            <a:ext uri="{FF2B5EF4-FFF2-40B4-BE49-F238E27FC236}">
              <a16:creationId xmlns:a16="http://schemas.microsoft.com/office/drawing/2014/main" id="{00000000-0008-0000-0100-0000480C13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9486900" y="0"/>
          <a:ext cx="642505" cy="638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editAs="absolute">
    <xdr:from>
      <xdr:col>33</xdr:col>
      <xdr:colOff>230942</xdr:colOff>
      <xdr:row>0</xdr:row>
      <xdr:rowOff>0</xdr:rowOff>
    </xdr:from>
    <xdr:to>
      <xdr:col>47</xdr:col>
      <xdr:colOff>161925</xdr:colOff>
      <xdr:row>0</xdr:row>
      <xdr:rowOff>685800</xdr:rowOff>
    </xdr:to>
    <xdr:sp macro="" textlink="'Macro References'!N5">
      <xdr:nvSpPr>
        <xdr:cNvPr id="6" name="TextBox 5">
          <a:extLst>
            <a:ext uri="{FF2B5EF4-FFF2-40B4-BE49-F238E27FC236}">
              <a16:creationId xmlns:a16="http://schemas.microsoft.com/office/drawing/2014/main" id="{00000000-0008-0000-0100-000006000000}"/>
            </a:ext>
          </a:extLst>
        </xdr:cNvPr>
        <xdr:cNvSpPr txBox="1"/>
      </xdr:nvSpPr>
      <xdr:spPr>
        <a:xfrm>
          <a:off x="7119937" y="0"/>
          <a:ext cx="2428876" cy="6858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r"/>
          <a:fld id="{13094E4B-0E4C-416A-A80C-AFCB0B7321DC}" type="TxLink">
            <a:rPr lang="en-US" sz="1100" b="1" i="0" u="none" strike="noStrike">
              <a:solidFill>
                <a:srgbClr val="000000"/>
              </a:solidFill>
              <a:latin typeface="+mj-lt"/>
              <a:cs typeface="Aharoni" pitchFamily="2" charset="-79"/>
            </a:rPr>
            <a:pPr algn="r"/>
            <a:t>FALSE</a:t>
          </a:fld>
          <a:endParaRPr lang="en-US" sz="1100" b="1">
            <a:latin typeface="+mj-lt"/>
            <a:cs typeface="Aharoni" pitchFamily="2" charset="-79"/>
          </a:endParaRPr>
        </a:p>
      </xdr:txBody>
    </xdr:sp>
    <xdr:clientData fPrintsWithSheet="0"/>
  </xdr:twoCellAnchor>
  <xdr:twoCellAnchor editAs="absolute">
    <xdr:from>
      <xdr:col>3</xdr:col>
      <xdr:colOff>132812</xdr:colOff>
      <xdr:row>0</xdr:row>
      <xdr:rowOff>0</xdr:rowOff>
    </xdr:from>
    <xdr:to>
      <xdr:col>14</xdr:col>
      <xdr:colOff>236883</xdr:colOff>
      <xdr:row>1</xdr:row>
      <xdr:rowOff>0</xdr:rowOff>
    </xdr:to>
    <xdr:sp macro="" textlink="'Macro References'!I5">
      <xdr:nvSpPr>
        <xdr:cNvPr id="5" name="TextBox 4">
          <a:extLst>
            <a:ext uri="{FF2B5EF4-FFF2-40B4-BE49-F238E27FC236}">
              <a16:creationId xmlns:a16="http://schemas.microsoft.com/office/drawing/2014/main" id="{00000000-0008-0000-0100-000005000000}"/>
            </a:ext>
          </a:extLst>
        </xdr:cNvPr>
        <xdr:cNvSpPr txBox="1"/>
      </xdr:nvSpPr>
      <xdr:spPr>
        <a:xfrm>
          <a:off x="1199130" y="0"/>
          <a:ext cx="2226120" cy="6953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fld id="{479CEE12-F8A2-41ED-B35A-480A05B2F79F}" type="TxLink">
            <a:rPr lang="en-US" sz="1100" b="1" i="0" u="none" strike="noStrike">
              <a:solidFill>
                <a:srgbClr val="000000"/>
              </a:solidFill>
              <a:latin typeface="+mj-lt"/>
              <a:cs typeface="Aharoni" pitchFamily="2" charset="-79"/>
            </a:rPr>
            <a:pPr algn="l"/>
            <a:t>FALSE</a:t>
          </a:fld>
          <a:endParaRPr lang="en-US" sz="1100" b="1">
            <a:latin typeface="+mj-lt"/>
            <a:cs typeface="Aharoni" pitchFamily="2" charset="-79"/>
          </a:endParaRPr>
        </a:p>
      </xdr:txBody>
    </xdr:sp>
    <xdr:clientData fPrintsWithSheet="0"/>
  </xdr:twoCellAnchor>
  <xdr:twoCellAnchor editAs="absolute">
    <xdr:from>
      <xdr:col>47</xdr:col>
      <xdr:colOff>219705</xdr:colOff>
      <xdr:row>0</xdr:row>
      <xdr:rowOff>114300</xdr:rowOff>
    </xdr:from>
    <xdr:to>
      <xdr:col>49</xdr:col>
      <xdr:colOff>147767</xdr:colOff>
      <xdr:row>0</xdr:row>
      <xdr:rowOff>542925</xdr:rowOff>
    </xdr:to>
    <xdr:pic macro="[0]!Print_PDF_Click">
      <xdr:nvPicPr>
        <xdr:cNvPr id="7" name="PDF_2" descr="http://mattbaier.com/wp-content/uploads/2012/08/pdf-icon.png" hidden="1">
          <a:extLst>
            <a:ext uri="{FF2B5EF4-FFF2-40B4-BE49-F238E27FC236}">
              <a16:creationId xmlns:a16="http://schemas.microsoft.com/office/drawing/2014/main" id="{00000000-0008-0000-0100-000007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9553575" y="11430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fPrintsWithSheet="0"/>
  </xdr:twoCellAnchor>
  <mc:AlternateContent xmlns:mc="http://schemas.openxmlformats.org/markup-compatibility/2006">
    <mc:Choice xmlns:a14="http://schemas.microsoft.com/office/drawing/2010/main" Requires="a14">
      <xdr:twoCellAnchor editAs="absolute">
        <xdr:from>
          <xdr:col>33</xdr:col>
          <xdr:colOff>238125</xdr:colOff>
          <xdr:row>1</xdr:row>
          <xdr:rowOff>66675</xdr:rowOff>
        </xdr:from>
        <xdr:to>
          <xdr:col>42</xdr:col>
          <xdr:colOff>219075</xdr:colOff>
          <xdr:row>1</xdr:row>
          <xdr:rowOff>276225</xdr:rowOff>
        </xdr:to>
        <xdr:sp macro="" textlink="">
          <xdr:nvSpPr>
            <xdr:cNvPr id="819858" name="Display_Axial_Checkbox" hidden="1">
              <a:extLst>
                <a:ext uri="{63B3BB69-23CF-44E3-9099-C40C66FF867C}">
                  <a14:compatExt spid="_x0000_s819858"/>
                </a:ext>
                <a:ext uri="{FF2B5EF4-FFF2-40B4-BE49-F238E27FC236}">
                  <a16:creationId xmlns:a16="http://schemas.microsoft.com/office/drawing/2014/main" id="{00000000-0008-0000-0100-000092820C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Display Axial Forces</a:t>
              </a:r>
            </a:p>
          </xdr:txBody>
        </xdr:sp>
        <xdr:clientData/>
      </xdr:twoCellAnchor>
    </mc:Choice>
    <mc:Fallback/>
  </mc:AlternateContent>
  <xdr:twoCellAnchor editAs="absolute">
    <xdr:from>
      <xdr:col>18</xdr:col>
      <xdr:colOff>85725</xdr:colOff>
      <xdr:row>1</xdr:row>
      <xdr:rowOff>257175</xdr:rowOff>
    </xdr:from>
    <xdr:to>
      <xdr:col>24</xdr:col>
      <xdr:colOff>230669</xdr:colOff>
      <xdr:row>1</xdr:row>
      <xdr:rowOff>457616</xdr:rowOff>
    </xdr:to>
    <xdr:sp macro="[0]!Sheet17.Sync_Import_Click" textlink="">
      <xdr:nvSpPr>
        <xdr:cNvPr id="12" name="Sync_Import" hidden="1">
          <a:extLst>
            <a:ext uri="{FF2B5EF4-FFF2-40B4-BE49-F238E27FC236}">
              <a16:creationId xmlns:a16="http://schemas.microsoft.com/office/drawing/2014/main" id="{00000000-0008-0000-0100-00000C000000}"/>
            </a:ext>
          </a:extLst>
        </xdr:cNvPr>
        <xdr:cNvSpPr/>
      </xdr:nvSpPr>
      <xdr:spPr>
        <a:xfrm>
          <a:off x="4229100" y="952500"/>
          <a:ext cx="1630844" cy="200441"/>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Sync TNX/Import Forces</a:t>
          </a:r>
        </a:p>
      </xdr:txBody>
    </xdr:sp>
    <xdr:clientData/>
  </xdr:twoCellAnchor>
  <xdr:twoCellAnchor editAs="absolute">
    <xdr:from>
      <xdr:col>32</xdr:col>
      <xdr:colOff>0</xdr:colOff>
      <xdr:row>1</xdr:row>
      <xdr:rowOff>247650</xdr:rowOff>
    </xdr:from>
    <xdr:to>
      <xdr:col>46</xdr:col>
      <xdr:colOff>190500</xdr:colOff>
      <xdr:row>1</xdr:row>
      <xdr:rowOff>467140</xdr:rowOff>
    </xdr:to>
    <xdr:sp macro="[0]!Sheet17.Sect_Forces_Click" textlink="">
      <xdr:nvSpPr>
        <xdr:cNvPr id="13" name="Sect_Forces" hidden="1">
          <a:extLst>
            <a:ext uri="{FF2B5EF4-FFF2-40B4-BE49-F238E27FC236}">
              <a16:creationId xmlns:a16="http://schemas.microsoft.com/office/drawing/2014/main" id="{00000000-0008-0000-0100-00000D000000}"/>
            </a:ext>
          </a:extLst>
        </xdr:cNvPr>
        <xdr:cNvSpPr/>
      </xdr:nvSpPr>
      <xdr:spPr>
        <a:xfrm>
          <a:off x="6619875" y="942975"/>
          <a:ext cx="2669069" cy="21949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Browse for Additional MPAUXDATA File</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1</xdr:col>
      <xdr:colOff>640135</xdr:colOff>
      <xdr:row>0</xdr:row>
      <xdr:rowOff>640135</xdr:rowOff>
    </xdr:to>
    <xdr:pic macro="[0]!Back_2_Click">
      <xdr:nvPicPr>
        <xdr:cNvPr id="3" name="Back_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stretch>
          <a:fillRect/>
        </a:stretch>
      </xdr:blipFill>
      <xdr:spPr>
        <a:xfrm>
          <a:off x="609600" y="0"/>
          <a:ext cx="640135" cy="640135"/>
        </a:xfrm>
        <a:prstGeom prst="rect">
          <a:avLst/>
        </a:prstGeom>
      </xdr:spPr>
    </xdr:pic>
    <xdr:clientData/>
  </xdr:twoCellAnchor>
  <xdr:twoCellAnchor editAs="absolute">
    <xdr:from>
      <xdr:col>1</xdr:col>
      <xdr:colOff>609600</xdr:colOff>
      <xdr:row>0</xdr:row>
      <xdr:rowOff>133350</xdr:rowOff>
    </xdr:from>
    <xdr:to>
      <xdr:col>3</xdr:col>
      <xdr:colOff>194732</xdr:colOff>
      <xdr:row>0</xdr:row>
      <xdr:rowOff>561975</xdr:rowOff>
    </xdr:to>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1219200" y="133350"/>
          <a:ext cx="1604432" cy="428625"/>
        </a:xfrm>
        <a:prstGeom prst="rect">
          <a:avLst/>
        </a:prstGeom>
        <a:solidFill>
          <a:sysClr val="window" lastClr="FFFFFF"/>
        </a:solidFill>
        <a:ln w="9525" cmpd="sng">
          <a:noFill/>
        </a:ln>
        <a:effectLst/>
      </xdr:spPr>
      <xdr:txBody>
        <a:bodyPr vert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Cambria"/>
              <a:ea typeface="+mn-ea"/>
              <a:cs typeface="+mn-cs"/>
            </a:rPr>
            <a:t>Reinforcement Input</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1</xdr:col>
      <xdr:colOff>640135</xdr:colOff>
      <xdr:row>0</xdr:row>
      <xdr:rowOff>640135</xdr:rowOff>
    </xdr:to>
    <xdr:pic macro="[0]!Back_2_Click">
      <xdr:nvPicPr>
        <xdr:cNvPr id="5" name="Back_2">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a:stretch>
          <a:fillRect/>
        </a:stretch>
      </xdr:blipFill>
      <xdr:spPr>
        <a:xfrm>
          <a:off x="609600" y="0"/>
          <a:ext cx="640135" cy="640135"/>
        </a:xfrm>
        <a:prstGeom prst="rect">
          <a:avLst/>
        </a:prstGeom>
      </xdr:spPr>
    </xdr:pic>
    <xdr:clientData/>
  </xdr:twoCellAnchor>
  <xdr:twoCellAnchor editAs="absolute">
    <xdr:from>
      <xdr:col>1</xdr:col>
      <xdr:colOff>609600</xdr:colOff>
      <xdr:row>0</xdr:row>
      <xdr:rowOff>133350</xdr:rowOff>
    </xdr:from>
    <xdr:to>
      <xdr:col>2</xdr:col>
      <xdr:colOff>109007</xdr:colOff>
      <xdr:row>0</xdr:row>
      <xdr:rowOff>561975</xdr:rowOff>
    </xdr:to>
    <xdr:sp macro="" textlink="">
      <xdr:nvSpPr>
        <xdr:cNvPr id="16" name="TextBox 15">
          <a:extLst>
            <a:ext uri="{FF2B5EF4-FFF2-40B4-BE49-F238E27FC236}">
              <a16:creationId xmlns:a16="http://schemas.microsoft.com/office/drawing/2014/main" id="{00000000-0008-0000-0300-000010000000}"/>
            </a:ext>
          </a:extLst>
        </xdr:cNvPr>
        <xdr:cNvSpPr txBox="1"/>
      </xdr:nvSpPr>
      <xdr:spPr>
        <a:xfrm>
          <a:off x="1219200" y="133350"/>
          <a:ext cx="1604432" cy="428625"/>
        </a:xfrm>
        <a:prstGeom prst="rect">
          <a:avLst/>
        </a:prstGeom>
        <a:solidFill>
          <a:sysClr val="window" lastClr="FFFFFF"/>
        </a:solidFill>
        <a:ln w="9525" cmpd="sng">
          <a:noFill/>
        </a:ln>
        <a:effectLst/>
      </xdr:spPr>
      <xdr:txBody>
        <a:bodyPr vert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Cambria"/>
              <a:ea typeface="+mn-ea"/>
              <a:cs typeface="+mn-cs"/>
            </a:rPr>
            <a:t>Reinforcement Input</a:t>
          </a:r>
        </a:p>
      </xdr:txBody>
    </xdr:sp>
    <xdr:clientData fPrintsWithSheet="0"/>
  </xdr:twoCellAnchor>
  <mc:AlternateContent xmlns:mc="http://schemas.openxmlformats.org/markup-compatibility/2006">
    <mc:Choice xmlns:a14="http://schemas.microsoft.com/office/drawing/2010/main" Requires="a14">
      <xdr:twoCellAnchor editAs="oneCell">
        <xdr:from>
          <xdr:col>19</xdr:col>
          <xdr:colOff>76200</xdr:colOff>
          <xdr:row>0</xdr:row>
          <xdr:rowOff>104775</xdr:rowOff>
        </xdr:from>
        <xdr:to>
          <xdr:col>21</xdr:col>
          <xdr:colOff>552450</xdr:colOff>
          <xdr:row>0</xdr:row>
          <xdr:rowOff>400050</xdr:rowOff>
        </xdr:to>
        <xdr:sp macro="" textlink="">
          <xdr:nvSpPr>
            <xdr:cNvPr id="806926" name="CheckBox1" hidden="1">
              <a:extLst>
                <a:ext uri="{63B3BB69-23CF-44E3-9099-C40C66FF867C}">
                  <a14:compatExt spid="_x0000_s806926"/>
                </a:ext>
                <a:ext uri="{FF2B5EF4-FFF2-40B4-BE49-F238E27FC236}">
                  <a16:creationId xmlns:a16="http://schemas.microsoft.com/office/drawing/2014/main" id="{00000000-0008-0000-0300-00000E5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56</xdr:col>
          <xdr:colOff>123825</xdr:colOff>
          <xdr:row>0</xdr:row>
          <xdr:rowOff>800100</xdr:rowOff>
        </xdr:from>
        <xdr:to>
          <xdr:col>56</xdr:col>
          <xdr:colOff>1181100</xdr:colOff>
          <xdr:row>0</xdr:row>
          <xdr:rowOff>971550</xdr:rowOff>
        </xdr:to>
        <xdr:sp macro="" textlink="">
          <xdr:nvSpPr>
            <xdr:cNvPr id="806950" name="Bolt_Dbase" hidden="1">
              <a:extLst>
                <a:ext uri="{63B3BB69-23CF-44E3-9099-C40C66FF867C}">
                  <a14:compatExt spid="_x0000_s806950"/>
                </a:ext>
                <a:ext uri="{FF2B5EF4-FFF2-40B4-BE49-F238E27FC236}">
                  <a16:creationId xmlns:a16="http://schemas.microsoft.com/office/drawing/2014/main" id="{00000000-0008-0000-0300-000026500C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1">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123825</xdr:colOff>
          <xdr:row>0</xdr:row>
          <xdr:rowOff>819150</xdr:rowOff>
        </xdr:from>
        <xdr:to>
          <xdr:col>30</xdr:col>
          <xdr:colOff>1181100</xdr:colOff>
          <xdr:row>0</xdr:row>
          <xdr:rowOff>990600</xdr:rowOff>
        </xdr:to>
        <xdr:sp macro="" textlink="">
          <xdr:nvSpPr>
            <xdr:cNvPr id="806951" name="Bolt_Dbase2" hidden="1">
              <a:extLst>
                <a:ext uri="{63B3BB69-23CF-44E3-9099-C40C66FF867C}">
                  <a14:compatExt spid="_x0000_s806951"/>
                </a:ext>
                <a:ext uri="{FF2B5EF4-FFF2-40B4-BE49-F238E27FC236}">
                  <a16:creationId xmlns:a16="http://schemas.microsoft.com/office/drawing/2014/main" id="{00000000-0008-0000-0300-000027500C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1">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76200</xdr:colOff>
          <xdr:row>0</xdr:row>
          <xdr:rowOff>361950</xdr:rowOff>
        </xdr:from>
        <xdr:to>
          <xdr:col>21</xdr:col>
          <xdr:colOff>552450</xdr:colOff>
          <xdr:row>0</xdr:row>
          <xdr:rowOff>657225</xdr:rowOff>
        </xdr:to>
        <xdr:sp macro="" textlink="">
          <xdr:nvSpPr>
            <xdr:cNvPr id="806956" name="CheckBox2" hidden="1">
              <a:extLst>
                <a:ext uri="{63B3BB69-23CF-44E3-9099-C40C66FF867C}">
                  <a14:compatExt spid="_x0000_s806956"/>
                </a:ext>
                <a:ext uri="{FF2B5EF4-FFF2-40B4-BE49-F238E27FC236}">
                  <a16:creationId xmlns:a16="http://schemas.microsoft.com/office/drawing/2014/main" id="{00000000-0008-0000-0300-00002C5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85725</xdr:colOff>
          <xdr:row>0</xdr:row>
          <xdr:rowOff>619125</xdr:rowOff>
        </xdr:from>
        <xdr:to>
          <xdr:col>21</xdr:col>
          <xdr:colOff>561975</xdr:colOff>
          <xdr:row>0</xdr:row>
          <xdr:rowOff>914400</xdr:rowOff>
        </xdr:to>
        <xdr:sp macro="" textlink="">
          <xdr:nvSpPr>
            <xdr:cNvPr id="806957" name="CheckBox3" hidden="1">
              <a:extLst>
                <a:ext uri="{63B3BB69-23CF-44E3-9099-C40C66FF867C}">
                  <a14:compatExt spid="_x0000_s806957"/>
                </a:ext>
                <a:ext uri="{FF2B5EF4-FFF2-40B4-BE49-F238E27FC236}">
                  <a16:creationId xmlns:a16="http://schemas.microsoft.com/office/drawing/2014/main" id="{00000000-0008-0000-0300-00002D5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8</xdr:col>
      <xdr:colOff>363801</xdr:colOff>
      <xdr:row>108</xdr:row>
      <xdr:rowOff>32808</xdr:rowOff>
    </xdr:from>
    <xdr:to>
      <xdr:col>22</xdr:col>
      <xdr:colOff>554302</xdr:colOff>
      <xdr:row>140</xdr:row>
      <xdr:rowOff>103717</xdr:rowOff>
    </xdr:to>
    <xdr:graphicFrame macro="">
      <xdr:nvGraphicFramePr>
        <xdr:cNvPr id="1195361" name="Chart 5">
          <a:extLst>
            <a:ext uri="{FF2B5EF4-FFF2-40B4-BE49-F238E27FC236}">
              <a16:creationId xmlns:a16="http://schemas.microsoft.com/office/drawing/2014/main" id="{00000000-0008-0000-0500-0000613D12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5</xdr:col>
          <xdr:colOff>66675</xdr:colOff>
          <xdr:row>3</xdr:row>
          <xdr:rowOff>95250</xdr:rowOff>
        </xdr:from>
        <xdr:to>
          <xdr:col>6</xdr:col>
          <xdr:colOff>228600</xdr:colOff>
          <xdr:row>5</xdr:row>
          <xdr:rowOff>9525</xdr:rowOff>
        </xdr:to>
        <xdr:sp macro="" textlink="">
          <xdr:nvSpPr>
            <xdr:cNvPr id="804247" name="Auto_Input" hidden="1">
              <a:extLst>
                <a:ext uri="{63B3BB69-23CF-44E3-9099-C40C66FF867C}">
                  <a14:compatExt spid="_x0000_s804247"/>
                </a:ext>
                <a:ext uri="{FF2B5EF4-FFF2-40B4-BE49-F238E27FC236}">
                  <a16:creationId xmlns:a16="http://schemas.microsoft.com/office/drawing/2014/main" id="{00000000-0008-0000-0500-00009745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Auto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5</xdr:row>
          <xdr:rowOff>95250</xdr:rowOff>
        </xdr:from>
        <xdr:to>
          <xdr:col>6</xdr:col>
          <xdr:colOff>228600</xdr:colOff>
          <xdr:row>7</xdr:row>
          <xdr:rowOff>9525</xdr:rowOff>
        </xdr:to>
        <xdr:sp macro="" textlink="">
          <xdr:nvSpPr>
            <xdr:cNvPr id="804248" name="Manual_Input" hidden="1">
              <a:extLst>
                <a:ext uri="{63B3BB69-23CF-44E3-9099-C40C66FF867C}">
                  <a14:compatExt spid="_x0000_s804248"/>
                </a:ext>
                <a:ext uri="{FF2B5EF4-FFF2-40B4-BE49-F238E27FC236}">
                  <a16:creationId xmlns:a16="http://schemas.microsoft.com/office/drawing/2014/main" id="{00000000-0008-0000-0500-00009845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Manual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9</xdr:row>
          <xdr:rowOff>95250</xdr:rowOff>
        </xdr:from>
        <xdr:to>
          <xdr:col>6</xdr:col>
          <xdr:colOff>228600</xdr:colOff>
          <xdr:row>11</xdr:row>
          <xdr:rowOff>9525</xdr:rowOff>
        </xdr:to>
        <xdr:sp macro="" textlink="">
          <xdr:nvSpPr>
            <xdr:cNvPr id="804249" name="Principle_Axes" hidden="1">
              <a:extLst>
                <a:ext uri="{63B3BB69-23CF-44E3-9099-C40C66FF867C}">
                  <a14:compatExt spid="_x0000_s804249"/>
                </a:ext>
                <a:ext uri="{FF2B5EF4-FFF2-40B4-BE49-F238E27FC236}">
                  <a16:creationId xmlns:a16="http://schemas.microsoft.com/office/drawing/2014/main" id="{00000000-0008-0000-0500-00009945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Critical Axis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371475</xdr:colOff>
          <xdr:row>4</xdr:row>
          <xdr:rowOff>133350</xdr:rowOff>
        </xdr:from>
        <xdr:to>
          <xdr:col>3</xdr:col>
          <xdr:colOff>523875</xdr:colOff>
          <xdr:row>8</xdr:row>
          <xdr:rowOff>28575</xdr:rowOff>
        </xdr:to>
        <xdr:grpSp>
          <xdr:nvGrpSpPr>
            <xdr:cNvPr id="5" name="Group 4">
              <a:extLst>
                <a:ext uri="{FF2B5EF4-FFF2-40B4-BE49-F238E27FC236}">
                  <a16:creationId xmlns:a16="http://schemas.microsoft.com/office/drawing/2014/main" id="{00000000-0008-0000-0700-000005000000}"/>
                </a:ext>
              </a:extLst>
            </xdr:cNvPr>
            <xdr:cNvGrpSpPr/>
          </xdr:nvGrpSpPr>
          <xdr:grpSpPr>
            <a:xfrm>
              <a:off x="952500" y="1266825"/>
              <a:ext cx="1371600" cy="542925"/>
              <a:chOff x="2524168" y="1695458"/>
              <a:chExt cx="1371959" cy="543324"/>
            </a:xfrm>
          </xdr:grpSpPr>
          <xdr:sp macro="" textlink="">
            <xdr:nvSpPr>
              <xdr:cNvPr id="808971" name="OptionButton1" hidden="1">
                <a:extLst>
                  <a:ext uri="{63B3BB69-23CF-44E3-9099-C40C66FF867C}">
                    <a14:compatExt spid="_x0000_s808971"/>
                  </a:ext>
                  <a:ext uri="{FF2B5EF4-FFF2-40B4-BE49-F238E27FC236}">
                    <a16:creationId xmlns:a16="http://schemas.microsoft.com/office/drawing/2014/main" id="{00000000-0008-0000-0700-00000B580C00}"/>
                  </a:ext>
                </a:extLst>
              </xdr:cNvPr>
              <xdr:cNvSpPr/>
            </xdr:nvSpPr>
            <xdr:spPr bwMode="auto">
              <a:xfrm>
                <a:off x="2524168" y="1695458"/>
                <a:ext cx="1371959" cy="247835"/>
              </a:xfrm>
              <a:prstGeom prst="rect">
                <a:avLst/>
              </a:prstGeom>
              <a:noFill/>
              <a:ln>
                <a:noFill/>
              </a:ln>
              <a:extLst>
                <a:ext uri="{91240B29-F687-4F45-9708-019B960494DF}">
                  <a14:hiddenLine w="9525">
                    <a:noFill/>
                    <a:miter lim="800000"/>
                    <a:headEnd/>
                    <a:tailEnd/>
                  </a14:hiddenLine>
                </a:ext>
              </a:extLst>
            </xdr:spPr>
          </xdr:sp>
          <xdr:sp macro="" textlink="">
            <xdr:nvSpPr>
              <xdr:cNvPr id="808972" name="OptionButton2" hidden="1">
                <a:extLst>
                  <a:ext uri="{63B3BB69-23CF-44E3-9099-C40C66FF867C}">
                    <a14:compatExt spid="_x0000_s808972"/>
                  </a:ext>
                  <a:ext uri="{FF2B5EF4-FFF2-40B4-BE49-F238E27FC236}">
                    <a16:creationId xmlns:a16="http://schemas.microsoft.com/office/drawing/2014/main" id="{00000000-0008-0000-0700-00000C580C00}"/>
                  </a:ext>
                </a:extLst>
              </xdr:cNvPr>
              <xdr:cNvSpPr/>
            </xdr:nvSpPr>
            <xdr:spPr bwMode="auto">
              <a:xfrm>
                <a:off x="2524168" y="1990947"/>
                <a:ext cx="1371959" cy="247835"/>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400050</xdr:colOff>
          <xdr:row>18</xdr:row>
          <xdr:rowOff>123825</xdr:rowOff>
        </xdr:from>
        <xdr:to>
          <xdr:col>4</xdr:col>
          <xdr:colOff>247650</xdr:colOff>
          <xdr:row>22</xdr:row>
          <xdr:rowOff>9526</xdr:rowOff>
        </xdr:to>
        <xdr:grpSp>
          <xdr:nvGrpSpPr>
            <xdr:cNvPr id="8" name="Group 7">
              <a:extLst>
                <a:ext uri="{FF2B5EF4-FFF2-40B4-BE49-F238E27FC236}">
                  <a16:creationId xmlns:a16="http://schemas.microsoft.com/office/drawing/2014/main" id="{00000000-0008-0000-0700-000008000000}"/>
                </a:ext>
              </a:extLst>
            </xdr:cNvPr>
            <xdr:cNvGrpSpPr/>
          </xdr:nvGrpSpPr>
          <xdr:grpSpPr>
            <a:xfrm>
              <a:off x="981075" y="3600450"/>
              <a:ext cx="1676400" cy="533401"/>
              <a:chOff x="733409" y="3152848"/>
              <a:chExt cx="1372184" cy="533653"/>
            </a:xfrm>
          </xdr:grpSpPr>
          <xdr:sp macro="" textlink="">
            <xdr:nvSpPr>
              <xdr:cNvPr id="808977" name="OptionButton5" hidden="1">
                <a:extLst>
                  <a:ext uri="{63B3BB69-23CF-44E3-9099-C40C66FF867C}">
                    <a14:compatExt spid="_x0000_s808977"/>
                  </a:ext>
                  <a:ext uri="{FF2B5EF4-FFF2-40B4-BE49-F238E27FC236}">
                    <a16:creationId xmlns:a16="http://schemas.microsoft.com/office/drawing/2014/main" id="{00000000-0008-0000-0700-000011580C00}"/>
                  </a:ext>
                </a:extLst>
              </xdr:cNvPr>
              <xdr:cNvSpPr/>
            </xdr:nvSpPr>
            <xdr:spPr bwMode="auto">
              <a:xfrm>
                <a:off x="733409" y="3152848"/>
                <a:ext cx="1372184" cy="247762"/>
              </a:xfrm>
              <a:prstGeom prst="rect">
                <a:avLst/>
              </a:prstGeom>
              <a:noFill/>
              <a:ln>
                <a:noFill/>
              </a:ln>
              <a:extLst>
                <a:ext uri="{91240B29-F687-4F45-9708-019B960494DF}">
                  <a14:hiddenLine w="9525">
                    <a:noFill/>
                    <a:miter lim="800000"/>
                    <a:headEnd/>
                    <a:tailEnd/>
                  </a14:hiddenLine>
                </a:ext>
              </a:extLst>
            </xdr:spPr>
          </xdr:sp>
          <xdr:sp macro="" textlink="">
            <xdr:nvSpPr>
              <xdr:cNvPr id="808978" name="OptionButton6" hidden="1">
                <a:extLst>
                  <a:ext uri="{63B3BB69-23CF-44E3-9099-C40C66FF867C}">
                    <a14:compatExt spid="_x0000_s808978"/>
                  </a:ext>
                  <a:ext uri="{FF2B5EF4-FFF2-40B4-BE49-F238E27FC236}">
                    <a16:creationId xmlns:a16="http://schemas.microsoft.com/office/drawing/2014/main" id="{00000000-0008-0000-0700-000012580C00}"/>
                  </a:ext>
                </a:extLst>
              </xdr:cNvPr>
              <xdr:cNvSpPr/>
            </xdr:nvSpPr>
            <xdr:spPr bwMode="auto">
              <a:xfrm>
                <a:off x="733409" y="3438739"/>
                <a:ext cx="1372184" cy="247762"/>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11</xdr:row>
          <xdr:rowOff>0</xdr:rowOff>
        </xdr:from>
        <xdr:to>
          <xdr:col>3</xdr:col>
          <xdr:colOff>581025</xdr:colOff>
          <xdr:row>16</xdr:row>
          <xdr:rowOff>66675</xdr:rowOff>
        </xdr:to>
        <xdr:grpSp>
          <xdr:nvGrpSpPr>
            <xdr:cNvPr id="9" name="Group 8">
              <a:extLst>
                <a:ext uri="{FF2B5EF4-FFF2-40B4-BE49-F238E27FC236}">
                  <a16:creationId xmlns:a16="http://schemas.microsoft.com/office/drawing/2014/main" id="{00000000-0008-0000-0700-000009000000}"/>
                </a:ext>
              </a:extLst>
            </xdr:cNvPr>
            <xdr:cNvGrpSpPr/>
          </xdr:nvGrpSpPr>
          <xdr:grpSpPr>
            <a:xfrm>
              <a:off x="952500" y="2305050"/>
              <a:ext cx="1428750" cy="876300"/>
              <a:chOff x="647700" y="2057400"/>
              <a:chExt cx="1428750" cy="876300"/>
            </a:xfrm>
          </xdr:grpSpPr>
          <xdr:grpSp>
            <xdr:nvGrpSpPr>
              <xdr:cNvPr id="6" name="Group 5">
                <a:extLst>
                  <a:ext uri="{FF2B5EF4-FFF2-40B4-BE49-F238E27FC236}">
                    <a16:creationId xmlns:a16="http://schemas.microsoft.com/office/drawing/2014/main" id="{00000000-0008-0000-0700-000006000000}"/>
                  </a:ext>
                </a:extLst>
              </xdr:cNvPr>
              <xdr:cNvGrpSpPr/>
            </xdr:nvGrpSpPr>
            <xdr:grpSpPr>
              <a:xfrm>
                <a:off x="647700" y="2057400"/>
                <a:ext cx="1371600" cy="552450"/>
                <a:chOff x="2647950" y="3190875"/>
                <a:chExt cx="1371600" cy="552450"/>
              </a:xfrm>
            </xdr:grpSpPr>
            <xdr:sp macro="" textlink="">
              <xdr:nvSpPr>
                <xdr:cNvPr id="808973" name="OptionButton3" hidden="1">
                  <a:extLst>
                    <a:ext uri="{63B3BB69-23CF-44E3-9099-C40C66FF867C}">
                      <a14:compatExt spid="_x0000_s808973"/>
                    </a:ext>
                    <a:ext uri="{FF2B5EF4-FFF2-40B4-BE49-F238E27FC236}">
                      <a16:creationId xmlns:a16="http://schemas.microsoft.com/office/drawing/2014/main" id="{00000000-0008-0000-0700-00000D580C00}"/>
                    </a:ext>
                  </a:extLst>
                </xdr:cNvPr>
                <xdr:cNvSpPr/>
              </xdr:nvSpPr>
              <xdr:spPr bwMode="auto">
                <a:xfrm>
                  <a:off x="2647950" y="3190875"/>
                  <a:ext cx="1371600" cy="247650"/>
                </a:xfrm>
                <a:prstGeom prst="rect">
                  <a:avLst/>
                </a:prstGeom>
                <a:noFill/>
                <a:ln>
                  <a:noFill/>
                </a:ln>
                <a:extLst>
                  <a:ext uri="{91240B29-F687-4F45-9708-019B960494DF}">
                    <a14:hiddenLine w="9525">
                      <a:noFill/>
                      <a:miter lim="800000"/>
                      <a:headEnd/>
                      <a:tailEnd/>
                    </a14:hiddenLine>
                  </a:ext>
                </a:extLst>
              </xdr:spPr>
            </xdr:sp>
            <xdr:sp macro="" textlink="">
              <xdr:nvSpPr>
                <xdr:cNvPr id="808974" name="OptionButton4" hidden="1">
                  <a:extLst>
                    <a:ext uri="{63B3BB69-23CF-44E3-9099-C40C66FF867C}">
                      <a14:compatExt spid="_x0000_s808974"/>
                    </a:ext>
                    <a:ext uri="{FF2B5EF4-FFF2-40B4-BE49-F238E27FC236}">
                      <a16:creationId xmlns:a16="http://schemas.microsoft.com/office/drawing/2014/main" id="{00000000-0008-0000-0700-00000E580C00}"/>
                    </a:ext>
                  </a:extLst>
                </xdr:cNvPr>
                <xdr:cNvSpPr/>
              </xdr:nvSpPr>
              <xdr:spPr bwMode="auto">
                <a:xfrm>
                  <a:off x="2647950" y="3495675"/>
                  <a:ext cx="1371600" cy="247650"/>
                </a:xfrm>
                <a:prstGeom prst="rect">
                  <a:avLst/>
                </a:prstGeom>
                <a:noFill/>
                <a:ln>
                  <a:noFill/>
                </a:ln>
                <a:extLst>
                  <a:ext uri="{91240B29-F687-4F45-9708-019B960494DF}">
                    <a14:hiddenLine w="9525">
                      <a:noFill/>
                      <a:miter lim="800000"/>
                      <a:headEnd/>
                      <a:tailEnd/>
                    </a14:hiddenLine>
                  </a:ext>
                </a:extLst>
              </xdr:spPr>
            </xdr:sp>
          </xdr:grpSp>
          <xdr:sp macro="" textlink="">
            <xdr:nvSpPr>
              <xdr:cNvPr id="808979" name="CheckBox1" hidden="1">
                <a:extLst>
                  <a:ext uri="{63B3BB69-23CF-44E3-9099-C40C66FF867C}">
                    <a14:compatExt spid="_x0000_s808979"/>
                  </a:ext>
                  <a:ext uri="{FF2B5EF4-FFF2-40B4-BE49-F238E27FC236}">
                    <a16:creationId xmlns:a16="http://schemas.microsoft.com/office/drawing/2014/main" id="{00000000-0008-0000-0700-000013580C00}"/>
                  </a:ext>
                </a:extLst>
              </xdr:cNvPr>
              <xdr:cNvSpPr/>
            </xdr:nvSpPr>
            <xdr:spPr bwMode="auto">
              <a:xfrm>
                <a:off x="676275" y="2647950"/>
                <a:ext cx="1400175" cy="285750"/>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428625</xdr:colOff>
          <xdr:row>24</xdr:row>
          <xdr:rowOff>104775</xdr:rowOff>
        </xdr:from>
        <xdr:to>
          <xdr:col>3</xdr:col>
          <xdr:colOff>504825</xdr:colOff>
          <xdr:row>26</xdr:row>
          <xdr:rowOff>19050</xdr:rowOff>
        </xdr:to>
        <xdr:sp macro="" textlink="">
          <xdr:nvSpPr>
            <xdr:cNvPr id="808980" name="CheckBox2" hidden="1">
              <a:extLst>
                <a:ext uri="{63B3BB69-23CF-44E3-9099-C40C66FF867C}">
                  <a14:compatExt spid="_x0000_s808980"/>
                </a:ext>
                <a:ext uri="{FF2B5EF4-FFF2-40B4-BE49-F238E27FC236}">
                  <a16:creationId xmlns:a16="http://schemas.microsoft.com/office/drawing/2014/main" id="{00000000-0008-0000-0700-00001458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absolute">
    <xdr:from>
      <xdr:col>0</xdr:col>
      <xdr:colOff>444500</xdr:colOff>
      <xdr:row>1</xdr:row>
      <xdr:rowOff>278848</xdr:rowOff>
    </xdr:from>
    <xdr:to>
      <xdr:col>10</xdr:col>
      <xdr:colOff>831022</xdr:colOff>
      <xdr:row>40</xdr:row>
      <xdr:rowOff>44174</xdr:rowOff>
    </xdr:to>
    <xdr:sp macro="" textlink="">
      <xdr:nvSpPr>
        <xdr:cNvPr id="2" name="frame">
          <a:extLst>
            <a:ext uri="{FF2B5EF4-FFF2-40B4-BE49-F238E27FC236}">
              <a16:creationId xmlns:a16="http://schemas.microsoft.com/office/drawing/2014/main" id="{00000000-0008-0000-0F00-000002000000}"/>
            </a:ext>
          </a:extLst>
        </xdr:cNvPr>
        <xdr:cNvSpPr/>
      </xdr:nvSpPr>
      <xdr:spPr>
        <a:xfrm>
          <a:off x="444500" y="444500"/>
          <a:ext cx="6350000" cy="6350000"/>
        </a:xfrm>
        <a:prstGeom prst="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57979</xdr:colOff>
      <xdr:row>0</xdr:row>
      <xdr:rowOff>66261</xdr:rowOff>
    </xdr:from>
    <xdr:to>
      <xdr:col>1</xdr:col>
      <xdr:colOff>132522</xdr:colOff>
      <xdr:row>1</xdr:row>
      <xdr:rowOff>108503</xdr:rowOff>
    </xdr:to>
    <xdr:sp macro="[0]!Sheet18.plot_back_Click" textlink="">
      <xdr:nvSpPr>
        <xdr:cNvPr id="4" name="plot_back">
          <a:extLst>
            <a:ext uri="{FF2B5EF4-FFF2-40B4-BE49-F238E27FC236}">
              <a16:creationId xmlns:a16="http://schemas.microsoft.com/office/drawing/2014/main" id="{00000000-0008-0000-0F00-000004000000}"/>
            </a:ext>
          </a:extLst>
        </xdr:cNvPr>
        <xdr:cNvSpPr/>
      </xdr:nvSpPr>
      <xdr:spPr>
        <a:xfrm>
          <a:off x="57979" y="66261"/>
          <a:ext cx="521804" cy="207894"/>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Back</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3</xdr:col>
      <xdr:colOff>71870</xdr:colOff>
      <xdr:row>11</xdr:row>
      <xdr:rowOff>35887</xdr:rowOff>
    </xdr:from>
    <xdr:to>
      <xdr:col>10</xdr:col>
      <xdr:colOff>146338</xdr:colOff>
      <xdr:row>37</xdr:row>
      <xdr:rowOff>127833</xdr:rowOff>
    </xdr:to>
    <xdr:pic>
      <xdr:nvPicPr>
        <xdr:cNvPr id="6" name="Pole18">
          <a:extLst>
            <a:ext uri="{FF2B5EF4-FFF2-40B4-BE49-F238E27FC236}">
              <a16:creationId xmlns:a16="http://schemas.microsoft.com/office/drawing/2014/main" id="{00000000-0008-0000-10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19745" y="2264737"/>
          <a:ext cx="4360718" cy="4301996"/>
        </a:xfrm>
        <a:prstGeom prst="rect">
          <a:avLst/>
        </a:prstGeom>
      </xdr:spPr>
    </xdr:pic>
    <xdr:clientData/>
  </xdr:twoCellAnchor>
  <xdr:twoCellAnchor editAs="absolute">
    <xdr:from>
      <xdr:col>9</xdr:col>
      <xdr:colOff>466244</xdr:colOff>
      <xdr:row>16</xdr:row>
      <xdr:rowOff>130913</xdr:rowOff>
    </xdr:from>
    <xdr:to>
      <xdr:col>10</xdr:col>
      <xdr:colOff>45749</xdr:colOff>
      <xdr:row>22</xdr:row>
      <xdr:rowOff>142706</xdr:rowOff>
    </xdr:to>
    <xdr:sp macro="" textlink="">
      <xdr:nvSpPr>
        <xdr:cNvPr id="26" name="D_FP_2">
          <a:extLst>
            <a:ext uri="{FF2B5EF4-FFF2-40B4-BE49-F238E27FC236}">
              <a16:creationId xmlns:a16="http://schemas.microsoft.com/office/drawing/2014/main" id="{00000000-0008-0000-1000-00001A000000}"/>
            </a:ext>
          </a:extLst>
        </xdr:cNvPr>
        <xdr:cNvSpPr>
          <a:spLocks/>
        </xdr:cNvSpPr>
      </xdr:nvSpPr>
      <xdr:spPr>
        <a:xfrm rot="-1200000">
          <a:off x="6209819" y="316938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99178</xdr:colOff>
      <xdr:row>12</xdr:row>
      <xdr:rowOff>142835</xdr:rowOff>
    </xdr:from>
    <xdr:to>
      <xdr:col>9</xdr:col>
      <xdr:colOff>288283</xdr:colOff>
      <xdr:row>18</xdr:row>
      <xdr:rowOff>154628</xdr:rowOff>
    </xdr:to>
    <xdr:sp macro="" textlink="">
      <xdr:nvSpPr>
        <xdr:cNvPr id="27" name="D_FP_3">
          <a:extLst>
            <a:ext uri="{FF2B5EF4-FFF2-40B4-BE49-F238E27FC236}">
              <a16:creationId xmlns:a16="http://schemas.microsoft.com/office/drawing/2014/main" id="{00000000-0008-0000-1000-00001B000000}"/>
            </a:ext>
          </a:extLst>
        </xdr:cNvPr>
        <xdr:cNvSpPr>
          <a:spLocks/>
        </xdr:cNvSpPr>
      </xdr:nvSpPr>
      <xdr:spPr>
        <a:xfrm rot="-2400000">
          <a:off x="5842753" y="2533610"/>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358880</xdr:colOff>
      <xdr:row>12</xdr:row>
      <xdr:rowOff>68063</xdr:rowOff>
    </xdr:from>
    <xdr:to>
      <xdr:col>9</xdr:col>
      <xdr:colOff>123023</xdr:colOff>
      <xdr:row>13</xdr:row>
      <xdr:rowOff>95243</xdr:rowOff>
    </xdr:to>
    <xdr:sp macro="" textlink="">
      <xdr:nvSpPr>
        <xdr:cNvPr id="28" name="D_FP_4">
          <a:extLst>
            <a:ext uri="{FF2B5EF4-FFF2-40B4-BE49-F238E27FC236}">
              <a16:creationId xmlns:a16="http://schemas.microsoft.com/office/drawing/2014/main" id="{00000000-0008-0000-1000-00001C000000}"/>
            </a:ext>
          </a:extLst>
        </xdr:cNvPr>
        <xdr:cNvSpPr>
          <a:spLocks/>
        </xdr:cNvSpPr>
      </xdr:nvSpPr>
      <xdr:spPr>
        <a:xfrm rot="-3600000">
          <a:off x="5280374" y="2061719"/>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278620</xdr:colOff>
      <xdr:row>10</xdr:row>
      <xdr:rowOff>140824</xdr:rowOff>
    </xdr:from>
    <xdr:to>
      <xdr:col>8</xdr:col>
      <xdr:colOff>42763</xdr:colOff>
      <xdr:row>12</xdr:row>
      <xdr:rowOff>6079</xdr:rowOff>
    </xdr:to>
    <xdr:sp macro="" textlink="">
      <xdr:nvSpPr>
        <xdr:cNvPr id="29" name="D_FP_5">
          <a:extLst>
            <a:ext uri="{FF2B5EF4-FFF2-40B4-BE49-F238E27FC236}">
              <a16:creationId xmlns:a16="http://schemas.microsoft.com/office/drawing/2014/main" id="{00000000-0008-0000-1000-00001D000000}"/>
            </a:ext>
          </a:extLst>
        </xdr:cNvPr>
        <xdr:cNvSpPr>
          <a:spLocks/>
        </xdr:cNvSpPr>
      </xdr:nvSpPr>
      <xdr:spPr>
        <a:xfrm rot="-4800000">
          <a:off x="4590514" y="1810630"/>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449362</xdr:colOff>
      <xdr:row>10</xdr:row>
      <xdr:rowOff>140824</xdr:rowOff>
    </xdr:from>
    <xdr:to>
      <xdr:col>6</xdr:col>
      <xdr:colOff>527830</xdr:colOff>
      <xdr:row>12</xdr:row>
      <xdr:rowOff>6079</xdr:rowOff>
    </xdr:to>
    <xdr:sp macro="" textlink="">
      <xdr:nvSpPr>
        <xdr:cNvPr id="30" name="D_FP_6">
          <a:extLst>
            <a:ext uri="{FF2B5EF4-FFF2-40B4-BE49-F238E27FC236}">
              <a16:creationId xmlns:a16="http://schemas.microsoft.com/office/drawing/2014/main" id="{00000000-0008-0000-1000-00001E000000}"/>
            </a:ext>
          </a:extLst>
        </xdr:cNvPr>
        <xdr:cNvSpPr>
          <a:spLocks/>
        </xdr:cNvSpPr>
      </xdr:nvSpPr>
      <xdr:spPr>
        <a:xfrm rot="-6000000">
          <a:off x="3856381" y="1810630"/>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207178</xdr:colOff>
      <xdr:row>12</xdr:row>
      <xdr:rowOff>68063</xdr:rowOff>
    </xdr:from>
    <xdr:to>
      <xdr:col>5</xdr:col>
      <xdr:colOff>742846</xdr:colOff>
      <xdr:row>13</xdr:row>
      <xdr:rowOff>95243</xdr:rowOff>
    </xdr:to>
    <xdr:sp macro="" textlink="">
      <xdr:nvSpPr>
        <xdr:cNvPr id="31" name="D_FP_7">
          <a:extLst>
            <a:ext uri="{FF2B5EF4-FFF2-40B4-BE49-F238E27FC236}">
              <a16:creationId xmlns:a16="http://schemas.microsoft.com/office/drawing/2014/main" id="{00000000-0008-0000-1000-00001F000000}"/>
            </a:ext>
          </a:extLst>
        </xdr:cNvPr>
        <xdr:cNvSpPr>
          <a:spLocks/>
        </xdr:cNvSpPr>
      </xdr:nvSpPr>
      <xdr:spPr>
        <a:xfrm rot="-7200000">
          <a:off x="3166522" y="2061719"/>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41918</xdr:colOff>
      <xdr:row>12</xdr:row>
      <xdr:rowOff>142835</xdr:rowOff>
    </xdr:from>
    <xdr:to>
      <xdr:col>4</xdr:col>
      <xdr:colOff>231023</xdr:colOff>
      <xdr:row>18</xdr:row>
      <xdr:rowOff>154628</xdr:rowOff>
    </xdr:to>
    <xdr:sp macro="" textlink="">
      <xdr:nvSpPr>
        <xdr:cNvPr id="32" name="D_FP_8">
          <a:extLst>
            <a:ext uri="{FF2B5EF4-FFF2-40B4-BE49-F238E27FC236}">
              <a16:creationId xmlns:a16="http://schemas.microsoft.com/office/drawing/2014/main" id="{00000000-0008-0000-1000-000020000000}"/>
            </a:ext>
          </a:extLst>
        </xdr:cNvPr>
        <xdr:cNvSpPr>
          <a:spLocks/>
        </xdr:cNvSpPr>
      </xdr:nvSpPr>
      <xdr:spPr>
        <a:xfrm rot="-8400000">
          <a:off x="2604143" y="2533610"/>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179676</xdr:colOff>
      <xdr:row>16</xdr:row>
      <xdr:rowOff>130913</xdr:rowOff>
    </xdr:from>
    <xdr:to>
      <xdr:col>3</xdr:col>
      <xdr:colOff>368781</xdr:colOff>
      <xdr:row>22</xdr:row>
      <xdr:rowOff>142706</xdr:rowOff>
    </xdr:to>
    <xdr:sp macro="" textlink="">
      <xdr:nvSpPr>
        <xdr:cNvPr id="33" name="D_FP_9">
          <a:extLst>
            <a:ext uri="{FF2B5EF4-FFF2-40B4-BE49-F238E27FC236}">
              <a16:creationId xmlns:a16="http://schemas.microsoft.com/office/drawing/2014/main" id="{00000000-0008-0000-1000-000021000000}"/>
            </a:ext>
          </a:extLst>
        </xdr:cNvPr>
        <xdr:cNvSpPr>
          <a:spLocks/>
        </xdr:cNvSpPr>
      </xdr:nvSpPr>
      <xdr:spPr>
        <a:xfrm rot="-9600000">
          <a:off x="2237076" y="316938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52195</xdr:colOff>
      <xdr:row>21</xdr:row>
      <xdr:rowOff>44268</xdr:rowOff>
    </xdr:from>
    <xdr:to>
      <xdr:col>3</xdr:col>
      <xdr:colOff>241300</xdr:colOff>
      <xdr:row>27</xdr:row>
      <xdr:rowOff>56061</xdr:rowOff>
    </xdr:to>
    <xdr:sp macro="" textlink="">
      <xdr:nvSpPr>
        <xdr:cNvPr id="34" name="D_FP_10">
          <a:extLst>
            <a:ext uri="{FF2B5EF4-FFF2-40B4-BE49-F238E27FC236}">
              <a16:creationId xmlns:a16="http://schemas.microsoft.com/office/drawing/2014/main" id="{00000000-0008-0000-1000-000022000000}"/>
            </a:ext>
          </a:extLst>
        </xdr:cNvPr>
        <xdr:cNvSpPr>
          <a:spLocks/>
        </xdr:cNvSpPr>
      </xdr:nvSpPr>
      <xdr:spPr>
        <a:xfrm rot="-10800000">
          <a:off x="2109595" y="389236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179676</xdr:colOff>
      <xdr:row>25</xdr:row>
      <xdr:rowOff>119549</xdr:rowOff>
    </xdr:from>
    <xdr:to>
      <xdr:col>3</xdr:col>
      <xdr:colOff>368781</xdr:colOff>
      <xdr:row>31</xdr:row>
      <xdr:rowOff>131342</xdr:rowOff>
    </xdr:to>
    <xdr:sp macro="" textlink="">
      <xdr:nvSpPr>
        <xdr:cNvPr id="35" name="D_FP_11">
          <a:extLst>
            <a:ext uri="{FF2B5EF4-FFF2-40B4-BE49-F238E27FC236}">
              <a16:creationId xmlns:a16="http://schemas.microsoft.com/office/drawing/2014/main" id="{00000000-0008-0000-1000-000023000000}"/>
            </a:ext>
          </a:extLst>
        </xdr:cNvPr>
        <xdr:cNvSpPr>
          <a:spLocks/>
        </xdr:cNvSpPr>
      </xdr:nvSpPr>
      <xdr:spPr>
        <a:xfrm rot="-12000000">
          <a:off x="2237076" y="4615349"/>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41918</xdr:colOff>
      <xdr:row>29</xdr:row>
      <xdr:rowOff>107626</xdr:rowOff>
    </xdr:from>
    <xdr:to>
      <xdr:col>4</xdr:col>
      <xdr:colOff>231023</xdr:colOff>
      <xdr:row>35</xdr:row>
      <xdr:rowOff>119419</xdr:rowOff>
    </xdr:to>
    <xdr:sp macro="" textlink="">
      <xdr:nvSpPr>
        <xdr:cNvPr id="36" name="D_FP_12">
          <a:extLst>
            <a:ext uri="{FF2B5EF4-FFF2-40B4-BE49-F238E27FC236}">
              <a16:creationId xmlns:a16="http://schemas.microsoft.com/office/drawing/2014/main" id="{00000000-0008-0000-1000-000024000000}"/>
            </a:ext>
          </a:extLst>
        </xdr:cNvPr>
        <xdr:cNvSpPr>
          <a:spLocks/>
        </xdr:cNvSpPr>
      </xdr:nvSpPr>
      <xdr:spPr>
        <a:xfrm rot="-13200000">
          <a:off x="2604143" y="5251126"/>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207178</xdr:colOff>
      <xdr:row>35</xdr:row>
      <xdr:rowOff>5087</xdr:rowOff>
    </xdr:from>
    <xdr:to>
      <xdr:col>5</xdr:col>
      <xdr:colOff>742846</xdr:colOff>
      <xdr:row>36</xdr:row>
      <xdr:rowOff>32267</xdr:rowOff>
    </xdr:to>
    <xdr:sp macro="" textlink="">
      <xdr:nvSpPr>
        <xdr:cNvPr id="37" name="D_FP_13">
          <a:extLst>
            <a:ext uri="{FF2B5EF4-FFF2-40B4-BE49-F238E27FC236}">
              <a16:creationId xmlns:a16="http://schemas.microsoft.com/office/drawing/2014/main" id="{00000000-0008-0000-1000-000025000000}"/>
            </a:ext>
          </a:extLst>
        </xdr:cNvPr>
        <xdr:cNvSpPr>
          <a:spLocks/>
        </xdr:cNvSpPr>
      </xdr:nvSpPr>
      <xdr:spPr>
        <a:xfrm rot="-14400000">
          <a:off x="3166522" y="572301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449362</xdr:colOff>
      <xdr:row>36</xdr:row>
      <xdr:rowOff>94250</xdr:rowOff>
    </xdr:from>
    <xdr:to>
      <xdr:col>6</xdr:col>
      <xdr:colOff>527830</xdr:colOff>
      <xdr:row>37</xdr:row>
      <xdr:rowOff>121430</xdr:rowOff>
    </xdr:to>
    <xdr:sp macro="" textlink="">
      <xdr:nvSpPr>
        <xdr:cNvPr id="38" name="D_FP_14">
          <a:extLst>
            <a:ext uri="{FF2B5EF4-FFF2-40B4-BE49-F238E27FC236}">
              <a16:creationId xmlns:a16="http://schemas.microsoft.com/office/drawing/2014/main" id="{00000000-0008-0000-1000-000026000000}"/>
            </a:ext>
          </a:extLst>
        </xdr:cNvPr>
        <xdr:cNvSpPr>
          <a:spLocks/>
        </xdr:cNvSpPr>
      </xdr:nvSpPr>
      <xdr:spPr>
        <a:xfrm rot="-15600000">
          <a:off x="3856381" y="5974106"/>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278620</xdr:colOff>
      <xdr:row>36</xdr:row>
      <xdr:rowOff>94250</xdr:rowOff>
    </xdr:from>
    <xdr:to>
      <xdr:col>8</xdr:col>
      <xdr:colOff>42763</xdr:colOff>
      <xdr:row>37</xdr:row>
      <xdr:rowOff>121430</xdr:rowOff>
    </xdr:to>
    <xdr:sp macro="" textlink="">
      <xdr:nvSpPr>
        <xdr:cNvPr id="39" name="D_FP_15">
          <a:extLst>
            <a:ext uri="{FF2B5EF4-FFF2-40B4-BE49-F238E27FC236}">
              <a16:creationId xmlns:a16="http://schemas.microsoft.com/office/drawing/2014/main" id="{00000000-0008-0000-1000-000027000000}"/>
            </a:ext>
          </a:extLst>
        </xdr:cNvPr>
        <xdr:cNvSpPr>
          <a:spLocks/>
        </xdr:cNvSpPr>
      </xdr:nvSpPr>
      <xdr:spPr>
        <a:xfrm rot="-16800000">
          <a:off x="4590514" y="5974106"/>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358880</xdr:colOff>
      <xdr:row>35</xdr:row>
      <xdr:rowOff>5087</xdr:rowOff>
    </xdr:from>
    <xdr:to>
      <xdr:col>9</xdr:col>
      <xdr:colOff>123023</xdr:colOff>
      <xdr:row>36</xdr:row>
      <xdr:rowOff>32267</xdr:rowOff>
    </xdr:to>
    <xdr:sp macro="" textlink="">
      <xdr:nvSpPr>
        <xdr:cNvPr id="40" name="D_FP_16">
          <a:extLst>
            <a:ext uri="{FF2B5EF4-FFF2-40B4-BE49-F238E27FC236}">
              <a16:creationId xmlns:a16="http://schemas.microsoft.com/office/drawing/2014/main" id="{00000000-0008-0000-1000-000028000000}"/>
            </a:ext>
          </a:extLst>
        </xdr:cNvPr>
        <xdr:cNvSpPr>
          <a:spLocks/>
        </xdr:cNvSpPr>
      </xdr:nvSpPr>
      <xdr:spPr>
        <a:xfrm rot="-18000000">
          <a:off x="5280374" y="572301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99178</xdr:colOff>
      <xdr:row>29</xdr:row>
      <xdr:rowOff>107626</xdr:rowOff>
    </xdr:from>
    <xdr:to>
      <xdr:col>9</xdr:col>
      <xdr:colOff>288283</xdr:colOff>
      <xdr:row>35</xdr:row>
      <xdr:rowOff>119419</xdr:rowOff>
    </xdr:to>
    <xdr:sp macro="" textlink="">
      <xdr:nvSpPr>
        <xdr:cNvPr id="41" name="D_FP_17">
          <a:extLst>
            <a:ext uri="{FF2B5EF4-FFF2-40B4-BE49-F238E27FC236}">
              <a16:creationId xmlns:a16="http://schemas.microsoft.com/office/drawing/2014/main" id="{00000000-0008-0000-1000-000029000000}"/>
            </a:ext>
          </a:extLst>
        </xdr:cNvPr>
        <xdr:cNvSpPr>
          <a:spLocks/>
        </xdr:cNvSpPr>
      </xdr:nvSpPr>
      <xdr:spPr>
        <a:xfrm rot="-19200000">
          <a:off x="5842753" y="5251126"/>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466244</xdr:colOff>
      <xdr:row>25</xdr:row>
      <xdr:rowOff>119549</xdr:rowOff>
    </xdr:from>
    <xdr:to>
      <xdr:col>10</xdr:col>
      <xdr:colOff>45749</xdr:colOff>
      <xdr:row>31</xdr:row>
      <xdr:rowOff>131342</xdr:rowOff>
    </xdr:to>
    <xdr:sp macro="" textlink="">
      <xdr:nvSpPr>
        <xdr:cNvPr id="42" name="D_FP_18">
          <a:extLst>
            <a:ext uri="{FF2B5EF4-FFF2-40B4-BE49-F238E27FC236}">
              <a16:creationId xmlns:a16="http://schemas.microsoft.com/office/drawing/2014/main" id="{00000000-0008-0000-1000-00002A000000}"/>
            </a:ext>
          </a:extLst>
        </xdr:cNvPr>
        <xdr:cNvSpPr>
          <a:spLocks/>
        </xdr:cNvSpPr>
      </xdr:nvSpPr>
      <xdr:spPr>
        <a:xfrm rot="-20400000">
          <a:off x="6209819" y="4615349"/>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473982</xdr:colOff>
      <xdr:row>11</xdr:row>
      <xdr:rowOff>59047</xdr:rowOff>
    </xdr:from>
    <xdr:to>
      <xdr:col>7</xdr:col>
      <xdr:colOff>465074</xdr:colOff>
      <xdr:row>12</xdr:row>
      <xdr:rowOff>9305</xdr:rowOff>
    </xdr:to>
    <xdr:sp macro="" textlink="">
      <xdr:nvSpPr>
        <xdr:cNvPr id="43" name="D_FP_19" hidden="1">
          <a:extLst>
            <a:ext uri="{FF2B5EF4-FFF2-40B4-BE49-F238E27FC236}">
              <a16:creationId xmlns:a16="http://schemas.microsoft.com/office/drawing/2014/main" id="{00000000-0008-0000-1000-00002B000000}"/>
            </a:ext>
          </a:extLst>
        </xdr:cNvPr>
        <xdr:cNvSpPr>
          <a:spLocks/>
        </xdr:cNvSpPr>
      </xdr:nvSpPr>
      <xdr:spPr>
        <a:xfrm rot="-4800000">
          <a:off x="4622296" y="2044833"/>
          <a:ext cx="112183" cy="598311"/>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138642</xdr:colOff>
      <xdr:row>22</xdr:row>
      <xdr:rowOff>78670</xdr:rowOff>
    </xdr:from>
    <xdr:to>
      <xdr:col>3</xdr:col>
      <xdr:colOff>250825</xdr:colOff>
      <xdr:row>26</xdr:row>
      <xdr:rowOff>29281</xdr:rowOff>
    </xdr:to>
    <xdr:sp macro="" textlink="">
      <xdr:nvSpPr>
        <xdr:cNvPr id="44" name="D_FP_20" hidden="1">
          <a:extLst>
            <a:ext uri="{FF2B5EF4-FFF2-40B4-BE49-F238E27FC236}">
              <a16:creationId xmlns:a16="http://schemas.microsoft.com/office/drawing/2014/main" id="{00000000-0008-0000-1000-00002C000000}"/>
            </a:ext>
          </a:extLst>
        </xdr:cNvPr>
        <xdr:cNvSpPr>
          <a:spLocks/>
        </xdr:cNvSpPr>
      </xdr:nvSpPr>
      <xdr:spPr>
        <a:xfrm rot="-10800000">
          <a:off x="2186517" y="4088695"/>
          <a:ext cx="112183" cy="598311"/>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314325</xdr:colOff>
      <xdr:row>46</xdr:row>
      <xdr:rowOff>95250</xdr:rowOff>
    </xdr:from>
    <xdr:to>
      <xdr:col>6</xdr:col>
      <xdr:colOff>501297</xdr:colOff>
      <xdr:row>52</xdr:row>
      <xdr:rowOff>95956</xdr:rowOff>
    </xdr:to>
    <xdr:sp macro="" textlink="">
      <xdr:nvSpPr>
        <xdr:cNvPr id="45" name="D_FP_21" hidden="1">
          <a:extLst>
            <a:ext uri="{FF2B5EF4-FFF2-40B4-BE49-F238E27FC236}">
              <a16:creationId xmlns:a16="http://schemas.microsoft.com/office/drawing/2014/main" id="{00000000-0008-0000-1000-00002D000000}"/>
            </a:ext>
          </a:extLst>
        </xdr:cNvPr>
        <xdr:cNvSpPr>
          <a:spLocks/>
        </xdr:cNvSpPr>
      </xdr:nvSpPr>
      <xdr:spPr>
        <a:xfrm rot="-10800000">
          <a:off x="4219575" y="79914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466725</xdr:colOff>
      <xdr:row>47</xdr:row>
      <xdr:rowOff>85725</xdr:rowOff>
    </xdr:from>
    <xdr:to>
      <xdr:col>7</xdr:col>
      <xdr:colOff>46478</xdr:colOff>
      <xdr:row>53</xdr:row>
      <xdr:rowOff>86431</xdr:rowOff>
    </xdr:to>
    <xdr:sp macro="" textlink="">
      <xdr:nvSpPr>
        <xdr:cNvPr id="46" name="D_FP_22" hidden="1">
          <a:extLst>
            <a:ext uri="{FF2B5EF4-FFF2-40B4-BE49-F238E27FC236}">
              <a16:creationId xmlns:a16="http://schemas.microsoft.com/office/drawing/2014/main" id="{00000000-0008-0000-1000-00002E000000}"/>
            </a:ext>
          </a:extLst>
        </xdr:cNvPr>
        <xdr:cNvSpPr>
          <a:spLocks/>
        </xdr:cNvSpPr>
      </xdr:nvSpPr>
      <xdr:spPr>
        <a:xfrm rot="-10800000">
          <a:off x="4371975" y="81438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11906</xdr:colOff>
      <xdr:row>48</xdr:row>
      <xdr:rowOff>76200</xdr:rowOff>
    </xdr:from>
    <xdr:to>
      <xdr:col>7</xdr:col>
      <xdr:colOff>198878</xdr:colOff>
      <xdr:row>54</xdr:row>
      <xdr:rowOff>76906</xdr:rowOff>
    </xdr:to>
    <xdr:sp macro="" textlink="">
      <xdr:nvSpPr>
        <xdr:cNvPr id="47" name="D_FP_23" hidden="1">
          <a:extLst>
            <a:ext uri="{FF2B5EF4-FFF2-40B4-BE49-F238E27FC236}">
              <a16:creationId xmlns:a16="http://schemas.microsoft.com/office/drawing/2014/main" id="{00000000-0008-0000-1000-00002F000000}"/>
            </a:ext>
          </a:extLst>
        </xdr:cNvPr>
        <xdr:cNvSpPr>
          <a:spLocks/>
        </xdr:cNvSpPr>
      </xdr:nvSpPr>
      <xdr:spPr>
        <a:xfrm rot="-10800000">
          <a:off x="4524375" y="82962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164306</xdr:colOff>
      <xdr:row>49</xdr:row>
      <xdr:rowOff>66675</xdr:rowOff>
    </xdr:from>
    <xdr:to>
      <xdr:col>7</xdr:col>
      <xdr:colOff>351278</xdr:colOff>
      <xdr:row>55</xdr:row>
      <xdr:rowOff>67381</xdr:rowOff>
    </xdr:to>
    <xdr:sp macro="" textlink="">
      <xdr:nvSpPr>
        <xdr:cNvPr id="48" name="D_FP_24" hidden="1">
          <a:extLst>
            <a:ext uri="{FF2B5EF4-FFF2-40B4-BE49-F238E27FC236}">
              <a16:creationId xmlns:a16="http://schemas.microsoft.com/office/drawing/2014/main" id="{00000000-0008-0000-1000-000030000000}"/>
            </a:ext>
          </a:extLst>
        </xdr:cNvPr>
        <xdr:cNvSpPr>
          <a:spLocks/>
        </xdr:cNvSpPr>
      </xdr:nvSpPr>
      <xdr:spPr>
        <a:xfrm rot="-10800000">
          <a:off x="4676775" y="84486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316706</xdr:colOff>
      <xdr:row>50</xdr:row>
      <xdr:rowOff>57150</xdr:rowOff>
    </xdr:from>
    <xdr:to>
      <xdr:col>7</xdr:col>
      <xdr:colOff>503678</xdr:colOff>
      <xdr:row>56</xdr:row>
      <xdr:rowOff>57856</xdr:rowOff>
    </xdr:to>
    <xdr:sp macro="" textlink="">
      <xdr:nvSpPr>
        <xdr:cNvPr id="49" name="D_FP_25" hidden="1">
          <a:extLst>
            <a:ext uri="{FF2B5EF4-FFF2-40B4-BE49-F238E27FC236}">
              <a16:creationId xmlns:a16="http://schemas.microsoft.com/office/drawing/2014/main" id="{00000000-0008-0000-1000-000031000000}"/>
            </a:ext>
          </a:extLst>
        </xdr:cNvPr>
        <xdr:cNvSpPr>
          <a:spLocks/>
        </xdr:cNvSpPr>
      </xdr:nvSpPr>
      <xdr:spPr>
        <a:xfrm rot="-10800000">
          <a:off x="4829175" y="86010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469106</xdr:colOff>
      <xdr:row>51</xdr:row>
      <xdr:rowOff>47625</xdr:rowOff>
    </xdr:from>
    <xdr:to>
      <xdr:col>8</xdr:col>
      <xdr:colOff>48859</xdr:colOff>
      <xdr:row>57</xdr:row>
      <xdr:rowOff>48331</xdr:rowOff>
    </xdr:to>
    <xdr:sp macro="" textlink="">
      <xdr:nvSpPr>
        <xdr:cNvPr id="50" name="D_FP_26" hidden="1">
          <a:extLst>
            <a:ext uri="{FF2B5EF4-FFF2-40B4-BE49-F238E27FC236}">
              <a16:creationId xmlns:a16="http://schemas.microsoft.com/office/drawing/2014/main" id="{00000000-0008-0000-1000-000032000000}"/>
            </a:ext>
          </a:extLst>
        </xdr:cNvPr>
        <xdr:cNvSpPr>
          <a:spLocks/>
        </xdr:cNvSpPr>
      </xdr:nvSpPr>
      <xdr:spPr>
        <a:xfrm rot="-10800000">
          <a:off x="4981575" y="87534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14287</xdr:colOff>
      <xdr:row>52</xdr:row>
      <xdr:rowOff>38100</xdr:rowOff>
    </xdr:from>
    <xdr:to>
      <xdr:col>8</xdr:col>
      <xdr:colOff>201259</xdr:colOff>
      <xdr:row>58</xdr:row>
      <xdr:rowOff>38806</xdr:rowOff>
    </xdr:to>
    <xdr:sp macro="" textlink="">
      <xdr:nvSpPr>
        <xdr:cNvPr id="51" name="D_FP_27" hidden="1">
          <a:extLst>
            <a:ext uri="{FF2B5EF4-FFF2-40B4-BE49-F238E27FC236}">
              <a16:creationId xmlns:a16="http://schemas.microsoft.com/office/drawing/2014/main" id="{00000000-0008-0000-1000-000033000000}"/>
            </a:ext>
          </a:extLst>
        </xdr:cNvPr>
        <xdr:cNvSpPr>
          <a:spLocks/>
        </xdr:cNvSpPr>
      </xdr:nvSpPr>
      <xdr:spPr>
        <a:xfrm rot="-10800000">
          <a:off x="5133975" y="89058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166687</xdr:colOff>
      <xdr:row>53</xdr:row>
      <xdr:rowOff>28575</xdr:rowOff>
    </xdr:from>
    <xdr:to>
      <xdr:col>8</xdr:col>
      <xdr:colOff>353659</xdr:colOff>
      <xdr:row>59</xdr:row>
      <xdr:rowOff>29281</xdr:rowOff>
    </xdr:to>
    <xdr:sp macro="" textlink="">
      <xdr:nvSpPr>
        <xdr:cNvPr id="52" name="D_FP_28" hidden="1">
          <a:extLst>
            <a:ext uri="{FF2B5EF4-FFF2-40B4-BE49-F238E27FC236}">
              <a16:creationId xmlns:a16="http://schemas.microsoft.com/office/drawing/2014/main" id="{00000000-0008-0000-1000-000034000000}"/>
            </a:ext>
          </a:extLst>
        </xdr:cNvPr>
        <xdr:cNvSpPr>
          <a:spLocks/>
        </xdr:cNvSpPr>
      </xdr:nvSpPr>
      <xdr:spPr>
        <a:xfrm rot="-10800000">
          <a:off x="5286375" y="90582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319087</xdr:colOff>
      <xdr:row>54</xdr:row>
      <xdr:rowOff>19050</xdr:rowOff>
    </xdr:from>
    <xdr:to>
      <xdr:col>8</xdr:col>
      <xdr:colOff>506059</xdr:colOff>
      <xdr:row>60</xdr:row>
      <xdr:rowOff>19756</xdr:rowOff>
    </xdr:to>
    <xdr:sp macro="" textlink="">
      <xdr:nvSpPr>
        <xdr:cNvPr id="53" name="D_FP_29" hidden="1">
          <a:extLst>
            <a:ext uri="{FF2B5EF4-FFF2-40B4-BE49-F238E27FC236}">
              <a16:creationId xmlns:a16="http://schemas.microsoft.com/office/drawing/2014/main" id="{00000000-0008-0000-1000-000035000000}"/>
            </a:ext>
          </a:extLst>
        </xdr:cNvPr>
        <xdr:cNvSpPr>
          <a:spLocks/>
        </xdr:cNvSpPr>
      </xdr:nvSpPr>
      <xdr:spPr>
        <a:xfrm rot="-10800000">
          <a:off x="5438775" y="92106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471487</xdr:colOff>
      <xdr:row>55</xdr:row>
      <xdr:rowOff>9525</xdr:rowOff>
    </xdr:from>
    <xdr:to>
      <xdr:col>9</xdr:col>
      <xdr:colOff>51241</xdr:colOff>
      <xdr:row>61</xdr:row>
      <xdr:rowOff>10231</xdr:rowOff>
    </xdr:to>
    <xdr:sp macro="" textlink="">
      <xdr:nvSpPr>
        <xdr:cNvPr id="54" name="D_FP_30" hidden="1">
          <a:extLst>
            <a:ext uri="{FF2B5EF4-FFF2-40B4-BE49-F238E27FC236}">
              <a16:creationId xmlns:a16="http://schemas.microsoft.com/office/drawing/2014/main" id="{00000000-0008-0000-1000-000036000000}"/>
            </a:ext>
          </a:extLst>
        </xdr:cNvPr>
        <xdr:cNvSpPr>
          <a:spLocks/>
        </xdr:cNvSpPr>
      </xdr:nvSpPr>
      <xdr:spPr>
        <a:xfrm rot="-10800000">
          <a:off x="5591175" y="93630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16669</xdr:colOff>
      <xdr:row>56</xdr:row>
      <xdr:rowOff>0</xdr:rowOff>
    </xdr:from>
    <xdr:to>
      <xdr:col>9</xdr:col>
      <xdr:colOff>203641</xdr:colOff>
      <xdr:row>62</xdr:row>
      <xdr:rowOff>706</xdr:rowOff>
    </xdr:to>
    <xdr:sp macro="" textlink="">
      <xdr:nvSpPr>
        <xdr:cNvPr id="55" name="D_FP_31" hidden="1">
          <a:extLst>
            <a:ext uri="{FF2B5EF4-FFF2-40B4-BE49-F238E27FC236}">
              <a16:creationId xmlns:a16="http://schemas.microsoft.com/office/drawing/2014/main" id="{00000000-0008-0000-1000-000037000000}"/>
            </a:ext>
          </a:extLst>
        </xdr:cNvPr>
        <xdr:cNvSpPr>
          <a:spLocks/>
        </xdr:cNvSpPr>
      </xdr:nvSpPr>
      <xdr:spPr>
        <a:xfrm rot="-10800000">
          <a:off x="5743575" y="95154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169069</xdr:colOff>
      <xdr:row>56</xdr:row>
      <xdr:rowOff>152400</xdr:rowOff>
    </xdr:from>
    <xdr:to>
      <xdr:col>9</xdr:col>
      <xdr:colOff>356041</xdr:colOff>
      <xdr:row>62</xdr:row>
      <xdr:rowOff>153106</xdr:rowOff>
    </xdr:to>
    <xdr:sp macro="" textlink="">
      <xdr:nvSpPr>
        <xdr:cNvPr id="56" name="D_FP_32" hidden="1">
          <a:extLst>
            <a:ext uri="{FF2B5EF4-FFF2-40B4-BE49-F238E27FC236}">
              <a16:creationId xmlns:a16="http://schemas.microsoft.com/office/drawing/2014/main" id="{00000000-0008-0000-1000-000038000000}"/>
            </a:ext>
          </a:extLst>
        </xdr:cNvPr>
        <xdr:cNvSpPr>
          <a:spLocks/>
        </xdr:cNvSpPr>
      </xdr:nvSpPr>
      <xdr:spPr>
        <a:xfrm rot="-10800000">
          <a:off x="5895975" y="96678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321469</xdr:colOff>
      <xdr:row>57</xdr:row>
      <xdr:rowOff>142875</xdr:rowOff>
    </xdr:from>
    <xdr:to>
      <xdr:col>9</xdr:col>
      <xdr:colOff>508441</xdr:colOff>
      <xdr:row>63</xdr:row>
      <xdr:rowOff>143581</xdr:rowOff>
    </xdr:to>
    <xdr:sp macro="" textlink="">
      <xdr:nvSpPr>
        <xdr:cNvPr id="57" name="D_FP_33" hidden="1">
          <a:extLst>
            <a:ext uri="{FF2B5EF4-FFF2-40B4-BE49-F238E27FC236}">
              <a16:creationId xmlns:a16="http://schemas.microsoft.com/office/drawing/2014/main" id="{00000000-0008-0000-1000-000039000000}"/>
            </a:ext>
          </a:extLst>
        </xdr:cNvPr>
        <xdr:cNvSpPr>
          <a:spLocks/>
        </xdr:cNvSpPr>
      </xdr:nvSpPr>
      <xdr:spPr>
        <a:xfrm rot="-10800000">
          <a:off x="6048375" y="98202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473869</xdr:colOff>
      <xdr:row>58</xdr:row>
      <xdr:rowOff>133350</xdr:rowOff>
    </xdr:from>
    <xdr:to>
      <xdr:col>10</xdr:col>
      <xdr:colOff>53622</xdr:colOff>
      <xdr:row>64</xdr:row>
      <xdr:rowOff>134056</xdr:rowOff>
    </xdr:to>
    <xdr:sp macro="" textlink="">
      <xdr:nvSpPr>
        <xdr:cNvPr id="58" name="D_FP_34" hidden="1">
          <a:extLst>
            <a:ext uri="{FF2B5EF4-FFF2-40B4-BE49-F238E27FC236}">
              <a16:creationId xmlns:a16="http://schemas.microsoft.com/office/drawing/2014/main" id="{00000000-0008-0000-1000-00003A000000}"/>
            </a:ext>
          </a:extLst>
        </xdr:cNvPr>
        <xdr:cNvSpPr>
          <a:spLocks/>
        </xdr:cNvSpPr>
      </xdr:nvSpPr>
      <xdr:spPr>
        <a:xfrm rot="-10800000">
          <a:off x="6200775" y="99726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10</xdr:col>
      <xdr:colOff>19050</xdr:colOff>
      <xdr:row>59</xdr:row>
      <xdr:rowOff>123825</xdr:rowOff>
    </xdr:from>
    <xdr:to>
      <xdr:col>10</xdr:col>
      <xdr:colOff>206022</xdr:colOff>
      <xdr:row>65</xdr:row>
      <xdr:rowOff>124531</xdr:rowOff>
    </xdr:to>
    <xdr:sp macro="" textlink="">
      <xdr:nvSpPr>
        <xdr:cNvPr id="59" name="D_FP_35" hidden="1">
          <a:extLst>
            <a:ext uri="{FF2B5EF4-FFF2-40B4-BE49-F238E27FC236}">
              <a16:creationId xmlns:a16="http://schemas.microsoft.com/office/drawing/2014/main" id="{00000000-0008-0000-1000-00003B000000}"/>
            </a:ext>
          </a:extLst>
        </xdr:cNvPr>
        <xdr:cNvSpPr>
          <a:spLocks/>
        </xdr:cNvSpPr>
      </xdr:nvSpPr>
      <xdr:spPr>
        <a:xfrm rot="-10800000">
          <a:off x="6353175" y="101250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10</xdr:col>
      <xdr:colOff>171450</xdr:colOff>
      <xdr:row>60</xdr:row>
      <xdr:rowOff>114300</xdr:rowOff>
    </xdr:from>
    <xdr:to>
      <xdr:col>10</xdr:col>
      <xdr:colOff>358422</xdr:colOff>
      <xdr:row>66</xdr:row>
      <xdr:rowOff>115006</xdr:rowOff>
    </xdr:to>
    <xdr:sp macro="" textlink="">
      <xdr:nvSpPr>
        <xdr:cNvPr id="60" name="D_FP_36" hidden="1">
          <a:extLst>
            <a:ext uri="{FF2B5EF4-FFF2-40B4-BE49-F238E27FC236}">
              <a16:creationId xmlns:a16="http://schemas.microsoft.com/office/drawing/2014/main" id="{00000000-0008-0000-1000-00003C000000}"/>
            </a:ext>
          </a:extLst>
        </xdr:cNvPr>
        <xdr:cNvSpPr>
          <a:spLocks/>
        </xdr:cNvSpPr>
      </xdr:nvSpPr>
      <xdr:spPr>
        <a:xfrm rot="-10800000">
          <a:off x="6505575" y="102774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503853</xdr:colOff>
      <xdr:row>11</xdr:row>
      <xdr:rowOff>937</xdr:rowOff>
    </xdr:from>
    <xdr:to>
      <xdr:col>8</xdr:col>
      <xdr:colOff>594696</xdr:colOff>
      <xdr:row>14</xdr:row>
      <xdr:rowOff>150162</xdr:rowOff>
    </xdr:to>
    <xdr:sp macro="" textlink="">
      <xdr:nvSpPr>
        <xdr:cNvPr id="25" name="D_Int_1">
          <a:extLst>
            <a:ext uri="{FF2B5EF4-FFF2-40B4-BE49-F238E27FC236}">
              <a16:creationId xmlns:a16="http://schemas.microsoft.com/office/drawing/2014/main" id="{00000000-0008-0000-1000-000019000000}"/>
            </a:ext>
          </a:extLst>
        </xdr:cNvPr>
        <xdr:cNvSpPr/>
      </xdr:nvSpPr>
      <xdr:spPr>
        <a:xfrm rot="-3600000">
          <a:off x="5060950" y="2197065"/>
          <a:ext cx="635000" cy="700443"/>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441325</xdr:colOff>
      <xdr:row>22</xdr:row>
      <xdr:rowOff>23794</xdr:rowOff>
    </xdr:from>
    <xdr:to>
      <xdr:col>3</xdr:col>
      <xdr:colOff>457200</xdr:colOff>
      <xdr:row>26</xdr:row>
      <xdr:rowOff>76537</xdr:rowOff>
    </xdr:to>
    <xdr:sp macro="" textlink="">
      <xdr:nvSpPr>
        <xdr:cNvPr id="63" name="D_Int_2">
          <a:extLst>
            <a:ext uri="{FF2B5EF4-FFF2-40B4-BE49-F238E27FC236}">
              <a16:creationId xmlns:a16="http://schemas.microsoft.com/office/drawing/2014/main" id="{00000000-0008-0000-1000-00003F000000}"/>
            </a:ext>
          </a:extLst>
        </xdr:cNvPr>
        <xdr:cNvSpPr/>
      </xdr:nvSpPr>
      <xdr:spPr>
        <a:xfrm rot="-10800000">
          <a:off x="1879600" y="4033819"/>
          <a:ext cx="635000" cy="700443"/>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505516</xdr:colOff>
      <xdr:row>14</xdr:row>
      <xdr:rowOff>156549</xdr:rowOff>
    </xdr:from>
    <xdr:to>
      <xdr:col>9</xdr:col>
      <xdr:colOff>533298</xdr:colOff>
      <xdr:row>16</xdr:row>
      <xdr:rowOff>131855</xdr:rowOff>
    </xdr:to>
    <xdr:sp macro="" textlink="">
      <xdr:nvSpPr>
        <xdr:cNvPr id="64" name="D_Int_3" hidden="1">
          <a:extLst>
            <a:ext uri="{FF2B5EF4-FFF2-40B4-BE49-F238E27FC236}">
              <a16:creationId xmlns:a16="http://schemas.microsoft.com/office/drawing/2014/main" id="{00000000-0008-0000-1000-000040000000}"/>
            </a:ext>
          </a:extLst>
        </xdr:cNvPr>
        <xdr:cNvSpPr/>
      </xdr:nvSpPr>
      <xdr:spPr>
        <a:xfrm rot="-2400000">
          <a:off x="5625204" y="2871174"/>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109184</xdr:colOff>
      <xdr:row>11</xdr:row>
      <xdr:rowOff>937</xdr:rowOff>
    </xdr:from>
    <xdr:to>
      <xdr:col>8</xdr:col>
      <xdr:colOff>408340</xdr:colOff>
      <xdr:row>14</xdr:row>
      <xdr:rowOff>150162</xdr:rowOff>
    </xdr:to>
    <xdr:sp macro="" textlink="">
      <xdr:nvSpPr>
        <xdr:cNvPr id="65" name="D_Int_4" hidden="1">
          <a:extLst>
            <a:ext uri="{FF2B5EF4-FFF2-40B4-BE49-F238E27FC236}">
              <a16:creationId xmlns:a16="http://schemas.microsoft.com/office/drawing/2014/main" id="{00000000-0008-0000-1000-000041000000}"/>
            </a:ext>
          </a:extLst>
        </xdr:cNvPr>
        <xdr:cNvSpPr/>
      </xdr:nvSpPr>
      <xdr:spPr>
        <a:xfrm rot="-3600000">
          <a:off x="5060950" y="2397709"/>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24243</xdr:colOff>
      <xdr:row>9</xdr:row>
      <xdr:rowOff>72861</xdr:rowOff>
    </xdr:from>
    <xdr:to>
      <xdr:col>7</xdr:col>
      <xdr:colOff>323399</xdr:colOff>
      <xdr:row>13</xdr:row>
      <xdr:rowOff>60161</xdr:rowOff>
    </xdr:to>
    <xdr:sp macro="" textlink="">
      <xdr:nvSpPr>
        <xdr:cNvPr id="66" name="D_Int_5" hidden="1">
          <a:extLst>
            <a:ext uri="{FF2B5EF4-FFF2-40B4-BE49-F238E27FC236}">
              <a16:creationId xmlns:a16="http://schemas.microsoft.com/office/drawing/2014/main" id="{00000000-0008-0000-1000-000042000000}"/>
            </a:ext>
          </a:extLst>
        </xdr:cNvPr>
        <xdr:cNvSpPr/>
      </xdr:nvSpPr>
      <xdr:spPr>
        <a:xfrm rot="-4800000">
          <a:off x="4368790" y="2145783"/>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799757</xdr:colOff>
      <xdr:row>9</xdr:row>
      <xdr:rowOff>72861</xdr:rowOff>
    </xdr:from>
    <xdr:to>
      <xdr:col>6</xdr:col>
      <xdr:colOff>194038</xdr:colOff>
      <xdr:row>13</xdr:row>
      <xdr:rowOff>60161</xdr:rowOff>
    </xdr:to>
    <xdr:sp macro="" textlink="">
      <xdr:nvSpPr>
        <xdr:cNvPr id="67" name="D_Int_6" hidden="1">
          <a:extLst>
            <a:ext uri="{FF2B5EF4-FFF2-40B4-BE49-F238E27FC236}">
              <a16:creationId xmlns:a16="http://schemas.microsoft.com/office/drawing/2014/main" id="{00000000-0008-0000-1000-000043000000}"/>
            </a:ext>
          </a:extLst>
        </xdr:cNvPr>
        <xdr:cNvSpPr/>
      </xdr:nvSpPr>
      <xdr:spPr>
        <a:xfrm rot="-6000000">
          <a:off x="3632210" y="2145783"/>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107597</xdr:colOff>
      <xdr:row>11</xdr:row>
      <xdr:rowOff>937</xdr:rowOff>
    </xdr:from>
    <xdr:to>
      <xdr:col>5</xdr:col>
      <xdr:colOff>406753</xdr:colOff>
      <xdr:row>14</xdr:row>
      <xdr:rowOff>150162</xdr:rowOff>
    </xdr:to>
    <xdr:sp macro="" textlink="">
      <xdr:nvSpPr>
        <xdr:cNvPr id="68" name="D_Int_7" hidden="1">
          <a:extLst>
            <a:ext uri="{FF2B5EF4-FFF2-40B4-BE49-F238E27FC236}">
              <a16:creationId xmlns:a16="http://schemas.microsoft.com/office/drawing/2014/main" id="{00000000-0008-0000-1000-000044000000}"/>
            </a:ext>
          </a:extLst>
        </xdr:cNvPr>
        <xdr:cNvSpPr/>
      </xdr:nvSpPr>
      <xdr:spPr>
        <a:xfrm rot="-7200000">
          <a:off x="2940050" y="2397709"/>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327921</xdr:colOff>
      <xdr:row>14</xdr:row>
      <xdr:rowOff>156549</xdr:rowOff>
    </xdr:from>
    <xdr:to>
      <xdr:col>5</xdr:col>
      <xdr:colOff>10421</xdr:colOff>
      <xdr:row>16</xdr:row>
      <xdr:rowOff>131855</xdr:rowOff>
    </xdr:to>
    <xdr:sp macro="" textlink="">
      <xdr:nvSpPr>
        <xdr:cNvPr id="69" name="D_Int_8" hidden="1">
          <a:extLst>
            <a:ext uri="{FF2B5EF4-FFF2-40B4-BE49-F238E27FC236}">
              <a16:creationId xmlns:a16="http://schemas.microsoft.com/office/drawing/2014/main" id="{00000000-0008-0000-1000-000045000000}"/>
            </a:ext>
          </a:extLst>
        </xdr:cNvPr>
        <xdr:cNvSpPr/>
      </xdr:nvSpPr>
      <xdr:spPr>
        <a:xfrm rot="-8400000">
          <a:off x="2375796" y="2871174"/>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578756</xdr:colOff>
      <xdr:row>18</xdr:row>
      <xdr:rowOff>146747</xdr:rowOff>
    </xdr:from>
    <xdr:to>
      <xdr:col>4</xdr:col>
      <xdr:colOff>94568</xdr:colOff>
      <xdr:row>20</xdr:row>
      <xdr:rowOff>122053</xdr:rowOff>
    </xdr:to>
    <xdr:sp macro="" textlink="">
      <xdr:nvSpPr>
        <xdr:cNvPr id="70" name="D_Int_9" hidden="1">
          <a:extLst>
            <a:ext uri="{FF2B5EF4-FFF2-40B4-BE49-F238E27FC236}">
              <a16:creationId xmlns:a16="http://schemas.microsoft.com/office/drawing/2014/main" id="{00000000-0008-0000-1000-000046000000}"/>
            </a:ext>
          </a:extLst>
        </xdr:cNvPr>
        <xdr:cNvSpPr/>
      </xdr:nvSpPr>
      <xdr:spPr>
        <a:xfrm rot="-9600000">
          <a:off x="2007506" y="3509072"/>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450850</xdr:colOff>
      <xdr:row>23</xdr:row>
      <xdr:rowOff>62512</xdr:rowOff>
    </xdr:from>
    <xdr:to>
      <xdr:col>3</xdr:col>
      <xdr:colOff>466725</xdr:colOff>
      <xdr:row>25</xdr:row>
      <xdr:rowOff>37818</xdr:rowOff>
    </xdr:to>
    <xdr:sp macro="" textlink="">
      <xdr:nvSpPr>
        <xdr:cNvPr id="71" name="D_Int_10" hidden="1">
          <a:extLst>
            <a:ext uri="{FF2B5EF4-FFF2-40B4-BE49-F238E27FC236}">
              <a16:creationId xmlns:a16="http://schemas.microsoft.com/office/drawing/2014/main" id="{00000000-0008-0000-1000-000047000000}"/>
            </a:ext>
          </a:extLst>
        </xdr:cNvPr>
        <xdr:cNvSpPr/>
      </xdr:nvSpPr>
      <xdr:spPr>
        <a:xfrm rot="-10800000">
          <a:off x="1879600" y="4234462"/>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578756</xdr:colOff>
      <xdr:row>27</xdr:row>
      <xdr:rowOff>140203</xdr:rowOff>
    </xdr:from>
    <xdr:to>
      <xdr:col>4</xdr:col>
      <xdr:colOff>94568</xdr:colOff>
      <xdr:row>29</xdr:row>
      <xdr:rowOff>115509</xdr:rowOff>
    </xdr:to>
    <xdr:sp macro="" textlink="">
      <xdr:nvSpPr>
        <xdr:cNvPr id="72" name="D_Int_11" hidden="1">
          <a:extLst>
            <a:ext uri="{FF2B5EF4-FFF2-40B4-BE49-F238E27FC236}">
              <a16:creationId xmlns:a16="http://schemas.microsoft.com/office/drawing/2014/main" id="{00000000-0008-0000-1000-000048000000}"/>
            </a:ext>
          </a:extLst>
        </xdr:cNvPr>
        <xdr:cNvSpPr/>
      </xdr:nvSpPr>
      <xdr:spPr>
        <a:xfrm rot="-12000000">
          <a:off x="2007506" y="4959853"/>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327921</xdr:colOff>
      <xdr:row>31</xdr:row>
      <xdr:rowOff>130401</xdr:rowOff>
    </xdr:from>
    <xdr:to>
      <xdr:col>5</xdr:col>
      <xdr:colOff>10421</xdr:colOff>
      <xdr:row>33</xdr:row>
      <xdr:rowOff>105707</xdr:rowOff>
    </xdr:to>
    <xdr:sp macro="" textlink="">
      <xdr:nvSpPr>
        <xdr:cNvPr id="73" name="D_Int_12" hidden="1">
          <a:extLst>
            <a:ext uri="{FF2B5EF4-FFF2-40B4-BE49-F238E27FC236}">
              <a16:creationId xmlns:a16="http://schemas.microsoft.com/office/drawing/2014/main" id="{00000000-0008-0000-1000-000049000000}"/>
            </a:ext>
          </a:extLst>
        </xdr:cNvPr>
        <xdr:cNvSpPr/>
      </xdr:nvSpPr>
      <xdr:spPr>
        <a:xfrm rot="-13200000">
          <a:off x="2375796" y="5597751"/>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107597</xdr:colOff>
      <xdr:row>33</xdr:row>
      <xdr:rowOff>112093</xdr:rowOff>
    </xdr:from>
    <xdr:to>
      <xdr:col>5</xdr:col>
      <xdr:colOff>406753</xdr:colOff>
      <xdr:row>37</xdr:row>
      <xdr:rowOff>99393</xdr:rowOff>
    </xdr:to>
    <xdr:sp macro="" textlink="">
      <xdr:nvSpPr>
        <xdr:cNvPr id="74" name="D_Int_13" hidden="1">
          <a:extLst>
            <a:ext uri="{FF2B5EF4-FFF2-40B4-BE49-F238E27FC236}">
              <a16:creationId xmlns:a16="http://schemas.microsoft.com/office/drawing/2014/main" id="{00000000-0008-0000-1000-00004A000000}"/>
            </a:ext>
          </a:extLst>
        </xdr:cNvPr>
        <xdr:cNvSpPr/>
      </xdr:nvSpPr>
      <xdr:spPr>
        <a:xfrm rot="-14400000">
          <a:off x="2940050" y="6071215"/>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799757</xdr:colOff>
      <xdr:row>35</xdr:row>
      <xdr:rowOff>40169</xdr:rowOff>
    </xdr:from>
    <xdr:to>
      <xdr:col>6</xdr:col>
      <xdr:colOff>194038</xdr:colOff>
      <xdr:row>39</xdr:row>
      <xdr:rowOff>27469</xdr:rowOff>
    </xdr:to>
    <xdr:sp macro="" textlink="">
      <xdr:nvSpPr>
        <xdr:cNvPr id="75" name="D_Int_14" hidden="1">
          <a:extLst>
            <a:ext uri="{FF2B5EF4-FFF2-40B4-BE49-F238E27FC236}">
              <a16:creationId xmlns:a16="http://schemas.microsoft.com/office/drawing/2014/main" id="{00000000-0008-0000-1000-00004B000000}"/>
            </a:ext>
          </a:extLst>
        </xdr:cNvPr>
        <xdr:cNvSpPr/>
      </xdr:nvSpPr>
      <xdr:spPr>
        <a:xfrm rot="-15600000">
          <a:off x="3632210" y="6323141"/>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24243</xdr:colOff>
      <xdr:row>35</xdr:row>
      <xdr:rowOff>40169</xdr:rowOff>
    </xdr:from>
    <xdr:to>
      <xdr:col>7</xdr:col>
      <xdr:colOff>323399</xdr:colOff>
      <xdr:row>39</xdr:row>
      <xdr:rowOff>27469</xdr:rowOff>
    </xdr:to>
    <xdr:sp macro="" textlink="">
      <xdr:nvSpPr>
        <xdr:cNvPr id="76" name="D_Int_15" hidden="1">
          <a:extLst>
            <a:ext uri="{FF2B5EF4-FFF2-40B4-BE49-F238E27FC236}">
              <a16:creationId xmlns:a16="http://schemas.microsoft.com/office/drawing/2014/main" id="{00000000-0008-0000-1000-00004C000000}"/>
            </a:ext>
          </a:extLst>
        </xdr:cNvPr>
        <xdr:cNvSpPr/>
      </xdr:nvSpPr>
      <xdr:spPr>
        <a:xfrm rot="-16800000">
          <a:off x="4368790" y="6323141"/>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109184</xdr:colOff>
      <xdr:row>33</xdr:row>
      <xdr:rowOff>112093</xdr:rowOff>
    </xdr:from>
    <xdr:to>
      <xdr:col>8</xdr:col>
      <xdr:colOff>408340</xdr:colOff>
      <xdr:row>37</xdr:row>
      <xdr:rowOff>99393</xdr:rowOff>
    </xdr:to>
    <xdr:sp macro="" textlink="">
      <xdr:nvSpPr>
        <xdr:cNvPr id="77" name="D_Int_16" hidden="1">
          <a:extLst>
            <a:ext uri="{FF2B5EF4-FFF2-40B4-BE49-F238E27FC236}">
              <a16:creationId xmlns:a16="http://schemas.microsoft.com/office/drawing/2014/main" id="{00000000-0008-0000-1000-00004D000000}"/>
            </a:ext>
          </a:extLst>
        </xdr:cNvPr>
        <xdr:cNvSpPr/>
      </xdr:nvSpPr>
      <xdr:spPr>
        <a:xfrm rot="-18000000">
          <a:off x="5060950" y="6071215"/>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505516</xdr:colOff>
      <xdr:row>31</xdr:row>
      <xdr:rowOff>130401</xdr:rowOff>
    </xdr:from>
    <xdr:to>
      <xdr:col>9</xdr:col>
      <xdr:colOff>533298</xdr:colOff>
      <xdr:row>33</xdr:row>
      <xdr:rowOff>105707</xdr:rowOff>
    </xdr:to>
    <xdr:sp macro="" textlink="">
      <xdr:nvSpPr>
        <xdr:cNvPr id="78" name="D_Int_17" hidden="1">
          <a:extLst>
            <a:ext uri="{FF2B5EF4-FFF2-40B4-BE49-F238E27FC236}">
              <a16:creationId xmlns:a16="http://schemas.microsoft.com/office/drawing/2014/main" id="{00000000-0008-0000-1000-00004E000000}"/>
            </a:ext>
          </a:extLst>
        </xdr:cNvPr>
        <xdr:cNvSpPr/>
      </xdr:nvSpPr>
      <xdr:spPr>
        <a:xfrm rot="-19200000">
          <a:off x="5625204" y="5597751"/>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266588</xdr:colOff>
      <xdr:row>27</xdr:row>
      <xdr:rowOff>140203</xdr:rowOff>
    </xdr:from>
    <xdr:to>
      <xdr:col>10</xdr:col>
      <xdr:colOff>294369</xdr:colOff>
      <xdr:row>29</xdr:row>
      <xdr:rowOff>115509</xdr:rowOff>
    </xdr:to>
    <xdr:sp macro="" textlink="">
      <xdr:nvSpPr>
        <xdr:cNvPr id="79" name="D_Int_18" hidden="1">
          <a:extLst>
            <a:ext uri="{FF2B5EF4-FFF2-40B4-BE49-F238E27FC236}">
              <a16:creationId xmlns:a16="http://schemas.microsoft.com/office/drawing/2014/main" id="{00000000-0008-0000-1000-00004F000000}"/>
            </a:ext>
          </a:extLst>
        </xdr:cNvPr>
        <xdr:cNvSpPr/>
      </xdr:nvSpPr>
      <xdr:spPr>
        <a:xfrm rot="-20400000">
          <a:off x="5993494" y="4959853"/>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497296</xdr:colOff>
      <xdr:row>19</xdr:row>
      <xdr:rowOff>60610</xdr:rowOff>
    </xdr:from>
    <xdr:to>
      <xdr:col>9</xdr:col>
      <xdr:colOff>587129</xdr:colOff>
      <xdr:row>20</xdr:row>
      <xdr:rowOff>68924</xdr:rowOff>
    </xdr:to>
    <xdr:sp macro="" textlink="">
      <xdr:nvSpPr>
        <xdr:cNvPr id="61" name="D_text_2">
          <a:extLst>
            <a:ext uri="{FF2B5EF4-FFF2-40B4-BE49-F238E27FC236}">
              <a16:creationId xmlns:a16="http://schemas.microsoft.com/office/drawing/2014/main" id="{00000000-0008-0000-1000-00003D000000}"/>
            </a:ext>
          </a:extLst>
        </xdr:cNvPr>
        <xdr:cNvSpPr txBox="1"/>
      </xdr:nvSpPr>
      <xdr:spPr>
        <a:xfrm>
          <a:off x="6240871" y="358486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9</xdr:col>
      <xdr:colOff>130230</xdr:colOff>
      <xdr:row>15</xdr:row>
      <xdr:rowOff>72532</xdr:rowOff>
    </xdr:from>
    <xdr:to>
      <xdr:col>9</xdr:col>
      <xdr:colOff>220063</xdr:colOff>
      <xdr:row>16</xdr:row>
      <xdr:rowOff>80846</xdr:rowOff>
    </xdr:to>
    <xdr:sp macro="" textlink="">
      <xdr:nvSpPr>
        <xdr:cNvPr id="62" name="D_text_3">
          <a:extLst>
            <a:ext uri="{FF2B5EF4-FFF2-40B4-BE49-F238E27FC236}">
              <a16:creationId xmlns:a16="http://schemas.microsoft.com/office/drawing/2014/main" id="{00000000-0008-0000-1000-00003E000000}"/>
            </a:ext>
          </a:extLst>
        </xdr:cNvPr>
        <xdr:cNvSpPr txBox="1"/>
      </xdr:nvSpPr>
      <xdr:spPr>
        <a:xfrm>
          <a:off x="5873805" y="2949082"/>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8</xdr:col>
      <xdr:colOff>177451</xdr:colOff>
      <xdr:row>12</xdr:row>
      <xdr:rowOff>86415</xdr:rowOff>
    </xdr:from>
    <xdr:to>
      <xdr:col>8</xdr:col>
      <xdr:colOff>267284</xdr:colOff>
      <xdr:row>13</xdr:row>
      <xdr:rowOff>94729</xdr:rowOff>
    </xdr:to>
    <xdr:sp macro="" textlink="">
      <xdr:nvSpPr>
        <xdr:cNvPr id="80" name="D_text_4">
          <a:extLst>
            <a:ext uri="{FF2B5EF4-FFF2-40B4-BE49-F238E27FC236}">
              <a16:creationId xmlns:a16="http://schemas.microsoft.com/office/drawing/2014/main" id="{00000000-0008-0000-1000-000050000000}"/>
            </a:ext>
          </a:extLst>
        </xdr:cNvPr>
        <xdr:cNvSpPr txBox="1"/>
      </xdr:nvSpPr>
      <xdr:spPr>
        <a:xfrm>
          <a:off x="5311426" y="247719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7</xdr:col>
      <xdr:colOff>97192</xdr:colOff>
      <xdr:row>10</xdr:row>
      <xdr:rowOff>159177</xdr:rowOff>
    </xdr:from>
    <xdr:to>
      <xdr:col>7</xdr:col>
      <xdr:colOff>187025</xdr:colOff>
      <xdr:row>12</xdr:row>
      <xdr:rowOff>5566</xdr:rowOff>
    </xdr:to>
    <xdr:sp macro="" textlink="">
      <xdr:nvSpPr>
        <xdr:cNvPr id="81" name="D_text_5">
          <a:extLst>
            <a:ext uri="{FF2B5EF4-FFF2-40B4-BE49-F238E27FC236}">
              <a16:creationId xmlns:a16="http://schemas.microsoft.com/office/drawing/2014/main" id="{00000000-0008-0000-1000-000051000000}"/>
            </a:ext>
          </a:extLst>
        </xdr:cNvPr>
        <xdr:cNvSpPr txBox="1"/>
      </xdr:nvSpPr>
      <xdr:spPr>
        <a:xfrm>
          <a:off x="4621567" y="2226102"/>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5</xdr:col>
      <xdr:colOff>877533</xdr:colOff>
      <xdr:row>10</xdr:row>
      <xdr:rowOff>159177</xdr:rowOff>
    </xdr:from>
    <xdr:to>
      <xdr:col>6</xdr:col>
      <xdr:colOff>62491</xdr:colOff>
      <xdr:row>12</xdr:row>
      <xdr:rowOff>5566</xdr:rowOff>
    </xdr:to>
    <xdr:sp macro="" textlink="">
      <xdr:nvSpPr>
        <xdr:cNvPr id="82" name="D_text_6">
          <a:extLst>
            <a:ext uri="{FF2B5EF4-FFF2-40B4-BE49-F238E27FC236}">
              <a16:creationId xmlns:a16="http://schemas.microsoft.com/office/drawing/2014/main" id="{00000000-0008-0000-1000-000052000000}"/>
            </a:ext>
          </a:extLst>
        </xdr:cNvPr>
        <xdr:cNvSpPr txBox="1"/>
      </xdr:nvSpPr>
      <xdr:spPr>
        <a:xfrm>
          <a:off x="3887433" y="2226102"/>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5</xdr:col>
      <xdr:colOff>187674</xdr:colOff>
      <xdr:row>12</xdr:row>
      <xdr:rowOff>86415</xdr:rowOff>
    </xdr:from>
    <xdr:to>
      <xdr:col>5</xdr:col>
      <xdr:colOff>277507</xdr:colOff>
      <xdr:row>13</xdr:row>
      <xdr:rowOff>94729</xdr:rowOff>
    </xdr:to>
    <xdr:sp macro="" textlink="">
      <xdr:nvSpPr>
        <xdr:cNvPr id="83" name="D_text_7">
          <a:extLst>
            <a:ext uri="{FF2B5EF4-FFF2-40B4-BE49-F238E27FC236}">
              <a16:creationId xmlns:a16="http://schemas.microsoft.com/office/drawing/2014/main" id="{00000000-0008-0000-1000-000053000000}"/>
            </a:ext>
          </a:extLst>
        </xdr:cNvPr>
        <xdr:cNvSpPr txBox="1"/>
      </xdr:nvSpPr>
      <xdr:spPr>
        <a:xfrm>
          <a:off x="3197574" y="247719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4</xdr:col>
      <xdr:colOff>72970</xdr:colOff>
      <xdr:row>15</xdr:row>
      <xdr:rowOff>72532</xdr:rowOff>
    </xdr:from>
    <xdr:to>
      <xdr:col>4</xdr:col>
      <xdr:colOff>162803</xdr:colOff>
      <xdr:row>16</xdr:row>
      <xdr:rowOff>80846</xdr:rowOff>
    </xdr:to>
    <xdr:sp macro="" textlink="">
      <xdr:nvSpPr>
        <xdr:cNvPr id="84" name="D_text_8">
          <a:extLst>
            <a:ext uri="{FF2B5EF4-FFF2-40B4-BE49-F238E27FC236}">
              <a16:creationId xmlns:a16="http://schemas.microsoft.com/office/drawing/2014/main" id="{00000000-0008-0000-1000-000054000000}"/>
            </a:ext>
          </a:extLst>
        </xdr:cNvPr>
        <xdr:cNvSpPr txBox="1"/>
      </xdr:nvSpPr>
      <xdr:spPr>
        <a:xfrm>
          <a:off x="2635195" y="2949082"/>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3</xdr:col>
      <xdr:colOff>210729</xdr:colOff>
      <xdr:row>19</xdr:row>
      <xdr:rowOff>60610</xdr:rowOff>
    </xdr:from>
    <xdr:to>
      <xdr:col>3</xdr:col>
      <xdr:colOff>300562</xdr:colOff>
      <xdr:row>20</xdr:row>
      <xdr:rowOff>68924</xdr:rowOff>
    </xdr:to>
    <xdr:sp macro="" textlink="">
      <xdr:nvSpPr>
        <xdr:cNvPr id="85" name="D_text_9">
          <a:extLst>
            <a:ext uri="{FF2B5EF4-FFF2-40B4-BE49-F238E27FC236}">
              <a16:creationId xmlns:a16="http://schemas.microsoft.com/office/drawing/2014/main" id="{00000000-0008-0000-1000-000055000000}"/>
            </a:ext>
          </a:extLst>
        </xdr:cNvPr>
        <xdr:cNvSpPr txBox="1"/>
      </xdr:nvSpPr>
      <xdr:spPr>
        <a:xfrm>
          <a:off x="2268129" y="358486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3</xdr:col>
      <xdr:colOff>83248</xdr:colOff>
      <xdr:row>23</xdr:row>
      <xdr:rowOff>135890</xdr:rowOff>
    </xdr:from>
    <xdr:to>
      <xdr:col>3</xdr:col>
      <xdr:colOff>173081</xdr:colOff>
      <xdr:row>24</xdr:row>
      <xdr:rowOff>144204</xdr:rowOff>
    </xdr:to>
    <xdr:sp macro="" textlink="">
      <xdr:nvSpPr>
        <xdr:cNvPr id="86" name="D_text_10">
          <a:extLst>
            <a:ext uri="{FF2B5EF4-FFF2-40B4-BE49-F238E27FC236}">
              <a16:creationId xmlns:a16="http://schemas.microsoft.com/office/drawing/2014/main" id="{00000000-0008-0000-1000-000056000000}"/>
            </a:ext>
          </a:extLst>
        </xdr:cNvPr>
        <xdr:cNvSpPr txBox="1"/>
      </xdr:nvSpPr>
      <xdr:spPr>
        <a:xfrm>
          <a:off x="2140648" y="430784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3</xdr:col>
      <xdr:colOff>210729</xdr:colOff>
      <xdr:row>28</xdr:row>
      <xdr:rowOff>49245</xdr:rowOff>
    </xdr:from>
    <xdr:to>
      <xdr:col>3</xdr:col>
      <xdr:colOff>300562</xdr:colOff>
      <xdr:row>29</xdr:row>
      <xdr:rowOff>57559</xdr:rowOff>
    </xdr:to>
    <xdr:sp macro="" textlink="">
      <xdr:nvSpPr>
        <xdr:cNvPr id="87" name="D_text_11">
          <a:extLst>
            <a:ext uri="{FF2B5EF4-FFF2-40B4-BE49-F238E27FC236}">
              <a16:creationId xmlns:a16="http://schemas.microsoft.com/office/drawing/2014/main" id="{00000000-0008-0000-1000-000057000000}"/>
            </a:ext>
          </a:extLst>
        </xdr:cNvPr>
        <xdr:cNvSpPr txBox="1"/>
      </xdr:nvSpPr>
      <xdr:spPr>
        <a:xfrm>
          <a:off x="2268129" y="503082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4</xdr:col>
      <xdr:colOff>72970</xdr:colOff>
      <xdr:row>32</xdr:row>
      <xdr:rowOff>37323</xdr:rowOff>
    </xdr:from>
    <xdr:to>
      <xdr:col>4</xdr:col>
      <xdr:colOff>162803</xdr:colOff>
      <xdr:row>33</xdr:row>
      <xdr:rowOff>45637</xdr:rowOff>
    </xdr:to>
    <xdr:sp macro="" textlink="">
      <xdr:nvSpPr>
        <xdr:cNvPr id="88" name="D_text_12">
          <a:extLst>
            <a:ext uri="{FF2B5EF4-FFF2-40B4-BE49-F238E27FC236}">
              <a16:creationId xmlns:a16="http://schemas.microsoft.com/office/drawing/2014/main" id="{00000000-0008-0000-1000-000058000000}"/>
            </a:ext>
          </a:extLst>
        </xdr:cNvPr>
        <xdr:cNvSpPr txBox="1"/>
      </xdr:nvSpPr>
      <xdr:spPr>
        <a:xfrm>
          <a:off x="2635195" y="5666598"/>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5</xdr:col>
      <xdr:colOff>187674</xdr:colOff>
      <xdr:row>35</xdr:row>
      <xdr:rowOff>23440</xdr:rowOff>
    </xdr:from>
    <xdr:to>
      <xdr:col>5</xdr:col>
      <xdr:colOff>277507</xdr:colOff>
      <xdr:row>36</xdr:row>
      <xdr:rowOff>31754</xdr:rowOff>
    </xdr:to>
    <xdr:sp macro="" textlink="">
      <xdr:nvSpPr>
        <xdr:cNvPr id="89" name="D_text_13">
          <a:extLst>
            <a:ext uri="{FF2B5EF4-FFF2-40B4-BE49-F238E27FC236}">
              <a16:creationId xmlns:a16="http://schemas.microsoft.com/office/drawing/2014/main" id="{00000000-0008-0000-1000-000059000000}"/>
            </a:ext>
          </a:extLst>
        </xdr:cNvPr>
        <xdr:cNvSpPr txBox="1"/>
      </xdr:nvSpPr>
      <xdr:spPr>
        <a:xfrm>
          <a:off x="3197574" y="613849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5</xdr:col>
      <xdr:colOff>877533</xdr:colOff>
      <xdr:row>36</xdr:row>
      <xdr:rowOff>112603</xdr:rowOff>
    </xdr:from>
    <xdr:to>
      <xdr:col>6</xdr:col>
      <xdr:colOff>62491</xdr:colOff>
      <xdr:row>37</xdr:row>
      <xdr:rowOff>120917</xdr:rowOff>
    </xdr:to>
    <xdr:sp macro="" textlink="">
      <xdr:nvSpPr>
        <xdr:cNvPr id="90" name="D_text_14">
          <a:extLst>
            <a:ext uri="{FF2B5EF4-FFF2-40B4-BE49-F238E27FC236}">
              <a16:creationId xmlns:a16="http://schemas.microsoft.com/office/drawing/2014/main" id="{00000000-0008-0000-1000-00005A000000}"/>
            </a:ext>
          </a:extLst>
        </xdr:cNvPr>
        <xdr:cNvSpPr txBox="1"/>
      </xdr:nvSpPr>
      <xdr:spPr>
        <a:xfrm>
          <a:off x="3887433" y="6389578"/>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7</xdr:col>
      <xdr:colOff>97192</xdr:colOff>
      <xdr:row>36</xdr:row>
      <xdr:rowOff>112603</xdr:rowOff>
    </xdr:from>
    <xdr:to>
      <xdr:col>7</xdr:col>
      <xdr:colOff>187025</xdr:colOff>
      <xdr:row>37</xdr:row>
      <xdr:rowOff>120917</xdr:rowOff>
    </xdr:to>
    <xdr:sp macro="" textlink="">
      <xdr:nvSpPr>
        <xdr:cNvPr id="91" name="D_text_15">
          <a:extLst>
            <a:ext uri="{FF2B5EF4-FFF2-40B4-BE49-F238E27FC236}">
              <a16:creationId xmlns:a16="http://schemas.microsoft.com/office/drawing/2014/main" id="{00000000-0008-0000-1000-00005B000000}"/>
            </a:ext>
          </a:extLst>
        </xdr:cNvPr>
        <xdr:cNvSpPr txBox="1"/>
      </xdr:nvSpPr>
      <xdr:spPr>
        <a:xfrm>
          <a:off x="4621567" y="6389578"/>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8</xdr:col>
      <xdr:colOff>177451</xdr:colOff>
      <xdr:row>35</xdr:row>
      <xdr:rowOff>23440</xdr:rowOff>
    </xdr:from>
    <xdr:to>
      <xdr:col>8</xdr:col>
      <xdr:colOff>267284</xdr:colOff>
      <xdr:row>36</xdr:row>
      <xdr:rowOff>31754</xdr:rowOff>
    </xdr:to>
    <xdr:sp macro="" textlink="">
      <xdr:nvSpPr>
        <xdr:cNvPr id="92" name="D_text_16">
          <a:extLst>
            <a:ext uri="{FF2B5EF4-FFF2-40B4-BE49-F238E27FC236}">
              <a16:creationId xmlns:a16="http://schemas.microsoft.com/office/drawing/2014/main" id="{00000000-0008-0000-1000-00005C000000}"/>
            </a:ext>
          </a:extLst>
        </xdr:cNvPr>
        <xdr:cNvSpPr txBox="1"/>
      </xdr:nvSpPr>
      <xdr:spPr>
        <a:xfrm>
          <a:off x="5311426" y="613849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9</xdr:col>
      <xdr:colOff>130230</xdr:colOff>
      <xdr:row>32</xdr:row>
      <xdr:rowOff>37323</xdr:rowOff>
    </xdr:from>
    <xdr:to>
      <xdr:col>9</xdr:col>
      <xdr:colOff>220063</xdr:colOff>
      <xdr:row>33</xdr:row>
      <xdr:rowOff>45637</xdr:rowOff>
    </xdr:to>
    <xdr:sp macro="" textlink="">
      <xdr:nvSpPr>
        <xdr:cNvPr id="93" name="D_text_17">
          <a:extLst>
            <a:ext uri="{FF2B5EF4-FFF2-40B4-BE49-F238E27FC236}">
              <a16:creationId xmlns:a16="http://schemas.microsoft.com/office/drawing/2014/main" id="{00000000-0008-0000-1000-00005D000000}"/>
            </a:ext>
          </a:extLst>
        </xdr:cNvPr>
        <xdr:cNvSpPr txBox="1"/>
      </xdr:nvSpPr>
      <xdr:spPr>
        <a:xfrm>
          <a:off x="5873805" y="5666598"/>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9</xdr:col>
      <xdr:colOff>497296</xdr:colOff>
      <xdr:row>28</xdr:row>
      <xdr:rowOff>49245</xdr:rowOff>
    </xdr:from>
    <xdr:to>
      <xdr:col>9</xdr:col>
      <xdr:colOff>587129</xdr:colOff>
      <xdr:row>29</xdr:row>
      <xdr:rowOff>57559</xdr:rowOff>
    </xdr:to>
    <xdr:sp macro="" textlink="">
      <xdr:nvSpPr>
        <xdr:cNvPr id="94" name="D_text_18">
          <a:extLst>
            <a:ext uri="{FF2B5EF4-FFF2-40B4-BE49-F238E27FC236}">
              <a16:creationId xmlns:a16="http://schemas.microsoft.com/office/drawing/2014/main" id="{00000000-0008-0000-1000-00005E000000}"/>
            </a:ext>
          </a:extLst>
        </xdr:cNvPr>
        <xdr:cNvSpPr txBox="1"/>
      </xdr:nvSpPr>
      <xdr:spPr>
        <a:xfrm>
          <a:off x="6240871" y="503082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14</xdr:col>
      <xdr:colOff>369094</xdr:colOff>
      <xdr:row>25</xdr:row>
      <xdr:rowOff>18757</xdr:rowOff>
    </xdr:from>
    <xdr:to>
      <xdr:col>14</xdr:col>
      <xdr:colOff>369159</xdr:colOff>
      <xdr:row>26</xdr:row>
      <xdr:rowOff>27071</xdr:rowOff>
    </xdr:to>
    <xdr:sp macro="" textlink="">
      <xdr:nvSpPr>
        <xdr:cNvPr id="95" name="D_text_19" hidden="1">
          <a:extLst>
            <a:ext uri="{FF2B5EF4-FFF2-40B4-BE49-F238E27FC236}">
              <a16:creationId xmlns:a16="http://schemas.microsoft.com/office/drawing/2014/main" id="{00000000-0008-0000-1000-00005F000000}"/>
            </a:ext>
          </a:extLst>
        </xdr:cNvPr>
        <xdr:cNvSpPr txBox="1"/>
      </xdr:nvSpPr>
      <xdr:spPr>
        <a:xfrm>
          <a:off x="9134475" y="45145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14</xdr:col>
      <xdr:colOff>521494</xdr:colOff>
      <xdr:row>26</xdr:row>
      <xdr:rowOff>9232</xdr:rowOff>
    </xdr:from>
    <xdr:to>
      <xdr:col>14</xdr:col>
      <xdr:colOff>521559</xdr:colOff>
      <xdr:row>27</xdr:row>
      <xdr:rowOff>17546</xdr:rowOff>
    </xdr:to>
    <xdr:sp macro="" textlink="">
      <xdr:nvSpPr>
        <xdr:cNvPr id="96" name="D_text_20" hidden="1">
          <a:extLst>
            <a:ext uri="{FF2B5EF4-FFF2-40B4-BE49-F238E27FC236}">
              <a16:creationId xmlns:a16="http://schemas.microsoft.com/office/drawing/2014/main" id="{00000000-0008-0000-1000-000060000000}"/>
            </a:ext>
          </a:extLst>
        </xdr:cNvPr>
        <xdr:cNvSpPr txBox="1"/>
      </xdr:nvSpPr>
      <xdr:spPr>
        <a:xfrm>
          <a:off x="9286875" y="46669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15</xdr:col>
      <xdr:colOff>61912</xdr:colOff>
      <xdr:row>26</xdr:row>
      <xdr:rowOff>161632</xdr:rowOff>
    </xdr:from>
    <xdr:to>
      <xdr:col>15</xdr:col>
      <xdr:colOff>61977</xdr:colOff>
      <xdr:row>28</xdr:row>
      <xdr:rowOff>8021</xdr:rowOff>
    </xdr:to>
    <xdr:sp macro="" textlink="">
      <xdr:nvSpPr>
        <xdr:cNvPr id="97" name="D_text_21" hidden="1">
          <a:extLst>
            <a:ext uri="{FF2B5EF4-FFF2-40B4-BE49-F238E27FC236}">
              <a16:creationId xmlns:a16="http://schemas.microsoft.com/office/drawing/2014/main" id="{00000000-0008-0000-1000-000061000000}"/>
            </a:ext>
          </a:extLst>
        </xdr:cNvPr>
        <xdr:cNvSpPr txBox="1"/>
      </xdr:nvSpPr>
      <xdr:spPr>
        <a:xfrm>
          <a:off x="9439275" y="48193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15</xdr:col>
      <xdr:colOff>214312</xdr:colOff>
      <xdr:row>27</xdr:row>
      <xdr:rowOff>152107</xdr:rowOff>
    </xdr:from>
    <xdr:to>
      <xdr:col>15</xdr:col>
      <xdr:colOff>214377</xdr:colOff>
      <xdr:row>28</xdr:row>
      <xdr:rowOff>160421</xdr:rowOff>
    </xdr:to>
    <xdr:sp macro="" textlink="">
      <xdr:nvSpPr>
        <xdr:cNvPr id="98" name="D_text_22" hidden="1">
          <a:extLst>
            <a:ext uri="{FF2B5EF4-FFF2-40B4-BE49-F238E27FC236}">
              <a16:creationId xmlns:a16="http://schemas.microsoft.com/office/drawing/2014/main" id="{00000000-0008-0000-1000-000062000000}"/>
            </a:ext>
          </a:extLst>
        </xdr:cNvPr>
        <xdr:cNvSpPr txBox="1"/>
      </xdr:nvSpPr>
      <xdr:spPr>
        <a:xfrm>
          <a:off x="9591675" y="49717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15</xdr:col>
      <xdr:colOff>366712</xdr:colOff>
      <xdr:row>28</xdr:row>
      <xdr:rowOff>142582</xdr:rowOff>
    </xdr:from>
    <xdr:to>
      <xdr:col>15</xdr:col>
      <xdr:colOff>366777</xdr:colOff>
      <xdr:row>29</xdr:row>
      <xdr:rowOff>150896</xdr:rowOff>
    </xdr:to>
    <xdr:sp macro="" textlink="">
      <xdr:nvSpPr>
        <xdr:cNvPr id="99" name="D_text_23" hidden="1">
          <a:extLst>
            <a:ext uri="{FF2B5EF4-FFF2-40B4-BE49-F238E27FC236}">
              <a16:creationId xmlns:a16="http://schemas.microsoft.com/office/drawing/2014/main" id="{00000000-0008-0000-1000-000063000000}"/>
            </a:ext>
          </a:extLst>
        </xdr:cNvPr>
        <xdr:cNvSpPr txBox="1"/>
      </xdr:nvSpPr>
      <xdr:spPr>
        <a:xfrm>
          <a:off x="9744075" y="51241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15</xdr:col>
      <xdr:colOff>519112</xdr:colOff>
      <xdr:row>29</xdr:row>
      <xdr:rowOff>133057</xdr:rowOff>
    </xdr:from>
    <xdr:to>
      <xdr:col>15</xdr:col>
      <xdr:colOff>519177</xdr:colOff>
      <xdr:row>30</xdr:row>
      <xdr:rowOff>141371</xdr:rowOff>
    </xdr:to>
    <xdr:sp macro="" textlink="">
      <xdr:nvSpPr>
        <xdr:cNvPr id="100" name="D_text_24" hidden="1">
          <a:extLst>
            <a:ext uri="{FF2B5EF4-FFF2-40B4-BE49-F238E27FC236}">
              <a16:creationId xmlns:a16="http://schemas.microsoft.com/office/drawing/2014/main" id="{00000000-0008-0000-1000-000064000000}"/>
            </a:ext>
          </a:extLst>
        </xdr:cNvPr>
        <xdr:cNvSpPr txBox="1"/>
      </xdr:nvSpPr>
      <xdr:spPr>
        <a:xfrm>
          <a:off x="9896475" y="52765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16</xdr:col>
      <xdr:colOff>64293</xdr:colOff>
      <xdr:row>30</xdr:row>
      <xdr:rowOff>123532</xdr:rowOff>
    </xdr:from>
    <xdr:to>
      <xdr:col>16</xdr:col>
      <xdr:colOff>64358</xdr:colOff>
      <xdr:row>31</xdr:row>
      <xdr:rowOff>131846</xdr:rowOff>
    </xdr:to>
    <xdr:sp macro="" textlink="">
      <xdr:nvSpPr>
        <xdr:cNvPr id="101" name="D_text_25" hidden="1">
          <a:extLst>
            <a:ext uri="{FF2B5EF4-FFF2-40B4-BE49-F238E27FC236}">
              <a16:creationId xmlns:a16="http://schemas.microsoft.com/office/drawing/2014/main" id="{00000000-0008-0000-1000-000065000000}"/>
            </a:ext>
          </a:extLst>
        </xdr:cNvPr>
        <xdr:cNvSpPr txBox="1"/>
      </xdr:nvSpPr>
      <xdr:spPr>
        <a:xfrm>
          <a:off x="10048875" y="54289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16</xdr:col>
      <xdr:colOff>216693</xdr:colOff>
      <xdr:row>31</xdr:row>
      <xdr:rowOff>114007</xdr:rowOff>
    </xdr:from>
    <xdr:to>
      <xdr:col>16</xdr:col>
      <xdr:colOff>216758</xdr:colOff>
      <xdr:row>32</xdr:row>
      <xdr:rowOff>122321</xdr:rowOff>
    </xdr:to>
    <xdr:sp macro="" textlink="">
      <xdr:nvSpPr>
        <xdr:cNvPr id="102" name="D_text_26" hidden="1">
          <a:extLst>
            <a:ext uri="{FF2B5EF4-FFF2-40B4-BE49-F238E27FC236}">
              <a16:creationId xmlns:a16="http://schemas.microsoft.com/office/drawing/2014/main" id="{00000000-0008-0000-1000-000066000000}"/>
            </a:ext>
          </a:extLst>
        </xdr:cNvPr>
        <xdr:cNvSpPr txBox="1"/>
      </xdr:nvSpPr>
      <xdr:spPr>
        <a:xfrm>
          <a:off x="10201275" y="55813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16</xdr:col>
      <xdr:colOff>369093</xdr:colOff>
      <xdr:row>32</xdr:row>
      <xdr:rowOff>104482</xdr:rowOff>
    </xdr:from>
    <xdr:to>
      <xdr:col>16</xdr:col>
      <xdr:colOff>369158</xdr:colOff>
      <xdr:row>33</xdr:row>
      <xdr:rowOff>112796</xdr:rowOff>
    </xdr:to>
    <xdr:sp macro="" textlink="">
      <xdr:nvSpPr>
        <xdr:cNvPr id="103" name="D_text_27" hidden="1">
          <a:extLst>
            <a:ext uri="{FF2B5EF4-FFF2-40B4-BE49-F238E27FC236}">
              <a16:creationId xmlns:a16="http://schemas.microsoft.com/office/drawing/2014/main" id="{00000000-0008-0000-1000-000067000000}"/>
            </a:ext>
          </a:extLst>
        </xdr:cNvPr>
        <xdr:cNvSpPr txBox="1"/>
      </xdr:nvSpPr>
      <xdr:spPr>
        <a:xfrm>
          <a:off x="10353675" y="57337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16</xdr:col>
      <xdr:colOff>516731</xdr:colOff>
      <xdr:row>33</xdr:row>
      <xdr:rowOff>94957</xdr:rowOff>
    </xdr:from>
    <xdr:to>
      <xdr:col>16</xdr:col>
      <xdr:colOff>516796</xdr:colOff>
      <xdr:row>34</xdr:row>
      <xdr:rowOff>103271</xdr:rowOff>
    </xdr:to>
    <xdr:sp macro="" textlink="">
      <xdr:nvSpPr>
        <xdr:cNvPr id="104" name="D_text_28" hidden="1">
          <a:extLst>
            <a:ext uri="{FF2B5EF4-FFF2-40B4-BE49-F238E27FC236}">
              <a16:creationId xmlns:a16="http://schemas.microsoft.com/office/drawing/2014/main" id="{00000000-0008-0000-1000-000068000000}"/>
            </a:ext>
          </a:extLst>
        </xdr:cNvPr>
        <xdr:cNvSpPr txBox="1"/>
      </xdr:nvSpPr>
      <xdr:spPr>
        <a:xfrm>
          <a:off x="10506075" y="58861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17</xdr:col>
      <xdr:colOff>61913</xdr:colOff>
      <xdr:row>34</xdr:row>
      <xdr:rowOff>85432</xdr:rowOff>
    </xdr:from>
    <xdr:to>
      <xdr:col>17</xdr:col>
      <xdr:colOff>61978</xdr:colOff>
      <xdr:row>35</xdr:row>
      <xdr:rowOff>93746</xdr:rowOff>
    </xdr:to>
    <xdr:sp macro="" textlink="">
      <xdr:nvSpPr>
        <xdr:cNvPr id="105" name="D_text_29" hidden="1">
          <a:extLst>
            <a:ext uri="{FF2B5EF4-FFF2-40B4-BE49-F238E27FC236}">
              <a16:creationId xmlns:a16="http://schemas.microsoft.com/office/drawing/2014/main" id="{00000000-0008-0000-1000-000069000000}"/>
            </a:ext>
          </a:extLst>
        </xdr:cNvPr>
        <xdr:cNvSpPr txBox="1"/>
      </xdr:nvSpPr>
      <xdr:spPr>
        <a:xfrm>
          <a:off x="10658475" y="60385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17</xdr:col>
      <xdr:colOff>214313</xdr:colOff>
      <xdr:row>35</xdr:row>
      <xdr:rowOff>75907</xdr:rowOff>
    </xdr:from>
    <xdr:to>
      <xdr:col>17</xdr:col>
      <xdr:colOff>214378</xdr:colOff>
      <xdr:row>36</xdr:row>
      <xdr:rowOff>84221</xdr:rowOff>
    </xdr:to>
    <xdr:sp macro="" textlink="">
      <xdr:nvSpPr>
        <xdr:cNvPr id="106" name="D_text_30" hidden="1">
          <a:extLst>
            <a:ext uri="{FF2B5EF4-FFF2-40B4-BE49-F238E27FC236}">
              <a16:creationId xmlns:a16="http://schemas.microsoft.com/office/drawing/2014/main" id="{00000000-0008-0000-1000-00006A000000}"/>
            </a:ext>
          </a:extLst>
        </xdr:cNvPr>
        <xdr:cNvSpPr txBox="1"/>
      </xdr:nvSpPr>
      <xdr:spPr>
        <a:xfrm>
          <a:off x="10810875" y="61909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17</xdr:col>
      <xdr:colOff>371475</xdr:colOff>
      <xdr:row>36</xdr:row>
      <xdr:rowOff>66382</xdr:rowOff>
    </xdr:from>
    <xdr:to>
      <xdr:col>17</xdr:col>
      <xdr:colOff>371540</xdr:colOff>
      <xdr:row>37</xdr:row>
      <xdr:rowOff>74696</xdr:rowOff>
    </xdr:to>
    <xdr:sp macro="" textlink="">
      <xdr:nvSpPr>
        <xdr:cNvPr id="107" name="D_text_31" hidden="1">
          <a:extLst>
            <a:ext uri="{FF2B5EF4-FFF2-40B4-BE49-F238E27FC236}">
              <a16:creationId xmlns:a16="http://schemas.microsoft.com/office/drawing/2014/main" id="{00000000-0008-0000-1000-00006B000000}"/>
            </a:ext>
          </a:extLst>
        </xdr:cNvPr>
        <xdr:cNvSpPr txBox="1"/>
      </xdr:nvSpPr>
      <xdr:spPr>
        <a:xfrm>
          <a:off x="10963275" y="63433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17</xdr:col>
      <xdr:colOff>523875</xdr:colOff>
      <xdr:row>37</xdr:row>
      <xdr:rowOff>56857</xdr:rowOff>
    </xdr:from>
    <xdr:to>
      <xdr:col>17</xdr:col>
      <xdr:colOff>523940</xdr:colOff>
      <xdr:row>38</xdr:row>
      <xdr:rowOff>65171</xdr:rowOff>
    </xdr:to>
    <xdr:sp macro="" textlink="">
      <xdr:nvSpPr>
        <xdr:cNvPr id="108" name="D_text_32" hidden="1">
          <a:extLst>
            <a:ext uri="{FF2B5EF4-FFF2-40B4-BE49-F238E27FC236}">
              <a16:creationId xmlns:a16="http://schemas.microsoft.com/office/drawing/2014/main" id="{00000000-0008-0000-1000-00006C000000}"/>
            </a:ext>
          </a:extLst>
        </xdr:cNvPr>
        <xdr:cNvSpPr txBox="1"/>
      </xdr:nvSpPr>
      <xdr:spPr>
        <a:xfrm>
          <a:off x="11115675" y="64957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18</xdr:col>
      <xdr:colOff>69056</xdr:colOff>
      <xdr:row>38</xdr:row>
      <xdr:rowOff>47332</xdr:rowOff>
    </xdr:from>
    <xdr:to>
      <xdr:col>18</xdr:col>
      <xdr:colOff>69121</xdr:colOff>
      <xdr:row>39</xdr:row>
      <xdr:rowOff>55646</xdr:rowOff>
    </xdr:to>
    <xdr:sp macro="" textlink="">
      <xdr:nvSpPr>
        <xdr:cNvPr id="109" name="D_text_33" hidden="1">
          <a:extLst>
            <a:ext uri="{FF2B5EF4-FFF2-40B4-BE49-F238E27FC236}">
              <a16:creationId xmlns:a16="http://schemas.microsoft.com/office/drawing/2014/main" id="{00000000-0008-0000-1000-00006D000000}"/>
            </a:ext>
          </a:extLst>
        </xdr:cNvPr>
        <xdr:cNvSpPr txBox="1"/>
      </xdr:nvSpPr>
      <xdr:spPr>
        <a:xfrm>
          <a:off x="11268075" y="66481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18</xdr:col>
      <xdr:colOff>221456</xdr:colOff>
      <xdr:row>39</xdr:row>
      <xdr:rowOff>37807</xdr:rowOff>
    </xdr:from>
    <xdr:to>
      <xdr:col>18</xdr:col>
      <xdr:colOff>221521</xdr:colOff>
      <xdr:row>40</xdr:row>
      <xdr:rowOff>46121</xdr:rowOff>
    </xdr:to>
    <xdr:sp macro="" textlink="">
      <xdr:nvSpPr>
        <xdr:cNvPr id="110" name="D_text_34" hidden="1">
          <a:extLst>
            <a:ext uri="{FF2B5EF4-FFF2-40B4-BE49-F238E27FC236}">
              <a16:creationId xmlns:a16="http://schemas.microsoft.com/office/drawing/2014/main" id="{00000000-0008-0000-1000-00006E000000}"/>
            </a:ext>
          </a:extLst>
        </xdr:cNvPr>
        <xdr:cNvSpPr txBox="1"/>
      </xdr:nvSpPr>
      <xdr:spPr>
        <a:xfrm>
          <a:off x="11420475" y="68005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18</xdr:col>
      <xdr:colOff>373856</xdr:colOff>
      <xdr:row>40</xdr:row>
      <xdr:rowOff>28282</xdr:rowOff>
    </xdr:from>
    <xdr:to>
      <xdr:col>18</xdr:col>
      <xdr:colOff>373921</xdr:colOff>
      <xdr:row>41</xdr:row>
      <xdr:rowOff>36596</xdr:rowOff>
    </xdr:to>
    <xdr:sp macro="" textlink="">
      <xdr:nvSpPr>
        <xdr:cNvPr id="111" name="D_text_35" hidden="1">
          <a:extLst>
            <a:ext uri="{FF2B5EF4-FFF2-40B4-BE49-F238E27FC236}">
              <a16:creationId xmlns:a16="http://schemas.microsoft.com/office/drawing/2014/main" id="{00000000-0008-0000-1000-00006F000000}"/>
            </a:ext>
          </a:extLst>
        </xdr:cNvPr>
        <xdr:cNvSpPr txBox="1"/>
      </xdr:nvSpPr>
      <xdr:spPr>
        <a:xfrm>
          <a:off x="11572875" y="69529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18</xdr:col>
      <xdr:colOff>526256</xdr:colOff>
      <xdr:row>41</xdr:row>
      <xdr:rowOff>18757</xdr:rowOff>
    </xdr:from>
    <xdr:to>
      <xdr:col>18</xdr:col>
      <xdr:colOff>526321</xdr:colOff>
      <xdr:row>42</xdr:row>
      <xdr:rowOff>27071</xdr:rowOff>
    </xdr:to>
    <xdr:sp macro="" textlink="">
      <xdr:nvSpPr>
        <xdr:cNvPr id="112" name="D_text_36" hidden="1">
          <a:extLst>
            <a:ext uri="{FF2B5EF4-FFF2-40B4-BE49-F238E27FC236}">
              <a16:creationId xmlns:a16="http://schemas.microsoft.com/office/drawing/2014/main" id="{00000000-0008-0000-1000-000070000000}"/>
            </a:ext>
          </a:extLst>
        </xdr:cNvPr>
        <xdr:cNvSpPr txBox="1"/>
      </xdr:nvSpPr>
      <xdr:spPr>
        <a:xfrm>
          <a:off x="11725275" y="71053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9</xdr:col>
      <xdr:colOff>593725</xdr:colOff>
      <xdr:row>21</xdr:row>
      <xdr:rowOff>44268</xdr:rowOff>
    </xdr:from>
    <xdr:to>
      <xdr:col>10</xdr:col>
      <xdr:colOff>173230</xdr:colOff>
      <xdr:row>27</xdr:row>
      <xdr:rowOff>56061</xdr:rowOff>
    </xdr:to>
    <xdr:sp macro="" textlink="">
      <xdr:nvSpPr>
        <xdr:cNvPr id="115" name="D_FP_1">
          <a:extLst>
            <a:ext uri="{FF2B5EF4-FFF2-40B4-BE49-F238E27FC236}">
              <a16:creationId xmlns:a16="http://schemas.microsoft.com/office/drawing/2014/main" id="{00000000-0008-0000-1000-000073000000}"/>
            </a:ext>
          </a:extLst>
        </xdr:cNvPr>
        <xdr:cNvSpPr>
          <a:spLocks/>
        </xdr:cNvSpPr>
      </xdr:nvSpPr>
      <xdr:spPr>
        <a:xfrm>
          <a:off x="6337300" y="389236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10</xdr:col>
      <xdr:colOff>15177</xdr:colOff>
      <xdr:row>23</xdr:row>
      <xdr:rowOff>135890</xdr:rowOff>
    </xdr:from>
    <xdr:to>
      <xdr:col>10</xdr:col>
      <xdr:colOff>105010</xdr:colOff>
      <xdr:row>24</xdr:row>
      <xdr:rowOff>144204</xdr:rowOff>
    </xdr:to>
    <xdr:sp macro="" textlink="">
      <xdr:nvSpPr>
        <xdr:cNvPr id="116" name="D_text_1">
          <a:extLst>
            <a:ext uri="{FF2B5EF4-FFF2-40B4-BE49-F238E27FC236}">
              <a16:creationId xmlns:a16="http://schemas.microsoft.com/office/drawing/2014/main" id="{00000000-0008-0000-1000-000074000000}"/>
            </a:ext>
          </a:extLst>
        </xdr:cNvPr>
        <xdr:cNvSpPr txBox="1"/>
      </xdr:nvSpPr>
      <xdr:spPr>
        <a:xfrm>
          <a:off x="6368352" y="430784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wsDr>
</file>

<file path=xl/persons/person.xml><?xml version="1.0" encoding="utf-8"?>
<personList xmlns="http://schemas.microsoft.com/office/spreadsheetml/2018/threadedcomments" xmlns:x="http://schemas.openxmlformats.org/spreadsheetml/2006/main">
  <person displayName="Rudolph, Michael" id="{85357463-7F8C-4FDB-A9C3-D4E316089527}" userId="S::Michael.Rudolph@crowncastle.com::7656ea8c-bb4c-4aab-869a-52ab1821dcce"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Old TNX File_1" connectionId="3" xr16:uid="{DF7065FC-0674-49C0-B5D5-055296DFD0ED}"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Old TNX File" connectionId="2" xr16:uid="{6BE0F27F-32E2-49B0-806F-1B906608CC69}"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New TNX File" connectionId="1" xr16:uid="{9573A15B-DCC4-46AE-AFCC-34269B55F2C6}"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Old TNX File_2" connectionId="4" xr16:uid="{FD3BFA0D-83F5-4B89-944A-E6C70147E10B}" autoFormatId="16" applyNumberFormats="0" applyBorderFormats="0" applyFontFormats="1" applyPatternFormats="1" applyAlignmentFormats="0" applyWidthHeightFormats="0"/>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Materials" displayName="Materials" ref="B2:F30" totalsRowShown="0" headerRowDxfId="423" dataDxfId="422">
  <autoFilter ref="B2:F30" xr:uid="{00000000-0009-0000-0100-000001000000}"/>
  <sortState xmlns:xlrd2="http://schemas.microsoft.com/office/spreadsheetml/2017/richdata2" ref="B3:D20">
    <sortCondition ref="B2:B20"/>
  </sortState>
  <tableColumns count="5">
    <tableColumn id="1" xr3:uid="{00000000-0010-0000-0000-000001000000}" name="Material" dataDxfId="421"/>
    <tableColumn id="2" xr3:uid="{00000000-0010-0000-0000-000002000000}" name="Fy (ksi)" dataDxfId="420"/>
    <tableColumn id="3" xr3:uid="{00000000-0010-0000-0000-000003000000}" name="Fu (ksi)" dataDxfId="419"/>
    <tableColumn id="4" xr3:uid="{8E90EC66-FCB5-4556-AE02-215FB9DDA816}" name="Matl ID" dataDxfId="418"/>
    <tableColumn id="5" xr3:uid="{FF98B522-FB82-4169-85EE-1FC8C2740B7A}" name="Default?" dataDxfId="417">
      <calculatedColumnFormula>IF(Materials[[#This Row],[Material]]="","",IF(ROW(Materials[[#This Row],[Material]])&gt;19,FALSE,TRUE))</calculatedColumnFormula>
    </tableColumn>
  </tableColumns>
  <tableStyleInfo name="TableStyleLight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1000000}" name="Reinforcements" displayName="Reinforcements" ref="B2:HB83" totalsRowShown="0" headerRowDxfId="321" dataDxfId="320">
  <autoFilter ref="B2:HB83" xr:uid="{00000000-0009-0000-0100-00000F000000}"/>
  <sortState xmlns:xlrd2="http://schemas.microsoft.com/office/spreadsheetml/2017/richdata2" ref="B3:GZ83">
    <sortCondition ref="B2:B83"/>
  </sortState>
  <tableColumns count="209">
    <tableColumn id="1" xr3:uid="{00000000-0010-0000-0100-000001000000}" name="Reinforcement" dataDxfId="319"/>
    <tableColumn id="2" xr3:uid="{00000000-0010-0000-0100-000002000000}" name="Type" dataDxfId="318"/>
    <tableColumn id="3" xr3:uid="{00000000-0010-0000-0100-000003000000}" name="B (in)" dataDxfId="317">
      <calculatedColumnFormula>IF(Reinforcements[[#This Row],[Type]]="",""," ")</calculatedColumnFormula>
    </tableColumn>
    <tableColumn id="4" xr3:uid="{00000000-0010-0000-0100-000004000000}" name="H (in)" dataDxfId="316">
      <calculatedColumnFormula>IF(Reinforcements[[#This Row],[Type]]="",""," ")</calculatedColumnFormula>
    </tableColumn>
    <tableColumn id="17" xr3:uid="{00000000-0010-0000-0100-000011000000}" name="Diameter (in)" dataDxfId="315">
      <calculatedColumnFormula>IF(Reinforcements[[#This Row],[Type]]="","",IF(Reinforcements[[#This Row],[Type]]="solid round","","n/a"))</calculatedColumnFormula>
    </tableColumn>
    <tableColumn id="16" xr3:uid="{00000000-0010-0000-0100-000010000000}" name="[Channel]Web Thickness (in)" dataDxfId="314">
      <calculatedColumnFormula>IF(Reinforcements[[#This Row],[Type]]="","",IF(Reinforcements[[#This Row],[Type]]&lt;&gt;"channel","n/a",""))</calculatedColumnFormula>
    </tableColumn>
    <tableColumn id="200" xr3:uid="{00000000-0010-0000-0100-0000C8000000}" name="[Channel] Flange Thickness (in)" dataDxfId="313">
      <calculatedColumnFormula>IF(Reinforcements[[#This Row],[Type]]="","",IF(Reinforcements[[#This Row],[Type]]&lt;&gt;"channel","n/a",""))</calculatedColumnFormula>
    </tableColumn>
    <tableColumn id="207" xr3:uid="{00000000-0010-0000-0100-0000CF000000}" name="[Channel] e0 (in)" dataDxfId="312">
      <calculatedColumnFormula>IF(Reinforcements[[#This Row],[Type]]="","",IF(Reinforcements[[#This Row],[Type]]&lt;&gt;"channel","n/a",Reinforcements[[#This Row],[eo]]))</calculatedColumnFormula>
    </tableColumn>
    <tableColumn id="206" xr3:uid="{00000000-0010-0000-0100-0000CE000000}" name="[Channel] J (in4)" dataDxfId="311">
      <calculatedColumnFormula>IF(Reinforcements[[#This Row],[Type]]="","",IF(Reinforcements[[#This Row],[Type]]&lt;&gt;"channel","n/a",Reinforcements[[#This Row],[J]]))</calculatedColumnFormula>
    </tableColumn>
    <tableColumn id="201" xr3:uid="{00000000-0010-0000-0100-0000C9000000}" name="[Channel] CW (in6)" dataDxfId="310">
      <calculatedColumnFormula>IF(Reinforcements[[#This Row],[Type]]="","",IF(Reinforcements[[#This Row],[Type]]&lt;&gt;"channel","n/a",Reinforcements[[#This Row],[Cw]]))</calculatedColumnFormula>
    </tableColumn>
    <tableColumn id="5" xr3:uid="{00000000-0010-0000-0100-000005000000}" name="Gross Area (in2)" dataDxfId="309">
      <calculatedColumnFormula>IFERROR(IF(Reinforcements[[#This Row],[Type]]="","",IF(Reinforcements[[#This Row],[Type]]="plate",Reinforcements[[#This Row],[B (in)]]*Reinforcements[[#This Row],[H (in)]],IF(Reinforcements[[#This Row],[Type]]="solid round",PI()/4*Reinforcements[[#This Row],[Diameter (in)]]^2,""))),"")</calculatedColumnFormula>
    </tableColumn>
    <tableColumn id="6" xr3:uid="{00000000-0010-0000-0100-000006000000}" name="Pole Face to Centroid (in)" dataDxfId="308">
      <calculatedColumnFormula>IFERROR(IF(Reinforcements[[#This Row],[Type]]="","",IF(Reinforcements[[#This Row],[Type]]="plate",Reinforcements[[#This Row],[H (in)]]/2,"")),"")</calculatedColumnFormula>
    </tableColumn>
    <tableColumn id="21" xr3:uid="{00000000-0010-0000-0100-000015000000}" name="Tension Only?" dataDxfId="307"/>
    <tableColumn id="13" xr3:uid="{00000000-0010-0000-0100-00000D000000}" name="Material" dataDxfId="306"/>
    <tableColumn id="7" xr3:uid="{00000000-0010-0000-0100-000007000000}" name="Ix" dataDxfId="305">
      <calculatedColumnFormula>IFERROR(IF(Reinforcements[[#This Row],[Type]]="","",IF(Reinforcements[[#This Row],[Type]]="plate",Reinforcements[[#This Row],[B (in)]]*Reinforcements[[#This Row],[H (in)]]^3/12,IF(Reinforcements[[#This Row],[Type]]="solid round",PI()/64*Reinforcements[[#This Row],[Diameter (in)]]^4,""))),"")</calculatedColumnFormula>
    </tableColumn>
    <tableColumn id="40" xr3:uid="{00000000-0010-0000-0100-000028000000}" name="rx" dataDxfId="304">
      <calculatedColumnFormula>IF(Reinforcements[[#This Row],[Reinforcement]]="","",SQRT(Reinforcements[[#This Row],[Ix]]/Reinforcements[[#This Row],[Gross Area (in2)]]))</calculatedColumnFormula>
    </tableColumn>
    <tableColumn id="8" xr3:uid="{00000000-0010-0000-0100-000008000000}" name="Iy" dataDxfId="303">
      <calculatedColumnFormula>IFERROR(IF(Reinforcements[[#This Row],[Type]]="","",IF(Reinforcements[[#This Row],[Type]]="plate",Reinforcements[[#This Row],[B (in)]]^3*Reinforcements[[#This Row],[H (in)]]/12,IF(Reinforcements[[#This Row],[Type]]="solid round",PI()/64*Reinforcements[[#This Row],[Diameter (in)]]^4,""))),"")</calculatedColumnFormula>
    </tableColumn>
    <tableColumn id="41" xr3:uid="{00000000-0010-0000-0100-000029000000}" name="ry" dataDxfId="302">
      <calculatedColumnFormula>IF(Reinforcements[[#This Row],[Reinforcement]]="","",SQRT(Reinforcements[[#This Row],[Iy]]/Reinforcements[[#This Row],[Gross Area (in2)]]))</calculatedColumnFormula>
    </tableColumn>
    <tableColumn id="12" xr3:uid="{00000000-0010-0000-0100-00000C000000}" name="Lu (in)" dataDxfId="301">
      <calculatedColumnFormula>IF(Reinforcements[[#This Row],[Type]]="",""," ")</calculatedColumnFormula>
    </tableColumn>
    <tableColumn id="25" xr3:uid="{00000000-0010-0000-0100-000019000000}" name="Effective Length Factor Kx" dataDxfId="300"/>
    <tableColumn id="37" xr3:uid="{00000000-0010-0000-0100-000025000000}" name="Effective Length Factor Ky" dataDxfId="299"/>
    <tableColumn id="10" xr3:uid="{00000000-0010-0000-0100-00000A000000}" name="Bolt Hole Size (in)" dataDxfId="298">
      <calculatedColumnFormula>IF(Reinforcements[[#This Row],[Type]]="",""," ")</calculatedColumnFormula>
    </tableColumn>
    <tableColumn id="15" xr3:uid="{00000000-0010-0000-0100-00000F000000}" name="Bolt Hole Size (mm)" dataDxfId="297">
      <calculatedColumnFormula>IF(Reinforcements[[#This Row],[Bolt Hole Size (in)]]="","",IF(Reinforcements[[#This Row],[Bolt Hole Size (in)]]="n/a","n/a",Reinforcements[[#This Row],[Bolt Hole Size (in)]]*25.4))</calculatedColumnFormula>
    </tableColumn>
    <tableColumn id="11" xr3:uid="{00000000-0010-0000-0100-00000B000000}" name="Net Area (in2)" dataDxfId="296">
      <calculatedColumnFormula>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calculatedColumnFormula>
    </tableColumn>
    <tableColumn id="14" xr3:uid="{00000000-0010-0000-0100-00000E000000}" name="Shear Lag (U)" dataDxfId="295">
      <calculatedColumnFormula>IFERROR(IF(Reinforcements[[#This Row],[Reinforcement]]="","",IF(OR(Reinforcements[[#This Row],[Type]]="plate",Reinforcements[[#This Row],[Type]]="solid round"),1,IF(Reinforcements[[#This Row],[Type]]="arbitrary","",1-Reinforcements[[#This Row],[Pole Face to Centroid (in)]]/Reinforcements[[#This Row],[Connection Length (in) '[Channels']]]))),"")</calculatedColumnFormula>
    </tableColumn>
    <tableColumn id="48" xr3:uid="{00000000-0010-0000-0100-000030000000}" name="Bottom End Connection Type" dataDxfId="294"/>
    <tableColumn id="97" xr3:uid="{00000000-0010-0000-0100-000061000000}" name="Rev. F Bottom Connection Capacity (kips)" dataDxfId="293">
      <calculatedColumnFormula>IF(Reinforcements[[#This Row],[Reinforcement]]="","",IF(Reinforcements[[#This Row],[Bottom End Connection Type]]&lt;&gt;"Capacity Input","-",""))</calculatedColumnFormula>
    </tableColumn>
    <tableColumn id="96" xr3:uid="{00000000-0010-0000-0100-000060000000}" name="Rev. G Bottom Connection Capacity (kips)" dataDxfId="292">
      <calculatedColumnFormula>IF(Reinforcements[[#This Row],[Reinforcement]]="","",IF(Reinforcements[[#This Row],[Bottom End Connection Type]]&lt;&gt;"Capacity Input","-",""))</calculatedColumnFormula>
    </tableColumn>
    <tableColumn id="143" xr3:uid="{00000000-0010-0000-0100-00008F000000}" name="Rev. H Bottom Connection Capacity (kips)" dataDxfId="291">
      <calculatedColumnFormula>IF(Reinforcements[[#This Row],[Reinforcement]]="","",IF(Reinforcements[[#This Row],[Bottom End Connection Type]]&lt;&gt;"Capacity Input","-",""))</calculatedColumnFormula>
    </tableColumn>
    <tableColumn id="49" xr3:uid="{00000000-0010-0000-0100-000031000000}" name="Bottom End Connection Bolt Type" dataDxfId="290"/>
    <tableColumn id="56" xr3:uid="{00000000-0010-0000-0100-000038000000}" name="Threads Included (N) or Excluded (X) (Bottom)" dataDxfId="289">
      <calculatedColumnFormula>IF(Reinforcements[[#This Row],[Bottom End Connection Type]]="Welded","-","")</calculatedColumnFormula>
    </tableColumn>
    <tableColumn id="50" xr3:uid="{00000000-0010-0000-0100-000032000000}" name="# of End Connection Bolts          (Bottom)" dataDxfId="288">
      <calculatedColumnFormula>IF(Reinforcements[[#This Row],[Bottom End Connection Type]]="Welded","-","")</calculatedColumnFormula>
    </tableColumn>
    <tableColumn id="51" xr3:uid="{00000000-0010-0000-0100-000033000000}" name="End Connection Bolt Spacing (in) (B)" dataDxfId="287">
      <calculatedColumnFormula>IF(Reinforcements[[#This Row],[Bottom End Connection Type]]="Welded","-","")</calculatedColumnFormula>
    </tableColumn>
    <tableColumn id="47" xr3:uid="{00000000-0010-0000-0100-00002F000000}" name="End Connection Edge Distance (in) (B)" dataDxfId="286">
      <calculatedColumnFormula>IF(Reinforcements[[#This Row],[Bottom End Connection Type]]="Welded","-","")</calculatedColumnFormula>
    </tableColumn>
    <tableColumn id="59" xr3:uid="{00000000-0010-0000-0100-00003B000000}" name="Bottom Lc,e" dataDxfId="285">
      <calculatedColumnFormula>Reinforcements[[#This Row],[End Connection Edge Distance (in) (B)]]-(Reinforcements[[#This Row],[Bolt Hole Size (in)]]+1/16)/2</calculatedColumnFormula>
    </tableColumn>
    <tableColumn id="58" xr3:uid="{00000000-0010-0000-0100-00003A000000}" name="Bottom Lc,i" dataDxfId="284">
      <calculatedColumnFormula>Reinforcements[[#This Row],[End Connection Bolt Spacing (in) (B)]]-(Reinforcements[[#This Row],[Bolt Hole Size (in)]]+1/16)</calculatedColumnFormula>
    </tableColumn>
    <tableColumn id="61" xr3:uid="{00000000-0010-0000-0100-00003D000000}" name="Bottom Le (Rev. F)" dataDxfId="283">
      <calculatedColumnFormula>Reinforcements[[#This Row],[End Connection Edge Distance (in) (B)]]</calculatedColumnFormula>
    </tableColumn>
    <tableColumn id="70" xr3:uid="{00000000-0010-0000-0100-000046000000}" name="Bottom Li (Rev. F)" dataDxfId="282">
      <calculatedColumnFormula>Reinforcements[[#This Row],[End Connection Bolt Spacing (in) (B)]]</calculatedColumnFormula>
    </tableColumn>
    <tableColumn id="88" xr3:uid="{00000000-0010-0000-0100-000058000000}" name="Bottom Connected to Flange/Base Plate?" dataDxfId="281">
      <calculatedColumnFormula>IF(Reinforcements[[#This Row],[Reinforcement]]="","",IF(OR(Reinforcements[[#This Row],[Bottom End Connection Type]]="Bolted",Reinforcements[[#This Row],[Bottom End Connection Type]]=""),"-",""))</calculatedColumnFormula>
    </tableColumn>
    <tableColumn id="128" xr3:uid="{00000000-0010-0000-0100-000080000000}" name="Bottom Weld Grade (ksi)" dataDxfId="280">
      <calculatedColumnFormula>IF(Reinforcements[[#This Row],[Reinforcement]]="","",IF(OR(Reinforcements[[#This Row],[Bottom End Connection Type]]="Bolted",Reinforcements[[#This Row],[Bottom End Connection Type]]=""),"-",""))</calculatedColumnFormula>
    </tableColumn>
    <tableColumn id="89" xr3:uid="{00000000-0010-0000-0100-000059000000}" name="Bottom Transverse (Horizontal) Weld" dataDxfId="279">
      <calculatedColumnFormula>IF(Reinforcements[[#This Row],[Reinforcement]]="","",IF(OR(Reinforcements[[#This Row],[Bottom End Connection Type]]="Bolted",Reinforcements[[#This Row],[Bottom End Connection Type]]=""),"-",""))</calculatedColumnFormula>
    </tableColumn>
    <tableColumn id="99" xr3:uid="{00000000-0010-0000-0100-000063000000}" name="Bottom Transverse Weld Length" dataDxfId="278"/>
    <tableColumn id="103" xr3:uid="{00000000-0010-0000-0100-000067000000}" name="Bottom Transverse Weld Groove Depth (in)" dataDxfId="277">
      <calculatedColumnFormula>IF(Reinforcements[[#This Row],[Reinforcement]]="","",IF(OR(Reinforcements[[#This Row],[Bottom Transverse (Horizontal) Weld]]="none",Reinforcements[[#This Row],[Bottom End Connection Type]]="Bolted",Reinforcements[[#This Row],[Bottom Transverse (Horizontal) Weld]]="",Reinforcements[[#This Row],[Bottom Transverse (Horizontal) Weld]]="Fillet"),"-",""))</calculatedColumnFormula>
    </tableColumn>
    <tableColumn id="135" xr3:uid="{00000000-0010-0000-0100-000087000000}" name="Bottom Transverse Weld Groove Angle (degrees)" dataDxfId="276">
      <calculatedColumnFormula>IF(Reinforcements[[#This Row],[Reinforcement]]="","",IF(OR(Reinforcements[[#This Row],[Bottom Transverse (Horizontal) Weld]]="none",Reinforcements[[#This Row],[Bottom End Connection Type]]="Bolted",Reinforcements[[#This Row],[Bottom Transverse (Horizontal) Weld]]="",Reinforcements[[#This Row],[Bottom Transverse (Horizontal) Weld]]="Fillet"),"-",""))</calculatedColumnFormula>
    </tableColumn>
    <tableColumn id="91" xr3:uid="{00000000-0010-0000-0100-00005B000000}" name="Bottom Transverse Weld Fillet Size (in)" dataDxfId="275"/>
    <tableColumn id="131" xr3:uid="{00000000-0010-0000-0100-000083000000}" name="Bottom Transverse Weld Effective Throat" dataDxfId="274">
      <calculatedColumnFormula>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calculatedColumnFormula>
    </tableColumn>
    <tableColumn id="125" xr3:uid="{00000000-0010-0000-0100-00007D000000}" name="Bottom Longitudinal (Vertical) Weld" dataDxfId="273">
      <calculatedColumnFormula>IF(Reinforcements[[#This Row],[Reinforcement]]="","",IF(OR(Reinforcements[[#This Row],[Bottom End Connection Type]]="Bolted",Reinforcements[[#This Row],[Bottom End Connection Type]]=""),"-",""))</calculatedColumnFormula>
    </tableColumn>
    <tableColumn id="127" xr3:uid="{00000000-0010-0000-0100-00007F000000}" name="Bottom Longitudinal Weld Length" dataDxfId="272">
      <calculatedColumnFormula>IF(Reinforcements[[#This Row],[Reinforcement]]="","",IF(OR(Reinforcements[[#This Row],[Bottom End Connection Type]]&lt;&gt;"Welded",Reinforcements[[#This Row],[Bottom Longitudinal (Vertical) Weld]]="None",Reinforcements[[#This Row],[Bottom Longitudinal (Vertical) Weld]]=""),"-",""))</calculatedColumnFormula>
    </tableColumn>
    <tableColumn id="126" xr3:uid="{00000000-0010-0000-0100-00007E000000}" name="Bottom Longitudinal Weld Fillet Size (in)" dataDxfId="271">
      <calculatedColumnFormula>IF(Reinforcements[[#This Row],[Reinforcement]]="","",IF(OR(Reinforcements[[#This Row],[Bottom End Connection Type]]&lt;&gt;"Welded",Reinforcements[[#This Row],[Bottom Longitudinal (Vertical) Weld]]="None",Reinforcements[[#This Row],[Bottom Longitudinal (Vertical) Weld]]=""),"-",""))</calculatedColumnFormula>
    </tableColumn>
    <tableColumn id="132" xr3:uid="{00000000-0010-0000-0100-000084000000}" name="Bottom Longitudinal Weld Effective Throat" dataDxfId="270">
      <calculatedColumnFormula>IF(Reinforcements[[#This Row],[Reinforcement]]="","",IF(OR(Reinforcements[[#This Row],[Bottom End Connection Type]]&lt;&gt;"Welded",Reinforcements[[#This Row],[Bottom Longitudinal (Vertical) Weld]]="None"),"-",SQRT(2)/2*Reinforcements[[#This Row],[Bottom Longitudinal Weld Fillet Size (in)]]))</calculatedColumnFormula>
    </tableColumn>
    <tableColumn id="65" xr3:uid="{00000000-0010-0000-0100-000041000000}" name="Top End Connection Same?" dataDxfId="269"/>
    <tableColumn id="66" xr3:uid="{00000000-0010-0000-0100-000042000000}" name="Top End Connection Type" dataDxfId="268">
      <calculatedColumnFormula>IF(Reinforcements[[#This Row],[Top End Connection Same?]]="Yes",Reinforcements[[#This Row],[Bottom End Connection Type]],"")</calculatedColumnFormula>
    </tableColumn>
    <tableColumn id="100" xr3:uid="{00000000-0010-0000-0100-000064000000}" name="Rev. F Top Connection Capacity (kips)" dataDxfId="267">
      <calculatedColumnFormula>IF(Reinforcements[[#This Row],[Reinforcement]]="","",IF(Reinforcements[[#This Row],[Top End Connection Same?]]="Yes",Reinforcements[[#This Row],[Rev. F Bottom Connection Capacity (kips)]],IF(Reinforcements[[#This Row],[Reinforcement]]="","",IF(Reinforcements[[#This Row],[Top End Connection Type]]&lt;&gt;"Capacity Input","-",""))))</calculatedColumnFormula>
    </tableColumn>
    <tableColumn id="98" xr3:uid="{00000000-0010-0000-0100-000062000000}" name="Rev. G Top Connection Capacity (kips)" dataDxfId="266">
      <calculatedColumnFormula>IF(Reinforcements[[#This Row],[Reinforcement]]="","",IF(Reinforcements[[#This Row],[Top End Connection Same?]]="Yes",Reinforcements[[#This Row],[Rev. G Bottom Connection Capacity (kips)]],IF(Reinforcements[[#This Row],[Reinforcement]]="","",IF(Reinforcements[[#This Row],[Top End Connection Type]]&lt;&gt;"Capacity Input","-",""))))</calculatedColumnFormula>
    </tableColumn>
    <tableColumn id="152" xr3:uid="{00000000-0010-0000-0100-000098000000}" name="Rev. H Top Connection Capacity (kips)" dataDxfId="265">
      <calculatedColumnFormula>IF(Reinforcements[[#This Row],[Reinforcement]]="","",IF(Reinforcements[[#This Row],[Top End Connection Same?]]="Yes",Reinforcements[[#This Row],[Rev. G Bottom Connection Capacity (kips)]],IF(Reinforcements[[#This Row],[Reinforcement]]="","",IF(Reinforcements[[#This Row],[Top End Connection Type]]&lt;&gt;"Capacity Input","-",""))))</calculatedColumnFormula>
    </tableColumn>
    <tableColumn id="69" xr3:uid="{00000000-0010-0000-0100-000045000000}" name="Top End Connection Bolt Type" dataDxfId="264">
      <calculatedColumnFormula>IF(Reinforcements[[#This Row],[Top End Connection Same?]]="Yes",Reinforcements[[#This Row],[Bottom End Connection Bolt Type]],IF(Reinforcements[[#This Row],[Top End Connection Type]]="Welded","-",""))</calculatedColumnFormula>
    </tableColumn>
    <tableColumn id="67" xr3:uid="{00000000-0010-0000-0100-000043000000}" name="Threads Included (N) or Excluded (X) (Top)" dataDxfId="263">
      <calculatedColumnFormula>IF(Reinforcements[[#This Row],[Top End Connection Same?]]="Yes",Reinforcements[[#This Row],[Threads Included (N) or Excluded (X) (Bottom)]],IF(Reinforcements[[#This Row],[Top End Connection Type]]="Welded","-",""))</calculatedColumnFormula>
    </tableColumn>
    <tableColumn id="68" xr3:uid="{00000000-0010-0000-0100-000044000000}" name="# of End Connection Bolts          (Top)" dataDxfId="262">
      <calculatedColumnFormula>IF(Reinforcements[[#This Row],[Top End Connection Same?]]="Yes",Reinforcements[[#This Row],['# of End Connection Bolts          (Bottom)]],IF(Reinforcements[[#This Row],[Top End Connection Type]]="Welded","-",""))</calculatedColumnFormula>
    </tableColumn>
    <tableColumn id="63" xr3:uid="{00000000-0010-0000-0100-00003F000000}" name="End Connection Bolt Spacing (in) (T)" dataDxfId="261">
      <calculatedColumnFormula>IF(Reinforcements[[#This Row],[Top End Connection Same?]]="Yes",Reinforcements[[#This Row],[End Connection Bolt Spacing (in) (B)]],IF(Reinforcements[[#This Row],[Top End Connection Type]]="Welded","-",""))</calculatedColumnFormula>
    </tableColumn>
    <tableColumn id="64" xr3:uid="{00000000-0010-0000-0100-000040000000}" name="End Connection Edge Distance (in) (T)" dataDxfId="260">
      <calculatedColumnFormula>IF(Reinforcements[[#This Row],[Top End Connection Same?]]="Yes",Reinforcements[[#This Row],[End Connection Edge Distance (in) (B)]],IF(Reinforcements[[#This Row],[Top End Connection Type]]="Welded","-",""))</calculatedColumnFormula>
    </tableColumn>
    <tableColumn id="71" xr3:uid="{00000000-0010-0000-0100-000047000000}" name="Top Lc,e" dataDxfId="259">
      <calculatedColumnFormula>Reinforcements[[#This Row],[End Connection Edge Distance (in) (T)]]-(Reinforcements[[#This Row],[Bolt Hole Size (in)]]+1/16)/2</calculatedColumnFormula>
    </tableColumn>
    <tableColumn id="72" xr3:uid="{00000000-0010-0000-0100-000048000000}" name="Top Lc,i" dataDxfId="258">
      <calculatedColumnFormula>Reinforcements[[#This Row],[End Connection Bolt Spacing (in) (T)]]-(Reinforcements[[#This Row],[Bolt Hole Size (in)]]+1/16)</calculatedColumnFormula>
    </tableColumn>
    <tableColumn id="46" xr3:uid="{00000000-0010-0000-0100-00002E000000}" name="Top Le (Rev. F)" dataDxfId="257">
      <calculatedColumnFormula>Reinforcements[[#This Row],[End Connection Edge Distance (in) (T)]]</calculatedColumnFormula>
    </tableColumn>
    <tableColumn id="52" xr3:uid="{00000000-0010-0000-0100-000034000000}" name="Top Li (Rev. F)" dataDxfId="256">
      <calculatedColumnFormula>Reinforcements[[#This Row],[End Connection Bolt Spacing (in) (T)]]</calculatedColumnFormula>
    </tableColumn>
    <tableColumn id="109" xr3:uid="{00000000-0010-0000-0100-00006D000000}" name="Top Connected to Flange/Base Plate?" dataDxfId="255">
      <calculatedColumnFormula>IF(Reinforcements[[#This Row],[Reinforcement]]="","",IF(Reinforcements[[#This Row],[Top End Connection Same?]]="Yes",Reinforcements[[#This Row],[Bottom Connected to Flange/Base Plate?]],IF(Reinforcements[[#This Row],[Top End Connection Type]]="Bolted","-","")))</calculatedColumnFormula>
    </tableColumn>
    <tableColumn id="113" xr3:uid="{00000000-0010-0000-0100-000071000000}" name="Top Weld Grade (ksi)" dataDxfId="254">
      <calculatedColumnFormula>IF(Reinforcements[[#This Row],[Reinforcement]]="","",IF(Reinforcements[[#This Row],[Top End Connection Same?]]="Yes",Reinforcements[[#This Row],[Bottom Weld Grade (ksi)]],IF(OR(Reinforcements[[#This Row],[Top End Connection Type]]&lt;&gt;"Welded",Reinforcements[[#This Row],[Top End Connection Type]]=""),"-","")))</calculatedColumnFormula>
    </tableColumn>
    <tableColumn id="114" xr3:uid="{00000000-0010-0000-0100-000072000000}" name="Top Transverse (Horizontal) Weld" dataDxfId="253">
      <calculatedColumnFormula>IF($AZ3="Yes",AP3,IF(Reinforcements[[#This Row],[Reinforcement]]="","",IF(OR(Reinforcements[[#This Row],[Top End Connection Type]]&lt;&gt;"Welded",Reinforcements[[#This Row],[Top End Connection Type]]=""),"-","")))</calculatedColumnFormula>
    </tableColumn>
    <tableColumn id="115" xr3:uid="{00000000-0010-0000-0100-000073000000}" name="Top Transverse Weld Length" dataDxfId="252">
      <calculatedColumnFormula>IF(Reinforcements[[#This Row],[Reinforcement]]="","",IF($AZ3="Yes",AQ3,IF(OR(Reinforcements[[#This Row],[Top End Connection Type]]&lt;&gt;"Welded",Reinforcements[[#This Row],[Top Transverse (Horizontal) Weld]]="none",Reinforcements[[#This Row],[Top Transverse (Horizontal) Weld]]=""),"-","")))</calculatedColumnFormula>
    </tableColumn>
    <tableColumn id="116" xr3:uid="{00000000-0010-0000-0100-000074000000}" name="Top Transverse Weld Groove Depth (in)" dataDxfId="251">
      <calculatedColumnFormula>IF($AZ3="Yes",AR3,IF(Reinforcements[[#This Row],[Reinforcement]]="","",IF(OR(Reinforcements[[#This Row],[Top Transverse (Horizontal) Weld]]="none",Reinforcements[[#This Row],[Top End Connection Type]]&lt;&gt;"Welded",Reinforcements[[#This Row],[Top Transverse (Horizontal) Weld]]="",Reinforcements[[#This Row],[Top Transverse (Horizontal) Weld]]="Fillet"),"-","")))</calculatedColumnFormula>
    </tableColumn>
    <tableColumn id="117" xr3:uid="{00000000-0010-0000-0100-000075000000}" name="Top Transverse Weld Groove Angle (degrees)" dataDxfId="250">
      <calculatedColumnFormula>IF($AZ3="Yes",AS3,IF(Reinforcements[[#This Row],[Reinforcement]]="","",IF(OR(Reinforcements[[#This Row],[Top Transverse (Horizontal) Weld]]="none",Reinforcements[[#This Row],[Top End Connection Type]]&lt;&gt;"Welded",Reinforcements[[#This Row],[Top Transverse (Horizontal) Weld]]="",Reinforcements[[#This Row],[Top Transverse (Horizontal) Weld]]="Fillet"),"-","")))</calculatedColumnFormula>
    </tableColumn>
    <tableColumn id="118" xr3:uid="{00000000-0010-0000-0100-000076000000}" name="Top Transverse Weld Fillet Size (in)" dataDxfId="249">
      <calculatedColumnFormula>IF(Reinforcements[[#This Row],[Reinforcement]]="","",IF($AZ3="Yes",AT3,IF(OR(Reinforcements[[#This Row],[Top Transverse (Horizontal) Weld]]="none",Reinforcements[[#This Row],[Top End Connection Type]]&lt;&gt;"Welded",Reinforcements[[#This Row],[Top Transverse (Horizontal) Weld]]=""),"-","")))</calculatedColumnFormula>
    </tableColumn>
    <tableColumn id="119" xr3:uid="{00000000-0010-0000-0100-000077000000}" name="Top Transverse Weld Effective Throat" dataDxfId="248">
      <calculatedColumnFormula>IF($AZ3="Yes",AU3,IF(Reinforcements[[#This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calculatedColumnFormula>
    </tableColumn>
    <tableColumn id="112" xr3:uid="{00000000-0010-0000-0100-000070000000}" name="Top Longitudinal (Vertical) Weld" dataDxfId="247">
      <calculatedColumnFormula>IF($AZ3="Yes",AV3,IF(Reinforcements[[#This Row],[Reinforcement]]="","",IF(OR(Reinforcements[[#This Row],[Top End Connection Type]]&lt;&gt;"Welded",Reinforcements[[#This Row],[Top End Connection Type]]=""),"-","")))</calculatedColumnFormula>
    </tableColumn>
    <tableColumn id="107" xr3:uid="{00000000-0010-0000-0100-00006B000000}" name="Top Longitudinal Weld Length" dataDxfId="246">
      <calculatedColumnFormula>IF($AZ3="Yes",AW3,IF(Reinforcements[[#This Row],[Reinforcement]]="","",IF(OR(Reinforcements[[#This Row],[Top End Connection Type]]&lt;&gt;"Welded",Reinforcements[[#This Row],[Top End Connection Type]]="",Reinforcements[[#This Row],[Top Longitudinal (Vertical) Weld]]="",Reinforcements[[#This Row],[Top Longitudinal (Vertical) Weld]]="None"),"-","")))</calculatedColumnFormula>
    </tableColumn>
    <tableColumn id="138" xr3:uid="{00000000-0010-0000-0100-00008A000000}" name="Top Longitudinal Weld Fillet Size (in)" dataDxfId="245">
      <calculatedColumnFormula>IF($AZ3="Yes",AX3,IF(Reinforcements[[#This Row],[Reinforcement]]="","",IF(OR(Reinforcements[[#This Row],[Top End Connection Type]]&lt;&gt;"Welded",Reinforcements[[#This Row],[Top End Connection Type]]="",Reinforcements[[#This Row],[Top Longitudinal (Vertical) Weld]]="",Reinforcements[[#This Row],[Top Longitudinal (Vertical) Weld]]="None"),"-","")))</calculatedColumnFormula>
    </tableColumn>
    <tableColumn id="139" xr3:uid="{00000000-0010-0000-0100-00008B000000}" name="Top Longitudinal Weld Effective Throat" dataDxfId="244">
      <calculatedColumnFormula>IF($AZ3="Yes",AY3,IF(Reinforcements[[#This Row],[Reinforcement]]="","",IF(OR(Reinforcements[[#This Row],[Top End Connection Type]]&lt;&gt;"Welded",Reinforcements[[#This Row],[Top Longitudinal (Vertical) Weld]]="none"),"-",SQRT(2)/2*Reinforcements[[#This Row],[Top Longitudinal Weld Fillet Size (in)]])))</calculatedColumnFormula>
    </tableColumn>
    <tableColumn id="9" xr3:uid="{00000000-0010-0000-0100-000009000000}" name="Connection Length (in) [Channels]" dataDxfId="243">
      <calculatedColumnFormula>IF(Reinforcements[[#This Row],[Type]]="","",IF(Reinforcements[[#This Row],[Type]]="channel","","n/a"))</calculatedColumnFormula>
    </tableColumn>
    <tableColumn id="18" xr3:uid="{00000000-0010-0000-0100-000012000000}" name="Bottom Connection Length + Edge Dist (in)" dataDxfId="242">
      <calculatedColumnFormula>IF(Reinforcements[[#This Row],[Reinforcement]]="","",IF(Reinforcements[[#This Row],[Bottom End Connection Type]]&lt;&gt;"Bolted","n/a",(Reinforcements[[#This Row],['# of End Connection Bolts          (Bottom)]]-1)*Reinforcements[[#This Row],[End Connection Bolt Spacing (in) (B)]]+Reinforcements[[#This Row],[End Connection Edge Distance (in) (B)]]))</calculatedColumnFormula>
    </tableColumn>
    <tableColumn id="87" xr3:uid="{00000000-0010-0000-0100-000057000000}" name="Top Connection Length + Edge Dist (in)" dataDxfId="241">
      <calculatedColumnFormula>IF(Reinforcements[[#This Row],[Reinforcement]]="","",IF(Reinforcements[[#This Row],[Top End Connection Type]]&lt;&gt;"Bolted","n/a",(Reinforcements[[#This Row],['# of End Connection Bolts          (Top)]]-1)*Reinforcements[[#This Row],[End Connection Bolt Spacing (in) (T)]]+Reinforcements[[#This Row],[End Connection Edge Distance (in) (T)]]))</calculatedColumnFormula>
    </tableColumn>
    <tableColumn id="19" xr3:uid="{00000000-0010-0000-0100-000013000000}" name="Effective B (in)" dataDxfId="240">
      <calculatedColumnFormula>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calculatedColumnFormula>
    </tableColumn>
    <tableColumn id="20" xr3:uid="{00000000-0010-0000-0100-000014000000}" name="Effective H (in)" dataDxfId="239">
      <calculatedColumnFormula>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calculatedColumnFormula>
    </tableColumn>
    <tableColumn id="45" xr3:uid="{00000000-0010-0000-0100-00002D000000}" name="Equivalent Rectangle Ix (in4)" dataDxfId="238">
      <calculatedColumnFormula>IFERROR(IF(Reinforcements[[#This Row],[Type]]="","",Reinforcements[[#This Row],[Effective B (in)]]*Reinforcements[[#This Row],[Effective H (in)]]^3/12),"")</calculatedColumnFormula>
    </tableColumn>
    <tableColumn id="44" xr3:uid="{00000000-0010-0000-0100-00002C000000}" name="Equivalent Rectangle Iy (in4)" dataDxfId="237">
      <calculatedColumnFormula>IFERROR(IF(Reinforcements[[#This Row],[Type]]="","",Reinforcements[[#This Row],[Effective B (in)]]^3*Reinforcements[[#This Row],[Effective H (in)]]/12),"")</calculatedColumnFormula>
    </tableColumn>
    <tableColumn id="34" xr3:uid="{00000000-0010-0000-0100-000022000000}" name="Cc" dataDxfId="236">
      <calculatedColumnFormula>SQRT(2*PI()^2*29000/VLOOKUP(Reinforcements[[#This Row],[Material]],Materials[],2,FALSE))</calculatedColumnFormula>
    </tableColumn>
    <tableColumn id="33" xr3:uid="{00000000-0010-0000-0100-000021000000}" name="Fax" dataDxfId="235">
      <calculatedColumnFormula>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calculatedColumnFormula>
    </tableColumn>
    <tableColumn id="38" xr3:uid="{00000000-0010-0000-0100-000026000000}" name="Fay" dataDxfId="234">
      <calculatedColumnFormula>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calculatedColumnFormula>
    </tableColumn>
    <tableColumn id="31" xr3:uid="{00000000-0010-0000-0100-00001F000000}" name="λcx" dataDxfId="233">
      <calculatedColumnFormula>Reinforcements[[#This Row],[Effective Length Factor Kx]]*Reinforcements[[#This Row],[Lu (in)]]/(Reinforcements[[#This Row],[rx]]*PI())*SQRT(VLOOKUP(Reinforcements[[#This Row],[Material]],Materials[],2,FALSE)/29000)</calculatedColumnFormula>
    </tableColumn>
    <tableColumn id="39" xr3:uid="{00000000-0010-0000-0100-000027000000}" name="λcy" dataDxfId="232">
      <calculatedColumnFormula>Reinforcements[[#This Row],[Effective Length Factor Ky]]*Reinforcements[[#This Row],[Lu (in)]]/(Reinforcements[[#This Row],[ry]]*PI())*SQRT(VLOOKUP(Reinforcements[[#This Row],[Material]],Materials[],2,FALSE)/29000)</calculatedColumnFormula>
    </tableColumn>
    <tableColumn id="30" xr3:uid="{00000000-0010-0000-0100-00001E000000}" name="Fcr,x" dataDxfId="231">
      <calculatedColumnFormula>IF(Reinforcements[[#This Row],[λcx]]&lt;=1.5,0.658^(Reinforcements[[#This Row],[λcx]]^2)*Reinforcements[[#This Row],[F''y]],0.877/(Reinforcements[[#This Row],[λcx]]^2)*Reinforcements[[#This Row],[F''y]])</calculatedColumnFormula>
    </tableColumn>
    <tableColumn id="42" xr3:uid="{00000000-0010-0000-0100-00002A000000}" name="Fcr,y" dataDxfId="230">
      <calculatedColumnFormula>IF(Reinforcements[[#This Row],[λcy]]&lt;=1.5,0.658^(Reinforcements[[#This Row],[λcy]]^2)*Reinforcements[[#This Row],[F''y]],0.877/(Reinforcements[[#This Row],[λcy]]^2)*Reinforcements[[#This Row],[F''y]])</calculatedColumnFormula>
    </tableColumn>
    <tableColumn id="29" xr3:uid="{00000000-0010-0000-0100-00001D000000}" name="F'y" dataDxfId="229">
      <calculatedColumnFormula>VLOOKUP(Reinforcements[[#This Row],[Material]],Materials[],2,FALSE)</calculatedColumnFormula>
    </tableColumn>
    <tableColumn id="22" xr3:uid="{00000000-0010-0000-0100-000016000000}" name="Rev. F Compression Capacity x-x (kips)" dataDxfId="228">
      <calculatedColumnFormula>IF(Reinforcements[[#This Row],[Reinforcement]]="","",Reinforcements[[#This Row],[Fax]]*Reinforcements[[#This Row],[Gross Area (in2)]])</calculatedColumnFormula>
    </tableColumn>
    <tableColumn id="35" xr3:uid="{00000000-0010-0000-0100-000023000000}" name="Rev. F Compression Capacity y-y (kips)" dataDxfId="227">
      <calculatedColumnFormula>IF(Reinforcements[[#This Row],[Reinforcement]]="","",Reinforcements[[#This Row],[Fay]]*Reinforcements[[#This Row],[Gross Area (in2)]])</calculatedColumnFormula>
    </tableColumn>
    <tableColumn id="23" xr3:uid="{00000000-0010-0000-0100-000017000000}" name="Rev. F Tension Yield Capacity (kips)" dataDxfId="226">
      <calculatedColumnFormula>IF(Reinforcements[[#This Row],[Reinforcement]]="","",0.6*VLOOKUP(Reinforcements[[#This Row],[Material]],Materials[],2,FALSE)*Reinforcements[[#This Row],[Gross Area (in2)]])</calculatedColumnFormula>
    </tableColumn>
    <tableColumn id="24" xr3:uid="{00000000-0010-0000-0100-000018000000}" name="Rev. F Tension Rupture Capacity (kips)" dataDxfId="225">
      <calculatedColumnFormula>IF(Reinforcements[[#This Row],[Reinforcement]]="","",0.5*VLOOKUP(Reinforcements[[#This Row],[Material]],Materials[],3,FALSE)*Reinforcements[[#This Row],[Net Area (in2)]]*Reinforcements[[#This Row],[Shear Lag (U)]])</calculatedColumnFormula>
    </tableColumn>
    <tableColumn id="32" xr3:uid="{00000000-0010-0000-0100-000020000000}" name="Rev. F Shear Capacity (kips)" dataDxfId="224">
      <calculatedColumnFormula>IF(Reinforcements[[#This Row],[Reinforcement]]="","",0.4*VLOOKUP(Reinforcements[[#This Row],[Material]],Materials[],2,FALSE)*Reinforcements[[#This Row],[Gross Area (in2)]])</calculatedColumnFormula>
    </tableColumn>
    <tableColumn id="53" xr3:uid="{00000000-0010-0000-0100-000035000000}" name="Rev. F Bolt Shear Capacity (Bottom)   (kips)" dataDxfId="223">
      <calculatedColumnFormula>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calculatedColumnFormula>
    </tableColumn>
    <tableColumn id="81" xr3:uid="{00000000-0010-0000-0100-000051000000}" name="Rev. F Bolt Shear Capacity   (Top)        (kips)" dataDxfId="222">
      <calculatedColumnFormula>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calculatedColumnFormula>
    </tableColumn>
    <tableColumn id="54" xr3:uid="{00000000-0010-0000-0100-000036000000}" name="Rev. F Bolt-Shaft Bearing Capacity (Bottom)                No Deformation (*t*Fu kips)" dataDxfId="221">
      <calculatedColumnFormula>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calculatedColumnFormula>
    </tableColumn>
    <tableColumn id="62" xr3:uid="{00000000-0010-0000-0100-00003E000000}" name="Rev. F Bolt-Shaft Bearing Capacity (Bottom) Deformation (*t*Fu kips)" dataDxfId="220">
      <calculatedColumnFormula>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calculatedColumnFormula>
    </tableColumn>
    <tableColumn id="74" xr3:uid="{00000000-0010-0000-0100-00004A000000}" name="Rev. F Bolt-Shaft Bearing Capacity (Top)                       No Deformation (*t*Fu kips)" dataDxfId="219">
      <calculatedColumnFormula>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calculatedColumnFormula>
    </tableColumn>
    <tableColumn id="73" xr3:uid="{00000000-0010-0000-0100-000049000000}" name="Rev. F Bolt-Shaft Bearing Capacity (Top)                        Deformation (*t*Fu kips)" dataDxfId="218">
      <calculatedColumnFormula>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calculatedColumnFormula>
    </tableColumn>
    <tableColumn id="55" xr3:uid="{00000000-0010-0000-0100-000037000000}" name="Rev. F Bolt-Reinf. Bearing Capacity (Bottom)            No Deformation (kips)" dataDxfId="217">
      <calculatedColumnFormula>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calculatedColumnFormula>
    </tableColumn>
    <tableColumn id="84" xr3:uid="{00000000-0010-0000-0100-000054000000}" name="Rev. F Bolt-Reinf. Bearing Capacity (Bottom)               Deformation (kips)" dataDxfId="216">
      <calculatedColumnFormula>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calculatedColumnFormula>
    </tableColumn>
    <tableColumn id="83" xr3:uid="{00000000-0010-0000-0100-000053000000}" name="Rev. F Bolt-Reinf. Bearing Capacity (Top)                  No Deformation (kips)" dataDxfId="215">
      <calculatedColumnFormula>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calculatedColumnFormula>
    </tableColumn>
    <tableColumn id="82" xr3:uid="{00000000-0010-0000-0100-000052000000}" name="Rev. F Bolt-Reinf. Bearing Capacity (Top)               Deformation (kips)" dataDxfId="214">
      <calculatedColumnFormula>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calculatedColumnFormula>
    </tableColumn>
    <tableColumn id="94" xr3:uid="{00000000-0010-0000-0100-00005E000000}" name="Rev. F Bottom Transverse Weld Strength" dataDxfId="213">
      <calculatedColumnFormula>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calculatedColumnFormula>
    </tableColumn>
    <tableColumn id="93" xr3:uid="{00000000-0010-0000-0100-00005D000000}" name="Rev. F Bottom Longitudinal Weld Strength" dataDxfId="212">
      <calculatedColumnFormula>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calculatedColumnFormula>
    </tableColumn>
    <tableColumn id="110" xr3:uid="{00000000-0010-0000-0100-00006E000000}" name="Rev. F Top Transverse Weld Strength" dataDxfId="211">
      <calculatedColumnFormula>IF($AZ3="Yes",DD3,IF(Reinforcements[[#This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calculatedColumnFormula>
    </tableColumn>
    <tableColumn id="140" xr3:uid="{00000000-0010-0000-0100-00008C000000}" name="Rev. F Top Longitudinal Weld Strength" dataDxfId="210">
      <calculatedColumnFormula>IF($AZ3="Yes",DE3,IF(Reinforcements[[#This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calculatedColumnFormula>
    </tableColumn>
    <tableColumn id="26" xr3:uid="{00000000-0010-0000-0100-00001A000000}" name="Rev. G Compression Capacity x-x (kips)" dataDxfId="209">
      <calculatedColumnFormula>IF(Reinforcements[[#This Row],[Reinforcement]]="","",φ_c*Reinforcements[[#This Row],[Fcr,x]]*Reinforcements[[#This Row],[Gross Area (in2)]])</calculatedColumnFormula>
    </tableColumn>
    <tableColumn id="36" xr3:uid="{00000000-0010-0000-0100-000024000000}" name="Rev. G Compression Capacity y-y (kips)" dataDxfId="208">
      <calculatedColumnFormula>IF(Reinforcements[[#This Row],[Reinforcement]]="","",φ_c*Reinforcements[[#This Row],[Fcr,y]]*Reinforcements[[#This Row],[Gross Area (in2)]])</calculatedColumnFormula>
    </tableColumn>
    <tableColumn id="27" xr3:uid="{00000000-0010-0000-0100-00001B000000}" name="Rev. G Tension Yield Capacity (kips)" dataDxfId="207">
      <calculatedColumnFormula>IF(Reinforcements[[#This Row],[Reinforcement]]="","",φ_t_y*VLOOKUP(Reinforcements[[#This Row],[Material]],Materials[],2,FALSE)*Reinforcements[[#This Row],[Gross Area (in2)]])</calculatedColumnFormula>
    </tableColumn>
    <tableColumn id="28" xr3:uid="{00000000-0010-0000-0100-00001C000000}" name="Rev. G Tension Rupture Capacity (kips)" dataDxfId="206">
      <calculatedColumnFormula>IF(Reinforcements[[#This Row],[Reinforcement]]="","",φ_t_r*VLOOKUP(Reinforcements[[#This Row],[Material]],Materials[],3,FALSE)*Reinforcements[[#This Row],[Net Area (in2)]]*Reinforcements[[#This Row],[Shear Lag (U)]])</calculatedColumnFormula>
    </tableColumn>
    <tableColumn id="43" xr3:uid="{00000000-0010-0000-0100-00002B000000}" name="Rev. G Shear Capacity (kips)" dataDxfId="205">
      <calculatedColumnFormula>IF(Reinforcements[[#This Row],[Reinforcement]]="","",φ_v*0.5*Reinforcements[[#This Row],[F''y]]*Reinforcements[[#This Row],[Gross Area (in2)]])</calculatedColumnFormula>
    </tableColumn>
    <tableColumn id="57" xr3:uid="{00000000-0010-0000-0100-000039000000}" name="Rev. G Bolt Shear Capacity (Bottom) (kips)" dataDxfId="204">
      <calculatedColumnFormula>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calculatedColumnFormula>
    </tableColumn>
    <tableColumn id="80" xr3:uid="{00000000-0010-0000-0100-000050000000}" name="Rev. G Bolt Shear Capacity (Top)     (kips)" dataDxfId="203">
      <calculatedColumnFormula>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calculatedColumnFormula>
    </tableColumn>
    <tableColumn id="60" xr3:uid="{00000000-0010-0000-0100-00003C000000}" name="Rev. G Bolt-Shaft Bearing Capacity (Bottom)                No Deformation          (*t*Fu kips)" dataDxfId="202">
      <calculatedColumnFormula>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calculatedColumnFormula>
    </tableColumn>
    <tableColumn id="79" xr3:uid="{00000000-0010-0000-0100-00004F000000}" name="Rev. G Bolt-Shaft Bearing Capacity (Bottom)                   Deformation          (*t*Fu kips)" dataDxfId="201">
      <calculatedColumnFormula>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calculatedColumnFormula>
    </tableColumn>
    <tableColumn id="77" xr3:uid="{00000000-0010-0000-0100-00004D000000}" name="Rev. G Bolt-Shaft Bearing Capacity (Top)                    No Deformation          (*t*Fu kips)" dataDxfId="200">
      <calculatedColumnFormula>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calculatedColumnFormula>
    </tableColumn>
    <tableColumn id="78" xr3:uid="{00000000-0010-0000-0100-00004E000000}" name="Rev. G Bolt-Shaft Bearing Capacity (Top)                        Deformation          (*t*Fu kips)" dataDxfId="199">
      <calculatedColumnFormula>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calculatedColumnFormula>
    </tableColumn>
    <tableColumn id="75" xr3:uid="{00000000-0010-0000-0100-00004B000000}" name="Rev. G Bolt-Reinf. Bearing Capacity (Bottom)            No Deformation (kips)" dataDxfId="198">
      <calculatedColumnFormula>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calculatedColumnFormula>
    </tableColumn>
    <tableColumn id="86" xr3:uid="{00000000-0010-0000-0100-000056000000}" name="Rev. G Bolt-Reinf. Bearing Capacity (Bottom)               Deformation (kips)" dataDxfId="197">
      <calculatedColumnFormula>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calculatedColumnFormula>
    </tableColumn>
    <tableColumn id="85" xr3:uid="{00000000-0010-0000-0100-000055000000}" name="Rev. G Bolt-Reinf. Bearing Capacity (Top)                  No Deformation (kips)" dataDxfId="196">
      <calculatedColumnFormula>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calculatedColumnFormula>
    </tableColumn>
    <tableColumn id="76" xr3:uid="{00000000-0010-0000-0100-00004C000000}" name="Rev. G Bolt-Reinf. Bearing Capacity (Top)               Deformation (kips)" dataDxfId="195">
      <calculatedColumnFormula>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calculatedColumnFormula>
    </tableColumn>
    <tableColumn id="92" xr3:uid="{00000000-0010-0000-0100-00005C000000}" name="Rev. G Bottom Transverse Weld Strength" dataDxfId="194">
      <calculatedColumnFormula>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calculatedColumnFormula>
    </tableColumn>
    <tableColumn id="95" xr3:uid="{00000000-0010-0000-0100-00005F000000}" name="Rev. G Bottom Longitudinal Weld Strength" dataDxfId="193">
      <calculatedColumnFormula>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calculatedColumnFormula>
    </tableColumn>
    <tableColumn id="111" xr3:uid="{00000000-0010-0000-0100-00006F000000}" name="Rev. G Top Transverse Weld Strength" dataDxfId="192">
      <calculatedColumnFormula>IF($AZ3="Yes",DW3,IF(Reinforcements[[#This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calculatedColumnFormula>
    </tableColumn>
    <tableColumn id="108" xr3:uid="{00000000-0010-0000-0100-00006C000000}" name="Rev. G Top Longitudinal Weld Strength" dataDxfId="191">
      <calculatedColumnFormula>IF($AZ3="Yes",DX3,IF(Reinforcements[[#This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calculatedColumnFormula>
    </tableColumn>
    <tableColumn id="190" xr3:uid="{00000000-0010-0000-0100-0000BE000000}" name="Channel Height, h" dataDxfId="190">
      <calculatedColumnFormula>IF(OR(Reinforcements[[#This Row],[Type]]="plate",Reinforcements[[#This Row],[Type]]="solid round"),"N/A",Reinforcements[[#This Row],[B (in)]])</calculatedColumnFormula>
    </tableColumn>
    <tableColumn id="191" xr3:uid="{00000000-0010-0000-0100-0000BF000000}" name="Channel Flange Width, b" dataDxfId="189">
      <calculatedColumnFormula>IF(OR(Reinforcements[[#This Row],[Type]]="plate",Reinforcements[[#This Row],[Type]]="solid round"),"N/A",Reinforcements[[#This Row],[H (in)]])</calculatedColumnFormula>
    </tableColumn>
    <tableColumn id="192" xr3:uid="{00000000-0010-0000-0100-0000C0000000}" name="Channel inside depth, T" dataDxfId="188">
      <calculatedColumnFormula>IF(OR(Reinforcements[[#This Row],[Type]]="plate",Reinforcements[[#This Row],[Type]]="solid round"),"N/A",Reinforcements[[#This Row],[B (in)]]-Reinforcements[[#This Row],['[Channel'] Flange Thickness (in)]])</calculatedColumnFormula>
    </tableColumn>
    <tableColumn id="193" xr3:uid="{00000000-0010-0000-0100-0000C1000000}" name="Channel web thickness, tw" dataDxfId="187">
      <calculatedColumnFormula>IF(OR(Reinforcements[[#This Row],[Type]]="plate",Reinforcements[[#This Row],[Type]]="solid round"),"N/A",Reinforcements[[#This Row],['[Channel']Web Thickness (in)]])</calculatedColumnFormula>
    </tableColumn>
    <tableColumn id="194" xr3:uid="{00000000-0010-0000-0100-0000C2000000}" name="Channel flange thickness, tf" dataDxfId="186">
      <calculatedColumnFormula>IF(OR(Reinforcements[[#This Row],[Type]]="plate",Reinforcements[[#This Row],[Type]]="solid round"),"N/A",Reinforcements[[#This Row],['[Channel'] Flange Thickness (in)]])</calculatedColumnFormula>
    </tableColumn>
    <tableColumn id="197" xr3:uid="{00000000-0010-0000-0100-0000C5000000}" name="λf" dataDxfId="185">
      <calculatedColumnFormula>IF(Reinforcements[[#This Row],[Type]]="channel",Reinforcements[[#This Row],[Channel Flange Width, b]]/Reinforcements[[#This Row],[Channel flange thickness, tf]],"N/A")</calculatedColumnFormula>
    </tableColumn>
    <tableColumn id="198" xr3:uid="{00000000-0010-0000-0100-0000C6000000}" name="λw" dataDxfId="184">
      <calculatedColumnFormula>IF(Reinforcements[[#This Row],[Type]]="channel",Reinforcements[[#This Row],[Channel inside depth, T]]/Reinforcements[[#This Row],[Channel web thickness, tw]],"N/A")</calculatedColumnFormula>
    </tableColumn>
    <tableColumn id="199" xr3:uid="{00000000-0010-0000-0100-0000C7000000}" name="E, (ksi)" dataDxfId="183"/>
    <tableColumn id="195" xr3:uid="{00000000-0010-0000-0100-0000C3000000}" name="λrf" dataDxfId="182">
      <calculatedColumnFormula>IF(Reinforcements[[#This Row],[Type]]="channel",0.56*SQRT(Reinforcements[[#This Row],[E, (ksi)]]/Reinforcements[[#This Row],[Fy, (ksi)]]),"N/A")</calculatedColumnFormula>
    </tableColumn>
    <tableColumn id="196" xr3:uid="{00000000-0010-0000-0100-0000C4000000}" name="λrw" dataDxfId="181">
      <calculatedColumnFormula>IF(Reinforcements[[#This Row],[Type]]="channel",1.49*SQRT(Reinforcements[[#This Row],[E, (ksi)]]/Reinforcements[[#This Row],[Fy, (ksi)]]),"N/A")</calculatedColumnFormula>
    </tableColumn>
    <tableColumn id="144" xr3:uid="{00000000-0010-0000-0100-000090000000}" name="Fy, (ksi)" dataDxfId="180">
      <calculatedColumnFormula>VLOOKUP(Reinforcements[[#This Row],[Material]],Materials!$B$2:$C$30,2,FALSE)</calculatedColumnFormula>
    </tableColumn>
    <tableColumn id="145" xr3:uid="{00000000-0010-0000-0100-000091000000}" name="Lcx (in)" dataDxfId="179">
      <calculatedColumnFormula>Reinforcements[[#This Row],[Lu (in)]]*Reinforcements[[#This Row],[Effective Length Factor Kx]]</calculatedColumnFormula>
    </tableColumn>
    <tableColumn id="146" xr3:uid="{00000000-0010-0000-0100-000092000000}" name="Lcy (in)" dataDxfId="178">
      <calculatedColumnFormula>Reinforcements[[#This Row],[Lu (in)]]*Reinforcements[[#This Row],[Effective Length Factor Ky]]</calculatedColumnFormula>
    </tableColumn>
    <tableColumn id="147" xr3:uid="{00000000-0010-0000-0100-000093000000}" name="rx (in)" dataDxfId="177">
      <calculatedColumnFormula>Reinforcements[[#This Row],[rx]]</calculatedColumnFormula>
    </tableColumn>
    <tableColumn id="148" xr3:uid="{00000000-0010-0000-0100-000094000000}" name="ry (in)" dataDxfId="176">
      <calculatedColumnFormula>Reinforcements[[#This Row],[ry]]</calculatedColumnFormula>
    </tableColumn>
    <tableColumn id="171" xr3:uid="{00000000-0010-0000-0100-0000AB000000}" name="Lcx/rx" dataDxfId="175">
      <calculatedColumnFormula>Reinforcements[[#This Row],[Lcx (in)]]/Reinforcements[[#This Row],[rx (in)]]</calculatedColumnFormula>
    </tableColumn>
    <tableColumn id="172" xr3:uid="{00000000-0010-0000-0100-0000AC000000}" name="Lcy/ry" dataDxfId="174">
      <calculatedColumnFormula>Reinforcements[[#This Row],[Lcy (in)]]/Reinforcements[[#This Row],[ry (in)]]</calculatedColumnFormula>
    </tableColumn>
    <tableColumn id="149" xr3:uid="{00000000-0010-0000-0100-000095000000}" name="Fex, FB (ksi)" dataDxfId="173">
      <calculatedColumnFormula>((PI()^2)*Reinforcements[[#This Row],[E, (ksi)]])/(Reinforcements[[#This Row],[Lcx/rx]]^2)</calculatedColumnFormula>
    </tableColumn>
    <tableColumn id="150" xr3:uid="{00000000-0010-0000-0100-000096000000}" name="Fey, FB (ksi)" dataDxfId="172">
      <calculatedColumnFormula>((PI()^2)*Reinforcements[[#This Row],[E, (ksi)]])/(Reinforcements[[#This Row],[Lcy/ry]]^2)</calculatedColumnFormula>
    </tableColumn>
    <tableColumn id="161" xr3:uid="{00000000-0010-0000-0100-0000A1000000}" name="Fcr Limit" dataDxfId="171">
      <calculatedColumnFormula>4.71*(SQRT(Reinforcements[[#This Row],[E, (ksi)]]/Reinforcements[[#This Row],[Fy, (ksi)]]))</calculatedColumnFormula>
    </tableColumn>
    <tableColumn id="162" xr3:uid="{00000000-0010-0000-0100-0000A2000000}" name="Fcrx (ksi)" dataDxfId="170">
      <calculatedColumnFormula>IF(Reinforcements[[#This Row],[Lcx/rx]]&lt;=Reinforcements[[#This Row],[Fcr Limit]],(0.658^(Reinforcements[[#This Row],[Fy, (ksi)]]/Reinforcements[[#This Row],[Fex, FB (ksi)]]))*Reinforcements[[#This Row],[Fy, (ksi)]],0.877*Reinforcements[[#This Row],[Fex, FB (ksi)]])</calculatedColumnFormula>
    </tableColumn>
    <tableColumn id="163" xr3:uid="{00000000-0010-0000-0100-0000A3000000}" name="Fcry (ksi)" dataDxfId="169">
      <calculatedColumnFormula>IF(Reinforcements[[#This Row],[Lcy/ry]]&lt;=Reinforcements[[#This Row],[Fcr Limit]],(0.658^(Reinforcements[[#This Row],[Fy, (ksi)]]/Reinforcements[[#This Row],[Fey, FB (ksi)]]))*Reinforcements[[#This Row],[Fy, (ksi)]],0.877*Reinforcements[[#This Row],[Fey, FB (ksi)]])</calculatedColumnFormula>
    </tableColumn>
    <tableColumn id="164" xr3:uid="{00000000-0010-0000-0100-0000A4000000}" name="Pnx, FB (kip)" dataDxfId="168">
      <calculatedColumnFormula>Reinforcements[[#This Row],[Fcrx (ksi)]]*Reinforcements[[#This Row],[Gross Area (in2)]]</calculatedColumnFormula>
    </tableColumn>
    <tableColumn id="165" xr3:uid="{00000000-0010-0000-0100-0000A5000000}" name="Pny, FB (kip)" dataDxfId="167">
      <calculatedColumnFormula>Reinforcements[[#This Row],[Fcry (ksi)]]*Reinforcements[[#This Row],[Gross Area (in2)]]</calculatedColumnFormula>
    </tableColumn>
    <tableColumn id="166" xr3:uid="{00000000-0010-0000-0100-0000A6000000}" name="yo" dataDxfId="166">
      <calculatedColumnFormula>IF(Reinforcements[[#This Row],[Type]]="channel",0,"N/A")</calculatedColumnFormula>
    </tableColumn>
    <tableColumn id="187" xr3:uid="{00000000-0010-0000-0100-0000BB000000}" name="b" dataDxfId="165">
      <calculatedColumnFormula>IF(Reinforcements[[#This Row],[Type]]="channel",Reinforcements[[#This Row],[Channel Flange Width, b]]-(0.5*Reinforcements[[#This Row],[Channel web thickness, tw]]),"N/A")</calculatedColumnFormula>
    </tableColumn>
    <tableColumn id="188" xr3:uid="{00000000-0010-0000-0100-0000BC000000}" name="h" dataDxfId="164">
      <calculatedColumnFormula>IF(Reinforcements[[#This Row],[Type]]="channel",Reinforcements[[#This Row],[Channel Height, h]]-Reinforcements[[#This Row],[Channel flange thickness, tf]],"N/A")</calculatedColumnFormula>
    </tableColumn>
    <tableColumn id="189" xr3:uid="{00000000-0010-0000-0100-0000BD000000}" name="t" dataDxfId="163">
      <calculatedColumnFormula>IF(Reinforcements[[#This Row],[Type]]="channel",Reinforcements[[#This Row],[Channel web thickness, tw]],"N/A")</calculatedColumnFormula>
    </tableColumn>
    <tableColumn id="167" xr3:uid="{00000000-0010-0000-0100-0000A7000000}" name="eo" dataDxfId="162">
      <calculatedColumnFormula>IF(Reinforcements[[#This Row],[Type]]="channel",((3*Reinforcements[[#This Row],[b]]^2)/(Reinforcements[[#This Row],[h]]+(6*Reinforcements[[#This Row],[b]])))-Reinforcements[[#This Row],[t]]/2,"N/A")</calculatedColumnFormula>
    </tableColumn>
    <tableColumn id="168" xr3:uid="{00000000-0010-0000-0100-0000A8000000}" name="x(bar)" dataDxfId="161">
      <calculatedColumnFormula>Reinforcements[[#This Row],[Pole Face to Centroid (in)]]</calculatedColumnFormula>
    </tableColumn>
    <tableColumn id="169" xr3:uid="{00000000-0010-0000-0100-0000A9000000}" name="xo" dataDxfId="160">
      <calculatedColumnFormula>IF(Reinforcements[[#This Row],[Type]]="channel",Reinforcements[[#This Row],[x(bar)]]+Reinforcements[[#This Row],['[Channel'] e0 (in)]],"N/A")</calculatedColumnFormula>
    </tableColumn>
    <tableColumn id="170" xr3:uid="{00000000-0010-0000-0100-0000AA000000}" name="Ix (FTB)" dataDxfId="159">
      <calculatedColumnFormula>IF(Reinforcements[[#This Row],[Type]]="channel",Reinforcements[[#This Row],[Ix]],"N/A")</calculatedColumnFormula>
    </tableColumn>
    <tableColumn id="156" xr3:uid="{00000000-0010-0000-0100-00009C000000}" name="Iy (FTB)" dataDxfId="158">
      <calculatedColumnFormula>IF(Reinforcements[[#This Row],[Type]]="channel",Reinforcements[[#This Row],[Iy]],"N/A")</calculatedColumnFormula>
    </tableColumn>
    <tableColumn id="157" xr3:uid="{00000000-0010-0000-0100-00009D000000}" name="Ag" dataDxfId="157">
      <calculatedColumnFormula>IF(Reinforcements[[#This Row],[Type]]="channel",Reinforcements[[#This Row],[Gross Area (in2)]],"N/A")</calculatedColumnFormula>
    </tableColumn>
    <tableColumn id="158" xr3:uid="{00000000-0010-0000-0100-00009E000000}" name="ro^2(bar)" dataDxfId="156">
      <calculatedColumnFormula>IF(Reinforcements[[#This Row],[Type]]="channel",(Reinforcements[[#This Row],[xo]]^2)+((Reinforcements[[#This Row],[Ix (FTB)]]+Reinforcements[[#This Row],[Iy (FTB)]])/Reinforcements[[#This Row],[Ag]]),"N/A")</calculatedColumnFormula>
    </tableColumn>
    <tableColumn id="159" xr3:uid="{00000000-0010-0000-0100-00009F000000}" name="Lz" dataDxfId="155">
      <calculatedColumnFormula>IF(Reinforcements[[#This Row],[Type]]="channel",Reinforcements[[#This Row],[Lu (in)]],"N/A")</calculatedColumnFormula>
    </tableColumn>
    <tableColumn id="160" xr3:uid="{00000000-0010-0000-0100-0000A0000000}" name="Kz" dataDxfId="154">
      <calculatedColumnFormula>IF(Reinforcements[[#This Row],[Type]]="channel",Reinforcements[[#This Row],[Effective Length Factor Kx]],"N/A")</calculatedColumnFormula>
    </tableColumn>
    <tableColumn id="151" xr3:uid="{00000000-0010-0000-0100-000097000000}" name="Lcz" dataDxfId="153">
      <calculatedColumnFormula>IF(Reinforcements[[#This Row],[Type]]="channel",Reinforcements[[#This Row],[Kz]]*Reinforcements[[#This Row],[Lz]],"N/A")</calculatedColumnFormula>
    </tableColumn>
    <tableColumn id="153" xr3:uid="{00000000-0010-0000-0100-000099000000}" name="J" dataDxfId="152">
      <calculatedColumnFormula>IF(Reinforcements[[#This Row],[Type]]="channel",(((Reinforcements[[#This Row],[t]]^3)/3)*(Reinforcements[[#This Row],[h]]+(2*Reinforcements[[#This Row],[b]]))),"N/A")</calculatedColumnFormula>
    </tableColumn>
    <tableColumn id="154" xr3:uid="{00000000-0010-0000-0100-00009A000000}" name="H2" dataDxfId="151">
      <calculatedColumnFormula>IF(Reinforcements[[#This Row],[Type]]="channel",(1-(((Reinforcements[[#This Row],[xo]]^2)+(Reinforcements[[#This Row],[yo]]^2))/Reinforcements[[#This Row],[ro^2(bar)]])),"N/A")</calculatedColumnFormula>
    </tableColumn>
    <tableColumn id="155" xr3:uid="{00000000-0010-0000-0100-00009B000000}" name="G" dataDxfId="150"/>
    <tableColumn id="173" xr3:uid="{00000000-0010-0000-0100-0000AD000000}" name="Cw" dataDxfId="149">
      <calculatedColumnFormula>IF(Reinforcements[[#This Row],[Type]]="channel",(((Reinforcements[[#This Row],[h]]^2)*(Reinforcements[[#This Row],[b]]^3)*Reinforcements[[#This Row],[t]])/12)*(((2*Reinforcements[[#This Row],[h]])+(3*Reinforcements[[#This Row],[b]]))/(Reinforcements[[#This Row],[h]]+(6*Reinforcements[[#This Row],[b]]))),"N/A")</calculatedColumnFormula>
    </tableColumn>
    <tableColumn id="174" xr3:uid="{00000000-0010-0000-0100-0000AE000000}" name="Fez" dataDxfId="148">
      <calculatedColumnFormula>IF(Reinforcements[[#This Row],[Type]]="Channel",((((PI()^2)*Reinforcements[[#This Row],[E, (ksi)]]*Reinforcements[[#This Row],['[Channel'] CW (in6)]])/(Reinforcements[[#This Row],[Lcz]]^2))+(Reinforcements[[#This Row],[G]]*Reinforcements[[#This Row],['[Channel'] J (in4)]]))*(1/(Reinforcements[[#This Row],[Ag]]*Reinforcements[[#This Row],[ro^2(bar)]])),"N/A")</calculatedColumnFormula>
    </tableColumn>
    <tableColumn id="175" xr3:uid="{00000000-0010-0000-0100-0000AF000000}" name="Fey" dataDxfId="147">
      <calculatedColumnFormula>IF(Reinforcements[[#This Row],[Type]]="channel",((PI()^2)*Reinforcements[[#This Row],[E, (ksi)]])/(Reinforcements[[#This Row],[Lcy/ry]]^2),"N/A")</calculatedColumnFormula>
    </tableColumn>
    <tableColumn id="176" xr3:uid="{00000000-0010-0000-0100-0000B0000000}" name="Fe (FTB)" dataDxfId="146">
      <calculatedColumnFormula>IF(Reinforcements[[#This Row],[Type]]="channel",((Reinforcements[[#This Row],[Fey]]+Reinforcements[[#This Row],[Fez]])/(2*Reinforcements[[#This Row],[H2]]))*(1-SQRT(1-((4*Reinforcements[[#This Row],[Fey]]*Reinforcements[[#This Row],[Fez]]*Reinforcements[[#This Row],[H2]])/(Reinforcements[[#This Row],[Fey]]+Reinforcements[[#This Row],[Fez]])^2))),"N/A")</calculatedColumnFormula>
    </tableColumn>
    <tableColumn id="177" xr3:uid="{00000000-0010-0000-0100-0000B1000000}" name="Fcr(FTB)" dataDxfId="145">
      <calculatedColumnFormula>IF(Reinforcements[[#This Row],[Type]]="channel",IF(Reinforcements[[#This Row],[Lcx/rx]]&gt;(4.71*SQRT(Reinforcements[[#This Row],[E, (ksi)]]/Reinforcements[[#This Row],[Fy, (ksi)]])),0.877*Reinforcements[[#This Row],[Fe (FTB)]],0.658^(Reinforcements[[#This Row],[Fy, (ksi)]]/Reinforcements[[#This Row],[Fe (FTB)]])*Reinforcements[[#This Row],[Fy, (ksi)]]),"N/A")</calculatedColumnFormula>
    </tableColumn>
    <tableColumn id="178" xr3:uid="{00000000-0010-0000-0100-0000B2000000}" name="Fcr" dataDxfId="144">
      <calculatedColumnFormula>IF(Reinforcements[[#This Row],[Type]]="channel",MIN(Reinforcements[[#This Row],[Fcr(FTB)]],Reinforcements[[#This Row],[Fcry (ksi)]]),"N/A")</calculatedColumnFormula>
    </tableColumn>
    <tableColumn id="179" xr3:uid="{00000000-0010-0000-0100-0000B3000000}" name="c1" dataDxfId="143"/>
    <tableColumn id="180" xr3:uid="{00000000-0010-0000-0100-0000B4000000}" name="c2" dataDxfId="142"/>
    <tableColumn id="181" xr3:uid="{00000000-0010-0000-0100-0000B5000000}" name="Fel(f)" dataDxfId="141">
      <calculatedColumnFormula>IF(Reinforcements[[#This Row],[Type]]="channel",((Reinforcements[[#This Row],[c2]]*(Reinforcements[[#This Row],[λrf]]/Reinforcements[[#This Row],[λf]]))^2)*Reinforcements[[#This Row],[Fy, (ksi)]],"N/A")</calculatedColumnFormula>
    </tableColumn>
    <tableColumn id="182" xr3:uid="{00000000-0010-0000-0100-0000B6000000}" name="Fel(w)" dataDxfId="140">
      <calculatedColumnFormula>IF(Reinforcements[[#This Row],[Type]]="channel",((Reinforcements[[#This Row],[c2]]*(Reinforcements[[#This Row],[λrw]]/Reinforcements[[#This Row],[λw]]))^2)*Reinforcements[[#This Row],[Fy, (ksi)]],"N/A")</calculatedColumnFormula>
    </tableColumn>
    <tableColumn id="183" xr3:uid="{00000000-0010-0000-0100-0000B7000000}" name="be" dataDxfId="139">
      <calculatedColumnFormula>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calculatedColumnFormula>
    </tableColumn>
    <tableColumn id="184" xr3:uid="{00000000-0010-0000-0100-0000B8000000}" name="he" dataDxfId="138">
      <calculatedColumnFormula>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calculatedColumnFormula>
    </tableColumn>
    <tableColumn id="185" xr3:uid="{00000000-0010-0000-0100-0000B9000000}" name="Ae" dataDxfId="137">
      <calculatedColumnFormula>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calculatedColumnFormula>
    </tableColumn>
    <tableColumn id="186" xr3:uid="{00000000-0010-0000-0100-0000BA000000}" name="Pn" dataDxfId="136">
      <calculatedColumnFormula>IF(Reinforcements[[#This Row],[Type]]="channel",Reinforcements[[#This Row],[Fcr]]*Reinforcements[[#This Row],[Ae]],"N/A")</calculatedColumnFormula>
    </tableColumn>
    <tableColumn id="90" xr3:uid="{00000000-0010-0000-0100-00005A000000}" name="Rev. H Compression Capacity x-x (kips)" dataDxfId="135">
      <calculatedColumnFormula>IF(Reinforcements[[#This Row],[Reinforcement]]="","",φ_c*Reinforcements[[#This Row],[Pnx, FB (kip)]])</calculatedColumnFormula>
    </tableColumn>
    <tableColumn id="101" xr3:uid="{00000000-0010-0000-0100-000065000000}" name="Rev. H Compression Capacity y-y (kips)" dataDxfId="134">
      <calculatedColumnFormula>IF(Reinforcements[[#This Row],[Reinforcement]]="","",IF(Reinforcements[[#This Row],[Type]]="channel",φ_c*Reinforcements[[#This Row],[Pn]],φ_c*Reinforcements[[#This Row],[Pny, FB (kip)]]))</calculatedColumnFormula>
    </tableColumn>
    <tableColumn id="102" xr3:uid="{00000000-0010-0000-0100-000066000000}" name="Rev. H Tension Yield Capacity (kips)" dataDxfId="133">
      <calculatedColumnFormula>Reinforcements[[#This Row],[Rev. G Tension Yield Capacity (kips)]]</calculatedColumnFormula>
    </tableColumn>
    <tableColumn id="104" xr3:uid="{00000000-0010-0000-0100-000068000000}" name="Rev. H Tension Rupture Capacity (kips)" dataDxfId="132">
      <calculatedColumnFormula>Reinforcements[[#This Row],[Rev. G Tension Rupture Capacity (kips)]]</calculatedColumnFormula>
    </tableColumn>
    <tableColumn id="105" xr3:uid="{00000000-0010-0000-0100-000069000000}" name="Rev. H Shear Capacity (kips)" dataDxfId="131">
      <calculatedColumnFormula>Reinforcements[[#This Row],[Rev. G Shear Capacity (kips)]]</calculatedColumnFormula>
    </tableColumn>
    <tableColumn id="202" xr3:uid="{00000000-0010-0000-0100-0000CA000000}" name="Lb(bottom)" dataDxfId="130">
      <calculatedColumnFormula>IFERROR((Reinforcements[[#This Row],['# of End Connection Bolts          (Bottom)]]-1)*Reinforcements[[#This Row],[End Connection Bolt Spacing (in) (B)]],"-")</calculatedColumnFormula>
    </tableColumn>
    <tableColumn id="203" xr3:uid="{00000000-0010-0000-0100-0000CB000000}" name="Rb(bottom)" dataDxfId="129">
      <calculatedColumnFormula>IFERROR(IF(VLOOKUP(Reinforcements[[#This Row],[Bottom End Connection Bolt Type]],Bolts[],COLUMN(Bolts[[#Headers],[Rev. H Apply Connection Length Reduction Factor (Rb)?]])-1,FALSE)="Yes",(IF(Reinforcements[[#This Row],[Lb(bottom)]]&lt;=16,1,IF(Reinforcements[[#This Row],[Lb(bottom)]]&gt;38,0.75,0.9))),1),"-")</calculatedColumnFormula>
    </tableColumn>
    <tableColumn id="106" xr3:uid="{00000000-0010-0000-0100-00006A000000}" name="Rev. H Bolt Shear Capacity (Bottom) (kips)" dataDxfId="128">
      <calculatedColumnFormula>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calculatedColumnFormula>
    </tableColumn>
    <tableColumn id="204" xr3:uid="{00000000-0010-0000-0100-0000CC000000}" name="Lb(top)" dataDxfId="127">
      <calculatedColumnFormula>IFERROR(IF(Reinforcements[[#This Row],[Top End Connection Same?]]="Yes",Reinforcements[[#This Row],[Lb(bottom)]],(Reinforcements[[#This Row],['# of End Connection Bolts          (Top)]]-1)*Reinforcements[[#This Row],[End Connection Bolt Spacing (in) (T)]]),"-")</calculatedColumnFormula>
    </tableColumn>
    <tableColumn id="205" xr3:uid="{00000000-0010-0000-0100-0000CD000000}" name="Rb(top)" dataDxfId="126">
      <calculatedColumnFormula>IFERROR(IF(VLOOKUP(Reinforcements[[#This Row],[Top End Connection Bolt Type]],Bolts[],COLUMN(Bolts[[#Headers],[Rev. H Apply Connection Length Reduction Factor (Rb)?]])-1,FALSE)="Yes",(IF(Reinforcements[[#This Row],[Lb(top)]]&lt;=16,1,IF(Reinforcements[[#This Row],[Lb(top)]]&gt;38,0.75,0.9))),1),"-")</calculatedColumnFormula>
    </tableColumn>
    <tableColumn id="120" xr3:uid="{00000000-0010-0000-0100-000078000000}" name="Rev. H Bolt Shear Capacity (Top) (kips)" dataDxfId="125">
      <calculatedColumnFormula>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calculatedColumnFormula>
    </tableColumn>
    <tableColumn id="121" xr3:uid="{00000000-0010-0000-0100-000079000000}" name="Rev. H Bolt-Shaft Bearing Capacity (Bottom) No Deformation _x000a_(*t*Fu kips)" dataDxfId="124">
      <calculatedColumnFormula>Reinforcements[[#This Row],[Rev. G Bolt-Shaft Bearing Capacity (Bottom)                No Deformation          (*t*Fu kips)]]</calculatedColumnFormula>
    </tableColumn>
    <tableColumn id="122" xr3:uid="{00000000-0010-0000-0100-00007A000000}" name="Rev. H Bolt-Shaft Bearing Capacity (Bottom) Deformation (*t*Fu kips)" dataDxfId="123">
      <calculatedColumnFormula>Reinforcements[[#This Row],[Rev. G Bolt-Shaft Bearing Capacity (Bottom)                   Deformation          (*t*Fu kips)]]</calculatedColumnFormula>
    </tableColumn>
    <tableColumn id="123" xr3:uid="{00000000-0010-0000-0100-00007B000000}" name="Rev. H Bolt-Shaft Bearing Capacity (Top) No Deformation (*t*Fu kips)" dataDxfId="122">
      <calculatedColumnFormula>Reinforcements[[#This Row],[Rev. G Bolt-Shaft Bearing Capacity (Top)                    No Deformation          (*t*Fu kips)]]</calculatedColumnFormula>
    </tableColumn>
    <tableColumn id="124" xr3:uid="{00000000-0010-0000-0100-00007C000000}" name="Rev. H Bolt-Shaft Bearing Capacity (Top) Deformation (*t*Fu kips)" dataDxfId="121">
      <calculatedColumnFormula>Reinforcements[[#This Row],[Rev. G Bolt-Shaft Bearing Capacity (Top)                        Deformation          (*t*Fu kips)]]</calculatedColumnFormula>
    </tableColumn>
    <tableColumn id="129" xr3:uid="{00000000-0010-0000-0100-000081000000}" name="Rev. H Bolt-Reinf. Bearing Capacity (Bottom) No Deformation (kips)" dataDxfId="120">
      <calculatedColumnFormula>Reinforcements[[#This Row],[Rev. G Bolt-Reinf. Bearing Capacity (Bottom)            No Deformation (kips)]]</calculatedColumnFormula>
    </tableColumn>
    <tableColumn id="130" xr3:uid="{00000000-0010-0000-0100-000082000000}" name="Rev. H Bolt-Reinf. Bearing Capacity (Bottom) Deformation (kips)" dataDxfId="119">
      <calculatedColumnFormula>Reinforcements[[#This Row],[Rev. G Bolt-Reinf. Bearing Capacity (Bottom)               Deformation (kips)]]</calculatedColumnFormula>
    </tableColumn>
    <tableColumn id="133" xr3:uid="{00000000-0010-0000-0100-000085000000}" name="Rev. H Bolt-Reinf. Bearing Capacity (Top) No Deformation (kips)" dataDxfId="118">
      <calculatedColumnFormula>Reinforcements[[#This Row],[Rev. G Bolt-Reinf. Bearing Capacity (Top)                  No Deformation (kips)]]</calculatedColumnFormula>
    </tableColumn>
    <tableColumn id="134" xr3:uid="{00000000-0010-0000-0100-000086000000}" name="Rev. H Bolt-Reinf. Bearing Capacity (Top) Deformation (kips)" dataDxfId="117">
      <calculatedColumnFormula>Reinforcements[[#This Row],[Rev. G Bolt-Reinf. Bearing Capacity (Top)               Deformation (kips)]]</calculatedColumnFormula>
    </tableColumn>
    <tableColumn id="136" xr3:uid="{00000000-0010-0000-0100-000088000000}" name="Rev. H Bottom Transverse Weld Strangth" dataDxfId="116">
      <calculatedColumnFormula>Reinforcements[[#This Row],[Rev. G Bottom Transverse Weld Strength]]</calculatedColumnFormula>
    </tableColumn>
    <tableColumn id="137" xr3:uid="{00000000-0010-0000-0100-000089000000}" name="Rev. H Bottom Longitudinal Weld Strength" dataDxfId="115">
      <calculatedColumnFormula>Reinforcements[[#This Row],[Rev. G Bottom Longitudinal Weld Strength]]</calculatedColumnFormula>
    </tableColumn>
    <tableColumn id="141" xr3:uid="{00000000-0010-0000-0100-00008D000000}" name="Rev. H Top Transverse Weld Strength" dataDxfId="114">
      <calculatedColumnFormula>Reinforcements[[#This Row],[Rev. G Top Transverse Weld Strength]]</calculatedColumnFormula>
    </tableColumn>
    <tableColumn id="142" xr3:uid="{00000000-0010-0000-0100-00008E000000}" name="Rev. H Top Longitudinal Weld Strength" dataDxfId="113">
      <calculatedColumnFormula>Reinforcements[[#This Row],[Rev. G Top Longitudinal Weld Strength]]</calculatedColumnFormula>
    </tableColumn>
    <tableColumn id="208" xr3:uid="{87932862-D00C-4FB3-B41E-3F9882CC57F5}" name="Reinf ID" dataDxfId="112"/>
    <tableColumn id="209" xr3:uid="{B056EEB5-675C-45C7-9BAA-30913E2FA2BA}" name="Default?" dataDxfId="111">
      <calculatedColumnFormula>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calculatedColumnFormula>
    </tableColumn>
  </tableColumns>
  <tableStyleInfo name="TableStyleLight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Bolts" displayName="Bolts" ref="B3:AO24" totalsRowShown="0" headerRowDxfId="110" dataDxfId="109">
  <autoFilter ref="B3:AO24" xr:uid="{00000000-0009-0000-0100-000002000000}"/>
  <tableColumns count="40">
    <tableColumn id="1" xr3:uid="{00000000-0010-0000-0200-000001000000}" name="Bolt Name" dataDxfId="108"/>
    <tableColumn id="2" xr3:uid="{00000000-0010-0000-0200-000002000000}" name="Description" dataDxfId="107"/>
    <tableColumn id="3" xr3:uid="{00000000-0010-0000-0200-000003000000}" name="Bolt Diameter (in)" dataDxfId="106">
      <calculatedColumnFormula>20/25.4</calculatedColumnFormula>
    </tableColumn>
    <tableColumn id="26" xr3:uid="{00000000-0010-0000-0200-00001A000000}" name="Bolt Diameter (mm)" dataDxfId="105">
      <calculatedColumnFormula>IF(Bolts[[#This Row],[Bolt Name]]="","",Bolts[[#This Row],[Bolt Diameter (in)]]*25.4)</calculatedColumnFormula>
    </tableColumn>
    <tableColumn id="4" xr3:uid="{00000000-0010-0000-0200-000004000000}" name="Area of Bolt (in2)" dataDxfId="104">
      <calculatedColumnFormula>IF(Bolts[[#This Row],[Bolt Name]]="","",PI()/4*Bolts[[#This Row],[Bolt Diameter (in)]]^2)</calculatedColumnFormula>
    </tableColumn>
    <tableColumn id="5" xr3:uid="{00000000-0010-0000-0200-000005000000}" name="Bolt Fu (ksi)" dataDxfId="103"/>
    <tableColumn id="6" xr3:uid="{00000000-0010-0000-0200-000006000000}" name="Sleeve Outer Diameter (in)" dataDxfId="102">
      <calculatedColumnFormula>29/25.4</calculatedColumnFormula>
    </tableColumn>
    <tableColumn id="7" xr3:uid="{00000000-0010-0000-0200-000007000000}" name="Sleeve Inner Diameter (in)" dataDxfId="101">
      <calculatedColumnFormula>20.295/25.4</calculatedColumnFormula>
    </tableColumn>
    <tableColumn id="8" xr3:uid="{00000000-0010-0000-0200-000008000000}" name="Sleeve Area (in2)" dataDxfId="100">
      <calculatedColumnFormula>PI()/4*(Bolts[[#This Row],[Sleeve Outer Diameter (in)]]^2-Bolts[[#This Row],[Sleeve Inner Diameter (in)]]^2)</calculatedColumnFormula>
    </tableColumn>
    <tableColumn id="9" xr3:uid="{00000000-0010-0000-0200-000009000000}" name="Sleeve Fu (ksi)" dataDxfId="99"/>
    <tableColumn id="10" xr3:uid="{00000000-0010-0000-0200-00000A000000}" name="Rev. F FVN" dataDxfId="98">
      <calculatedColumnFormula>IF(Bolts[[#This Row],[Bolt Fu (ksi)]]=120,21,IF(Bolts[[#This Row],[Bolt Fu (ksi)]]=150,28,"Error"))</calculatedColumnFormula>
    </tableColumn>
    <tableColumn id="11" xr3:uid="{00000000-0010-0000-0200-00000B000000}" name="Rev. F FVX" dataDxfId="97">
      <calculatedColumnFormula>IF(Bolts[[#This Row],[Bolt Fu (ksi)]]=120,30,IF(Bolts[[#This Row],[Bolt Fu (ksi)]]=150,40,"Error"))</calculatedColumnFormula>
    </tableColumn>
    <tableColumn id="12" xr3:uid="{00000000-0010-0000-0200-00000C000000}" name="Rev. F RN" dataDxfId="96">
      <calculatedColumnFormula>Bolts[[#This Row],[Rev. F FVN]]*Bolts[[#This Row],[Area of Bolt (in2)]]</calculatedColumnFormula>
    </tableColumn>
    <tableColumn id="13" xr3:uid="{00000000-0010-0000-0200-00000D000000}" name="Rev. F RX" dataDxfId="95">
      <calculatedColumnFormula>Bolts[[#This Row],[Rev. F FVX]]*Bolts[[#This Row],[Area of Bolt (in2)]]</calculatedColumnFormula>
    </tableColumn>
    <tableColumn id="14" xr3:uid="{00000000-0010-0000-0200-00000E000000}" name="Rev. F Sleeve FVX" dataDxfId="94">
      <calculatedColumnFormula>M4*(K4/G4)</calculatedColumnFormula>
    </tableColumn>
    <tableColumn id="15" xr3:uid="{00000000-0010-0000-0200-00000F000000}" name="Rev. F Sleeve RN" dataDxfId="93">
      <calculatedColumnFormula>Bolts[[#This Row],[Rev. F Sleeve FVX]]*Bolts[[#This Row],[Sleeve Area (in2)]]</calculatedColumnFormula>
    </tableColumn>
    <tableColumn id="16" xr3:uid="{00000000-0010-0000-0200-000010000000}" name="Rev. G FNVN" dataDxfId="92">
      <calculatedColumnFormula>0.45*G4</calculatedColumnFormula>
    </tableColumn>
    <tableColumn id="17" xr3:uid="{00000000-0010-0000-0200-000011000000}" name="Rev. G FNVX" dataDxfId="91">
      <calculatedColumnFormula>0.55*G4</calculatedColumnFormula>
    </tableColumn>
    <tableColumn id="18" xr3:uid="{00000000-0010-0000-0200-000012000000}" name="Rev. G ΦRNN" dataDxfId="90">
      <calculatedColumnFormula>φ_bolt_shear*Bolts[[#This Row],[Rev. G FNVN]]*Bolts[[#This Row],[Area of Bolt (in2)]]</calculatedColumnFormula>
    </tableColumn>
    <tableColumn id="19" xr3:uid="{00000000-0010-0000-0200-000013000000}" name="Rev. G ΦRNX" dataDxfId="89">
      <calculatedColumnFormula>φ_bolt_shear*Bolts[[#This Row],[Rev. G FNVX]]*Bolts[[#This Row],[Area of Bolt (in2)]]</calculatedColumnFormula>
    </tableColumn>
    <tableColumn id="20" xr3:uid="{00000000-0010-0000-0200-000014000000}" name="Rev. G Sleeve FNVX" dataDxfId="88">
      <calculatedColumnFormula>0.55*K4</calculatedColumnFormula>
    </tableColumn>
    <tableColumn id="21" xr3:uid="{00000000-0010-0000-0200-000015000000}" name="Rev. G Sleeve ΦRNX" dataDxfId="87">
      <calculatedColumnFormula>φ_bolt_shear*Bolts[[#This Row],[Rev. G Sleeve FNVX]]*Bolts[[#This Row],[Sleeve Area (in2)]]</calculatedColumnFormula>
    </tableColumn>
    <tableColumn id="32" xr3:uid="{00000000-0010-0000-0200-000020000000}" name="Rev. H FNVN" dataDxfId="86">
      <calculatedColumnFormula>IF(Bolts[[#This Row],[Bolt Name]]="","",0.625*0.8*Bolts[[#This Row],[Bolt Fu (ksi)]])</calculatedColumnFormula>
    </tableColumn>
    <tableColumn id="31" xr3:uid="{00000000-0010-0000-0200-00001F000000}" name="Rev. H FNVX" dataDxfId="85">
      <calculatedColumnFormula>IF(Bolts[[#This Row],[Bolt Name]]="","",0.625*Bolts[[#This Row],[Bolt Fu (ksi)]])</calculatedColumnFormula>
    </tableColumn>
    <tableColumn id="30" xr3:uid="{00000000-0010-0000-0200-00001E000000}" name="Rev. H ΦRNN" dataDxfId="84">
      <calculatedColumnFormula>φ_bolt_shear*Bolts[[#This Row],[Rev. H FNVN]]*Bolts[[#This Row],[Area of Bolt (in2)]]</calculatedColumnFormula>
    </tableColumn>
    <tableColumn id="29" xr3:uid="{00000000-0010-0000-0200-00001D000000}" name="Rev. H ΦRNX" dataDxfId="83">
      <calculatedColumnFormula>φ_bolt_shear*Bolts[[#This Row],[Rev. H FNVX]]*Bolts[[#This Row],[Area of Bolt (in2)]]</calculatedColumnFormula>
    </tableColumn>
    <tableColumn id="28" xr3:uid="{00000000-0010-0000-0200-00001C000000}" name="Rev. H Sleeve FNVX" dataDxfId="82">
      <calculatedColumnFormula>IF(Bolts[[#This Row],[Bolt Name]]="","",0.625*Bolts[[#This Row],[Sleeve Fu (ksi)]])</calculatedColumnFormula>
    </tableColumn>
    <tableColumn id="27" xr3:uid="{00000000-0010-0000-0200-00001B000000}" name="Rev. H Sleeve ΦRNX" dataDxfId="81">
      <calculatedColumnFormula>φ_bolt_shear*Bolts[[#This Row],[Rev. H Sleeve FNVX]]*Bolts[[#This Row],[Sleeve Area (in2)]]</calculatedColumnFormula>
    </tableColumn>
    <tableColumn id="22" xr3:uid="{00000000-0010-0000-0200-000016000000}" name="Rev. F Bolt (N) + Sleeve Shear Capacity" dataDxfId="80">
      <calculatedColumnFormula>IF(Bolts[[#This Row],[Bolt Name]]="","",(Bolts[[#This Row],[Rev. F RN]]+Bolts[[#This Row],[Rev. F Sleeve RN]]))</calculatedColumnFormula>
    </tableColumn>
    <tableColumn id="23" xr3:uid="{00000000-0010-0000-0200-000017000000}" name="Rev. F Bolt (X) + Sleeve Shear Capacity" dataDxfId="79">
      <calculatedColumnFormula>IF(Bolts[[#This Row],[Bolt Name]]="","",(Bolts[[#This Row],[Rev. F RX]]+Bolts[[#This Row],[Rev. F Sleeve RN]]))</calculatedColumnFormula>
    </tableColumn>
    <tableColumn id="24" xr3:uid="{00000000-0010-0000-0200-000018000000}" name="Rev. G Bolt (N) + Sleeve Shear Capacity" dataDxfId="78">
      <calculatedColumnFormula>IF(Bolts[[#This Row],[Bolt Name]]="","",Bolts[[#This Row],[Rev. G ΦRNN]]+Bolts[[#This Row],[Rev. G Sleeve ΦRNX]])</calculatedColumnFormula>
    </tableColumn>
    <tableColumn id="25" xr3:uid="{00000000-0010-0000-0200-000019000000}" name="Rev. G Bolt (X) + Sleeve Shear Capacity" dataDxfId="77">
      <calculatedColumnFormula>IF(Bolts[[#This Row],[Bolt Name]]="","",Bolts[[#This Row],[Rev. G ΦRNX]]+Bolts[[#This Row],[Rev. G Sleeve ΦRNX]])</calculatedColumnFormula>
    </tableColumn>
    <tableColumn id="33" xr3:uid="{00000000-0010-0000-0200-000021000000}" name="Rev. H Bolt (N) Capacity" dataDxfId="76">
      <calculatedColumnFormula>IF(Bolts[[#This Row],[Bolt Name]]="","",Bolts[[#This Row],[Rev. H ΦRNN]])</calculatedColumnFormula>
    </tableColumn>
    <tableColumn id="34" xr3:uid="{00000000-0010-0000-0200-000022000000}" name="Rev. H Bolt (X) Capacity" dataDxfId="75">
      <calculatedColumnFormula>IF(Bolts[[#This Row],[Bolt Name]]="","",Bolts[[#This Row],[Rev. H ΦRNX]])</calculatedColumnFormula>
    </tableColumn>
    <tableColumn id="35" xr3:uid="{00000000-0010-0000-0200-000023000000}" name="Rev. H Shear Sleeve Capacity" dataDxfId="74">
      <calculatedColumnFormula>IF(Bolts[[#This Row],[Bolt Name]]="","",Bolts[[#This Row],[Rev. H Sleeve ΦRNX]])</calculatedColumnFormula>
    </tableColumn>
    <tableColumn id="36" xr3:uid="{0AC280F5-4642-4976-91FF-583768425F60}" name="Rev. H Bolt (N) + Sleeve Shear Capacity" dataDxfId="73">
      <calculatedColumnFormula>IF(Bolts[[#This Row],[Bolt Name]]="","",Bolts[[#This Row],[Rev. H Bolt (N) Capacity]]+Bolts[[#This Row],[Rev. H Shear Sleeve Capacity]])</calculatedColumnFormula>
    </tableColumn>
    <tableColumn id="37" xr3:uid="{5D605C0A-551D-465F-BBA4-A4E88AC64D0A}" name="Rev. H Bolt (X) + Sleeve Shear Capacity" dataDxfId="72">
      <calculatedColumnFormula>IF(Bolts[[#This Row],[Bolt Name]]="","",Bolts[[#This Row],[Rev. H Bolt (X) Capacity]]+Bolts[[#This Row],[Rev. H Shear Sleeve Capacity]])</calculatedColumnFormula>
    </tableColumn>
    <tableColumn id="38" xr3:uid="{56FC14A9-D2B9-4A2B-86A5-C65C17E7F5E1}" name="Rev. H Apply Connection Length Reduction Factor (Rb)?" dataDxfId="71">
      <calculatedColumnFormula>IF(Bolts[[#This Row],[Bolt Name]]="","","Yes")</calculatedColumnFormula>
    </tableColumn>
    <tableColumn id="39" xr3:uid="{D7D3E454-7D1B-4E5A-B190-1EEBC3EDDE96}" name="Bolt ID" dataDxfId="70"/>
    <tableColumn id="40" xr3:uid="{8B9277B2-65CB-4D36-858D-E480E2C5F6BB}" name="Default?" dataDxfId="69">
      <calculatedColumnFormula>IF(Bolts[[#This Row],[Bolt Name]]="","",IF(ROW(Bolts[[#This Row],[Bolt Name]])&gt;15,FALSE,TRUE))</calculatedColumnFormula>
    </tableColumn>
  </tableColumns>
  <tableStyleInfo name="TableStyleLight1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FEC80AE-6377-4C3D-9D82-718BDC84B322}" name="RevRanges" displayName="RevRanges" ref="B2:U31" totalsRowShown="0">
  <autoFilter ref="B2:U31" xr:uid="{6E8247F2-B3FA-4D50-87B7-9DD934702331}"/>
  <tableColumns count="20">
    <tableColumn id="1" xr3:uid="{FD1681DC-25CE-4100-AEED-92518F239D30}" name="Default Sheet Name"/>
    <tableColumn id="14" xr3:uid="{A3D28F62-5D06-4566-BB52-614054243400}" name="4.6.0" dataDxfId="14"/>
    <tableColumn id="19" xr3:uid="{C4FBDF2B-0D25-4D30-9655-A7D1FA79AD22}" name="4.5.8" dataDxfId="13"/>
    <tableColumn id="20" xr3:uid="{5F7EB54E-C534-4C23-B865-4F45C9BC3150}" name="4.5.7" dataDxfId="12"/>
    <tableColumn id="18" xr3:uid="{43248CF6-6ECE-4A6A-A244-26845510C17F}" name="4.5.6" dataDxfId="11"/>
    <tableColumn id="17" xr3:uid="{56707050-4AFF-4435-995C-0E58287680F7}" name="4.5.5" dataDxfId="10"/>
    <tableColumn id="12" xr3:uid="{AB90D06F-1C45-4315-8A51-48C345E90855}" name="4.5.4" dataDxfId="9"/>
    <tableColumn id="15" xr3:uid="{B9AC4BDD-FFEE-4E1E-B09A-5F4E76A90645}" name="4.5.3" dataDxfId="8"/>
    <tableColumn id="11" xr3:uid="{645E99D1-EFBE-47D3-BC24-6D6039691C4D}" name="4.5.2" dataDxfId="7"/>
    <tableColumn id="13" xr3:uid="{25C2E0B7-C535-4946-ADEC-AED5165E42B6}" name="4.5.1" dataDxfId="6"/>
    <tableColumn id="16" xr3:uid="{BFB9B2E7-1561-4C91-8085-E74B0D3D223A}" name="4.5.0"/>
    <tableColumn id="2" xr3:uid="{6E88A3CC-FB6C-4130-AE62-F5F33DA0B94C}" name="4.4.1"/>
    <tableColumn id="3" xr3:uid="{C2BF8EFF-0704-4557-97CC-3EB54FB3F0DD}" name="4.4.0"/>
    <tableColumn id="4" xr3:uid="{C781ECD9-D7D5-47A0-80FE-A4F7F9B35A85}" name="4.3.0"/>
    <tableColumn id="5" xr3:uid="{2730EBF6-6269-4B65-862F-69EB438D7629}" name="4.2.2"/>
    <tableColumn id="6" xr3:uid="{D717213C-16D8-41ED-B36F-691C820625B6}" name="4.2.1"/>
    <tableColumn id="7" xr3:uid="{A11D98D8-74EC-4E2D-AC5F-C4354E4A867B}" name="4.2.0"/>
    <tableColumn id="8" xr3:uid="{893E7667-5123-4302-B39A-BF667788FCC4}" name="4.1.1"/>
    <tableColumn id="9" xr3:uid="{01F00FB8-8728-42A3-A533-ACA0DC2F8B36}" name="4.1.0"/>
    <tableColumn id="10" xr3:uid="{5619F52E-4C8D-4C69-B85C-084406C34FAF}" name="4.0.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3CD49E3-CE85-4FD0-9D08-8C98CC9A3960}" name="Table24" displayName="Table24" ref="A1:D25" totalsRowShown="0" headerRowDxfId="5" dataDxfId="4">
  <autoFilter ref="A1:D25" xr:uid="{30E345AE-60D8-4FC0-9B85-7074CA8BAA7C}"/>
  <tableColumns count="4">
    <tableColumn id="1" xr3:uid="{E3145E0A-0D85-4D56-8C66-CDED9CE35890}" name="SheetName" dataDxfId="3"/>
    <tableColumn id="2" xr3:uid="{B5F6A20F-CCBC-43AE-9AA6-FC78C94A45A6}" name="CellRange" dataDxfId="2"/>
    <tableColumn id="3" xr3:uid="{709536F8-F611-4BA8-8910-80D1EF960265}" name="CellName" dataDxfId="1"/>
    <tableColumn id="4" xr3:uid="{A318498D-55EA-4C2A-B369-5F0842CC395C}" name="Override"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C2" dT="2022-10-07T18:51:52.93" personId="{85357463-7F8C-4FDB-A9C3-D4E316089527}" id="{BCE4B31B-1ABE-438E-B041-1AC244538EDC}">
    <text>pole_id</text>
  </threadedComment>
</ThreadedComments>
</file>

<file path=xl/threadedComments/threadedComment2.xml><?xml version="1.0" encoding="utf-8"?>
<ThreadedComments xmlns="http://schemas.microsoft.com/office/spreadsheetml/2018/threadedcomments" xmlns:x="http://schemas.openxmlformats.org/spreadsheetml/2006/main">
  <threadedComment ref="A2" dT="2021-09-21T19:04:36.90" personId="{85357463-7F8C-4FDB-A9C3-D4E316089527}" id="{46B39D92-19CB-4397-95E8-9D246D60D031}">
    <text>Global ID</text>
  </threadedComment>
  <threadedComment ref="A2" dT="2022-10-07T18:51:41.11" personId="{85357463-7F8C-4FDB-A9C3-D4E316089527}" id="{71EE1108-3C5A-4556-8C18-CF03137185F4}" parentId="{46B39D92-19CB-4397-95E8-9D246D60D031}">
    <text>section_id</text>
  </threadedComment>
  <threadedComment ref="C2" dT="2021-09-21T19:04:45.08" personId="{85357463-7F8C-4FDB-A9C3-D4E316089527}" id="{8381BFB1-DE9F-4954-9C11-DAF6AD792013}">
    <text>Local tool ID</text>
  </threadedComment>
</ThreadedComments>
</file>

<file path=xl/threadedComments/threadedComment3.xml><?xml version="1.0" encoding="utf-8"?>
<ThreadedComments xmlns="http://schemas.microsoft.com/office/spreadsheetml/2018/threadedcomments" xmlns:x="http://schemas.openxmlformats.org/spreadsheetml/2006/main">
  <threadedComment ref="A2" dT="2021-09-21T19:04:36.90" personId="{85357463-7F8C-4FDB-A9C3-D4E316089527}" id="{70FAA5CF-FB98-4F4F-8577-3C0253E37701}">
    <text>Global ID</text>
  </threadedComment>
  <threadedComment ref="A2" dT="2022-10-07T18:52:09.22" personId="{85357463-7F8C-4FDB-A9C3-D4E316089527}" id="{5C133DF0-BD1A-4582-AAAD-26005FF9095F}" parentId="{70FAA5CF-FB98-4F4F-8577-3C0253E37701}">
    <text>section_id</text>
  </threadedComment>
  <threadedComment ref="C2" dT="2021-09-21T19:04:45.08" personId="{85357463-7F8C-4FDB-A9C3-D4E316089527}" id="{E7C5DD8E-D031-4E40-B3AE-38EE5D3ABE65}">
    <text>Local tool ID</text>
  </threadedComment>
</ThreadedComments>
</file>

<file path=xl/threadedComments/threadedComment4.xml><?xml version="1.0" encoding="utf-8"?>
<ThreadedComments xmlns="http://schemas.microsoft.com/office/spreadsheetml/2018/threadedcomments" xmlns:x="http://schemas.openxmlformats.org/spreadsheetml/2006/main">
  <threadedComment ref="A2" dT="2022-10-07T18:52:23.14" personId="{85357463-7F8C-4FDB-A9C3-D4E316089527}" id="{0DA719D1-3A79-4937-9B0A-4F704DB708A9}">
    <text>group_id</text>
  </threadedComment>
</ThreadedComments>
</file>

<file path=xl/threadedComments/threadedComment5.xml><?xml version="1.0" encoding="utf-8"?>
<ThreadedComments xmlns="http://schemas.microsoft.com/office/spreadsheetml/2018/threadedcomments" xmlns:x="http://schemas.openxmlformats.org/spreadsheetml/2006/main">
  <threadedComment ref="A2" dT="2022-10-07T18:52:39.98" personId="{85357463-7F8C-4FDB-A9C3-D4E316089527}" id="{F5D32514-A3B4-43A8-9C88-F6D0DA834D07}">
    <text>reinforcement_id</text>
  </threadedComment>
</ThreadedComments>
</file>

<file path=xl/threadedComments/threadedComment6.xml><?xml version="1.0" encoding="utf-8"?>
<ThreadedComments xmlns="http://schemas.microsoft.com/office/spreadsheetml/2018/threadedcomments" xmlns:x="http://schemas.openxmlformats.org/spreadsheetml/2006/main">
  <threadedComment ref="A2" dT="2022-10-07T18:52:53.96" personId="{85357463-7F8C-4FDB-A9C3-D4E316089527}" id="{F22A094E-DA0C-464E-B108-97D0457F9DDB}">
    <text>group_id</text>
  </threadedComment>
</ThreadedComments>
</file>

<file path=xl/threadedComments/threadedComment7.xml><?xml version="1.0" encoding="utf-8"?>
<ThreadedComments xmlns="http://schemas.microsoft.com/office/spreadsheetml/2018/threadedcomments" xmlns:x="http://schemas.openxmlformats.org/spreadsheetml/2006/main">
  <threadedComment ref="A2" dT="2022-10-07T18:53:07.31" personId="{85357463-7F8C-4FDB-A9C3-D4E316089527}" id="{75116590-CBF3-41F5-8B63-A95FE8FC44A7}">
    <text>interference_id</text>
  </threadedComment>
</ThreadedComments>
</file>

<file path=xl/threadedComments/threadedComment8.xml><?xml version="1.0" encoding="utf-8"?>
<ThreadedComments xmlns="http://schemas.microsoft.com/office/spreadsheetml/2018/threadedcomments" xmlns:x="http://schemas.openxmlformats.org/spreadsheetml/2006/main">
  <threadedComment ref="A2" dT="2022-10-07T18:54:08.04" personId="{85357463-7F8C-4FDB-A9C3-D4E316089527}" id="{AB6F940F-14FA-4EF7-BEDF-B8F0BF23CDEC}">
    <text>result_id</text>
  </threadedComment>
</ThreadedComments>
</file>

<file path=xl/threadedComments/threadedComment9.xml><?xml version="1.0" encoding="utf-8"?>
<ThreadedComments xmlns="http://schemas.microsoft.com/office/spreadsheetml/2018/threadedcomments" xmlns:x="http://schemas.openxmlformats.org/spreadsheetml/2006/main">
  <threadedComment ref="B2" dT="2021-10-26T18:36:08.46" personId="{85357463-7F8C-4FDB-A9C3-D4E316089527}" id="{B3799959-616C-429C-8C18-DD12B5D2E618}">
    <text>matl_id</text>
  </threadedComment>
</ThreadedComments>
</file>

<file path=xl/threadedComments/threadedComment10.xml><?xml version="1.0" encoding="utf-8"?>
<ThreadedComments xmlns="http://schemas.microsoft.com/office/spreadsheetml/2018/threadedcomments" xmlns:x="http://schemas.openxmlformats.org/spreadsheetml/2006/main">
  <threadedComment ref="B2" dT="2021-10-26T18:36:08.46" personId="{85357463-7F8C-4FDB-A9C3-D4E316089527}" id="{A4BB4E92-662F-4592-AD3C-EC75962C449E}">
    <text>bolt_id</text>
  </threadedComment>
</ThreadedComments>
</file>

<file path=xl/threadedComments/threadedComment11.xml><?xml version="1.0" encoding="utf-8"?>
<ThreadedComments xmlns="http://schemas.microsoft.com/office/spreadsheetml/2018/threadedcomments" xmlns:x="http://schemas.openxmlformats.org/spreadsheetml/2006/main">
  <threadedComment ref="B2" dT="2021-10-26T18:36:08.46" personId="{85357463-7F8C-4FDB-A9C3-D4E316089527}" id="{1CF2249B-0A9F-4B42-8E73-C26FCAC60011}">
    <text>reinf_id</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17.emf"/><Relationship Id="rId3" Type="http://schemas.openxmlformats.org/officeDocument/2006/relationships/vmlDrawing" Target="../drawings/vmlDrawing3.vml"/><Relationship Id="rId7" Type="http://schemas.openxmlformats.org/officeDocument/2006/relationships/image" Target="../media/image14.emf"/><Relationship Id="rId12" Type="http://schemas.openxmlformats.org/officeDocument/2006/relationships/control" Target="../activeX/activeX5.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2.xml"/><Relationship Id="rId11" Type="http://schemas.openxmlformats.org/officeDocument/2006/relationships/image" Target="../media/image16.emf"/><Relationship Id="rId5" Type="http://schemas.openxmlformats.org/officeDocument/2006/relationships/image" Target="../media/image13.emf"/><Relationship Id="rId15" Type="http://schemas.openxmlformats.org/officeDocument/2006/relationships/comments" Target="../comments1.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15.emf"/><Relationship Id="rId14" Type="http://schemas.openxmlformats.org/officeDocument/2006/relationships/table" Target="../tables/table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printerSettings" Target="../printerSettings/printerSettings5.bin"/><Relationship Id="rId1" Type="http://schemas.openxmlformats.org/officeDocument/2006/relationships/hyperlink" Target="https://intranet.crowncastle.com/departments/functional/engops/resourcecenter/DocumentRepository/ENG-STD-10183%20Blind%20Fasteners.pdf"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omments" Target="../comments2.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8.xml"/><Relationship Id="rId13" Type="http://schemas.openxmlformats.org/officeDocument/2006/relationships/image" Target="../media/image22.emf"/><Relationship Id="rId1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9.emf"/><Relationship Id="rId12" Type="http://schemas.openxmlformats.org/officeDocument/2006/relationships/control" Target="../activeX/activeX10.xml"/><Relationship Id="rId17" Type="http://schemas.openxmlformats.org/officeDocument/2006/relationships/image" Target="../media/image24.emf"/><Relationship Id="rId2" Type="http://schemas.openxmlformats.org/officeDocument/2006/relationships/drawing" Target="../drawings/drawing6.xml"/><Relationship Id="rId16" Type="http://schemas.openxmlformats.org/officeDocument/2006/relationships/control" Target="../activeX/activeX12.xml"/><Relationship Id="rId1" Type="http://schemas.openxmlformats.org/officeDocument/2006/relationships/printerSettings" Target="../printerSettings/printerSettings7.bin"/><Relationship Id="rId6" Type="http://schemas.openxmlformats.org/officeDocument/2006/relationships/control" Target="../activeX/activeX7.xml"/><Relationship Id="rId11" Type="http://schemas.openxmlformats.org/officeDocument/2006/relationships/image" Target="../media/image21.emf"/><Relationship Id="rId5" Type="http://schemas.openxmlformats.org/officeDocument/2006/relationships/image" Target="../media/image18.emf"/><Relationship Id="rId15" Type="http://schemas.openxmlformats.org/officeDocument/2006/relationships/image" Target="../media/image23.emf"/><Relationship Id="rId10" Type="http://schemas.openxmlformats.org/officeDocument/2006/relationships/control" Target="../activeX/activeX9.xml"/><Relationship Id="rId19" Type="http://schemas.openxmlformats.org/officeDocument/2006/relationships/image" Target="../media/image25.emf"/><Relationship Id="rId4" Type="http://schemas.openxmlformats.org/officeDocument/2006/relationships/control" Target="../activeX/activeX6.xml"/><Relationship Id="rId9" Type="http://schemas.openxmlformats.org/officeDocument/2006/relationships/image" Target="../media/image20.emf"/><Relationship Id="rId14" Type="http://schemas.openxmlformats.org/officeDocument/2006/relationships/control" Target="../activeX/activeX1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queryTable" Target="../queryTables/queryTable3.xml"/><Relationship Id="rId2" Type="http://schemas.openxmlformats.org/officeDocument/2006/relationships/queryTable" Target="../queryTables/queryTable2.xml"/><Relationship Id="rId1" Type="http://schemas.openxmlformats.org/officeDocument/2006/relationships/queryTable" Target="../queryTables/queryTable1.xml"/><Relationship Id="rId4" Type="http://schemas.openxmlformats.org/officeDocument/2006/relationships/queryTable" Target="../queryTables/queryTable4.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3.xml"/><Relationship Id="rId1" Type="http://schemas.openxmlformats.org/officeDocument/2006/relationships/vmlDrawing" Target="../drawings/vmlDrawing6.vml"/></Relationships>
</file>

<file path=xl/worksheets/_rels/sheet2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4.xml"/><Relationship Id="rId1" Type="http://schemas.openxmlformats.org/officeDocument/2006/relationships/vmlDrawing" Target="../drawings/vmlDrawing7.vml"/></Relationships>
</file>

<file path=xl/worksheets/_rels/sheet24.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5.xml"/><Relationship Id="rId1" Type="http://schemas.openxmlformats.org/officeDocument/2006/relationships/vmlDrawing" Target="../drawings/vmlDrawing8.vml"/></Relationships>
</file>

<file path=xl/worksheets/_rels/sheet25.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7.bin"/><Relationship Id="rId4" Type="http://schemas.microsoft.com/office/2017/10/relationships/threadedComment" Target="../threadedComments/threadedComment4.xml"/></Relationships>
</file>

<file path=xl/worksheets/_rels/sheet26.xml.rels><?xml version="1.0" encoding="UTF-8" standalone="yes"?>
<Relationships xmlns="http://schemas.openxmlformats.org/package/2006/relationships"><Relationship Id="rId3" Type="http://schemas.microsoft.com/office/2017/10/relationships/threadedComment" Target="../threadedComments/threadedComment5.xml"/><Relationship Id="rId2" Type="http://schemas.openxmlformats.org/officeDocument/2006/relationships/comments" Target="../comments7.xml"/><Relationship Id="rId1" Type="http://schemas.openxmlformats.org/officeDocument/2006/relationships/vmlDrawing" Target="../drawings/vmlDrawing10.vml"/></Relationships>
</file>

<file path=xl/worksheets/_rels/sheet27.xml.rels><?xml version="1.0" encoding="UTF-8" standalone="yes"?>
<Relationships xmlns="http://schemas.openxmlformats.org/package/2006/relationships"><Relationship Id="rId3" Type="http://schemas.microsoft.com/office/2017/10/relationships/threadedComment" Target="../threadedComments/threadedComment6.xml"/><Relationship Id="rId2" Type="http://schemas.openxmlformats.org/officeDocument/2006/relationships/comments" Target="../comments8.xml"/><Relationship Id="rId1" Type="http://schemas.openxmlformats.org/officeDocument/2006/relationships/vmlDrawing" Target="../drawings/vmlDrawing11.vml"/></Relationships>
</file>

<file path=xl/worksheets/_rels/sheet28.xml.rels><?xml version="1.0" encoding="UTF-8" standalone="yes"?>
<Relationships xmlns="http://schemas.openxmlformats.org/package/2006/relationships"><Relationship Id="rId3" Type="http://schemas.microsoft.com/office/2017/10/relationships/threadedComment" Target="../threadedComments/threadedComment7.xml"/><Relationship Id="rId2" Type="http://schemas.openxmlformats.org/officeDocument/2006/relationships/comments" Target="../comments9.xml"/><Relationship Id="rId1" Type="http://schemas.openxmlformats.org/officeDocument/2006/relationships/vmlDrawing" Target="../drawings/vmlDrawing12.vml"/></Relationships>
</file>

<file path=xl/worksheets/_rels/sheet3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3.vml"/><Relationship Id="rId1" Type="http://schemas.openxmlformats.org/officeDocument/2006/relationships/printerSettings" Target="../printerSettings/printerSettings18.bin"/><Relationship Id="rId4" Type="http://schemas.microsoft.com/office/2017/10/relationships/threadedComment" Target="../threadedComments/threadedComment8.xml"/></Relationships>
</file>

<file path=xl/worksheets/_rels/sheet3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4.vml"/><Relationship Id="rId1" Type="http://schemas.openxmlformats.org/officeDocument/2006/relationships/printerSettings" Target="../printerSettings/printerSettings19.bin"/><Relationship Id="rId4" Type="http://schemas.microsoft.com/office/2017/10/relationships/threadedComment" Target="../threadedComments/threadedComment9.xml"/></Relationships>
</file>

<file path=xl/worksheets/_rels/sheet3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5.vml"/><Relationship Id="rId1" Type="http://schemas.openxmlformats.org/officeDocument/2006/relationships/printerSettings" Target="../printerSettings/printerSettings20.bin"/><Relationship Id="rId4" Type="http://schemas.microsoft.com/office/2017/10/relationships/threadedComment" Target="../threadedComments/threadedComment10.xml"/></Relationships>
</file>

<file path=xl/worksheets/_rels/sheet33.xml.rels><?xml version="1.0" encoding="UTF-8" standalone="yes"?>
<Relationships xmlns="http://schemas.openxmlformats.org/package/2006/relationships"><Relationship Id="rId3" Type="http://schemas.microsoft.com/office/2017/10/relationships/threadedComment" Target="../threadedComments/threadedComment11.xml"/><Relationship Id="rId2" Type="http://schemas.openxmlformats.org/officeDocument/2006/relationships/comments" Target="../comments13.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A1:BG173"/>
  <sheetViews>
    <sheetView showGridLines="0" tabSelected="1" zoomScaleNormal="100" workbookViewId="0">
      <selection activeCell="R5" sqref="R5:W5"/>
    </sheetView>
  </sheetViews>
  <sheetFormatPr defaultColWidth="9.140625" defaultRowHeight="12.75" x14ac:dyDescent="0.2"/>
  <cols>
    <col min="1" max="1" width="11.85546875" style="66" customWidth="1"/>
    <col min="2" max="79" width="3.7109375" style="1" customWidth="1"/>
    <col min="80" max="175" width="9.140625" style="1" customWidth="1"/>
    <col min="176" max="16384" width="9.140625" style="1"/>
  </cols>
  <sheetData>
    <row r="1" spans="2:59" x14ac:dyDescent="0.2">
      <c r="M1" s="700"/>
      <c r="N1" s="701"/>
      <c r="O1" s="701"/>
      <c r="P1" s="701"/>
      <c r="Q1" s="701"/>
      <c r="R1" s="701"/>
      <c r="S1" s="701"/>
      <c r="T1" s="701"/>
      <c r="U1" s="701"/>
      <c r="V1" s="701"/>
      <c r="W1" s="701"/>
      <c r="X1" s="701"/>
      <c r="Y1" s="701"/>
      <c r="Z1" s="701"/>
    </row>
    <row r="2" spans="2:59" ht="21" customHeight="1" x14ac:dyDescent="0.2">
      <c r="M2" s="701"/>
      <c r="N2" s="701"/>
      <c r="O2" s="701"/>
      <c r="P2" s="701"/>
      <c r="Q2" s="701"/>
      <c r="R2" s="701"/>
      <c r="S2" s="701"/>
      <c r="T2" s="701"/>
      <c r="U2" s="701"/>
      <c r="V2" s="701"/>
      <c r="W2" s="701"/>
      <c r="X2" s="701"/>
      <c r="Y2" s="701"/>
      <c r="Z2" s="701"/>
    </row>
    <row r="3" spans="2:59" ht="25.9" customHeight="1" x14ac:dyDescent="0.45">
      <c r="R3" s="63"/>
      <c r="S3" s="63"/>
      <c r="T3" s="63"/>
      <c r="U3" s="458" t="s">
        <v>1009</v>
      </c>
      <c r="V3" s="26"/>
      <c r="W3" s="26"/>
      <c r="X3" s="26"/>
      <c r="AP3" s="64"/>
    </row>
    <row r="4" spans="2:59" ht="22.9" customHeight="1" x14ac:dyDescent="0.25">
      <c r="Q4" s="7" t="s">
        <v>114</v>
      </c>
      <c r="R4" s="695"/>
      <c r="S4" s="696"/>
      <c r="T4" s="696"/>
      <c r="U4" s="696"/>
      <c r="V4" s="696"/>
      <c r="W4" s="696"/>
      <c r="AT4"/>
      <c r="BG4" s="66" t="s">
        <v>973</v>
      </c>
    </row>
    <row r="5" spans="2:59" ht="17.25" customHeight="1" x14ac:dyDescent="0.2">
      <c r="I5" s="21"/>
      <c r="N5" s="21"/>
      <c r="Q5" s="7" t="s">
        <v>107</v>
      </c>
      <c r="R5" s="697"/>
      <c r="S5" s="698"/>
      <c r="T5" s="698"/>
      <c r="U5" s="698"/>
      <c r="V5" s="698"/>
      <c r="W5" s="698"/>
    </row>
    <row r="6" spans="2:59" ht="20.100000000000001" customHeight="1" x14ac:dyDescent="0.25">
      <c r="B6" s="27" t="s">
        <v>12</v>
      </c>
      <c r="C6" s="23"/>
      <c r="D6" s="23"/>
      <c r="E6" s="2"/>
      <c r="F6" s="2"/>
      <c r="G6" s="2"/>
      <c r="H6" s="2"/>
      <c r="I6" s="2"/>
      <c r="J6" s="2"/>
      <c r="K6" s="109"/>
      <c r="L6" s="2"/>
      <c r="M6" s="2"/>
      <c r="N6" s="2"/>
      <c r="O6" s="2"/>
      <c r="P6" s="2"/>
      <c r="Q6" s="2"/>
      <c r="R6" s="2"/>
      <c r="S6" s="2"/>
      <c r="T6" s="2"/>
      <c r="U6" s="2"/>
      <c r="V6" s="2"/>
      <c r="W6" s="2"/>
      <c r="X6" s="2"/>
      <c r="Y6" s="2"/>
      <c r="Z6" s="2"/>
      <c r="AF6" s="168"/>
      <c r="AL6" s="169" t="s">
        <v>858</v>
      </c>
      <c r="AZ6" s="109"/>
    </row>
    <row r="7" spans="2:59" ht="28.15" customHeight="1" x14ac:dyDescent="0.2">
      <c r="B7" s="3"/>
      <c r="C7" s="685" t="s">
        <v>0</v>
      </c>
      <c r="D7" s="685"/>
      <c r="E7" s="685"/>
      <c r="F7" s="685"/>
      <c r="G7" s="685" t="s">
        <v>1002</v>
      </c>
      <c r="H7" s="685"/>
      <c r="I7" s="685"/>
      <c r="J7" s="685"/>
      <c r="K7" s="685" t="s">
        <v>11</v>
      </c>
      <c r="L7" s="685"/>
      <c r="M7" s="685"/>
      <c r="N7" s="685"/>
      <c r="O7" s="685" t="s">
        <v>2</v>
      </c>
      <c r="P7" s="685"/>
      <c r="Q7" s="685"/>
      <c r="R7" s="685"/>
      <c r="S7" s="685" t="s">
        <v>1003</v>
      </c>
      <c r="T7" s="685"/>
      <c r="U7" s="685"/>
      <c r="V7" s="685"/>
      <c r="W7" s="685" t="s">
        <v>4</v>
      </c>
      <c r="X7" s="685"/>
      <c r="Y7" s="685"/>
      <c r="Z7" s="685"/>
      <c r="AA7" s="655" t="s">
        <v>5</v>
      </c>
      <c r="AB7" s="657"/>
      <c r="AC7" s="657"/>
      <c r="AD7" s="656"/>
      <c r="AE7" s="655" t="s">
        <v>1004</v>
      </c>
      <c r="AF7" s="657"/>
      <c r="AG7" s="657"/>
      <c r="AH7" s="656"/>
      <c r="AI7" s="685" t="s">
        <v>206</v>
      </c>
      <c r="AJ7" s="685"/>
      <c r="AK7" s="685"/>
      <c r="AL7" s="685"/>
      <c r="AR7" s="1" t="s">
        <v>476</v>
      </c>
    </row>
    <row r="8" spans="2:59" ht="15" x14ac:dyDescent="0.25">
      <c r="B8" s="4" t="str">
        <f>IF(G8="","",1)</f>
        <v/>
      </c>
      <c r="C8" s="680" t="str">
        <f>IF(G8="","",IF(C9="",0,C9)+G8-K8)</f>
        <v/>
      </c>
      <c r="D8" s="680"/>
      <c r="E8" s="680"/>
      <c r="F8" s="680"/>
      <c r="G8" s="673"/>
      <c r="H8" s="673"/>
      <c r="I8" s="673"/>
      <c r="J8" s="673"/>
      <c r="K8" s="673"/>
      <c r="L8" s="673"/>
      <c r="M8" s="673"/>
      <c r="N8" s="673"/>
      <c r="O8" s="673"/>
      <c r="P8" s="673"/>
      <c r="Q8" s="673"/>
      <c r="R8" s="673"/>
      <c r="S8" s="689"/>
      <c r="T8" s="690"/>
      <c r="U8" s="690"/>
      <c r="V8" s="691"/>
      <c r="W8" s="673"/>
      <c r="X8" s="673"/>
      <c r="Y8" s="673"/>
      <c r="Z8" s="673"/>
      <c r="AA8" s="673"/>
      <c r="AB8" s="673"/>
      <c r="AC8" s="673"/>
      <c r="AD8" s="673"/>
      <c r="AE8" s="692" t="str">
        <f>IF(O8&lt;&gt;0,"Auto","")</f>
        <v/>
      </c>
      <c r="AF8" s="693"/>
      <c r="AG8" s="693"/>
      <c r="AH8" s="694"/>
      <c r="AI8" s="673"/>
      <c r="AJ8" s="673"/>
      <c r="AK8" s="673"/>
      <c r="AL8" s="673"/>
      <c r="AM8" s="12"/>
      <c r="AO8" s="219" t="s">
        <v>652</v>
      </c>
      <c r="AR8" s="706"/>
      <c r="AS8" s="707"/>
      <c r="AT8" s="220" t="s">
        <v>653</v>
      </c>
      <c r="AV8" s="220" t="s">
        <v>655</v>
      </c>
      <c r="AW8" s="65"/>
      <c r="AX8" s="65"/>
      <c r="AY8" s="65"/>
      <c r="AZ8" s="627"/>
      <c r="BA8" s="628"/>
      <c r="BB8" s="565" t="s">
        <v>1008</v>
      </c>
      <c r="BC8" s="65"/>
    </row>
    <row r="9" spans="2:59" hidden="1" x14ac:dyDescent="0.2">
      <c r="B9" s="4" t="str">
        <f>IF(G9="","",B8+1)</f>
        <v/>
      </c>
      <c r="C9" s="680" t="str">
        <f>IF(G9="","",IF(C10="",0,C10)+G9-K9)</f>
        <v/>
      </c>
      <c r="D9" s="680"/>
      <c r="E9" s="680"/>
      <c r="F9" s="680"/>
      <c r="G9" s="673"/>
      <c r="H9" s="673"/>
      <c r="I9" s="673"/>
      <c r="J9" s="673"/>
      <c r="K9" s="673"/>
      <c r="L9" s="673"/>
      <c r="M9" s="673"/>
      <c r="N9" s="673"/>
      <c r="O9" s="673"/>
      <c r="P9" s="673"/>
      <c r="Q9" s="673"/>
      <c r="R9" s="673"/>
      <c r="S9" s="686" t="str">
        <f>IF(G9="","",IF(O9=0,W9,W8-K8*12*VLOOKUP(C8,'Geometry 2'!$C$5:$AJ$14,34,FALSE)-IF(OR(K8="",K8=0),0,2)*AA8))</f>
        <v/>
      </c>
      <c r="T9" s="687"/>
      <c r="U9" s="687"/>
      <c r="V9" s="688"/>
      <c r="W9" s="673"/>
      <c r="X9" s="673"/>
      <c r="Y9" s="673"/>
      <c r="Z9" s="673"/>
      <c r="AA9" s="673"/>
      <c r="AB9" s="673"/>
      <c r="AC9" s="673"/>
      <c r="AD9" s="673"/>
      <c r="AE9" s="692" t="str">
        <f t="shared" ref="AE9:AE17" si="0">IF(O9&lt;&gt;0,"Auto","")</f>
        <v/>
      </c>
      <c r="AF9" s="693"/>
      <c r="AG9" s="693"/>
      <c r="AH9" s="694"/>
      <c r="AI9" s="673"/>
      <c r="AJ9" s="673"/>
      <c r="AK9" s="673"/>
      <c r="AL9" s="673"/>
      <c r="AM9" s="12"/>
    </row>
    <row r="10" spans="2:59" hidden="1" x14ac:dyDescent="0.2">
      <c r="B10" s="4" t="str">
        <f t="shared" ref="B10:B17" si="1">IF(G10="","",B9+1)</f>
        <v/>
      </c>
      <c r="C10" s="680" t="str">
        <f>IF(G10="","",IF(C11="",0,C11)+G10-K10)</f>
        <v/>
      </c>
      <c r="D10" s="680"/>
      <c r="E10" s="680"/>
      <c r="F10" s="680"/>
      <c r="G10" s="673"/>
      <c r="H10" s="673"/>
      <c r="I10" s="673"/>
      <c r="J10" s="673"/>
      <c r="K10" s="673"/>
      <c r="L10" s="673"/>
      <c r="M10" s="673"/>
      <c r="N10" s="673"/>
      <c r="O10" s="673"/>
      <c r="P10" s="673"/>
      <c r="Q10" s="673"/>
      <c r="R10" s="673"/>
      <c r="S10" s="686" t="str">
        <f>IF(G10="","",IF(O10=0,W10,W9-K9*12*VLOOKUP(C9,'Geometry 2'!$C$5:$AJ$14,34,FALSE)-IF(OR(K9="",K9=0),0,2)*AA9))</f>
        <v/>
      </c>
      <c r="T10" s="687"/>
      <c r="U10" s="687"/>
      <c r="V10" s="688"/>
      <c r="W10" s="673"/>
      <c r="X10" s="673"/>
      <c r="Y10" s="673"/>
      <c r="Z10" s="673"/>
      <c r="AA10" s="673"/>
      <c r="AB10" s="673"/>
      <c r="AC10" s="673"/>
      <c r="AD10" s="673"/>
      <c r="AE10" s="692" t="str">
        <f t="shared" si="0"/>
        <v/>
      </c>
      <c r="AF10" s="693"/>
      <c r="AG10" s="693"/>
      <c r="AH10" s="694"/>
      <c r="AI10" s="673"/>
      <c r="AJ10" s="673"/>
      <c r="AK10" s="673"/>
      <c r="AL10" s="673"/>
      <c r="AM10" s="12"/>
      <c r="AP10" s="24"/>
    </row>
    <row r="11" spans="2:59" hidden="1" x14ac:dyDescent="0.2">
      <c r="B11" s="4" t="str">
        <f t="shared" si="1"/>
        <v/>
      </c>
      <c r="C11" s="680" t="str">
        <f t="shared" ref="C11:C16" si="2">IF(G11="","",IF(C12="",0,C12)+G11-K11)</f>
        <v/>
      </c>
      <c r="D11" s="680"/>
      <c r="E11" s="680"/>
      <c r="F11" s="680"/>
      <c r="G11" s="673"/>
      <c r="H11" s="673"/>
      <c r="I11" s="673"/>
      <c r="J11" s="673"/>
      <c r="K11" s="673"/>
      <c r="L11" s="673"/>
      <c r="M11" s="673"/>
      <c r="N11" s="673"/>
      <c r="O11" s="673"/>
      <c r="P11" s="673"/>
      <c r="Q11" s="673"/>
      <c r="R11" s="673"/>
      <c r="S11" s="686" t="str">
        <f>IF(G11="","",IF(O11=0,W11,W10-K10*12*VLOOKUP(C10,'Geometry 2'!$C$5:$AJ$14,34,FALSE)-IF(OR(K10="",K10=0),0,2)*AA10))</f>
        <v/>
      </c>
      <c r="T11" s="687"/>
      <c r="U11" s="687"/>
      <c r="V11" s="688"/>
      <c r="W11" s="673"/>
      <c r="X11" s="673"/>
      <c r="Y11" s="673"/>
      <c r="Z11" s="673"/>
      <c r="AA11" s="673"/>
      <c r="AB11" s="673"/>
      <c r="AC11" s="673"/>
      <c r="AD11" s="673"/>
      <c r="AE11" s="692" t="str">
        <f t="shared" si="0"/>
        <v/>
      </c>
      <c r="AF11" s="693"/>
      <c r="AG11" s="693"/>
      <c r="AH11" s="694"/>
      <c r="AI11" s="673"/>
      <c r="AJ11" s="673"/>
      <c r="AK11" s="673"/>
      <c r="AL11" s="673"/>
      <c r="AM11" s="12"/>
      <c r="AP11"/>
    </row>
    <row r="12" spans="2:59" ht="15" hidden="1" customHeight="1" x14ac:dyDescent="0.2">
      <c r="B12" s="4" t="str">
        <f t="shared" si="1"/>
        <v/>
      </c>
      <c r="C12" s="680" t="str">
        <f t="shared" si="2"/>
        <v/>
      </c>
      <c r="D12" s="680"/>
      <c r="E12" s="680"/>
      <c r="F12" s="680"/>
      <c r="G12" s="673"/>
      <c r="H12" s="673"/>
      <c r="I12" s="673"/>
      <c r="J12" s="673"/>
      <c r="K12" s="673"/>
      <c r="L12" s="673"/>
      <c r="M12" s="673"/>
      <c r="N12" s="673"/>
      <c r="O12" s="673"/>
      <c r="P12" s="673"/>
      <c r="Q12" s="673"/>
      <c r="R12" s="673"/>
      <c r="S12" s="686" t="str">
        <f>IF(G12="","",IF(O12=0,W12,W11-K11*12*VLOOKUP(C11,'Geometry 2'!$C$5:$AJ$14,34,FALSE)-IF(OR(K11="",K11=0),0,2)*AA11))</f>
        <v/>
      </c>
      <c r="T12" s="687"/>
      <c r="U12" s="687"/>
      <c r="V12" s="688"/>
      <c r="W12" s="673"/>
      <c r="X12" s="673"/>
      <c r="Y12" s="673"/>
      <c r="Z12" s="673"/>
      <c r="AA12" s="673"/>
      <c r="AB12" s="673"/>
      <c r="AC12" s="673"/>
      <c r="AD12" s="673"/>
      <c r="AE12" s="692" t="str">
        <f t="shared" si="0"/>
        <v/>
      </c>
      <c r="AF12" s="693"/>
      <c r="AG12" s="693"/>
      <c r="AH12" s="694"/>
      <c r="AI12" s="673"/>
      <c r="AJ12" s="673"/>
      <c r="AK12" s="673"/>
      <c r="AL12" s="673"/>
      <c r="AM12" s="12"/>
      <c r="AP12"/>
    </row>
    <row r="13" spans="2:59" ht="15" hidden="1" customHeight="1" x14ac:dyDescent="0.2">
      <c r="B13" s="4" t="str">
        <f t="shared" si="1"/>
        <v/>
      </c>
      <c r="C13" s="680" t="str">
        <f t="shared" si="2"/>
        <v/>
      </c>
      <c r="D13" s="680"/>
      <c r="E13" s="680"/>
      <c r="F13" s="680"/>
      <c r="G13" s="673"/>
      <c r="H13" s="673"/>
      <c r="I13" s="673"/>
      <c r="J13" s="673"/>
      <c r="K13" s="673"/>
      <c r="L13" s="673"/>
      <c r="M13" s="673"/>
      <c r="N13" s="673"/>
      <c r="O13" s="673"/>
      <c r="P13" s="673"/>
      <c r="Q13" s="673"/>
      <c r="R13" s="673"/>
      <c r="S13" s="686" t="str">
        <f>IF(G13="","",IF(O13=0,W13,W12-K12*12*VLOOKUP(C12,'Geometry 2'!$C$5:$AJ$14,34,FALSE)-IF(OR(K12="",K12=0),0,2)*AA12))</f>
        <v/>
      </c>
      <c r="T13" s="687"/>
      <c r="U13" s="687"/>
      <c r="V13" s="688"/>
      <c r="W13" s="673"/>
      <c r="X13" s="673"/>
      <c r="Y13" s="673"/>
      <c r="Z13" s="673"/>
      <c r="AA13" s="673"/>
      <c r="AB13" s="673"/>
      <c r="AC13" s="673"/>
      <c r="AD13" s="673"/>
      <c r="AE13" s="692" t="str">
        <f t="shared" si="0"/>
        <v/>
      </c>
      <c r="AF13" s="693"/>
      <c r="AG13" s="693"/>
      <c r="AH13" s="694"/>
      <c r="AI13" s="673"/>
      <c r="AJ13" s="673"/>
      <c r="AK13" s="673"/>
      <c r="AL13" s="673"/>
      <c r="AM13" s="12"/>
      <c r="AP13"/>
    </row>
    <row r="14" spans="2:59" ht="15" hidden="1" customHeight="1" x14ac:dyDescent="0.2">
      <c r="B14" s="4" t="str">
        <f t="shared" si="1"/>
        <v/>
      </c>
      <c r="C14" s="680" t="str">
        <f t="shared" si="2"/>
        <v/>
      </c>
      <c r="D14" s="680"/>
      <c r="E14" s="680"/>
      <c r="F14" s="680"/>
      <c r="G14" s="673"/>
      <c r="H14" s="673"/>
      <c r="I14" s="673"/>
      <c r="J14" s="673"/>
      <c r="K14" s="673"/>
      <c r="L14" s="673"/>
      <c r="M14" s="673"/>
      <c r="N14" s="673"/>
      <c r="O14" s="673"/>
      <c r="P14" s="673"/>
      <c r="Q14" s="673"/>
      <c r="R14" s="673"/>
      <c r="S14" s="686" t="str">
        <f>IF(G14="","",IF(O14=0,W14,W13-K13*12*VLOOKUP(C13,'Geometry 2'!$C$5:$AJ$14,34,FALSE)-IF(OR(K13="",K13=0),0,2)*AA13))</f>
        <v/>
      </c>
      <c r="T14" s="687"/>
      <c r="U14" s="687"/>
      <c r="V14" s="688"/>
      <c r="W14" s="673"/>
      <c r="X14" s="673"/>
      <c r="Y14" s="673"/>
      <c r="Z14" s="673"/>
      <c r="AA14" s="673"/>
      <c r="AB14" s="673"/>
      <c r="AC14" s="673"/>
      <c r="AD14" s="673"/>
      <c r="AE14" s="692" t="str">
        <f t="shared" si="0"/>
        <v/>
      </c>
      <c r="AF14" s="693"/>
      <c r="AG14" s="693"/>
      <c r="AH14" s="694"/>
      <c r="AI14" s="673"/>
      <c r="AJ14" s="673"/>
      <c r="AK14" s="673"/>
      <c r="AL14" s="673"/>
      <c r="AM14" s="12"/>
      <c r="AP14"/>
    </row>
    <row r="15" spans="2:59" ht="15" hidden="1" customHeight="1" x14ac:dyDescent="0.2">
      <c r="B15" s="4" t="str">
        <f t="shared" si="1"/>
        <v/>
      </c>
      <c r="C15" s="680" t="str">
        <f t="shared" si="2"/>
        <v/>
      </c>
      <c r="D15" s="680"/>
      <c r="E15" s="680"/>
      <c r="F15" s="680"/>
      <c r="G15" s="673"/>
      <c r="H15" s="673"/>
      <c r="I15" s="673"/>
      <c r="J15" s="673"/>
      <c r="K15" s="673"/>
      <c r="L15" s="673"/>
      <c r="M15" s="673"/>
      <c r="N15" s="673"/>
      <c r="O15" s="673"/>
      <c r="P15" s="673"/>
      <c r="Q15" s="673"/>
      <c r="R15" s="673"/>
      <c r="S15" s="686" t="str">
        <f>IF(G15="","",IF(O15=0,W15,W14-K14*12*VLOOKUP(C14,'Geometry 2'!$C$5:$AJ$14,34,FALSE)-IF(OR(K14="",K14=0),0,2)*AA14))</f>
        <v/>
      </c>
      <c r="T15" s="687"/>
      <c r="U15" s="687"/>
      <c r="V15" s="688"/>
      <c r="W15" s="673"/>
      <c r="X15" s="673"/>
      <c r="Y15" s="673"/>
      <c r="Z15" s="673"/>
      <c r="AA15" s="673"/>
      <c r="AB15" s="673"/>
      <c r="AC15" s="673"/>
      <c r="AD15" s="673"/>
      <c r="AE15" s="692" t="str">
        <f t="shared" si="0"/>
        <v/>
      </c>
      <c r="AF15" s="693"/>
      <c r="AG15" s="693"/>
      <c r="AH15" s="694"/>
      <c r="AI15" s="673"/>
      <c r="AJ15" s="673"/>
      <c r="AK15" s="673"/>
      <c r="AL15" s="673"/>
      <c r="AM15" s="12"/>
      <c r="AP15"/>
    </row>
    <row r="16" spans="2:59" ht="15" hidden="1" customHeight="1" x14ac:dyDescent="0.2">
      <c r="B16" s="4" t="str">
        <f t="shared" si="1"/>
        <v/>
      </c>
      <c r="C16" s="680" t="str">
        <f t="shared" si="2"/>
        <v/>
      </c>
      <c r="D16" s="680"/>
      <c r="E16" s="680"/>
      <c r="F16" s="680"/>
      <c r="G16" s="673"/>
      <c r="H16" s="673"/>
      <c r="I16" s="673"/>
      <c r="J16" s="673"/>
      <c r="K16" s="673"/>
      <c r="L16" s="673"/>
      <c r="M16" s="673"/>
      <c r="N16" s="673"/>
      <c r="O16" s="673"/>
      <c r="P16" s="673"/>
      <c r="Q16" s="673"/>
      <c r="R16" s="673"/>
      <c r="S16" s="686" t="str">
        <f>IF(G16="","",IF(O16=0,W16,W15-K15*12*VLOOKUP(C15,'Geometry 2'!$C$5:$AJ$14,34,FALSE)-IF(OR(K15="",K15=0),0,2)*AA15))</f>
        <v/>
      </c>
      <c r="T16" s="687"/>
      <c r="U16" s="687"/>
      <c r="V16" s="688"/>
      <c r="W16" s="673"/>
      <c r="X16" s="673"/>
      <c r="Y16" s="673"/>
      <c r="Z16" s="673"/>
      <c r="AA16" s="673"/>
      <c r="AB16" s="673"/>
      <c r="AC16" s="673"/>
      <c r="AD16" s="673"/>
      <c r="AE16" s="692" t="str">
        <f t="shared" si="0"/>
        <v/>
      </c>
      <c r="AF16" s="693"/>
      <c r="AG16" s="693"/>
      <c r="AH16" s="694"/>
      <c r="AI16" s="673"/>
      <c r="AJ16" s="673"/>
      <c r="AK16" s="673"/>
      <c r="AL16" s="673"/>
      <c r="AM16" s="12"/>
      <c r="AP16"/>
    </row>
    <row r="17" spans="2:51" hidden="1" x14ac:dyDescent="0.2">
      <c r="B17" s="4" t="str">
        <f t="shared" si="1"/>
        <v/>
      </c>
      <c r="C17" s="680" t="str">
        <f>IF(G17="","",G17-K17)</f>
        <v/>
      </c>
      <c r="D17" s="680"/>
      <c r="E17" s="680"/>
      <c r="F17" s="680"/>
      <c r="G17" s="673"/>
      <c r="H17" s="673"/>
      <c r="I17" s="673"/>
      <c r="J17" s="673"/>
      <c r="K17" s="673"/>
      <c r="L17" s="673"/>
      <c r="M17" s="673"/>
      <c r="N17" s="673"/>
      <c r="O17" s="673"/>
      <c r="P17" s="673"/>
      <c r="Q17" s="673"/>
      <c r="R17" s="673"/>
      <c r="S17" s="686" t="str">
        <f>IF(G17="","",IF(O17=0,W17,W16-K16*12*VLOOKUP(C16,'Geometry 2'!$C$5:$AJ$14,34,FALSE)-IF(OR(K16="",K16=0),0,2)*AA16))</f>
        <v/>
      </c>
      <c r="T17" s="687"/>
      <c r="U17" s="687"/>
      <c r="V17" s="688"/>
      <c r="W17" s="673"/>
      <c r="X17" s="673"/>
      <c r="Y17" s="673"/>
      <c r="Z17" s="673"/>
      <c r="AA17" s="673"/>
      <c r="AB17" s="673"/>
      <c r="AC17" s="673"/>
      <c r="AD17" s="673"/>
      <c r="AE17" s="692" t="str">
        <f t="shared" si="0"/>
        <v/>
      </c>
      <c r="AF17" s="693"/>
      <c r="AG17" s="693"/>
      <c r="AH17" s="694"/>
      <c r="AI17" s="673"/>
      <c r="AJ17" s="673"/>
      <c r="AK17" s="673"/>
      <c r="AL17" s="673"/>
      <c r="AM17" s="12"/>
    </row>
    <row r="18" spans="2:51" ht="24.95" customHeight="1" x14ac:dyDescent="0.25">
      <c r="W18" s="164"/>
      <c r="X18" s="164"/>
      <c r="Y18" s="164"/>
      <c r="Z18" s="164"/>
      <c r="AA18" s="164"/>
      <c r="AB18" s="164"/>
      <c r="AC18" s="164"/>
      <c r="AD18" s="164"/>
      <c r="AE18" s="164"/>
      <c r="AF18" s="164"/>
      <c r="AG18" s="164"/>
      <c r="AO18" s="9"/>
      <c r="AP18" s="9"/>
    </row>
    <row r="19" spans="2:51" ht="20.100000000000001" customHeight="1" x14ac:dyDescent="0.25">
      <c r="B19" s="27" t="s">
        <v>610</v>
      </c>
      <c r="C19" s="2"/>
      <c r="D19" s="2"/>
      <c r="E19" s="2"/>
      <c r="F19" s="2"/>
      <c r="G19" s="2"/>
      <c r="H19" s="2"/>
      <c r="I19" s="2"/>
      <c r="J19" s="2"/>
      <c r="K19" s="2"/>
      <c r="L19" s="36"/>
      <c r="M19" s="2"/>
      <c r="N19" s="2"/>
      <c r="O19" s="2"/>
      <c r="P19" s="2"/>
      <c r="Q19" s="2"/>
      <c r="R19" s="2"/>
      <c r="S19" s="2"/>
      <c r="T19" s="2"/>
      <c r="U19" s="130"/>
      <c r="V19" s="130"/>
      <c r="W19" s="130"/>
      <c r="X19" s="131"/>
      <c r="Y19" s="130"/>
      <c r="Z19" s="130"/>
      <c r="AA19" s="131"/>
      <c r="AB19" s="131"/>
      <c r="AC19" s="130"/>
      <c r="AD19" s="132"/>
      <c r="AE19" s="132"/>
      <c r="AF19" s="132"/>
      <c r="AG19" s="132"/>
      <c r="AH19" s="132"/>
      <c r="AI19" s="132"/>
      <c r="AJ19" s="131"/>
      <c r="AK19" s="131"/>
      <c r="AL19" s="131"/>
      <c r="AR19" s="39"/>
      <c r="AS19" s="19"/>
      <c r="AT19" s="40"/>
    </row>
    <row r="20" spans="2:51" ht="36.950000000000003" customHeight="1" x14ac:dyDescent="0.2">
      <c r="B20" s="8"/>
      <c r="C20" s="679" t="s">
        <v>272</v>
      </c>
      <c r="D20" s="679"/>
      <c r="E20" s="679"/>
      <c r="F20" s="679"/>
      <c r="G20" s="679" t="s">
        <v>273</v>
      </c>
      <c r="H20" s="679"/>
      <c r="I20" s="679"/>
      <c r="J20" s="679"/>
      <c r="K20" s="679" t="s">
        <v>50</v>
      </c>
      <c r="L20" s="679"/>
      <c r="M20" s="679"/>
      <c r="N20" s="679" t="s">
        <v>211</v>
      </c>
      <c r="O20" s="679"/>
      <c r="P20" s="679"/>
      <c r="Q20" s="679"/>
      <c r="R20" s="699" t="s">
        <v>656</v>
      </c>
      <c r="S20" s="699"/>
      <c r="T20" s="699"/>
      <c r="U20" s="154">
        <f>IF(AND(O8&lt;&gt;"",MAX(O8:R17)&lt;1,MAX(O8:R17)&lt;&gt;0),"",1)</f>
        <v>1</v>
      </c>
      <c r="V20" s="151">
        <f>IF(AND(O8&lt;&gt;"",MAX(O8:R17)&lt;2,MAX(O8:R17)&lt;&gt;0),"",2)</f>
        <v>2</v>
      </c>
      <c r="W20" s="151">
        <f>IF(AND(O8&lt;&gt;"",MAX(O8:R17)&lt;3,MAX(O8:R17)&lt;&gt;0),"",3)</f>
        <v>3</v>
      </c>
      <c r="X20" s="151">
        <f>IF(AND(O8&lt;&gt;"",MAX(O8:R17)&lt;4,MAX(O8:R17)&lt;&gt;0),"",4)</f>
        <v>4</v>
      </c>
      <c r="Y20" s="151">
        <f>IF(AND(O8&lt;&gt;"",MAX(O8:R17)&lt;5,MAX(O8:R17)&lt;&gt;0),"",5)</f>
        <v>5</v>
      </c>
      <c r="Z20" s="151">
        <f>IF(AND(O8&lt;&gt;"",MAX(O8:R17)&lt;6,MAX(O8:R17)&lt;&gt;0),"",6)</f>
        <v>6</v>
      </c>
      <c r="AA20" s="151">
        <f>IF(AND(O8&lt;&gt;"",MAX(O8:R17)&lt;7,MAX(O8:R17)&lt;&gt;0),"",7)</f>
        <v>7</v>
      </c>
      <c r="AB20" s="151">
        <f>IF(AND(O8&lt;&gt;"",MAX(O8:R17)&lt;8,MAX(O8:R17)&lt;&gt;0),"",8)</f>
        <v>8</v>
      </c>
      <c r="AC20" s="151">
        <f>IF(AND(O8&lt;&gt;"",MAX(O8:R17)&lt;9,MAX(O8:R17)&lt;&gt;0),"",9)</f>
        <v>9</v>
      </c>
      <c r="AD20" s="151">
        <f>IF(AND(O8&lt;&gt;"",MAX(O8:R17)&lt;10,MAX(O8:R17)&lt;&gt;0),"",10)</f>
        <v>10</v>
      </c>
      <c r="AE20" s="151">
        <f>IF(AND(O8&lt;&gt;"",MAX(O8:R17)&lt;11,MAX(O8:R17)&lt;&gt;0),"",11)</f>
        <v>11</v>
      </c>
      <c r="AF20" s="151">
        <f>IF(AND(O8&lt;&gt;"",MAX(O8:R17)&lt;12,MAX(O8:R17)&lt;&gt;0),"",12)</f>
        <v>12</v>
      </c>
      <c r="AG20" s="151">
        <f>IF(AND(O8&lt;&gt;"",MAX(O8:R17)&lt;13,MAX(O8:R17)&lt;&gt;0),"",13)</f>
        <v>13</v>
      </c>
      <c r="AH20" s="151">
        <f>IF(AND(O8&lt;&gt;"",MAX(O8:R17)&lt;14,MAX(O8:R17)&lt;&gt;0),"",14)</f>
        <v>14</v>
      </c>
      <c r="AI20" s="151">
        <f>IF(AND(O8&lt;&gt;"",MAX(O8:R17)&lt;15,MAX(O8:R17)&lt;&gt;0),"",15)</f>
        <v>15</v>
      </c>
      <c r="AJ20" s="151">
        <f>IF(AND(O8&lt;&gt;"",MAX(O8:R17)&lt;16,MAX(O8:R17)&lt;&gt;0),"",16)</f>
        <v>16</v>
      </c>
      <c r="AK20" s="151">
        <f>IF(AND(O8&lt;&gt;"",MAX(O8:R17)&lt;17,MAX(O8:R17)&lt;&gt;0),"",17)</f>
        <v>17</v>
      </c>
      <c r="AL20" s="151">
        <f>IF(AND(O8&lt;&gt;"",MAX(O8:R17)&lt;18,MAX(O8:R17)&lt;&gt;0),"",18)</f>
        <v>18</v>
      </c>
      <c r="AM20" s="592" t="s">
        <v>1206</v>
      </c>
    </row>
    <row r="21" spans="2:51" ht="14.25" customHeight="1" x14ac:dyDescent="0.2">
      <c r="B21" s="3">
        <v>1</v>
      </c>
      <c r="C21" s="675"/>
      <c r="D21" s="675"/>
      <c r="E21" s="675"/>
      <c r="F21" s="675"/>
      <c r="G21" s="675"/>
      <c r="H21" s="675"/>
      <c r="I21" s="675"/>
      <c r="J21" s="675"/>
      <c r="K21" s="652" t="str">
        <f>IF(N21="","",VLOOKUP($N21,Reinforcements[],2,FALSE))</f>
        <v/>
      </c>
      <c r="L21" s="652"/>
      <c r="M21" s="652"/>
      <c r="N21" s="674"/>
      <c r="O21" s="674"/>
      <c r="P21" s="674"/>
      <c r="Q21" s="674"/>
      <c r="R21" s="652" t="str">
        <f>IFERROR(IF(OR(C21="",G21=""),"",IF($R$20="Number",IF(COUNTA(U21:AL21)=0,"",COUNTA(U21:AL21)),ROUND(MIN((VLOOKUP(C21,'Geometry 2'!$E$4:$AJ$14,19,TRUE)-12*VLOOKUP(C21,'Geometry 2'!$E$4:$AJ$14,32,TRUE)*(C21-VLOOKUP(C21,'Geometry 2'!$E$5:$AH$14,1,TRUE)))*TAN(RADIANS(180/VLOOKUP($C21,'Geometry 2'!$E$4:$AH$14,11,TRUE))),(VLOOKUP(G21,'Geometry 2'!$E$4:$AJ$14,19,TRUE)-12*VLOOKUP(G21,'Geometry 2'!$E$4:$AJ$14,32,TRUE)*(G21-VLOOKUP(G21,'Geometry 2'!$E$5:$AH$14,1,TRUE)))*TAN(RADIANS(180/VLOOKUP($G21,'Geometry 2'!$E$4:$AH$14,11,TRUE)))),2))),"-")</f>
        <v/>
      </c>
      <c r="S21" s="652"/>
      <c r="T21" s="672"/>
      <c r="U21" s="217"/>
      <c r="V21" s="217"/>
      <c r="W21" s="217"/>
      <c r="X21" s="217"/>
      <c r="Y21" s="217"/>
      <c r="Z21" s="217"/>
      <c r="AA21" s="217"/>
      <c r="AB21" s="217"/>
      <c r="AC21" s="217"/>
      <c r="AD21" s="217"/>
      <c r="AE21" s="217"/>
      <c r="AF21" s="217"/>
      <c r="AG21" s="217"/>
      <c r="AH21" s="217"/>
      <c r="AI21" s="217"/>
      <c r="AJ21" s="217"/>
      <c r="AK21" s="217"/>
      <c r="AL21" s="217"/>
      <c r="AM21" s="592" t="str">
        <f>IF(C21="","",IFERROR(IF(VLOOKUP(IF(C21="","",MAX(IF(C21&lt;=MIN($C$8:$F$17),MAX($B$8:$B$17),IF(C21&gt;=$C$9,$B$8,IF(AND(C21&lt;=$C$9,C21&gt;=$C$10),$B$9,IF(AND(C21&lt;=$C$10,C21&gt;=$C$11),$B$10,IF(AND(C21&lt;=$C$11,C21&gt;=$C$12),$B$11,IF(AND(C21&lt;=$C$12,C21&gt;=$C$13),$B$12,IF(AND(C21&lt;=$C$13,C21&gt;=$C$14),$B$13,IF(AND(C21&lt;=$C$14,C21&gt;=$C$15),$B$14,IF(AND(C21&lt;=$C$15,C21&gt;=$C$16),$B$15,IF(AND(C21&lt;=$C$16,C21&gt;=$C$17),$B$16,$B$17)))))))))),IF(G21="","",IF(G21&lt;=MIN($C$8:$F$17),MAX($B$8:$B$17),IF(G21&gt;=$C$9,$B$8,IF(AND(G21&lt;=$C$9,G21&gt;=$C$10),$B$9,IF(AND(G21&lt;=$C$10,G21&gt;=$C$11),$B$10,IF(AND(G21&lt;=$C$11,G21&gt;=$C$12),$B$11,IF(AND(G21&lt;=$C$12,G21&gt;=$C$13),$B$12,IF(AND(G21&lt;=$C$13,G21&gt;=$C$14),$B$13,IF(AND(G21&lt;=$C$14,G21&gt;=$C$15),$B$14,IF(AND(G21&lt;=$C$15,G21&gt;=$C$16),$B$15,IF(AND(G21&lt;=$C$16,G21&gt;=$C$17),$B$16,$B$17))))))))))))),$B$8:$AL$17,14,FALSE)=0,TRUE,FALSE),FALSE))</f>
        <v/>
      </c>
      <c r="AN21" s="29"/>
      <c r="AO21" s="29"/>
      <c r="AP21" s="29"/>
    </row>
    <row r="22" spans="2:51" ht="14.25" customHeight="1" x14ac:dyDescent="0.2">
      <c r="B22" s="3">
        <v>2</v>
      </c>
      <c r="C22" s="675"/>
      <c r="D22" s="675"/>
      <c r="E22" s="675"/>
      <c r="F22" s="675"/>
      <c r="G22" s="675"/>
      <c r="H22" s="675"/>
      <c r="I22" s="675"/>
      <c r="J22" s="675"/>
      <c r="K22" s="652" t="str">
        <f>IF(N22="","",VLOOKUP($N22,Reinforcements[],2,FALSE))</f>
        <v/>
      </c>
      <c r="L22" s="652"/>
      <c r="M22" s="652"/>
      <c r="N22" s="674"/>
      <c r="O22" s="674"/>
      <c r="P22" s="674"/>
      <c r="Q22" s="674"/>
      <c r="R22" s="652" t="str">
        <f>IFERROR(IF(OR(C22="",G22=""),"",IF($R$20="Number",IF(COUNTA(U22:AL22)=0,"",COUNTA(U22:AL22)),ROUND(MIN((VLOOKUP(C22,'Geometry 2'!$E$4:$AJ$14,19,TRUE)-12*VLOOKUP(C22,'Geometry 2'!$E$4:$AJ$14,32,TRUE)*(C22-VLOOKUP(C22,'Geometry 2'!$E$5:$AH$14,1,TRUE)))*TAN(RADIANS(180/VLOOKUP($C22,'Geometry 2'!$E$4:$AH$14,11,TRUE))),(VLOOKUP(G22,'Geometry 2'!$E$4:$AJ$14,19,TRUE)-12*VLOOKUP(G22,'Geometry 2'!$E$4:$AJ$14,32,TRUE)*(G22-VLOOKUP(G22,'Geometry 2'!$E$5:$AH$14,1,TRUE)))*TAN(RADIANS(180/VLOOKUP($G22,'Geometry 2'!$E$4:$AH$14,11,TRUE)))),2))),"-")</f>
        <v/>
      </c>
      <c r="S22" s="652"/>
      <c r="T22" s="672"/>
      <c r="U22" s="217"/>
      <c r="V22" s="217"/>
      <c r="W22" s="221"/>
      <c r="X22" s="221"/>
      <c r="Y22" s="217"/>
      <c r="Z22" s="217"/>
      <c r="AA22" s="217"/>
      <c r="AB22" s="217"/>
      <c r="AC22" s="217"/>
      <c r="AD22" s="217"/>
      <c r="AE22" s="217"/>
      <c r="AF22" s="217"/>
      <c r="AG22" s="217"/>
      <c r="AH22" s="217"/>
      <c r="AI22" s="217"/>
      <c r="AJ22" s="217"/>
      <c r="AK22" s="217"/>
      <c r="AL22" s="217"/>
      <c r="AM22" s="592" t="str">
        <f t="shared" ref="AM22:AM80" si="3">IF(C22="","",IFERROR(IF(VLOOKUP(IF(C22="","",MAX(IF(C22&lt;=MIN($C$8:$F$17),MAX($B$8:$B$17),IF(C22&gt;=$C$9,$B$8,IF(AND(C22&lt;=$C$9,C22&gt;=$C$10),$B$9,IF(AND(C22&lt;=$C$10,C22&gt;=$C$11),$B$10,IF(AND(C22&lt;=$C$11,C22&gt;=$C$12),$B$11,IF(AND(C22&lt;=$C$12,C22&gt;=$C$13),$B$12,IF(AND(C22&lt;=$C$13,C22&gt;=$C$14),$B$13,IF(AND(C22&lt;=$C$14,C22&gt;=$C$15),$B$14,IF(AND(C22&lt;=$C$15,C22&gt;=$C$16),$B$15,IF(AND(C22&lt;=$C$16,C22&gt;=$C$17),$B$16,$B$17)))))))))),IF(G22="","",IF(G22&lt;=MIN($C$8:$F$17),MAX($B$8:$B$17),IF(G22&gt;=$C$9,$B$8,IF(AND(G22&lt;=$C$9,G22&gt;=$C$10),$B$9,IF(AND(G22&lt;=$C$10,G22&gt;=$C$11),$B$10,IF(AND(G22&lt;=$C$11,G22&gt;=$C$12),$B$11,IF(AND(G22&lt;=$C$12,G22&gt;=$C$13),$B$12,IF(AND(G22&lt;=$C$13,G22&gt;=$C$14),$B$13,IF(AND(G22&lt;=$C$14,G22&gt;=$C$15),$B$14,IF(AND(G22&lt;=$C$15,G22&gt;=$C$16),$B$15,IF(AND(G22&lt;=$C$16,G22&gt;=$C$17),$B$16,$B$17))))))))))))),$B$8:$AL$17,14,FALSE)=0,TRUE,FALSE),FALSE))</f>
        <v/>
      </c>
      <c r="AN22" s="29"/>
      <c r="AO22" s="29"/>
      <c r="AP22" s="29"/>
    </row>
    <row r="23" spans="2:51" ht="14.25" customHeight="1" x14ac:dyDescent="0.2">
      <c r="B23" s="3">
        <v>3</v>
      </c>
      <c r="C23" s="675"/>
      <c r="D23" s="675"/>
      <c r="E23" s="675"/>
      <c r="F23" s="675"/>
      <c r="G23" s="675"/>
      <c r="H23" s="675"/>
      <c r="I23" s="675"/>
      <c r="J23" s="675"/>
      <c r="K23" s="652" t="str">
        <f>IF(N23="","",VLOOKUP($N23,Reinforcements[],2,FALSE))</f>
        <v/>
      </c>
      <c r="L23" s="652"/>
      <c r="M23" s="652"/>
      <c r="N23" s="674"/>
      <c r="O23" s="674"/>
      <c r="P23" s="674"/>
      <c r="Q23" s="674"/>
      <c r="R23" s="652" t="str">
        <f>IFERROR(IF(OR(C23="",G23=""),"",IF($R$20="Number",IF(COUNTA(U23:AL23)=0,"",COUNTA(U23:AL23)),ROUND(MIN((VLOOKUP(C23,'Geometry 2'!$E$4:$AJ$14,19,TRUE)-12*VLOOKUP(C23,'Geometry 2'!$E$4:$AJ$14,32,TRUE)*(C23-VLOOKUP(C23,'Geometry 2'!$E$5:$AH$14,1,TRUE)))*TAN(RADIANS(180/VLOOKUP($C23,'Geometry 2'!$E$4:$AH$14,11,TRUE))),(VLOOKUP(G23,'Geometry 2'!$E$4:$AJ$14,19,TRUE)-12*VLOOKUP(G23,'Geometry 2'!$E$4:$AJ$14,32,TRUE)*(G23-VLOOKUP(G23,'Geometry 2'!$E$5:$AH$14,1,TRUE)))*TAN(RADIANS(180/VLOOKUP($G23,'Geometry 2'!$E$4:$AH$14,11,TRUE)))),2))),"-")</f>
        <v/>
      </c>
      <c r="S23" s="652"/>
      <c r="T23" s="672"/>
      <c r="U23" s="217"/>
      <c r="V23" s="217"/>
      <c r="W23" s="217"/>
      <c r="X23" s="217"/>
      <c r="Y23" s="217"/>
      <c r="Z23" s="217"/>
      <c r="AA23" s="217"/>
      <c r="AB23" s="217"/>
      <c r="AC23" s="217"/>
      <c r="AD23" s="217"/>
      <c r="AE23" s="217"/>
      <c r="AF23" s="217"/>
      <c r="AG23" s="217"/>
      <c r="AH23" s="217"/>
      <c r="AI23" s="217"/>
      <c r="AJ23" s="217"/>
      <c r="AK23" s="217"/>
      <c r="AL23" s="217"/>
      <c r="AM23" s="592" t="str">
        <f t="shared" si="3"/>
        <v/>
      </c>
      <c r="AN23" s="29"/>
      <c r="AO23" s="29"/>
      <c r="AP23" s="29"/>
    </row>
    <row r="24" spans="2:51" ht="14.25" customHeight="1" x14ac:dyDescent="0.2">
      <c r="B24" s="3">
        <v>4</v>
      </c>
      <c r="C24" s="675"/>
      <c r="D24" s="675"/>
      <c r="E24" s="675"/>
      <c r="F24" s="675"/>
      <c r="G24" s="675"/>
      <c r="H24" s="675"/>
      <c r="I24" s="675"/>
      <c r="J24" s="675"/>
      <c r="K24" s="652" t="str">
        <f>IF(N24="","",VLOOKUP($N24,Reinforcements[],2,FALSE))</f>
        <v/>
      </c>
      <c r="L24" s="652"/>
      <c r="M24" s="652"/>
      <c r="N24" s="674"/>
      <c r="O24" s="674"/>
      <c r="P24" s="674"/>
      <c r="Q24" s="674"/>
      <c r="R24" s="652" t="str">
        <f>IFERROR(IF(OR(C24="",G24=""),"",IF($R$20="Number",IF(COUNTA(U24:AL24)=0,"",COUNTA(U24:AL24)),ROUND(MIN((VLOOKUP(C24,'Geometry 2'!$E$4:$AJ$14,19,TRUE)-12*VLOOKUP(C24,'Geometry 2'!$E$4:$AJ$14,32,TRUE)*(C24-VLOOKUP(C24,'Geometry 2'!$E$5:$AH$14,1,TRUE)))*TAN(RADIANS(180/VLOOKUP($C24,'Geometry 2'!$E$4:$AH$14,11,TRUE))),(VLOOKUP(G24,'Geometry 2'!$E$4:$AJ$14,19,TRUE)-12*VLOOKUP(G24,'Geometry 2'!$E$4:$AJ$14,32,TRUE)*(G24-VLOOKUP(G24,'Geometry 2'!$E$5:$AH$14,1,TRUE)))*TAN(RADIANS(180/VLOOKUP($G24,'Geometry 2'!$E$4:$AH$14,11,TRUE)))),2))),"-")</f>
        <v/>
      </c>
      <c r="S24" s="652"/>
      <c r="T24" s="672"/>
      <c r="U24" s="217"/>
      <c r="V24" s="217"/>
      <c r="W24" s="217"/>
      <c r="X24" s="217"/>
      <c r="Y24" s="217"/>
      <c r="Z24" s="217"/>
      <c r="AA24" s="217"/>
      <c r="AB24" s="217"/>
      <c r="AC24" s="217"/>
      <c r="AD24" s="217"/>
      <c r="AE24" s="217"/>
      <c r="AF24" s="217"/>
      <c r="AG24" s="217"/>
      <c r="AH24" s="217"/>
      <c r="AI24" s="217"/>
      <c r="AJ24" s="217"/>
      <c r="AK24" s="217"/>
      <c r="AL24" s="217"/>
      <c r="AM24" s="592" t="str">
        <f t="shared" si="3"/>
        <v/>
      </c>
      <c r="AN24" s="29"/>
      <c r="AO24" s="29"/>
      <c r="AP24" s="29"/>
    </row>
    <row r="25" spans="2:51" ht="14.25" customHeight="1" x14ac:dyDescent="0.2">
      <c r="B25" s="3">
        <v>5</v>
      </c>
      <c r="C25" s="675"/>
      <c r="D25" s="675"/>
      <c r="E25" s="675"/>
      <c r="F25" s="675"/>
      <c r="G25" s="675"/>
      <c r="H25" s="675"/>
      <c r="I25" s="675"/>
      <c r="J25" s="675"/>
      <c r="K25" s="652" t="str">
        <f>IF(N25="","",VLOOKUP($N25,Reinforcements[],2,FALSE))</f>
        <v/>
      </c>
      <c r="L25" s="652"/>
      <c r="M25" s="652"/>
      <c r="N25" s="674"/>
      <c r="O25" s="674"/>
      <c r="P25" s="674"/>
      <c r="Q25" s="674"/>
      <c r="R25" s="652" t="str">
        <f>IFERROR(IF(OR(C25="",G25=""),"",IF($R$20="Number",IF(COUNTA(U25:AL25)=0,"",COUNTA(U25:AL25)),ROUND(MIN((VLOOKUP(C25,'Geometry 2'!$E$4:$AJ$14,19,TRUE)-12*VLOOKUP(C25,'Geometry 2'!$E$4:$AJ$14,32,TRUE)*(C25-VLOOKUP(C25,'Geometry 2'!$E$5:$AH$14,1,TRUE)))*TAN(RADIANS(180/VLOOKUP($C25,'Geometry 2'!$E$4:$AH$14,11,TRUE))),(VLOOKUP(G25,'Geometry 2'!$E$4:$AJ$14,19,TRUE)-12*VLOOKUP(G25,'Geometry 2'!$E$4:$AJ$14,32,TRUE)*(G25-VLOOKUP(G25,'Geometry 2'!$E$5:$AH$14,1,TRUE)))*TAN(RADIANS(180/VLOOKUP($G25,'Geometry 2'!$E$4:$AH$14,11,TRUE)))),2))),"-")</f>
        <v/>
      </c>
      <c r="S25" s="652"/>
      <c r="T25" s="672"/>
      <c r="U25" s="217"/>
      <c r="V25" s="217"/>
      <c r="W25" s="217"/>
      <c r="X25" s="217"/>
      <c r="Y25" s="217"/>
      <c r="Z25" s="217"/>
      <c r="AA25" s="217"/>
      <c r="AB25" s="217"/>
      <c r="AC25" s="217"/>
      <c r="AD25" s="217"/>
      <c r="AE25" s="217"/>
      <c r="AF25" s="217"/>
      <c r="AG25" s="217"/>
      <c r="AH25" s="217"/>
      <c r="AI25" s="217"/>
      <c r="AJ25" s="217"/>
      <c r="AK25" s="217"/>
      <c r="AL25" s="217"/>
      <c r="AM25" s="592" t="str">
        <f t="shared" si="3"/>
        <v/>
      </c>
      <c r="AN25" s="29"/>
      <c r="AO25" s="29"/>
      <c r="AP25" s="29"/>
    </row>
    <row r="26" spans="2:51" ht="14.25" customHeight="1" x14ac:dyDescent="0.2">
      <c r="B26" s="3">
        <v>6</v>
      </c>
      <c r="C26" s="675"/>
      <c r="D26" s="675"/>
      <c r="E26" s="675"/>
      <c r="F26" s="675"/>
      <c r="G26" s="675"/>
      <c r="H26" s="675"/>
      <c r="I26" s="675"/>
      <c r="J26" s="675"/>
      <c r="K26" s="652" t="str">
        <f>IF(N26="","",VLOOKUP($N26,Reinforcements[],2,FALSE))</f>
        <v/>
      </c>
      <c r="L26" s="652"/>
      <c r="M26" s="652"/>
      <c r="N26" s="674"/>
      <c r="O26" s="674"/>
      <c r="P26" s="674"/>
      <c r="Q26" s="674"/>
      <c r="R26" s="652" t="str">
        <f>IFERROR(IF(OR(C26="",G26=""),"",IF($R$20="Number",IF(COUNTA(U26:AL26)=0,"",COUNTA(U26:AL26)),ROUND(MIN((VLOOKUP(C26,'Geometry 2'!$E$4:$AJ$14,19,TRUE)-12*VLOOKUP(C26,'Geometry 2'!$E$4:$AJ$14,32,TRUE)*(C26-VLOOKUP(C26,'Geometry 2'!$E$5:$AH$14,1,TRUE)))*TAN(RADIANS(180/VLOOKUP($C26,'Geometry 2'!$E$4:$AH$14,11,TRUE))),(VLOOKUP(G26,'Geometry 2'!$E$4:$AJ$14,19,TRUE)-12*VLOOKUP(G26,'Geometry 2'!$E$4:$AJ$14,32,TRUE)*(G26-VLOOKUP(G26,'Geometry 2'!$E$5:$AH$14,1,TRUE)))*TAN(RADIANS(180/VLOOKUP($G26,'Geometry 2'!$E$4:$AH$14,11,TRUE)))),2))),"-")</f>
        <v/>
      </c>
      <c r="S26" s="652"/>
      <c r="T26" s="672"/>
      <c r="U26" s="217"/>
      <c r="V26" s="217"/>
      <c r="W26" s="217"/>
      <c r="X26" s="217"/>
      <c r="Y26" s="217"/>
      <c r="Z26" s="217"/>
      <c r="AA26" s="217"/>
      <c r="AB26" s="217"/>
      <c r="AC26" s="217"/>
      <c r="AD26" s="217"/>
      <c r="AE26" s="217"/>
      <c r="AF26" s="217"/>
      <c r="AG26" s="217"/>
      <c r="AH26" s="217"/>
      <c r="AI26" s="217"/>
      <c r="AJ26" s="217"/>
      <c r="AK26" s="217"/>
      <c r="AL26" s="217"/>
      <c r="AM26" s="592" t="str">
        <f t="shared" si="3"/>
        <v/>
      </c>
      <c r="AN26" s="29"/>
      <c r="AO26" s="29"/>
      <c r="AP26" s="29"/>
    </row>
    <row r="27" spans="2:51" ht="14.25" customHeight="1" x14ac:dyDescent="0.2">
      <c r="B27" s="3">
        <v>7</v>
      </c>
      <c r="C27" s="675"/>
      <c r="D27" s="675"/>
      <c r="E27" s="675"/>
      <c r="F27" s="675"/>
      <c r="G27" s="675"/>
      <c r="H27" s="675"/>
      <c r="I27" s="675"/>
      <c r="J27" s="675"/>
      <c r="K27" s="652" t="str">
        <f>IF(N27="","",VLOOKUP($N27,Reinforcements[],2,FALSE))</f>
        <v/>
      </c>
      <c r="L27" s="652"/>
      <c r="M27" s="652"/>
      <c r="N27" s="674"/>
      <c r="O27" s="674"/>
      <c r="P27" s="674"/>
      <c r="Q27" s="674"/>
      <c r="R27" s="652" t="str">
        <f>IFERROR(IF(OR(C27="",G27=""),"",IF($R$20="Number",IF(COUNTA(U27:AL27)=0,"",COUNTA(U27:AL27)),ROUND(MIN((VLOOKUP(C27,'Geometry 2'!$E$4:$AJ$14,19,TRUE)-12*VLOOKUP(C27,'Geometry 2'!$E$4:$AJ$14,32,TRUE)*(C27-VLOOKUP(C27,'Geometry 2'!$E$5:$AH$14,1,TRUE)))*TAN(RADIANS(180/VLOOKUP($C27,'Geometry 2'!$E$4:$AH$14,11,TRUE))),(VLOOKUP(G27,'Geometry 2'!$E$4:$AJ$14,19,TRUE)-12*VLOOKUP(G27,'Geometry 2'!$E$4:$AJ$14,32,TRUE)*(G27-VLOOKUP(G27,'Geometry 2'!$E$5:$AH$14,1,TRUE)))*TAN(RADIANS(180/VLOOKUP($G27,'Geometry 2'!$E$4:$AH$14,11,TRUE)))),2))),"-")</f>
        <v/>
      </c>
      <c r="S27" s="652"/>
      <c r="T27" s="672"/>
      <c r="U27" s="217"/>
      <c r="V27" s="217"/>
      <c r="W27" s="217"/>
      <c r="X27" s="217"/>
      <c r="Y27" s="217"/>
      <c r="Z27" s="217"/>
      <c r="AA27" s="217"/>
      <c r="AB27" s="217"/>
      <c r="AC27" s="217"/>
      <c r="AD27" s="217"/>
      <c r="AE27" s="217"/>
      <c r="AF27" s="217"/>
      <c r="AG27" s="217"/>
      <c r="AH27" s="217"/>
      <c r="AI27" s="217"/>
      <c r="AJ27" s="217"/>
      <c r="AK27" s="217"/>
      <c r="AL27" s="217"/>
      <c r="AM27" s="592" t="str">
        <f t="shared" si="3"/>
        <v/>
      </c>
      <c r="AN27" s="29"/>
      <c r="AO27" s="29"/>
      <c r="AP27" s="29" t="str">
        <f>IF(AS19="","","elevation =")</f>
        <v/>
      </c>
      <c r="AQ27" s="1" t="str">
        <f>IF(AS19="","","elevation =")</f>
        <v/>
      </c>
    </row>
    <row r="28" spans="2:51" ht="14.25" customHeight="1" x14ac:dyDescent="0.2">
      <c r="B28" s="3">
        <v>8</v>
      </c>
      <c r="C28" s="675"/>
      <c r="D28" s="675"/>
      <c r="E28" s="675"/>
      <c r="F28" s="675"/>
      <c r="G28" s="675"/>
      <c r="H28" s="675"/>
      <c r="I28" s="675"/>
      <c r="J28" s="675"/>
      <c r="K28" s="652" t="str">
        <f>IF(N28="","",VLOOKUP($N28,Reinforcements[],2,FALSE))</f>
        <v/>
      </c>
      <c r="L28" s="652"/>
      <c r="M28" s="652"/>
      <c r="N28" s="674"/>
      <c r="O28" s="674"/>
      <c r="P28" s="674"/>
      <c r="Q28" s="674"/>
      <c r="R28" s="652" t="str">
        <f>IFERROR(IF(OR(C28="",G28=""),"",IF($R$20="Number",IF(COUNTA(U28:AL28)=0,"",COUNTA(U28:AL28)),ROUND(MIN((VLOOKUP(C28,'Geometry 2'!$E$4:$AJ$14,19,TRUE)-12*VLOOKUP(C28,'Geometry 2'!$E$4:$AJ$14,32,TRUE)*(C28-VLOOKUP(C28,'Geometry 2'!$E$5:$AH$14,1,TRUE)))*TAN(RADIANS(180/VLOOKUP($C28,'Geometry 2'!$E$4:$AH$14,11,TRUE))),(VLOOKUP(G28,'Geometry 2'!$E$4:$AJ$14,19,TRUE)-12*VLOOKUP(G28,'Geometry 2'!$E$4:$AJ$14,32,TRUE)*(G28-VLOOKUP(G28,'Geometry 2'!$E$5:$AH$14,1,TRUE)))*TAN(RADIANS(180/VLOOKUP($G28,'Geometry 2'!$E$4:$AH$14,11,TRUE)))),2))),"-")</f>
        <v/>
      </c>
      <c r="S28" s="652"/>
      <c r="T28" s="672"/>
      <c r="U28" s="217"/>
      <c r="V28" s="217"/>
      <c r="W28" s="217"/>
      <c r="X28" s="217"/>
      <c r="Y28" s="217"/>
      <c r="Z28" s="217"/>
      <c r="AA28" s="217"/>
      <c r="AB28" s="217"/>
      <c r="AC28" s="217"/>
      <c r="AD28" s="217"/>
      <c r="AE28" s="217"/>
      <c r="AF28" s="217"/>
      <c r="AG28" s="217"/>
      <c r="AH28" s="217"/>
      <c r="AI28" s="217"/>
      <c r="AJ28" s="217"/>
      <c r="AK28" s="217"/>
      <c r="AL28" s="217"/>
      <c r="AM28" s="592" t="str">
        <f t="shared" si="3"/>
        <v/>
      </c>
      <c r="AN28" s="29"/>
      <c r="AO28" s="29"/>
      <c r="AP28" s="29"/>
    </row>
    <row r="29" spans="2:51" ht="14.25" customHeight="1" x14ac:dyDescent="0.2">
      <c r="B29" s="3">
        <v>9</v>
      </c>
      <c r="C29" s="675"/>
      <c r="D29" s="675"/>
      <c r="E29" s="675"/>
      <c r="F29" s="675"/>
      <c r="G29" s="675"/>
      <c r="H29" s="675"/>
      <c r="I29" s="675"/>
      <c r="J29" s="675"/>
      <c r="K29" s="652" t="str">
        <f>IF(N29="","",VLOOKUP($N29,Reinforcements[],2,FALSE))</f>
        <v/>
      </c>
      <c r="L29" s="652"/>
      <c r="M29" s="652"/>
      <c r="N29" s="674"/>
      <c r="O29" s="674"/>
      <c r="P29" s="674"/>
      <c r="Q29" s="674"/>
      <c r="R29" s="652" t="str">
        <f>IFERROR(IF(OR(C29="",G29=""),"",IF($R$20="Number",IF(COUNTA(U29:AL29)=0,"",COUNTA(U29:AL29)),ROUND(MIN((VLOOKUP(C29,'Geometry 2'!$E$4:$AJ$14,19,TRUE)-12*VLOOKUP(C29,'Geometry 2'!$E$4:$AJ$14,32,TRUE)*(C29-VLOOKUP(C29,'Geometry 2'!$E$5:$AH$14,1,TRUE)))*TAN(RADIANS(180/VLOOKUP($C29,'Geometry 2'!$E$4:$AH$14,11,TRUE))),(VLOOKUP(G29,'Geometry 2'!$E$4:$AJ$14,19,TRUE)-12*VLOOKUP(G29,'Geometry 2'!$E$4:$AJ$14,32,TRUE)*(G29-VLOOKUP(G29,'Geometry 2'!$E$5:$AH$14,1,TRUE)))*TAN(RADIANS(180/VLOOKUP($G29,'Geometry 2'!$E$4:$AH$14,11,TRUE)))),2))),"-")</f>
        <v/>
      </c>
      <c r="S29" s="652"/>
      <c r="T29" s="672"/>
      <c r="U29" s="217"/>
      <c r="V29" s="217"/>
      <c r="W29" s="217"/>
      <c r="X29" s="217"/>
      <c r="Y29" s="217"/>
      <c r="Z29" s="217"/>
      <c r="AA29" s="217"/>
      <c r="AB29" s="217"/>
      <c r="AC29" s="217"/>
      <c r="AD29" s="217"/>
      <c r="AE29" s="217"/>
      <c r="AF29" s="217"/>
      <c r="AG29" s="217"/>
      <c r="AH29" s="217"/>
      <c r="AI29" s="217"/>
      <c r="AJ29" s="217"/>
      <c r="AK29" s="217"/>
      <c r="AL29" s="217"/>
      <c r="AM29" s="592" t="str">
        <f t="shared" si="3"/>
        <v/>
      </c>
      <c r="AN29" s="29"/>
      <c r="AO29" s="29"/>
      <c r="AP29" s="29"/>
    </row>
    <row r="30" spans="2:51" ht="14.25" customHeight="1" x14ac:dyDescent="0.2">
      <c r="B30" s="3">
        <v>10</v>
      </c>
      <c r="C30" s="675"/>
      <c r="D30" s="675"/>
      <c r="E30" s="675"/>
      <c r="F30" s="675"/>
      <c r="G30" s="675"/>
      <c r="H30" s="675"/>
      <c r="I30" s="675"/>
      <c r="J30" s="675"/>
      <c r="K30" s="652" t="str">
        <f>IF(N30="","",VLOOKUP($N30,Reinforcements[],2,FALSE))</f>
        <v/>
      </c>
      <c r="L30" s="652"/>
      <c r="M30" s="652"/>
      <c r="N30" s="674"/>
      <c r="O30" s="674"/>
      <c r="P30" s="674"/>
      <c r="Q30" s="674"/>
      <c r="R30" s="652" t="str">
        <f>IFERROR(IF(OR(C30="",G30=""),"",IF($R$20="Number",IF(COUNTA(U30:AL30)=0,"",COUNTA(U30:AL30)),ROUND(MIN((VLOOKUP(C30,'Geometry 2'!$E$4:$AJ$14,19,TRUE)-12*VLOOKUP(C30,'Geometry 2'!$E$4:$AJ$14,32,TRUE)*(C30-VLOOKUP(C30,'Geometry 2'!$E$5:$AH$14,1,TRUE)))*TAN(RADIANS(180/VLOOKUP($C30,'Geometry 2'!$E$4:$AH$14,11,TRUE))),(VLOOKUP(G30,'Geometry 2'!$E$4:$AJ$14,19,TRUE)-12*VLOOKUP(G30,'Geometry 2'!$E$4:$AJ$14,32,TRUE)*(G30-VLOOKUP(G30,'Geometry 2'!$E$5:$AH$14,1,TRUE)))*TAN(RADIANS(180/VLOOKUP($G30,'Geometry 2'!$E$4:$AH$14,11,TRUE)))),2))),"-")</f>
        <v/>
      </c>
      <c r="S30" s="652"/>
      <c r="T30" s="672"/>
      <c r="U30" s="217"/>
      <c r="V30" s="217"/>
      <c r="W30" s="217"/>
      <c r="X30" s="217"/>
      <c r="Y30" s="217"/>
      <c r="Z30" s="217"/>
      <c r="AA30" s="217"/>
      <c r="AB30" s="217"/>
      <c r="AC30" s="217"/>
      <c r="AD30" s="217"/>
      <c r="AE30" s="217"/>
      <c r="AF30" s="217"/>
      <c r="AG30" s="217"/>
      <c r="AH30" s="217"/>
      <c r="AI30" s="217"/>
      <c r="AJ30" s="217"/>
      <c r="AK30" s="217"/>
      <c r="AL30" s="217"/>
      <c r="AM30" s="592" t="str">
        <f t="shared" si="3"/>
        <v/>
      </c>
      <c r="AN30" s="29"/>
      <c r="AO30" s="29"/>
      <c r="AP30" s="29"/>
    </row>
    <row r="31" spans="2:51" ht="14.25" hidden="1" customHeight="1" x14ac:dyDescent="0.2">
      <c r="B31" s="3">
        <v>11</v>
      </c>
      <c r="C31" s="675"/>
      <c r="D31" s="675"/>
      <c r="E31" s="675"/>
      <c r="F31" s="675"/>
      <c r="G31" s="675"/>
      <c r="H31" s="675"/>
      <c r="I31" s="675"/>
      <c r="J31" s="675"/>
      <c r="K31" s="652" t="str">
        <f>IF(N31="","",VLOOKUP($N31,Reinforcements[],2,FALSE))</f>
        <v/>
      </c>
      <c r="L31" s="652"/>
      <c r="M31" s="652"/>
      <c r="N31" s="674"/>
      <c r="O31" s="674"/>
      <c r="P31" s="674"/>
      <c r="Q31" s="674"/>
      <c r="R31" s="652" t="str">
        <f>IFERROR(IF(OR(C31="",G31=""),"",IF($R$20="Number",IF(COUNTA(U31:AL31)=0,"",COUNTA(U31:AL31)),ROUND(MIN((VLOOKUP(C31,'Geometry 2'!$E$4:$AJ$14,19,TRUE)-12*VLOOKUP(C31,'Geometry 2'!$E$4:$AJ$14,32,TRUE)*(C31-VLOOKUP(C31,'Geometry 2'!$E$5:$AH$14,1,TRUE)))*TAN(RADIANS(180/VLOOKUP($C31,'Geometry 2'!$E$4:$AH$14,11,TRUE))),(VLOOKUP(G31,'Geometry 2'!$E$4:$AJ$14,19,TRUE)-12*VLOOKUP(G31,'Geometry 2'!$E$4:$AJ$14,32,TRUE)*(G31-VLOOKUP(G31,'Geometry 2'!$E$5:$AH$14,1,TRUE)))*TAN(RADIANS(180/VLOOKUP($G31,'Geometry 2'!$E$4:$AH$14,11,TRUE)))),2))),"-")</f>
        <v/>
      </c>
      <c r="S31" s="652"/>
      <c r="T31" s="672"/>
      <c r="U31" s="547"/>
      <c r="V31" s="547"/>
      <c r="W31" s="547"/>
      <c r="X31" s="547"/>
      <c r="Y31" s="547"/>
      <c r="Z31" s="547"/>
      <c r="AA31" s="547"/>
      <c r="AB31" s="547"/>
      <c r="AC31" s="547"/>
      <c r="AD31" s="547"/>
      <c r="AE31" s="547"/>
      <c r="AF31" s="547"/>
      <c r="AG31" s="547"/>
      <c r="AH31" s="547"/>
      <c r="AI31" s="547"/>
      <c r="AJ31" s="547"/>
      <c r="AK31" s="547"/>
      <c r="AL31" s="547"/>
      <c r="AM31" s="592" t="str">
        <f t="shared" si="3"/>
        <v/>
      </c>
    </row>
    <row r="32" spans="2:51" ht="14.25" hidden="1" customHeight="1" x14ac:dyDescent="0.25">
      <c r="B32" s="3">
        <v>12</v>
      </c>
      <c r="C32" s="675"/>
      <c r="D32" s="675"/>
      <c r="E32" s="675"/>
      <c r="F32" s="675"/>
      <c r="G32" s="675"/>
      <c r="H32" s="675"/>
      <c r="I32" s="675"/>
      <c r="J32" s="675"/>
      <c r="K32" s="652" t="str">
        <f>IF(N32="","",VLOOKUP($N32,Reinforcements[],2,FALSE))</f>
        <v/>
      </c>
      <c r="L32" s="652"/>
      <c r="M32" s="652"/>
      <c r="N32" s="674"/>
      <c r="O32" s="674"/>
      <c r="P32" s="674"/>
      <c r="Q32" s="674"/>
      <c r="R32" s="652" t="str">
        <f>IFERROR(IF(OR(C32="",G32=""),"",IF($R$20="Number",IF(COUNTA(U32:AL32)=0,"",COUNTA(U32:AL32)),ROUND(MIN((VLOOKUP(C32,'Geometry 2'!$E$4:$AJ$14,19,TRUE)-12*VLOOKUP(C32,'Geometry 2'!$E$4:$AJ$14,32,TRUE)*(C32-VLOOKUP(C32,'Geometry 2'!$E$5:$AH$14,1,TRUE)))*TAN(RADIANS(180/VLOOKUP($C32,'Geometry 2'!$E$4:$AH$14,11,TRUE))),(VLOOKUP(G32,'Geometry 2'!$E$4:$AJ$14,19,TRUE)-12*VLOOKUP(G32,'Geometry 2'!$E$4:$AJ$14,32,TRUE)*(G32-VLOOKUP(G32,'Geometry 2'!$E$5:$AH$14,1,TRUE)))*TAN(RADIANS(180/VLOOKUP($G32,'Geometry 2'!$E$4:$AH$14,11,TRUE)))),2))),"-")</f>
        <v/>
      </c>
      <c r="S32" s="652"/>
      <c r="T32" s="672"/>
      <c r="U32" s="547"/>
      <c r="V32" s="547"/>
      <c r="W32" s="547"/>
      <c r="X32" s="547"/>
      <c r="Y32" s="547"/>
      <c r="Z32" s="547"/>
      <c r="AA32" s="547"/>
      <c r="AB32" s="547"/>
      <c r="AC32" s="547"/>
      <c r="AD32" s="547"/>
      <c r="AE32" s="547"/>
      <c r="AF32" s="547"/>
      <c r="AG32" s="547"/>
      <c r="AH32" s="547"/>
      <c r="AI32" s="547"/>
      <c r="AJ32" s="547"/>
      <c r="AK32" s="547"/>
      <c r="AL32" s="547"/>
      <c r="AM32" s="592" t="str">
        <f t="shared" si="3"/>
        <v/>
      </c>
      <c r="AR32" s="39"/>
      <c r="AV32" s="705"/>
      <c r="AW32" s="705"/>
      <c r="AX32" s="705"/>
      <c r="AY32" s="705"/>
    </row>
    <row r="33" spans="2:39" ht="14.25" hidden="1" customHeight="1" x14ac:dyDescent="0.2">
      <c r="B33" s="3">
        <v>13</v>
      </c>
      <c r="C33" s="675"/>
      <c r="D33" s="675"/>
      <c r="E33" s="675"/>
      <c r="F33" s="675"/>
      <c r="G33" s="675"/>
      <c r="H33" s="675"/>
      <c r="I33" s="675"/>
      <c r="J33" s="675"/>
      <c r="K33" s="652" t="str">
        <f>IF(N33="","",VLOOKUP($N33,Reinforcements[],2,FALSE))</f>
        <v/>
      </c>
      <c r="L33" s="652"/>
      <c r="M33" s="652"/>
      <c r="N33" s="674"/>
      <c r="O33" s="674"/>
      <c r="P33" s="674"/>
      <c r="Q33" s="674"/>
      <c r="R33" s="652" t="str">
        <f>IFERROR(IF(OR(C33="",G33=""),"",IF($R$20="Number",IF(COUNTA(U33:AL33)=0,"",COUNTA(U33:AL33)),ROUND(MIN((VLOOKUP(C33,'Geometry 2'!$E$4:$AJ$14,19,TRUE)-12*VLOOKUP(C33,'Geometry 2'!$E$4:$AJ$14,32,TRUE)*(C33-VLOOKUP(C33,'Geometry 2'!$E$5:$AH$14,1,TRUE)))*TAN(RADIANS(180/VLOOKUP($C33,'Geometry 2'!$E$4:$AH$14,11,TRUE))),(VLOOKUP(G33,'Geometry 2'!$E$4:$AJ$14,19,TRUE)-12*VLOOKUP(G33,'Geometry 2'!$E$4:$AJ$14,32,TRUE)*(G33-VLOOKUP(G33,'Geometry 2'!$E$5:$AH$14,1,TRUE)))*TAN(RADIANS(180/VLOOKUP($G33,'Geometry 2'!$E$4:$AH$14,11,TRUE)))),2))),"-")</f>
        <v/>
      </c>
      <c r="S33" s="652"/>
      <c r="T33" s="672"/>
      <c r="U33" s="547"/>
      <c r="V33" s="547"/>
      <c r="W33" s="547"/>
      <c r="X33" s="547"/>
      <c r="Y33" s="547"/>
      <c r="Z33" s="547"/>
      <c r="AA33" s="547"/>
      <c r="AB33" s="547"/>
      <c r="AC33" s="547"/>
      <c r="AD33" s="547"/>
      <c r="AE33" s="547"/>
      <c r="AF33" s="547"/>
      <c r="AG33" s="547"/>
      <c r="AH33" s="547"/>
      <c r="AI33" s="547"/>
      <c r="AJ33" s="547"/>
      <c r="AK33" s="547"/>
      <c r="AL33" s="547"/>
      <c r="AM33" s="592" t="str">
        <f t="shared" si="3"/>
        <v/>
      </c>
    </row>
    <row r="34" spans="2:39" ht="14.25" hidden="1" customHeight="1" x14ac:dyDescent="0.2">
      <c r="B34" s="3">
        <v>14</v>
      </c>
      <c r="C34" s="675"/>
      <c r="D34" s="675"/>
      <c r="E34" s="675"/>
      <c r="F34" s="675"/>
      <c r="G34" s="675"/>
      <c r="H34" s="675"/>
      <c r="I34" s="675"/>
      <c r="J34" s="675"/>
      <c r="K34" s="652" t="str">
        <f>IF(N34="","",VLOOKUP($N34,Reinforcements[],2,FALSE))</f>
        <v/>
      </c>
      <c r="L34" s="652"/>
      <c r="M34" s="652"/>
      <c r="N34" s="674"/>
      <c r="O34" s="674"/>
      <c r="P34" s="674"/>
      <c r="Q34" s="674"/>
      <c r="R34" s="652" t="str">
        <f>IFERROR(IF(OR(C34="",G34=""),"",IF($R$20="Number",IF(COUNTA(U34:AL34)=0,"",COUNTA(U34:AL34)),ROUND(MIN((VLOOKUP(C34,'Geometry 2'!$E$4:$AJ$14,19,TRUE)-12*VLOOKUP(C34,'Geometry 2'!$E$4:$AJ$14,32,TRUE)*(C34-VLOOKUP(C34,'Geometry 2'!$E$5:$AH$14,1,TRUE)))*TAN(RADIANS(180/VLOOKUP($C34,'Geometry 2'!$E$4:$AH$14,11,TRUE))),(VLOOKUP(G34,'Geometry 2'!$E$4:$AJ$14,19,TRUE)-12*VLOOKUP(G34,'Geometry 2'!$E$4:$AJ$14,32,TRUE)*(G34-VLOOKUP(G34,'Geometry 2'!$E$5:$AH$14,1,TRUE)))*TAN(RADIANS(180/VLOOKUP($G34,'Geometry 2'!$E$4:$AH$14,11,TRUE)))),2))),"-")</f>
        <v/>
      </c>
      <c r="S34" s="652"/>
      <c r="T34" s="672"/>
      <c r="U34" s="547"/>
      <c r="V34" s="547"/>
      <c r="W34" s="547"/>
      <c r="X34" s="547"/>
      <c r="Y34" s="547"/>
      <c r="Z34" s="547"/>
      <c r="AA34" s="547"/>
      <c r="AB34" s="547"/>
      <c r="AC34" s="547"/>
      <c r="AD34" s="547"/>
      <c r="AE34" s="547"/>
      <c r="AF34" s="547"/>
      <c r="AG34" s="547"/>
      <c r="AH34" s="547"/>
      <c r="AI34" s="547"/>
      <c r="AJ34" s="547"/>
      <c r="AK34" s="547"/>
      <c r="AL34" s="547"/>
      <c r="AM34" s="592" t="str">
        <f t="shared" si="3"/>
        <v/>
      </c>
    </row>
    <row r="35" spans="2:39" ht="14.25" hidden="1" customHeight="1" x14ac:dyDescent="0.2">
      <c r="B35" s="3">
        <v>15</v>
      </c>
      <c r="C35" s="675"/>
      <c r="D35" s="675"/>
      <c r="E35" s="675"/>
      <c r="F35" s="675"/>
      <c r="G35" s="675"/>
      <c r="H35" s="675"/>
      <c r="I35" s="675"/>
      <c r="J35" s="675"/>
      <c r="K35" s="652" t="str">
        <f>IF(N35="","",VLOOKUP($N35,Reinforcements[],2,FALSE))</f>
        <v/>
      </c>
      <c r="L35" s="652"/>
      <c r="M35" s="652"/>
      <c r="N35" s="674"/>
      <c r="O35" s="674"/>
      <c r="P35" s="674"/>
      <c r="Q35" s="674"/>
      <c r="R35" s="652" t="str">
        <f>IFERROR(IF(OR(C35="",G35=""),"",IF($R$20="Number",IF(COUNTA(U35:AL35)=0,"",COUNTA(U35:AL35)),ROUND(MIN((VLOOKUP(C35,'Geometry 2'!$E$4:$AJ$14,19,TRUE)-12*VLOOKUP(C35,'Geometry 2'!$E$4:$AJ$14,32,TRUE)*(C35-VLOOKUP(C35,'Geometry 2'!$E$5:$AH$14,1,TRUE)))*TAN(RADIANS(180/VLOOKUP($C35,'Geometry 2'!$E$4:$AH$14,11,TRUE))),(VLOOKUP(G35,'Geometry 2'!$E$4:$AJ$14,19,TRUE)-12*VLOOKUP(G35,'Geometry 2'!$E$4:$AJ$14,32,TRUE)*(G35-VLOOKUP(G35,'Geometry 2'!$E$5:$AH$14,1,TRUE)))*TAN(RADIANS(180/VLOOKUP($G35,'Geometry 2'!$E$4:$AH$14,11,TRUE)))),2))),"-")</f>
        <v/>
      </c>
      <c r="S35" s="652"/>
      <c r="T35" s="672"/>
      <c r="U35" s="547"/>
      <c r="V35" s="547"/>
      <c r="W35" s="547"/>
      <c r="X35" s="547"/>
      <c r="Y35" s="547"/>
      <c r="Z35" s="547"/>
      <c r="AA35" s="547"/>
      <c r="AB35" s="547"/>
      <c r="AC35" s="547"/>
      <c r="AD35" s="547"/>
      <c r="AE35" s="547"/>
      <c r="AF35" s="547"/>
      <c r="AG35" s="547"/>
      <c r="AH35" s="547"/>
      <c r="AI35" s="547"/>
      <c r="AJ35" s="547"/>
      <c r="AK35" s="547"/>
      <c r="AL35" s="547"/>
      <c r="AM35" s="592" t="str">
        <f t="shared" si="3"/>
        <v/>
      </c>
    </row>
    <row r="36" spans="2:39" ht="14.25" hidden="1" customHeight="1" x14ac:dyDescent="0.2">
      <c r="B36" s="3">
        <v>16</v>
      </c>
      <c r="C36" s="675"/>
      <c r="D36" s="675"/>
      <c r="E36" s="675"/>
      <c r="F36" s="675"/>
      <c r="G36" s="675"/>
      <c r="H36" s="675"/>
      <c r="I36" s="675"/>
      <c r="J36" s="675"/>
      <c r="K36" s="652" t="str">
        <f>IF(N36="","",VLOOKUP($N36,Reinforcements[],2,FALSE))</f>
        <v/>
      </c>
      <c r="L36" s="652"/>
      <c r="M36" s="652"/>
      <c r="N36" s="674"/>
      <c r="O36" s="674"/>
      <c r="P36" s="674"/>
      <c r="Q36" s="674"/>
      <c r="R36" s="652" t="str">
        <f>IFERROR(IF(OR(C36="",G36=""),"",IF($R$20="Number",IF(COUNTA(U36:AL36)=0,"",COUNTA(U36:AL36)),ROUND(MIN((VLOOKUP(C36,'Geometry 2'!$E$4:$AJ$14,19,TRUE)-12*VLOOKUP(C36,'Geometry 2'!$E$4:$AJ$14,32,TRUE)*(C36-VLOOKUP(C36,'Geometry 2'!$E$5:$AH$14,1,TRUE)))*TAN(RADIANS(180/VLOOKUP($C36,'Geometry 2'!$E$4:$AH$14,11,TRUE))),(VLOOKUP(G36,'Geometry 2'!$E$4:$AJ$14,19,TRUE)-12*VLOOKUP(G36,'Geometry 2'!$E$4:$AJ$14,32,TRUE)*(G36-VLOOKUP(G36,'Geometry 2'!$E$5:$AH$14,1,TRUE)))*TAN(RADIANS(180/VLOOKUP($G36,'Geometry 2'!$E$4:$AH$14,11,TRUE)))),2))),"-")</f>
        <v/>
      </c>
      <c r="S36" s="652"/>
      <c r="T36" s="672"/>
      <c r="U36" s="547"/>
      <c r="V36" s="547"/>
      <c r="W36" s="547"/>
      <c r="X36" s="547"/>
      <c r="Y36" s="547"/>
      <c r="Z36" s="547"/>
      <c r="AA36" s="547"/>
      <c r="AB36" s="547"/>
      <c r="AC36" s="547"/>
      <c r="AD36" s="547"/>
      <c r="AE36" s="547"/>
      <c r="AF36" s="547"/>
      <c r="AG36" s="547"/>
      <c r="AH36" s="547"/>
      <c r="AI36" s="547"/>
      <c r="AJ36" s="547"/>
      <c r="AK36" s="547"/>
      <c r="AL36" s="547"/>
      <c r="AM36" s="592" t="str">
        <f t="shared" si="3"/>
        <v/>
      </c>
    </row>
    <row r="37" spans="2:39" ht="14.25" hidden="1" customHeight="1" x14ac:dyDescent="0.2">
      <c r="B37" s="3">
        <v>17</v>
      </c>
      <c r="C37" s="675"/>
      <c r="D37" s="675"/>
      <c r="E37" s="675"/>
      <c r="F37" s="675"/>
      <c r="G37" s="675"/>
      <c r="H37" s="675"/>
      <c r="I37" s="675"/>
      <c r="J37" s="675"/>
      <c r="K37" s="652" t="str">
        <f>IF(N37="","",VLOOKUP($N37,Reinforcements[],2,FALSE))</f>
        <v/>
      </c>
      <c r="L37" s="652"/>
      <c r="M37" s="652"/>
      <c r="N37" s="674"/>
      <c r="O37" s="674"/>
      <c r="P37" s="674"/>
      <c r="Q37" s="674"/>
      <c r="R37" s="652" t="str">
        <f>IFERROR(IF(OR(C37="",G37=""),"",IF($R$20="Number",IF(COUNTA(U37:AL37)=0,"",COUNTA(U37:AL37)),ROUND(MIN((VLOOKUP(C37,'Geometry 2'!$E$4:$AJ$14,19,TRUE)-12*VLOOKUP(C37,'Geometry 2'!$E$4:$AJ$14,32,TRUE)*(C37-VLOOKUP(C37,'Geometry 2'!$E$5:$AH$14,1,TRUE)))*TAN(RADIANS(180/VLOOKUP($C37,'Geometry 2'!$E$4:$AH$14,11,TRUE))),(VLOOKUP(G37,'Geometry 2'!$E$4:$AJ$14,19,TRUE)-12*VLOOKUP(G37,'Geometry 2'!$E$4:$AJ$14,32,TRUE)*(G37-VLOOKUP(G37,'Geometry 2'!$E$5:$AH$14,1,TRUE)))*TAN(RADIANS(180/VLOOKUP($G37,'Geometry 2'!$E$4:$AH$14,11,TRUE)))),2))),"-")</f>
        <v/>
      </c>
      <c r="S37" s="652"/>
      <c r="T37" s="672"/>
      <c r="U37" s="547"/>
      <c r="V37" s="547"/>
      <c r="W37" s="547"/>
      <c r="X37" s="547"/>
      <c r="Y37" s="547"/>
      <c r="Z37" s="547"/>
      <c r="AA37" s="547"/>
      <c r="AB37" s="547"/>
      <c r="AC37" s="547"/>
      <c r="AD37" s="547"/>
      <c r="AE37" s="547"/>
      <c r="AF37" s="547"/>
      <c r="AG37" s="547"/>
      <c r="AH37" s="547"/>
      <c r="AI37" s="547"/>
      <c r="AJ37" s="547"/>
      <c r="AK37" s="547"/>
      <c r="AL37" s="547"/>
      <c r="AM37" s="592" t="str">
        <f t="shared" si="3"/>
        <v/>
      </c>
    </row>
    <row r="38" spans="2:39" ht="14.25" hidden="1" customHeight="1" x14ac:dyDescent="0.2">
      <c r="B38" s="3">
        <v>18</v>
      </c>
      <c r="C38" s="675"/>
      <c r="D38" s="675"/>
      <c r="E38" s="675"/>
      <c r="F38" s="675"/>
      <c r="G38" s="675"/>
      <c r="H38" s="675"/>
      <c r="I38" s="675"/>
      <c r="J38" s="675"/>
      <c r="K38" s="652" t="str">
        <f>IF(N38="","",VLOOKUP($N38,Reinforcements[],2,FALSE))</f>
        <v/>
      </c>
      <c r="L38" s="652"/>
      <c r="M38" s="652"/>
      <c r="N38" s="674"/>
      <c r="O38" s="674"/>
      <c r="P38" s="674"/>
      <c r="Q38" s="674"/>
      <c r="R38" s="652" t="str">
        <f>IFERROR(IF(OR(C38="",G38=""),"",IF($R$20="Number",IF(COUNTA(U38:AL38)=0,"",COUNTA(U38:AL38)),ROUND(MIN((VLOOKUP(C38,'Geometry 2'!$E$4:$AJ$14,19,TRUE)-12*VLOOKUP(C38,'Geometry 2'!$E$4:$AJ$14,32,TRUE)*(C38-VLOOKUP(C38,'Geometry 2'!$E$5:$AH$14,1,TRUE)))*TAN(RADIANS(180/VLOOKUP($C38,'Geometry 2'!$E$4:$AH$14,11,TRUE))),(VLOOKUP(G38,'Geometry 2'!$E$4:$AJ$14,19,TRUE)-12*VLOOKUP(G38,'Geometry 2'!$E$4:$AJ$14,32,TRUE)*(G38-VLOOKUP(G38,'Geometry 2'!$E$5:$AH$14,1,TRUE)))*TAN(RADIANS(180/VLOOKUP($G38,'Geometry 2'!$E$4:$AH$14,11,TRUE)))),2))),"-")</f>
        <v/>
      </c>
      <c r="S38" s="652"/>
      <c r="T38" s="672"/>
      <c r="U38" s="547"/>
      <c r="V38" s="547"/>
      <c r="W38" s="547"/>
      <c r="X38" s="547"/>
      <c r="Y38" s="547"/>
      <c r="Z38" s="547"/>
      <c r="AA38" s="547"/>
      <c r="AB38" s="547"/>
      <c r="AC38" s="547"/>
      <c r="AD38" s="547"/>
      <c r="AE38" s="547"/>
      <c r="AF38" s="547"/>
      <c r="AG38" s="547"/>
      <c r="AH38" s="547"/>
      <c r="AI38" s="547"/>
      <c r="AJ38" s="547"/>
      <c r="AK38" s="547"/>
      <c r="AL38" s="547"/>
      <c r="AM38" s="592" t="str">
        <f t="shared" si="3"/>
        <v/>
      </c>
    </row>
    <row r="39" spans="2:39" ht="14.25" hidden="1" customHeight="1" x14ac:dyDescent="0.2">
      <c r="B39" s="3">
        <v>19</v>
      </c>
      <c r="C39" s="675"/>
      <c r="D39" s="675"/>
      <c r="E39" s="675"/>
      <c r="F39" s="675"/>
      <c r="G39" s="675"/>
      <c r="H39" s="675"/>
      <c r="I39" s="675"/>
      <c r="J39" s="675"/>
      <c r="K39" s="652" t="str">
        <f>IF(N39="","",VLOOKUP($N39,Reinforcements[],2,FALSE))</f>
        <v/>
      </c>
      <c r="L39" s="652"/>
      <c r="M39" s="652"/>
      <c r="N39" s="674"/>
      <c r="O39" s="674"/>
      <c r="P39" s="674"/>
      <c r="Q39" s="674"/>
      <c r="R39" s="652" t="str">
        <f>IFERROR(IF(OR(C39="",G39=""),"",IF($R$20="Number",IF(COUNTA(U39:AL39)=0,"",COUNTA(U39:AL39)),ROUND(MIN((VLOOKUP(C39,'Geometry 2'!$E$4:$AJ$14,19,TRUE)-12*VLOOKUP(C39,'Geometry 2'!$E$4:$AJ$14,32,TRUE)*(C39-VLOOKUP(C39,'Geometry 2'!$E$5:$AH$14,1,TRUE)))*TAN(RADIANS(180/VLOOKUP($C39,'Geometry 2'!$E$4:$AH$14,11,TRUE))),(VLOOKUP(G39,'Geometry 2'!$E$4:$AJ$14,19,TRUE)-12*VLOOKUP(G39,'Geometry 2'!$E$4:$AJ$14,32,TRUE)*(G39-VLOOKUP(G39,'Geometry 2'!$E$5:$AH$14,1,TRUE)))*TAN(RADIANS(180/VLOOKUP($G39,'Geometry 2'!$E$4:$AH$14,11,TRUE)))),2))),"-")</f>
        <v/>
      </c>
      <c r="S39" s="652"/>
      <c r="T39" s="672"/>
      <c r="U39" s="547"/>
      <c r="V39" s="547"/>
      <c r="W39" s="547"/>
      <c r="X39" s="547"/>
      <c r="Y39" s="547"/>
      <c r="Z39" s="547"/>
      <c r="AA39" s="547"/>
      <c r="AB39" s="547"/>
      <c r="AC39" s="547"/>
      <c r="AD39" s="547"/>
      <c r="AE39" s="547"/>
      <c r="AF39" s="547"/>
      <c r="AG39" s="547"/>
      <c r="AH39" s="547"/>
      <c r="AI39" s="547"/>
      <c r="AJ39" s="547"/>
      <c r="AK39" s="547"/>
      <c r="AL39" s="547"/>
      <c r="AM39" s="592" t="str">
        <f t="shared" si="3"/>
        <v/>
      </c>
    </row>
    <row r="40" spans="2:39" ht="14.25" hidden="1" customHeight="1" x14ac:dyDescent="0.2">
      <c r="B40" s="3">
        <v>20</v>
      </c>
      <c r="C40" s="675"/>
      <c r="D40" s="675"/>
      <c r="E40" s="675"/>
      <c r="F40" s="675"/>
      <c r="G40" s="675"/>
      <c r="H40" s="675"/>
      <c r="I40" s="675"/>
      <c r="J40" s="675"/>
      <c r="K40" s="652" t="str">
        <f>IF(N40="","",VLOOKUP($N40,Reinforcements[],2,FALSE))</f>
        <v/>
      </c>
      <c r="L40" s="652"/>
      <c r="M40" s="652"/>
      <c r="N40" s="674"/>
      <c r="O40" s="674"/>
      <c r="P40" s="674"/>
      <c r="Q40" s="674"/>
      <c r="R40" s="652" t="str">
        <f>IFERROR(IF(OR(C40="",G40=""),"",IF($R$20="Number",IF(COUNTA(U40:AL40)=0,"",COUNTA(U40:AL40)),ROUND(MIN((VLOOKUP(C40,'Geometry 2'!$E$4:$AJ$14,19,TRUE)-12*VLOOKUP(C40,'Geometry 2'!$E$4:$AJ$14,32,TRUE)*(C40-VLOOKUP(C40,'Geometry 2'!$E$5:$AH$14,1,TRUE)))*TAN(RADIANS(180/VLOOKUP($C40,'Geometry 2'!$E$4:$AH$14,11,TRUE))),(VLOOKUP(G40,'Geometry 2'!$E$4:$AJ$14,19,TRUE)-12*VLOOKUP(G40,'Geometry 2'!$E$4:$AJ$14,32,TRUE)*(G40-VLOOKUP(G40,'Geometry 2'!$E$5:$AH$14,1,TRUE)))*TAN(RADIANS(180/VLOOKUP($G40,'Geometry 2'!$E$4:$AH$14,11,TRUE)))),2))),"-")</f>
        <v/>
      </c>
      <c r="S40" s="652"/>
      <c r="T40" s="672"/>
      <c r="U40" s="547"/>
      <c r="V40" s="547"/>
      <c r="W40" s="547"/>
      <c r="X40" s="547"/>
      <c r="Y40" s="547"/>
      <c r="Z40" s="547"/>
      <c r="AA40" s="547"/>
      <c r="AB40" s="547"/>
      <c r="AC40" s="547"/>
      <c r="AD40" s="547"/>
      <c r="AE40" s="547"/>
      <c r="AF40" s="547"/>
      <c r="AG40" s="547"/>
      <c r="AH40" s="547"/>
      <c r="AI40" s="547"/>
      <c r="AJ40" s="547"/>
      <c r="AK40" s="547"/>
      <c r="AL40" s="547"/>
      <c r="AM40" s="592" t="str">
        <f t="shared" si="3"/>
        <v/>
      </c>
    </row>
    <row r="41" spans="2:39" ht="14.25" hidden="1" customHeight="1" x14ac:dyDescent="0.2">
      <c r="B41" s="3">
        <v>21</v>
      </c>
      <c r="C41" s="675"/>
      <c r="D41" s="675"/>
      <c r="E41" s="675"/>
      <c r="F41" s="675"/>
      <c r="G41" s="675"/>
      <c r="H41" s="675"/>
      <c r="I41" s="675"/>
      <c r="J41" s="675"/>
      <c r="K41" s="652" t="str">
        <f>IF(N41="","",VLOOKUP($N41,Reinforcements[],2,FALSE))</f>
        <v/>
      </c>
      <c r="L41" s="652"/>
      <c r="M41" s="652"/>
      <c r="N41" s="674"/>
      <c r="O41" s="674"/>
      <c r="P41" s="674"/>
      <c r="Q41" s="674"/>
      <c r="R41" s="652" t="str">
        <f>IFERROR(IF(OR(C41="",G41=""),"",IF($R$20="Number",IF(COUNTA(U41:AL41)=0,"",COUNTA(U41:AL41)),ROUND(MIN((VLOOKUP(C41,'Geometry 2'!$E$4:$AJ$14,19,TRUE)-12*VLOOKUP(C41,'Geometry 2'!$E$4:$AJ$14,32,TRUE)*(C41-VLOOKUP(C41,'Geometry 2'!$E$5:$AH$14,1,TRUE)))*TAN(RADIANS(180/VLOOKUP($C41,'Geometry 2'!$E$4:$AH$14,11,TRUE))),(VLOOKUP(G41,'Geometry 2'!$E$4:$AJ$14,19,TRUE)-12*VLOOKUP(G41,'Geometry 2'!$E$4:$AJ$14,32,TRUE)*(G41-VLOOKUP(G41,'Geometry 2'!$E$5:$AH$14,1,TRUE)))*TAN(RADIANS(180/VLOOKUP($G41,'Geometry 2'!$E$4:$AH$14,11,TRUE)))),2))),"-")</f>
        <v/>
      </c>
      <c r="S41" s="652"/>
      <c r="T41" s="672"/>
      <c r="U41" s="547"/>
      <c r="V41" s="547"/>
      <c r="W41" s="547"/>
      <c r="X41" s="547"/>
      <c r="Y41" s="547"/>
      <c r="Z41" s="547"/>
      <c r="AA41" s="547"/>
      <c r="AB41" s="547"/>
      <c r="AC41" s="547"/>
      <c r="AD41" s="547"/>
      <c r="AE41" s="547"/>
      <c r="AF41" s="547"/>
      <c r="AG41" s="547"/>
      <c r="AH41" s="547"/>
      <c r="AI41" s="547"/>
      <c r="AJ41" s="547"/>
      <c r="AK41" s="547"/>
      <c r="AL41" s="547"/>
      <c r="AM41" s="592" t="str">
        <f t="shared" si="3"/>
        <v/>
      </c>
    </row>
    <row r="42" spans="2:39" ht="14.25" hidden="1" customHeight="1" x14ac:dyDescent="0.2">
      <c r="B42" s="3">
        <v>22</v>
      </c>
      <c r="C42" s="675"/>
      <c r="D42" s="675"/>
      <c r="E42" s="675"/>
      <c r="F42" s="675"/>
      <c r="G42" s="675"/>
      <c r="H42" s="675"/>
      <c r="I42" s="675"/>
      <c r="J42" s="675"/>
      <c r="K42" s="652" t="str">
        <f>IF(N42="","",VLOOKUP($N42,Reinforcements[],2,FALSE))</f>
        <v/>
      </c>
      <c r="L42" s="652"/>
      <c r="M42" s="652"/>
      <c r="N42" s="674"/>
      <c r="O42" s="674"/>
      <c r="P42" s="674"/>
      <c r="Q42" s="674"/>
      <c r="R42" s="652" t="str">
        <f>IFERROR(IF(OR(C42="",G42=""),"",IF($R$20="Number",IF(COUNTA(U42:AL42)=0,"",COUNTA(U42:AL42)),ROUND(MIN((VLOOKUP(C42,'Geometry 2'!$E$4:$AJ$14,19,TRUE)-12*VLOOKUP(C42,'Geometry 2'!$E$4:$AJ$14,32,TRUE)*(C42-VLOOKUP(C42,'Geometry 2'!$E$5:$AH$14,1,TRUE)))*TAN(RADIANS(180/VLOOKUP($C42,'Geometry 2'!$E$4:$AH$14,11,TRUE))),(VLOOKUP(G42,'Geometry 2'!$E$4:$AJ$14,19,TRUE)-12*VLOOKUP(G42,'Geometry 2'!$E$4:$AJ$14,32,TRUE)*(G42-VLOOKUP(G42,'Geometry 2'!$E$5:$AH$14,1,TRUE)))*TAN(RADIANS(180/VLOOKUP($G42,'Geometry 2'!$E$4:$AH$14,11,TRUE)))),2))),"-")</f>
        <v/>
      </c>
      <c r="S42" s="652"/>
      <c r="T42" s="672"/>
      <c r="U42" s="547"/>
      <c r="V42" s="547"/>
      <c r="W42" s="547"/>
      <c r="X42" s="547"/>
      <c r="Y42" s="547"/>
      <c r="Z42" s="547"/>
      <c r="AA42" s="547"/>
      <c r="AB42" s="547"/>
      <c r="AC42" s="547"/>
      <c r="AD42" s="547"/>
      <c r="AE42" s="547"/>
      <c r="AF42" s="547"/>
      <c r="AG42" s="547"/>
      <c r="AH42" s="547"/>
      <c r="AI42" s="547"/>
      <c r="AJ42" s="547"/>
      <c r="AK42" s="547"/>
      <c r="AL42" s="547"/>
      <c r="AM42" s="592" t="str">
        <f t="shared" si="3"/>
        <v/>
      </c>
    </row>
    <row r="43" spans="2:39" ht="14.25" hidden="1" customHeight="1" x14ac:dyDescent="0.2">
      <c r="B43" s="3">
        <v>23</v>
      </c>
      <c r="C43" s="675"/>
      <c r="D43" s="675"/>
      <c r="E43" s="675"/>
      <c r="F43" s="675"/>
      <c r="G43" s="675"/>
      <c r="H43" s="675"/>
      <c r="I43" s="675"/>
      <c r="J43" s="675"/>
      <c r="K43" s="652" t="str">
        <f>IF(N43="","",VLOOKUP($N43,Reinforcements[],2,FALSE))</f>
        <v/>
      </c>
      <c r="L43" s="652"/>
      <c r="M43" s="652"/>
      <c r="N43" s="674"/>
      <c r="O43" s="674"/>
      <c r="P43" s="674"/>
      <c r="Q43" s="674"/>
      <c r="R43" s="652" t="str">
        <f>IFERROR(IF(OR(C43="",G43=""),"",IF($R$20="Number",IF(COUNTA(U43:AL43)=0,"",COUNTA(U43:AL43)),ROUND(MIN((VLOOKUP(C43,'Geometry 2'!$E$4:$AJ$14,19,TRUE)-12*VLOOKUP(C43,'Geometry 2'!$E$4:$AJ$14,32,TRUE)*(C43-VLOOKUP(C43,'Geometry 2'!$E$5:$AH$14,1,TRUE)))*TAN(RADIANS(180/VLOOKUP($C43,'Geometry 2'!$E$4:$AH$14,11,TRUE))),(VLOOKUP(G43,'Geometry 2'!$E$4:$AJ$14,19,TRUE)-12*VLOOKUP(G43,'Geometry 2'!$E$4:$AJ$14,32,TRUE)*(G43-VLOOKUP(G43,'Geometry 2'!$E$5:$AH$14,1,TRUE)))*TAN(RADIANS(180/VLOOKUP($G43,'Geometry 2'!$E$4:$AH$14,11,TRUE)))),2))),"-")</f>
        <v/>
      </c>
      <c r="S43" s="652"/>
      <c r="T43" s="672"/>
      <c r="U43" s="547"/>
      <c r="V43" s="547"/>
      <c r="W43" s="547"/>
      <c r="X43" s="547"/>
      <c r="Y43" s="547"/>
      <c r="Z43" s="547"/>
      <c r="AA43" s="547"/>
      <c r="AB43" s="547"/>
      <c r="AC43" s="547"/>
      <c r="AD43" s="547"/>
      <c r="AE43" s="547"/>
      <c r="AF43" s="547"/>
      <c r="AG43" s="547"/>
      <c r="AH43" s="547"/>
      <c r="AI43" s="547"/>
      <c r="AJ43" s="547"/>
      <c r="AK43" s="547"/>
      <c r="AL43" s="547"/>
      <c r="AM43" s="592" t="str">
        <f t="shared" si="3"/>
        <v/>
      </c>
    </row>
    <row r="44" spans="2:39" ht="14.25" hidden="1" customHeight="1" x14ac:dyDescent="0.2">
      <c r="B44" s="3">
        <v>24</v>
      </c>
      <c r="C44" s="675"/>
      <c r="D44" s="675"/>
      <c r="E44" s="675"/>
      <c r="F44" s="675"/>
      <c r="G44" s="675"/>
      <c r="H44" s="675"/>
      <c r="I44" s="675"/>
      <c r="J44" s="675"/>
      <c r="K44" s="652" t="str">
        <f>IF(N44="","",VLOOKUP($N44,Reinforcements[],2,FALSE))</f>
        <v/>
      </c>
      <c r="L44" s="652"/>
      <c r="M44" s="652"/>
      <c r="N44" s="674"/>
      <c r="O44" s="674"/>
      <c r="P44" s="674"/>
      <c r="Q44" s="674"/>
      <c r="R44" s="652" t="str">
        <f>IFERROR(IF(OR(C44="",G44=""),"",IF($R$20="Number",IF(COUNTA(U44:AL44)=0,"",COUNTA(U44:AL44)),ROUND(MIN((VLOOKUP(C44,'Geometry 2'!$E$4:$AJ$14,19,TRUE)-12*VLOOKUP(C44,'Geometry 2'!$E$4:$AJ$14,32,TRUE)*(C44-VLOOKUP(C44,'Geometry 2'!$E$5:$AH$14,1,TRUE)))*TAN(RADIANS(180/VLOOKUP($C44,'Geometry 2'!$E$4:$AH$14,11,TRUE))),(VLOOKUP(G44,'Geometry 2'!$E$4:$AJ$14,19,TRUE)-12*VLOOKUP(G44,'Geometry 2'!$E$4:$AJ$14,32,TRUE)*(G44-VLOOKUP(G44,'Geometry 2'!$E$5:$AH$14,1,TRUE)))*TAN(RADIANS(180/VLOOKUP($G44,'Geometry 2'!$E$4:$AH$14,11,TRUE)))),2))),"-")</f>
        <v/>
      </c>
      <c r="S44" s="652"/>
      <c r="T44" s="672"/>
      <c r="U44" s="547"/>
      <c r="V44" s="547"/>
      <c r="W44" s="547"/>
      <c r="X44" s="547"/>
      <c r="Y44" s="547"/>
      <c r="Z44" s="547"/>
      <c r="AA44" s="547"/>
      <c r="AB44" s="547"/>
      <c r="AC44" s="547"/>
      <c r="AD44" s="547"/>
      <c r="AE44" s="547"/>
      <c r="AF44" s="547"/>
      <c r="AG44" s="547"/>
      <c r="AH44" s="547"/>
      <c r="AI44" s="547"/>
      <c r="AJ44" s="547"/>
      <c r="AK44" s="547"/>
      <c r="AL44" s="547"/>
      <c r="AM44" s="592" t="str">
        <f t="shared" si="3"/>
        <v/>
      </c>
    </row>
    <row r="45" spans="2:39" ht="14.25" hidden="1" customHeight="1" x14ac:dyDescent="0.2">
      <c r="B45" s="3">
        <v>25</v>
      </c>
      <c r="C45" s="675"/>
      <c r="D45" s="675"/>
      <c r="E45" s="675"/>
      <c r="F45" s="675"/>
      <c r="G45" s="675"/>
      <c r="H45" s="675"/>
      <c r="I45" s="675"/>
      <c r="J45" s="675"/>
      <c r="K45" s="652" t="str">
        <f>IF(N45="","",VLOOKUP($N45,Reinforcements[],2,FALSE))</f>
        <v/>
      </c>
      <c r="L45" s="652"/>
      <c r="M45" s="652"/>
      <c r="N45" s="674"/>
      <c r="O45" s="674"/>
      <c r="P45" s="674"/>
      <c r="Q45" s="674"/>
      <c r="R45" s="652" t="str">
        <f>IFERROR(IF(OR(C45="",G45=""),"",IF($R$20="Number",IF(COUNTA(U45:AL45)=0,"",COUNTA(U45:AL45)),ROUND(MIN((VLOOKUP(C45,'Geometry 2'!$E$4:$AJ$14,19,TRUE)-12*VLOOKUP(C45,'Geometry 2'!$E$4:$AJ$14,32,TRUE)*(C45-VLOOKUP(C45,'Geometry 2'!$E$5:$AH$14,1,TRUE)))*TAN(RADIANS(180/VLOOKUP($C45,'Geometry 2'!$E$4:$AH$14,11,TRUE))),(VLOOKUP(G45,'Geometry 2'!$E$4:$AJ$14,19,TRUE)-12*VLOOKUP(G45,'Geometry 2'!$E$4:$AJ$14,32,TRUE)*(G45-VLOOKUP(G45,'Geometry 2'!$E$5:$AH$14,1,TRUE)))*TAN(RADIANS(180/VLOOKUP($G45,'Geometry 2'!$E$4:$AH$14,11,TRUE)))),2))),"-")</f>
        <v/>
      </c>
      <c r="S45" s="652"/>
      <c r="T45" s="672"/>
      <c r="U45" s="547"/>
      <c r="V45" s="547"/>
      <c r="W45" s="547"/>
      <c r="X45" s="547"/>
      <c r="Y45" s="547"/>
      <c r="Z45" s="547"/>
      <c r="AA45" s="547"/>
      <c r="AB45" s="547"/>
      <c r="AC45" s="547"/>
      <c r="AD45" s="547"/>
      <c r="AE45" s="547"/>
      <c r="AF45" s="547"/>
      <c r="AG45" s="547"/>
      <c r="AH45" s="547"/>
      <c r="AI45" s="547"/>
      <c r="AJ45" s="547"/>
      <c r="AK45" s="547"/>
      <c r="AL45" s="547"/>
      <c r="AM45" s="592" t="str">
        <f t="shared" si="3"/>
        <v/>
      </c>
    </row>
    <row r="46" spans="2:39" ht="14.25" hidden="1" customHeight="1" x14ac:dyDescent="0.2">
      <c r="B46" s="3">
        <v>26</v>
      </c>
      <c r="C46" s="675"/>
      <c r="D46" s="675"/>
      <c r="E46" s="675"/>
      <c r="F46" s="675"/>
      <c r="G46" s="675"/>
      <c r="H46" s="675"/>
      <c r="I46" s="675"/>
      <c r="J46" s="675"/>
      <c r="K46" s="652" t="str">
        <f>IF(N46="","",VLOOKUP($N46,Reinforcements[],2,FALSE))</f>
        <v/>
      </c>
      <c r="L46" s="652"/>
      <c r="M46" s="652"/>
      <c r="N46" s="674"/>
      <c r="O46" s="674"/>
      <c r="P46" s="674"/>
      <c r="Q46" s="674"/>
      <c r="R46" s="652" t="str">
        <f>IFERROR(IF(OR(C46="",G46=""),"",IF($R$20="Number",IF(COUNTA(U46:AL46)=0,"",COUNTA(U46:AL46)),ROUND(MIN((VLOOKUP(C46,'Geometry 2'!$E$4:$AJ$14,19,TRUE)-12*VLOOKUP(C46,'Geometry 2'!$E$4:$AJ$14,32,TRUE)*(C46-VLOOKUP(C46,'Geometry 2'!$E$5:$AH$14,1,TRUE)))*TAN(RADIANS(180/VLOOKUP($C46,'Geometry 2'!$E$4:$AH$14,11,TRUE))),(VLOOKUP(G46,'Geometry 2'!$E$4:$AJ$14,19,TRUE)-12*VLOOKUP(G46,'Geometry 2'!$E$4:$AJ$14,32,TRUE)*(G46-VLOOKUP(G46,'Geometry 2'!$E$5:$AH$14,1,TRUE)))*TAN(RADIANS(180/VLOOKUP($G46,'Geometry 2'!$E$4:$AH$14,11,TRUE)))),2))),"-")</f>
        <v/>
      </c>
      <c r="S46" s="652"/>
      <c r="T46" s="672"/>
      <c r="U46" s="547"/>
      <c r="V46" s="547"/>
      <c r="W46" s="547"/>
      <c r="X46" s="547"/>
      <c r="Y46" s="547"/>
      <c r="Z46" s="547"/>
      <c r="AA46" s="547"/>
      <c r="AB46" s="547"/>
      <c r="AC46" s="547"/>
      <c r="AD46" s="547"/>
      <c r="AE46" s="547"/>
      <c r="AF46" s="547"/>
      <c r="AG46" s="547"/>
      <c r="AH46" s="547"/>
      <c r="AI46" s="547"/>
      <c r="AJ46" s="547"/>
      <c r="AK46" s="547"/>
      <c r="AL46" s="547"/>
      <c r="AM46" s="592" t="str">
        <f t="shared" si="3"/>
        <v/>
      </c>
    </row>
    <row r="47" spans="2:39" ht="14.25" hidden="1" customHeight="1" x14ac:dyDescent="0.2">
      <c r="B47" s="3">
        <v>27</v>
      </c>
      <c r="C47" s="675"/>
      <c r="D47" s="675"/>
      <c r="E47" s="675"/>
      <c r="F47" s="675"/>
      <c r="G47" s="675"/>
      <c r="H47" s="675"/>
      <c r="I47" s="675"/>
      <c r="J47" s="675"/>
      <c r="K47" s="652" t="str">
        <f>IF(N47="","",VLOOKUP($N47,Reinforcements[],2,FALSE))</f>
        <v/>
      </c>
      <c r="L47" s="652"/>
      <c r="M47" s="652"/>
      <c r="N47" s="674"/>
      <c r="O47" s="674"/>
      <c r="P47" s="674"/>
      <c r="Q47" s="674"/>
      <c r="R47" s="652" t="str">
        <f>IFERROR(IF(OR(C47="",G47=""),"",IF($R$20="Number",IF(COUNTA(U47:AL47)=0,"",COUNTA(U47:AL47)),ROUND(MIN((VLOOKUP(C47,'Geometry 2'!$E$4:$AJ$14,19,TRUE)-12*VLOOKUP(C47,'Geometry 2'!$E$4:$AJ$14,32,TRUE)*(C47-VLOOKUP(C47,'Geometry 2'!$E$5:$AH$14,1,TRUE)))*TAN(RADIANS(180/VLOOKUP($C47,'Geometry 2'!$E$4:$AH$14,11,TRUE))),(VLOOKUP(G47,'Geometry 2'!$E$4:$AJ$14,19,TRUE)-12*VLOOKUP(G47,'Geometry 2'!$E$4:$AJ$14,32,TRUE)*(G47-VLOOKUP(G47,'Geometry 2'!$E$5:$AH$14,1,TRUE)))*TAN(RADIANS(180/VLOOKUP($G47,'Geometry 2'!$E$4:$AH$14,11,TRUE)))),2))),"-")</f>
        <v/>
      </c>
      <c r="S47" s="652"/>
      <c r="T47" s="672"/>
      <c r="U47" s="547"/>
      <c r="V47" s="547"/>
      <c r="W47" s="547"/>
      <c r="X47" s="547"/>
      <c r="Y47" s="547"/>
      <c r="Z47" s="547"/>
      <c r="AA47" s="547"/>
      <c r="AB47" s="547"/>
      <c r="AC47" s="547"/>
      <c r="AD47" s="547"/>
      <c r="AE47" s="547"/>
      <c r="AF47" s="547"/>
      <c r="AG47" s="547"/>
      <c r="AH47" s="547"/>
      <c r="AI47" s="547"/>
      <c r="AJ47" s="547"/>
      <c r="AK47" s="547"/>
      <c r="AL47" s="547"/>
      <c r="AM47" s="592" t="str">
        <f t="shared" si="3"/>
        <v/>
      </c>
    </row>
    <row r="48" spans="2:39" ht="14.25" hidden="1" customHeight="1" x14ac:dyDescent="0.2">
      <c r="B48" s="3">
        <v>28</v>
      </c>
      <c r="C48" s="675"/>
      <c r="D48" s="675"/>
      <c r="E48" s="675"/>
      <c r="F48" s="675"/>
      <c r="G48" s="675"/>
      <c r="H48" s="675"/>
      <c r="I48" s="675"/>
      <c r="J48" s="675"/>
      <c r="K48" s="652" t="str">
        <f>IF(N48="","",VLOOKUP($N48,Reinforcements[],2,FALSE))</f>
        <v/>
      </c>
      <c r="L48" s="652"/>
      <c r="M48" s="652"/>
      <c r="N48" s="674"/>
      <c r="O48" s="674"/>
      <c r="P48" s="674"/>
      <c r="Q48" s="674"/>
      <c r="R48" s="652" t="str">
        <f>IFERROR(IF(OR(C48="",G48=""),"",IF($R$20="Number",IF(COUNTA(U48:AL48)=0,"",COUNTA(U48:AL48)),ROUND(MIN((VLOOKUP(C48,'Geometry 2'!$E$4:$AJ$14,19,TRUE)-12*VLOOKUP(C48,'Geometry 2'!$E$4:$AJ$14,32,TRUE)*(C48-VLOOKUP(C48,'Geometry 2'!$E$5:$AH$14,1,TRUE)))*TAN(RADIANS(180/VLOOKUP($C48,'Geometry 2'!$E$4:$AH$14,11,TRUE))),(VLOOKUP(G48,'Geometry 2'!$E$4:$AJ$14,19,TRUE)-12*VLOOKUP(G48,'Geometry 2'!$E$4:$AJ$14,32,TRUE)*(G48-VLOOKUP(G48,'Geometry 2'!$E$5:$AH$14,1,TRUE)))*TAN(RADIANS(180/VLOOKUP($G48,'Geometry 2'!$E$4:$AH$14,11,TRUE)))),2))),"-")</f>
        <v/>
      </c>
      <c r="S48" s="652"/>
      <c r="T48" s="672"/>
      <c r="U48" s="547"/>
      <c r="V48" s="547"/>
      <c r="W48" s="547"/>
      <c r="X48" s="547"/>
      <c r="Y48" s="547"/>
      <c r="Z48" s="547"/>
      <c r="AA48" s="547"/>
      <c r="AB48" s="547"/>
      <c r="AC48" s="547"/>
      <c r="AD48" s="547"/>
      <c r="AE48" s="547"/>
      <c r="AF48" s="547"/>
      <c r="AG48" s="547"/>
      <c r="AH48" s="547"/>
      <c r="AI48" s="547"/>
      <c r="AJ48" s="547"/>
      <c r="AK48" s="547"/>
      <c r="AL48" s="547"/>
      <c r="AM48" s="592" t="str">
        <f t="shared" si="3"/>
        <v/>
      </c>
    </row>
    <row r="49" spans="2:39" ht="14.25" hidden="1" customHeight="1" x14ac:dyDescent="0.2">
      <c r="B49" s="3">
        <v>29</v>
      </c>
      <c r="C49" s="675"/>
      <c r="D49" s="675"/>
      <c r="E49" s="675"/>
      <c r="F49" s="675"/>
      <c r="G49" s="675"/>
      <c r="H49" s="675"/>
      <c r="I49" s="675"/>
      <c r="J49" s="675"/>
      <c r="K49" s="652" t="str">
        <f>IF(N49="","",VLOOKUP($N49,Reinforcements[],2,FALSE))</f>
        <v/>
      </c>
      <c r="L49" s="652"/>
      <c r="M49" s="652"/>
      <c r="N49" s="674"/>
      <c r="O49" s="674"/>
      <c r="P49" s="674"/>
      <c r="Q49" s="674"/>
      <c r="R49" s="652" t="str">
        <f>IFERROR(IF(OR(C49="",G49=""),"",IF($R$20="Number",IF(COUNTA(U49:AL49)=0,"",COUNTA(U49:AL49)),ROUND(MIN((VLOOKUP(C49,'Geometry 2'!$E$4:$AJ$14,19,TRUE)-12*VLOOKUP(C49,'Geometry 2'!$E$4:$AJ$14,32,TRUE)*(C49-VLOOKUP(C49,'Geometry 2'!$E$5:$AH$14,1,TRUE)))*TAN(RADIANS(180/VLOOKUP($C49,'Geometry 2'!$E$4:$AH$14,11,TRUE))),(VLOOKUP(G49,'Geometry 2'!$E$4:$AJ$14,19,TRUE)-12*VLOOKUP(G49,'Geometry 2'!$E$4:$AJ$14,32,TRUE)*(G49-VLOOKUP(G49,'Geometry 2'!$E$5:$AH$14,1,TRUE)))*TAN(RADIANS(180/VLOOKUP($G49,'Geometry 2'!$E$4:$AH$14,11,TRUE)))),2))),"-")</f>
        <v/>
      </c>
      <c r="S49" s="652"/>
      <c r="T49" s="672"/>
      <c r="U49" s="547"/>
      <c r="V49" s="547"/>
      <c r="W49" s="547"/>
      <c r="X49" s="547"/>
      <c r="Y49" s="547"/>
      <c r="Z49" s="547"/>
      <c r="AA49" s="547"/>
      <c r="AB49" s="547"/>
      <c r="AC49" s="547"/>
      <c r="AD49" s="547"/>
      <c r="AE49" s="547"/>
      <c r="AF49" s="547"/>
      <c r="AG49" s="547"/>
      <c r="AH49" s="547"/>
      <c r="AI49" s="547"/>
      <c r="AJ49" s="547"/>
      <c r="AK49" s="547"/>
      <c r="AL49" s="547"/>
      <c r="AM49" s="592" t="str">
        <f t="shared" si="3"/>
        <v/>
      </c>
    </row>
    <row r="50" spans="2:39" ht="14.25" hidden="1" customHeight="1" x14ac:dyDescent="0.2">
      <c r="B50" s="3">
        <v>30</v>
      </c>
      <c r="C50" s="675"/>
      <c r="D50" s="675"/>
      <c r="E50" s="675"/>
      <c r="F50" s="675"/>
      <c r="G50" s="675"/>
      <c r="H50" s="675"/>
      <c r="I50" s="675"/>
      <c r="J50" s="675"/>
      <c r="K50" s="652" t="str">
        <f>IF(N50="","",VLOOKUP($N50,Reinforcements[],2,FALSE))</f>
        <v/>
      </c>
      <c r="L50" s="652"/>
      <c r="M50" s="652"/>
      <c r="N50" s="674"/>
      <c r="O50" s="674"/>
      <c r="P50" s="674"/>
      <c r="Q50" s="674"/>
      <c r="R50" s="652" t="str">
        <f>IFERROR(IF(OR(C50="",G50=""),"",IF($R$20="Number",IF(COUNTA(U50:AL50)=0,"",COUNTA(U50:AL50)),ROUND(MIN((VLOOKUP(C50,'Geometry 2'!$E$4:$AJ$14,19,TRUE)-12*VLOOKUP(C50,'Geometry 2'!$E$4:$AJ$14,32,TRUE)*(C50-VLOOKUP(C50,'Geometry 2'!$E$5:$AH$14,1,TRUE)))*TAN(RADIANS(180/VLOOKUP($C50,'Geometry 2'!$E$4:$AH$14,11,TRUE))),(VLOOKUP(G50,'Geometry 2'!$E$4:$AJ$14,19,TRUE)-12*VLOOKUP(G50,'Geometry 2'!$E$4:$AJ$14,32,TRUE)*(G50-VLOOKUP(G50,'Geometry 2'!$E$5:$AH$14,1,TRUE)))*TAN(RADIANS(180/VLOOKUP($G50,'Geometry 2'!$E$4:$AH$14,11,TRUE)))),2))),"-")</f>
        <v/>
      </c>
      <c r="S50" s="652"/>
      <c r="T50" s="672"/>
      <c r="U50" s="547"/>
      <c r="V50" s="547"/>
      <c r="W50" s="547"/>
      <c r="X50" s="547"/>
      <c r="Y50" s="547"/>
      <c r="Z50" s="547"/>
      <c r="AA50" s="547"/>
      <c r="AB50" s="547"/>
      <c r="AC50" s="547"/>
      <c r="AD50" s="547"/>
      <c r="AE50" s="547"/>
      <c r="AF50" s="547"/>
      <c r="AG50" s="547"/>
      <c r="AH50" s="547"/>
      <c r="AI50" s="547"/>
      <c r="AJ50" s="547"/>
      <c r="AK50" s="547"/>
      <c r="AL50" s="547"/>
      <c r="AM50" s="592" t="str">
        <f t="shared" si="3"/>
        <v/>
      </c>
    </row>
    <row r="51" spans="2:39" ht="36.950000000000003" hidden="1" customHeight="1" x14ac:dyDescent="0.2">
      <c r="B51" s="165"/>
      <c r="C51" s="708" t="s">
        <v>423</v>
      </c>
      <c r="D51" s="709"/>
      <c r="E51" s="709"/>
      <c r="F51" s="710"/>
      <c r="G51" s="708" t="s">
        <v>424</v>
      </c>
      <c r="H51" s="709"/>
      <c r="I51" s="709"/>
      <c r="J51" s="710"/>
      <c r="K51" s="663" t="s">
        <v>415</v>
      </c>
      <c r="L51" s="664"/>
      <c r="M51" s="664"/>
      <c r="N51" s="665"/>
      <c r="O51" s="660" t="s">
        <v>488</v>
      </c>
      <c r="P51" s="661"/>
      <c r="Q51" s="662"/>
      <c r="R51" s="663" t="s">
        <v>513</v>
      </c>
      <c r="S51" s="664"/>
      <c r="T51" s="665"/>
      <c r="U51" s="152">
        <f>U20</f>
        <v>1</v>
      </c>
      <c r="V51" s="153">
        <f>V20</f>
        <v>2</v>
      </c>
      <c r="W51" s="153">
        <f t="shared" ref="W51:AL51" si="4">W20</f>
        <v>3</v>
      </c>
      <c r="X51" s="153">
        <f t="shared" si="4"/>
        <v>4</v>
      </c>
      <c r="Y51" s="153">
        <f t="shared" si="4"/>
        <v>5</v>
      </c>
      <c r="Z51" s="153">
        <f t="shared" si="4"/>
        <v>6</v>
      </c>
      <c r="AA51" s="153">
        <f t="shared" si="4"/>
        <v>7</v>
      </c>
      <c r="AB51" s="153">
        <f t="shared" si="4"/>
        <v>8</v>
      </c>
      <c r="AC51" s="153">
        <f t="shared" si="4"/>
        <v>9</v>
      </c>
      <c r="AD51" s="153">
        <f t="shared" si="4"/>
        <v>10</v>
      </c>
      <c r="AE51" s="153">
        <f t="shared" si="4"/>
        <v>11</v>
      </c>
      <c r="AF51" s="153">
        <f t="shared" si="4"/>
        <v>12</v>
      </c>
      <c r="AG51" s="153">
        <f t="shared" si="4"/>
        <v>13</v>
      </c>
      <c r="AH51" s="153">
        <f t="shared" si="4"/>
        <v>14</v>
      </c>
      <c r="AI51" s="153">
        <f t="shared" si="4"/>
        <v>15</v>
      </c>
      <c r="AJ51" s="153">
        <f t="shared" si="4"/>
        <v>16</v>
      </c>
      <c r="AK51" s="153">
        <f t="shared" si="4"/>
        <v>17</v>
      </c>
      <c r="AL51" s="153">
        <f t="shared" si="4"/>
        <v>18</v>
      </c>
      <c r="AM51" s="592"/>
    </row>
    <row r="52" spans="2:39" hidden="1" x14ac:dyDescent="0.2">
      <c r="B52" s="165">
        <v>1</v>
      </c>
      <c r="C52" s="675"/>
      <c r="D52" s="675"/>
      <c r="E52" s="675"/>
      <c r="F52" s="675"/>
      <c r="G52" s="675"/>
      <c r="H52" s="675"/>
      <c r="I52" s="675"/>
      <c r="J52" s="675"/>
      <c r="K52" s="666"/>
      <c r="L52" s="667"/>
      <c r="M52" s="667"/>
      <c r="N52" s="668"/>
      <c r="O52" s="669"/>
      <c r="P52" s="670"/>
      <c r="Q52" s="671"/>
      <c r="R52" s="652" t="str">
        <f>IF(OR(C52="",G52=""),"",ROUND(MIN((VLOOKUP(C52,'Geometry 2'!$E$4:$AJ$14,19,TRUE)-12*VLOOKUP(C52,'Geometry 2'!$E$4:$AJ$14,32,TRUE)*(C52-VLOOKUP(C52,'Geometry 2'!$E$5:$AH$14,1,TRUE)))*TAN(RADIANS(180/VLOOKUP($C52,'Geometry 2'!$E$4:$AH$14,11,TRUE))),(VLOOKUP(G52,'Geometry 2'!$E$4:$AJ$14,19,TRUE)-12*VLOOKUP(G52,'Geometry 2'!$E$4:$AJ$14,32,TRUE)*(G52-VLOOKUP(G52,'Geometry 2'!$E$5:$AH$14,1,TRUE)))*TAN(RADIANS(180/VLOOKUP($G52,'Geometry 2'!$E$4:$AH$14,11,TRUE)))),2))</f>
        <v/>
      </c>
      <c r="S52" s="652"/>
      <c r="T52" s="652"/>
      <c r="U52" s="139"/>
      <c r="V52" s="139"/>
      <c r="W52" s="139"/>
      <c r="X52" s="139"/>
      <c r="Y52" s="139"/>
      <c r="Z52" s="139"/>
      <c r="AA52" s="139"/>
      <c r="AB52" s="139"/>
      <c r="AC52" s="139"/>
      <c r="AD52" s="139"/>
      <c r="AE52" s="139"/>
      <c r="AF52" s="139"/>
      <c r="AG52" s="139"/>
      <c r="AH52" s="139"/>
      <c r="AI52" s="139"/>
      <c r="AJ52" s="139"/>
      <c r="AK52" s="139"/>
      <c r="AL52" s="139"/>
      <c r="AM52" s="592" t="str">
        <f t="shared" si="3"/>
        <v/>
      </c>
    </row>
    <row r="53" spans="2:39" hidden="1" x14ac:dyDescent="0.2">
      <c r="B53" s="165">
        <v>2</v>
      </c>
      <c r="C53" s="675"/>
      <c r="D53" s="675"/>
      <c r="E53" s="675"/>
      <c r="F53" s="675"/>
      <c r="G53" s="675"/>
      <c r="H53" s="675"/>
      <c r="I53" s="675"/>
      <c r="J53" s="675"/>
      <c r="K53" s="666"/>
      <c r="L53" s="667"/>
      <c r="M53" s="667"/>
      <c r="N53" s="668"/>
      <c r="O53" s="669"/>
      <c r="P53" s="670"/>
      <c r="Q53" s="671"/>
      <c r="R53" s="652" t="str">
        <f>IF(OR(C53="",G53=""),"",ROUND(MIN((VLOOKUP(C53,'Geometry 2'!$E$4:$AJ$14,19,TRUE)-12*VLOOKUP(C53,'Geometry 2'!$E$4:$AJ$14,32,TRUE)*(C53-VLOOKUP(C53,'Geometry 2'!$E$5:$AH$14,1,TRUE)))*TAN(RADIANS(180/VLOOKUP($C53,'Geometry 2'!$E$4:$AH$14,11,TRUE))),(VLOOKUP(G53,'Geometry 2'!$E$4:$AJ$14,19,TRUE)-12*VLOOKUP(G53,'Geometry 2'!$E$4:$AJ$14,32,TRUE)*(G53-VLOOKUP(G53,'Geometry 2'!$E$5:$AH$14,1,TRUE)))*TAN(RADIANS(180/VLOOKUP($G53,'Geometry 2'!$E$4:$AH$14,11,TRUE)))),2))</f>
        <v/>
      </c>
      <c r="S53" s="652"/>
      <c r="T53" s="652"/>
      <c r="U53" s="139"/>
      <c r="V53" s="139"/>
      <c r="W53" s="139"/>
      <c r="X53" s="139"/>
      <c r="Y53" s="139"/>
      <c r="Z53" s="139"/>
      <c r="AA53" s="139"/>
      <c r="AB53" s="139"/>
      <c r="AC53" s="139"/>
      <c r="AD53" s="139"/>
      <c r="AE53" s="139"/>
      <c r="AF53" s="139"/>
      <c r="AG53" s="139"/>
      <c r="AH53" s="139"/>
      <c r="AI53" s="139"/>
      <c r="AJ53" s="139"/>
      <c r="AK53" s="139"/>
      <c r="AL53" s="139"/>
      <c r="AM53" s="592" t="str">
        <f t="shared" si="3"/>
        <v/>
      </c>
    </row>
    <row r="54" spans="2:39" hidden="1" x14ac:dyDescent="0.2">
      <c r="B54" s="165">
        <v>3</v>
      </c>
      <c r="C54" s="675"/>
      <c r="D54" s="675"/>
      <c r="E54" s="675"/>
      <c r="F54" s="675"/>
      <c r="G54" s="675"/>
      <c r="H54" s="675"/>
      <c r="I54" s="675"/>
      <c r="J54" s="675"/>
      <c r="K54" s="666"/>
      <c r="L54" s="667"/>
      <c r="M54" s="667"/>
      <c r="N54" s="668"/>
      <c r="O54" s="669"/>
      <c r="P54" s="670"/>
      <c r="Q54" s="671"/>
      <c r="R54" s="652" t="str">
        <f>IF(OR(C54="",G54=""),"",ROUND(MIN((VLOOKUP(C54,'Geometry 2'!$E$4:$AJ$14,19,TRUE)-12*VLOOKUP(C54,'Geometry 2'!$E$4:$AJ$14,32,TRUE)*(C54-VLOOKUP(C54,'Geometry 2'!$E$5:$AH$14,1,TRUE)))*TAN(RADIANS(180/VLOOKUP($C54,'Geometry 2'!$E$4:$AH$14,11,TRUE))),(VLOOKUP(G54,'Geometry 2'!$E$4:$AJ$14,19,TRUE)-12*VLOOKUP(G54,'Geometry 2'!$E$4:$AJ$14,32,TRUE)*(G54-VLOOKUP(G54,'Geometry 2'!$E$5:$AH$14,1,TRUE)))*TAN(RADIANS(180/VLOOKUP($G54,'Geometry 2'!$E$4:$AH$14,11,TRUE)))),2))</f>
        <v/>
      </c>
      <c r="S54" s="652"/>
      <c r="T54" s="652"/>
      <c r="U54" s="139"/>
      <c r="V54" s="139"/>
      <c r="W54" s="139"/>
      <c r="X54" s="139"/>
      <c r="Y54" s="139"/>
      <c r="Z54" s="139"/>
      <c r="AA54" s="139"/>
      <c r="AB54" s="139"/>
      <c r="AC54" s="139"/>
      <c r="AD54" s="139"/>
      <c r="AE54" s="139"/>
      <c r="AF54" s="139"/>
      <c r="AG54" s="139"/>
      <c r="AH54" s="139"/>
      <c r="AI54" s="139"/>
      <c r="AJ54" s="139"/>
      <c r="AK54" s="139"/>
      <c r="AL54" s="139"/>
      <c r="AM54" s="592" t="str">
        <f t="shared" si="3"/>
        <v/>
      </c>
    </row>
    <row r="55" spans="2:39" hidden="1" x14ac:dyDescent="0.2">
      <c r="B55" s="165">
        <v>4</v>
      </c>
      <c r="C55" s="675"/>
      <c r="D55" s="675"/>
      <c r="E55" s="675"/>
      <c r="F55" s="675"/>
      <c r="G55" s="675"/>
      <c r="H55" s="675"/>
      <c r="I55" s="675"/>
      <c r="J55" s="675"/>
      <c r="K55" s="666"/>
      <c r="L55" s="667"/>
      <c r="M55" s="667"/>
      <c r="N55" s="668"/>
      <c r="O55" s="669"/>
      <c r="P55" s="670"/>
      <c r="Q55" s="671"/>
      <c r="R55" s="652" t="str">
        <f>IF(OR(C55="",G55=""),"",ROUND(MIN((VLOOKUP(C55,'Geometry 2'!$E$4:$AJ$14,19,TRUE)-12*VLOOKUP(C55,'Geometry 2'!$E$4:$AJ$14,32,TRUE)*(C55-VLOOKUP(C55,'Geometry 2'!$E$5:$AH$14,1,TRUE)))*TAN(RADIANS(180/VLOOKUP($C55,'Geometry 2'!$E$4:$AH$14,11,TRUE))),(VLOOKUP(G55,'Geometry 2'!$E$4:$AJ$14,19,TRUE)-12*VLOOKUP(G55,'Geometry 2'!$E$4:$AJ$14,32,TRUE)*(G55-VLOOKUP(G55,'Geometry 2'!$E$5:$AH$14,1,TRUE)))*TAN(RADIANS(180/VLOOKUP($G55,'Geometry 2'!$E$4:$AH$14,11,TRUE)))),2))</f>
        <v/>
      </c>
      <c r="S55" s="652"/>
      <c r="T55" s="652"/>
      <c r="U55" s="139"/>
      <c r="V55" s="139"/>
      <c r="W55" s="139"/>
      <c r="X55" s="139"/>
      <c r="Y55" s="139"/>
      <c r="Z55" s="139"/>
      <c r="AA55" s="139"/>
      <c r="AB55" s="139"/>
      <c r="AC55" s="139"/>
      <c r="AD55" s="139"/>
      <c r="AE55" s="139"/>
      <c r="AF55" s="139"/>
      <c r="AG55" s="139"/>
      <c r="AH55" s="139"/>
      <c r="AI55" s="139"/>
      <c r="AJ55" s="139"/>
      <c r="AK55" s="139"/>
      <c r="AL55" s="139"/>
      <c r="AM55" s="592" t="str">
        <f t="shared" si="3"/>
        <v/>
      </c>
    </row>
    <row r="56" spans="2:39" hidden="1" x14ac:dyDescent="0.2">
      <c r="B56" s="165">
        <v>5</v>
      </c>
      <c r="C56" s="675"/>
      <c r="D56" s="675"/>
      <c r="E56" s="675"/>
      <c r="F56" s="675"/>
      <c r="G56" s="675"/>
      <c r="H56" s="675"/>
      <c r="I56" s="675"/>
      <c r="J56" s="675"/>
      <c r="K56" s="666"/>
      <c r="L56" s="667"/>
      <c r="M56" s="667"/>
      <c r="N56" s="668"/>
      <c r="O56" s="669"/>
      <c r="P56" s="670"/>
      <c r="Q56" s="671"/>
      <c r="R56" s="652" t="str">
        <f>IF(OR(C56="",G56=""),"",ROUND(MIN((VLOOKUP(C56,'Geometry 2'!$E$4:$AJ$14,19,TRUE)-12*VLOOKUP(C56,'Geometry 2'!$E$4:$AJ$14,32,TRUE)*(C56-VLOOKUP(C56,'Geometry 2'!$E$5:$AH$14,1,TRUE)))*TAN(RADIANS(180/VLOOKUP($C56,'Geometry 2'!$E$4:$AH$14,11,TRUE))),(VLOOKUP(G56,'Geometry 2'!$E$4:$AJ$14,19,TRUE)-12*VLOOKUP(G56,'Geometry 2'!$E$4:$AJ$14,32,TRUE)*(G56-VLOOKUP(G56,'Geometry 2'!$E$5:$AH$14,1,TRUE)))*TAN(RADIANS(180/VLOOKUP($G56,'Geometry 2'!$E$4:$AH$14,11,TRUE)))),2))</f>
        <v/>
      </c>
      <c r="S56" s="652"/>
      <c r="T56" s="652"/>
      <c r="U56" s="139"/>
      <c r="V56" s="139"/>
      <c r="W56" s="139"/>
      <c r="X56" s="139"/>
      <c r="Y56" s="139"/>
      <c r="Z56" s="139"/>
      <c r="AA56" s="139"/>
      <c r="AB56" s="139"/>
      <c r="AC56" s="139"/>
      <c r="AD56" s="139"/>
      <c r="AE56" s="139"/>
      <c r="AF56" s="139"/>
      <c r="AG56" s="139"/>
      <c r="AH56" s="139"/>
      <c r="AI56" s="139"/>
      <c r="AJ56" s="139"/>
      <c r="AK56" s="139"/>
      <c r="AL56" s="139"/>
      <c r="AM56" s="592" t="str">
        <f t="shared" si="3"/>
        <v/>
      </c>
    </row>
    <row r="57" spans="2:39" hidden="1" x14ac:dyDescent="0.2">
      <c r="B57" s="165">
        <v>6</v>
      </c>
      <c r="C57" s="675"/>
      <c r="D57" s="675"/>
      <c r="E57" s="675"/>
      <c r="F57" s="675"/>
      <c r="G57" s="675"/>
      <c r="H57" s="675"/>
      <c r="I57" s="675"/>
      <c r="J57" s="675"/>
      <c r="K57" s="666"/>
      <c r="L57" s="667"/>
      <c r="M57" s="667"/>
      <c r="N57" s="668"/>
      <c r="O57" s="669"/>
      <c r="P57" s="670"/>
      <c r="Q57" s="671"/>
      <c r="R57" s="652" t="str">
        <f>IF(OR(C57="",G57=""),"",ROUND(MIN((VLOOKUP(C57,'Geometry 2'!$E$4:$AJ$14,19,TRUE)-12*VLOOKUP(C57,'Geometry 2'!$E$4:$AJ$14,32,TRUE)*(C57-VLOOKUP(C57,'Geometry 2'!$E$5:$AH$14,1,TRUE)))*TAN(RADIANS(180/VLOOKUP($C57,'Geometry 2'!$E$4:$AH$14,11,TRUE))),(VLOOKUP(G57,'Geometry 2'!$E$4:$AJ$14,19,TRUE)-12*VLOOKUP(G57,'Geometry 2'!$E$4:$AJ$14,32,TRUE)*(G57-VLOOKUP(G57,'Geometry 2'!$E$5:$AH$14,1,TRUE)))*TAN(RADIANS(180/VLOOKUP($G57,'Geometry 2'!$E$4:$AH$14,11,TRUE)))),2))</f>
        <v/>
      </c>
      <c r="S57" s="652"/>
      <c r="T57" s="652"/>
      <c r="U57" s="139"/>
      <c r="V57" s="139"/>
      <c r="W57" s="139"/>
      <c r="X57" s="139"/>
      <c r="Y57" s="139"/>
      <c r="Z57" s="139"/>
      <c r="AA57" s="139"/>
      <c r="AB57" s="139"/>
      <c r="AC57" s="139"/>
      <c r="AD57" s="139"/>
      <c r="AE57" s="139"/>
      <c r="AF57" s="139"/>
      <c r="AG57" s="139"/>
      <c r="AH57" s="139"/>
      <c r="AI57" s="139"/>
      <c r="AJ57" s="139"/>
      <c r="AK57" s="139"/>
      <c r="AL57" s="139"/>
      <c r="AM57" s="592" t="str">
        <f t="shared" si="3"/>
        <v/>
      </c>
    </row>
    <row r="58" spans="2:39" hidden="1" x14ac:dyDescent="0.2">
      <c r="B58" s="165">
        <v>7</v>
      </c>
      <c r="C58" s="675"/>
      <c r="D58" s="675"/>
      <c r="E58" s="675"/>
      <c r="F58" s="675"/>
      <c r="G58" s="675"/>
      <c r="H58" s="675"/>
      <c r="I58" s="675"/>
      <c r="J58" s="675"/>
      <c r="K58" s="666"/>
      <c r="L58" s="667"/>
      <c r="M58" s="667"/>
      <c r="N58" s="668"/>
      <c r="O58" s="669"/>
      <c r="P58" s="670"/>
      <c r="Q58" s="671"/>
      <c r="R58" s="652" t="str">
        <f>IF(OR(C58="",G58=""),"",ROUND(MIN((VLOOKUP(C58,'Geometry 2'!$E$4:$AJ$14,19,TRUE)-12*VLOOKUP(C58,'Geometry 2'!$E$4:$AJ$14,32,TRUE)*(C58-VLOOKUP(C58,'Geometry 2'!$E$5:$AH$14,1,TRUE)))*TAN(RADIANS(180/VLOOKUP($C58,'Geometry 2'!$E$4:$AH$14,11,TRUE))),(VLOOKUP(G58,'Geometry 2'!$E$4:$AJ$14,19,TRUE)-12*VLOOKUP(G58,'Geometry 2'!$E$4:$AJ$14,32,TRUE)*(G58-VLOOKUP(G58,'Geometry 2'!$E$5:$AH$14,1,TRUE)))*TAN(RADIANS(180/VLOOKUP($G58,'Geometry 2'!$E$4:$AH$14,11,TRUE)))),2))</f>
        <v/>
      </c>
      <c r="S58" s="652"/>
      <c r="T58" s="652"/>
      <c r="U58" s="139"/>
      <c r="V58" s="139"/>
      <c r="W58" s="139"/>
      <c r="X58" s="139"/>
      <c r="Y58" s="139"/>
      <c r="Z58" s="139"/>
      <c r="AA58" s="139"/>
      <c r="AB58" s="139"/>
      <c r="AC58" s="139"/>
      <c r="AD58" s="139"/>
      <c r="AE58" s="139"/>
      <c r="AF58" s="139"/>
      <c r="AG58" s="139"/>
      <c r="AH58" s="139"/>
      <c r="AI58" s="139"/>
      <c r="AJ58" s="139"/>
      <c r="AK58" s="139"/>
      <c r="AL58" s="139"/>
      <c r="AM58" s="592" t="str">
        <f t="shared" si="3"/>
        <v/>
      </c>
    </row>
    <row r="59" spans="2:39" hidden="1" x14ac:dyDescent="0.2">
      <c r="B59" s="165">
        <v>8</v>
      </c>
      <c r="C59" s="675"/>
      <c r="D59" s="675"/>
      <c r="E59" s="675"/>
      <c r="F59" s="675"/>
      <c r="G59" s="675"/>
      <c r="H59" s="675"/>
      <c r="I59" s="675"/>
      <c r="J59" s="675"/>
      <c r="K59" s="666"/>
      <c r="L59" s="667"/>
      <c r="M59" s="667"/>
      <c r="N59" s="668"/>
      <c r="O59" s="669"/>
      <c r="P59" s="670"/>
      <c r="Q59" s="671"/>
      <c r="R59" s="652" t="str">
        <f>IF(OR(C59="",G59=""),"",ROUND(MIN((VLOOKUP(C59,'Geometry 2'!$E$4:$AJ$14,19,TRUE)-12*VLOOKUP(C59,'Geometry 2'!$E$4:$AJ$14,32,TRUE)*(C59-VLOOKUP(C59,'Geometry 2'!$E$5:$AH$14,1,TRUE)))*TAN(RADIANS(180/VLOOKUP($C59,'Geometry 2'!$E$4:$AH$14,11,TRUE))),(VLOOKUP(G59,'Geometry 2'!$E$4:$AJ$14,19,TRUE)-12*VLOOKUP(G59,'Geometry 2'!$E$4:$AJ$14,32,TRUE)*(G59-VLOOKUP(G59,'Geometry 2'!$E$5:$AH$14,1,TRUE)))*TAN(RADIANS(180/VLOOKUP($G59,'Geometry 2'!$E$4:$AH$14,11,TRUE)))),2))</f>
        <v/>
      </c>
      <c r="S59" s="652"/>
      <c r="T59" s="652"/>
      <c r="U59" s="139"/>
      <c r="V59" s="139"/>
      <c r="W59" s="139"/>
      <c r="X59" s="139"/>
      <c r="Y59" s="139"/>
      <c r="Z59" s="139"/>
      <c r="AA59" s="139"/>
      <c r="AB59" s="139"/>
      <c r="AC59" s="139"/>
      <c r="AD59" s="139"/>
      <c r="AE59" s="139"/>
      <c r="AF59" s="139"/>
      <c r="AG59" s="139"/>
      <c r="AH59" s="139"/>
      <c r="AI59" s="139"/>
      <c r="AJ59" s="139"/>
      <c r="AK59" s="139"/>
      <c r="AL59" s="139"/>
      <c r="AM59" s="592" t="str">
        <f t="shared" si="3"/>
        <v/>
      </c>
    </row>
    <row r="60" spans="2:39" hidden="1" x14ac:dyDescent="0.2">
      <c r="B60" s="165">
        <v>9</v>
      </c>
      <c r="C60" s="675"/>
      <c r="D60" s="675"/>
      <c r="E60" s="675"/>
      <c r="F60" s="675"/>
      <c r="G60" s="675"/>
      <c r="H60" s="675"/>
      <c r="I60" s="675"/>
      <c r="J60" s="675"/>
      <c r="K60" s="666"/>
      <c r="L60" s="667"/>
      <c r="M60" s="667"/>
      <c r="N60" s="668"/>
      <c r="O60" s="669"/>
      <c r="P60" s="670"/>
      <c r="Q60" s="671"/>
      <c r="R60" s="652" t="str">
        <f>IF(OR(C60="",G60=""),"",ROUND(MIN((VLOOKUP(C60,'Geometry 2'!$E$4:$AJ$14,19,TRUE)-12*VLOOKUP(C60,'Geometry 2'!$E$4:$AJ$14,32,TRUE)*(C60-VLOOKUP(C60,'Geometry 2'!$E$5:$AH$14,1,TRUE)))*TAN(RADIANS(180/VLOOKUP($C60,'Geometry 2'!$E$4:$AH$14,11,TRUE))),(VLOOKUP(G60,'Geometry 2'!$E$4:$AJ$14,19,TRUE)-12*VLOOKUP(G60,'Geometry 2'!$E$4:$AJ$14,32,TRUE)*(G60-VLOOKUP(G60,'Geometry 2'!$E$5:$AH$14,1,TRUE)))*TAN(RADIANS(180/VLOOKUP($G60,'Geometry 2'!$E$4:$AH$14,11,TRUE)))),2))</f>
        <v/>
      </c>
      <c r="S60" s="652"/>
      <c r="T60" s="652"/>
      <c r="U60" s="139"/>
      <c r="V60" s="139"/>
      <c r="W60" s="139"/>
      <c r="X60" s="139"/>
      <c r="Y60" s="139"/>
      <c r="Z60" s="139"/>
      <c r="AA60" s="139"/>
      <c r="AB60" s="139"/>
      <c r="AC60" s="139"/>
      <c r="AD60" s="139"/>
      <c r="AE60" s="139"/>
      <c r="AF60" s="139"/>
      <c r="AG60" s="139"/>
      <c r="AH60" s="139"/>
      <c r="AI60" s="139"/>
      <c r="AJ60" s="139"/>
      <c r="AK60" s="139"/>
      <c r="AL60" s="139"/>
      <c r="AM60" s="592" t="str">
        <f t="shared" si="3"/>
        <v/>
      </c>
    </row>
    <row r="61" spans="2:39" hidden="1" x14ac:dyDescent="0.2">
      <c r="B61" s="165">
        <v>10</v>
      </c>
      <c r="C61" s="675"/>
      <c r="D61" s="675"/>
      <c r="E61" s="675"/>
      <c r="F61" s="675"/>
      <c r="G61" s="675"/>
      <c r="H61" s="675"/>
      <c r="I61" s="675"/>
      <c r="J61" s="675"/>
      <c r="K61" s="666"/>
      <c r="L61" s="667"/>
      <c r="M61" s="667"/>
      <c r="N61" s="668"/>
      <c r="O61" s="669"/>
      <c r="P61" s="670"/>
      <c r="Q61" s="671"/>
      <c r="R61" s="652" t="str">
        <f>IF(OR(C61="",G61=""),"",ROUND(MIN((VLOOKUP(C61,'Geometry 2'!$E$4:$AJ$14,19,TRUE)-12*VLOOKUP(C61,'Geometry 2'!$E$4:$AJ$14,32,TRUE)*(C61-VLOOKUP(C61,'Geometry 2'!$E$5:$AH$14,1,TRUE)))*TAN(RADIANS(180/VLOOKUP($C61,'Geometry 2'!$E$4:$AH$14,11,TRUE))),(VLOOKUP(G61,'Geometry 2'!$E$4:$AJ$14,19,TRUE)-12*VLOOKUP(G61,'Geometry 2'!$E$4:$AJ$14,32,TRUE)*(G61-VLOOKUP(G61,'Geometry 2'!$E$5:$AH$14,1,TRUE)))*TAN(RADIANS(180/VLOOKUP($G61,'Geometry 2'!$E$4:$AH$14,11,TRUE)))),2))</f>
        <v/>
      </c>
      <c r="S61" s="652"/>
      <c r="T61" s="652"/>
      <c r="U61" s="139"/>
      <c r="V61" s="139"/>
      <c r="W61" s="139"/>
      <c r="X61" s="139"/>
      <c r="Y61" s="139"/>
      <c r="Z61" s="139"/>
      <c r="AA61" s="139"/>
      <c r="AB61" s="139"/>
      <c r="AC61" s="139"/>
      <c r="AD61" s="139"/>
      <c r="AE61" s="139"/>
      <c r="AF61" s="139"/>
      <c r="AG61" s="139"/>
      <c r="AH61" s="139"/>
      <c r="AI61" s="139"/>
      <c r="AJ61" s="139"/>
      <c r="AK61" s="139"/>
      <c r="AL61" s="139"/>
      <c r="AM61" s="592" t="str">
        <f t="shared" si="3"/>
        <v/>
      </c>
    </row>
    <row r="62" spans="2:39" hidden="1" x14ac:dyDescent="0.2">
      <c r="B62" s="165">
        <v>11</v>
      </c>
      <c r="C62" s="675"/>
      <c r="D62" s="675"/>
      <c r="E62" s="675"/>
      <c r="F62" s="675"/>
      <c r="G62" s="675"/>
      <c r="H62" s="675"/>
      <c r="I62" s="675"/>
      <c r="J62" s="675"/>
      <c r="K62" s="666"/>
      <c r="L62" s="667"/>
      <c r="M62" s="667"/>
      <c r="N62" s="668"/>
      <c r="O62" s="669"/>
      <c r="P62" s="670"/>
      <c r="Q62" s="671"/>
      <c r="R62" s="652" t="str">
        <f>IF(OR(C62="",G62=""),"",ROUND(MIN((VLOOKUP(C62,'Geometry 2'!$E$4:$AJ$14,19,TRUE)-12*VLOOKUP(C62,'Geometry 2'!$E$4:$AJ$14,32,TRUE)*(C62-VLOOKUP(C62,'Geometry 2'!$E$5:$AH$14,1,TRUE)))*TAN(RADIANS(180/VLOOKUP($C62,'Geometry 2'!$E$4:$AH$14,11,TRUE))),(VLOOKUP(G62,'Geometry 2'!$E$4:$AJ$14,19,TRUE)-12*VLOOKUP(G62,'Geometry 2'!$E$4:$AJ$14,32,TRUE)*(G62-VLOOKUP(G62,'Geometry 2'!$E$5:$AH$14,1,TRUE)))*TAN(RADIANS(180/VLOOKUP($G62,'Geometry 2'!$E$4:$AH$14,11,TRUE)))),2))</f>
        <v/>
      </c>
      <c r="S62" s="652"/>
      <c r="T62" s="652"/>
      <c r="U62" s="139"/>
      <c r="V62" s="139"/>
      <c r="W62" s="139"/>
      <c r="X62" s="139"/>
      <c r="Y62" s="139"/>
      <c r="Z62" s="139"/>
      <c r="AA62" s="139"/>
      <c r="AB62" s="139"/>
      <c r="AC62" s="139"/>
      <c r="AD62" s="139"/>
      <c r="AE62" s="139"/>
      <c r="AF62" s="139"/>
      <c r="AG62" s="139"/>
      <c r="AH62" s="139"/>
      <c r="AI62" s="139"/>
      <c r="AJ62" s="139"/>
      <c r="AK62" s="139"/>
      <c r="AL62" s="139"/>
      <c r="AM62" s="592" t="str">
        <f t="shared" si="3"/>
        <v/>
      </c>
    </row>
    <row r="63" spans="2:39" hidden="1" x14ac:dyDescent="0.2">
      <c r="B63" s="165">
        <v>12</v>
      </c>
      <c r="C63" s="675"/>
      <c r="D63" s="675"/>
      <c r="E63" s="675"/>
      <c r="F63" s="675"/>
      <c r="G63" s="675"/>
      <c r="H63" s="675"/>
      <c r="I63" s="675"/>
      <c r="J63" s="675"/>
      <c r="K63" s="666"/>
      <c r="L63" s="667"/>
      <c r="M63" s="667"/>
      <c r="N63" s="668"/>
      <c r="O63" s="669"/>
      <c r="P63" s="670"/>
      <c r="Q63" s="671"/>
      <c r="R63" s="652" t="str">
        <f>IF(OR(C63="",G63=""),"",ROUND(MIN((VLOOKUP(C63,'Geometry 2'!$E$4:$AJ$14,19,TRUE)-12*VLOOKUP(C63,'Geometry 2'!$E$4:$AJ$14,32,TRUE)*(C63-VLOOKUP(C63,'Geometry 2'!$E$5:$AH$14,1,TRUE)))*TAN(RADIANS(180/VLOOKUP($C63,'Geometry 2'!$E$4:$AH$14,11,TRUE))),(VLOOKUP(G63,'Geometry 2'!$E$4:$AJ$14,19,TRUE)-12*VLOOKUP(G63,'Geometry 2'!$E$4:$AJ$14,32,TRUE)*(G63-VLOOKUP(G63,'Geometry 2'!$E$5:$AH$14,1,TRUE)))*TAN(RADIANS(180/VLOOKUP($G63,'Geometry 2'!$E$4:$AH$14,11,TRUE)))),2))</f>
        <v/>
      </c>
      <c r="S63" s="652"/>
      <c r="T63" s="652"/>
      <c r="U63" s="139"/>
      <c r="V63" s="139"/>
      <c r="W63" s="139"/>
      <c r="X63" s="139"/>
      <c r="Y63" s="139"/>
      <c r="Z63" s="139"/>
      <c r="AA63" s="139"/>
      <c r="AB63" s="139"/>
      <c r="AC63" s="139"/>
      <c r="AD63" s="139"/>
      <c r="AE63" s="139"/>
      <c r="AF63" s="139"/>
      <c r="AG63" s="139"/>
      <c r="AH63" s="139"/>
      <c r="AI63" s="139"/>
      <c r="AJ63" s="139"/>
      <c r="AK63" s="139"/>
      <c r="AL63" s="139"/>
      <c r="AM63" s="592" t="str">
        <f t="shared" si="3"/>
        <v/>
      </c>
    </row>
    <row r="64" spans="2:39" hidden="1" x14ac:dyDescent="0.2">
      <c r="B64" s="165">
        <v>13</v>
      </c>
      <c r="C64" s="675"/>
      <c r="D64" s="675"/>
      <c r="E64" s="675"/>
      <c r="F64" s="675"/>
      <c r="G64" s="675"/>
      <c r="H64" s="675"/>
      <c r="I64" s="675"/>
      <c r="J64" s="675"/>
      <c r="K64" s="666"/>
      <c r="L64" s="667"/>
      <c r="M64" s="667"/>
      <c r="N64" s="668"/>
      <c r="O64" s="669"/>
      <c r="P64" s="670"/>
      <c r="Q64" s="671"/>
      <c r="R64" s="652" t="str">
        <f>IF(OR(C64="",G64=""),"",ROUND(MIN((VLOOKUP(C64,'Geometry 2'!$E$4:$AJ$14,19,TRUE)-12*VLOOKUP(C64,'Geometry 2'!$E$4:$AJ$14,32,TRUE)*(C64-VLOOKUP(C64,'Geometry 2'!$E$5:$AH$14,1,TRUE)))*TAN(RADIANS(180/VLOOKUP($C64,'Geometry 2'!$E$4:$AH$14,11,TRUE))),(VLOOKUP(G64,'Geometry 2'!$E$4:$AJ$14,19,TRUE)-12*VLOOKUP(G64,'Geometry 2'!$E$4:$AJ$14,32,TRUE)*(G64-VLOOKUP(G64,'Geometry 2'!$E$5:$AH$14,1,TRUE)))*TAN(RADIANS(180/VLOOKUP($G64,'Geometry 2'!$E$4:$AH$14,11,TRUE)))),2))</f>
        <v/>
      </c>
      <c r="S64" s="652"/>
      <c r="T64" s="652"/>
      <c r="U64" s="139"/>
      <c r="V64" s="139"/>
      <c r="W64" s="139"/>
      <c r="X64" s="139"/>
      <c r="Y64" s="139"/>
      <c r="Z64" s="139"/>
      <c r="AA64" s="139"/>
      <c r="AB64" s="139"/>
      <c r="AC64" s="139"/>
      <c r="AD64" s="139"/>
      <c r="AE64" s="139"/>
      <c r="AF64" s="139"/>
      <c r="AG64" s="139"/>
      <c r="AH64" s="139"/>
      <c r="AI64" s="139"/>
      <c r="AJ64" s="139"/>
      <c r="AK64" s="139"/>
      <c r="AL64" s="139"/>
      <c r="AM64" s="592" t="str">
        <f t="shared" si="3"/>
        <v/>
      </c>
    </row>
    <row r="65" spans="2:39" hidden="1" x14ac:dyDescent="0.2">
      <c r="B65" s="165">
        <v>14</v>
      </c>
      <c r="C65" s="675"/>
      <c r="D65" s="675"/>
      <c r="E65" s="675"/>
      <c r="F65" s="675"/>
      <c r="G65" s="675"/>
      <c r="H65" s="675"/>
      <c r="I65" s="675"/>
      <c r="J65" s="675"/>
      <c r="K65" s="666"/>
      <c r="L65" s="667"/>
      <c r="M65" s="667"/>
      <c r="N65" s="668"/>
      <c r="O65" s="669"/>
      <c r="P65" s="670"/>
      <c r="Q65" s="671"/>
      <c r="R65" s="652" t="str">
        <f>IF(OR(C65="",G65=""),"",ROUND(MIN((VLOOKUP(C65,'Geometry 2'!$E$4:$AJ$14,19,TRUE)-12*VLOOKUP(C65,'Geometry 2'!$E$4:$AJ$14,32,TRUE)*(C65-VLOOKUP(C65,'Geometry 2'!$E$5:$AH$14,1,TRUE)))*TAN(RADIANS(180/VLOOKUP($C65,'Geometry 2'!$E$4:$AH$14,11,TRUE))),(VLOOKUP(G65,'Geometry 2'!$E$4:$AJ$14,19,TRUE)-12*VLOOKUP(G65,'Geometry 2'!$E$4:$AJ$14,32,TRUE)*(G65-VLOOKUP(G65,'Geometry 2'!$E$5:$AH$14,1,TRUE)))*TAN(RADIANS(180/VLOOKUP($G65,'Geometry 2'!$E$4:$AH$14,11,TRUE)))),2))</f>
        <v/>
      </c>
      <c r="S65" s="652"/>
      <c r="T65" s="652"/>
      <c r="U65" s="139"/>
      <c r="V65" s="139"/>
      <c r="W65" s="139"/>
      <c r="X65" s="139"/>
      <c r="Y65" s="139"/>
      <c r="Z65" s="139"/>
      <c r="AA65" s="139"/>
      <c r="AB65" s="139"/>
      <c r="AC65" s="139"/>
      <c r="AD65" s="139"/>
      <c r="AE65" s="139"/>
      <c r="AF65" s="139"/>
      <c r="AG65" s="139"/>
      <c r="AH65" s="139"/>
      <c r="AI65" s="139"/>
      <c r="AJ65" s="139"/>
      <c r="AK65" s="139"/>
      <c r="AL65" s="139"/>
      <c r="AM65" s="592" t="str">
        <f t="shared" si="3"/>
        <v/>
      </c>
    </row>
    <row r="66" spans="2:39" hidden="1" x14ac:dyDescent="0.2">
      <c r="B66" s="165">
        <v>15</v>
      </c>
      <c r="C66" s="675"/>
      <c r="D66" s="675"/>
      <c r="E66" s="675"/>
      <c r="F66" s="675"/>
      <c r="G66" s="675"/>
      <c r="H66" s="675"/>
      <c r="I66" s="675"/>
      <c r="J66" s="675"/>
      <c r="K66" s="666"/>
      <c r="L66" s="667"/>
      <c r="M66" s="667"/>
      <c r="N66" s="668"/>
      <c r="O66" s="669"/>
      <c r="P66" s="670"/>
      <c r="Q66" s="671"/>
      <c r="R66" s="652" t="str">
        <f>IF(OR(C66="",G66=""),"",ROUND(MIN((VLOOKUP(C66,'Geometry 2'!$E$4:$AJ$14,19,TRUE)-12*VLOOKUP(C66,'Geometry 2'!$E$4:$AJ$14,32,TRUE)*(C66-VLOOKUP(C66,'Geometry 2'!$E$5:$AH$14,1,TRUE)))*TAN(RADIANS(180/VLOOKUP($C66,'Geometry 2'!$E$4:$AH$14,11,TRUE))),(VLOOKUP(G66,'Geometry 2'!$E$4:$AJ$14,19,TRUE)-12*VLOOKUP(G66,'Geometry 2'!$E$4:$AJ$14,32,TRUE)*(G66-VLOOKUP(G66,'Geometry 2'!$E$5:$AH$14,1,TRUE)))*TAN(RADIANS(180/VLOOKUP($G66,'Geometry 2'!$E$4:$AH$14,11,TRUE)))),2))</f>
        <v/>
      </c>
      <c r="S66" s="652"/>
      <c r="T66" s="652"/>
      <c r="U66" s="139"/>
      <c r="V66" s="139"/>
      <c r="W66" s="139"/>
      <c r="X66" s="139"/>
      <c r="Y66" s="139"/>
      <c r="Z66" s="139"/>
      <c r="AA66" s="139"/>
      <c r="AB66" s="139"/>
      <c r="AC66" s="139"/>
      <c r="AD66" s="139"/>
      <c r="AE66" s="139"/>
      <c r="AF66" s="139"/>
      <c r="AG66" s="139"/>
      <c r="AH66" s="139"/>
      <c r="AI66" s="139"/>
      <c r="AJ66" s="139"/>
      <c r="AK66" s="139"/>
      <c r="AL66" s="139"/>
      <c r="AM66" s="592" t="str">
        <f t="shared" si="3"/>
        <v/>
      </c>
    </row>
    <row r="67" spans="2:39" hidden="1" x14ac:dyDescent="0.2">
      <c r="B67" s="165">
        <v>16</v>
      </c>
      <c r="C67" s="675"/>
      <c r="D67" s="675"/>
      <c r="E67" s="675"/>
      <c r="F67" s="675"/>
      <c r="G67" s="675"/>
      <c r="H67" s="675"/>
      <c r="I67" s="675"/>
      <c r="J67" s="675"/>
      <c r="K67" s="666"/>
      <c r="L67" s="667"/>
      <c r="M67" s="667"/>
      <c r="N67" s="668"/>
      <c r="O67" s="669"/>
      <c r="P67" s="670"/>
      <c r="Q67" s="671"/>
      <c r="R67" s="652" t="str">
        <f>IF(OR(C67="",G67=""),"",ROUND(MIN((VLOOKUP(C67,'Geometry 2'!$E$4:$AJ$14,19,TRUE)-12*VLOOKUP(C67,'Geometry 2'!$E$4:$AJ$14,32,TRUE)*(C67-VLOOKUP(C67,'Geometry 2'!$E$5:$AH$14,1,TRUE)))*TAN(RADIANS(180/VLOOKUP($C67,'Geometry 2'!$E$4:$AH$14,11,TRUE))),(VLOOKUP(G67,'Geometry 2'!$E$4:$AJ$14,19,TRUE)-12*VLOOKUP(G67,'Geometry 2'!$E$4:$AJ$14,32,TRUE)*(G67-VLOOKUP(G67,'Geometry 2'!$E$5:$AH$14,1,TRUE)))*TAN(RADIANS(180/VLOOKUP($G67,'Geometry 2'!$E$4:$AH$14,11,TRUE)))),2))</f>
        <v/>
      </c>
      <c r="S67" s="652"/>
      <c r="T67" s="652"/>
      <c r="U67" s="139"/>
      <c r="V67" s="139"/>
      <c r="W67" s="139"/>
      <c r="X67" s="139"/>
      <c r="Y67" s="139"/>
      <c r="Z67" s="139"/>
      <c r="AA67" s="139"/>
      <c r="AB67" s="139"/>
      <c r="AC67" s="139"/>
      <c r="AD67" s="139"/>
      <c r="AE67" s="139"/>
      <c r="AF67" s="139"/>
      <c r="AG67" s="139"/>
      <c r="AH67" s="139"/>
      <c r="AI67" s="139"/>
      <c r="AJ67" s="139"/>
      <c r="AK67" s="139"/>
      <c r="AL67" s="139"/>
      <c r="AM67" s="592" t="str">
        <f t="shared" si="3"/>
        <v/>
      </c>
    </row>
    <row r="68" spans="2:39" hidden="1" x14ac:dyDescent="0.2">
      <c r="B68" s="165">
        <v>17</v>
      </c>
      <c r="C68" s="675"/>
      <c r="D68" s="675"/>
      <c r="E68" s="675"/>
      <c r="F68" s="675"/>
      <c r="G68" s="675"/>
      <c r="H68" s="675"/>
      <c r="I68" s="675"/>
      <c r="J68" s="675"/>
      <c r="K68" s="666"/>
      <c r="L68" s="667"/>
      <c r="M68" s="667"/>
      <c r="N68" s="668"/>
      <c r="O68" s="669"/>
      <c r="P68" s="670"/>
      <c r="Q68" s="671"/>
      <c r="R68" s="652" t="str">
        <f>IF(OR(C68="",G68=""),"",ROUND(MIN((VLOOKUP(C68,'Geometry 2'!$E$4:$AJ$14,19,TRUE)-12*VLOOKUP(C68,'Geometry 2'!$E$4:$AJ$14,32,TRUE)*(C68-VLOOKUP(C68,'Geometry 2'!$E$5:$AH$14,1,TRUE)))*TAN(RADIANS(180/VLOOKUP($C68,'Geometry 2'!$E$4:$AH$14,11,TRUE))),(VLOOKUP(G68,'Geometry 2'!$E$4:$AJ$14,19,TRUE)-12*VLOOKUP(G68,'Geometry 2'!$E$4:$AJ$14,32,TRUE)*(G68-VLOOKUP(G68,'Geometry 2'!$E$5:$AH$14,1,TRUE)))*TAN(RADIANS(180/VLOOKUP($G68,'Geometry 2'!$E$4:$AH$14,11,TRUE)))),2))</f>
        <v/>
      </c>
      <c r="S68" s="652"/>
      <c r="T68" s="652"/>
      <c r="U68" s="139"/>
      <c r="V68" s="139"/>
      <c r="W68" s="139"/>
      <c r="X68" s="139"/>
      <c r="Y68" s="139"/>
      <c r="Z68" s="139"/>
      <c r="AA68" s="139"/>
      <c r="AB68" s="139"/>
      <c r="AC68" s="139"/>
      <c r="AD68" s="139"/>
      <c r="AE68" s="139"/>
      <c r="AF68" s="139"/>
      <c r="AG68" s="139"/>
      <c r="AH68" s="139"/>
      <c r="AI68" s="139"/>
      <c r="AJ68" s="139"/>
      <c r="AK68" s="139"/>
      <c r="AL68" s="139"/>
      <c r="AM68" s="592" t="str">
        <f t="shared" si="3"/>
        <v/>
      </c>
    </row>
    <row r="69" spans="2:39" hidden="1" x14ac:dyDescent="0.2">
      <c r="B69" s="165">
        <v>18</v>
      </c>
      <c r="C69" s="675"/>
      <c r="D69" s="675"/>
      <c r="E69" s="675"/>
      <c r="F69" s="675"/>
      <c r="G69" s="675"/>
      <c r="H69" s="675"/>
      <c r="I69" s="675"/>
      <c r="J69" s="675"/>
      <c r="K69" s="666"/>
      <c r="L69" s="667"/>
      <c r="M69" s="667"/>
      <c r="N69" s="668"/>
      <c r="O69" s="669"/>
      <c r="P69" s="670"/>
      <c r="Q69" s="671"/>
      <c r="R69" s="652" t="str">
        <f>IF(OR(C69="",G69=""),"",ROUND(MIN((VLOOKUP(C69,'Geometry 2'!$E$4:$AJ$14,19,TRUE)-12*VLOOKUP(C69,'Geometry 2'!$E$4:$AJ$14,32,TRUE)*(C69-VLOOKUP(C69,'Geometry 2'!$E$5:$AH$14,1,TRUE)))*TAN(RADIANS(180/VLOOKUP($C69,'Geometry 2'!$E$4:$AH$14,11,TRUE))),(VLOOKUP(G69,'Geometry 2'!$E$4:$AJ$14,19,TRUE)-12*VLOOKUP(G69,'Geometry 2'!$E$4:$AJ$14,32,TRUE)*(G69-VLOOKUP(G69,'Geometry 2'!$E$5:$AH$14,1,TRUE)))*TAN(RADIANS(180/VLOOKUP($G69,'Geometry 2'!$E$4:$AH$14,11,TRUE)))),2))</f>
        <v/>
      </c>
      <c r="S69" s="652"/>
      <c r="T69" s="652"/>
      <c r="U69" s="139"/>
      <c r="V69" s="139"/>
      <c r="W69" s="139"/>
      <c r="X69" s="139"/>
      <c r="Y69" s="139"/>
      <c r="Z69" s="139"/>
      <c r="AA69" s="139"/>
      <c r="AB69" s="139"/>
      <c r="AC69" s="139"/>
      <c r="AD69" s="139"/>
      <c r="AE69" s="139"/>
      <c r="AF69" s="139"/>
      <c r="AG69" s="139"/>
      <c r="AH69" s="139"/>
      <c r="AI69" s="139"/>
      <c r="AJ69" s="139"/>
      <c r="AK69" s="139"/>
      <c r="AL69" s="139"/>
      <c r="AM69" s="592" t="str">
        <f t="shared" si="3"/>
        <v/>
      </c>
    </row>
    <row r="70" spans="2:39" hidden="1" x14ac:dyDescent="0.2">
      <c r="B70" s="165">
        <v>19</v>
      </c>
      <c r="C70" s="675"/>
      <c r="D70" s="675"/>
      <c r="E70" s="675"/>
      <c r="F70" s="675"/>
      <c r="G70" s="675"/>
      <c r="H70" s="675"/>
      <c r="I70" s="675"/>
      <c r="J70" s="675"/>
      <c r="K70" s="666"/>
      <c r="L70" s="667"/>
      <c r="M70" s="667"/>
      <c r="N70" s="668"/>
      <c r="O70" s="669"/>
      <c r="P70" s="670"/>
      <c r="Q70" s="671"/>
      <c r="R70" s="652" t="str">
        <f>IF(OR(C70="",G70=""),"",ROUND(MIN((VLOOKUP(C70,'Geometry 2'!$E$4:$AJ$14,19,TRUE)-12*VLOOKUP(C70,'Geometry 2'!$E$4:$AJ$14,32,TRUE)*(C70-VLOOKUP(C70,'Geometry 2'!$E$5:$AH$14,1,TRUE)))*TAN(RADIANS(180/VLOOKUP($C70,'Geometry 2'!$E$4:$AH$14,11,TRUE))),(VLOOKUP(G70,'Geometry 2'!$E$4:$AJ$14,19,TRUE)-12*VLOOKUP(G70,'Geometry 2'!$E$4:$AJ$14,32,TRUE)*(G70-VLOOKUP(G70,'Geometry 2'!$E$5:$AH$14,1,TRUE)))*TAN(RADIANS(180/VLOOKUP($G70,'Geometry 2'!$E$4:$AH$14,11,TRUE)))),2))</f>
        <v/>
      </c>
      <c r="S70" s="652"/>
      <c r="T70" s="652"/>
      <c r="U70" s="139"/>
      <c r="V70" s="139"/>
      <c r="W70" s="139"/>
      <c r="X70" s="139"/>
      <c r="Y70" s="139"/>
      <c r="Z70" s="139"/>
      <c r="AA70" s="139"/>
      <c r="AB70" s="139"/>
      <c r="AC70" s="139"/>
      <c r="AD70" s="139"/>
      <c r="AE70" s="139"/>
      <c r="AF70" s="139"/>
      <c r="AG70" s="139"/>
      <c r="AH70" s="139"/>
      <c r="AI70" s="139"/>
      <c r="AJ70" s="139"/>
      <c r="AK70" s="139"/>
      <c r="AL70" s="139"/>
      <c r="AM70" s="592" t="str">
        <f t="shared" si="3"/>
        <v/>
      </c>
    </row>
    <row r="71" spans="2:39" hidden="1" x14ac:dyDescent="0.2">
      <c r="B71" s="165">
        <v>20</v>
      </c>
      <c r="C71" s="675"/>
      <c r="D71" s="675"/>
      <c r="E71" s="675"/>
      <c r="F71" s="675"/>
      <c r="G71" s="675"/>
      <c r="H71" s="675"/>
      <c r="I71" s="675"/>
      <c r="J71" s="675"/>
      <c r="K71" s="666"/>
      <c r="L71" s="667"/>
      <c r="M71" s="667"/>
      <c r="N71" s="668"/>
      <c r="O71" s="669"/>
      <c r="P71" s="670"/>
      <c r="Q71" s="671"/>
      <c r="R71" s="652" t="str">
        <f>IF(OR(C71="",G71=""),"",ROUND(MIN((VLOOKUP(C71,'Geometry 2'!$E$4:$AJ$14,19,TRUE)-12*VLOOKUP(C71,'Geometry 2'!$E$4:$AJ$14,32,TRUE)*(C71-VLOOKUP(C71,'Geometry 2'!$E$5:$AH$14,1,TRUE)))*TAN(RADIANS(180/VLOOKUP($C71,'Geometry 2'!$E$4:$AH$14,11,TRUE))),(VLOOKUP(G71,'Geometry 2'!$E$4:$AJ$14,19,TRUE)-12*VLOOKUP(G71,'Geometry 2'!$E$4:$AJ$14,32,TRUE)*(G71-VLOOKUP(G71,'Geometry 2'!$E$5:$AH$14,1,TRUE)))*TAN(RADIANS(180/VLOOKUP($G71,'Geometry 2'!$E$4:$AH$14,11,TRUE)))),2))</f>
        <v/>
      </c>
      <c r="S71" s="652"/>
      <c r="T71" s="652"/>
      <c r="U71" s="139"/>
      <c r="V71" s="139"/>
      <c r="W71" s="139"/>
      <c r="X71" s="139"/>
      <c r="Y71" s="139"/>
      <c r="Z71" s="139"/>
      <c r="AA71" s="139"/>
      <c r="AB71" s="139"/>
      <c r="AC71" s="139"/>
      <c r="AD71" s="139"/>
      <c r="AE71" s="139"/>
      <c r="AF71" s="139"/>
      <c r="AG71" s="139"/>
      <c r="AH71" s="139"/>
      <c r="AI71" s="139"/>
      <c r="AJ71" s="139"/>
      <c r="AK71" s="139"/>
      <c r="AL71" s="139"/>
      <c r="AM71" s="592" t="str">
        <f t="shared" si="3"/>
        <v/>
      </c>
    </row>
    <row r="72" spans="2:39" hidden="1" x14ac:dyDescent="0.2">
      <c r="B72" s="165">
        <v>21</v>
      </c>
      <c r="C72" s="675"/>
      <c r="D72" s="675"/>
      <c r="E72" s="675"/>
      <c r="F72" s="675"/>
      <c r="G72" s="675"/>
      <c r="H72" s="675"/>
      <c r="I72" s="675"/>
      <c r="J72" s="675"/>
      <c r="K72" s="666"/>
      <c r="L72" s="667"/>
      <c r="M72" s="667"/>
      <c r="N72" s="668"/>
      <c r="O72" s="669"/>
      <c r="P72" s="670"/>
      <c r="Q72" s="671"/>
      <c r="R72" s="652" t="str">
        <f>IF(OR(C72="",G72=""),"",ROUND(MIN((VLOOKUP(C72,'Geometry 2'!$E$4:$AJ$14,19,TRUE)-12*VLOOKUP(C72,'Geometry 2'!$E$4:$AJ$14,32,TRUE)*(C72-VLOOKUP(C72,'Geometry 2'!$E$5:$AH$14,1,TRUE)))*TAN(RADIANS(180/VLOOKUP($C72,'Geometry 2'!$E$4:$AH$14,11,TRUE))),(VLOOKUP(G72,'Geometry 2'!$E$4:$AJ$14,19,TRUE)-12*VLOOKUP(G72,'Geometry 2'!$E$4:$AJ$14,32,TRUE)*(G72-VLOOKUP(G72,'Geometry 2'!$E$5:$AH$14,1,TRUE)))*TAN(RADIANS(180/VLOOKUP($G72,'Geometry 2'!$E$4:$AH$14,11,TRUE)))),2))</f>
        <v/>
      </c>
      <c r="S72" s="652"/>
      <c r="T72" s="652"/>
      <c r="U72" s="139"/>
      <c r="V72" s="139"/>
      <c r="W72" s="139"/>
      <c r="X72" s="139"/>
      <c r="Y72" s="139"/>
      <c r="Z72" s="139"/>
      <c r="AA72" s="139"/>
      <c r="AB72" s="139"/>
      <c r="AC72" s="139"/>
      <c r="AD72" s="139"/>
      <c r="AE72" s="139"/>
      <c r="AF72" s="139"/>
      <c r="AG72" s="139"/>
      <c r="AH72" s="139"/>
      <c r="AI72" s="139"/>
      <c r="AJ72" s="139"/>
      <c r="AK72" s="139"/>
      <c r="AL72" s="139"/>
      <c r="AM72" s="592" t="str">
        <f t="shared" si="3"/>
        <v/>
      </c>
    </row>
    <row r="73" spans="2:39" hidden="1" x14ac:dyDescent="0.2">
      <c r="B73" s="165">
        <v>22</v>
      </c>
      <c r="C73" s="675"/>
      <c r="D73" s="675"/>
      <c r="E73" s="675"/>
      <c r="F73" s="675"/>
      <c r="G73" s="675"/>
      <c r="H73" s="675"/>
      <c r="I73" s="675"/>
      <c r="J73" s="675"/>
      <c r="K73" s="666"/>
      <c r="L73" s="667"/>
      <c r="M73" s="667"/>
      <c r="N73" s="668"/>
      <c r="O73" s="669"/>
      <c r="P73" s="670"/>
      <c r="Q73" s="671"/>
      <c r="R73" s="652" t="str">
        <f>IF(OR(C73="",G73=""),"",ROUND(MIN((VLOOKUP(C73,'Geometry 2'!$E$4:$AJ$14,19,TRUE)-12*VLOOKUP(C73,'Geometry 2'!$E$4:$AJ$14,32,TRUE)*(C73-VLOOKUP(C73,'Geometry 2'!$E$5:$AH$14,1,TRUE)))*TAN(RADIANS(180/VLOOKUP($C73,'Geometry 2'!$E$4:$AH$14,11,TRUE))),(VLOOKUP(G73,'Geometry 2'!$E$4:$AJ$14,19,TRUE)-12*VLOOKUP(G73,'Geometry 2'!$E$4:$AJ$14,32,TRUE)*(G73-VLOOKUP(G73,'Geometry 2'!$E$5:$AH$14,1,TRUE)))*TAN(RADIANS(180/VLOOKUP($G73,'Geometry 2'!$E$4:$AH$14,11,TRUE)))),2))</f>
        <v/>
      </c>
      <c r="S73" s="652"/>
      <c r="T73" s="652"/>
      <c r="U73" s="139"/>
      <c r="V73" s="139"/>
      <c r="W73" s="139"/>
      <c r="X73" s="139"/>
      <c r="Y73" s="139"/>
      <c r="Z73" s="139"/>
      <c r="AA73" s="139"/>
      <c r="AB73" s="139"/>
      <c r="AC73" s="139"/>
      <c r="AD73" s="139"/>
      <c r="AE73" s="139"/>
      <c r="AF73" s="139"/>
      <c r="AG73" s="139"/>
      <c r="AH73" s="139"/>
      <c r="AI73" s="139"/>
      <c r="AJ73" s="139"/>
      <c r="AK73" s="139"/>
      <c r="AL73" s="139"/>
      <c r="AM73" s="592" t="str">
        <f t="shared" si="3"/>
        <v/>
      </c>
    </row>
    <row r="74" spans="2:39" hidden="1" x14ac:dyDescent="0.2">
      <c r="B74" s="165">
        <v>23</v>
      </c>
      <c r="C74" s="675"/>
      <c r="D74" s="675"/>
      <c r="E74" s="675"/>
      <c r="F74" s="675"/>
      <c r="G74" s="675"/>
      <c r="H74" s="675"/>
      <c r="I74" s="675"/>
      <c r="J74" s="675"/>
      <c r="K74" s="666"/>
      <c r="L74" s="667"/>
      <c r="M74" s="667"/>
      <c r="N74" s="668"/>
      <c r="O74" s="669"/>
      <c r="P74" s="670"/>
      <c r="Q74" s="671"/>
      <c r="R74" s="652" t="str">
        <f>IF(OR(C74="",G74=""),"",ROUND(MIN((VLOOKUP(C74,'Geometry 2'!$E$4:$AJ$14,19,TRUE)-12*VLOOKUP(C74,'Geometry 2'!$E$4:$AJ$14,32,TRUE)*(C74-VLOOKUP(C74,'Geometry 2'!$E$5:$AH$14,1,TRUE)))*TAN(RADIANS(180/VLOOKUP($C74,'Geometry 2'!$E$4:$AH$14,11,TRUE))),(VLOOKUP(G74,'Geometry 2'!$E$4:$AJ$14,19,TRUE)-12*VLOOKUP(G74,'Geometry 2'!$E$4:$AJ$14,32,TRUE)*(G74-VLOOKUP(G74,'Geometry 2'!$E$5:$AH$14,1,TRUE)))*TAN(RADIANS(180/VLOOKUP($G74,'Geometry 2'!$E$4:$AH$14,11,TRUE)))),2))</f>
        <v/>
      </c>
      <c r="S74" s="652"/>
      <c r="T74" s="652"/>
      <c r="U74" s="139"/>
      <c r="V74" s="139"/>
      <c r="W74" s="139"/>
      <c r="X74" s="139"/>
      <c r="Y74" s="139"/>
      <c r="Z74" s="139"/>
      <c r="AA74" s="139"/>
      <c r="AB74" s="139"/>
      <c r="AC74" s="139"/>
      <c r="AD74" s="139"/>
      <c r="AE74" s="139"/>
      <c r="AF74" s="139"/>
      <c r="AG74" s="139"/>
      <c r="AH74" s="139"/>
      <c r="AI74" s="139"/>
      <c r="AJ74" s="139"/>
      <c r="AK74" s="139"/>
      <c r="AL74" s="139"/>
      <c r="AM74" s="592" t="str">
        <f t="shared" si="3"/>
        <v/>
      </c>
    </row>
    <row r="75" spans="2:39" hidden="1" x14ac:dyDescent="0.2">
      <c r="B75" s="165">
        <v>24</v>
      </c>
      <c r="C75" s="675"/>
      <c r="D75" s="675"/>
      <c r="E75" s="675"/>
      <c r="F75" s="675"/>
      <c r="G75" s="675"/>
      <c r="H75" s="675"/>
      <c r="I75" s="675"/>
      <c r="J75" s="675"/>
      <c r="K75" s="666"/>
      <c r="L75" s="667"/>
      <c r="M75" s="667"/>
      <c r="N75" s="668"/>
      <c r="O75" s="669"/>
      <c r="P75" s="670"/>
      <c r="Q75" s="671"/>
      <c r="R75" s="652" t="str">
        <f>IF(OR(C75="",G75=""),"",ROUND(MIN((VLOOKUP(C75,'Geometry 2'!$E$4:$AJ$14,19,TRUE)-12*VLOOKUP(C75,'Geometry 2'!$E$4:$AJ$14,32,TRUE)*(C75-VLOOKUP(C75,'Geometry 2'!$E$5:$AH$14,1,TRUE)))*TAN(RADIANS(180/VLOOKUP($C75,'Geometry 2'!$E$4:$AH$14,11,TRUE))),(VLOOKUP(G75,'Geometry 2'!$E$4:$AJ$14,19,TRUE)-12*VLOOKUP(G75,'Geometry 2'!$E$4:$AJ$14,32,TRUE)*(G75-VLOOKUP(G75,'Geometry 2'!$E$5:$AH$14,1,TRUE)))*TAN(RADIANS(180/VLOOKUP($G75,'Geometry 2'!$E$4:$AH$14,11,TRUE)))),2))</f>
        <v/>
      </c>
      <c r="S75" s="652"/>
      <c r="T75" s="652"/>
      <c r="U75" s="139"/>
      <c r="V75" s="139"/>
      <c r="W75" s="139"/>
      <c r="X75" s="139"/>
      <c r="Y75" s="139"/>
      <c r="Z75" s="139"/>
      <c r="AA75" s="139"/>
      <c r="AB75" s="139"/>
      <c r="AC75" s="139"/>
      <c r="AD75" s="139"/>
      <c r="AE75" s="139"/>
      <c r="AF75" s="139"/>
      <c r="AG75" s="139"/>
      <c r="AH75" s="139"/>
      <c r="AI75" s="139"/>
      <c r="AJ75" s="139"/>
      <c r="AK75" s="139"/>
      <c r="AL75" s="139"/>
      <c r="AM75" s="592" t="str">
        <f t="shared" si="3"/>
        <v/>
      </c>
    </row>
    <row r="76" spans="2:39" hidden="1" x14ac:dyDescent="0.2">
      <c r="B76" s="165">
        <v>25</v>
      </c>
      <c r="C76" s="675"/>
      <c r="D76" s="675"/>
      <c r="E76" s="675"/>
      <c r="F76" s="675"/>
      <c r="G76" s="675"/>
      <c r="H76" s="675"/>
      <c r="I76" s="675"/>
      <c r="J76" s="675"/>
      <c r="K76" s="666"/>
      <c r="L76" s="667"/>
      <c r="M76" s="667"/>
      <c r="N76" s="668"/>
      <c r="O76" s="669"/>
      <c r="P76" s="670"/>
      <c r="Q76" s="671"/>
      <c r="R76" s="652" t="str">
        <f>IF(OR(C76="",G76=""),"",ROUND(MIN((VLOOKUP(C76,'Geometry 2'!$E$4:$AJ$14,19,TRUE)-12*VLOOKUP(C76,'Geometry 2'!$E$4:$AJ$14,32,TRUE)*(C76-VLOOKUP(C76,'Geometry 2'!$E$5:$AH$14,1,TRUE)))*TAN(RADIANS(180/VLOOKUP($C76,'Geometry 2'!$E$4:$AH$14,11,TRUE))),(VLOOKUP(G76,'Geometry 2'!$E$4:$AJ$14,19,TRUE)-12*VLOOKUP(G76,'Geometry 2'!$E$4:$AJ$14,32,TRUE)*(G76-VLOOKUP(G76,'Geometry 2'!$E$5:$AH$14,1,TRUE)))*TAN(RADIANS(180/VLOOKUP($G76,'Geometry 2'!$E$4:$AH$14,11,TRUE)))),2))</f>
        <v/>
      </c>
      <c r="S76" s="652"/>
      <c r="T76" s="652"/>
      <c r="U76" s="139"/>
      <c r="V76" s="139"/>
      <c r="W76" s="139"/>
      <c r="X76" s="139"/>
      <c r="Y76" s="139"/>
      <c r="Z76" s="139"/>
      <c r="AA76" s="139"/>
      <c r="AB76" s="139"/>
      <c r="AC76" s="139"/>
      <c r="AD76" s="139"/>
      <c r="AE76" s="139"/>
      <c r="AF76" s="139"/>
      <c r="AG76" s="139"/>
      <c r="AH76" s="139"/>
      <c r="AI76" s="139"/>
      <c r="AJ76" s="139"/>
      <c r="AK76" s="139"/>
      <c r="AL76" s="139"/>
      <c r="AM76" s="592" t="str">
        <f t="shared" si="3"/>
        <v/>
      </c>
    </row>
    <row r="77" spans="2:39" hidden="1" x14ac:dyDescent="0.2">
      <c r="B77" s="165">
        <v>26</v>
      </c>
      <c r="C77" s="675"/>
      <c r="D77" s="675"/>
      <c r="E77" s="675"/>
      <c r="F77" s="675"/>
      <c r="G77" s="675"/>
      <c r="H77" s="675"/>
      <c r="I77" s="675"/>
      <c r="J77" s="675"/>
      <c r="K77" s="666"/>
      <c r="L77" s="667"/>
      <c r="M77" s="667"/>
      <c r="N77" s="668"/>
      <c r="O77" s="669"/>
      <c r="P77" s="670"/>
      <c r="Q77" s="671"/>
      <c r="R77" s="652" t="str">
        <f>IF(OR(C77="",G77=""),"",ROUND(MIN((VLOOKUP(C77,'Geometry 2'!$E$4:$AJ$14,19,TRUE)-12*VLOOKUP(C77,'Geometry 2'!$E$4:$AJ$14,32,TRUE)*(C77-VLOOKUP(C77,'Geometry 2'!$E$5:$AH$14,1,TRUE)))*TAN(RADIANS(180/VLOOKUP($C77,'Geometry 2'!$E$4:$AH$14,11,TRUE))),(VLOOKUP(G77,'Geometry 2'!$E$4:$AJ$14,19,TRUE)-12*VLOOKUP(G77,'Geometry 2'!$E$4:$AJ$14,32,TRUE)*(G77-VLOOKUP(G77,'Geometry 2'!$E$5:$AH$14,1,TRUE)))*TAN(RADIANS(180/VLOOKUP($G77,'Geometry 2'!$E$4:$AH$14,11,TRUE)))),2))</f>
        <v/>
      </c>
      <c r="S77" s="652"/>
      <c r="T77" s="652"/>
      <c r="U77" s="139"/>
      <c r="V77" s="139"/>
      <c r="W77" s="139"/>
      <c r="X77" s="139"/>
      <c r="Y77" s="139"/>
      <c r="Z77" s="139"/>
      <c r="AA77" s="139"/>
      <c r="AB77" s="139"/>
      <c r="AC77" s="139"/>
      <c r="AD77" s="139"/>
      <c r="AE77" s="139"/>
      <c r="AF77" s="139"/>
      <c r="AG77" s="139"/>
      <c r="AH77" s="139"/>
      <c r="AI77" s="139"/>
      <c r="AJ77" s="139"/>
      <c r="AK77" s="139"/>
      <c r="AL77" s="139"/>
      <c r="AM77" s="592" t="str">
        <f t="shared" si="3"/>
        <v/>
      </c>
    </row>
    <row r="78" spans="2:39" hidden="1" x14ac:dyDescent="0.2">
      <c r="B78" s="165">
        <v>27</v>
      </c>
      <c r="C78" s="675"/>
      <c r="D78" s="675"/>
      <c r="E78" s="675"/>
      <c r="F78" s="675"/>
      <c r="G78" s="675"/>
      <c r="H78" s="675"/>
      <c r="I78" s="675"/>
      <c r="J78" s="675"/>
      <c r="K78" s="666"/>
      <c r="L78" s="667"/>
      <c r="M78" s="667"/>
      <c r="N78" s="668"/>
      <c r="O78" s="669"/>
      <c r="P78" s="670"/>
      <c r="Q78" s="671"/>
      <c r="R78" s="652" t="str">
        <f>IF(OR(C78="",G78=""),"",ROUND(MIN((VLOOKUP(C78,'Geometry 2'!$E$4:$AJ$14,19,TRUE)-12*VLOOKUP(C78,'Geometry 2'!$E$4:$AJ$14,32,TRUE)*(C78-VLOOKUP(C78,'Geometry 2'!$E$5:$AH$14,1,TRUE)))*TAN(RADIANS(180/VLOOKUP($C78,'Geometry 2'!$E$4:$AH$14,11,TRUE))),(VLOOKUP(G78,'Geometry 2'!$E$4:$AJ$14,19,TRUE)-12*VLOOKUP(G78,'Geometry 2'!$E$4:$AJ$14,32,TRUE)*(G78-VLOOKUP(G78,'Geometry 2'!$E$5:$AH$14,1,TRUE)))*TAN(RADIANS(180/VLOOKUP($G78,'Geometry 2'!$E$4:$AH$14,11,TRUE)))),2))</f>
        <v/>
      </c>
      <c r="S78" s="652"/>
      <c r="T78" s="652"/>
      <c r="U78" s="139"/>
      <c r="V78" s="139"/>
      <c r="W78" s="139"/>
      <c r="X78" s="139"/>
      <c r="Y78" s="139"/>
      <c r="Z78" s="139"/>
      <c r="AA78" s="139"/>
      <c r="AB78" s="139"/>
      <c r="AC78" s="139"/>
      <c r="AD78" s="139"/>
      <c r="AE78" s="139"/>
      <c r="AF78" s="139"/>
      <c r="AG78" s="139"/>
      <c r="AH78" s="139"/>
      <c r="AI78" s="139"/>
      <c r="AJ78" s="139"/>
      <c r="AK78" s="139"/>
      <c r="AL78" s="139"/>
      <c r="AM78" s="592" t="str">
        <f t="shared" si="3"/>
        <v/>
      </c>
    </row>
    <row r="79" spans="2:39" hidden="1" x14ac:dyDescent="0.2">
      <c r="B79" s="165">
        <v>28</v>
      </c>
      <c r="C79" s="675"/>
      <c r="D79" s="675"/>
      <c r="E79" s="675"/>
      <c r="F79" s="675"/>
      <c r="G79" s="675"/>
      <c r="H79" s="675"/>
      <c r="I79" s="675"/>
      <c r="J79" s="675"/>
      <c r="K79" s="666"/>
      <c r="L79" s="667"/>
      <c r="M79" s="667"/>
      <c r="N79" s="668"/>
      <c r="O79" s="669"/>
      <c r="P79" s="670"/>
      <c r="Q79" s="671"/>
      <c r="R79" s="652" t="str">
        <f>IF(OR(C79="",G79=""),"",ROUND(MIN((VLOOKUP(C79,'Geometry 2'!$E$4:$AJ$14,19,TRUE)-12*VLOOKUP(C79,'Geometry 2'!$E$4:$AJ$14,32,TRUE)*(C79-VLOOKUP(C79,'Geometry 2'!$E$5:$AH$14,1,TRUE)))*TAN(RADIANS(180/VLOOKUP($C79,'Geometry 2'!$E$4:$AH$14,11,TRUE))),(VLOOKUP(G79,'Geometry 2'!$E$4:$AJ$14,19,TRUE)-12*VLOOKUP(G79,'Geometry 2'!$E$4:$AJ$14,32,TRUE)*(G79-VLOOKUP(G79,'Geometry 2'!$E$5:$AH$14,1,TRUE)))*TAN(RADIANS(180/VLOOKUP($G79,'Geometry 2'!$E$4:$AH$14,11,TRUE)))),2))</f>
        <v/>
      </c>
      <c r="S79" s="652"/>
      <c r="T79" s="652"/>
      <c r="U79" s="139"/>
      <c r="V79" s="139"/>
      <c r="W79" s="139"/>
      <c r="X79" s="139"/>
      <c r="Y79" s="139"/>
      <c r="Z79" s="139"/>
      <c r="AA79" s="139"/>
      <c r="AB79" s="139"/>
      <c r="AC79" s="139"/>
      <c r="AD79" s="139"/>
      <c r="AE79" s="139"/>
      <c r="AF79" s="139"/>
      <c r="AG79" s="139"/>
      <c r="AH79" s="139"/>
      <c r="AI79" s="139"/>
      <c r="AJ79" s="139"/>
      <c r="AK79" s="139"/>
      <c r="AL79" s="139"/>
      <c r="AM79" s="592" t="str">
        <f t="shared" si="3"/>
        <v/>
      </c>
    </row>
    <row r="80" spans="2:39" hidden="1" x14ac:dyDescent="0.2">
      <c r="B80" s="165">
        <v>29</v>
      </c>
      <c r="C80" s="675"/>
      <c r="D80" s="675"/>
      <c r="E80" s="675"/>
      <c r="F80" s="675"/>
      <c r="G80" s="675"/>
      <c r="H80" s="675"/>
      <c r="I80" s="675"/>
      <c r="J80" s="675"/>
      <c r="K80" s="666"/>
      <c r="L80" s="667"/>
      <c r="M80" s="667"/>
      <c r="N80" s="668"/>
      <c r="O80" s="669"/>
      <c r="P80" s="670"/>
      <c r="Q80" s="671"/>
      <c r="R80" s="652" t="str">
        <f>IF(OR(C80="",G80=""),"",ROUND(MIN((VLOOKUP(C80,'Geometry 2'!$E$4:$AJ$14,19,TRUE)-12*VLOOKUP(C80,'Geometry 2'!$E$4:$AJ$14,32,TRUE)*(C80-VLOOKUP(C80,'Geometry 2'!$E$5:$AH$14,1,TRUE)))*TAN(RADIANS(180/VLOOKUP($C80,'Geometry 2'!$E$4:$AH$14,11,TRUE))),(VLOOKUP(G80,'Geometry 2'!$E$4:$AJ$14,19,TRUE)-12*VLOOKUP(G80,'Geometry 2'!$E$4:$AJ$14,32,TRUE)*(G80-VLOOKUP(G80,'Geometry 2'!$E$5:$AH$14,1,TRUE)))*TAN(RADIANS(180/VLOOKUP($G80,'Geometry 2'!$E$4:$AH$14,11,TRUE)))),2))</f>
        <v/>
      </c>
      <c r="S80" s="652"/>
      <c r="T80" s="652"/>
      <c r="U80" s="139"/>
      <c r="V80" s="139"/>
      <c r="W80" s="139"/>
      <c r="X80" s="139"/>
      <c r="Y80" s="139"/>
      <c r="Z80" s="139"/>
      <c r="AA80" s="139"/>
      <c r="AB80" s="139"/>
      <c r="AC80" s="139"/>
      <c r="AD80" s="139"/>
      <c r="AE80" s="139"/>
      <c r="AF80" s="139"/>
      <c r="AG80" s="139"/>
      <c r="AH80" s="139"/>
      <c r="AI80" s="139"/>
      <c r="AJ80" s="139"/>
      <c r="AK80" s="139"/>
      <c r="AL80" s="139"/>
      <c r="AM80" s="592" t="str">
        <f t="shared" si="3"/>
        <v/>
      </c>
    </row>
    <row r="81" spans="2:41" hidden="1" x14ac:dyDescent="0.2">
      <c r="B81" s="165">
        <v>30</v>
      </c>
      <c r="C81" s="675"/>
      <c r="D81" s="675"/>
      <c r="E81" s="675"/>
      <c r="F81" s="675"/>
      <c r="G81" s="675"/>
      <c r="H81" s="675"/>
      <c r="I81" s="675"/>
      <c r="J81" s="675"/>
      <c r="K81" s="666"/>
      <c r="L81" s="667"/>
      <c r="M81" s="667"/>
      <c r="N81" s="668"/>
      <c r="O81" s="669"/>
      <c r="P81" s="670"/>
      <c r="Q81" s="671"/>
      <c r="R81" s="652" t="str">
        <f>IF(OR(C81="",G81=""),"",ROUND(MIN((VLOOKUP(C81,'Geometry 2'!$E$4:$AJ$14,19,TRUE)-12*VLOOKUP(C81,'Geometry 2'!$E$4:$AJ$14,32,TRUE)*(C81-VLOOKUP(C81,'Geometry 2'!$E$5:$AH$14,1,TRUE)))*TAN(RADIANS(180/VLOOKUP($C81,'Geometry 2'!$E$4:$AH$14,11,TRUE))),(VLOOKUP(G81,'Geometry 2'!$E$4:$AJ$14,19,TRUE)-12*VLOOKUP(G81,'Geometry 2'!$E$4:$AJ$14,32,TRUE)*(G81-VLOOKUP(G81,'Geometry 2'!$E$5:$AH$14,1,TRUE)))*TAN(RADIANS(180/VLOOKUP($G81,'Geometry 2'!$E$4:$AH$14,11,TRUE)))),2))</f>
        <v/>
      </c>
      <c r="S81" s="652"/>
      <c r="T81" s="652"/>
      <c r="U81" s="139"/>
      <c r="V81" s="139"/>
      <c r="W81" s="139"/>
      <c r="X81" s="139"/>
      <c r="Y81" s="139"/>
      <c r="Z81" s="139"/>
      <c r="AA81" s="139"/>
      <c r="AB81" s="139"/>
      <c r="AC81" s="139"/>
      <c r="AD81" s="139"/>
      <c r="AE81" s="139"/>
      <c r="AF81" s="139"/>
      <c r="AG81" s="139"/>
      <c r="AH81" s="139"/>
      <c r="AI81" s="139"/>
      <c r="AJ81" s="139"/>
      <c r="AK81" s="139"/>
      <c r="AL81" s="139"/>
      <c r="AM81" s="592" t="str">
        <f>IF(C81="","",IFERROR(IF(VLOOKUP(IF(C81="","",MAX(IF(C81&lt;=MIN($C$8:$F$17),MAX($B$8:$B$17),IF(C81&gt;=$C$9,$B$8,IF(AND(C81&lt;=$C$9,C81&gt;=$C$10),$B$9,IF(AND(C81&lt;=$C$10,C81&gt;=$C$11),$B$10,IF(AND(C81&lt;=$C$11,C81&gt;=$C$12),$B$11,IF(AND(C81&lt;=$C$12,C81&gt;=$C$13),$B$12,IF(AND(C81&lt;=$C$13,C81&gt;=$C$14),$B$13,IF(AND(C81&lt;=$C$14,C81&gt;=$C$15),$B$14,IF(AND(C81&lt;=$C$15,C81&gt;=$C$16),$B$15,IF(AND(C81&lt;=$C$16,C81&gt;=$C$17),$B$16,$B$17)))))))))),IF(G81="","",IF(G81&lt;=MIN($C$8:$F$17),MAX($B$8:$B$17),IF(G81&gt;=$C$9,$B$8,IF(AND(G81&lt;=$C$9,G81&gt;=$C$10),$B$9,IF(AND(G81&lt;=$C$10,G81&gt;=$C$11),$B$10,IF(AND(G81&lt;=$C$11,G81&gt;=$C$12),$B$11,IF(AND(G81&lt;=$C$12,G81&gt;=$C$13),$B$12,IF(AND(G81&lt;=$C$13,G81&gt;=$C$14),$B$13,IF(AND(G81&lt;=$C$14,G81&gt;=$C$15),$B$14,IF(AND(G81&lt;=$C$15,G81&gt;=$C$16),$B$15,IF(AND(G81&lt;=$C$16,G81&gt;=$C$17),$B$16,$B$17))))))))))))),$B$8:$AL$17,14,FALSE)=0,TRUE,FALSE),FALSE))</f>
        <v/>
      </c>
    </row>
    <row r="82" spans="2:41" ht="26.25" customHeight="1" x14ac:dyDescent="0.2">
      <c r="J82" s="66"/>
    </row>
    <row r="83" spans="2:41" ht="18" x14ac:dyDescent="0.2">
      <c r="B83" s="27" t="s">
        <v>9</v>
      </c>
      <c r="C83" s="2"/>
      <c r="D83" s="2"/>
      <c r="E83" s="2"/>
      <c r="F83" s="2"/>
      <c r="G83" s="2"/>
      <c r="H83" s="5"/>
      <c r="I83" s="5"/>
      <c r="J83" s="5"/>
      <c r="K83" s="5"/>
      <c r="L83" s="5"/>
      <c r="M83" s="5"/>
      <c r="N83" s="5"/>
      <c r="O83" s="5"/>
      <c r="P83" s="5"/>
      <c r="Q83" s="5"/>
      <c r="R83" s="5"/>
      <c r="S83" s="5"/>
      <c r="T83" s="5"/>
      <c r="U83" s="5"/>
      <c r="V83" s="5"/>
      <c r="W83" s="5"/>
      <c r="X83" s="5"/>
      <c r="Y83" s="2"/>
      <c r="Z83" s="2"/>
    </row>
    <row r="84" spans="2:41" ht="42.6" customHeight="1" x14ac:dyDescent="0.25">
      <c r="B84" s="13"/>
      <c r="C84" s="655" t="s">
        <v>142</v>
      </c>
      <c r="D84" s="656"/>
      <c r="E84" s="655" t="s">
        <v>143</v>
      </c>
      <c r="F84" s="656"/>
      <c r="G84" s="655" t="s">
        <v>981</v>
      </c>
      <c r="H84" s="656"/>
      <c r="I84" s="655" t="s">
        <v>38</v>
      </c>
      <c r="J84" s="657"/>
      <c r="K84" s="656"/>
      <c r="L84" s="655" t="s">
        <v>982</v>
      </c>
      <c r="M84" s="657"/>
      <c r="N84" s="657"/>
      <c r="O84" s="657"/>
      <c r="P84" s="656"/>
      <c r="Q84" s="655" t="s">
        <v>593</v>
      </c>
      <c r="R84" s="657"/>
      <c r="S84" s="656"/>
      <c r="T84" s="655" t="s">
        <v>983</v>
      </c>
      <c r="U84" s="657"/>
      <c r="V84" s="657"/>
      <c r="W84" s="657"/>
      <c r="X84" s="656"/>
      <c r="Y84" s="682" t="s">
        <v>594</v>
      </c>
      <c r="Z84" s="683"/>
      <c r="AA84" s="684"/>
      <c r="AB84" s="658" t="s">
        <v>985</v>
      </c>
      <c r="AC84" s="659"/>
      <c r="AD84" s="658" t="s">
        <v>984</v>
      </c>
      <c r="AE84" s="659"/>
      <c r="AF84" s="676" t="s">
        <v>113</v>
      </c>
      <c r="AG84" s="677"/>
      <c r="AH84" s="678"/>
      <c r="AI84" s="682" t="s">
        <v>56</v>
      </c>
      <c r="AJ84" s="683"/>
      <c r="AK84" s="683"/>
      <c r="AL84" s="684"/>
      <c r="AM84" s="30"/>
      <c r="AN84" s="30"/>
      <c r="AO84" s="30"/>
    </row>
    <row r="85" spans="2:41" ht="14.45" hidden="1" customHeight="1" x14ac:dyDescent="0.25">
      <c r="B85" s="13">
        <v>1</v>
      </c>
      <c r="C85" s="652" t="str">
        <f>IF($N21="","",VLOOKUP($N21,Reinforcements[],COLUMN(Reinforcements[[#Headers],[B (in)]])-1,FALSE))</f>
        <v/>
      </c>
      <c r="D85" s="652"/>
      <c r="E85" s="652" t="str">
        <f>IF($N21="","",VLOOKUP($N21,Reinforcements[],COLUMN(Reinforcements[[#Headers],[H (in)]])-1,FALSE))</f>
        <v/>
      </c>
      <c r="F85" s="652"/>
      <c r="G85" s="652" t="str">
        <f>IF($N21="","",VLOOKUP($N21,Reinforcements[],COLUMN(Reinforcements[[#Headers],[Gross Area (in2)]])-1,FALSE))</f>
        <v/>
      </c>
      <c r="H85" s="652"/>
      <c r="I85" s="652" t="str">
        <f>IF($N21="","",VLOOKUP($N21,Reinforcements[],COLUMN(Reinforcements[[#Headers],[Pole Face to Centroid (in)]])-1,FALSE))</f>
        <v/>
      </c>
      <c r="J85" s="652"/>
      <c r="K85" s="652"/>
      <c r="L85" s="652" t="str">
        <f>IF($N21="","",IF(VLOOKUP($N21,Reinforcements[],COLUMN(Reinforcements[[#Headers],[Bottom End Connection Type]])-1,FALSE)&lt;&gt;"Bolted",VLOOKUP($N21,Reinforcements[],COLUMN(Reinforcements[[#Headers],[Bottom End Connection Type]])-1,FALSE),VLOOKUP($N21,Reinforcements[],COLUMN(Reinforcements[[#Headers],[Bottom End Connection Bolt Type]])-1,FALSE)))</f>
        <v/>
      </c>
      <c r="M85" s="652"/>
      <c r="N85" s="652"/>
      <c r="O85" s="652"/>
      <c r="P85" s="652"/>
      <c r="Q85" s="652" t="str">
        <f>IF($N21="","",VLOOKUP($N21,Reinforcements[],COLUMN(Reinforcements[[#Headers],[Bottom Connection Length + Edge Dist (in)]])-1,FALSE))</f>
        <v/>
      </c>
      <c r="R85" s="652"/>
      <c r="S85" s="652"/>
      <c r="T85" s="653" t="str">
        <f>IF($N21="","",IF(VLOOKUP($N21,Reinforcements[],COLUMN(Reinforcements[[#Headers],[Top End Connection Type]])-1,FALSE)&lt;&gt;"Bolted",VLOOKUP($N21,Reinforcements[],COLUMN(Reinforcements[[#Headers],[Top End Connection Type]])-1,FALSE),VLOOKUP($N21,Reinforcements[],COLUMN(Reinforcements[[#Headers],[Top End Connection Bolt Type]])-1,FALSE)))</f>
        <v/>
      </c>
      <c r="U85" s="653"/>
      <c r="V85" s="653"/>
      <c r="W85" s="653"/>
      <c r="X85" s="653"/>
      <c r="Y85" s="653" t="str">
        <f>IF($N21="","",VLOOKUP($N21,Reinforcements[],COLUMN(Reinforcements[[#Headers],[Top Connection Length + Edge Dist (in)]])-1,FALSE))</f>
        <v/>
      </c>
      <c r="Z85" s="653"/>
      <c r="AA85" s="653"/>
      <c r="AB85" s="654" t="str">
        <f>IF($N21="","",VLOOKUP($N21,Reinforcements[],COLUMN(Reinforcements[[#Headers],[Lu (in)]])-1,FALSE))</f>
        <v/>
      </c>
      <c r="AC85" s="654"/>
      <c r="AD85" s="654" t="str">
        <f>IF($N21="","",VLOOKUP($N21,Reinforcements[],COLUMN(Reinforcements[[#Headers],[Net Area (in2)]])-1,FALSE))</f>
        <v/>
      </c>
      <c r="AE85" s="654"/>
      <c r="AF85" s="651" t="str">
        <f>IF($N21="","",VLOOKUP($N21,Reinforcements[],IF(RIGHT($AF$84,4)="(in)",COLUMN(Reinforcements[[#Headers],[Bolt Hole Size (in)]])-1,COLUMN(Reinforcements[[#Headers],[Bolt Hole Size (mm)]])-1),FALSE))</f>
        <v/>
      </c>
      <c r="AG85" s="651"/>
      <c r="AH85" s="651"/>
      <c r="AI85" s="681" t="str">
        <f>IF($N21="","",VLOOKUP($N21,Reinforcements[],COLUMN(Reinforcements[[#Headers],[Material]])-1,FALSE))</f>
        <v/>
      </c>
      <c r="AJ85" s="681"/>
      <c r="AK85" s="681"/>
      <c r="AL85" s="681"/>
      <c r="AM85" s="30"/>
      <c r="AN85" s="30"/>
      <c r="AO85" s="30"/>
    </row>
    <row r="86" spans="2:41" ht="14.45" hidden="1" customHeight="1" x14ac:dyDescent="0.25">
      <c r="B86" s="13">
        <v>2</v>
      </c>
      <c r="C86" s="652" t="str">
        <f>IF($N22="","",VLOOKUP($N22,Reinforcements[],COLUMN(Reinforcements[[#Headers],[B (in)]])-1,FALSE))</f>
        <v/>
      </c>
      <c r="D86" s="652"/>
      <c r="E86" s="652" t="str">
        <f>IF($N22="","",VLOOKUP($N22,Reinforcements[],COLUMN(Reinforcements[[#Headers],[H (in)]])-1,FALSE))</f>
        <v/>
      </c>
      <c r="F86" s="652"/>
      <c r="G86" s="652" t="str">
        <f>IF($N22="","",VLOOKUP($N22,Reinforcements[],COLUMN(Reinforcements[[#Headers],[Gross Area (in2)]])-1,FALSE))</f>
        <v/>
      </c>
      <c r="H86" s="652"/>
      <c r="I86" s="652" t="str">
        <f>IF($N22="","",VLOOKUP($N22,Reinforcements[],COLUMN(Reinforcements[[#Headers],[Pole Face to Centroid (in)]])-1,FALSE))</f>
        <v/>
      </c>
      <c r="J86" s="652"/>
      <c r="K86" s="652"/>
      <c r="L86" s="652" t="str">
        <f>IF($N22="","",IF(VLOOKUP($N22,Reinforcements[],COLUMN(Reinforcements[[#Headers],[Bottom End Connection Type]])-1,FALSE)&lt;&gt;"Bolted",VLOOKUP($N22,Reinforcements[],COLUMN(Reinforcements[[#Headers],[Bottom End Connection Type]])-1,FALSE),VLOOKUP($N22,Reinforcements[],COLUMN(Reinforcements[[#Headers],[Bottom End Connection Bolt Type]])-1,FALSE)))</f>
        <v/>
      </c>
      <c r="M86" s="652"/>
      <c r="N86" s="652"/>
      <c r="O86" s="652"/>
      <c r="P86" s="652"/>
      <c r="Q86" s="652" t="str">
        <f>IF($N22="","",VLOOKUP($N22,Reinforcements[],COLUMN(Reinforcements[[#Headers],[Bottom Connection Length + Edge Dist (in)]])-1,FALSE))</f>
        <v/>
      </c>
      <c r="R86" s="652"/>
      <c r="S86" s="652"/>
      <c r="T86" s="653" t="str">
        <f>IF($N22="","",IF(VLOOKUP($N22,Reinforcements[],COLUMN(Reinforcements[[#Headers],[Top End Connection Type]])-1,FALSE)&lt;&gt;"Bolted",VLOOKUP($N22,Reinforcements[],COLUMN(Reinforcements[[#Headers],[Top End Connection Type]])-1,FALSE),VLOOKUP($N22,Reinforcements[],COLUMN(Reinforcements[[#Headers],[Top End Connection Bolt Type]])-1,FALSE)))</f>
        <v/>
      </c>
      <c r="U86" s="653"/>
      <c r="V86" s="653"/>
      <c r="W86" s="653"/>
      <c r="X86" s="653"/>
      <c r="Y86" s="653" t="str">
        <f>IF($N22="","",VLOOKUP($N22,Reinforcements[],COLUMN(Reinforcements[[#Headers],[Top Connection Length + Edge Dist (in)]])-1,FALSE))</f>
        <v/>
      </c>
      <c r="Z86" s="653"/>
      <c r="AA86" s="653"/>
      <c r="AB86" s="654" t="str">
        <f>IF($N22="","",VLOOKUP($N22,Reinforcements[],COLUMN(Reinforcements[[#Headers],[Lu (in)]])-1,FALSE))</f>
        <v/>
      </c>
      <c r="AC86" s="654"/>
      <c r="AD86" s="654" t="str">
        <f>IF($N22="","",VLOOKUP($N22,Reinforcements[],COLUMN(Reinforcements[[#Headers],[Net Area (in2)]])-1,FALSE))</f>
        <v/>
      </c>
      <c r="AE86" s="654"/>
      <c r="AF86" s="651" t="str">
        <f>IF($N22="","",VLOOKUP($N22,Reinforcements[],IF(RIGHT($AF$84,4)="(in)",COLUMN(Reinforcements[[#Headers],[Bolt Hole Size (in)]])-1,COLUMN(Reinforcements[[#Headers],[Bolt Hole Size (mm)]])-1),FALSE))</f>
        <v/>
      </c>
      <c r="AG86" s="651"/>
      <c r="AH86" s="651"/>
      <c r="AI86" s="681" t="str">
        <f>IF($N22="","",VLOOKUP($N22,Reinforcements[],COLUMN(Reinforcements[[#Headers],[Material]])-1,FALSE))</f>
        <v/>
      </c>
      <c r="AJ86" s="681"/>
      <c r="AK86" s="681"/>
      <c r="AL86" s="681"/>
      <c r="AM86" s="30"/>
      <c r="AN86" s="30"/>
      <c r="AO86" s="30"/>
    </row>
    <row r="87" spans="2:41" ht="14.45" hidden="1" customHeight="1" x14ac:dyDescent="0.25">
      <c r="B87" s="13">
        <v>3</v>
      </c>
      <c r="C87" s="652" t="str">
        <f>IF($N23="","",VLOOKUP($N23,Reinforcements[],COLUMN(Reinforcements[[#Headers],[B (in)]])-1,FALSE))</f>
        <v/>
      </c>
      <c r="D87" s="652"/>
      <c r="E87" s="652" t="str">
        <f>IF($N23="","",VLOOKUP($N23,Reinforcements[],COLUMN(Reinforcements[[#Headers],[H (in)]])-1,FALSE))</f>
        <v/>
      </c>
      <c r="F87" s="652"/>
      <c r="G87" s="652" t="str">
        <f>IF($N23="","",VLOOKUP($N23,Reinforcements[],COLUMN(Reinforcements[[#Headers],[Gross Area (in2)]])-1,FALSE))</f>
        <v/>
      </c>
      <c r="H87" s="652"/>
      <c r="I87" s="652" t="str">
        <f>IF($N23="","",VLOOKUP($N23,Reinforcements[],COLUMN(Reinforcements[[#Headers],[Pole Face to Centroid (in)]])-1,FALSE))</f>
        <v/>
      </c>
      <c r="J87" s="652"/>
      <c r="K87" s="652"/>
      <c r="L87" s="652" t="str">
        <f>IF($N23="","",IF(VLOOKUP($N23,Reinforcements[],COLUMN(Reinforcements[[#Headers],[Bottom End Connection Type]])-1,FALSE)&lt;&gt;"Bolted",VLOOKUP($N23,Reinforcements[],COLUMN(Reinforcements[[#Headers],[Bottom End Connection Type]])-1,FALSE),VLOOKUP($N23,Reinforcements[],COLUMN(Reinforcements[[#Headers],[Bottom End Connection Bolt Type]])-1,FALSE)))</f>
        <v/>
      </c>
      <c r="M87" s="652"/>
      <c r="N87" s="652"/>
      <c r="O87" s="652"/>
      <c r="P87" s="652"/>
      <c r="Q87" s="652" t="str">
        <f>IF($N23="","",VLOOKUP($N23,Reinforcements[],COLUMN(Reinforcements[[#Headers],[Bottom Connection Length + Edge Dist (in)]])-1,FALSE))</f>
        <v/>
      </c>
      <c r="R87" s="652"/>
      <c r="S87" s="652"/>
      <c r="T87" s="653" t="str">
        <f>IF($N23="","",IF(VLOOKUP($N23,Reinforcements[],COLUMN(Reinforcements[[#Headers],[Top End Connection Type]])-1,FALSE)&lt;&gt;"Bolted",VLOOKUP($N23,Reinforcements[],COLUMN(Reinforcements[[#Headers],[Top End Connection Type]])-1,FALSE),VLOOKUP($N23,Reinforcements[],COLUMN(Reinforcements[[#Headers],[Top End Connection Bolt Type]])-1,FALSE)))</f>
        <v/>
      </c>
      <c r="U87" s="653"/>
      <c r="V87" s="653"/>
      <c r="W87" s="653"/>
      <c r="X87" s="653"/>
      <c r="Y87" s="653" t="str">
        <f>IF($N23="","",VLOOKUP($N23,Reinforcements[],COLUMN(Reinforcements[[#Headers],[Top Connection Length + Edge Dist (in)]])-1,FALSE))</f>
        <v/>
      </c>
      <c r="Z87" s="653"/>
      <c r="AA87" s="653"/>
      <c r="AB87" s="654" t="str">
        <f>IF($N23="","",VLOOKUP($N23,Reinforcements[],COLUMN(Reinforcements[[#Headers],[Lu (in)]])-1,FALSE))</f>
        <v/>
      </c>
      <c r="AC87" s="654"/>
      <c r="AD87" s="654" t="str">
        <f>IF($N23="","",VLOOKUP($N23,Reinforcements[],COLUMN(Reinforcements[[#Headers],[Net Area (in2)]])-1,FALSE))</f>
        <v/>
      </c>
      <c r="AE87" s="654"/>
      <c r="AF87" s="651" t="str">
        <f>IF($N23="","",VLOOKUP($N23,Reinforcements[],IF(RIGHT($AF$84,4)="(in)",COLUMN(Reinforcements[[#Headers],[Bolt Hole Size (in)]])-1,COLUMN(Reinforcements[[#Headers],[Bolt Hole Size (mm)]])-1),FALSE))</f>
        <v/>
      </c>
      <c r="AG87" s="651"/>
      <c r="AH87" s="651"/>
      <c r="AI87" s="681" t="str">
        <f>IF($N23="","",VLOOKUP($N23,Reinforcements[],COLUMN(Reinforcements[[#Headers],[Material]])-1,FALSE))</f>
        <v/>
      </c>
      <c r="AJ87" s="681"/>
      <c r="AK87" s="681"/>
      <c r="AL87" s="681"/>
      <c r="AM87" s="30"/>
      <c r="AN87" s="30"/>
      <c r="AO87" s="30"/>
    </row>
    <row r="88" spans="2:41" ht="14.45" hidden="1" customHeight="1" x14ac:dyDescent="0.25">
      <c r="B88" s="13">
        <v>4</v>
      </c>
      <c r="C88" s="652" t="str">
        <f>IF($N24="","",VLOOKUP($N24,Reinforcements[],COLUMN(Reinforcements[[#Headers],[B (in)]])-1,FALSE))</f>
        <v/>
      </c>
      <c r="D88" s="652"/>
      <c r="E88" s="652" t="str">
        <f>IF($N24="","",VLOOKUP($N24,Reinforcements[],COLUMN(Reinforcements[[#Headers],[H (in)]])-1,FALSE))</f>
        <v/>
      </c>
      <c r="F88" s="652"/>
      <c r="G88" s="652" t="str">
        <f>IF($N24="","",VLOOKUP($N24,Reinforcements[],COLUMN(Reinforcements[[#Headers],[Gross Area (in2)]])-1,FALSE))</f>
        <v/>
      </c>
      <c r="H88" s="652"/>
      <c r="I88" s="652" t="str">
        <f>IF($N24="","",VLOOKUP($N24,Reinforcements[],COLUMN(Reinforcements[[#Headers],[Pole Face to Centroid (in)]])-1,FALSE))</f>
        <v/>
      </c>
      <c r="J88" s="652"/>
      <c r="K88" s="652"/>
      <c r="L88" s="652" t="str">
        <f>IF($N24="","",IF(VLOOKUP($N24,Reinforcements[],COLUMN(Reinforcements[[#Headers],[Bottom End Connection Type]])-1,FALSE)&lt;&gt;"Bolted",VLOOKUP($N24,Reinforcements[],COLUMN(Reinforcements[[#Headers],[Bottom End Connection Type]])-1,FALSE),VLOOKUP($N24,Reinforcements[],COLUMN(Reinforcements[[#Headers],[Bottom End Connection Bolt Type]])-1,FALSE)))</f>
        <v/>
      </c>
      <c r="M88" s="652"/>
      <c r="N88" s="652"/>
      <c r="O88" s="652"/>
      <c r="P88" s="652"/>
      <c r="Q88" s="652" t="str">
        <f>IF($N24="","",VLOOKUP($N24,Reinforcements[],COLUMN(Reinforcements[[#Headers],[Bottom Connection Length + Edge Dist (in)]])-1,FALSE))</f>
        <v/>
      </c>
      <c r="R88" s="652"/>
      <c r="S88" s="652"/>
      <c r="T88" s="653" t="str">
        <f>IF($N24="","",IF(VLOOKUP($N24,Reinforcements[],COLUMN(Reinforcements[[#Headers],[Top End Connection Type]])-1,FALSE)&lt;&gt;"Bolted",VLOOKUP($N24,Reinforcements[],COLUMN(Reinforcements[[#Headers],[Top End Connection Type]])-1,FALSE),VLOOKUP($N24,Reinforcements[],COLUMN(Reinforcements[[#Headers],[Top End Connection Bolt Type]])-1,FALSE)))</f>
        <v/>
      </c>
      <c r="U88" s="653"/>
      <c r="V88" s="653"/>
      <c r="W88" s="653"/>
      <c r="X88" s="653"/>
      <c r="Y88" s="653" t="str">
        <f>IF($N24="","",VLOOKUP($N24,Reinforcements[],COLUMN(Reinforcements[[#Headers],[Top Connection Length + Edge Dist (in)]])-1,FALSE))</f>
        <v/>
      </c>
      <c r="Z88" s="653"/>
      <c r="AA88" s="653"/>
      <c r="AB88" s="654" t="str">
        <f>IF($N24="","",VLOOKUP($N24,Reinforcements[],COLUMN(Reinforcements[[#Headers],[Lu (in)]])-1,FALSE))</f>
        <v/>
      </c>
      <c r="AC88" s="654"/>
      <c r="AD88" s="654" t="str">
        <f>IF($N24="","",VLOOKUP($N24,Reinforcements[],COLUMN(Reinforcements[[#Headers],[Net Area (in2)]])-1,FALSE))</f>
        <v/>
      </c>
      <c r="AE88" s="654"/>
      <c r="AF88" s="651" t="str">
        <f>IF($N24="","",VLOOKUP($N24,Reinforcements[],IF(RIGHT($AF$84,4)="(in)",COLUMN(Reinforcements[[#Headers],[Bolt Hole Size (in)]])-1,COLUMN(Reinforcements[[#Headers],[Bolt Hole Size (mm)]])-1),FALSE))</f>
        <v/>
      </c>
      <c r="AG88" s="651"/>
      <c r="AH88" s="651"/>
      <c r="AI88" s="681" t="str">
        <f>IF($N24="","",VLOOKUP($N24,Reinforcements[],COLUMN(Reinforcements[[#Headers],[Material]])-1,FALSE))</f>
        <v/>
      </c>
      <c r="AJ88" s="681"/>
      <c r="AK88" s="681"/>
      <c r="AL88" s="681"/>
      <c r="AM88" s="30"/>
      <c r="AN88" s="30"/>
      <c r="AO88" s="30"/>
    </row>
    <row r="89" spans="2:41" ht="14.45" hidden="1" customHeight="1" x14ac:dyDescent="0.25">
      <c r="B89" s="13">
        <v>5</v>
      </c>
      <c r="C89" s="652" t="str">
        <f>IF($N25="","",VLOOKUP($N25,Reinforcements[],COLUMN(Reinforcements[[#Headers],[B (in)]])-1,FALSE))</f>
        <v/>
      </c>
      <c r="D89" s="652"/>
      <c r="E89" s="652" t="str">
        <f>IF($N25="","",VLOOKUP($N25,Reinforcements[],COLUMN(Reinforcements[[#Headers],[H (in)]])-1,FALSE))</f>
        <v/>
      </c>
      <c r="F89" s="652"/>
      <c r="G89" s="652" t="str">
        <f>IF($N25="","",VLOOKUP($N25,Reinforcements[],COLUMN(Reinforcements[[#Headers],[Gross Area (in2)]])-1,FALSE))</f>
        <v/>
      </c>
      <c r="H89" s="652"/>
      <c r="I89" s="652" t="str">
        <f>IF($N25="","",VLOOKUP($N25,Reinforcements[],COLUMN(Reinforcements[[#Headers],[Pole Face to Centroid (in)]])-1,FALSE))</f>
        <v/>
      </c>
      <c r="J89" s="652"/>
      <c r="K89" s="652"/>
      <c r="L89" s="652" t="str">
        <f>IF($N25="","",IF(VLOOKUP($N25,Reinforcements[],COLUMN(Reinforcements[[#Headers],[Bottom End Connection Type]])-1,FALSE)&lt;&gt;"Bolted",VLOOKUP($N25,Reinforcements[],COLUMN(Reinforcements[[#Headers],[Bottom End Connection Type]])-1,FALSE),VLOOKUP($N25,Reinforcements[],COLUMN(Reinforcements[[#Headers],[Bottom End Connection Bolt Type]])-1,FALSE)))</f>
        <v/>
      </c>
      <c r="M89" s="652"/>
      <c r="N89" s="652"/>
      <c r="O89" s="652"/>
      <c r="P89" s="652"/>
      <c r="Q89" s="652" t="str">
        <f>IF($N25="","",VLOOKUP($N25,Reinforcements[],COLUMN(Reinforcements[[#Headers],[Bottom Connection Length + Edge Dist (in)]])-1,FALSE))</f>
        <v/>
      </c>
      <c r="R89" s="652"/>
      <c r="S89" s="652"/>
      <c r="T89" s="653" t="str">
        <f>IF($N25="","",IF(VLOOKUP($N25,Reinforcements[],COLUMN(Reinforcements[[#Headers],[Top End Connection Type]])-1,FALSE)&lt;&gt;"Bolted",VLOOKUP($N25,Reinforcements[],COLUMN(Reinforcements[[#Headers],[Top End Connection Type]])-1,FALSE),VLOOKUP($N25,Reinforcements[],COLUMN(Reinforcements[[#Headers],[Top End Connection Bolt Type]])-1,FALSE)))</f>
        <v/>
      </c>
      <c r="U89" s="653"/>
      <c r="V89" s="653"/>
      <c r="W89" s="653"/>
      <c r="X89" s="653"/>
      <c r="Y89" s="653" t="str">
        <f>IF($N25="","",VLOOKUP($N25,Reinforcements[],COLUMN(Reinforcements[[#Headers],[Top Connection Length + Edge Dist (in)]])-1,FALSE))</f>
        <v/>
      </c>
      <c r="Z89" s="653"/>
      <c r="AA89" s="653"/>
      <c r="AB89" s="654" t="str">
        <f>IF($N25="","",VLOOKUP($N25,Reinforcements[],COLUMN(Reinforcements[[#Headers],[Lu (in)]])-1,FALSE))</f>
        <v/>
      </c>
      <c r="AC89" s="654"/>
      <c r="AD89" s="654" t="str">
        <f>IF($N25="","",VLOOKUP($N25,Reinforcements[],COLUMN(Reinforcements[[#Headers],[Net Area (in2)]])-1,FALSE))</f>
        <v/>
      </c>
      <c r="AE89" s="654"/>
      <c r="AF89" s="651" t="str">
        <f>IF($N25="","",VLOOKUP($N25,Reinforcements[],IF(RIGHT($AF$84,4)="(in)",COLUMN(Reinforcements[[#Headers],[Bolt Hole Size (in)]])-1,COLUMN(Reinforcements[[#Headers],[Bolt Hole Size (mm)]])-1),FALSE))</f>
        <v/>
      </c>
      <c r="AG89" s="651"/>
      <c r="AH89" s="651"/>
      <c r="AI89" s="681" t="str">
        <f>IF($N25="","",VLOOKUP($N25,Reinforcements[],COLUMN(Reinforcements[[#Headers],[Material]])-1,FALSE))</f>
        <v/>
      </c>
      <c r="AJ89" s="681"/>
      <c r="AK89" s="681"/>
      <c r="AL89" s="681"/>
      <c r="AM89" s="30"/>
      <c r="AN89" s="30"/>
      <c r="AO89" s="30"/>
    </row>
    <row r="90" spans="2:41" ht="14.45" hidden="1" customHeight="1" x14ac:dyDescent="0.25">
      <c r="B90" s="13">
        <v>6</v>
      </c>
      <c r="C90" s="652" t="str">
        <f>IF($N26="","",VLOOKUP($N26,Reinforcements[],COLUMN(Reinforcements[[#Headers],[B (in)]])-1,FALSE))</f>
        <v/>
      </c>
      <c r="D90" s="652"/>
      <c r="E90" s="652" t="str">
        <f>IF($N26="","",VLOOKUP($N26,Reinforcements[],COLUMN(Reinforcements[[#Headers],[H (in)]])-1,FALSE))</f>
        <v/>
      </c>
      <c r="F90" s="652"/>
      <c r="G90" s="652" t="str">
        <f>IF($N26="","",VLOOKUP($N26,Reinforcements[],COLUMN(Reinforcements[[#Headers],[Gross Area (in2)]])-1,FALSE))</f>
        <v/>
      </c>
      <c r="H90" s="652"/>
      <c r="I90" s="652" t="str">
        <f>IF($N26="","",VLOOKUP($N26,Reinforcements[],COLUMN(Reinforcements[[#Headers],[Pole Face to Centroid (in)]])-1,FALSE))</f>
        <v/>
      </c>
      <c r="J90" s="652"/>
      <c r="K90" s="652"/>
      <c r="L90" s="652" t="str">
        <f>IF($N26="","",IF(VLOOKUP($N26,Reinforcements[],COLUMN(Reinforcements[[#Headers],[Bottom End Connection Type]])-1,FALSE)&lt;&gt;"Bolted",VLOOKUP($N26,Reinforcements[],COLUMN(Reinforcements[[#Headers],[Bottom End Connection Type]])-1,FALSE),VLOOKUP($N26,Reinforcements[],COLUMN(Reinforcements[[#Headers],[Bottom End Connection Bolt Type]])-1,FALSE)))</f>
        <v/>
      </c>
      <c r="M90" s="652"/>
      <c r="N90" s="652"/>
      <c r="O90" s="652"/>
      <c r="P90" s="652"/>
      <c r="Q90" s="652" t="str">
        <f>IF($N26="","",VLOOKUP($N26,Reinforcements[],COLUMN(Reinforcements[[#Headers],[Bottom Connection Length + Edge Dist (in)]])-1,FALSE))</f>
        <v/>
      </c>
      <c r="R90" s="652"/>
      <c r="S90" s="652"/>
      <c r="T90" s="653" t="str">
        <f>IF($N26="","",IF(VLOOKUP($N26,Reinforcements[],COLUMN(Reinforcements[[#Headers],[Top End Connection Type]])-1,FALSE)&lt;&gt;"Bolted",VLOOKUP($N26,Reinforcements[],COLUMN(Reinforcements[[#Headers],[Top End Connection Type]])-1,FALSE),VLOOKUP($N26,Reinforcements[],COLUMN(Reinforcements[[#Headers],[Top End Connection Bolt Type]])-1,FALSE)))</f>
        <v/>
      </c>
      <c r="U90" s="653"/>
      <c r="V90" s="653"/>
      <c r="W90" s="653"/>
      <c r="X90" s="653"/>
      <c r="Y90" s="653" t="str">
        <f>IF($N26="","",VLOOKUP($N26,Reinforcements[],COLUMN(Reinforcements[[#Headers],[Top Connection Length + Edge Dist (in)]])-1,FALSE))</f>
        <v/>
      </c>
      <c r="Z90" s="653"/>
      <c r="AA90" s="653"/>
      <c r="AB90" s="654" t="str">
        <f>IF($N26="","",VLOOKUP($N26,Reinforcements[],COLUMN(Reinforcements[[#Headers],[Lu (in)]])-1,FALSE))</f>
        <v/>
      </c>
      <c r="AC90" s="654"/>
      <c r="AD90" s="654" t="str">
        <f>IF($N26="","",VLOOKUP($N26,Reinforcements[],COLUMN(Reinforcements[[#Headers],[Net Area (in2)]])-1,FALSE))</f>
        <v/>
      </c>
      <c r="AE90" s="654"/>
      <c r="AF90" s="651" t="str">
        <f>IF($N26="","",VLOOKUP($N26,Reinforcements[],IF(RIGHT($AF$84,4)="(in)",COLUMN(Reinforcements[[#Headers],[Bolt Hole Size (in)]])-1,COLUMN(Reinforcements[[#Headers],[Bolt Hole Size (mm)]])-1),FALSE))</f>
        <v/>
      </c>
      <c r="AG90" s="651"/>
      <c r="AH90" s="651"/>
      <c r="AI90" s="681" t="str">
        <f>IF($N26="","",VLOOKUP($N26,Reinforcements[],COLUMN(Reinforcements[[#Headers],[Material]])-1,FALSE))</f>
        <v/>
      </c>
      <c r="AJ90" s="681"/>
      <c r="AK90" s="681"/>
      <c r="AL90" s="681"/>
      <c r="AM90" s="30"/>
      <c r="AN90" s="30"/>
      <c r="AO90" s="30"/>
    </row>
    <row r="91" spans="2:41" ht="14.45" hidden="1" customHeight="1" x14ac:dyDescent="0.25">
      <c r="B91" s="13">
        <v>7</v>
      </c>
      <c r="C91" s="652" t="str">
        <f>IF($N27="","",VLOOKUP($N27,Reinforcements[],COLUMN(Reinforcements[[#Headers],[B (in)]])-1,FALSE))</f>
        <v/>
      </c>
      <c r="D91" s="652"/>
      <c r="E91" s="652" t="str">
        <f>IF($N27="","",VLOOKUP($N27,Reinforcements[],COLUMN(Reinforcements[[#Headers],[H (in)]])-1,FALSE))</f>
        <v/>
      </c>
      <c r="F91" s="652"/>
      <c r="G91" s="652" t="str">
        <f>IF($N27="","",VLOOKUP($N27,Reinforcements[],COLUMN(Reinforcements[[#Headers],[Gross Area (in2)]])-1,FALSE))</f>
        <v/>
      </c>
      <c r="H91" s="652"/>
      <c r="I91" s="652" t="str">
        <f>IF($N27="","",VLOOKUP($N27,Reinforcements[],COLUMN(Reinforcements[[#Headers],[Pole Face to Centroid (in)]])-1,FALSE))</f>
        <v/>
      </c>
      <c r="J91" s="652"/>
      <c r="K91" s="652"/>
      <c r="L91" s="652" t="str">
        <f>IF($N27="","",IF(VLOOKUP($N27,Reinforcements[],COLUMN(Reinforcements[[#Headers],[Bottom End Connection Type]])-1,FALSE)&lt;&gt;"Bolted",VLOOKUP($N27,Reinforcements[],COLUMN(Reinforcements[[#Headers],[Bottom End Connection Type]])-1,FALSE),VLOOKUP($N27,Reinforcements[],COLUMN(Reinforcements[[#Headers],[Bottom End Connection Bolt Type]])-1,FALSE)))</f>
        <v/>
      </c>
      <c r="M91" s="652"/>
      <c r="N91" s="652"/>
      <c r="O91" s="652"/>
      <c r="P91" s="652"/>
      <c r="Q91" s="652" t="str">
        <f>IF($N27="","",VLOOKUP($N27,Reinforcements[],COLUMN(Reinforcements[[#Headers],[Bottom Connection Length + Edge Dist (in)]])-1,FALSE))</f>
        <v/>
      </c>
      <c r="R91" s="652"/>
      <c r="S91" s="652"/>
      <c r="T91" s="653" t="str">
        <f>IF($N27="","",IF(VLOOKUP($N27,Reinforcements[],COLUMN(Reinforcements[[#Headers],[Top End Connection Type]])-1,FALSE)&lt;&gt;"Bolted",VLOOKUP($N27,Reinforcements[],COLUMN(Reinforcements[[#Headers],[Top End Connection Type]])-1,FALSE),VLOOKUP($N27,Reinforcements[],COLUMN(Reinforcements[[#Headers],[Top End Connection Bolt Type]])-1,FALSE)))</f>
        <v/>
      </c>
      <c r="U91" s="653"/>
      <c r="V91" s="653"/>
      <c r="W91" s="653"/>
      <c r="X91" s="653"/>
      <c r="Y91" s="653" t="str">
        <f>IF($N27="","",VLOOKUP($N27,Reinforcements[],COLUMN(Reinforcements[[#Headers],[Top Connection Length + Edge Dist (in)]])-1,FALSE))</f>
        <v/>
      </c>
      <c r="Z91" s="653"/>
      <c r="AA91" s="653"/>
      <c r="AB91" s="654" t="str">
        <f>IF($N27="","",VLOOKUP($N27,Reinforcements[],COLUMN(Reinforcements[[#Headers],[Lu (in)]])-1,FALSE))</f>
        <v/>
      </c>
      <c r="AC91" s="654"/>
      <c r="AD91" s="654" t="str">
        <f>IF($N27="","",VLOOKUP($N27,Reinforcements[],COLUMN(Reinforcements[[#Headers],[Net Area (in2)]])-1,FALSE))</f>
        <v/>
      </c>
      <c r="AE91" s="654"/>
      <c r="AF91" s="651" t="str">
        <f>IF($N27="","",VLOOKUP($N27,Reinforcements[],IF(RIGHT($AF$84,4)="(in)",COLUMN(Reinforcements[[#Headers],[Bolt Hole Size (in)]])-1,COLUMN(Reinforcements[[#Headers],[Bolt Hole Size (mm)]])-1),FALSE))</f>
        <v/>
      </c>
      <c r="AG91" s="651"/>
      <c r="AH91" s="651"/>
      <c r="AI91" s="681" t="str">
        <f>IF($N27="","",VLOOKUP($N27,Reinforcements[],COLUMN(Reinforcements[[#Headers],[Material]])-1,FALSE))</f>
        <v/>
      </c>
      <c r="AJ91" s="681"/>
      <c r="AK91" s="681"/>
      <c r="AL91" s="681"/>
      <c r="AM91" s="30"/>
      <c r="AN91" s="30"/>
      <c r="AO91" s="30"/>
    </row>
    <row r="92" spans="2:41" ht="14.45" hidden="1" customHeight="1" x14ac:dyDescent="0.25">
      <c r="B92" s="13">
        <v>8</v>
      </c>
      <c r="C92" s="652" t="str">
        <f>IF($N28="","",VLOOKUP($N28,Reinforcements[],COLUMN(Reinforcements[[#Headers],[B (in)]])-1,FALSE))</f>
        <v/>
      </c>
      <c r="D92" s="652"/>
      <c r="E92" s="652" t="str">
        <f>IF($N28="","",VLOOKUP($N28,Reinforcements[],COLUMN(Reinforcements[[#Headers],[H (in)]])-1,FALSE))</f>
        <v/>
      </c>
      <c r="F92" s="652"/>
      <c r="G92" s="652" t="str">
        <f>IF($N28="","",VLOOKUP($N28,Reinforcements[],COLUMN(Reinforcements[[#Headers],[Gross Area (in2)]])-1,FALSE))</f>
        <v/>
      </c>
      <c r="H92" s="652"/>
      <c r="I92" s="652" t="str">
        <f>IF($N28="","",VLOOKUP($N28,Reinforcements[],COLUMN(Reinforcements[[#Headers],[Pole Face to Centroid (in)]])-1,FALSE))</f>
        <v/>
      </c>
      <c r="J92" s="652"/>
      <c r="K92" s="652"/>
      <c r="L92" s="652" t="str">
        <f>IF($N28="","",IF(VLOOKUP($N28,Reinforcements[],COLUMN(Reinforcements[[#Headers],[Bottom End Connection Type]])-1,FALSE)&lt;&gt;"Bolted",VLOOKUP($N28,Reinforcements[],COLUMN(Reinforcements[[#Headers],[Bottom End Connection Type]])-1,FALSE),VLOOKUP($N28,Reinforcements[],COLUMN(Reinforcements[[#Headers],[Bottom End Connection Bolt Type]])-1,FALSE)))</f>
        <v/>
      </c>
      <c r="M92" s="652"/>
      <c r="N92" s="652"/>
      <c r="O92" s="652"/>
      <c r="P92" s="652"/>
      <c r="Q92" s="652" t="str">
        <f>IF($N28="","",VLOOKUP($N28,Reinforcements[],COLUMN(Reinforcements[[#Headers],[Bottom Connection Length + Edge Dist (in)]])-1,FALSE))</f>
        <v/>
      </c>
      <c r="R92" s="652"/>
      <c r="S92" s="652"/>
      <c r="T92" s="653" t="str">
        <f>IF($N28="","",IF(VLOOKUP($N28,Reinforcements[],COLUMN(Reinforcements[[#Headers],[Top End Connection Type]])-1,FALSE)&lt;&gt;"Bolted",VLOOKUP($N28,Reinforcements[],COLUMN(Reinforcements[[#Headers],[Top End Connection Type]])-1,FALSE),VLOOKUP($N28,Reinforcements[],COLUMN(Reinforcements[[#Headers],[Top End Connection Bolt Type]])-1,FALSE)))</f>
        <v/>
      </c>
      <c r="U92" s="653"/>
      <c r="V92" s="653"/>
      <c r="W92" s="653"/>
      <c r="X92" s="653"/>
      <c r="Y92" s="653" t="str">
        <f>IF($N28="","",VLOOKUP($N28,Reinforcements[],COLUMN(Reinforcements[[#Headers],[Top Connection Length + Edge Dist (in)]])-1,FALSE))</f>
        <v/>
      </c>
      <c r="Z92" s="653"/>
      <c r="AA92" s="653"/>
      <c r="AB92" s="654" t="str">
        <f>IF($N28="","",VLOOKUP($N28,Reinforcements[],COLUMN(Reinforcements[[#Headers],[Lu (in)]])-1,FALSE))</f>
        <v/>
      </c>
      <c r="AC92" s="654"/>
      <c r="AD92" s="654" t="str">
        <f>IF($N28="","",VLOOKUP($N28,Reinforcements[],COLUMN(Reinforcements[[#Headers],[Net Area (in2)]])-1,FALSE))</f>
        <v/>
      </c>
      <c r="AE92" s="654"/>
      <c r="AF92" s="651" t="str">
        <f>IF($N28="","",VLOOKUP($N28,Reinforcements[],IF(RIGHT($AF$84,4)="(in)",COLUMN(Reinforcements[[#Headers],[Bolt Hole Size (in)]])-1,COLUMN(Reinforcements[[#Headers],[Bolt Hole Size (mm)]])-1),FALSE))</f>
        <v/>
      </c>
      <c r="AG92" s="651"/>
      <c r="AH92" s="651"/>
      <c r="AI92" s="681" t="str">
        <f>IF($N28="","",VLOOKUP($N28,Reinforcements[],COLUMN(Reinforcements[[#Headers],[Material]])-1,FALSE))</f>
        <v/>
      </c>
      <c r="AJ92" s="681"/>
      <c r="AK92" s="681"/>
      <c r="AL92" s="681"/>
      <c r="AM92" s="30"/>
      <c r="AN92" s="30"/>
      <c r="AO92" s="30"/>
    </row>
    <row r="93" spans="2:41" ht="14.45" hidden="1" customHeight="1" x14ac:dyDescent="0.25">
      <c r="B93" s="13">
        <v>9</v>
      </c>
      <c r="C93" s="652" t="str">
        <f>IF($N29="","",VLOOKUP($N29,Reinforcements[],COLUMN(Reinforcements[[#Headers],[B (in)]])-1,FALSE))</f>
        <v/>
      </c>
      <c r="D93" s="652"/>
      <c r="E93" s="652" t="str">
        <f>IF($N29="","",VLOOKUP($N29,Reinforcements[],COLUMN(Reinforcements[[#Headers],[H (in)]])-1,FALSE))</f>
        <v/>
      </c>
      <c r="F93" s="652"/>
      <c r="G93" s="652" t="str">
        <f>IF($N29="","",VLOOKUP($N29,Reinforcements[],COLUMN(Reinforcements[[#Headers],[Gross Area (in2)]])-1,FALSE))</f>
        <v/>
      </c>
      <c r="H93" s="652"/>
      <c r="I93" s="652" t="str">
        <f>IF($N29="","",VLOOKUP($N29,Reinforcements[],COLUMN(Reinforcements[[#Headers],[Pole Face to Centroid (in)]])-1,FALSE))</f>
        <v/>
      </c>
      <c r="J93" s="652"/>
      <c r="K93" s="652"/>
      <c r="L93" s="652" t="str">
        <f>IF($N29="","",IF(VLOOKUP($N29,Reinforcements[],COLUMN(Reinforcements[[#Headers],[Bottom End Connection Type]])-1,FALSE)&lt;&gt;"Bolted",VLOOKUP($N29,Reinforcements[],COLUMN(Reinforcements[[#Headers],[Bottom End Connection Type]])-1,FALSE),VLOOKUP($N29,Reinforcements[],COLUMN(Reinforcements[[#Headers],[Bottom End Connection Bolt Type]])-1,FALSE)))</f>
        <v/>
      </c>
      <c r="M93" s="652"/>
      <c r="N93" s="652"/>
      <c r="O93" s="652"/>
      <c r="P93" s="652"/>
      <c r="Q93" s="652" t="str">
        <f>IF($N29="","",VLOOKUP($N29,Reinforcements[],COLUMN(Reinforcements[[#Headers],[Bottom Connection Length + Edge Dist (in)]])-1,FALSE))</f>
        <v/>
      </c>
      <c r="R93" s="652"/>
      <c r="S93" s="652"/>
      <c r="T93" s="653" t="str">
        <f>IF($N29="","",IF(VLOOKUP($N29,Reinforcements[],COLUMN(Reinforcements[[#Headers],[Top End Connection Type]])-1,FALSE)&lt;&gt;"Bolted",VLOOKUP($N29,Reinforcements[],COLUMN(Reinforcements[[#Headers],[Top End Connection Type]])-1,FALSE),VLOOKUP($N29,Reinforcements[],COLUMN(Reinforcements[[#Headers],[Top End Connection Bolt Type]])-1,FALSE)))</f>
        <v/>
      </c>
      <c r="U93" s="653"/>
      <c r="V93" s="653"/>
      <c r="W93" s="653"/>
      <c r="X93" s="653"/>
      <c r="Y93" s="653" t="str">
        <f>IF($N29="","",VLOOKUP($N29,Reinforcements[],COLUMN(Reinforcements[[#Headers],[Top Connection Length + Edge Dist (in)]])-1,FALSE))</f>
        <v/>
      </c>
      <c r="Z93" s="653"/>
      <c r="AA93" s="653"/>
      <c r="AB93" s="654" t="str">
        <f>IF($N29="","",VLOOKUP($N29,Reinforcements[],COLUMN(Reinforcements[[#Headers],[Lu (in)]])-1,FALSE))</f>
        <v/>
      </c>
      <c r="AC93" s="654"/>
      <c r="AD93" s="654" t="str">
        <f>IF($N29="","",VLOOKUP($N29,Reinforcements[],COLUMN(Reinforcements[[#Headers],[Net Area (in2)]])-1,FALSE))</f>
        <v/>
      </c>
      <c r="AE93" s="654"/>
      <c r="AF93" s="651" t="str">
        <f>IF($N29="","",VLOOKUP($N29,Reinforcements[],IF(RIGHT($AF$84,4)="(in)",COLUMN(Reinforcements[[#Headers],[Bolt Hole Size (in)]])-1,COLUMN(Reinforcements[[#Headers],[Bolt Hole Size (mm)]])-1),FALSE))</f>
        <v/>
      </c>
      <c r="AG93" s="651"/>
      <c r="AH93" s="651"/>
      <c r="AI93" s="681" t="str">
        <f>IF($N29="","",VLOOKUP($N29,Reinforcements[],COLUMN(Reinforcements[[#Headers],[Material]])-1,FALSE))</f>
        <v/>
      </c>
      <c r="AJ93" s="681"/>
      <c r="AK93" s="681"/>
      <c r="AL93" s="681"/>
      <c r="AM93" s="30"/>
      <c r="AN93" s="30"/>
      <c r="AO93" s="30"/>
    </row>
    <row r="94" spans="2:41" ht="14.45" hidden="1" customHeight="1" x14ac:dyDescent="0.25">
      <c r="B94" s="13">
        <v>10</v>
      </c>
      <c r="C94" s="652" t="str">
        <f>IF($N30="","",VLOOKUP($N30,Reinforcements[],COLUMN(Reinforcements[[#Headers],[B (in)]])-1,FALSE))</f>
        <v/>
      </c>
      <c r="D94" s="652"/>
      <c r="E94" s="652" t="str">
        <f>IF($N30="","",VLOOKUP($N30,Reinforcements[],COLUMN(Reinforcements[[#Headers],[H (in)]])-1,FALSE))</f>
        <v/>
      </c>
      <c r="F94" s="652"/>
      <c r="G94" s="652" t="str">
        <f>IF($N30="","",VLOOKUP($N30,Reinforcements[],COLUMN(Reinforcements[[#Headers],[Gross Area (in2)]])-1,FALSE))</f>
        <v/>
      </c>
      <c r="H94" s="652"/>
      <c r="I94" s="652" t="str">
        <f>IF($N30="","",VLOOKUP($N30,Reinforcements[],COLUMN(Reinforcements[[#Headers],[Pole Face to Centroid (in)]])-1,FALSE))</f>
        <v/>
      </c>
      <c r="J94" s="652"/>
      <c r="K94" s="652"/>
      <c r="L94" s="652" t="str">
        <f>IF($N30="","",IF(VLOOKUP($N30,Reinforcements[],COLUMN(Reinforcements[[#Headers],[Bottom End Connection Type]])-1,FALSE)&lt;&gt;"Bolted",VLOOKUP($N30,Reinforcements[],COLUMN(Reinforcements[[#Headers],[Bottom End Connection Type]])-1,FALSE),VLOOKUP($N30,Reinforcements[],COLUMN(Reinforcements[[#Headers],[Bottom End Connection Bolt Type]])-1,FALSE)))</f>
        <v/>
      </c>
      <c r="M94" s="652"/>
      <c r="N94" s="652"/>
      <c r="O94" s="652"/>
      <c r="P94" s="652"/>
      <c r="Q94" s="652" t="str">
        <f>IF($N30="","",VLOOKUP($N30,Reinforcements[],COLUMN(Reinforcements[[#Headers],[Bottom Connection Length + Edge Dist (in)]])-1,FALSE))</f>
        <v/>
      </c>
      <c r="R94" s="652"/>
      <c r="S94" s="652"/>
      <c r="T94" s="653" t="str">
        <f>IF($N30="","",IF(VLOOKUP($N30,Reinforcements[],COLUMN(Reinforcements[[#Headers],[Top End Connection Type]])-1,FALSE)&lt;&gt;"Bolted",VLOOKUP($N30,Reinforcements[],COLUMN(Reinforcements[[#Headers],[Top End Connection Type]])-1,FALSE),VLOOKUP($N30,Reinforcements[],COLUMN(Reinforcements[[#Headers],[Top End Connection Bolt Type]])-1,FALSE)))</f>
        <v/>
      </c>
      <c r="U94" s="653"/>
      <c r="V94" s="653"/>
      <c r="W94" s="653"/>
      <c r="X94" s="653"/>
      <c r="Y94" s="653" t="str">
        <f>IF($N30="","",VLOOKUP($N30,Reinforcements[],COLUMN(Reinforcements[[#Headers],[Top Connection Length + Edge Dist (in)]])-1,FALSE))</f>
        <v/>
      </c>
      <c r="Z94" s="653"/>
      <c r="AA94" s="653"/>
      <c r="AB94" s="654" t="str">
        <f>IF($N30="","",VLOOKUP($N30,Reinforcements[],COLUMN(Reinforcements[[#Headers],[Lu (in)]])-1,FALSE))</f>
        <v/>
      </c>
      <c r="AC94" s="654"/>
      <c r="AD94" s="654" t="str">
        <f>IF($N30="","",VLOOKUP($N30,Reinforcements[],COLUMN(Reinforcements[[#Headers],[Net Area (in2)]])-1,FALSE))</f>
        <v/>
      </c>
      <c r="AE94" s="654"/>
      <c r="AF94" s="651" t="str">
        <f>IF($N30="","",VLOOKUP($N30,Reinforcements[],IF(RIGHT($AF$84,4)="(in)",COLUMN(Reinforcements[[#Headers],[Bolt Hole Size (in)]])-1,COLUMN(Reinforcements[[#Headers],[Bolt Hole Size (mm)]])-1),FALSE))</f>
        <v/>
      </c>
      <c r="AG94" s="651"/>
      <c r="AH94" s="651"/>
      <c r="AI94" s="681" t="str">
        <f>IF($N30="","",VLOOKUP($N30,Reinforcements[],COLUMN(Reinforcements[[#Headers],[Material]])-1,FALSE))</f>
        <v/>
      </c>
      <c r="AJ94" s="681"/>
      <c r="AK94" s="681"/>
      <c r="AL94" s="681"/>
      <c r="AM94" s="30"/>
      <c r="AN94" s="30"/>
      <c r="AO94" s="30"/>
    </row>
    <row r="95" spans="2:41" ht="14.45" hidden="1" customHeight="1" x14ac:dyDescent="0.25">
      <c r="B95" s="13">
        <v>11</v>
      </c>
      <c r="C95" s="652" t="str">
        <f>IF($N31="","",VLOOKUP($N31,Reinforcements[],COLUMN(Reinforcements[[#Headers],[B (in)]])-1,FALSE))</f>
        <v/>
      </c>
      <c r="D95" s="652"/>
      <c r="E95" s="652" t="str">
        <f>IF($N31="","",VLOOKUP($N31,Reinforcements[],COLUMN(Reinforcements[[#Headers],[H (in)]])-1,FALSE))</f>
        <v/>
      </c>
      <c r="F95" s="652"/>
      <c r="G95" s="652" t="str">
        <f>IF($N31="","",VLOOKUP($N31,Reinforcements[],COLUMN(Reinforcements[[#Headers],[Gross Area (in2)]])-1,FALSE))</f>
        <v/>
      </c>
      <c r="H95" s="652"/>
      <c r="I95" s="652" t="str">
        <f>IF($N31="","",VLOOKUP($N31,Reinforcements[],COLUMN(Reinforcements[[#Headers],[Pole Face to Centroid (in)]])-1,FALSE))</f>
        <v/>
      </c>
      <c r="J95" s="652"/>
      <c r="K95" s="652"/>
      <c r="L95" s="652" t="str">
        <f>IF($N31="","",IF(VLOOKUP($N31,Reinforcements[],COLUMN(Reinforcements[[#Headers],[Bottom End Connection Type]])-1,FALSE)&lt;&gt;"Bolted",VLOOKUP($N31,Reinforcements[],COLUMN(Reinforcements[[#Headers],[Bottom End Connection Type]])-1,FALSE),VLOOKUP($N31,Reinforcements[],COLUMN(Reinforcements[[#Headers],[Bottom End Connection Bolt Type]])-1,FALSE)))</f>
        <v/>
      </c>
      <c r="M95" s="652"/>
      <c r="N95" s="652"/>
      <c r="O95" s="652"/>
      <c r="P95" s="652"/>
      <c r="Q95" s="652" t="str">
        <f>IF($N31="","",VLOOKUP($N31,Reinforcements[],COLUMN(Reinforcements[[#Headers],[Bottom Connection Length + Edge Dist (in)]])-1,FALSE))</f>
        <v/>
      </c>
      <c r="R95" s="652"/>
      <c r="S95" s="652"/>
      <c r="T95" s="653" t="str">
        <f>IF($N31="","",IF(VLOOKUP($N31,Reinforcements[],COLUMN(Reinforcements[[#Headers],[Top End Connection Type]])-1,FALSE)&lt;&gt;"Bolted",VLOOKUP($N31,Reinforcements[],COLUMN(Reinforcements[[#Headers],[Top End Connection Type]])-1,FALSE),VLOOKUP($N31,Reinforcements[],COLUMN(Reinforcements[[#Headers],[Top End Connection Bolt Type]])-1,FALSE)))</f>
        <v/>
      </c>
      <c r="U95" s="653"/>
      <c r="V95" s="653"/>
      <c r="W95" s="653"/>
      <c r="X95" s="653"/>
      <c r="Y95" s="653" t="str">
        <f>IF($N31="","",VLOOKUP($N31,Reinforcements[],COLUMN(Reinforcements[[#Headers],[Top Connection Length + Edge Dist (in)]])-1,FALSE))</f>
        <v/>
      </c>
      <c r="Z95" s="653"/>
      <c r="AA95" s="653"/>
      <c r="AB95" s="654" t="str">
        <f>IF($N31="","",VLOOKUP($N31,Reinforcements[],COLUMN(Reinforcements[[#Headers],[Lu (in)]])-1,FALSE))</f>
        <v/>
      </c>
      <c r="AC95" s="654"/>
      <c r="AD95" s="654" t="str">
        <f>IF($N31="","",VLOOKUP($N31,Reinforcements[],COLUMN(Reinforcements[[#Headers],[Net Area (in2)]])-1,FALSE))</f>
        <v/>
      </c>
      <c r="AE95" s="654"/>
      <c r="AF95" s="651" t="str">
        <f>IF($N31="","",VLOOKUP($N31,Reinforcements[],IF(RIGHT($AF$84,4)="(in)",COLUMN(Reinforcements[[#Headers],[Bolt Hole Size (in)]])-1,COLUMN(Reinforcements[[#Headers],[Bolt Hole Size (mm)]])-1),FALSE))</f>
        <v/>
      </c>
      <c r="AG95" s="651"/>
      <c r="AH95" s="651"/>
      <c r="AI95" s="681" t="str">
        <f>IF($N31="","",VLOOKUP($N31,Reinforcements[],COLUMN(Reinforcements[[#Headers],[Material]])-1,FALSE))</f>
        <v/>
      </c>
      <c r="AJ95" s="681"/>
      <c r="AK95" s="681"/>
      <c r="AL95" s="681"/>
      <c r="AM95" s="30"/>
      <c r="AN95" s="30"/>
      <c r="AO95" s="30"/>
    </row>
    <row r="96" spans="2:41" ht="14.45" hidden="1" customHeight="1" x14ac:dyDescent="0.25">
      <c r="B96" s="13">
        <v>12</v>
      </c>
      <c r="C96" s="652" t="str">
        <f>IF($N32="","",VLOOKUP($N32,Reinforcements[],COLUMN(Reinforcements[[#Headers],[B (in)]])-1,FALSE))</f>
        <v/>
      </c>
      <c r="D96" s="652"/>
      <c r="E96" s="652" t="str">
        <f>IF($N32="","",VLOOKUP($N32,Reinforcements[],COLUMN(Reinforcements[[#Headers],[H (in)]])-1,FALSE))</f>
        <v/>
      </c>
      <c r="F96" s="652"/>
      <c r="G96" s="652" t="str">
        <f>IF($N32="","",VLOOKUP($N32,Reinforcements[],COLUMN(Reinforcements[[#Headers],[Gross Area (in2)]])-1,FALSE))</f>
        <v/>
      </c>
      <c r="H96" s="652"/>
      <c r="I96" s="652" t="str">
        <f>IF($N32="","",VLOOKUP($N32,Reinforcements[],COLUMN(Reinforcements[[#Headers],[Pole Face to Centroid (in)]])-1,FALSE))</f>
        <v/>
      </c>
      <c r="J96" s="652"/>
      <c r="K96" s="652"/>
      <c r="L96" s="652" t="str">
        <f>IF($N32="","",IF(VLOOKUP($N32,Reinforcements[],COLUMN(Reinforcements[[#Headers],[Bottom End Connection Type]])-1,FALSE)&lt;&gt;"Bolted",VLOOKUP($N32,Reinforcements[],COLUMN(Reinforcements[[#Headers],[Bottom End Connection Type]])-1,FALSE),VLOOKUP($N32,Reinforcements[],COLUMN(Reinforcements[[#Headers],[Bottom End Connection Bolt Type]])-1,FALSE)))</f>
        <v/>
      </c>
      <c r="M96" s="652"/>
      <c r="N96" s="652"/>
      <c r="O96" s="652"/>
      <c r="P96" s="652"/>
      <c r="Q96" s="652" t="str">
        <f>IF($N32="","",VLOOKUP($N32,Reinforcements[],COLUMN(Reinforcements[[#Headers],[Bottom Connection Length + Edge Dist (in)]])-1,FALSE))</f>
        <v/>
      </c>
      <c r="R96" s="652"/>
      <c r="S96" s="652"/>
      <c r="T96" s="653" t="str">
        <f>IF($N32="","",IF(VLOOKUP($N32,Reinforcements[],COLUMN(Reinforcements[[#Headers],[Top End Connection Type]])-1,FALSE)&lt;&gt;"Bolted",VLOOKUP($N32,Reinforcements[],COLUMN(Reinforcements[[#Headers],[Top End Connection Type]])-1,FALSE),VLOOKUP($N32,Reinforcements[],COLUMN(Reinforcements[[#Headers],[Top End Connection Bolt Type]])-1,FALSE)))</f>
        <v/>
      </c>
      <c r="U96" s="653"/>
      <c r="V96" s="653"/>
      <c r="W96" s="653"/>
      <c r="X96" s="653"/>
      <c r="Y96" s="653" t="str">
        <f>IF($N32="","",VLOOKUP($N32,Reinforcements[],COLUMN(Reinforcements[[#Headers],[Top Connection Length + Edge Dist (in)]])-1,FALSE))</f>
        <v/>
      </c>
      <c r="Z96" s="653"/>
      <c r="AA96" s="653"/>
      <c r="AB96" s="654" t="str">
        <f>IF($N32="","",VLOOKUP($N32,Reinforcements[],COLUMN(Reinforcements[[#Headers],[Lu (in)]])-1,FALSE))</f>
        <v/>
      </c>
      <c r="AC96" s="654"/>
      <c r="AD96" s="654" t="str">
        <f>IF($N32="","",VLOOKUP($N32,Reinforcements[],COLUMN(Reinforcements[[#Headers],[Net Area (in2)]])-1,FALSE))</f>
        <v/>
      </c>
      <c r="AE96" s="654"/>
      <c r="AF96" s="651" t="str">
        <f>IF($N32="","",VLOOKUP($N32,Reinforcements[],IF(RIGHT($AF$84,4)="(in)",COLUMN(Reinforcements[[#Headers],[Bolt Hole Size (in)]])-1,COLUMN(Reinforcements[[#Headers],[Bolt Hole Size (mm)]])-1),FALSE))</f>
        <v/>
      </c>
      <c r="AG96" s="651"/>
      <c r="AH96" s="651"/>
      <c r="AI96" s="681" t="str">
        <f>IF($N32="","",VLOOKUP($N32,Reinforcements[],COLUMN(Reinforcements[[#Headers],[Material]])-1,FALSE))</f>
        <v/>
      </c>
      <c r="AJ96" s="681"/>
      <c r="AK96" s="681"/>
      <c r="AL96" s="681"/>
      <c r="AM96" s="30"/>
      <c r="AN96" s="30"/>
      <c r="AO96" s="30"/>
    </row>
    <row r="97" spans="2:41" ht="14.45" hidden="1" customHeight="1" x14ac:dyDescent="0.25">
      <c r="B97" s="13">
        <v>13</v>
      </c>
      <c r="C97" s="652" t="str">
        <f>IF($N33="","",VLOOKUP($N33,Reinforcements[],COLUMN(Reinforcements[[#Headers],[B (in)]])-1,FALSE))</f>
        <v/>
      </c>
      <c r="D97" s="652"/>
      <c r="E97" s="652" t="str">
        <f>IF($N33="","",VLOOKUP($N33,Reinforcements[],COLUMN(Reinforcements[[#Headers],[H (in)]])-1,FALSE))</f>
        <v/>
      </c>
      <c r="F97" s="652"/>
      <c r="G97" s="652" t="str">
        <f>IF($N33="","",VLOOKUP($N33,Reinforcements[],COLUMN(Reinforcements[[#Headers],[Gross Area (in2)]])-1,FALSE))</f>
        <v/>
      </c>
      <c r="H97" s="652"/>
      <c r="I97" s="652" t="str">
        <f>IF($N33="","",VLOOKUP($N33,Reinforcements[],COLUMN(Reinforcements[[#Headers],[Pole Face to Centroid (in)]])-1,FALSE))</f>
        <v/>
      </c>
      <c r="J97" s="652"/>
      <c r="K97" s="652"/>
      <c r="L97" s="652" t="str">
        <f>IF($N33="","",IF(VLOOKUP($N33,Reinforcements[],COLUMN(Reinforcements[[#Headers],[Bottom End Connection Type]])-1,FALSE)&lt;&gt;"Bolted",VLOOKUP($N33,Reinforcements[],COLUMN(Reinforcements[[#Headers],[Bottom End Connection Type]])-1,FALSE),VLOOKUP($N33,Reinforcements[],COLUMN(Reinforcements[[#Headers],[Bottom End Connection Bolt Type]])-1,FALSE)))</f>
        <v/>
      </c>
      <c r="M97" s="652"/>
      <c r="N97" s="652"/>
      <c r="O97" s="652"/>
      <c r="P97" s="652"/>
      <c r="Q97" s="652" t="str">
        <f>IF($N33="","",VLOOKUP($N33,Reinforcements[],COLUMN(Reinforcements[[#Headers],[Bottom Connection Length + Edge Dist (in)]])-1,FALSE))</f>
        <v/>
      </c>
      <c r="R97" s="652"/>
      <c r="S97" s="652"/>
      <c r="T97" s="653" t="str">
        <f>IF($N33="","",IF(VLOOKUP($N33,Reinforcements[],COLUMN(Reinforcements[[#Headers],[Top End Connection Type]])-1,FALSE)&lt;&gt;"Bolted",VLOOKUP($N33,Reinforcements[],COLUMN(Reinforcements[[#Headers],[Top End Connection Type]])-1,FALSE),VLOOKUP($N33,Reinforcements[],COLUMN(Reinforcements[[#Headers],[Top End Connection Bolt Type]])-1,FALSE)))</f>
        <v/>
      </c>
      <c r="U97" s="653"/>
      <c r="V97" s="653"/>
      <c r="W97" s="653"/>
      <c r="X97" s="653"/>
      <c r="Y97" s="653" t="str">
        <f>IF($N33="","",VLOOKUP($N33,Reinforcements[],COLUMN(Reinforcements[[#Headers],[Top Connection Length + Edge Dist (in)]])-1,FALSE))</f>
        <v/>
      </c>
      <c r="Z97" s="653"/>
      <c r="AA97" s="653"/>
      <c r="AB97" s="654" t="str">
        <f>IF($N33="","",VLOOKUP($N33,Reinforcements[],COLUMN(Reinforcements[[#Headers],[Lu (in)]])-1,FALSE))</f>
        <v/>
      </c>
      <c r="AC97" s="654"/>
      <c r="AD97" s="654" t="str">
        <f>IF($N33="","",VLOOKUP($N33,Reinforcements[],COLUMN(Reinforcements[[#Headers],[Net Area (in2)]])-1,FALSE))</f>
        <v/>
      </c>
      <c r="AE97" s="654"/>
      <c r="AF97" s="651" t="str">
        <f>IF($N33="","",VLOOKUP($N33,Reinforcements[],IF(RIGHT($AF$84,4)="(in)",COLUMN(Reinforcements[[#Headers],[Bolt Hole Size (in)]])-1,COLUMN(Reinforcements[[#Headers],[Bolt Hole Size (mm)]])-1),FALSE))</f>
        <v/>
      </c>
      <c r="AG97" s="651"/>
      <c r="AH97" s="651"/>
      <c r="AI97" s="681" t="str">
        <f>IF($N33="","",VLOOKUP($N33,Reinforcements[],COLUMN(Reinforcements[[#Headers],[Material]])-1,FALSE))</f>
        <v/>
      </c>
      <c r="AJ97" s="681"/>
      <c r="AK97" s="681"/>
      <c r="AL97" s="681"/>
      <c r="AM97" s="34"/>
      <c r="AN97" s="34"/>
      <c r="AO97" s="34"/>
    </row>
    <row r="98" spans="2:41" ht="14.45" hidden="1" customHeight="1" x14ac:dyDescent="0.25">
      <c r="B98" s="13">
        <v>14</v>
      </c>
      <c r="C98" s="652" t="str">
        <f>IF($N34="","",VLOOKUP($N34,Reinforcements[],COLUMN(Reinforcements[[#Headers],[B (in)]])-1,FALSE))</f>
        <v/>
      </c>
      <c r="D98" s="652"/>
      <c r="E98" s="652" t="str">
        <f>IF($N34="","",VLOOKUP($N34,Reinforcements[],COLUMN(Reinforcements[[#Headers],[H (in)]])-1,FALSE))</f>
        <v/>
      </c>
      <c r="F98" s="652"/>
      <c r="G98" s="652" t="str">
        <f>IF($N34="","",VLOOKUP($N34,Reinforcements[],COLUMN(Reinforcements[[#Headers],[Gross Area (in2)]])-1,FALSE))</f>
        <v/>
      </c>
      <c r="H98" s="652"/>
      <c r="I98" s="652" t="str">
        <f>IF($N34="","",VLOOKUP($N34,Reinforcements[],COLUMN(Reinforcements[[#Headers],[Pole Face to Centroid (in)]])-1,FALSE))</f>
        <v/>
      </c>
      <c r="J98" s="652"/>
      <c r="K98" s="652"/>
      <c r="L98" s="652" t="str">
        <f>IF($N34="","",IF(VLOOKUP($N34,Reinforcements[],COLUMN(Reinforcements[[#Headers],[Bottom End Connection Type]])-1,FALSE)&lt;&gt;"Bolted",VLOOKUP($N34,Reinforcements[],COLUMN(Reinforcements[[#Headers],[Bottom End Connection Type]])-1,FALSE),VLOOKUP($N34,Reinforcements[],COLUMN(Reinforcements[[#Headers],[Bottom End Connection Bolt Type]])-1,FALSE)))</f>
        <v/>
      </c>
      <c r="M98" s="652"/>
      <c r="N98" s="652"/>
      <c r="O98" s="652"/>
      <c r="P98" s="652"/>
      <c r="Q98" s="652" t="str">
        <f>IF($N34="","",VLOOKUP($N34,Reinforcements[],COLUMN(Reinforcements[[#Headers],[Bottom Connection Length + Edge Dist (in)]])-1,FALSE))</f>
        <v/>
      </c>
      <c r="R98" s="652"/>
      <c r="S98" s="652"/>
      <c r="T98" s="653" t="str">
        <f>IF($N34="","",IF(VLOOKUP($N34,Reinforcements[],COLUMN(Reinforcements[[#Headers],[Top End Connection Type]])-1,FALSE)&lt;&gt;"Bolted",VLOOKUP($N34,Reinforcements[],COLUMN(Reinforcements[[#Headers],[Top End Connection Type]])-1,FALSE),VLOOKUP($N34,Reinforcements[],COLUMN(Reinforcements[[#Headers],[Top End Connection Bolt Type]])-1,FALSE)))</f>
        <v/>
      </c>
      <c r="U98" s="653"/>
      <c r="V98" s="653"/>
      <c r="W98" s="653"/>
      <c r="X98" s="653"/>
      <c r="Y98" s="653" t="str">
        <f>IF($N34="","",VLOOKUP($N34,Reinforcements[],COLUMN(Reinforcements[[#Headers],[Top Connection Length + Edge Dist (in)]])-1,FALSE))</f>
        <v/>
      </c>
      <c r="Z98" s="653"/>
      <c r="AA98" s="653"/>
      <c r="AB98" s="654" t="str">
        <f>IF($N34="","",VLOOKUP($N34,Reinforcements[],COLUMN(Reinforcements[[#Headers],[Lu (in)]])-1,FALSE))</f>
        <v/>
      </c>
      <c r="AC98" s="654"/>
      <c r="AD98" s="654" t="str">
        <f>IF($N34="","",VLOOKUP($N34,Reinforcements[],COLUMN(Reinforcements[[#Headers],[Net Area (in2)]])-1,FALSE))</f>
        <v/>
      </c>
      <c r="AE98" s="654"/>
      <c r="AF98" s="651" t="str">
        <f>IF($N34="","",VLOOKUP($N34,Reinforcements[],IF(RIGHT($AF$84,4)="(in)",COLUMN(Reinforcements[[#Headers],[Bolt Hole Size (in)]])-1,COLUMN(Reinforcements[[#Headers],[Bolt Hole Size (mm)]])-1),FALSE))</f>
        <v/>
      </c>
      <c r="AG98" s="651"/>
      <c r="AH98" s="651"/>
      <c r="AI98" s="681" t="str">
        <f>IF($N34="","",VLOOKUP($N34,Reinforcements[],COLUMN(Reinforcements[[#Headers],[Material]])-1,FALSE))</f>
        <v/>
      </c>
      <c r="AJ98" s="681"/>
      <c r="AK98" s="681"/>
      <c r="AL98" s="681"/>
      <c r="AM98" s="34"/>
      <c r="AN98" s="34"/>
      <c r="AO98" s="34"/>
    </row>
    <row r="99" spans="2:41" ht="14.45" hidden="1" customHeight="1" x14ac:dyDescent="0.25">
      <c r="B99" s="13">
        <v>15</v>
      </c>
      <c r="C99" s="652" t="str">
        <f>IF($N35="","",VLOOKUP($N35,Reinforcements[],COLUMN(Reinforcements[[#Headers],[B (in)]])-1,FALSE))</f>
        <v/>
      </c>
      <c r="D99" s="652"/>
      <c r="E99" s="652" t="str">
        <f>IF($N35="","",VLOOKUP($N35,Reinforcements[],COLUMN(Reinforcements[[#Headers],[H (in)]])-1,FALSE))</f>
        <v/>
      </c>
      <c r="F99" s="652"/>
      <c r="G99" s="652" t="str">
        <f>IF($N35="","",VLOOKUP($N35,Reinforcements[],COLUMN(Reinforcements[[#Headers],[Gross Area (in2)]])-1,FALSE))</f>
        <v/>
      </c>
      <c r="H99" s="652"/>
      <c r="I99" s="652" t="str">
        <f>IF($N35="","",VLOOKUP($N35,Reinforcements[],COLUMN(Reinforcements[[#Headers],[Pole Face to Centroid (in)]])-1,FALSE))</f>
        <v/>
      </c>
      <c r="J99" s="652"/>
      <c r="K99" s="652"/>
      <c r="L99" s="652" t="str">
        <f>IF($N35="","",IF(VLOOKUP($N35,Reinforcements[],COLUMN(Reinforcements[[#Headers],[Bottom End Connection Type]])-1,FALSE)&lt;&gt;"Bolted",VLOOKUP($N35,Reinforcements[],COLUMN(Reinforcements[[#Headers],[Bottom End Connection Type]])-1,FALSE),VLOOKUP($N35,Reinforcements[],COLUMN(Reinforcements[[#Headers],[Bottom End Connection Bolt Type]])-1,FALSE)))</f>
        <v/>
      </c>
      <c r="M99" s="652"/>
      <c r="N99" s="652"/>
      <c r="O99" s="652"/>
      <c r="P99" s="652"/>
      <c r="Q99" s="652" t="str">
        <f>IF($N35="","",VLOOKUP($N35,Reinforcements[],COLUMN(Reinforcements[[#Headers],[Bottom Connection Length + Edge Dist (in)]])-1,FALSE))</f>
        <v/>
      </c>
      <c r="R99" s="652"/>
      <c r="S99" s="652"/>
      <c r="T99" s="653" t="str">
        <f>IF($N35="","",IF(VLOOKUP($N35,Reinforcements[],COLUMN(Reinforcements[[#Headers],[Top End Connection Type]])-1,FALSE)&lt;&gt;"Bolted",VLOOKUP($N35,Reinforcements[],COLUMN(Reinforcements[[#Headers],[Top End Connection Type]])-1,FALSE),VLOOKUP($N35,Reinforcements[],COLUMN(Reinforcements[[#Headers],[Top End Connection Bolt Type]])-1,FALSE)))</f>
        <v/>
      </c>
      <c r="U99" s="653"/>
      <c r="V99" s="653"/>
      <c r="W99" s="653"/>
      <c r="X99" s="653"/>
      <c r="Y99" s="653" t="str">
        <f>IF($N35="","",VLOOKUP($N35,Reinforcements[],COLUMN(Reinforcements[[#Headers],[Top Connection Length + Edge Dist (in)]])-1,FALSE))</f>
        <v/>
      </c>
      <c r="Z99" s="653"/>
      <c r="AA99" s="653"/>
      <c r="AB99" s="654" t="str">
        <f>IF($N35="","",VLOOKUP($N35,Reinforcements[],COLUMN(Reinforcements[[#Headers],[Lu (in)]])-1,FALSE))</f>
        <v/>
      </c>
      <c r="AC99" s="654"/>
      <c r="AD99" s="654" t="str">
        <f>IF($N35="","",VLOOKUP($N35,Reinforcements[],COLUMN(Reinforcements[[#Headers],[Net Area (in2)]])-1,FALSE))</f>
        <v/>
      </c>
      <c r="AE99" s="654"/>
      <c r="AF99" s="651" t="str">
        <f>IF($N35="","",VLOOKUP($N35,Reinforcements[],IF(RIGHT($AF$84,4)="(in)",COLUMN(Reinforcements[[#Headers],[Bolt Hole Size (in)]])-1,COLUMN(Reinforcements[[#Headers],[Bolt Hole Size (mm)]])-1),FALSE))</f>
        <v/>
      </c>
      <c r="AG99" s="651"/>
      <c r="AH99" s="651"/>
      <c r="AI99" s="681" t="str">
        <f>IF($N35="","",VLOOKUP($N35,Reinforcements[],COLUMN(Reinforcements[[#Headers],[Material]])-1,FALSE))</f>
        <v/>
      </c>
      <c r="AJ99" s="681"/>
      <c r="AK99" s="681"/>
      <c r="AL99" s="681"/>
      <c r="AM99" s="34"/>
      <c r="AN99" s="34"/>
      <c r="AO99" s="34"/>
    </row>
    <row r="100" spans="2:41" ht="14.45" hidden="1" customHeight="1" x14ac:dyDescent="0.25">
      <c r="B100" s="13">
        <v>16</v>
      </c>
      <c r="C100" s="652" t="str">
        <f>IF($N36="","",VLOOKUP($N36,Reinforcements[],COLUMN(Reinforcements[[#Headers],[B (in)]])-1,FALSE))</f>
        <v/>
      </c>
      <c r="D100" s="652"/>
      <c r="E100" s="652" t="str">
        <f>IF($N36="","",VLOOKUP($N36,Reinforcements[],COLUMN(Reinforcements[[#Headers],[H (in)]])-1,FALSE))</f>
        <v/>
      </c>
      <c r="F100" s="652"/>
      <c r="G100" s="652" t="str">
        <f>IF($N36="","",VLOOKUP($N36,Reinforcements[],COLUMN(Reinforcements[[#Headers],[Gross Area (in2)]])-1,FALSE))</f>
        <v/>
      </c>
      <c r="H100" s="652"/>
      <c r="I100" s="652" t="str">
        <f>IF($N36="","",VLOOKUP($N36,Reinforcements[],COLUMN(Reinforcements[[#Headers],[Pole Face to Centroid (in)]])-1,FALSE))</f>
        <v/>
      </c>
      <c r="J100" s="652"/>
      <c r="K100" s="652"/>
      <c r="L100" s="652" t="str">
        <f>IF($N36="","",IF(VLOOKUP($N36,Reinforcements[],COLUMN(Reinforcements[[#Headers],[Bottom End Connection Type]])-1,FALSE)&lt;&gt;"Bolted",VLOOKUP($N36,Reinforcements[],COLUMN(Reinforcements[[#Headers],[Bottom End Connection Type]])-1,FALSE),VLOOKUP($N36,Reinforcements[],COLUMN(Reinforcements[[#Headers],[Bottom End Connection Bolt Type]])-1,FALSE)))</f>
        <v/>
      </c>
      <c r="M100" s="652"/>
      <c r="N100" s="652"/>
      <c r="O100" s="652"/>
      <c r="P100" s="652"/>
      <c r="Q100" s="652" t="str">
        <f>IF($N36="","",VLOOKUP($N36,Reinforcements[],COLUMN(Reinforcements[[#Headers],[Bottom Connection Length + Edge Dist (in)]])-1,FALSE))</f>
        <v/>
      </c>
      <c r="R100" s="652"/>
      <c r="S100" s="652"/>
      <c r="T100" s="653" t="str">
        <f>IF($N36="","",IF(VLOOKUP($N36,Reinforcements[],COLUMN(Reinforcements[[#Headers],[Top End Connection Type]])-1,FALSE)&lt;&gt;"Bolted",VLOOKUP($N36,Reinforcements[],COLUMN(Reinforcements[[#Headers],[Top End Connection Type]])-1,FALSE),VLOOKUP($N36,Reinforcements[],COLUMN(Reinforcements[[#Headers],[Top End Connection Bolt Type]])-1,FALSE)))</f>
        <v/>
      </c>
      <c r="U100" s="653"/>
      <c r="V100" s="653"/>
      <c r="W100" s="653"/>
      <c r="X100" s="653"/>
      <c r="Y100" s="653" t="str">
        <f>IF($N36="","",VLOOKUP($N36,Reinforcements[],COLUMN(Reinforcements[[#Headers],[Top Connection Length + Edge Dist (in)]])-1,FALSE))</f>
        <v/>
      </c>
      <c r="Z100" s="653"/>
      <c r="AA100" s="653"/>
      <c r="AB100" s="654" t="str">
        <f>IF($N36="","",VLOOKUP($N36,Reinforcements[],COLUMN(Reinforcements[[#Headers],[Lu (in)]])-1,FALSE))</f>
        <v/>
      </c>
      <c r="AC100" s="654"/>
      <c r="AD100" s="654" t="str">
        <f>IF($N36="","",VLOOKUP($N36,Reinforcements[],COLUMN(Reinforcements[[#Headers],[Net Area (in2)]])-1,FALSE))</f>
        <v/>
      </c>
      <c r="AE100" s="654"/>
      <c r="AF100" s="651" t="str">
        <f>IF($N36="","",VLOOKUP($N36,Reinforcements[],IF(RIGHT($AF$84,4)="(in)",COLUMN(Reinforcements[[#Headers],[Bolt Hole Size (in)]])-1,COLUMN(Reinforcements[[#Headers],[Bolt Hole Size (mm)]])-1),FALSE))</f>
        <v/>
      </c>
      <c r="AG100" s="651"/>
      <c r="AH100" s="651"/>
      <c r="AI100" s="681" t="str">
        <f>IF($N36="","",VLOOKUP($N36,Reinforcements[],COLUMN(Reinforcements[[#Headers],[Material]])-1,FALSE))</f>
        <v/>
      </c>
      <c r="AJ100" s="681"/>
      <c r="AK100" s="681"/>
      <c r="AL100" s="681"/>
      <c r="AM100" s="34"/>
      <c r="AN100" s="34"/>
      <c r="AO100" s="34"/>
    </row>
    <row r="101" spans="2:41" ht="14.45" hidden="1" customHeight="1" x14ac:dyDescent="0.25">
      <c r="B101" s="13">
        <v>17</v>
      </c>
      <c r="C101" s="652" t="str">
        <f>IF($N37="","",VLOOKUP($N37,Reinforcements[],COLUMN(Reinforcements[[#Headers],[B (in)]])-1,FALSE))</f>
        <v/>
      </c>
      <c r="D101" s="652"/>
      <c r="E101" s="652" t="str">
        <f>IF($N37="","",VLOOKUP($N37,Reinforcements[],COLUMN(Reinforcements[[#Headers],[H (in)]])-1,FALSE))</f>
        <v/>
      </c>
      <c r="F101" s="652"/>
      <c r="G101" s="652" t="str">
        <f>IF($N37="","",VLOOKUP($N37,Reinforcements[],COLUMN(Reinforcements[[#Headers],[Gross Area (in2)]])-1,FALSE))</f>
        <v/>
      </c>
      <c r="H101" s="652"/>
      <c r="I101" s="652" t="str">
        <f>IF($N37="","",VLOOKUP($N37,Reinforcements[],COLUMN(Reinforcements[[#Headers],[Pole Face to Centroid (in)]])-1,FALSE))</f>
        <v/>
      </c>
      <c r="J101" s="652"/>
      <c r="K101" s="652"/>
      <c r="L101" s="652" t="str">
        <f>IF($N37="","",IF(VLOOKUP($N37,Reinforcements[],COLUMN(Reinforcements[[#Headers],[Bottom End Connection Type]])-1,FALSE)&lt;&gt;"Bolted",VLOOKUP($N37,Reinforcements[],COLUMN(Reinforcements[[#Headers],[Bottom End Connection Type]])-1,FALSE),VLOOKUP($N37,Reinforcements[],COLUMN(Reinforcements[[#Headers],[Bottom End Connection Bolt Type]])-1,FALSE)))</f>
        <v/>
      </c>
      <c r="M101" s="652"/>
      <c r="N101" s="652"/>
      <c r="O101" s="652"/>
      <c r="P101" s="652"/>
      <c r="Q101" s="652" t="str">
        <f>IF($N37="","",VLOOKUP($N37,Reinforcements[],COLUMN(Reinforcements[[#Headers],[Bottom Connection Length + Edge Dist (in)]])-1,FALSE))</f>
        <v/>
      </c>
      <c r="R101" s="652"/>
      <c r="S101" s="652"/>
      <c r="T101" s="653" t="str">
        <f>IF($N37="","",IF(VLOOKUP($N37,Reinforcements[],COLUMN(Reinforcements[[#Headers],[Top End Connection Type]])-1,FALSE)&lt;&gt;"Bolted",VLOOKUP($N37,Reinforcements[],COLUMN(Reinforcements[[#Headers],[Top End Connection Type]])-1,FALSE),VLOOKUP($N37,Reinforcements[],COLUMN(Reinforcements[[#Headers],[Top End Connection Bolt Type]])-1,FALSE)))</f>
        <v/>
      </c>
      <c r="U101" s="653"/>
      <c r="V101" s="653"/>
      <c r="W101" s="653"/>
      <c r="X101" s="653"/>
      <c r="Y101" s="653" t="str">
        <f>IF($N37="","",VLOOKUP($N37,Reinforcements[],COLUMN(Reinforcements[[#Headers],[Top Connection Length + Edge Dist (in)]])-1,FALSE))</f>
        <v/>
      </c>
      <c r="Z101" s="653"/>
      <c r="AA101" s="653"/>
      <c r="AB101" s="654" t="str">
        <f>IF($N37="","",VLOOKUP($N37,Reinforcements[],COLUMN(Reinforcements[[#Headers],[Lu (in)]])-1,FALSE))</f>
        <v/>
      </c>
      <c r="AC101" s="654"/>
      <c r="AD101" s="654" t="str">
        <f>IF($N37="","",VLOOKUP($N37,Reinforcements[],COLUMN(Reinforcements[[#Headers],[Net Area (in2)]])-1,FALSE))</f>
        <v/>
      </c>
      <c r="AE101" s="654"/>
      <c r="AF101" s="651" t="str">
        <f>IF($N37="","",VLOOKUP($N37,Reinforcements[],IF(RIGHT($AF$84,4)="(in)",COLUMN(Reinforcements[[#Headers],[Bolt Hole Size (in)]])-1,COLUMN(Reinforcements[[#Headers],[Bolt Hole Size (mm)]])-1),FALSE))</f>
        <v/>
      </c>
      <c r="AG101" s="651"/>
      <c r="AH101" s="651"/>
      <c r="AI101" s="681" t="str">
        <f>IF($N37="","",VLOOKUP($N37,Reinforcements[],COLUMN(Reinforcements[[#Headers],[Material]])-1,FALSE))</f>
        <v/>
      </c>
      <c r="AJ101" s="681"/>
      <c r="AK101" s="681"/>
      <c r="AL101" s="681"/>
      <c r="AM101" s="34"/>
      <c r="AN101" s="34"/>
      <c r="AO101" s="34"/>
    </row>
    <row r="102" spans="2:41" ht="14.45" hidden="1" customHeight="1" x14ac:dyDescent="0.25">
      <c r="B102" s="13">
        <v>18</v>
      </c>
      <c r="C102" s="652" t="str">
        <f>IF($N38="","",VLOOKUP($N38,Reinforcements[],COLUMN(Reinforcements[[#Headers],[B (in)]])-1,FALSE))</f>
        <v/>
      </c>
      <c r="D102" s="652"/>
      <c r="E102" s="652" t="str">
        <f>IF($N38="","",VLOOKUP($N38,Reinforcements[],COLUMN(Reinforcements[[#Headers],[H (in)]])-1,FALSE))</f>
        <v/>
      </c>
      <c r="F102" s="652"/>
      <c r="G102" s="652" t="str">
        <f>IF($N38="","",VLOOKUP($N38,Reinforcements[],COLUMN(Reinforcements[[#Headers],[Gross Area (in2)]])-1,FALSE))</f>
        <v/>
      </c>
      <c r="H102" s="652"/>
      <c r="I102" s="652" t="str">
        <f>IF($N38="","",VLOOKUP($N38,Reinforcements[],COLUMN(Reinforcements[[#Headers],[Pole Face to Centroid (in)]])-1,FALSE))</f>
        <v/>
      </c>
      <c r="J102" s="652"/>
      <c r="K102" s="652"/>
      <c r="L102" s="652" t="str">
        <f>IF($N38="","",IF(VLOOKUP($N38,Reinforcements[],COLUMN(Reinforcements[[#Headers],[Bottom End Connection Type]])-1,FALSE)&lt;&gt;"Bolted",VLOOKUP($N38,Reinforcements[],COLUMN(Reinforcements[[#Headers],[Bottom End Connection Type]])-1,FALSE),VLOOKUP($N38,Reinforcements[],COLUMN(Reinforcements[[#Headers],[Bottom End Connection Bolt Type]])-1,FALSE)))</f>
        <v/>
      </c>
      <c r="M102" s="652"/>
      <c r="N102" s="652"/>
      <c r="O102" s="652"/>
      <c r="P102" s="652"/>
      <c r="Q102" s="652" t="str">
        <f>IF($N38="","",VLOOKUP($N38,Reinforcements[],COLUMN(Reinforcements[[#Headers],[Bottom Connection Length + Edge Dist (in)]])-1,FALSE))</f>
        <v/>
      </c>
      <c r="R102" s="652"/>
      <c r="S102" s="652"/>
      <c r="T102" s="653" t="str">
        <f>IF($N38="","",IF(VLOOKUP($N38,Reinforcements[],COLUMN(Reinforcements[[#Headers],[Top End Connection Type]])-1,FALSE)&lt;&gt;"Bolted",VLOOKUP($N38,Reinforcements[],COLUMN(Reinforcements[[#Headers],[Top End Connection Type]])-1,FALSE),VLOOKUP($N38,Reinforcements[],COLUMN(Reinforcements[[#Headers],[Top End Connection Bolt Type]])-1,FALSE)))</f>
        <v/>
      </c>
      <c r="U102" s="653"/>
      <c r="V102" s="653"/>
      <c r="W102" s="653"/>
      <c r="X102" s="653"/>
      <c r="Y102" s="653" t="str">
        <f>IF($N38="","",VLOOKUP($N38,Reinforcements[],COLUMN(Reinforcements[[#Headers],[Top Connection Length + Edge Dist (in)]])-1,FALSE))</f>
        <v/>
      </c>
      <c r="Z102" s="653"/>
      <c r="AA102" s="653"/>
      <c r="AB102" s="654" t="str">
        <f>IF($N38="","",VLOOKUP($N38,Reinforcements[],COLUMN(Reinforcements[[#Headers],[Lu (in)]])-1,FALSE))</f>
        <v/>
      </c>
      <c r="AC102" s="654"/>
      <c r="AD102" s="654" t="str">
        <f>IF($N38="","",VLOOKUP($N38,Reinforcements[],COLUMN(Reinforcements[[#Headers],[Net Area (in2)]])-1,FALSE))</f>
        <v/>
      </c>
      <c r="AE102" s="654"/>
      <c r="AF102" s="651" t="str">
        <f>IF($N38="","",VLOOKUP($N38,Reinforcements[],IF(RIGHT($AF$84,4)="(in)",COLUMN(Reinforcements[[#Headers],[Bolt Hole Size (in)]])-1,COLUMN(Reinforcements[[#Headers],[Bolt Hole Size (mm)]])-1),FALSE))</f>
        <v/>
      </c>
      <c r="AG102" s="651"/>
      <c r="AH102" s="651"/>
      <c r="AI102" s="681" t="str">
        <f>IF($N38="","",VLOOKUP($N38,Reinforcements[],COLUMN(Reinforcements[[#Headers],[Material]])-1,FALSE))</f>
        <v/>
      </c>
      <c r="AJ102" s="681"/>
      <c r="AK102" s="681"/>
      <c r="AL102" s="681"/>
      <c r="AM102" s="34"/>
      <c r="AN102" s="34"/>
      <c r="AO102" s="34"/>
    </row>
    <row r="103" spans="2:41" ht="14.45" hidden="1" customHeight="1" x14ac:dyDescent="0.25">
      <c r="B103" s="13">
        <v>19</v>
      </c>
      <c r="C103" s="652" t="str">
        <f>IF($N39="","",VLOOKUP($N39,Reinforcements[],COLUMN(Reinforcements[[#Headers],[B (in)]])-1,FALSE))</f>
        <v/>
      </c>
      <c r="D103" s="652"/>
      <c r="E103" s="652" t="str">
        <f>IF($N39="","",VLOOKUP($N39,Reinforcements[],COLUMN(Reinforcements[[#Headers],[H (in)]])-1,FALSE))</f>
        <v/>
      </c>
      <c r="F103" s="652"/>
      <c r="G103" s="652" t="str">
        <f>IF($N39="","",VLOOKUP($N39,Reinforcements[],COLUMN(Reinforcements[[#Headers],[Gross Area (in2)]])-1,FALSE))</f>
        <v/>
      </c>
      <c r="H103" s="652"/>
      <c r="I103" s="652" t="str">
        <f>IF($N39="","",VLOOKUP($N39,Reinforcements[],COLUMN(Reinforcements[[#Headers],[Pole Face to Centroid (in)]])-1,FALSE))</f>
        <v/>
      </c>
      <c r="J103" s="652"/>
      <c r="K103" s="652"/>
      <c r="L103" s="652" t="str">
        <f>IF($N39="","",IF(VLOOKUP($N39,Reinforcements[],COLUMN(Reinforcements[[#Headers],[Bottom End Connection Type]])-1,FALSE)&lt;&gt;"Bolted",VLOOKUP($N39,Reinforcements[],COLUMN(Reinforcements[[#Headers],[Bottom End Connection Type]])-1,FALSE),VLOOKUP($N39,Reinforcements[],COLUMN(Reinforcements[[#Headers],[Bottom End Connection Bolt Type]])-1,FALSE)))</f>
        <v/>
      </c>
      <c r="M103" s="652"/>
      <c r="N103" s="652"/>
      <c r="O103" s="652"/>
      <c r="P103" s="652"/>
      <c r="Q103" s="652" t="str">
        <f>IF($N39="","",VLOOKUP($N39,Reinforcements[],COLUMN(Reinforcements[[#Headers],[Bottom Connection Length + Edge Dist (in)]])-1,FALSE))</f>
        <v/>
      </c>
      <c r="R103" s="652"/>
      <c r="S103" s="652"/>
      <c r="T103" s="653" t="str">
        <f>IF($N39="","",IF(VLOOKUP($N39,Reinforcements[],COLUMN(Reinforcements[[#Headers],[Top End Connection Type]])-1,FALSE)&lt;&gt;"Bolted",VLOOKUP($N39,Reinforcements[],COLUMN(Reinforcements[[#Headers],[Top End Connection Type]])-1,FALSE),VLOOKUP($N39,Reinforcements[],COLUMN(Reinforcements[[#Headers],[Top End Connection Bolt Type]])-1,FALSE)))</f>
        <v/>
      </c>
      <c r="U103" s="653"/>
      <c r="V103" s="653"/>
      <c r="W103" s="653"/>
      <c r="X103" s="653"/>
      <c r="Y103" s="653" t="str">
        <f>IF($N39="","",VLOOKUP($N39,Reinforcements[],COLUMN(Reinforcements[[#Headers],[Top Connection Length + Edge Dist (in)]])-1,FALSE))</f>
        <v/>
      </c>
      <c r="Z103" s="653"/>
      <c r="AA103" s="653"/>
      <c r="AB103" s="654" t="str">
        <f>IF($N39="","",VLOOKUP($N39,Reinforcements[],COLUMN(Reinforcements[[#Headers],[Lu (in)]])-1,FALSE))</f>
        <v/>
      </c>
      <c r="AC103" s="654"/>
      <c r="AD103" s="654" t="str">
        <f>IF($N39="","",VLOOKUP($N39,Reinforcements[],COLUMN(Reinforcements[[#Headers],[Net Area (in2)]])-1,FALSE))</f>
        <v/>
      </c>
      <c r="AE103" s="654"/>
      <c r="AF103" s="651" t="str">
        <f>IF($N39="","",VLOOKUP($N39,Reinforcements[],IF(RIGHT($AF$84,4)="(in)",COLUMN(Reinforcements[[#Headers],[Bolt Hole Size (in)]])-1,COLUMN(Reinforcements[[#Headers],[Bolt Hole Size (mm)]])-1),FALSE))</f>
        <v/>
      </c>
      <c r="AG103" s="651"/>
      <c r="AH103" s="651"/>
      <c r="AI103" s="681" t="str">
        <f>IF($N39="","",VLOOKUP($N39,Reinforcements[],COLUMN(Reinforcements[[#Headers],[Material]])-1,FALSE))</f>
        <v/>
      </c>
      <c r="AJ103" s="681"/>
      <c r="AK103" s="681"/>
      <c r="AL103" s="681"/>
      <c r="AM103" s="34"/>
      <c r="AN103" s="34"/>
      <c r="AO103" s="34"/>
    </row>
    <row r="104" spans="2:41" ht="14.45" hidden="1" customHeight="1" x14ac:dyDescent="0.25">
      <c r="B104" s="13">
        <v>20</v>
      </c>
      <c r="C104" s="652" t="str">
        <f>IF($N40="","",VLOOKUP($N40,Reinforcements[],COLUMN(Reinforcements[[#Headers],[B (in)]])-1,FALSE))</f>
        <v/>
      </c>
      <c r="D104" s="652"/>
      <c r="E104" s="652" t="str">
        <f>IF($N40="","",VLOOKUP($N40,Reinforcements[],COLUMN(Reinforcements[[#Headers],[H (in)]])-1,FALSE))</f>
        <v/>
      </c>
      <c r="F104" s="652"/>
      <c r="G104" s="652" t="str">
        <f>IF($N40="","",VLOOKUP($N40,Reinforcements[],COLUMN(Reinforcements[[#Headers],[Gross Area (in2)]])-1,FALSE))</f>
        <v/>
      </c>
      <c r="H104" s="652"/>
      <c r="I104" s="652" t="str">
        <f>IF($N40="","",VLOOKUP($N40,Reinforcements[],COLUMN(Reinforcements[[#Headers],[Pole Face to Centroid (in)]])-1,FALSE))</f>
        <v/>
      </c>
      <c r="J104" s="652"/>
      <c r="K104" s="652"/>
      <c r="L104" s="652" t="str">
        <f>IF($N40="","",IF(VLOOKUP($N40,Reinforcements[],COLUMN(Reinforcements[[#Headers],[Bottom End Connection Type]])-1,FALSE)&lt;&gt;"Bolted",VLOOKUP($N40,Reinforcements[],COLUMN(Reinforcements[[#Headers],[Bottom End Connection Type]])-1,FALSE),VLOOKUP($N40,Reinforcements[],COLUMN(Reinforcements[[#Headers],[Bottom End Connection Bolt Type]])-1,FALSE)))</f>
        <v/>
      </c>
      <c r="M104" s="652"/>
      <c r="N104" s="652"/>
      <c r="O104" s="652"/>
      <c r="P104" s="652"/>
      <c r="Q104" s="652" t="str">
        <f>IF($N40="","",VLOOKUP($N40,Reinforcements[],COLUMN(Reinforcements[[#Headers],[Bottom Connection Length + Edge Dist (in)]])-1,FALSE))</f>
        <v/>
      </c>
      <c r="R104" s="652"/>
      <c r="S104" s="652"/>
      <c r="T104" s="653" t="str">
        <f>IF($N40="","",IF(VLOOKUP($N40,Reinforcements[],COLUMN(Reinforcements[[#Headers],[Top End Connection Type]])-1,FALSE)&lt;&gt;"Bolted",VLOOKUP($N40,Reinforcements[],COLUMN(Reinforcements[[#Headers],[Top End Connection Type]])-1,FALSE),VLOOKUP($N40,Reinforcements[],COLUMN(Reinforcements[[#Headers],[Top End Connection Bolt Type]])-1,FALSE)))</f>
        <v/>
      </c>
      <c r="U104" s="653"/>
      <c r="V104" s="653"/>
      <c r="W104" s="653"/>
      <c r="X104" s="653"/>
      <c r="Y104" s="653" t="str">
        <f>IF($N40="","",VLOOKUP($N40,Reinforcements[],COLUMN(Reinforcements[[#Headers],[Top Connection Length + Edge Dist (in)]])-1,FALSE))</f>
        <v/>
      </c>
      <c r="Z104" s="653"/>
      <c r="AA104" s="653"/>
      <c r="AB104" s="654" t="str">
        <f>IF($N40="","",VLOOKUP($N40,Reinforcements[],COLUMN(Reinforcements[[#Headers],[Lu (in)]])-1,FALSE))</f>
        <v/>
      </c>
      <c r="AC104" s="654"/>
      <c r="AD104" s="654" t="str">
        <f>IF($N40="","",VLOOKUP($N40,Reinforcements[],COLUMN(Reinforcements[[#Headers],[Net Area (in2)]])-1,FALSE))</f>
        <v/>
      </c>
      <c r="AE104" s="654"/>
      <c r="AF104" s="651" t="str">
        <f>IF($N40="","",VLOOKUP($N40,Reinforcements[],IF(RIGHT($AF$84,4)="(in)",COLUMN(Reinforcements[[#Headers],[Bolt Hole Size (in)]])-1,COLUMN(Reinforcements[[#Headers],[Bolt Hole Size (mm)]])-1),FALSE))</f>
        <v/>
      </c>
      <c r="AG104" s="651"/>
      <c r="AH104" s="651"/>
      <c r="AI104" s="681" t="str">
        <f>IF($N40="","",VLOOKUP($N40,Reinforcements[],COLUMN(Reinforcements[[#Headers],[Material]])-1,FALSE))</f>
        <v/>
      </c>
      <c r="AJ104" s="681"/>
      <c r="AK104" s="681"/>
      <c r="AL104" s="681"/>
      <c r="AM104" s="34"/>
      <c r="AN104" s="34"/>
      <c r="AO104" s="34"/>
    </row>
    <row r="105" spans="2:41" ht="14.45" hidden="1" customHeight="1" x14ac:dyDescent="0.25">
      <c r="B105" s="13">
        <v>21</v>
      </c>
      <c r="C105" s="652" t="str">
        <f>IF($N41="","",VLOOKUP($N41,Reinforcements[],COLUMN(Reinforcements[[#Headers],[B (in)]])-1,FALSE))</f>
        <v/>
      </c>
      <c r="D105" s="652"/>
      <c r="E105" s="652" t="str">
        <f>IF($N41="","",VLOOKUP($N41,Reinforcements[],COLUMN(Reinforcements[[#Headers],[H (in)]])-1,FALSE))</f>
        <v/>
      </c>
      <c r="F105" s="652"/>
      <c r="G105" s="652" t="str">
        <f>IF($N41="","",VLOOKUP($N41,Reinforcements[],COLUMN(Reinforcements[[#Headers],[Gross Area (in2)]])-1,FALSE))</f>
        <v/>
      </c>
      <c r="H105" s="652"/>
      <c r="I105" s="652" t="str">
        <f>IF($N41="","",VLOOKUP($N41,Reinforcements[],COLUMN(Reinforcements[[#Headers],[Pole Face to Centroid (in)]])-1,FALSE))</f>
        <v/>
      </c>
      <c r="J105" s="652"/>
      <c r="K105" s="652"/>
      <c r="L105" s="652" t="str">
        <f>IF($N41="","",IF(VLOOKUP($N41,Reinforcements[],COLUMN(Reinforcements[[#Headers],[Bottom End Connection Type]])-1,FALSE)&lt;&gt;"Bolted",VLOOKUP($N41,Reinforcements[],COLUMN(Reinforcements[[#Headers],[Bottom End Connection Type]])-1,FALSE),VLOOKUP($N41,Reinforcements[],COLUMN(Reinforcements[[#Headers],[Bottom End Connection Bolt Type]])-1,FALSE)))</f>
        <v/>
      </c>
      <c r="M105" s="652"/>
      <c r="N105" s="652"/>
      <c r="O105" s="652"/>
      <c r="P105" s="652"/>
      <c r="Q105" s="652" t="str">
        <f>IF($N41="","",VLOOKUP($N41,Reinforcements[],COLUMN(Reinforcements[[#Headers],[Bottom Connection Length + Edge Dist (in)]])-1,FALSE))</f>
        <v/>
      </c>
      <c r="R105" s="652"/>
      <c r="S105" s="652"/>
      <c r="T105" s="653" t="str">
        <f>IF($N41="","",IF(VLOOKUP($N41,Reinforcements[],COLUMN(Reinforcements[[#Headers],[Top End Connection Type]])-1,FALSE)&lt;&gt;"Bolted",VLOOKUP($N41,Reinforcements[],COLUMN(Reinforcements[[#Headers],[Top End Connection Type]])-1,FALSE),VLOOKUP($N41,Reinforcements[],COLUMN(Reinforcements[[#Headers],[Top End Connection Bolt Type]])-1,FALSE)))</f>
        <v/>
      </c>
      <c r="U105" s="653"/>
      <c r="V105" s="653"/>
      <c r="W105" s="653"/>
      <c r="X105" s="653"/>
      <c r="Y105" s="653" t="str">
        <f>IF($N41="","",VLOOKUP($N41,Reinforcements[],COLUMN(Reinforcements[[#Headers],[Top Connection Length + Edge Dist (in)]])-1,FALSE))</f>
        <v/>
      </c>
      <c r="Z105" s="653"/>
      <c r="AA105" s="653"/>
      <c r="AB105" s="654" t="str">
        <f>IF($N41="","",VLOOKUP($N41,Reinforcements[],COLUMN(Reinforcements[[#Headers],[Lu (in)]])-1,FALSE))</f>
        <v/>
      </c>
      <c r="AC105" s="654"/>
      <c r="AD105" s="654" t="str">
        <f>IF($N41="","",VLOOKUP($N41,Reinforcements[],COLUMN(Reinforcements[[#Headers],[Net Area (in2)]])-1,FALSE))</f>
        <v/>
      </c>
      <c r="AE105" s="654"/>
      <c r="AF105" s="651" t="str">
        <f>IF($N41="","",VLOOKUP($N41,Reinforcements[],IF(RIGHT($AF$84,4)="(in)",COLUMN(Reinforcements[[#Headers],[Bolt Hole Size (in)]])-1,COLUMN(Reinforcements[[#Headers],[Bolt Hole Size (mm)]])-1),FALSE))</f>
        <v/>
      </c>
      <c r="AG105" s="651"/>
      <c r="AH105" s="651"/>
      <c r="AI105" s="681" t="str">
        <f>IF($N41="","",VLOOKUP($N41,Reinforcements[],COLUMN(Reinforcements[[#Headers],[Material]])-1,FALSE))</f>
        <v/>
      </c>
      <c r="AJ105" s="681"/>
      <c r="AK105" s="681"/>
      <c r="AL105" s="681"/>
      <c r="AM105" s="34"/>
      <c r="AN105" s="34"/>
      <c r="AO105" s="34"/>
    </row>
    <row r="106" spans="2:41" ht="14.45" hidden="1" customHeight="1" x14ac:dyDescent="0.25">
      <c r="B106" s="13">
        <v>22</v>
      </c>
      <c r="C106" s="652" t="str">
        <f>IF($N42="","",VLOOKUP($N42,Reinforcements[],COLUMN(Reinforcements[[#Headers],[B (in)]])-1,FALSE))</f>
        <v/>
      </c>
      <c r="D106" s="652"/>
      <c r="E106" s="652" t="str">
        <f>IF($N42="","",VLOOKUP($N42,Reinforcements[],COLUMN(Reinforcements[[#Headers],[H (in)]])-1,FALSE))</f>
        <v/>
      </c>
      <c r="F106" s="652"/>
      <c r="G106" s="652" t="str">
        <f>IF($N42="","",VLOOKUP($N42,Reinforcements[],COLUMN(Reinforcements[[#Headers],[Gross Area (in2)]])-1,FALSE))</f>
        <v/>
      </c>
      <c r="H106" s="652"/>
      <c r="I106" s="652" t="str">
        <f>IF($N42="","",VLOOKUP($N42,Reinforcements[],COLUMN(Reinforcements[[#Headers],[Pole Face to Centroid (in)]])-1,FALSE))</f>
        <v/>
      </c>
      <c r="J106" s="652"/>
      <c r="K106" s="652"/>
      <c r="L106" s="652" t="str">
        <f>IF($N42="","",IF(VLOOKUP($N42,Reinforcements[],COLUMN(Reinforcements[[#Headers],[Bottom End Connection Type]])-1,FALSE)&lt;&gt;"Bolted",VLOOKUP($N42,Reinforcements[],COLUMN(Reinforcements[[#Headers],[Bottom End Connection Type]])-1,FALSE),VLOOKUP($N42,Reinforcements[],COLUMN(Reinforcements[[#Headers],[Bottom End Connection Bolt Type]])-1,FALSE)))</f>
        <v/>
      </c>
      <c r="M106" s="652"/>
      <c r="N106" s="652"/>
      <c r="O106" s="652"/>
      <c r="P106" s="652"/>
      <c r="Q106" s="652" t="str">
        <f>IF($N42="","",VLOOKUP($N42,Reinforcements[],COLUMN(Reinforcements[[#Headers],[Bottom Connection Length + Edge Dist (in)]])-1,FALSE))</f>
        <v/>
      </c>
      <c r="R106" s="652"/>
      <c r="S106" s="652"/>
      <c r="T106" s="653" t="str">
        <f>IF($N42="","",IF(VLOOKUP($N42,Reinforcements[],COLUMN(Reinforcements[[#Headers],[Top End Connection Type]])-1,FALSE)&lt;&gt;"Bolted",VLOOKUP($N42,Reinforcements[],COLUMN(Reinforcements[[#Headers],[Top End Connection Type]])-1,FALSE),VLOOKUP($N42,Reinforcements[],COLUMN(Reinforcements[[#Headers],[Top End Connection Bolt Type]])-1,FALSE)))</f>
        <v/>
      </c>
      <c r="U106" s="653"/>
      <c r="V106" s="653"/>
      <c r="W106" s="653"/>
      <c r="X106" s="653"/>
      <c r="Y106" s="653" t="str">
        <f>IF($N42="","",VLOOKUP($N42,Reinforcements[],COLUMN(Reinforcements[[#Headers],[Top Connection Length + Edge Dist (in)]])-1,FALSE))</f>
        <v/>
      </c>
      <c r="Z106" s="653"/>
      <c r="AA106" s="653"/>
      <c r="AB106" s="654" t="str">
        <f>IF($N42="","",VLOOKUP($N42,Reinforcements[],COLUMN(Reinforcements[[#Headers],[Lu (in)]])-1,FALSE))</f>
        <v/>
      </c>
      <c r="AC106" s="654"/>
      <c r="AD106" s="654" t="str">
        <f>IF($N42="","",VLOOKUP($N42,Reinforcements[],COLUMN(Reinforcements[[#Headers],[Net Area (in2)]])-1,FALSE))</f>
        <v/>
      </c>
      <c r="AE106" s="654"/>
      <c r="AF106" s="651" t="str">
        <f>IF($N42="","",VLOOKUP($N42,Reinforcements[],IF(RIGHT($AF$84,4)="(in)",COLUMN(Reinforcements[[#Headers],[Bolt Hole Size (in)]])-1,COLUMN(Reinforcements[[#Headers],[Bolt Hole Size (mm)]])-1),FALSE))</f>
        <v/>
      </c>
      <c r="AG106" s="651"/>
      <c r="AH106" s="651"/>
      <c r="AI106" s="681" t="str">
        <f>IF($N42="","",VLOOKUP($N42,Reinforcements[],COLUMN(Reinforcements[[#Headers],[Material]])-1,FALSE))</f>
        <v/>
      </c>
      <c r="AJ106" s="681"/>
      <c r="AK106" s="681"/>
      <c r="AL106" s="681"/>
      <c r="AM106" s="34"/>
      <c r="AN106" s="34"/>
      <c r="AO106" s="34"/>
    </row>
    <row r="107" spans="2:41" ht="14.45" hidden="1" customHeight="1" x14ac:dyDescent="0.25">
      <c r="B107" s="13">
        <v>23</v>
      </c>
      <c r="C107" s="652" t="str">
        <f>IF($N43="","",VLOOKUP($N43,Reinforcements[],COLUMN(Reinforcements[[#Headers],[B (in)]])-1,FALSE))</f>
        <v/>
      </c>
      <c r="D107" s="652"/>
      <c r="E107" s="652" t="str">
        <f>IF($N43="","",VLOOKUP($N43,Reinforcements[],COLUMN(Reinforcements[[#Headers],[H (in)]])-1,FALSE))</f>
        <v/>
      </c>
      <c r="F107" s="652"/>
      <c r="G107" s="652" t="str">
        <f>IF($N43="","",VLOOKUP($N43,Reinforcements[],COLUMN(Reinforcements[[#Headers],[Gross Area (in2)]])-1,FALSE))</f>
        <v/>
      </c>
      <c r="H107" s="652"/>
      <c r="I107" s="652" t="str">
        <f>IF($N43="","",VLOOKUP($N43,Reinforcements[],COLUMN(Reinforcements[[#Headers],[Pole Face to Centroid (in)]])-1,FALSE))</f>
        <v/>
      </c>
      <c r="J107" s="652"/>
      <c r="K107" s="652"/>
      <c r="L107" s="652" t="str">
        <f>IF($N43="","",IF(VLOOKUP($N43,Reinforcements[],COLUMN(Reinforcements[[#Headers],[Bottom End Connection Type]])-1,FALSE)&lt;&gt;"Bolted",VLOOKUP($N43,Reinforcements[],COLUMN(Reinforcements[[#Headers],[Bottom End Connection Type]])-1,FALSE),VLOOKUP($N43,Reinforcements[],COLUMN(Reinforcements[[#Headers],[Bottom End Connection Bolt Type]])-1,FALSE)))</f>
        <v/>
      </c>
      <c r="M107" s="652"/>
      <c r="N107" s="652"/>
      <c r="O107" s="652"/>
      <c r="P107" s="652"/>
      <c r="Q107" s="652" t="str">
        <f>IF($N43="","",VLOOKUP($N43,Reinforcements[],COLUMN(Reinforcements[[#Headers],[Bottom Connection Length + Edge Dist (in)]])-1,FALSE))</f>
        <v/>
      </c>
      <c r="R107" s="652"/>
      <c r="S107" s="652"/>
      <c r="T107" s="653" t="str">
        <f>IF($N43="","",IF(VLOOKUP($N43,Reinforcements[],COLUMN(Reinforcements[[#Headers],[Top End Connection Type]])-1,FALSE)&lt;&gt;"Bolted",VLOOKUP($N43,Reinforcements[],COLUMN(Reinforcements[[#Headers],[Top End Connection Type]])-1,FALSE),VLOOKUP($N43,Reinforcements[],COLUMN(Reinforcements[[#Headers],[Top End Connection Bolt Type]])-1,FALSE)))</f>
        <v/>
      </c>
      <c r="U107" s="653"/>
      <c r="V107" s="653"/>
      <c r="W107" s="653"/>
      <c r="X107" s="653"/>
      <c r="Y107" s="653" t="str">
        <f>IF($N43="","",VLOOKUP($N43,Reinforcements[],COLUMN(Reinforcements[[#Headers],[Top Connection Length + Edge Dist (in)]])-1,FALSE))</f>
        <v/>
      </c>
      <c r="Z107" s="653"/>
      <c r="AA107" s="653"/>
      <c r="AB107" s="654" t="str">
        <f>IF($N43="","",VLOOKUP($N43,Reinforcements[],COLUMN(Reinforcements[[#Headers],[Lu (in)]])-1,FALSE))</f>
        <v/>
      </c>
      <c r="AC107" s="654"/>
      <c r="AD107" s="654" t="str">
        <f>IF($N43="","",VLOOKUP($N43,Reinforcements[],COLUMN(Reinforcements[[#Headers],[Net Area (in2)]])-1,FALSE))</f>
        <v/>
      </c>
      <c r="AE107" s="654"/>
      <c r="AF107" s="651" t="str">
        <f>IF($N43="","",VLOOKUP($N43,Reinforcements[],IF(RIGHT($AF$84,4)="(in)",COLUMN(Reinforcements[[#Headers],[Bolt Hole Size (in)]])-1,COLUMN(Reinforcements[[#Headers],[Bolt Hole Size (mm)]])-1),FALSE))</f>
        <v/>
      </c>
      <c r="AG107" s="651"/>
      <c r="AH107" s="651"/>
      <c r="AI107" s="681" t="str">
        <f>IF($N43="","",VLOOKUP($N43,Reinforcements[],COLUMN(Reinforcements[[#Headers],[Material]])-1,FALSE))</f>
        <v/>
      </c>
      <c r="AJ107" s="681"/>
      <c r="AK107" s="681"/>
      <c r="AL107" s="681"/>
      <c r="AM107" s="34"/>
      <c r="AN107" s="34"/>
      <c r="AO107" s="34"/>
    </row>
    <row r="108" spans="2:41" ht="14.45" hidden="1" customHeight="1" x14ac:dyDescent="0.25">
      <c r="B108" s="13">
        <v>24</v>
      </c>
      <c r="C108" s="652" t="str">
        <f>IF($N44="","",VLOOKUP($N44,Reinforcements[],COLUMN(Reinforcements[[#Headers],[B (in)]])-1,FALSE))</f>
        <v/>
      </c>
      <c r="D108" s="652"/>
      <c r="E108" s="652" t="str">
        <f>IF($N44="","",VLOOKUP($N44,Reinforcements[],COLUMN(Reinforcements[[#Headers],[H (in)]])-1,FALSE))</f>
        <v/>
      </c>
      <c r="F108" s="652"/>
      <c r="G108" s="652" t="str">
        <f>IF($N44="","",VLOOKUP($N44,Reinforcements[],COLUMN(Reinforcements[[#Headers],[Gross Area (in2)]])-1,FALSE))</f>
        <v/>
      </c>
      <c r="H108" s="652"/>
      <c r="I108" s="652" t="str">
        <f>IF($N44="","",VLOOKUP($N44,Reinforcements[],COLUMN(Reinforcements[[#Headers],[Pole Face to Centroid (in)]])-1,FALSE))</f>
        <v/>
      </c>
      <c r="J108" s="652"/>
      <c r="K108" s="652"/>
      <c r="L108" s="652" t="str">
        <f>IF($N44="","",IF(VLOOKUP($N44,Reinforcements[],COLUMN(Reinforcements[[#Headers],[Bottom End Connection Type]])-1,FALSE)&lt;&gt;"Bolted",VLOOKUP($N44,Reinforcements[],COLUMN(Reinforcements[[#Headers],[Bottom End Connection Type]])-1,FALSE),VLOOKUP($N44,Reinforcements[],COLUMN(Reinforcements[[#Headers],[Bottom End Connection Bolt Type]])-1,FALSE)))</f>
        <v/>
      </c>
      <c r="M108" s="652"/>
      <c r="N108" s="652"/>
      <c r="O108" s="652"/>
      <c r="P108" s="652"/>
      <c r="Q108" s="652" t="str">
        <f>IF($N44="","",VLOOKUP($N44,Reinforcements[],COLUMN(Reinforcements[[#Headers],[Bottom Connection Length + Edge Dist (in)]])-1,FALSE))</f>
        <v/>
      </c>
      <c r="R108" s="652"/>
      <c r="S108" s="652"/>
      <c r="T108" s="653" t="str">
        <f>IF($N44="","",IF(VLOOKUP($N44,Reinforcements[],COLUMN(Reinforcements[[#Headers],[Top End Connection Type]])-1,FALSE)&lt;&gt;"Bolted",VLOOKUP($N44,Reinforcements[],COLUMN(Reinforcements[[#Headers],[Top End Connection Type]])-1,FALSE),VLOOKUP($N44,Reinforcements[],COLUMN(Reinforcements[[#Headers],[Top End Connection Bolt Type]])-1,FALSE)))</f>
        <v/>
      </c>
      <c r="U108" s="653"/>
      <c r="V108" s="653"/>
      <c r="W108" s="653"/>
      <c r="X108" s="653"/>
      <c r="Y108" s="653" t="str">
        <f>IF($N44="","",VLOOKUP($N44,Reinforcements[],COLUMN(Reinforcements[[#Headers],[Top Connection Length + Edge Dist (in)]])-1,FALSE))</f>
        <v/>
      </c>
      <c r="Z108" s="653"/>
      <c r="AA108" s="653"/>
      <c r="AB108" s="654" t="str">
        <f>IF($N44="","",VLOOKUP($N44,Reinforcements[],COLUMN(Reinforcements[[#Headers],[Lu (in)]])-1,FALSE))</f>
        <v/>
      </c>
      <c r="AC108" s="654"/>
      <c r="AD108" s="654" t="str">
        <f>IF($N44="","",VLOOKUP($N44,Reinforcements[],COLUMN(Reinforcements[[#Headers],[Net Area (in2)]])-1,FALSE))</f>
        <v/>
      </c>
      <c r="AE108" s="654"/>
      <c r="AF108" s="651" t="str">
        <f>IF($N44="","",VLOOKUP($N44,Reinforcements[],IF(RIGHT($AF$84,4)="(in)",COLUMN(Reinforcements[[#Headers],[Bolt Hole Size (in)]])-1,COLUMN(Reinforcements[[#Headers],[Bolt Hole Size (mm)]])-1),FALSE))</f>
        <v/>
      </c>
      <c r="AG108" s="651"/>
      <c r="AH108" s="651"/>
      <c r="AI108" s="681" t="str">
        <f>IF($N44="","",VLOOKUP($N44,Reinforcements[],COLUMN(Reinforcements[[#Headers],[Material]])-1,FALSE))</f>
        <v/>
      </c>
      <c r="AJ108" s="681"/>
      <c r="AK108" s="681"/>
      <c r="AL108" s="681"/>
      <c r="AM108" s="34"/>
      <c r="AN108" s="34"/>
      <c r="AO108" s="34"/>
    </row>
    <row r="109" spans="2:41" ht="14.45" hidden="1" customHeight="1" x14ac:dyDescent="0.25">
      <c r="B109" s="13">
        <v>25</v>
      </c>
      <c r="C109" s="652" t="str">
        <f>IF($N45="","",VLOOKUP($N45,Reinforcements[],COLUMN(Reinforcements[[#Headers],[B (in)]])-1,FALSE))</f>
        <v/>
      </c>
      <c r="D109" s="652"/>
      <c r="E109" s="652" t="str">
        <f>IF($N45="","",VLOOKUP($N45,Reinforcements[],COLUMN(Reinforcements[[#Headers],[H (in)]])-1,FALSE))</f>
        <v/>
      </c>
      <c r="F109" s="652"/>
      <c r="G109" s="652" t="str">
        <f>IF($N45="","",VLOOKUP($N45,Reinforcements[],COLUMN(Reinforcements[[#Headers],[Gross Area (in2)]])-1,FALSE))</f>
        <v/>
      </c>
      <c r="H109" s="652"/>
      <c r="I109" s="652" t="str">
        <f>IF($N45="","",VLOOKUP($N45,Reinforcements[],COLUMN(Reinforcements[[#Headers],[Pole Face to Centroid (in)]])-1,FALSE))</f>
        <v/>
      </c>
      <c r="J109" s="652"/>
      <c r="K109" s="652"/>
      <c r="L109" s="652" t="str">
        <f>IF($N45="","",IF(VLOOKUP($N45,Reinforcements[],COLUMN(Reinforcements[[#Headers],[Bottom End Connection Type]])-1,FALSE)&lt;&gt;"Bolted",VLOOKUP($N45,Reinforcements[],COLUMN(Reinforcements[[#Headers],[Bottom End Connection Type]])-1,FALSE),VLOOKUP($N45,Reinforcements[],COLUMN(Reinforcements[[#Headers],[Bottom End Connection Bolt Type]])-1,FALSE)))</f>
        <v/>
      </c>
      <c r="M109" s="652"/>
      <c r="N109" s="652"/>
      <c r="O109" s="652"/>
      <c r="P109" s="652"/>
      <c r="Q109" s="652" t="str">
        <f>IF($N45="","",VLOOKUP($N45,Reinforcements[],COLUMN(Reinforcements[[#Headers],[Bottom Connection Length + Edge Dist (in)]])-1,FALSE))</f>
        <v/>
      </c>
      <c r="R109" s="652"/>
      <c r="S109" s="652"/>
      <c r="T109" s="653" t="str">
        <f>IF($N45="","",IF(VLOOKUP($N45,Reinforcements[],COLUMN(Reinforcements[[#Headers],[Top End Connection Type]])-1,FALSE)&lt;&gt;"Bolted",VLOOKUP($N45,Reinforcements[],COLUMN(Reinforcements[[#Headers],[Top End Connection Type]])-1,FALSE),VLOOKUP($N45,Reinforcements[],COLUMN(Reinforcements[[#Headers],[Top End Connection Bolt Type]])-1,FALSE)))</f>
        <v/>
      </c>
      <c r="U109" s="653"/>
      <c r="V109" s="653"/>
      <c r="W109" s="653"/>
      <c r="X109" s="653"/>
      <c r="Y109" s="653" t="str">
        <f>IF($N45="","",VLOOKUP($N45,Reinforcements[],COLUMN(Reinforcements[[#Headers],[Top Connection Length + Edge Dist (in)]])-1,FALSE))</f>
        <v/>
      </c>
      <c r="Z109" s="653"/>
      <c r="AA109" s="653"/>
      <c r="AB109" s="654" t="str">
        <f>IF($N45="","",VLOOKUP($N45,Reinforcements[],COLUMN(Reinforcements[[#Headers],[Lu (in)]])-1,FALSE))</f>
        <v/>
      </c>
      <c r="AC109" s="654"/>
      <c r="AD109" s="654" t="str">
        <f>IF($N45="","",VLOOKUP($N45,Reinforcements[],COLUMN(Reinforcements[[#Headers],[Net Area (in2)]])-1,FALSE))</f>
        <v/>
      </c>
      <c r="AE109" s="654"/>
      <c r="AF109" s="651" t="str">
        <f>IF($N45="","",VLOOKUP($N45,Reinforcements[],IF(RIGHT($AF$84,4)="(in)",COLUMN(Reinforcements[[#Headers],[Bolt Hole Size (in)]])-1,COLUMN(Reinforcements[[#Headers],[Bolt Hole Size (mm)]])-1),FALSE))</f>
        <v/>
      </c>
      <c r="AG109" s="651"/>
      <c r="AH109" s="651"/>
      <c r="AI109" s="681" t="str">
        <f>IF($N45="","",VLOOKUP($N45,Reinforcements[],COLUMN(Reinforcements[[#Headers],[Material]])-1,FALSE))</f>
        <v/>
      </c>
      <c r="AJ109" s="681"/>
      <c r="AK109" s="681"/>
      <c r="AL109" s="681"/>
      <c r="AM109" s="34"/>
      <c r="AN109" s="34"/>
      <c r="AO109" s="34"/>
    </row>
    <row r="110" spans="2:41" ht="14.45" hidden="1" customHeight="1" x14ac:dyDescent="0.25">
      <c r="B110" s="13">
        <v>26</v>
      </c>
      <c r="C110" s="652" t="str">
        <f>IF($N46="","",VLOOKUP($N46,Reinforcements[],COLUMN(Reinforcements[[#Headers],[B (in)]])-1,FALSE))</f>
        <v/>
      </c>
      <c r="D110" s="652"/>
      <c r="E110" s="652" t="str">
        <f>IF($N46="","",VLOOKUP($N46,Reinforcements[],COLUMN(Reinforcements[[#Headers],[H (in)]])-1,FALSE))</f>
        <v/>
      </c>
      <c r="F110" s="652"/>
      <c r="G110" s="652" t="str">
        <f>IF($N46="","",VLOOKUP($N46,Reinforcements[],COLUMN(Reinforcements[[#Headers],[Gross Area (in2)]])-1,FALSE))</f>
        <v/>
      </c>
      <c r="H110" s="652"/>
      <c r="I110" s="652" t="str">
        <f>IF($N46="","",VLOOKUP($N46,Reinforcements[],COLUMN(Reinforcements[[#Headers],[Pole Face to Centroid (in)]])-1,FALSE))</f>
        <v/>
      </c>
      <c r="J110" s="652"/>
      <c r="K110" s="652"/>
      <c r="L110" s="652" t="str">
        <f>IF($N46="","",IF(VLOOKUP($N46,Reinforcements[],COLUMN(Reinforcements[[#Headers],[Bottom End Connection Type]])-1,FALSE)&lt;&gt;"Bolted",VLOOKUP($N46,Reinforcements[],COLUMN(Reinforcements[[#Headers],[Bottom End Connection Type]])-1,FALSE),VLOOKUP($N46,Reinforcements[],COLUMN(Reinforcements[[#Headers],[Bottom End Connection Bolt Type]])-1,FALSE)))</f>
        <v/>
      </c>
      <c r="M110" s="652"/>
      <c r="N110" s="652"/>
      <c r="O110" s="652"/>
      <c r="P110" s="652"/>
      <c r="Q110" s="652" t="str">
        <f>IF($N46="","",VLOOKUP($N46,Reinforcements[],COLUMN(Reinforcements[[#Headers],[Bottom Connection Length + Edge Dist (in)]])-1,FALSE))</f>
        <v/>
      </c>
      <c r="R110" s="652"/>
      <c r="S110" s="652"/>
      <c r="T110" s="653" t="str">
        <f>IF($N46="","",IF(VLOOKUP($N46,Reinforcements[],COLUMN(Reinforcements[[#Headers],[Top End Connection Type]])-1,FALSE)&lt;&gt;"Bolted",VLOOKUP($N46,Reinforcements[],COLUMN(Reinforcements[[#Headers],[Top End Connection Type]])-1,FALSE),VLOOKUP($N46,Reinforcements[],COLUMN(Reinforcements[[#Headers],[Top End Connection Bolt Type]])-1,FALSE)))</f>
        <v/>
      </c>
      <c r="U110" s="653"/>
      <c r="V110" s="653"/>
      <c r="W110" s="653"/>
      <c r="X110" s="653"/>
      <c r="Y110" s="653" t="str">
        <f>IF($N46="","",VLOOKUP($N46,Reinforcements[],COLUMN(Reinforcements[[#Headers],[Top Connection Length + Edge Dist (in)]])-1,FALSE))</f>
        <v/>
      </c>
      <c r="Z110" s="653"/>
      <c r="AA110" s="653"/>
      <c r="AB110" s="654" t="str">
        <f>IF($N46="","",VLOOKUP($N46,Reinforcements[],COLUMN(Reinforcements[[#Headers],[Lu (in)]])-1,FALSE))</f>
        <v/>
      </c>
      <c r="AC110" s="654"/>
      <c r="AD110" s="654" t="str">
        <f>IF($N46="","",VLOOKUP($N46,Reinforcements[],COLUMN(Reinforcements[[#Headers],[Net Area (in2)]])-1,FALSE))</f>
        <v/>
      </c>
      <c r="AE110" s="654"/>
      <c r="AF110" s="651" t="str">
        <f>IF($N46="","",VLOOKUP($N46,Reinforcements[],IF(RIGHT($AF$84,4)="(in)",COLUMN(Reinforcements[[#Headers],[Bolt Hole Size (in)]])-1,COLUMN(Reinforcements[[#Headers],[Bolt Hole Size (mm)]])-1),FALSE))</f>
        <v/>
      </c>
      <c r="AG110" s="651"/>
      <c r="AH110" s="651"/>
      <c r="AI110" s="681" t="str">
        <f>IF($N46="","",VLOOKUP($N46,Reinforcements[],COLUMN(Reinforcements[[#Headers],[Material]])-1,FALSE))</f>
        <v/>
      </c>
      <c r="AJ110" s="681"/>
      <c r="AK110" s="681"/>
      <c r="AL110" s="681"/>
      <c r="AM110" s="34"/>
      <c r="AN110" s="34"/>
      <c r="AO110" s="34"/>
    </row>
    <row r="111" spans="2:41" ht="14.45" hidden="1" customHeight="1" x14ac:dyDescent="0.25">
      <c r="B111" s="13">
        <v>27</v>
      </c>
      <c r="C111" s="652" t="str">
        <f>IF($N47="","",VLOOKUP($N47,Reinforcements[],COLUMN(Reinforcements[[#Headers],[B (in)]])-1,FALSE))</f>
        <v/>
      </c>
      <c r="D111" s="652"/>
      <c r="E111" s="652" t="str">
        <f>IF($N47="","",VLOOKUP($N47,Reinforcements[],COLUMN(Reinforcements[[#Headers],[H (in)]])-1,FALSE))</f>
        <v/>
      </c>
      <c r="F111" s="652"/>
      <c r="G111" s="652" t="str">
        <f>IF($N47="","",VLOOKUP($N47,Reinforcements[],COLUMN(Reinforcements[[#Headers],[Gross Area (in2)]])-1,FALSE))</f>
        <v/>
      </c>
      <c r="H111" s="652"/>
      <c r="I111" s="652" t="str">
        <f>IF($N47="","",VLOOKUP($N47,Reinforcements[],COLUMN(Reinforcements[[#Headers],[Pole Face to Centroid (in)]])-1,FALSE))</f>
        <v/>
      </c>
      <c r="J111" s="652"/>
      <c r="K111" s="652"/>
      <c r="L111" s="652" t="str">
        <f>IF($N47="","",IF(VLOOKUP($N47,Reinforcements[],COLUMN(Reinforcements[[#Headers],[Bottom End Connection Type]])-1,FALSE)&lt;&gt;"Bolted",VLOOKUP($N47,Reinforcements[],COLUMN(Reinforcements[[#Headers],[Bottom End Connection Type]])-1,FALSE),VLOOKUP($N47,Reinforcements[],COLUMN(Reinforcements[[#Headers],[Bottom End Connection Bolt Type]])-1,FALSE)))</f>
        <v/>
      </c>
      <c r="M111" s="652"/>
      <c r="N111" s="652"/>
      <c r="O111" s="652"/>
      <c r="P111" s="652"/>
      <c r="Q111" s="652" t="str">
        <f>IF($N47="","",VLOOKUP($N47,Reinforcements[],COLUMN(Reinforcements[[#Headers],[Bottom Connection Length + Edge Dist (in)]])-1,FALSE))</f>
        <v/>
      </c>
      <c r="R111" s="652"/>
      <c r="S111" s="652"/>
      <c r="T111" s="653" t="str">
        <f>IF($N47="","",IF(VLOOKUP($N47,Reinforcements[],COLUMN(Reinforcements[[#Headers],[Top End Connection Type]])-1,FALSE)&lt;&gt;"Bolted",VLOOKUP($N47,Reinforcements[],COLUMN(Reinforcements[[#Headers],[Top End Connection Type]])-1,FALSE),VLOOKUP($N47,Reinforcements[],COLUMN(Reinforcements[[#Headers],[Top End Connection Bolt Type]])-1,FALSE)))</f>
        <v/>
      </c>
      <c r="U111" s="653"/>
      <c r="V111" s="653"/>
      <c r="W111" s="653"/>
      <c r="X111" s="653"/>
      <c r="Y111" s="653" t="str">
        <f>IF($N47="","",VLOOKUP($N47,Reinforcements[],COLUMN(Reinforcements[[#Headers],[Top Connection Length + Edge Dist (in)]])-1,FALSE))</f>
        <v/>
      </c>
      <c r="Z111" s="653"/>
      <c r="AA111" s="653"/>
      <c r="AB111" s="654" t="str">
        <f>IF($N47="","",VLOOKUP($N47,Reinforcements[],COLUMN(Reinforcements[[#Headers],[Lu (in)]])-1,FALSE))</f>
        <v/>
      </c>
      <c r="AC111" s="654"/>
      <c r="AD111" s="654" t="str">
        <f>IF($N47="","",VLOOKUP($N47,Reinforcements[],COLUMN(Reinforcements[[#Headers],[Net Area (in2)]])-1,FALSE))</f>
        <v/>
      </c>
      <c r="AE111" s="654"/>
      <c r="AF111" s="651" t="str">
        <f>IF($N47="","",VLOOKUP($N47,Reinforcements[],IF(RIGHT($AF$84,4)="(in)",COLUMN(Reinforcements[[#Headers],[Bolt Hole Size (in)]])-1,COLUMN(Reinforcements[[#Headers],[Bolt Hole Size (mm)]])-1),FALSE))</f>
        <v/>
      </c>
      <c r="AG111" s="651"/>
      <c r="AH111" s="651"/>
      <c r="AI111" s="681" t="str">
        <f>IF($N47="","",VLOOKUP($N47,Reinforcements[],COLUMN(Reinforcements[[#Headers],[Material]])-1,FALSE))</f>
        <v/>
      </c>
      <c r="AJ111" s="681"/>
      <c r="AK111" s="681"/>
      <c r="AL111" s="681"/>
      <c r="AM111" s="34"/>
      <c r="AN111" s="34"/>
      <c r="AO111" s="34"/>
    </row>
    <row r="112" spans="2:41" ht="14.45" hidden="1" customHeight="1" x14ac:dyDescent="0.25">
      <c r="B112" s="13">
        <v>28</v>
      </c>
      <c r="C112" s="652" t="str">
        <f>IF($N48="","",VLOOKUP($N48,Reinforcements[],COLUMN(Reinforcements[[#Headers],[B (in)]])-1,FALSE))</f>
        <v/>
      </c>
      <c r="D112" s="652"/>
      <c r="E112" s="652" t="str">
        <f>IF($N48="","",VLOOKUP($N48,Reinforcements[],COLUMN(Reinforcements[[#Headers],[H (in)]])-1,FALSE))</f>
        <v/>
      </c>
      <c r="F112" s="652"/>
      <c r="G112" s="652" t="str">
        <f>IF($N48="","",VLOOKUP($N48,Reinforcements[],COLUMN(Reinforcements[[#Headers],[Gross Area (in2)]])-1,FALSE))</f>
        <v/>
      </c>
      <c r="H112" s="652"/>
      <c r="I112" s="652" t="str">
        <f>IF($N48="","",VLOOKUP($N48,Reinforcements[],COLUMN(Reinforcements[[#Headers],[Pole Face to Centroid (in)]])-1,FALSE))</f>
        <v/>
      </c>
      <c r="J112" s="652"/>
      <c r="K112" s="652"/>
      <c r="L112" s="652" t="str">
        <f>IF($N48="","",IF(VLOOKUP($N48,Reinforcements[],COLUMN(Reinforcements[[#Headers],[Bottom End Connection Type]])-1,FALSE)&lt;&gt;"Bolted",VLOOKUP($N48,Reinforcements[],COLUMN(Reinforcements[[#Headers],[Bottom End Connection Type]])-1,FALSE),VLOOKUP($N48,Reinforcements[],COLUMN(Reinforcements[[#Headers],[Bottom End Connection Bolt Type]])-1,FALSE)))</f>
        <v/>
      </c>
      <c r="M112" s="652"/>
      <c r="N112" s="652"/>
      <c r="O112" s="652"/>
      <c r="P112" s="652"/>
      <c r="Q112" s="652" t="str">
        <f>IF($N48="","",VLOOKUP($N48,Reinforcements[],COLUMN(Reinforcements[[#Headers],[Bottom Connection Length + Edge Dist (in)]])-1,FALSE))</f>
        <v/>
      </c>
      <c r="R112" s="652"/>
      <c r="S112" s="652"/>
      <c r="T112" s="653" t="str">
        <f>IF($N48="","",IF(VLOOKUP($N48,Reinforcements[],COLUMN(Reinforcements[[#Headers],[Top End Connection Type]])-1,FALSE)&lt;&gt;"Bolted",VLOOKUP($N48,Reinforcements[],COLUMN(Reinforcements[[#Headers],[Top End Connection Type]])-1,FALSE),VLOOKUP($N48,Reinforcements[],COLUMN(Reinforcements[[#Headers],[Top End Connection Bolt Type]])-1,FALSE)))</f>
        <v/>
      </c>
      <c r="U112" s="653"/>
      <c r="V112" s="653"/>
      <c r="W112" s="653"/>
      <c r="X112" s="653"/>
      <c r="Y112" s="653" t="str">
        <f>IF($N48="","",VLOOKUP($N48,Reinforcements[],COLUMN(Reinforcements[[#Headers],[Top Connection Length + Edge Dist (in)]])-1,FALSE))</f>
        <v/>
      </c>
      <c r="Z112" s="653"/>
      <c r="AA112" s="653"/>
      <c r="AB112" s="654" t="str">
        <f>IF($N48="","",VLOOKUP($N48,Reinforcements[],COLUMN(Reinforcements[[#Headers],[Lu (in)]])-1,FALSE))</f>
        <v/>
      </c>
      <c r="AC112" s="654"/>
      <c r="AD112" s="654" t="str">
        <f>IF($N48="","",VLOOKUP($N48,Reinforcements[],COLUMN(Reinforcements[[#Headers],[Net Area (in2)]])-1,FALSE))</f>
        <v/>
      </c>
      <c r="AE112" s="654"/>
      <c r="AF112" s="651" t="str">
        <f>IF($N48="","",VLOOKUP($N48,Reinforcements[],IF(RIGHT($AF$84,4)="(in)",COLUMN(Reinforcements[[#Headers],[Bolt Hole Size (in)]])-1,COLUMN(Reinforcements[[#Headers],[Bolt Hole Size (mm)]])-1),FALSE))</f>
        <v/>
      </c>
      <c r="AG112" s="651"/>
      <c r="AH112" s="651"/>
      <c r="AI112" s="681" t="str">
        <f>IF($N48="","",VLOOKUP($N48,Reinforcements[],COLUMN(Reinforcements[[#Headers],[Material]])-1,FALSE))</f>
        <v/>
      </c>
      <c r="AJ112" s="681"/>
      <c r="AK112" s="681"/>
      <c r="AL112" s="681"/>
      <c r="AM112" s="34"/>
      <c r="AN112" s="34"/>
      <c r="AO112" s="34"/>
    </row>
    <row r="113" spans="2:41" ht="14.45" hidden="1" customHeight="1" x14ac:dyDescent="0.25">
      <c r="B113" s="13">
        <v>29</v>
      </c>
      <c r="C113" s="652" t="str">
        <f>IF($N49="","",VLOOKUP($N49,Reinforcements[],COLUMN(Reinforcements[[#Headers],[B (in)]])-1,FALSE))</f>
        <v/>
      </c>
      <c r="D113" s="652"/>
      <c r="E113" s="652" t="str">
        <f>IF($N49="","",VLOOKUP($N49,Reinforcements[],COLUMN(Reinforcements[[#Headers],[H (in)]])-1,FALSE))</f>
        <v/>
      </c>
      <c r="F113" s="652"/>
      <c r="G113" s="652" t="str">
        <f>IF($N49="","",VLOOKUP($N49,Reinforcements[],COLUMN(Reinforcements[[#Headers],[Gross Area (in2)]])-1,FALSE))</f>
        <v/>
      </c>
      <c r="H113" s="652"/>
      <c r="I113" s="652" t="str">
        <f>IF($N49="","",VLOOKUP($N49,Reinforcements[],COLUMN(Reinforcements[[#Headers],[Pole Face to Centroid (in)]])-1,FALSE))</f>
        <v/>
      </c>
      <c r="J113" s="652"/>
      <c r="K113" s="652"/>
      <c r="L113" s="652" t="str">
        <f>IF($N49="","",IF(VLOOKUP($N49,Reinforcements[],COLUMN(Reinforcements[[#Headers],[Bottom End Connection Type]])-1,FALSE)&lt;&gt;"Bolted",VLOOKUP($N49,Reinforcements[],COLUMN(Reinforcements[[#Headers],[Bottom End Connection Type]])-1,FALSE),VLOOKUP($N49,Reinforcements[],COLUMN(Reinforcements[[#Headers],[Bottom End Connection Bolt Type]])-1,FALSE)))</f>
        <v/>
      </c>
      <c r="M113" s="652"/>
      <c r="N113" s="652"/>
      <c r="O113" s="652"/>
      <c r="P113" s="652"/>
      <c r="Q113" s="652" t="str">
        <f>IF($N49="","",VLOOKUP($N49,Reinforcements[],COLUMN(Reinforcements[[#Headers],[Bottom Connection Length + Edge Dist (in)]])-1,FALSE))</f>
        <v/>
      </c>
      <c r="R113" s="652"/>
      <c r="S113" s="652"/>
      <c r="T113" s="653" t="str">
        <f>IF($N49="","",IF(VLOOKUP($N49,Reinforcements[],COLUMN(Reinforcements[[#Headers],[Top End Connection Type]])-1,FALSE)&lt;&gt;"Bolted",VLOOKUP($N49,Reinforcements[],COLUMN(Reinforcements[[#Headers],[Top End Connection Type]])-1,FALSE),VLOOKUP($N49,Reinforcements[],COLUMN(Reinforcements[[#Headers],[Top End Connection Bolt Type]])-1,FALSE)))</f>
        <v/>
      </c>
      <c r="U113" s="653"/>
      <c r="V113" s="653"/>
      <c r="W113" s="653"/>
      <c r="X113" s="653"/>
      <c r="Y113" s="653" t="str">
        <f>IF($N49="","",VLOOKUP($N49,Reinforcements[],COLUMN(Reinforcements[[#Headers],[Top Connection Length + Edge Dist (in)]])-1,FALSE))</f>
        <v/>
      </c>
      <c r="Z113" s="653"/>
      <c r="AA113" s="653"/>
      <c r="AB113" s="654" t="str">
        <f>IF($N49="","",VLOOKUP($N49,Reinforcements[],COLUMN(Reinforcements[[#Headers],[Lu (in)]])-1,FALSE))</f>
        <v/>
      </c>
      <c r="AC113" s="654"/>
      <c r="AD113" s="654" t="str">
        <f>IF($N49="","",VLOOKUP($N49,Reinforcements[],COLUMN(Reinforcements[[#Headers],[Net Area (in2)]])-1,FALSE))</f>
        <v/>
      </c>
      <c r="AE113" s="654"/>
      <c r="AF113" s="651" t="str">
        <f>IF($N49="","",VLOOKUP($N49,Reinforcements[],IF(RIGHT($AF$84,4)="(in)",COLUMN(Reinforcements[[#Headers],[Bolt Hole Size (in)]])-1,COLUMN(Reinforcements[[#Headers],[Bolt Hole Size (mm)]])-1),FALSE))</f>
        <v/>
      </c>
      <c r="AG113" s="651"/>
      <c r="AH113" s="651"/>
      <c r="AI113" s="681" t="str">
        <f>IF($N49="","",VLOOKUP($N49,Reinforcements[],COLUMN(Reinforcements[[#Headers],[Material]])-1,FALSE))</f>
        <v/>
      </c>
      <c r="AJ113" s="681"/>
      <c r="AK113" s="681"/>
      <c r="AL113" s="681"/>
      <c r="AM113" s="34"/>
      <c r="AN113" s="34"/>
      <c r="AO113" s="34"/>
    </row>
    <row r="114" spans="2:41" ht="14.45" hidden="1" customHeight="1" x14ac:dyDescent="0.25">
      <c r="B114" s="13">
        <v>30</v>
      </c>
      <c r="C114" s="652" t="str">
        <f>IF($N50="","",VLOOKUP($N50,Reinforcements[],COLUMN(Reinforcements[[#Headers],[B (in)]])-1,FALSE))</f>
        <v/>
      </c>
      <c r="D114" s="652"/>
      <c r="E114" s="652" t="str">
        <f>IF($N50="","",VLOOKUP($N50,Reinforcements[],COLUMN(Reinforcements[[#Headers],[H (in)]])-1,FALSE))</f>
        <v/>
      </c>
      <c r="F114" s="652"/>
      <c r="G114" s="652" t="str">
        <f>IF($N50="","",VLOOKUP($N50,Reinforcements[],COLUMN(Reinforcements[[#Headers],[Gross Area (in2)]])-1,FALSE))</f>
        <v/>
      </c>
      <c r="H114" s="652"/>
      <c r="I114" s="652" t="str">
        <f>IF($N50="","",VLOOKUP($N50,Reinforcements[],COLUMN(Reinforcements[[#Headers],[Pole Face to Centroid (in)]])-1,FALSE))</f>
        <v/>
      </c>
      <c r="J114" s="652"/>
      <c r="K114" s="652"/>
      <c r="L114" s="652" t="str">
        <f>IF($N50="","",IF(VLOOKUP($N50,Reinforcements[],COLUMN(Reinforcements[[#Headers],[Bottom End Connection Type]])-1,FALSE)&lt;&gt;"Bolted",VLOOKUP($N50,Reinforcements[],COLUMN(Reinforcements[[#Headers],[Bottom End Connection Type]])-1,FALSE),VLOOKUP($N50,Reinforcements[],COLUMN(Reinforcements[[#Headers],[Bottom End Connection Bolt Type]])-1,FALSE)))</f>
        <v/>
      </c>
      <c r="M114" s="652"/>
      <c r="N114" s="652"/>
      <c r="O114" s="652"/>
      <c r="P114" s="652"/>
      <c r="Q114" s="652" t="str">
        <f>IF($N50="","",VLOOKUP($N50,Reinforcements[],COLUMN(Reinforcements[[#Headers],[Bottom Connection Length + Edge Dist (in)]])-1,FALSE))</f>
        <v/>
      </c>
      <c r="R114" s="652"/>
      <c r="S114" s="652"/>
      <c r="T114" s="653" t="str">
        <f>IF($N50="","",IF(VLOOKUP($N50,Reinforcements[],COLUMN(Reinforcements[[#Headers],[Top End Connection Type]])-1,FALSE)&lt;&gt;"Bolted",VLOOKUP($N50,Reinforcements[],COLUMN(Reinforcements[[#Headers],[Top End Connection Type]])-1,FALSE),VLOOKUP($N50,Reinforcements[],COLUMN(Reinforcements[[#Headers],[Top End Connection Bolt Type]])-1,FALSE)))</f>
        <v/>
      </c>
      <c r="U114" s="653"/>
      <c r="V114" s="653"/>
      <c r="W114" s="653"/>
      <c r="X114" s="653"/>
      <c r="Y114" s="653" t="str">
        <f>IF($N50="","",VLOOKUP($N50,Reinforcements[],COLUMN(Reinforcements[[#Headers],[Top Connection Length + Edge Dist (in)]])-1,FALSE))</f>
        <v/>
      </c>
      <c r="Z114" s="653"/>
      <c r="AA114" s="653"/>
      <c r="AB114" s="654" t="str">
        <f>IF($N50="","",VLOOKUP($N50,Reinforcements[],COLUMN(Reinforcements[[#Headers],[Lu (in)]])-1,FALSE))</f>
        <v/>
      </c>
      <c r="AC114" s="654"/>
      <c r="AD114" s="654" t="str">
        <f>IF($N50="","",VLOOKUP($N50,Reinforcements[],COLUMN(Reinforcements[[#Headers],[Net Area (in2)]])-1,FALSE))</f>
        <v/>
      </c>
      <c r="AE114" s="654"/>
      <c r="AF114" s="651" t="str">
        <f>IF($N50="","",VLOOKUP($N50,Reinforcements[],IF(RIGHT($AF$84,4)="(in)",COLUMN(Reinforcements[[#Headers],[Bolt Hole Size (in)]])-1,COLUMN(Reinforcements[[#Headers],[Bolt Hole Size (mm)]])-1),FALSE))</f>
        <v/>
      </c>
      <c r="AG114" s="651"/>
      <c r="AH114" s="651"/>
      <c r="AI114" s="681" t="str">
        <f>IF($N50="","",VLOOKUP($N50,Reinforcements[],COLUMN(Reinforcements[[#Headers],[Material]])-1,FALSE))</f>
        <v/>
      </c>
      <c r="AJ114" s="681"/>
      <c r="AK114" s="681"/>
      <c r="AL114" s="681"/>
      <c r="AM114" s="34"/>
      <c r="AN114" s="34"/>
      <c r="AO114" s="34"/>
    </row>
    <row r="115" spans="2:41" ht="15.75" x14ac:dyDescent="0.25">
      <c r="B115" s="14"/>
      <c r="C115" s="702" t="s">
        <v>163</v>
      </c>
      <c r="D115" s="703"/>
      <c r="E115" s="703"/>
      <c r="F115" s="703"/>
      <c r="G115" s="703"/>
      <c r="H115" s="703"/>
      <c r="I115" s="703"/>
      <c r="J115" s="703"/>
      <c r="K115" s="703"/>
      <c r="L115" s="703"/>
      <c r="M115" s="703"/>
      <c r="N115" s="703"/>
      <c r="O115" s="703"/>
      <c r="P115" s="703"/>
      <c r="Q115" s="703"/>
      <c r="R115" s="703"/>
      <c r="S115" s="703"/>
      <c r="T115" s="703"/>
      <c r="U115" s="703"/>
      <c r="V115" s="703"/>
      <c r="W115" s="703"/>
      <c r="X115" s="703"/>
      <c r="Y115" s="703"/>
      <c r="Z115" s="703"/>
      <c r="AA115" s="703"/>
      <c r="AB115" s="703"/>
      <c r="AC115" s="703"/>
      <c r="AD115" s="703"/>
      <c r="AE115" s="703"/>
      <c r="AF115" s="703"/>
      <c r="AG115" s="703"/>
      <c r="AH115" s="703"/>
      <c r="AI115" s="703"/>
      <c r="AJ115" s="703"/>
      <c r="AK115" s="703"/>
      <c r="AL115" s="704"/>
      <c r="AM115" s="34"/>
      <c r="AN115" s="34"/>
      <c r="AO115" s="34"/>
    </row>
    <row r="116" spans="2:41" ht="24.75" hidden="1" customHeight="1" x14ac:dyDescent="0.2"/>
    <row r="117" spans="2:41" ht="18" hidden="1" x14ac:dyDescent="0.2">
      <c r="B117" s="27" t="s">
        <v>991</v>
      </c>
    </row>
    <row r="118" spans="2:41" ht="42" hidden="1" customHeight="1" x14ac:dyDescent="0.2">
      <c r="B118" s="650" t="s">
        <v>112</v>
      </c>
      <c r="C118" s="650"/>
      <c r="D118" s="650"/>
      <c r="E118" s="650"/>
      <c r="F118" s="649" t="s">
        <v>994</v>
      </c>
      <c r="G118" s="649"/>
      <c r="H118" s="649" t="s">
        <v>992</v>
      </c>
      <c r="I118" s="649"/>
      <c r="J118" s="649" t="s">
        <v>993</v>
      </c>
      <c r="K118" s="649"/>
      <c r="L118" s="649" t="s">
        <v>997</v>
      </c>
      <c r="M118" s="649"/>
      <c r="N118" s="649" t="s">
        <v>996</v>
      </c>
      <c r="O118" s="649"/>
      <c r="P118" s="643" t="s">
        <v>998</v>
      </c>
      <c r="Q118" s="648"/>
      <c r="R118" s="643" t="s">
        <v>995</v>
      </c>
      <c r="S118" s="644"/>
      <c r="T118" s="644"/>
      <c r="U118" s="643" t="s">
        <v>1005</v>
      </c>
      <c r="V118" s="644"/>
      <c r="W118" s="648"/>
      <c r="X118" s="643" t="s">
        <v>1006</v>
      </c>
      <c r="Y118" s="644"/>
      <c r="Z118" s="648"/>
      <c r="AA118" s="643" t="s">
        <v>1007</v>
      </c>
      <c r="AB118" s="644"/>
      <c r="AC118" s="648"/>
      <c r="AD118" s="643" t="s">
        <v>999</v>
      </c>
      <c r="AE118" s="644"/>
      <c r="AF118" s="643" t="s">
        <v>1000</v>
      </c>
      <c r="AG118" s="644"/>
      <c r="AH118" s="648"/>
      <c r="AI118" s="643" t="s">
        <v>1001</v>
      </c>
      <c r="AJ118" s="644"/>
      <c r="AK118" s="645" t="str">
        <f>CONCATENATE("Rev ",Rev," Connection Capacity (kip)")</f>
        <v>Rev H Connection Capacity (kip)</v>
      </c>
      <c r="AL118" s="646"/>
      <c r="AM118" s="647"/>
      <c r="AN118" s="65"/>
    </row>
    <row r="119" spans="2:41" ht="12.75" hidden="1" customHeight="1" x14ac:dyDescent="0.2">
      <c r="B119" s="638" t="str">
        <f>IF('Reinforcements'!B61="","",'Reinforcements'!B61)</f>
        <v/>
      </c>
      <c r="C119" s="639"/>
      <c r="D119" s="639"/>
      <c r="E119" s="639"/>
      <c r="F119" s="642" t="str">
        <f>IF($B119="","","Top")</f>
        <v/>
      </c>
      <c r="G119" s="629"/>
      <c r="H119" s="629" t="str">
        <f>IF($B119="","",VLOOKUP($B119,Reinforcements[],COLUMN(Reinforcements[[#Headers],['# of End Connection Bolts          (Top)]])-1,FALSE))</f>
        <v/>
      </c>
      <c r="I119" s="629"/>
      <c r="J119" s="629" t="str">
        <f>IF($B119="","",VLOOKUP($B119,Reinforcements[],COLUMN(Reinforcements[[#Headers],[Threads Included (N) or Excluded (X) (Top)]])-1,FALSE))</f>
        <v/>
      </c>
      <c r="K119" s="629"/>
      <c r="L119" s="629" t="str">
        <f>IF($B119="","",VLOOKUP($B119,Reinforcements[],COLUMN(Reinforcements[[#Headers],[End Connection Bolt Spacing (in) (T)]])-1,FALSE))</f>
        <v/>
      </c>
      <c r="M119" s="629"/>
      <c r="N119" s="629" t="str">
        <f>IF($B119="","",VLOOKUP($B119,Reinforcements[],COLUMN(Reinforcements[[#Headers],[End Connection Edge Distance (in) (T)]])-1,FALSE))</f>
        <v/>
      </c>
      <c r="O119" s="629"/>
      <c r="P119" s="629" t="str">
        <f>IF($B119="","",VLOOKUP($B119,Reinforcements[],COLUMN(Reinforcements[[#Headers],[Top Weld Grade (ksi)]])-1,FALSE))</f>
        <v/>
      </c>
      <c r="Q119" s="629"/>
      <c r="R119" s="629" t="str">
        <f>IF($B119="","",VLOOKUP($B119,Reinforcements[],COLUMN(Reinforcements[[#Headers],[Top Transverse (Horizontal) Weld]])-1,FALSE))</f>
        <v/>
      </c>
      <c r="S119" s="629"/>
      <c r="T119" s="629"/>
      <c r="U119" s="629" t="str">
        <f>IF($B119="","",VLOOKUP($B119,Reinforcements[],COLUMN(Reinforcements[[#Headers],[Top Transverse Weld Length]])-1,FALSE))</f>
        <v/>
      </c>
      <c r="V119" s="629"/>
      <c r="W119" s="629"/>
      <c r="X119" s="629" t="str">
        <f>IF($B119="","",VLOOKUP($B119,Reinforcements[],COLUMN(Reinforcements[[#Headers],[Top Transverse Weld Groove Depth (in)]])-1,FALSE))</f>
        <v/>
      </c>
      <c r="Y119" s="629"/>
      <c r="Z119" s="629"/>
      <c r="AA119" s="629" t="str">
        <f>IF($B119="","",VLOOKUP($B119,Reinforcements[],COLUMN(Reinforcements[[#Headers],[Top Transverse Weld Groove Angle (degrees)]])-1,FALSE))</f>
        <v/>
      </c>
      <c r="AB119" s="629"/>
      <c r="AC119" s="629"/>
      <c r="AD119" s="629" t="str">
        <f>IF($B119="","",VLOOKUP($B119,Reinforcements[],COLUMN(Reinforcements[[#Headers],[Top Transverse Weld Fillet Size (in)]])-1,FALSE))</f>
        <v/>
      </c>
      <c r="AE119" s="629"/>
      <c r="AF119" s="629" t="str">
        <f>IF($B119="","",VLOOKUP($B119,Reinforcements[],COLUMN(Reinforcements[[#Headers],[Top Longitudinal Weld Length]])-1,FALSE))</f>
        <v/>
      </c>
      <c r="AG119" s="629"/>
      <c r="AH119" s="629"/>
      <c r="AI119" s="630" t="str">
        <f>IF($B119="","",VLOOKUP($B119,Reinforcements[],COLUMN(Reinforcements[[#Headers],[Top Longitudinal Weld Fillet Size (in)]])-1,FALSE))</f>
        <v/>
      </c>
      <c r="AJ119" s="630"/>
      <c r="AK119" s="631" t="str">
        <f>IF($B119="","",IF(Rev="F",(VLOOKUP($B119,Reinforcements[],COLUMN(Reinforcements[[#Headers],[Rev. F Top Connection Capacity (kips)]])-1,FALSE)),(IF(Rev="G",(VLOOKUP($B119,Reinforcements[],COLUMN(Reinforcements[[#Headers],[Rev. G Top Connection Capacity (kips)]])-1,FALSE)),(VLOOKUP($B119,Reinforcements[],COLUMN(Reinforcements[[#Headers],[Rev. H Top Connection Capacity (kips)]])-1,FALSE))))))</f>
        <v/>
      </c>
      <c r="AL119" s="631"/>
      <c r="AM119" s="632"/>
      <c r="AN119" s="65"/>
    </row>
    <row r="120" spans="2:41" ht="12.75" hidden="1" customHeight="1" x14ac:dyDescent="0.2">
      <c r="B120" s="640"/>
      <c r="C120" s="641"/>
      <c r="D120" s="641"/>
      <c r="E120" s="641"/>
      <c r="F120" s="633" t="str">
        <f>IF($B119="","","Bottom")</f>
        <v/>
      </c>
      <c r="G120" s="634"/>
      <c r="H120" s="634" t="str">
        <f>IF($B119="","",VLOOKUP($B119,Reinforcements[],COLUMN(Reinforcements[[#Headers],['# of End Connection Bolts          (Bottom)]])-1,FALSE))</f>
        <v/>
      </c>
      <c r="I120" s="634"/>
      <c r="J120" s="634" t="str">
        <f>IF($B119="","",VLOOKUP($B119,Reinforcements[],COLUMN(Reinforcements[[#Headers],[Threads Included (N) or Excluded (X) (Bottom)]])-1,FALSE))</f>
        <v/>
      </c>
      <c r="K120" s="634"/>
      <c r="L120" s="634" t="str">
        <f>IF($B119="","",VLOOKUP($B119,Reinforcements[],COLUMN(Reinforcements[[#Headers],[End Connection Bolt Spacing (in) (B)]])-1,FALSE))</f>
        <v/>
      </c>
      <c r="M120" s="634"/>
      <c r="N120" s="634" t="str">
        <f>IF($B119="","",VLOOKUP($B119,Reinforcements[],COLUMN(Reinforcements[[#Headers],[End Connection Edge Distance (in) (B)]])-1,FALSE))</f>
        <v/>
      </c>
      <c r="O120" s="634"/>
      <c r="P120" s="634" t="str">
        <f>IF($B119="","",VLOOKUP($B119,Reinforcements[],COLUMN(Reinforcements[[#Headers],[Bottom Weld Grade (ksi)]])-1,FALSE))</f>
        <v/>
      </c>
      <c r="Q120" s="634"/>
      <c r="R120" s="634" t="str">
        <f>IF($B119="","",VLOOKUP($B119,Reinforcements[],COLUMN(Reinforcements[[#Headers],[Bottom Transverse (Horizontal) Weld]])-1,FALSE))</f>
        <v/>
      </c>
      <c r="S120" s="634"/>
      <c r="T120" s="634"/>
      <c r="U120" s="634" t="str">
        <f>IF($B119="","",VLOOKUP($B119,Reinforcements[],COLUMN(Reinforcements[[#Headers],[Bottom Transverse Weld Length]])-1,FALSE))</f>
        <v/>
      </c>
      <c r="V120" s="634"/>
      <c r="W120" s="634"/>
      <c r="X120" s="634" t="str">
        <f>IF($B119="","",VLOOKUP($B119,Reinforcements[],COLUMN(Reinforcements[[#Headers],[Bottom Transverse Weld Groove Depth (in)]])-1,FALSE))</f>
        <v/>
      </c>
      <c r="Y120" s="634"/>
      <c r="Z120" s="634"/>
      <c r="AA120" s="634" t="str">
        <f>IF($B119="","",VLOOKUP($B119,Reinforcements[],COLUMN(Reinforcements[[#Headers],[Bottom Transverse Weld Groove Angle (degrees)]])-1,FALSE))</f>
        <v/>
      </c>
      <c r="AB120" s="634"/>
      <c r="AC120" s="634"/>
      <c r="AD120" s="634" t="str">
        <f>IF($B119="","",VLOOKUP($B119,Reinforcements[],COLUMN(Reinforcements[[#Headers],[Bottom Transverse Weld Fillet Size (in)]])-1,FALSE))</f>
        <v/>
      </c>
      <c r="AE120" s="634"/>
      <c r="AF120" s="634" t="str">
        <f>IF($B119="","",VLOOKUP($B119,Reinforcements[],COLUMN(Reinforcements[[#Headers],[Bottom Longitudinal Weld Length]])-1,FALSE))</f>
        <v/>
      </c>
      <c r="AG120" s="634"/>
      <c r="AH120" s="634"/>
      <c r="AI120" s="635" t="str">
        <f>IF($B119="","",VLOOKUP($B119,Reinforcements[],COLUMN(Reinforcements[[#Headers],[Bottom Longitudinal Weld Fillet Size (in)]])-1,FALSE))</f>
        <v/>
      </c>
      <c r="AJ120" s="635"/>
      <c r="AK120" s="636" t="str">
        <f>IF($B119="","",IF(Rev="F",(VLOOKUP($B119,Reinforcements[],COLUMN(Reinforcements[[#Headers],[Rev. F Bottom Connection Capacity (kips)]])-1,FALSE)),(IF(Rev="G",(VLOOKUP($B119,Reinforcements[],COLUMN(Reinforcements[[#Headers],[Rev. G Bottom Connection Capacity (kips)]])-1,FALSE)),(VLOOKUP($B119,Reinforcements[],COLUMN(Reinforcements[[#Headers],[Rev. H Bottom Connection Capacity (kips)]])-1,FALSE))))))</f>
        <v/>
      </c>
      <c r="AL120" s="636"/>
      <c r="AM120" s="637"/>
      <c r="AN120" s="65"/>
    </row>
    <row r="121" spans="2:41" ht="12.75" hidden="1" customHeight="1" x14ac:dyDescent="0.2">
      <c r="B121" s="638" t="str">
        <f>IF('Reinforcements'!B62="","",'Reinforcements'!B62)</f>
        <v/>
      </c>
      <c r="C121" s="639"/>
      <c r="D121" s="639"/>
      <c r="E121" s="639"/>
      <c r="F121" s="642" t="str">
        <f>IF($B121="","","Top")</f>
        <v/>
      </c>
      <c r="G121" s="629"/>
      <c r="H121" s="629" t="str">
        <f>IF($B121="","",VLOOKUP($B121,Reinforcements[],COLUMN(Reinforcements[[#Headers],['# of End Connection Bolts          (Top)]])-1,FALSE))</f>
        <v/>
      </c>
      <c r="I121" s="629"/>
      <c r="J121" s="629" t="str">
        <f>IF($B121="","",VLOOKUP($B121,Reinforcements[],COLUMN(Reinforcements[[#Headers],[Threads Included (N) or Excluded (X) (Top)]])-1,FALSE))</f>
        <v/>
      </c>
      <c r="K121" s="629"/>
      <c r="L121" s="629" t="str">
        <f>IF($B121="","",VLOOKUP($B121,Reinforcements[],COLUMN(Reinforcements[[#Headers],[End Connection Bolt Spacing (in) (T)]])-1,FALSE))</f>
        <v/>
      </c>
      <c r="M121" s="629"/>
      <c r="N121" s="629" t="str">
        <f>IF($B121="","",VLOOKUP($B121,Reinforcements[],COLUMN(Reinforcements[[#Headers],[End Connection Edge Distance (in) (T)]])-1,FALSE))</f>
        <v/>
      </c>
      <c r="O121" s="629"/>
      <c r="P121" s="629" t="str">
        <f>IF($B121="","",VLOOKUP($B121,Reinforcements[],COLUMN(Reinforcements[[#Headers],[Top Weld Grade (ksi)]])-1,FALSE))</f>
        <v/>
      </c>
      <c r="Q121" s="629"/>
      <c r="R121" s="629" t="str">
        <f>IF($B121="","",VLOOKUP($B121,Reinforcements[],COLUMN(Reinforcements[[#Headers],[Top Transverse (Horizontal) Weld]])-1,FALSE))</f>
        <v/>
      </c>
      <c r="S121" s="629"/>
      <c r="T121" s="629"/>
      <c r="U121" s="629" t="str">
        <f>IF($B121="","",VLOOKUP($B121,Reinforcements[],COLUMN(Reinforcements[[#Headers],[Top Transverse Weld Length]])-1,FALSE))</f>
        <v/>
      </c>
      <c r="V121" s="629"/>
      <c r="W121" s="629"/>
      <c r="X121" s="629" t="str">
        <f>IF($B121="","",VLOOKUP($B121,Reinforcements[],COLUMN(Reinforcements[[#Headers],[Top Transverse Weld Groove Depth (in)]])-1,FALSE))</f>
        <v/>
      </c>
      <c r="Y121" s="629"/>
      <c r="Z121" s="629"/>
      <c r="AA121" s="629" t="str">
        <f>IF($B121="","",VLOOKUP($B121,Reinforcements[],COLUMN(Reinforcements[[#Headers],[Top Transverse Weld Groove Angle (degrees)]])-1,FALSE))</f>
        <v/>
      </c>
      <c r="AB121" s="629"/>
      <c r="AC121" s="629"/>
      <c r="AD121" s="629" t="str">
        <f>IF($B121="","",VLOOKUP($B121,Reinforcements[],COLUMN(Reinforcements[[#Headers],[Top Transverse Weld Fillet Size (in)]])-1,FALSE))</f>
        <v/>
      </c>
      <c r="AE121" s="629"/>
      <c r="AF121" s="629" t="str">
        <f>IF($B121="","",VLOOKUP($B121,Reinforcements[],COLUMN(Reinforcements[[#Headers],[Top Longitudinal Weld Length]])-1,FALSE))</f>
        <v/>
      </c>
      <c r="AG121" s="629"/>
      <c r="AH121" s="629"/>
      <c r="AI121" s="630" t="str">
        <f>IF($B121="","",VLOOKUP($B121,Reinforcements[],COLUMN(Reinforcements[[#Headers],[Top Longitudinal Weld Fillet Size (in)]])-1,FALSE))</f>
        <v/>
      </c>
      <c r="AJ121" s="630"/>
      <c r="AK121" s="631" t="str">
        <f>IF($B121="","",IF(Rev="F",(VLOOKUP($B121,Reinforcements[],COLUMN(Reinforcements[[#Headers],[Rev. F Top Connection Capacity (kips)]])-1,FALSE)),(IF(Rev="G",(VLOOKUP($B121,Reinforcements[],COLUMN(Reinforcements[[#Headers],[Rev. G Top Connection Capacity (kips)]])-1,FALSE)),(VLOOKUP($B121,Reinforcements[],COLUMN(Reinforcements[[#Headers],[Rev. H Top Connection Capacity (kips)]])-1,FALSE))))))</f>
        <v/>
      </c>
      <c r="AL121" s="631"/>
      <c r="AM121" s="632"/>
    </row>
    <row r="122" spans="2:41" ht="12.75" hidden="1" customHeight="1" x14ac:dyDescent="0.2">
      <c r="B122" s="640"/>
      <c r="C122" s="641"/>
      <c r="D122" s="641"/>
      <c r="E122" s="641"/>
      <c r="F122" s="633" t="str">
        <f>IF($B121="","","Bottom")</f>
        <v/>
      </c>
      <c r="G122" s="634"/>
      <c r="H122" s="634" t="str">
        <f>IF($B121="","",VLOOKUP($B121,Reinforcements[],COLUMN(Reinforcements[[#Headers],['# of End Connection Bolts          (Bottom)]])-1,FALSE))</f>
        <v/>
      </c>
      <c r="I122" s="634"/>
      <c r="J122" s="634" t="str">
        <f>IF($B121="","",VLOOKUP($B121,Reinforcements[],COLUMN(Reinforcements[[#Headers],[Threads Included (N) or Excluded (X) (Bottom)]])-1,FALSE))</f>
        <v/>
      </c>
      <c r="K122" s="634"/>
      <c r="L122" s="634" t="str">
        <f>IF($B121="","",VLOOKUP($B121,Reinforcements[],COLUMN(Reinforcements[[#Headers],[End Connection Bolt Spacing (in) (B)]])-1,FALSE))</f>
        <v/>
      </c>
      <c r="M122" s="634"/>
      <c r="N122" s="634" t="str">
        <f>IF($B121="","",VLOOKUP($B121,Reinforcements[],COLUMN(Reinforcements[[#Headers],[End Connection Edge Distance (in) (B)]])-1,FALSE))</f>
        <v/>
      </c>
      <c r="O122" s="634"/>
      <c r="P122" s="634" t="str">
        <f>IF($B121="","",VLOOKUP($B121,Reinforcements[],COLUMN(Reinforcements[[#Headers],[Bottom Weld Grade (ksi)]])-1,FALSE))</f>
        <v/>
      </c>
      <c r="Q122" s="634"/>
      <c r="R122" s="634" t="str">
        <f>IF($B121="","",VLOOKUP($B121,Reinforcements[],COLUMN(Reinforcements[[#Headers],[Bottom Transverse (Horizontal) Weld]])-1,FALSE))</f>
        <v/>
      </c>
      <c r="S122" s="634"/>
      <c r="T122" s="634"/>
      <c r="U122" s="634" t="str">
        <f>IF($B121="","",VLOOKUP($B121,Reinforcements[],COLUMN(Reinforcements[[#Headers],[Bottom Transverse Weld Length]])-1,FALSE))</f>
        <v/>
      </c>
      <c r="V122" s="634"/>
      <c r="W122" s="634"/>
      <c r="X122" s="634" t="str">
        <f>IF($B121="","",VLOOKUP($B121,Reinforcements[],COLUMN(Reinforcements[[#Headers],[Bottom Transverse Weld Groove Depth (in)]])-1,FALSE))</f>
        <v/>
      </c>
      <c r="Y122" s="634"/>
      <c r="Z122" s="634"/>
      <c r="AA122" s="634" t="str">
        <f>IF($B121="","",VLOOKUP($B121,Reinforcements[],COLUMN(Reinforcements[[#Headers],[Bottom Transverse Weld Groove Angle (degrees)]])-1,FALSE))</f>
        <v/>
      </c>
      <c r="AB122" s="634"/>
      <c r="AC122" s="634"/>
      <c r="AD122" s="634" t="str">
        <f>IF($B121="","",VLOOKUP($B121,Reinforcements[],COLUMN(Reinforcements[[#Headers],[Bottom Transverse Weld Fillet Size (in)]])-1,FALSE))</f>
        <v/>
      </c>
      <c r="AE122" s="634"/>
      <c r="AF122" s="634" t="str">
        <f>IF($B121="","",VLOOKUP($B121,Reinforcements[],COLUMN(Reinforcements[[#Headers],[Bottom Longitudinal Weld Length]])-1,FALSE))</f>
        <v/>
      </c>
      <c r="AG122" s="634"/>
      <c r="AH122" s="634"/>
      <c r="AI122" s="635" t="str">
        <f>IF($B121="","",VLOOKUP($B121,Reinforcements[],COLUMN(Reinforcements[[#Headers],[Bottom Longitudinal Weld Fillet Size (in)]])-1,FALSE))</f>
        <v/>
      </c>
      <c r="AJ122" s="635"/>
      <c r="AK122" s="636" t="str">
        <f>IF($B121="","",IF(Rev="F",(VLOOKUP($B121,Reinforcements[],COLUMN(Reinforcements[[#Headers],[Rev. F Bottom Connection Capacity (kips)]])-1,FALSE)),(IF(Rev="G",(VLOOKUP($B121,Reinforcements[],COLUMN(Reinforcements[[#Headers],[Rev. G Bottom Connection Capacity (kips)]])-1,FALSE)),(VLOOKUP($B121,Reinforcements[],COLUMN(Reinforcements[[#Headers],[Rev. H Bottom Connection Capacity (kips)]])-1,FALSE))))))</f>
        <v/>
      </c>
      <c r="AL122" s="636"/>
      <c r="AM122" s="637"/>
    </row>
    <row r="123" spans="2:41" ht="12.75" hidden="1" customHeight="1" x14ac:dyDescent="0.2">
      <c r="B123" s="638" t="str">
        <f>IF('Reinforcements'!B63="","",'Reinforcements'!B63)</f>
        <v/>
      </c>
      <c r="C123" s="639"/>
      <c r="D123" s="639"/>
      <c r="E123" s="639"/>
      <c r="F123" s="642" t="str">
        <f>IF($B123="","","Top")</f>
        <v/>
      </c>
      <c r="G123" s="629"/>
      <c r="H123" s="629" t="str">
        <f>IF($B123="","",VLOOKUP($B123,Reinforcements[],COLUMN(Reinforcements[[#Headers],['# of End Connection Bolts          (Top)]])-1,FALSE))</f>
        <v/>
      </c>
      <c r="I123" s="629"/>
      <c r="J123" s="629" t="str">
        <f>IF($B123="","",VLOOKUP($B123,Reinforcements[],COLUMN(Reinforcements[[#Headers],[Threads Included (N) or Excluded (X) (Top)]])-1,FALSE))</f>
        <v/>
      </c>
      <c r="K123" s="629"/>
      <c r="L123" s="629" t="str">
        <f>IF($B123="","",VLOOKUP($B123,Reinforcements[],COLUMN(Reinforcements[[#Headers],[End Connection Bolt Spacing (in) (T)]])-1,FALSE))</f>
        <v/>
      </c>
      <c r="M123" s="629"/>
      <c r="N123" s="629" t="str">
        <f>IF($B123="","",VLOOKUP($B123,Reinforcements[],COLUMN(Reinforcements[[#Headers],[End Connection Edge Distance (in) (T)]])-1,FALSE))</f>
        <v/>
      </c>
      <c r="O123" s="629"/>
      <c r="P123" s="629" t="str">
        <f>IF($B123="","",VLOOKUP($B123,Reinforcements[],COLUMN(Reinforcements[[#Headers],[Top Weld Grade (ksi)]])-1,FALSE))</f>
        <v/>
      </c>
      <c r="Q123" s="629"/>
      <c r="R123" s="629" t="str">
        <f>IF($B123="","",VLOOKUP($B123,Reinforcements[],COLUMN(Reinforcements[[#Headers],[Top Transverse (Horizontal) Weld]])-1,FALSE))</f>
        <v/>
      </c>
      <c r="S123" s="629"/>
      <c r="T123" s="629"/>
      <c r="U123" s="629" t="str">
        <f>IF($B123="","",VLOOKUP($B123,Reinforcements[],COLUMN(Reinforcements[[#Headers],[Top Transverse Weld Length]])-1,FALSE))</f>
        <v/>
      </c>
      <c r="V123" s="629"/>
      <c r="W123" s="629"/>
      <c r="X123" s="629" t="str">
        <f>IF($B123="","",VLOOKUP($B123,Reinforcements[],COLUMN(Reinforcements[[#Headers],[Top Transverse Weld Groove Depth (in)]])-1,FALSE))</f>
        <v/>
      </c>
      <c r="Y123" s="629"/>
      <c r="Z123" s="629"/>
      <c r="AA123" s="629" t="str">
        <f>IF($B123="","",VLOOKUP($B123,Reinforcements[],COLUMN(Reinforcements[[#Headers],[Top Transverse Weld Groove Angle (degrees)]])-1,FALSE))</f>
        <v/>
      </c>
      <c r="AB123" s="629"/>
      <c r="AC123" s="629"/>
      <c r="AD123" s="629" t="str">
        <f>IF($B123="","",VLOOKUP($B123,Reinforcements[],COLUMN(Reinforcements[[#Headers],[Top Transverse Weld Fillet Size (in)]])-1,FALSE))</f>
        <v/>
      </c>
      <c r="AE123" s="629"/>
      <c r="AF123" s="629" t="str">
        <f>IF($B123="","",VLOOKUP($B123,Reinforcements[],COLUMN(Reinforcements[[#Headers],[Top Longitudinal Weld Length]])-1,FALSE))</f>
        <v/>
      </c>
      <c r="AG123" s="629"/>
      <c r="AH123" s="629"/>
      <c r="AI123" s="630" t="str">
        <f>IF($B123="","",VLOOKUP($B123,Reinforcements[],COLUMN(Reinforcements[[#Headers],[Top Longitudinal Weld Fillet Size (in)]])-1,FALSE))</f>
        <v/>
      </c>
      <c r="AJ123" s="630"/>
      <c r="AK123" s="631" t="str">
        <f>IF($B123="","",IF(Rev="F",(VLOOKUP($B123,Reinforcements[],COLUMN(Reinforcements[[#Headers],[Rev. F Top Connection Capacity (kips)]])-1,FALSE)),(IF(Rev="G",(VLOOKUP($B123,Reinforcements[],COLUMN(Reinforcements[[#Headers],[Rev. G Top Connection Capacity (kips)]])-1,FALSE)),(VLOOKUP($B123,Reinforcements[],COLUMN(Reinforcements[[#Headers],[Rev. H Top Connection Capacity (kips)]])-1,FALSE))))))</f>
        <v/>
      </c>
      <c r="AL123" s="631"/>
      <c r="AM123" s="632"/>
    </row>
    <row r="124" spans="2:41" ht="12.75" hidden="1" customHeight="1" x14ac:dyDescent="0.2">
      <c r="B124" s="640"/>
      <c r="C124" s="641"/>
      <c r="D124" s="641"/>
      <c r="E124" s="641"/>
      <c r="F124" s="633" t="str">
        <f>IF($B123="","","Bottom")</f>
        <v/>
      </c>
      <c r="G124" s="634"/>
      <c r="H124" s="634" t="str">
        <f>IF($B123="","",VLOOKUP($B123,Reinforcements[],COLUMN(Reinforcements[[#Headers],['# of End Connection Bolts          (Bottom)]])-1,FALSE))</f>
        <v/>
      </c>
      <c r="I124" s="634"/>
      <c r="J124" s="634" t="str">
        <f>IF($B123="","",VLOOKUP($B123,Reinforcements[],COLUMN(Reinforcements[[#Headers],[Threads Included (N) or Excluded (X) (Bottom)]])-1,FALSE))</f>
        <v/>
      </c>
      <c r="K124" s="634"/>
      <c r="L124" s="634" t="str">
        <f>IF($B123="","",VLOOKUP($B123,Reinforcements[],COLUMN(Reinforcements[[#Headers],[End Connection Bolt Spacing (in) (B)]])-1,FALSE))</f>
        <v/>
      </c>
      <c r="M124" s="634"/>
      <c r="N124" s="634" t="str">
        <f>IF($B123="","",VLOOKUP($B123,Reinforcements[],COLUMN(Reinforcements[[#Headers],[End Connection Edge Distance (in) (B)]])-1,FALSE))</f>
        <v/>
      </c>
      <c r="O124" s="634"/>
      <c r="P124" s="634" t="str">
        <f>IF($B123="","",VLOOKUP($B123,Reinforcements[],COLUMN(Reinforcements[[#Headers],[Bottom Weld Grade (ksi)]])-1,FALSE))</f>
        <v/>
      </c>
      <c r="Q124" s="634"/>
      <c r="R124" s="634" t="str">
        <f>IF($B123="","",VLOOKUP($B123,Reinforcements[],COLUMN(Reinforcements[[#Headers],[Bottom Transverse (Horizontal) Weld]])-1,FALSE))</f>
        <v/>
      </c>
      <c r="S124" s="634"/>
      <c r="T124" s="634"/>
      <c r="U124" s="634" t="str">
        <f>IF($B123="","",VLOOKUP($B123,Reinforcements[],COLUMN(Reinforcements[[#Headers],[Bottom Transverse Weld Length]])-1,FALSE))</f>
        <v/>
      </c>
      <c r="V124" s="634"/>
      <c r="W124" s="634"/>
      <c r="X124" s="634" t="str">
        <f>IF($B123="","",VLOOKUP($B123,Reinforcements[],COLUMN(Reinforcements[[#Headers],[Bottom Transverse Weld Groove Depth (in)]])-1,FALSE))</f>
        <v/>
      </c>
      <c r="Y124" s="634"/>
      <c r="Z124" s="634"/>
      <c r="AA124" s="634" t="str">
        <f>IF($B123="","",VLOOKUP($B123,Reinforcements[],COLUMN(Reinforcements[[#Headers],[Bottom Transverse Weld Groove Angle (degrees)]])-1,FALSE))</f>
        <v/>
      </c>
      <c r="AB124" s="634"/>
      <c r="AC124" s="634"/>
      <c r="AD124" s="634" t="str">
        <f>IF($B123="","",VLOOKUP($B123,Reinforcements[],COLUMN(Reinforcements[[#Headers],[Bottom Transverse Weld Fillet Size (in)]])-1,FALSE))</f>
        <v/>
      </c>
      <c r="AE124" s="634"/>
      <c r="AF124" s="634" t="str">
        <f>IF($B123="","",VLOOKUP($B123,Reinforcements[],COLUMN(Reinforcements[[#Headers],[Bottom Longitudinal Weld Length]])-1,FALSE))</f>
        <v/>
      </c>
      <c r="AG124" s="634"/>
      <c r="AH124" s="634"/>
      <c r="AI124" s="635" t="str">
        <f>IF($B123="","",VLOOKUP($B123,Reinforcements[],COLUMN(Reinforcements[[#Headers],[Bottom Longitudinal Weld Fillet Size (in)]])-1,FALSE))</f>
        <v/>
      </c>
      <c r="AJ124" s="635"/>
      <c r="AK124" s="636" t="str">
        <f>IF($B123="","",IF(Rev="F",(VLOOKUP($B123,Reinforcements[],COLUMN(Reinforcements[[#Headers],[Rev. F Bottom Connection Capacity (kips)]])-1,FALSE)),(IF(Rev="G",(VLOOKUP($B123,Reinforcements[],COLUMN(Reinforcements[[#Headers],[Rev. G Bottom Connection Capacity (kips)]])-1,FALSE)),(VLOOKUP($B123,Reinforcements[],COLUMN(Reinforcements[[#Headers],[Rev. H Bottom Connection Capacity (kips)]])-1,FALSE))))))</f>
        <v/>
      </c>
      <c r="AL124" s="636"/>
      <c r="AM124" s="637"/>
    </row>
    <row r="125" spans="2:41" ht="12.75" hidden="1" customHeight="1" x14ac:dyDescent="0.2">
      <c r="B125" s="638" t="str">
        <f>IF('Reinforcements'!B64="","",'Reinforcements'!B64)</f>
        <v/>
      </c>
      <c r="C125" s="639"/>
      <c r="D125" s="639"/>
      <c r="E125" s="639"/>
      <c r="F125" s="642" t="str">
        <f>IF($B125="","","Top")</f>
        <v/>
      </c>
      <c r="G125" s="629"/>
      <c r="H125" s="629" t="str">
        <f>IF($B125="","",VLOOKUP($B125,Reinforcements[],COLUMN(Reinforcements[[#Headers],['# of End Connection Bolts          (Top)]])-1,FALSE))</f>
        <v/>
      </c>
      <c r="I125" s="629"/>
      <c r="J125" s="629" t="str">
        <f>IF($B125="","",VLOOKUP($B125,Reinforcements[],COLUMN(Reinforcements[[#Headers],[Threads Included (N) or Excluded (X) (Top)]])-1,FALSE))</f>
        <v/>
      </c>
      <c r="K125" s="629"/>
      <c r="L125" s="629" t="str">
        <f>IF($B125="","",VLOOKUP($B125,Reinforcements[],COLUMN(Reinforcements[[#Headers],[End Connection Bolt Spacing (in) (T)]])-1,FALSE))</f>
        <v/>
      </c>
      <c r="M125" s="629"/>
      <c r="N125" s="629" t="str">
        <f>IF($B125="","",VLOOKUP($B125,Reinforcements[],COLUMN(Reinforcements[[#Headers],[End Connection Edge Distance (in) (T)]])-1,FALSE))</f>
        <v/>
      </c>
      <c r="O125" s="629"/>
      <c r="P125" s="629" t="str">
        <f>IF($B125="","",VLOOKUP($B125,Reinforcements[],COLUMN(Reinforcements[[#Headers],[Top Weld Grade (ksi)]])-1,FALSE))</f>
        <v/>
      </c>
      <c r="Q125" s="629"/>
      <c r="R125" s="629" t="str">
        <f>IF($B125="","",VLOOKUP($B125,Reinforcements[],COLUMN(Reinforcements[[#Headers],[Top Transverse (Horizontal) Weld]])-1,FALSE))</f>
        <v/>
      </c>
      <c r="S125" s="629"/>
      <c r="T125" s="629"/>
      <c r="U125" s="629" t="str">
        <f>IF($B125="","",VLOOKUP($B125,Reinforcements[],COLUMN(Reinforcements[[#Headers],[Top Transverse Weld Length]])-1,FALSE))</f>
        <v/>
      </c>
      <c r="V125" s="629"/>
      <c r="W125" s="629"/>
      <c r="X125" s="629" t="str">
        <f>IF($B125="","",VLOOKUP($B125,Reinforcements[],COLUMN(Reinforcements[[#Headers],[Top Transverse Weld Groove Depth (in)]])-1,FALSE))</f>
        <v/>
      </c>
      <c r="Y125" s="629"/>
      <c r="Z125" s="629"/>
      <c r="AA125" s="629" t="str">
        <f>IF($B125="","",VLOOKUP($B125,Reinforcements[],COLUMN(Reinforcements[[#Headers],[Top Transverse Weld Groove Angle (degrees)]])-1,FALSE))</f>
        <v/>
      </c>
      <c r="AB125" s="629"/>
      <c r="AC125" s="629"/>
      <c r="AD125" s="629" t="str">
        <f>IF($B125="","",VLOOKUP($B125,Reinforcements[],COLUMN(Reinforcements[[#Headers],[Top Transverse Weld Fillet Size (in)]])-1,FALSE))</f>
        <v/>
      </c>
      <c r="AE125" s="629"/>
      <c r="AF125" s="629" t="str">
        <f>IF($B125="","",VLOOKUP($B125,Reinforcements[],COLUMN(Reinforcements[[#Headers],[Top Longitudinal Weld Length]])-1,FALSE))</f>
        <v/>
      </c>
      <c r="AG125" s="629"/>
      <c r="AH125" s="629"/>
      <c r="AI125" s="630" t="str">
        <f>IF($B125="","",VLOOKUP($B125,Reinforcements[],COLUMN(Reinforcements[[#Headers],[Top Longitudinal Weld Fillet Size (in)]])-1,FALSE))</f>
        <v/>
      </c>
      <c r="AJ125" s="630"/>
      <c r="AK125" s="631" t="str">
        <f>IF($B125="","",IF(Rev="F",(VLOOKUP($B125,Reinforcements[],COLUMN(Reinforcements[[#Headers],[Rev. F Top Connection Capacity (kips)]])-1,FALSE)),(IF(Rev="G",(VLOOKUP($B125,Reinforcements[],COLUMN(Reinforcements[[#Headers],[Rev. G Top Connection Capacity (kips)]])-1,FALSE)),(VLOOKUP($B125,Reinforcements[],COLUMN(Reinforcements[[#Headers],[Rev. H Top Connection Capacity (kips)]])-1,FALSE))))))</f>
        <v/>
      </c>
      <c r="AL125" s="631"/>
      <c r="AM125" s="632"/>
    </row>
    <row r="126" spans="2:41" ht="12.75" hidden="1" customHeight="1" x14ac:dyDescent="0.2">
      <c r="B126" s="640"/>
      <c r="C126" s="641"/>
      <c r="D126" s="641"/>
      <c r="E126" s="641"/>
      <c r="F126" s="633" t="str">
        <f>IF($B125="","","Bottom")</f>
        <v/>
      </c>
      <c r="G126" s="634"/>
      <c r="H126" s="634" t="str">
        <f>IF($B125="","",VLOOKUP($B125,Reinforcements[],COLUMN(Reinforcements[[#Headers],['# of End Connection Bolts          (Bottom)]])-1,FALSE))</f>
        <v/>
      </c>
      <c r="I126" s="634"/>
      <c r="J126" s="634" t="str">
        <f>IF($B125="","",VLOOKUP($B125,Reinforcements[],COLUMN(Reinforcements[[#Headers],[Threads Included (N) or Excluded (X) (Bottom)]])-1,FALSE))</f>
        <v/>
      </c>
      <c r="K126" s="634"/>
      <c r="L126" s="634" t="str">
        <f>IF($B125="","",VLOOKUP($B125,Reinforcements[],COLUMN(Reinforcements[[#Headers],[End Connection Bolt Spacing (in) (B)]])-1,FALSE))</f>
        <v/>
      </c>
      <c r="M126" s="634"/>
      <c r="N126" s="634" t="str">
        <f>IF($B125="","",VLOOKUP($B125,Reinforcements[],COLUMN(Reinforcements[[#Headers],[End Connection Edge Distance (in) (B)]])-1,FALSE))</f>
        <v/>
      </c>
      <c r="O126" s="634"/>
      <c r="P126" s="634" t="str">
        <f>IF($B125="","",VLOOKUP($B125,Reinforcements[],COLUMN(Reinforcements[[#Headers],[Bottom Weld Grade (ksi)]])-1,FALSE))</f>
        <v/>
      </c>
      <c r="Q126" s="634"/>
      <c r="R126" s="634" t="str">
        <f>IF($B125="","",VLOOKUP($B125,Reinforcements[],COLUMN(Reinforcements[[#Headers],[Bottom Transverse (Horizontal) Weld]])-1,FALSE))</f>
        <v/>
      </c>
      <c r="S126" s="634"/>
      <c r="T126" s="634"/>
      <c r="U126" s="634" t="str">
        <f>IF($B125="","",VLOOKUP($B125,Reinforcements[],COLUMN(Reinforcements[[#Headers],[Bottom Transverse Weld Length]])-1,FALSE))</f>
        <v/>
      </c>
      <c r="V126" s="634"/>
      <c r="W126" s="634"/>
      <c r="X126" s="634" t="str">
        <f>IF($B125="","",VLOOKUP($B125,Reinforcements[],COLUMN(Reinforcements[[#Headers],[Bottom Transverse Weld Groove Depth (in)]])-1,FALSE))</f>
        <v/>
      </c>
      <c r="Y126" s="634"/>
      <c r="Z126" s="634"/>
      <c r="AA126" s="634" t="str">
        <f>IF($B125="","",VLOOKUP($B125,Reinforcements[],COLUMN(Reinforcements[[#Headers],[Bottom Transverse Weld Groove Angle (degrees)]])-1,FALSE))</f>
        <v/>
      </c>
      <c r="AB126" s="634"/>
      <c r="AC126" s="634"/>
      <c r="AD126" s="634" t="str">
        <f>IF($B125="","",VLOOKUP($B125,Reinforcements[],COLUMN(Reinforcements[[#Headers],[Bottom Transverse Weld Fillet Size (in)]])-1,FALSE))</f>
        <v/>
      </c>
      <c r="AE126" s="634"/>
      <c r="AF126" s="634" t="str">
        <f>IF($B125="","",VLOOKUP($B125,Reinforcements[],COLUMN(Reinforcements[[#Headers],[Bottom Longitudinal Weld Length]])-1,FALSE))</f>
        <v/>
      </c>
      <c r="AG126" s="634"/>
      <c r="AH126" s="634"/>
      <c r="AI126" s="635" t="str">
        <f>IF($B125="","",VLOOKUP($B125,Reinforcements[],COLUMN(Reinforcements[[#Headers],[Bottom Longitudinal Weld Fillet Size (in)]])-1,FALSE))</f>
        <v/>
      </c>
      <c r="AJ126" s="635"/>
      <c r="AK126" s="636" t="str">
        <f>IF($B125="","",IF(Rev="F",(VLOOKUP($B125,Reinforcements[],COLUMN(Reinforcements[[#Headers],[Rev. F Bottom Connection Capacity (kips)]])-1,FALSE)),(IF(Rev="G",(VLOOKUP($B125,Reinforcements[],COLUMN(Reinforcements[[#Headers],[Rev. G Bottom Connection Capacity (kips)]])-1,FALSE)),(VLOOKUP($B125,Reinforcements[],COLUMN(Reinforcements[[#Headers],[Rev. H Bottom Connection Capacity (kips)]])-1,FALSE))))))</f>
        <v/>
      </c>
      <c r="AL126" s="636"/>
      <c r="AM126" s="637"/>
    </row>
    <row r="127" spans="2:41" ht="12.75" hidden="1" customHeight="1" x14ac:dyDescent="0.2">
      <c r="B127" s="638" t="str">
        <f>IF('Reinforcements'!B65="","",'Reinforcements'!B65)</f>
        <v/>
      </c>
      <c r="C127" s="639"/>
      <c r="D127" s="639"/>
      <c r="E127" s="639"/>
      <c r="F127" s="642" t="str">
        <f>IF($B127="","","Top")</f>
        <v/>
      </c>
      <c r="G127" s="629"/>
      <c r="H127" s="629" t="str">
        <f>IF($B127="","",VLOOKUP($B127,Reinforcements[],COLUMN(Reinforcements[[#Headers],['# of End Connection Bolts          (Top)]])-1,FALSE))</f>
        <v/>
      </c>
      <c r="I127" s="629"/>
      <c r="J127" s="629" t="str">
        <f>IF($B127="","",VLOOKUP($B127,Reinforcements[],COLUMN(Reinforcements[[#Headers],[Threads Included (N) or Excluded (X) (Top)]])-1,FALSE))</f>
        <v/>
      </c>
      <c r="K127" s="629"/>
      <c r="L127" s="629" t="str">
        <f>IF($B127="","",VLOOKUP($B127,Reinforcements[],COLUMN(Reinforcements[[#Headers],[End Connection Bolt Spacing (in) (T)]])-1,FALSE))</f>
        <v/>
      </c>
      <c r="M127" s="629"/>
      <c r="N127" s="629" t="str">
        <f>IF($B127="","",VLOOKUP($B127,Reinforcements[],COLUMN(Reinforcements[[#Headers],[End Connection Edge Distance (in) (T)]])-1,FALSE))</f>
        <v/>
      </c>
      <c r="O127" s="629"/>
      <c r="P127" s="629" t="str">
        <f>IF($B127="","",VLOOKUP($B127,Reinforcements[],COLUMN(Reinforcements[[#Headers],[Top Weld Grade (ksi)]])-1,FALSE))</f>
        <v/>
      </c>
      <c r="Q127" s="629"/>
      <c r="R127" s="629" t="str">
        <f>IF($B127="","",VLOOKUP($B127,Reinforcements[],COLUMN(Reinforcements[[#Headers],[Top Transverse (Horizontal) Weld]])-1,FALSE))</f>
        <v/>
      </c>
      <c r="S127" s="629"/>
      <c r="T127" s="629"/>
      <c r="U127" s="629" t="str">
        <f>IF($B127="","",VLOOKUP($B127,Reinforcements[],COLUMN(Reinforcements[[#Headers],[Top Transverse Weld Length]])-1,FALSE))</f>
        <v/>
      </c>
      <c r="V127" s="629"/>
      <c r="W127" s="629"/>
      <c r="X127" s="629" t="str">
        <f>IF($B127="","",VLOOKUP($B127,Reinforcements[],COLUMN(Reinforcements[[#Headers],[Top Transverse Weld Groove Depth (in)]])-1,FALSE))</f>
        <v/>
      </c>
      <c r="Y127" s="629"/>
      <c r="Z127" s="629"/>
      <c r="AA127" s="629" t="str">
        <f>IF($B127="","",VLOOKUP($B127,Reinforcements[],COLUMN(Reinforcements[[#Headers],[Top Transverse Weld Groove Angle (degrees)]])-1,FALSE))</f>
        <v/>
      </c>
      <c r="AB127" s="629"/>
      <c r="AC127" s="629"/>
      <c r="AD127" s="629" t="str">
        <f>IF($B127="","",VLOOKUP($B127,Reinforcements[],COLUMN(Reinforcements[[#Headers],[Top Transverse Weld Fillet Size (in)]])-1,FALSE))</f>
        <v/>
      </c>
      <c r="AE127" s="629"/>
      <c r="AF127" s="629" t="str">
        <f>IF($B127="","",VLOOKUP($B127,Reinforcements[],COLUMN(Reinforcements[[#Headers],[Top Longitudinal Weld Length]])-1,FALSE))</f>
        <v/>
      </c>
      <c r="AG127" s="629"/>
      <c r="AH127" s="629"/>
      <c r="AI127" s="630" t="str">
        <f>IF($B127="","",VLOOKUP($B127,Reinforcements[],COLUMN(Reinforcements[[#Headers],[Top Longitudinal Weld Fillet Size (in)]])-1,FALSE))</f>
        <v/>
      </c>
      <c r="AJ127" s="630"/>
      <c r="AK127" s="631" t="str">
        <f>IF($B127="","",IF(Rev="F",(VLOOKUP($B127,Reinforcements[],COLUMN(Reinforcements[[#Headers],[Rev. F Top Connection Capacity (kips)]])-1,FALSE)),(IF(Rev="G",(VLOOKUP($B127,Reinforcements[],COLUMN(Reinforcements[[#Headers],[Rev. G Top Connection Capacity (kips)]])-1,FALSE)),(VLOOKUP($B127,Reinforcements[],COLUMN(Reinforcements[[#Headers],[Rev. H Top Connection Capacity (kips)]])-1,FALSE))))))</f>
        <v/>
      </c>
      <c r="AL127" s="631"/>
      <c r="AM127" s="632"/>
    </row>
    <row r="128" spans="2:41" ht="12.75" hidden="1" customHeight="1" x14ac:dyDescent="0.2">
      <c r="B128" s="640"/>
      <c r="C128" s="641"/>
      <c r="D128" s="641"/>
      <c r="E128" s="641"/>
      <c r="F128" s="633" t="str">
        <f>IF($B127="","","Bottom")</f>
        <v/>
      </c>
      <c r="G128" s="634"/>
      <c r="H128" s="634" t="str">
        <f>IF($B127="","",VLOOKUP($B127,Reinforcements[],COLUMN(Reinforcements[[#Headers],['# of End Connection Bolts          (Bottom)]])-1,FALSE))</f>
        <v/>
      </c>
      <c r="I128" s="634"/>
      <c r="J128" s="634" t="str">
        <f>IF($B127="","",VLOOKUP($B127,Reinforcements[],COLUMN(Reinforcements[[#Headers],[Threads Included (N) or Excluded (X) (Bottom)]])-1,FALSE))</f>
        <v/>
      </c>
      <c r="K128" s="634"/>
      <c r="L128" s="634" t="str">
        <f>IF($B127="","",VLOOKUP($B127,Reinforcements[],COLUMN(Reinforcements[[#Headers],[End Connection Bolt Spacing (in) (B)]])-1,FALSE))</f>
        <v/>
      </c>
      <c r="M128" s="634"/>
      <c r="N128" s="634" t="str">
        <f>IF($B127="","",VLOOKUP($B127,Reinforcements[],COLUMN(Reinforcements[[#Headers],[End Connection Edge Distance (in) (B)]])-1,FALSE))</f>
        <v/>
      </c>
      <c r="O128" s="634"/>
      <c r="P128" s="634" t="str">
        <f>IF($B127="","",VLOOKUP($B127,Reinforcements[],COLUMN(Reinforcements[[#Headers],[Bottom Weld Grade (ksi)]])-1,FALSE))</f>
        <v/>
      </c>
      <c r="Q128" s="634"/>
      <c r="R128" s="634" t="str">
        <f>IF($B127="","",VLOOKUP($B127,Reinforcements[],COLUMN(Reinforcements[[#Headers],[Bottom Transverse (Horizontal) Weld]])-1,FALSE))</f>
        <v/>
      </c>
      <c r="S128" s="634"/>
      <c r="T128" s="634"/>
      <c r="U128" s="634" t="str">
        <f>IF($B127="","",VLOOKUP($B127,Reinforcements[],COLUMN(Reinforcements[[#Headers],[Bottom Transverse Weld Length]])-1,FALSE))</f>
        <v/>
      </c>
      <c r="V128" s="634"/>
      <c r="W128" s="634"/>
      <c r="X128" s="634" t="str">
        <f>IF($B127="","",VLOOKUP($B127,Reinforcements[],COLUMN(Reinforcements[[#Headers],[Bottom Transverse Weld Groove Depth (in)]])-1,FALSE))</f>
        <v/>
      </c>
      <c r="Y128" s="634"/>
      <c r="Z128" s="634"/>
      <c r="AA128" s="634" t="str">
        <f>IF($B127="","",VLOOKUP($B127,Reinforcements[],COLUMN(Reinforcements[[#Headers],[Bottom Transverse Weld Groove Angle (degrees)]])-1,FALSE))</f>
        <v/>
      </c>
      <c r="AB128" s="634"/>
      <c r="AC128" s="634"/>
      <c r="AD128" s="634" t="str">
        <f>IF($B127="","",VLOOKUP($B127,Reinforcements[],COLUMN(Reinforcements[[#Headers],[Bottom Transverse Weld Fillet Size (in)]])-1,FALSE))</f>
        <v/>
      </c>
      <c r="AE128" s="634"/>
      <c r="AF128" s="634" t="str">
        <f>IF($B127="","",VLOOKUP($B127,Reinforcements[],COLUMN(Reinforcements[[#Headers],[Bottom Longitudinal Weld Length]])-1,FALSE))</f>
        <v/>
      </c>
      <c r="AG128" s="634"/>
      <c r="AH128" s="634"/>
      <c r="AI128" s="635" t="str">
        <f>IF($B127="","",VLOOKUP($B127,Reinforcements[],COLUMN(Reinforcements[[#Headers],[Bottom Longitudinal Weld Fillet Size (in)]])-1,FALSE))</f>
        <v/>
      </c>
      <c r="AJ128" s="635"/>
      <c r="AK128" s="636" t="str">
        <f>IF($B127="","",IF(Rev="F",(VLOOKUP($B127,Reinforcements[],COLUMN(Reinforcements[[#Headers],[Rev. F Bottom Connection Capacity (kips)]])-1,FALSE)),(IF(Rev="G",(VLOOKUP($B127,Reinforcements[],COLUMN(Reinforcements[[#Headers],[Rev. G Bottom Connection Capacity (kips)]])-1,FALSE)),(VLOOKUP($B127,Reinforcements[],COLUMN(Reinforcements[[#Headers],[Rev. H Bottom Connection Capacity (kips)]])-1,FALSE))))))</f>
        <v/>
      </c>
      <c r="AL128" s="636"/>
      <c r="AM128" s="637"/>
    </row>
    <row r="129" spans="2:39" ht="12.75" hidden="1" customHeight="1" x14ac:dyDescent="0.2">
      <c r="B129" s="638" t="str">
        <f>IF('Reinforcements'!B66="","",'Reinforcements'!B66)</f>
        <v/>
      </c>
      <c r="C129" s="639"/>
      <c r="D129" s="639"/>
      <c r="E129" s="639"/>
      <c r="F129" s="642" t="str">
        <f>IF($B129="","","Top")</f>
        <v/>
      </c>
      <c r="G129" s="629"/>
      <c r="H129" s="629" t="str">
        <f>IF($B129="","",VLOOKUP($B129,Reinforcements[],COLUMN(Reinforcements[[#Headers],['# of End Connection Bolts          (Top)]])-1,FALSE))</f>
        <v/>
      </c>
      <c r="I129" s="629"/>
      <c r="J129" s="629" t="str">
        <f>IF($B129="","",VLOOKUP($B129,Reinforcements[],COLUMN(Reinforcements[[#Headers],[Threads Included (N) or Excluded (X) (Top)]])-1,FALSE))</f>
        <v/>
      </c>
      <c r="K129" s="629"/>
      <c r="L129" s="629" t="str">
        <f>IF($B129="","",VLOOKUP($B129,Reinforcements[],COLUMN(Reinforcements[[#Headers],[End Connection Bolt Spacing (in) (T)]])-1,FALSE))</f>
        <v/>
      </c>
      <c r="M129" s="629"/>
      <c r="N129" s="629" t="str">
        <f>IF($B129="","",VLOOKUP($B129,Reinforcements[],COLUMN(Reinforcements[[#Headers],[End Connection Edge Distance (in) (T)]])-1,FALSE))</f>
        <v/>
      </c>
      <c r="O129" s="629"/>
      <c r="P129" s="629" t="str">
        <f>IF($B129="","",VLOOKUP($B129,Reinforcements[],COLUMN(Reinforcements[[#Headers],[Top Weld Grade (ksi)]])-1,FALSE))</f>
        <v/>
      </c>
      <c r="Q129" s="629"/>
      <c r="R129" s="629" t="str">
        <f>IF($B129="","",VLOOKUP($B129,Reinforcements[],COLUMN(Reinforcements[[#Headers],[Top Transverse (Horizontal) Weld]])-1,FALSE))</f>
        <v/>
      </c>
      <c r="S129" s="629"/>
      <c r="T129" s="629"/>
      <c r="U129" s="629" t="str">
        <f>IF($B129="","",VLOOKUP($B129,Reinforcements[],COLUMN(Reinforcements[[#Headers],[Top Transverse Weld Length]])-1,FALSE))</f>
        <v/>
      </c>
      <c r="V129" s="629"/>
      <c r="W129" s="629"/>
      <c r="X129" s="629" t="str">
        <f>IF($B129="","",VLOOKUP($B129,Reinforcements[],COLUMN(Reinforcements[[#Headers],[Top Transverse Weld Groove Depth (in)]])-1,FALSE))</f>
        <v/>
      </c>
      <c r="Y129" s="629"/>
      <c r="Z129" s="629"/>
      <c r="AA129" s="629" t="str">
        <f>IF($B129="","",VLOOKUP($B129,Reinforcements[],COLUMN(Reinforcements[[#Headers],[Top Transverse Weld Groove Angle (degrees)]])-1,FALSE))</f>
        <v/>
      </c>
      <c r="AB129" s="629"/>
      <c r="AC129" s="629"/>
      <c r="AD129" s="629" t="str">
        <f>IF($B129="","",VLOOKUP($B129,Reinforcements[],COLUMN(Reinforcements[[#Headers],[Top Transverse Weld Fillet Size (in)]])-1,FALSE))</f>
        <v/>
      </c>
      <c r="AE129" s="629"/>
      <c r="AF129" s="629" t="str">
        <f>IF($B129="","",VLOOKUP($B129,Reinforcements[],COLUMN(Reinforcements[[#Headers],[Top Longitudinal Weld Length]])-1,FALSE))</f>
        <v/>
      </c>
      <c r="AG129" s="629"/>
      <c r="AH129" s="629"/>
      <c r="AI129" s="630" t="str">
        <f>IF($B129="","",VLOOKUP($B129,Reinforcements[],COLUMN(Reinforcements[[#Headers],[Top Longitudinal Weld Fillet Size (in)]])-1,FALSE))</f>
        <v/>
      </c>
      <c r="AJ129" s="630"/>
      <c r="AK129" s="631" t="str">
        <f>IF($B129="","",IF(Rev="F",(VLOOKUP($B129,Reinforcements[],COLUMN(Reinforcements[[#Headers],[Rev. F Top Connection Capacity (kips)]])-1,FALSE)),(IF(Rev="G",(VLOOKUP($B129,Reinforcements[],COLUMN(Reinforcements[[#Headers],[Rev. G Top Connection Capacity (kips)]])-1,FALSE)),(VLOOKUP($B129,Reinforcements[],COLUMN(Reinforcements[[#Headers],[Rev. H Top Connection Capacity (kips)]])-1,FALSE))))))</f>
        <v/>
      </c>
      <c r="AL129" s="631"/>
      <c r="AM129" s="632"/>
    </row>
    <row r="130" spans="2:39" ht="12.75" hidden="1" customHeight="1" x14ac:dyDescent="0.2">
      <c r="B130" s="640"/>
      <c r="C130" s="641"/>
      <c r="D130" s="641"/>
      <c r="E130" s="641"/>
      <c r="F130" s="633" t="str">
        <f>IF($B129="","","Bottom")</f>
        <v/>
      </c>
      <c r="G130" s="634"/>
      <c r="H130" s="634" t="str">
        <f>IF($B129="","",VLOOKUP($B129,Reinforcements[],COLUMN(Reinforcements[[#Headers],['# of End Connection Bolts          (Bottom)]])-1,FALSE))</f>
        <v/>
      </c>
      <c r="I130" s="634"/>
      <c r="J130" s="634" t="str">
        <f>IF($B129="","",VLOOKUP($B129,Reinforcements[],COLUMN(Reinforcements[[#Headers],[Threads Included (N) or Excluded (X) (Bottom)]])-1,FALSE))</f>
        <v/>
      </c>
      <c r="K130" s="634"/>
      <c r="L130" s="634" t="str">
        <f>IF($B129="","",VLOOKUP($B129,Reinforcements[],COLUMN(Reinforcements[[#Headers],[End Connection Bolt Spacing (in) (B)]])-1,FALSE))</f>
        <v/>
      </c>
      <c r="M130" s="634"/>
      <c r="N130" s="634" t="str">
        <f>IF($B129="","",VLOOKUP($B129,Reinforcements[],COLUMN(Reinforcements[[#Headers],[End Connection Edge Distance (in) (B)]])-1,FALSE))</f>
        <v/>
      </c>
      <c r="O130" s="634"/>
      <c r="P130" s="634" t="str">
        <f>IF($B129="","",VLOOKUP($B129,Reinforcements[],COLUMN(Reinforcements[[#Headers],[Bottom Weld Grade (ksi)]])-1,FALSE))</f>
        <v/>
      </c>
      <c r="Q130" s="634"/>
      <c r="R130" s="634" t="str">
        <f>IF($B129="","",VLOOKUP($B129,Reinforcements[],COLUMN(Reinforcements[[#Headers],[Bottom Transverse (Horizontal) Weld]])-1,FALSE))</f>
        <v/>
      </c>
      <c r="S130" s="634"/>
      <c r="T130" s="634"/>
      <c r="U130" s="634" t="str">
        <f>IF($B129="","",VLOOKUP($B129,Reinforcements[],COLUMN(Reinforcements[[#Headers],[Bottom Transverse Weld Length]])-1,FALSE))</f>
        <v/>
      </c>
      <c r="V130" s="634"/>
      <c r="W130" s="634"/>
      <c r="X130" s="634" t="str">
        <f>IF($B129="","",VLOOKUP($B129,Reinforcements[],COLUMN(Reinforcements[[#Headers],[Bottom Transverse Weld Groove Depth (in)]])-1,FALSE))</f>
        <v/>
      </c>
      <c r="Y130" s="634"/>
      <c r="Z130" s="634"/>
      <c r="AA130" s="634" t="str">
        <f>IF($B129="","",VLOOKUP($B129,Reinforcements[],COLUMN(Reinforcements[[#Headers],[Bottom Transverse Weld Groove Angle (degrees)]])-1,FALSE))</f>
        <v/>
      </c>
      <c r="AB130" s="634"/>
      <c r="AC130" s="634"/>
      <c r="AD130" s="634" t="str">
        <f>IF($B129="","",VLOOKUP($B129,Reinforcements[],COLUMN(Reinforcements[[#Headers],[Bottom Transverse Weld Fillet Size (in)]])-1,FALSE))</f>
        <v/>
      </c>
      <c r="AE130" s="634"/>
      <c r="AF130" s="634" t="str">
        <f>IF($B129="","",VLOOKUP($B129,Reinforcements[],COLUMN(Reinforcements[[#Headers],[Bottom Longitudinal Weld Length]])-1,FALSE))</f>
        <v/>
      </c>
      <c r="AG130" s="634"/>
      <c r="AH130" s="634"/>
      <c r="AI130" s="635" t="str">
        <f>IF($B129="","",VLOOKUP($B129,Reinforcements[],COLUMN(Reinforcements[[#Headers],[Bottom Longitudinal Weld Fillet Size (in)]])-1,FALSE))</f>
        <v/>
      </c>
      <c r="AJ130" s="635"/>
      <c r="AK130" s="636" t="str">
        <f>IF($B129="","",IF(Rev="F",(VLOOKUP($B129,Reinforcements[],COLUMN(Reinforcements[[#Headers],[Rev. F Bottom Connection Capacity (kips)]])-1,FALSE)),(IF(Rev="G",(VLOOKUP($B129,Reinforcements[],COLUMN(Reinforcements[[#Headers],[Rev. G Bottom Connection Capacity (kips)]])-1,FALSE)),(VLOOKUP($B129,Reinforcements[],COLUMN(Reinforcements[[#Headers],[Rev. H Bottom Connection Capacity (kips)]])-1,FALSE))))))</f>
        <v/>
      </c>
      <c r="AL130" s="636"/>
      <c r="AM130" s="637"/>
    </row>
    <row r="131" spans="2:39" ht="12.75" hidden="1" customHeight="1" x14ac:dyDescent="0.2">
      <c r="B131" s="638" t="str">
        <f>IF('Reinforcements'!B67="","",'Reinforcements'!B67)</f>
        <v/>
      </c>
      <c r="C131" s="639"/>
      <c r="D131" s="639"/>
      <c r="E131" s="639"/>
      <c r="F131" s="642" t="str">
        <f>IF($B131="","","Top")</f>
        <v/>
      </c>
      <c r="G131" s="629"/>
      <c r="H131" s="629" t="str">
        <f>IF($B131="","",VLOOKUP($B131,Reinforcements[],COLUMN(Reinforcements[[#Headers],['# of End Connection Bolts          (Top)]])-1,FALSE))</f>
        <v/>
      </c>
      <c r="I131" s="629"/>
      <c r="J131" s="629" t="str">
        <f>IF($B131="","",VLOOKUP($B131,Reinforcements[],COLUMN(Reinforcements[[#Headers],[Threads Included (N) or Excluded (X) (Top)]])-1,FALSE))</f>
        <v/>
      </c>
      <c r="K131" s="629"/>
      <c r="L131" s="629" t="str">
        <f>IF($B131="","",VLOOKUP($B131,Reinforcements[],COLUMN(Reinforcements[[#Headers],[End Connection Bolt Spacing (in) (T)]])-1,FALSE))</f>
        <v/>
      </c>
      <c r="M131" s="629"/>
      <c r="N131" s="629" t="str">
        <f>IF($B131="","",VLOOKUP($B131,Reinforcements[],COLUMN(Reinforcements[[#Headers],[End Connection Edge Distance (in) (T)]])-1,FALSE))</f>
        <v/>
      </c>
      <c r="O131" s="629"/>
      <c r="P131" s="629" t="str">
        <f>IF($B131="","",VLOOKUP($B131,Reinforcements[],COLUMN(Reinforcements[[#Headers],[Top Weld Grade (ksi)]])-1,FALSE))</f>
        <v/>
      </c>
      <c r="Q131" s="629"/>
      <c r="R131" s="629" t="str">
        <f>IF($B131="","",VLOOKUP($B131,Reinforcements[],COLUMN(Reinforcements[[#Headers],[Top Transverse (Horizontal) Weld]])-1,FALSE))</f>
        <v/>
      </c>
      <c r="S131" s="629"/>
      <c r="T131" s="629"/>
      <c r="U131" s="629" t="str">
        <f>IF($B131="","",VLOOKUP($B131,Reinforcements[],COLUMN(Reinforcements[[#Headers],[Top Transverse Weld Length]])-1,FALSE))</f>
        <v/>
      </c>
      <c r="V131" s="629"/>
      <c r="W131" s="629"/>
      <c r="X131" s="629" t="str">
        <f>IF($B131="","",VLOOKUP($B131,Reinforcements[],COLUMN(Reinforcements[[#Headers],[Top Transverse Weld Groove Depth (in)]])-1,FALSE))</f>
        <v/>
      </c>
      <c r="Y131" s="629"/>
      <c r="Z131" s="629"/>
      <c r="AA131" s="629" t="str">
        <f>IF($B131="","",VLOOKUP($B131,Reinforcements[],COLUMN(Reinforcements[[#Headers],[Top Transverse Weld Groove Angle (degrees)]])-1,FALSE))</f>
        <v/>
      </c>
      <c r="AB131" s="629"/>
      <c r="AC131" s="629"/>
      <c r="AD131" s="629" t="str">
        <f>IF($B131="","",VLOOKUP($B131,Reinforcements[],COLUMN(Reinforcements[[#Headers],[Top Transverse Weld Fillet Size (in)]])-1,FALSE))</f>
        <v/>
      </c>
      <c r="AE131" s="629"/>
      <c r="AF131" s="629" t="str">
        <f>IF($B131="","",VLOOKUP($B131,Reinforcements[],COLUMN(Reinforcements[[#Headers],[Top Longitudinal Weld Length]])-1,FALSE))</f>
        <v/>
      </c>
      <c r="AG131" s="629"/>
      <c r="AH131" s="629"/>
      <c r="AI131" s="630" t="str">
        <f>IF($B131="","",VLOOKUP($B131,Reinforcements[],COLUMN(Reinforcements[[#Headers],[Top Longitudinal Weld Fillet Size (in)]])-1,FALSE))</f>
        <v/>
      </c>
      <c r="AJ131" s="630"/>
      <c r="AK131" s="631" t="str">
        <f>IF($B131="","",IF(Rev="F",(VLOOKUP($B131,Reinforcements[],COLUMN(Reinforcements[[#Headers],[Rev. F Top Connection Capacity (kips)]])-1,FALSE)),(IF(Rev="G",(VLOOKUP($B131,Reinforcements[],COLUMN(Reinforcements[[#Headers],[Rev. G Top Connection Capacity (kips)]])-1,FALSE)),(VLOOKUP($B131,Reinforcements[],COLUMN(Reinforcements[[#Headers],[Rev. H Top Connection Capacity (kips)]])-1,FALSE))))))</f>
        <v/>
      </c>
      <c r="AL131" s="631"/>
      <c r="AM131" s="632"/>
    </row>
    <row r="132" spans="2:39" ht="12.75" hidden="1" customHeight="1" x14ac:dyDescent="0.2">
      <c r="B132" s="640"/>
      <c r="C132" s="641"/>
      <c r="D132" s="641"/>
      <c r="E132" s="641"/>
      <c r="F132" s="633" t="str">
        <f>IF($B131="","","Bottom")</f>
        <v/>
      </c>
      <c r="G132" s="634"/>
      <c r="H132" s="634" t="str">
        <f>IF($B131="","",VLOOKUP($B131,Reinforcements[],COLUMN(Reinforcements[[#Headers],['# of End Connection Bolts          (Bottom)]])-1,FALSE))</f>
        <v/>
      </c>
      <c r="I132" s="634"/>
      <c r="J132" s="634" t="str">
        <f>IF($B131="","",VLOOKUP($B131,Reinforcements[],COLUMN(Reinforcements[[#Headers],[Threads Included (N) or Excluded (X) (Bottom)]])-1,FALSE))</f>
        <v/>
      </c>
      <c r="K132" s="634"/>
      <c r="L132" s="634" t="str">
        <f>IF($B131="","",VLOOKUP($B131,Reinforcements[],COLUMN(Reinforcements[[#Headers],[End Connection Bolt Spacing (in) (B)]])-1,FALSE))</f>
        <v/>
      </c>
      <c r="M132" s="634"/>
      <c r="N132" s="634" t="str">
        <f>IF($B131="","",VLOOKUP($B131,Reinforcements[],COLUMN(Reinforcements[[#Headers],[End Connection Edge Distance (in) (B)]])-1,FALSE))</f>
        <v/>
      </c>
      <c r="O132" s="634"/>
      <c r="P132" s="634" t="str">
        <f>IF($B131="","",VLOOKUP($B131,Reinforcements[],COLUMN(Reinforcements[[#Headers],[Bottom Weld Grade (ksi)]])-1,FALSE))</f>
        <v/>
      </c>
      <c r="Q132" s="634"/>
      <c r="R132" s="634" t="str">
        <f>IF($B131="","",VLOOKUP($B131,Reinforcements[],COLUMN(Reinforcements[[#Headers],[Bottom Transverse (Horizontal) Weld]])-1,FALSE))</f>
        <v/>
      </c>
      <c r="S132" s="634"/>
      <c r="T132" s="634"/>
      <c r="U132" s="634" t="str">
        <f>IF($B131="","",VLOOKUP($B131,Reinforcements[],COLUMN(Reinforcements[[#Headers],[Bottom Transverse Weld Length]])-1,FALSE))</f>
        <v/>
      </c>
      <c r="V132" s="634"/>
      <c r="W132" s="634"/>
      <c r="X132" s="634" t="str">
        <f>IF($B131="","",VLOOKUP($B131,Reinforcements[],COLUMN(Reinforcements[[#Headers],[Bottom Transverse Weld Groove Depth (in)]])-1,FALSE))</f>
        <v/>
      </c>
      <c r="Y132" s="634"/>
      <c r="Z132" s="634"/>
      <c r="AA132" s="634" t="str">
        <f>IF($B131="","",VLOOKUP($B131,Reinforcements[],COLUMN(Reinforcements[[#Headers],[Bottom Transverse Weld Groove Angle (degrees)]])-1,FALSE))</f>
        <v/>
      </c>
      <c r="AB132" s="634"/>
      <c r="AC132" s="634"/>
      <c r="AD132" s="634" t="str">
        <f>IF($B131="","",VLOOKUP($B131,Reinforcements[],COLUMN(Reinforcements[[#Headers],[Bottom Transverse Weld Fillet Size (in)]])-1,FALSE))</f>
        <v/>
      </c>
      <c r="AE132" s="634"/>
      <c r="AF132" s="634" t="str">
        <f>IF($B131="","",VLOOKUP($B131,Reinforcements[],COLUMN(Reinforcements[[#Headers],[Bottom Longitudinal Weld Length]])-1,FALSE))</f>
        <v/>
      </c>
      <c r="AG132" s="634"/>
      <c r="AH132" s="634"/>
      <c r="AI132" s="635" t="str">
        <f>IF($B131="","",VLOOKUP($B131,Reinforcements[],COLUMN(Reinforcements[[#Headers],[Bottom Longitudinal Weld Fillet Size (in)]])-1,FALSE))</f>
        <v/>
      </c>
      <c r="AJ132" s="635"/>
      <c r="AK132" s="636" t="str">
        <f>IF($B131="","",IF(Rev="F",(VLOOKUP($B131,Reinforcements[],COLUMN(Reinforcements[[#Headers],[Rev. F Bottom Connection Capacity (kips)]])-1,FALSE)),(IF(Rev="G",(VLOOKUP($B131,Reinforcements[],COLUMN(Reinforcements[[#Headers],[Rev. G Bottom Connection Capacity (kips)]])-1,FALSE)),(VLOOKUP($B131,Reinforcements[],COLUMN(Reinforcements[[#Headers],[Rev. H Bottom Connection Capacity (kips)]])-1,FALSE))))))</f>
        <v/>
      </c>
      <c r="AL132" s="636"/>
      <c r="AM132" s="637"/>
    </row>
    <row r="133" spans="2:39" ht="12.75" hidden="1" customHeight="1" x14ac:dyDescent="0.2">
      <c r="B133" s="638" t="str">
        <f>IF('Reinforcements'!B68="","",'Reinforcements'!B68)</f>
        <v/>
      </c>
      <c r="C133" s="639"/>
      <c r="D133" s="639"/>
      <c r="E133" s="639"/>
      <c r="F133" s="642" t="str">
        <f>IF($B133="","","Top")</f>
        <v/>
      </c>
      <c r="G133" s="629"/>
      <c r="H133" s="629" t="str">
        <f>IF($B133="","",VLOOKUP($B133,Reinforcements[],COLUMN(Reinforcements[[#Headers],['# of End Connection Bolts          (Top)]])-1,FALSE))</f>
        <v/>
      </c>
      <c r="I133" s="629"/>
      <c r="J133" s="629" t="str">
        <f>IF($B133="","",VLOOKUP($B133,Reinforcements[],COLUMN(Reinforcements[[#Headers],[Threads Included (N) or Excluded (X) (Top)]])-1,FALSE))</f>
        <v/>
      </c>
      <c r="K133" s="629"/>
      <c r="L133" s="629" t="str">
        <f>IF($B133="","",VLOOKUP($B133,Reinforcements[],COLUMN(Reinforcements[[#Headers],[End Connection Bolt Spacing (in) (T)]])-1,FALSE))</f>
        <v/>
      </c>
      <c r="M133" s="629"/>
      <c r="N133" s="629" t="str">
        <f>IF($B133="","",VLOOKUP($B133,Reinforcements[],COLUMN(Reinforcements[[#Headers],[End Connection Edge Distance (in) (T)]])-1,FALSE))</f>
        <v/>
      </c>
      <c r="O133" s="629"/>
      <c r="P133" s="629" t="str">
        <f>IF($B133="","",VLOOKUP($B133,Reinforcements[],COLUMN(Reinforcements[[#Headers],[Top Weld Grade (ksi)]])-1,FALSE))</f>
        <v/>
      </c>
      <c r="Q133" s="629"/>
      <c r="R133" s="629" t="str">
        <f>IF($B133="","",VLOOKUP($B133,Reinforcements[],COLUMN(Reinforcements[[#Headers],[Top Transverse (Horizontal) Weld]])-1,FALSE))</f>
        <v/>
      </c>
      <c r="S133" s="629"/>
      <c r="T133" s="629"/>
      <c r="U133" s="629" t="str">
        <f>IF($B133="","",VLOOKUP($B133,Reinforcements[],COLUMN(Reinforcements[[#Headers],[Top Transverse Weld Length]])-1,FALSE))</f>
        <v/>
      </c>
      <c r="V133" s="629"/>
      <c r="W133" s="629"/>
      <c r="X133" s="629" t="str">
        <f>IF($B133="","",VLOOKUP($B133,Reinforcements[],COLUMN(Reinforcements[[#Headers],[Top Transverse Weld Groove Depth (in)]])-1,FALSE))</f>
        <v/>
      </c>
      <c r="Y133" s="629"/>
      <c r="Z133" s="629"/>
      <c r="AA133" s="629" t="str">
        <f>IF($B133="","",VLOOKUP($B133,Reinforcements[],COLUMN(Reinforcements[[#Headers],[Top Transverse Weld Groove Angle (degrees)]])-1,FALSE))</f>
        <v/>
      </c>
      <c r="AB133" s="629"/>
      <c r="AC133" s="629"/>
      <c r="AD133" s="629" t="str">
        <f>IF($B133="","",VLOOKUP($B133,Reinforcements[],COLUMN(Reinforcements[[#Headers],[Top Transverse Weld Fillet Size (in)]])-1,FALSE))</f>
        <v/>
      </c>
      <c r="AE133" s="629"/>
      <c r="AF133" s="629" t="str">
        <f>IF($B133="","",VLOOKUP($B133,Reinforcements[],COLUMN(Reinforcements[[#Headers],[Top Longitudinal Weld Length]])-1,FALSE))</f>
        <v/>
      </c>
      <c r="AG133" s="629"/>
      <c r="AH133" s="629"/>
      <c r="AI133" s="630" t="str">
        <f>IF($B133="","",VLOOKUP($B133,Reinforcements[],COLUMN(Reinforcements[[#Headers],[Top Longitudinal Weld Fillet Size (in)]])-1,FALSE))</f>
        <v/>
      </c>
      <c r="AJ133" s="630"/>
      <c r="AK133" s="631" t="str">
        <f>IF($B133="","",IF(Rev="F",(VLOOKUP($B133,Reinforcements[],COLUMN(Reinforcements[[#Headers],[Rev. F Top Connection Capacity (kips)]])-1,FALSE)),(IF(Rev="G",(VLOOKUP($B133,Reinforcements[],COLUMN(Reinforcements[[#Headers],[Rev. G Top Connection Capacity (kips)]])-1,FALSE)),(VLOOKUP($B133,Reinforcements[],COLUMN(Reinforcements[[#Headers],[Rev. H Top Connection Capacity (kips)]])-1,FALSE))))))</f>
        <v/>
      </c>
      <c r="AL133" s="631"/>
      <c r="AM133" s="632"/>
    </row>
    <row r="134" spans="2:39" ht="12.75" hidden="1" customHeight="1" x14ac:dyDescent="0.2">
      <c r="B134" s="640"/>
      <c r="C134" s="641"/>
      <c r="D134" s="641"/>
      <c r="E134" s="641"/>
      <c r="F134" s="633" t="str">
        <f>IF($B133="","","Bottom")</f>
        <v/>
      </c>
      <c r="G134" s="634"/>
      <c r="H134" s="634" t="str">
        <f>IF($B133="","",VLOOKUP($B133,Reinforcements[],COLUMN(Reinforcements[[#Headers],['# of End Connection Bolts          (Bottom)]])-1,FALSE))</f>
        <v/>
      </c>
      <c r="I134" s="634"/>
      <c r="J134" s="634" t="str">
        <f>IF($B133="","",VLOOKUP($B133,Reinforcements[],COLUMN(Reinforcements[[#Headers],[Threads Included (N) or Excluded (X) (Bottom)]])-1,FALSE))</f>
        <v/>
      </c>
      <c r="K134" s="634"/>
      <c r="L134" s="634" t="str">
        <f>IF($B133="","",VLOOKUP($B133,Reinforcements[],COLUMN(Reinforcements[[#Headers],[End Connection Bolt Spacing (in) (B)]])-1,FALSE))</f>
        <v/>
      </c>
      <c r="M134" s="634"/>
      <c r="N134" s="634" t="str">
        <f>IF($B133="","",VLOOKUP($B133,Reinforcements[],COLUMN(Reinforcements[[#Headers],[End Connection Edge Distance (in) (B)]])-1,FALSE))</f>
        <v/>
      </c>
      <c r="O134" s="634"/>
      <c r="P134" s="634" t="str">
        <f>IF($B133="","",VLOOKUP($B133,Reinforcements[],COLUMN(Reinforcements[[#Headers],[Bottom Weld Grade (ksi)]])-1,FALSE))</f>
        <v/>
      </c>
      <c r="Q134" s="634"/>
      <c r="R134" s="634" t="str">
        <f>IF($B133="","",VLOOKUP($B133,Reinforcements[],COLUMN(Reinforcements[[#Headers],[Bottom Transverse (Horizontal) Weld]])-1,FALSE))</f>
        <v/>
      </c>
      <c r="S134" s="634"/>
      <c r="T134" s="634"/>
      <c r="U134" s="634" t="str">
        <f>IF($B133="","",VLOOKUP($B133,Reinforcements[],COLUMN(Reinforcements[[#Headers],[Bottom Transverse Weld Length]])-1,FALSE))</f>
        <v/>
      </c>
      <c r="V134" s="634"/>
      <c r="W134" s="634"/>
      <c r="X134" s="634" t="str">
        <f>IF($B133="","",VLOOKUP($B133,Reinforcements[],COLUMN(Reinforcements[[#Headers],[Bottom Transverse Weld Groove Depth (in)]])-1,FALSE))</f>
        <v/>
      </c>
      <c r="Y134" s="634"/>
      <c r="Z134" s="634"/>
      <c r="AA134" s="634" t="str">
        <f>IF($B133="","",VLOOKUP($B133,Reinforcements[],COLUMN(Reinforcements[[#Headers],[Bottom Transverse Weld Groove Angle (degrees)]])-1,FALSE))</f>
        <v/>
      </c>
      <c r="AB134" s="634"/>
      <c r="AC134" s="634"/>
      <c r="AD134" s="634" t="str">
        <f>IF($B133="","",VLOOKUP($B133,Reinforcements[],COLUMN(Reinforcements[[#Headers],[Bottom Transverse Weld Fillet Size (in)]])-1,FALSE))</f>
        <v/>
      </c>
      <c r="AE134" s="634"/>
      <c r="AF134" s="634" t="str">
        <f>IF($B133="","",VLOOKUP($B133,Reinforcements[],COLUMN(Reinforcements[[#Headers],[Bottom Longitudinal Weld Length]])-1,FALSE))</f>
        <v/>
      </c>
      <c r="AG134" s="634"/>
      <c r="AH134" s="634"/>
      <c r="AI134" s="635" t="str">
        <f>IF($B133="","",VLOOKUP($B133,Reinforcements[],COLUMN(Reinforcements[[#Headers],[Bottom Longitudinal Weld Fillet Size (in)]])-1,FALSE))</f>
        <v/>
      </c>
      <c r="AJ134" s="635"/>
      <c r="AK134" s="636" t="str">
        <f>IF($B133="","",IF(Rev="F",(VLOOKUP($B133,Reinforcements[],COLUMN(Reinforcements[[#Headers],[Rev. F Bottom Connection Capacity (kips)]])-1,FALSE)),(IF(Rev="G",(VLOOKUP($B133,Reinforcements[],COLUMN(Reinforcements[[#Headers],[Rev. G Bottom Connection Capacity (kips)]])-1,FALSE)),(VLOOKUP($B133,Reinforcements[],COLUMN(Reinforcements[[#Headers],[Rev. H Bottom Connection Capacity (kips)]])-1,FALSE))))))</f>
        <v/>
      </c>
      <c r="AL134" s="636"/>
      <c r="AM134" s="637"/>
    </row>
    <row r="135" spans="2:39" ht="12.75" hidden="1" customHeight="1" x14ac:dyDescent="0.2">
      <c r="B135" s="638" t="str">
        <f>IF('Reinforcements'!B69="","",'Reinforcements'!B69)</f>
        <v/>
      </c>
      <c r="C135" s="639"/>
      <c r="D135" s="639"/>
      <c r="E135" s="639"/>
      <c r="F135" s="642" t="str">
        <f>IF($B135="","","Top")</f>
        <v/>
      </c>
      <c r="G135" s="629"/>
      <c r="H135" s="629" t="str">
        <f>IF($B135="","",VLOOKUP($B135,Reinforcements[],COLUMN(Reinforcements[[#Headers],['# of End Connection Bolts          (Top)]])-1,FALSE))</f>
        <v/>
      </c>
      <c r="I135" s="629"/>
      <c r="J135" s="629" t="str">
        <f>IF($B135="","",VLOOKUP($B135,Reinforcements[],COLUMN(Reinforcements[[#Headers],[Threads Included (N) or Excluded (X) (Top)]])-1,FALSE))</f>
        <v/>
      </c>
      <c r="K135" s="629"/>
      <c r="L135" s="629" t="str">
        <f>IF($B135="","",VLOOKUP($B135,Reinforcements[],COLUMN(Reinforcements[[#Headers],[End Connection Bolt Spacing (in) (T)]])-1,FALSE))</f>
        <v/>
      </c>
      <c r="M135" s="629"/>
      <c r="N135" s="629" t="str">
        <f>IF($B135="","",VLOOKUP($B135,Reinforcements[],COLUMN(Reinforcements[[#Headers],[End Connection Edge Distance (in) (T)]])-1,FALSE))</f>
        <v/>
      </c>
      <c r="O135" s="629"/>
      <c r="P135" s="629" t="str">
        <f>IF($B135="","",VLOOKUP($B135,Reinforcements[],COLUMN(Reinforcements[[#Headers],[Top Weld Grade (ksi)]])-1,FALSE))</f>
        <v/>
      </c>
      <c r="Q135" s="629"/>
      <c r="R135" s="629" t="str">
        <f>IF($B135="","",VLOOKUP($B135,Reinforcements[],COLUMN(Reinforcements[[#Headers],[Top Transverse (Horizontal) Weld]])-1,FALSE))</f>
        <v/>
      </c>
      <c r="S135" s="629"/>
      <c r="T135" s="629"/>
      <c r="U135" s="629" t="str">
        <f>IF($B135="","",VLOOKUP($B135,Reinforcements[],COLUMN(Reinforcements[[#Headers],[Top Transverse Weld Length]])-1,FALSE))</f>
        <v/>
      </c>
      <c r="V135" s="629"/>
      <c r="W135" s="629"/>
      <c r="X135" s="629" t="str">
        <f>IF($B135="","",VLOOKUP($B135,Reinforcements[],COLUMN(Reinforcements[[#Headers],[Top Transverse Weld Groove Depth (in)]])-1,FALSE))</f>
        <v/>
      </c>
      <c r="Y135" s="629"/>
      <c r="Z135" s="629"/>
      <c r="AA135" s="629" t="str">
        <f>IF($B135="","",VLOOKUP($B135,Reinforcements[],COLUMN(Reinforcements[[#Headers],[Top Transverse Weld Groove Angle (degrees)]])-1,FALSE))</f>
        <v/>
      </c>
      <c r="AB135" s="629"/>
      <c r="AC135" s="629"/>
      <c r="AD135" s="629" t="str">
        <f>IF($B135="","",VLOOKUP($B135,Reinforcements[],COLUMN(Reinforcements[[#Headers],[Top Transverse Weld Fillet Size (in)]])-1,FALSE))</f>
        <v/>
      </c>
      <c r="AE135" s="629"/>
      <c r="AF135" s="629" t="str">
        <f>IF($B135="","",VLOOKUP($B135,Reinforcements[],COLUMN(Reinforcements[[#Headers],[Top Longitudinal Weld Length]])-1,FALSE))</f>
        <v/>
      </c>
      <c r="AG135" s="629"/>
      <c r="AH135" s="629"/>
      <c r="AI135" s="630" t="str">
        <f>IF($B135="","",VLOOKUP($B135,Reinforcements[],COLUMN(Reinforcements[[#Headers],[Top Longitudinal Weld Fillet Size (in)]])-1,FALSE))</f>
        <v/>
      </c>
      <c r="AJ135" s="630"/>
      <c r="AK135" s="631" t="str">
        <f>IF($B135="","",IF(Rev="F",(VLOOKUP($B135,Reinforcements[],COLUMN(Reinforcements[[#Headers],[Rev. F Top Connection Capacity (kips)]])-1,FALSE)),(IF(Rev="G",(VLOOKUP($B135,Reinforcements[],COLUMN(Reinforcements[[#Headers],[Rev. G Top Connection Capacity (kips)]])-1,FALSE)),(VLOOKUP($B135,Reinforcements[],COLUMN(Reinforcements[[#Headers],[Rev. H Top Connection Capacity (kips)]])-1,FALSE))))))</f>
        <v/>
      </c>
      <c r="AL135" s="631"/>
      <c r="AM135" s="632"/>
    </row>
    <row r="136" spans="2:39" ht="12.75" hidden="1" customHeight="1" x14ac:dyDescent="0.2">
      <c r="B136" s="640"/>
      <c r="C136" s="641"/>
      <c r="D136" s="641"/>
      <c r="E136" s="641"/>
      <c r="F136" s="633" t="str">
        <f>IF($B135="","","Bottom")</f>
        <v/>
      </c>
      <c r="G136" s="634"/>
      <c r="H136" s="634" t="str">
        <f>IF($B135="","",VLOOKUP($B135,Reinforcements[],COLUMN(Reinforcements[[#Headers],['# of End Connection Bolts          (Bottom)]])-1,FALSE))</f>
        <v/>
      </c>
      <c r="I136" s="634"/>
      <c r="J136" s="634" t="str">
        <f>IF($B135="","",VLOOKUP($B135,Reinforcements[],COLUMN(Reinforcements[[#Headers],[Threads Included (N) or Excluded (X) (Bottom)]])-1,FALSE))</f>
        <v/>
      </c>
      <c r="K136" s="634"/>
      <c r="L136" s="634" t="str">
        <f>IF($B135="","",VLOOKUP($B135,Reinforcements[],COLUMN(Reinforcements[[#Headers],[End Connection Bolt Spacing (in) (B)]])-1,FALSE))</f>
        <v/>
      </c>
      <c r="M136" s="634"/>
      <c r="N136" s="634" t="str">
        <f>IF($B135="","",VLOOKUP($B135,Reinforcements[],COLUMN(Reinforcements[[#Headers],[End Connection Edge Distance (in) (B)]])-1,FALSE))</f>
        <v/>
      </c>
      <c r="O136" s="634"/>
      <c r="P136" s="634" t="str">
        <f>IF($B135="","",VLOOKUP($B135,Reinforcements[],COLUMN(Reinforcements[[#Headers],[Bottom Weld Grade (ksi)]])-1,FALSE))</f>
        <v/>
      </c>
      <c r="Q136" s="634"/>
      <c r="R136" s="634" t="str">
        <f>IF($B135="","",VLOOKUP($B135,Reinforcements[],COLUMN(Reinforcements[[#Headers],[Bottom Transverse (Horizontal) Weld]])-1,FALSE))</f>
        <v/>
      </c>
      <c r="S136" s="634"/>
      <c r="T136" s="634"/>
      <c r="U136" s="634" t="str">
        <f>IF($B135="","",VLOOKUP($B135,Reinforcements[],COLUMN(Reinforcements[[#Headers],[Bottom Transverse Weld Length]])-1,FALSE))</f>
        <v/>
      </c>
      <c r="V136" s="634"/>
      <c r="W136" s="634"/>
      <c r="X136" s="634" t="str">
        <f>IF($B135="","",VLOOKUP($B135,Reinforcements[],COLUMN(Reinforcements[[#Headers],[Bottom Transverse Weld Groove Depth (in)]])-1,FALSE))</f>
        <v/>
      </c>
      <c r="Y136" s="634"/>
      <c r="Z136" s="634"/>
      <c r="AA136" s="634" t="str">
        <f>IF($B135="","",VLOOKUP($B135,Reinforcements[],COLUMN(Reinforcements[[#Headers],[Bottom Transverse Weld Groove Angle (degrees)]])-1,FALSE))</f>
        <v/>
      </c>
      <c r="AB136" s="634"/>
      <c r="AC136" s="634"/>
      <c r="AD136" s="634" t="str">
        <f>IF($B135="","",VLOOKUP($B135,Reinforcements[],COLUMN(Reinforcements[[#Headers],[Bottom Transverse Weld Fillet Size (in)]])-1,FALSE))</f>
        <v/>
      </c>
      <c r="AE136" s="634"/>
      <c r="AF136" s="634" t="str">
        <f>IF($B135="","",VLOOKUP($B135,Reinforcements[],COLUMN(Reinforcements[[#Headers],[Bottom Longitudinal Weld Length]])-1,FALSE))</f>
        <v/>
      </c>
      <c r="AG136" s="634"/>
      <c r="AH136" s="634"/>
      <c r="AI136" s="635" t="str">
        <f>IF($B135="","",VLOOKUP($B135,Reinforcements[],COLUMN(Reinforcements[[#Headers],[Bottom Longitudinal Weld Fillet Size (in)]])-1,FALSE))</f>
        <v/>
      </c>
      <c r="AJ136" s="635"/>
      <c r="AK136" s="636" t="str">
        <f>IF($B135="","",IF(Rev="F",(VLOOKUP($B135,Reinforcements[],COLUMN(Reinforcements[[#Headers],[Rev. F Bottom Connection Capacity (kips)]])-1,FALSE)),(IF(Rev="G",(VLOOKUP($B135,Reinforcements[],COLUMN(Reinforcements[[#Headers],[Rev. G Bottom Connection Capacity (kips)]])-1,FALSE)),(VLOOKUP($B135,Reinforcements[],COLUMN(Reinforcements[[#Headers],[Rev. H Bottom Connection Capacity (kips)]])-1,FALSE))))))</f>
        <v/>
      </c>
      <c r="AL136" s="636"/>
      <c r="AM136" s="637"/>
    </row>
    <row r="137" spans="2:39" ht="12.75" hidden="1" customHeight="1" x14ac:dyDescent="0.2">
      <c r="B137" s="638" t="str">
        <f>IF('Reinforcements'!B70="","",'Reinforcements'!B70)</f>
        <v/>
      </c>
      <c r="C137" s="639"/>
      <c r="D137" s="639"/>
      <c r="E137" s="639"/>
      <c r="F137" s="642" t="str">
        <f>IF($B137="","","Top")</f>
        <v/>
      </c>
      <c r="G137" s="629"/>
      <c r="H137" s="629" t="str">
        <f>IF($B137="","",VLOOKUP($B137,Reinforcements[],COLUMN(Reinforcements[[#Headers],['# of End Connection Bolts          (Top)]])-1,FALSE))</f>
        <v/>
      </c>
      <c r="I137" s="629"/>
      <c r="J137" s="629" t="str">
        <f>IF($B137="","",VLOOKUP($B137,Reinforcements[],COLUMN(Reinforcements[[#Headers],[Threads Included (N) or Excluded (X) (Top)]])-1,FALSE))</f>
        <v/>
      </c>
      <c r="K137" s="629"/>
      <c r="L137" s="629" t="str">
        <f>IF($B137="","",VLOOKUP($B137,Reinforcements[],COLUMN(Reinforcements[[#Headers],[End Connection Bolt Spacing (in) (T)]])-1,FALSE))</f>
        <v/>
      </c>
      <c r="M137" s="629"/>
      <c r="N137" s="629" t="str">
        <f>IF($B137="","",VLOOKUP($B137,Reinforcements[],COLUMN(Reinforcements[[#Headers],[End Connection Edge Distance (in) (T)]])-1,FALSE))</f>
        <v/>
      </c>
      <c r="O137" s="629"/>
      <c r="P137" s="629" t="str">
        <f>IF($B137="","",VLOOKUP($B137,Reinforcements[],COLUMN(Reinforcements[[#Headers],[Top Weld Grade (ksi)]])-1,FALSE))</f>
        <v/>
      </c>
      <c r="Q137" s="629"/>
      <c r="R137" s="629" t="str">
        <f>IF($B137="","",VLOOKUP($B137,Reinforcements[],COLUMN(Reinforcements[[#Headers],[Top Transverse (Horizontal) Weld]])-1,FALSE))</f>
        <v/>
      </c>
      <c r="S137" s="629"/>
      <c r="T137" s="629"/>
      <c r="U137" s="629" t="str">
        <f>IF($B137="","",VLOOKUP($B137,Reinforcements[],COLUMN(Reinforcements[[#Headers],[Top Transverse Weld Length]])-1,FALSE))</f>
        <v/>
      </c>
      <c r="V137" s="629"/>
      <c r="W137" s="629"/>
      <c r="X137" s="629" t="str">
        <f>IF($B137="","",VLOOKUP($B137,Reinforcements[],COLUMN(Reinforcements[[#Headers],[Top Transverse Weld Groove Depth (in)]])-1,FALSE))</f>
        <v/>
      </c>
      <c r="Y137" s="629"/>
      <c r="Z137" s="629"/>
      <c r="AA137" s="629" t="str">
        <f>IF($B137="","",VLOOKUP($B137,Reinforcements[],COLUMN(Reinforcements[[#Headers],[Top Transverse Weld Groove Angle (degrees)]])-1,FALSE))</f>
        <v/>
      </c>
      <c r="AB137" s="629"/>
      <c r="AC137" s="629"/>
      <c r="AD137" s="629" t="str">
        <f>IF($B137="","",VLOOKUP($B137,Reinforcements[],COLUMN(Reinforcements[[#Headers],[Top Transverse Weld Fillet Size (in)]])-1,FALSE))</f>
        <v/>
      </c>
      <c r="AE137" s="629"/>
      <c r="AF137" s="629" t="str">
        <f>IF($B137="","",VLOOKUP($B137,Reinforcements[],COLUMN(Reinforcements[[#Headers],[Top Longitudinal Weld Length]])-1,FALSE))</f>
        <v/>
      </c>
      <c r="AG137" s="629"/>
      <c r="AH137" s="629"/>
      <c r="AI137" s="630" t="str">
        <f>IF($B137="","",VLOOKUP($B137,Reinforcements[],COLUMN(Reinforcements[[#Headers],[Top Longitudinal Weld Fillet Size (in)]])-1,FALSE))</f>
        <v/>
      </c>
      <c r="AJ137" s="630"/>
      <c r="AK137" s="631" t="str">
        <f>IF($B137="","",IF(Rev="F",(VLOOKUP($B137,Reinforcements[],COLUMN(Reinforcements[[#Headers],[Rev. F Top Connection Capacity (kips)]])-1,FALSE)),(IF(Rev="G",(VLOOKUP($B137,Reinforcements[],COLUMN(Reinforcements[[#Headers],[Rev. G Top Connection Capacity (kips)]])-1,FALSE)),(VLOOKUP($B137,Reinforcements[],COLUMN(Reinforcements[[#Headers],[Rev. H Top Connection Capacity (kips)]])-1,FALSE))))))</f>
        <v/>
      </c>
      <c r="AL137" s="631"/>
      <c r="AM137" s="632"/>
    </row>
    <row r="138" spans="2:39" ht="12.75" hidden="1" customHeight="1" x14ac:dyDescent="0.2">
      <c r="B138" s="640"/>
      <c r="C138" s="641"/>
      <c r="D138" s="641"/>
      <c r="E138" s="641"/>
      <c r="F138" s="633" t="str">
        <f>IF($B137="","","Bottom")</f>
        <v/>
      </c>
      <c r="G138" s="634"/>
      <c r="H138" s="634" t="str">
        <f>IF($B137="","",VLOOKUP($B137,Reinforcements[],COLUMN(Reinforcements[[#Headers],['# of End Connection Bolts          (Bottom)]])-1,FALSE))</f>
        <v/>
      </c>
      <c r="I138" s="634"/>
      <c r="J138" s="634" t="str">
        <f>IF($B137="","",VLOOKUP($B137,Reinforcements[],COLUMN(Reinforcements[[#Headers],[Threads Included (N) or Excluded (X) (Bottom)]])-1,FALSE))</f>
        <v/>
      </c>
      <c r="K138" s="634"/>
      <c r="L138" s="634" t="str">
        <f>IF($B137="","",VLOOKUP($B137,Reinforcements[],COLUMN(Reinforcements[[#Headers],[End Connection Bolt Spacing (in) (B)]])-1,FALSE))</f>
        <v/>
      </c>
      <c r="M138" s="634"/>
      <c r="N138" s="634" t="str">
        <f>IF($B137="","",VLOOKUP($B137,Reinforcements[],COLUMN(Reinforcements[[#Headers],[End Connection Edge Distance (in) (B)]])-1,FALSE))</f>
        <v/>
      </c>
      <c r="O138" s="634"/>
      <c r="P138" s="634" t="str">
        <f>IF($B137="","",VLOOKUP($B137,Reinforcements[],COLUMN(Reinforcements[[#Headers],[Bottom Weld Grade (ksi)]])-1,FALSE))</f>
        <v/>
      </c>
      <c r="Q138" s="634"/>
      <c r="R138" s="634" t="str">
        <f>IF($B137="","",VLOOKUP($B137,Reinforcements[],COLUMN(Reinforcements[[#Headers],[Bottom Transverse (Horizontal) Weld]])-1,FALSE))</f>
        <v/>
      </c>
      <c r="S138" s="634"/>
      <c r="T138" s="634"/>
      <c r="U138" s="634" t="str">
        <f>IF($B137="","",VLOOKUP($B137,Reinforcements[],COLUMN(Reinforcements[[#Headers],[Bottom Transverse Weld Length]])-1,FALSE))</f>
        <v/>
      </c>
      <c r="V138" s="634"/>
      <c r="W138" s="634"/>
      <c r="X138" s="634" t="str">
        <f>IF($B137="","",VLOOKUP($B137,Reinforcements[],COLUMN(Reinforcements[[#Headers],[Bottom Transverse Weld Groove Depth (in)]])-1,FALSE))</f>
        <v/>
      </c>
      <c r="Y138" s="634"/>
      <c r="Z138" s="634"/>
      <c r="AA138" s="634" t="str">
        <f>IF($B137="","",VLOOKUP($B137,Reinforcements[],COLUMN(Reinforcements[[#Headers],[Bottom Transverse Weld Groove Angle (degrees)]])-1,FALSE))</f>
        <v/>
      </c>
      <c r="AB138" s="634"/>
      <c r="AC138" s="634"/>
      <c r="AD138" s="634" t="str">
        <f>IF($B137="","",VLOOKUP($B137,Reinforcements[],COLUMN(Reinforcements[[#Headers],[Bottom Transverse Weld Fillet Size (in)]])-1,FALSE))</f>
        <v/>
      </c>
      <c r="AE138" s="634"/>
      <c r="AF138" s="634" t="str">
        <f>IF($B137="","",VLOOKUP($B137,Reinforcements[],COLUMN(Reinforcements[[#Headers],[Bottom Longitudinal Weld Length]])-1,FALSE))</f>
        <v/>
      </c>
      <c r="AG138" s="634"/>
      <c r="AH138" s="634"/>
      <c r="AI138" s="635" t="str">
        <f>IF($B137="","",VLOOKUP($B137,Reinforcements[],COLUMN(Reinforcements[[#Headers],[Bottom Longitudinal Weld Fillet Size (in)]])-1,FALSE))</f>
        <v/>
      </c>
      <c r="AJ138" s="635"/>
      <c r="AK138" s="636" t="str">
        <f>IF($B137="","",IF(Rev="F",(VLOOKUP($B137,Reinforcements[],COLUMN(Reinforcements[[#Headers],[Rev. F Bottom Connection Capacity (kips)]])-1,FALSE)),(IF(Rev="G",(VLOOKUP($B137,Reinforcements[],COLUMN(Reinforcements[[#Headers],[Rev. G Bottom Connection Capacity (kips)]])-1,FALSE)),(VLOOKUP($B137,Reinforcements[],COLUMN(Reinforcements[[#Headers],[Rev. H Bottom Connection Capacity (kips)]])-1,FALSE))))))</f>
        <v/>
      </c>
      <c r="AL138" s="636"/>
      <c r="AM138" s="637"/>
    </row>
    <row r="139" spans="2:39" ht="12.75" hidden="1" customHeight="1" x14ac:dyDescent="0.2">
      <c r="B139" s="638" t="str">
        <f>IF('Reinforcements'!B71="","",'Reinforcements'!B71)</f>
        <v/>
      </c>
      <c r="C139" s="639"/>
      <c r="D139" s="639"/>
      <c r="E139" s="639"/>
      <c r="F139" s="642" t="str">
        <f>IF($B139="","","Top")</f>
        <v/>
      </c>
      <c r="G139" s="629"/>
      <c r="H139" s="629" t="str">
        <f>IF($B139="","",VLOOKUP($B139,Reinforcements[],COLUMN(Reinforcements[[#Headers],['# of End Connection Bolts          (Top)]])-1,FALSE))</f>
        <v/>
      </c>
      <c r="I139" s="629"/>
      <c r="J139" s="629" t="str">
        <f>IF($B139="","",VLOOKUP($B139,Reinforcements[],COLUMN(Reinforcements[[#Headers],[Threads Included (N) or Excluded (X) (Top)]])-1,FALSE))</f>
        <v/>
      </c>
      <c r="K139" s="629"/>
      <c r="L139" s="629" t="str">
        <f>IF($B139="","",VLOOKUP($B139,Reinforcements[],COLUMN(Reinforcements[[#Headers],[End Connection Bolt Spacing (in) (T)]])-1,FALSE))</f>
        <v/>
      </c>
      <c r="M139" s="629"/>
      <c r="N139" s="629" t="str">
        <f>IF($B139="","",VLOOKUP($B139,Reinforcements[],COLUMN(Reinforcements[[#Headers],[End Connection Edge Distance (in) (T)]])-1,FALSE))</f>
        <v/>
      </c>
      <c r="O139" s="629"/>
      <c r="P139" s="629" t="str">
        <f>IF($B139="","",VLOOKUP($B139,Reinforcements[],COLUMN(Reinforcements[[#Headers],[Top Weld Grade (ksi)]])-1,FALSE))</f>
        <v/>
      </c>
      <c r="Q139" s="629"/>
      <c r="R139" s="629" t="str">
        <f>IF($B139="","",VLOOKUP($B139,Reinforcements[],COLUMN(Reinforcements[[#Headers],[Top Transverse (Horizontal) Weld]])-1,FALSE))</f>
        <v/>
      </c>
      <c r="S139" s="629"/>
      <c r="T139" s="629"/>
      <c r="U139" s="629" t="str">
        <f>IF($B139="","",VLOOKUP($B139,Reinforcements[],COLUMN(Reinforcements[[#Headers],[Top Transverse Weld Length]])-1,FALSE))</f>
        <v/>
      </c>
      <c r="V139" s="629"/>
      <c r="W139" s="629"/>
      <c r="X139" s="629" t="str">
        <f>IF($B139="","",VLOOKUP($B139,Reinforcements[],COLUMN(Reinforcements[[#Headers],[Top Transverse Weld Groove Depth (in)]])-1,FALSE))</f>
        <v/>
      </c>
      <c r="Y139" s="629"/>
      <c r="Z139" s="629"/>
      <c r="AA139" s="629" t="str">
        <f>IF($B139="","",VLOOKUP($B139,Reinforcements[],COLUMN(Reinforcements[[#Headers],[Top Transverse Weld Groove Angle (degrees)]])-1,FALSE))</f>
        <v/>
      </c>
      <c r="AB139" s="629"/>
      <c r="AC139" s="629"/>
      <c r="AD139" s="629" t="str">
        <f>IF($B139="","",VLOOKUP($B139,Reinforcements[],COLUMN(Reinforcements[[#Headers],[Top Transverse Weld Fillet Size (in)]])-1,FALSE))</f>
        <v/>
      </c>
      <c r="AE139" s="629"/>
      <c r="AF139" s="629" t="str">
        <f>IF($B139="","",VLOOKUP($B139,Reinforcements[],COLUMN(Reinforcements[[#Headers],[Top Longitudinal Weld Length]])-1,FALSE))</f>
        <v/>
      </c>
      <c r="AG139" s="629"/>
      <c r="AH139" s="629"/>
      <c r="AI139" s="630" t="str">
        <f>IF($B139="","",VLOOKUP($B139,Reinforcements[],COLUMN(Reinforcements[[#Headers],[Top Longitudinal Weld Fillet Size (in)]])-1,FALSE))</f>
        <v/>
      </c>
      <c r="AJ139" s="630"/>
      <c r="AK139" s="631" t="str">
        <f>IF($B139="","",IF(Rev="F",(VLOOKUP($B139,Reinforcements[],COLUMN(Reinforcements[[#Headers],[Rev. F Top Connection Capacity (kips)]])-1,FALSE)),(IF(Rev="G",(VLOOKUP($B139,Reinforcements[],COLUMN(Reinforcements[[#Headers],[Rev. G Top Connection Capacity (kips)]])-1,FALSE)),(VLOOKUP($B139,Reinforcements[],COLUMN(Reinforcements[[#Headers],[Rev. H Top Connection Capacity (kips)]])-1,FALSE))))))</f>
        <v/>
      </c>
      <c r="AL139" s="631"/>
      <c r="AM139" s="632"/>
    </row>
    <row r="140" spans="2:39" ht="12.75" hidden="1" customHeight="1" x14ac:dyDescent="0.2">
      <c r="B140" s="640"/>
      <c r="C140" s="641"/>
      <c r="D140" s="641"/>
      <c r="E140" s="641"/>
      <c r="F140" s="633" t="str">
        <f>IF($B139="","","Bottom")</f>
        <v/>
      </c>
      <c r="G140" s="634"/>
      <c r="H140" s="634" t="str">
        <f>IF($B139="","",VLOOKUP($B139,Reinforcements[],COLUMN(Reinforcements[[#Headers],['# of End Connection Bolts          (Bottom)]])-1,FALSE))</f>
        <v/>
      </c>
      <c r="I140" s="634"/>
      <c r="J140" s="634" t="str">
        <f>IF($B139="","",VLOOKUP($B139,Reinforcements[],COLUMN(Reinforcements[[#Headers],[Threads Included (N) or Excluded (X) (Bottom)]])-1,FALSE))</f>
        <v/>
      </c>
      <c r="K140" s="634"/>
      <c r="L140" s="634" t="str">
        <f>IF($B139="","",VLOOKUP($B139,Reinforcements[],COLUMN(Reinforcements[[#Headers],[End Connection Bolt Spacing (in) (B)]])-1,FALSE))</f>
        <v/>
      </c>
      <c r="M140" s="634"/>
      <c r="N140" s="634" t="str">
        <f>IF($B139="","",VLOOKUP($B139,Reinforcements[],COLUMN(Reinforcements[[#Headers],[End Connection Edge Distance (in) (B)]])-1,FALSE))</f>
        <v/>
      </c>
      <c r="O140" s="634"/>
      <c r="P140" s="634" t="str">
        <f>IF($B139="","",VLOOKUP($B139,Reinforcements[],COLUMN(Reinforcements[[#Headers],[Bottom Weld Grade (ksi)]])-1,FALSE))</f>
        <v/>
      </c>
      <c r="Q140" s="634"/>
      <c r="R140" s="634" t="str">
        <f>IF($B139="","",VLOOKUP($B139,Reinforcements[],COLUMN(Reinforcements[[#Headers],[Bottom Transverse (Horizontal) Weld]])-1,FALSE))</f>
        <v/>
      </c>
      <c r="S140" s="634"/>
      <c r="T140" s="634"/>
      <c r="U140" s="634" t="str">
        <f>IF($B139="","",VLOOKUP($B139,Reinforcements[],COLUMN(Reinforcements[[#Headers],[Bottom Transverse Weld Length]])-1,FALSE))</f>
        <v/>
      </c>
      <c r="V140" s="634"/>
      <c r="W140" s="634"/>
      <c r="X140" s="634" t="str">
        <f>IF($B139="","",VLOOKUP($B139,Reinforcements[],COLUMN(Reinforcements[[#Headers],[Bottom Transverse Weld Groove Depth (in)]])-1,FALSE))</f>
        <v/>
      </c>
      <c r="Y140" s="634"/>
      <c r="Z140" s="634"/>
      <c r="AA140" s="634" t="str">
        <f>IF($B139="","",VLOOKUP($B139,Reinforcements[],COLUMN(Reinforcements[[#Headers],[Bottom Transverse Weld Groove Angle (degrees)]])-1,FALSE))</f>
        <v/>
      </c>
      <c r="AB140" s="634"/>
      <c r="AC140" s="634"/>
      <c r="AD140" s="634" t="str">
        <f>IF($B139="","",VLOOKUP($B139,Reinforcements[],COLUMN(Reinforcements[[#Headers],[Bottom Transverse Weld Fillet Size (in)]])-1,FALSE))</f>
        <v/>
      </c>
      <c r="AE140" s="634"/>
      <c r="AF140" s="634" t="str">
        <f>IF($B139="","",VLOOKUP($B139,Reinforcements[],COLUMN(Reinforcements[[#Headers],[Bottom Longitudinal Weld Length]])-1,FALSE))</f>
        <v/>
      </c>
      <c r="AG140" s="634"/>
      <c r="AH140" s="634"/>
      <c r="AI140" s="635" t="str">
        <f>IF($B139="","",VLOOKUP($B139,Reinforcements[],COLUMN(Reinforcements[[#Headers],[Bottom Longitudinal Weld Fillet Size (in)]])-1,FALSE))</f>
        <v/>
      </c>
      <c r="AJ140" s="635"/>
      <c r="AK140" s="636" t="str">
        <f>IF($B139="","",IF(Rev="F",(VLOOKUP($B139,Reinforcements[],COLUMN(Reinforcements[[#Headers],[Rev. F Bottom Connection Capacity (kips)]])-1,FALSE)),(IF(Rev="G",(VLOOKUP($B139,Reinforcements[],COLUMN(Reinforcements[[#Headers],[Rev. G Bottom Connection Capacity (kips)]])-1,FALSE)),(VLOOKUP($B139,Reinforcements[],COLUMN(Reinforcements[[#Headers],[Rev. H Bottom Connection Capacity (kips)]])-1,FALSE))))))</f>
        <v/>
      </c>
      <c r="AL140" s="636"/>
      <c r="AM140" s="637"/>
    </row>
    <row r="141" spans="2:39" ht="12.75" hidden="1" customHeight="1" x14ac:dyDescent="0.2">
      <c r="B141" s="638" t="str">
        <f>IF('Reinforcements'!B72="","",'Reinforcements'!B72)</f>
        <v/>
      </c>
      <c r="C141" s="639"/>
      <c r="D141" s="639"/>
      <c r="E141" s="639"/>
      <c r="F141" s="642" t="str">
        <f>IF($B141="","","Top")</f>
        <v/>
      </c>
      <c r="G141" s="629"/>
      <c r="H141" s="629" t="str">
        <f>IF($B141="","",VLOOKUP($B141,Reinforcements[],COLUMN(Reinforcements[[#Headers],['# of End Connection Bolts          (Top)]])-1,FALSE))</f>
        <v/>
      </c>
      <c r="I141" s="629"/>
      <c r="J141" s="629" t="str">
        <f>IF($B141="","",VLOOKUP($B141,Reinforcements[],COLUMN(Reinforcements[[#Headers],[Threads Included (N) or Excluded (X) (Top)]])-1,FALSE))</f>
        <v/>
      </c>
      <c r="K141" s="629"/>
      <c r="L141" s="629" t="str">
        <f>IF($B141="","",VLOOKUP($B141,Reinforcements[],COLUMN(Reinforcements[[#Headers],[End Connection Bolt Spacing (in) (T)]])-1,FALSE))</f>
        <v/>
      </c>
      <c r="M141" s="629"/>
      <c r="N141" s="629" t="str">
        <f>IF($B141="","",VLOOKUP($B141,Reinforcements[],COLUMN(Reinforcements[[#Headers],[End Connection Edge Distance (in) (T)]])-1,FALSE))</f>
        <v/>
      </c>
      <c r="O141" s="629"/>
      <c r="P141" s="629" t="str">
        <f>IF($B141="","",VLOOKUP($B141,Reinforcements[],COLUMN(Reinforcements[[#Headers],[Top Weld Grade (ksi)]])-1,FALSE))</f>
        <v/>
      </c>
      <c r="Q141" s="629"/>
      <c r="R141" s="629" t="str">
        <f>IF($B141="","",VLOOKUP($B141,Reinforcements[],COLUMN(Reinforcements[[#Headers],[Top Transverse (Horizontal) Weld]])-1,FALSE))</f>
        <v/>
      </c>
      <c r="S141" s="629"/>
      <c r="T141" s="629"/>
      <c r="U141" s="629" t="str">
        <f>IF($B141="","",VLOOKUP($B141,Reinforcements[],COLUMN(Reinforcements[[#Headers],[Top Transverse Weld Length]])-1,FALSE))</f>
        <v/>
      </c>
      <c r="V141" s="629"/>
      <c r="W141" s="629"/>
      <c r="X141" s="629" t="str">
        <f>IF($B141="","",VLOOKUP($B141,Reinforcements[],COLUMN(Reinforcements[[#Headers],[Top Transverse Weld Groove Depth (in)]])-1,FALSE))</f>
        <v/>
      </c>
      <c r="Y141" s="629"/>
      <c r="Z141" s="629"/>
      <c r="AA141" s="629" t="str">
        <f>IF($B141="","",VLOOKUP($B141,Reinforcements[],COLUMN(Reinforcements[[#Headers],[Top Transverse Weld Groove Angle (degrees)]])-1,FALSE))</f>
        <v/>
      </c>
      <c r="AB141" s="629"/>
      <c r="AC141" s="629"/>
      <c r="AD141" s="629" t="str">
        <f>IF($B141="","",VLOOKUP($B141,Reinforcements[],COLUMN(Reinforcements[[#Headers],[Top Transverse Weld Fillet Size (in)]])-1,FALSE))</f>
        <v/>
      </c>
      <c r="AE141" s="629"/>
      <c r="AF141" s="629" t="str">
        <f>IF($B141="","",VLOOKUP($B141,Reinforcements[],COLUMN(Reinforcements[[#Headers],[Top Longitudinal Weld Length]])-1,FALSE))</f>
        <v/>
      </c>
      <c r="AG141" s="629"/>
      <c r="AH141" s="629"/>
      <c r="AI141" s="630" t="str">
        <f>IF($B141="","",VLOOKUP($B141,Reinforcements[],COLUMN(Reinforcements[[#Headers],[Top Longitudinal Weld Fillet Size (in)]])-1,FALSE))</f>
        <v/>
      </c>
      <c r="AJ141" s="630"/>
      <c r="AK141" s="631" t="str">
        <f>IF($B141="","",IF(Rev="F",(VLOOKUP($B141,Reinforcements[],COLUMN(Reinforcements[[#Headers],[Rev. F Top Connection Capacity (kips)]])-1,FALSE)),(IF(Rev="G",(VLOOKUP($B141,Reinforcements[],COLUMN(Reinforcements[[#Headers],[Rev. G Top Connection Capacity (kips)]])-1,FALSE)),(VLOOKUP($B141,Reinforcements[],COLUMN(Reinforcements[[#Headers],[Rev. H Top Connection Capacity (kips)]])-1,FALSE))))))</f>
        <v/>
      </c>
      <c r="AL141" s="631"/>
      <c r="AM141" s="632"/>
    </row>
    <row r="142" spans="2:39" ht="12.75" hidden="1" customHeight="1" x14ac:dyDescent="0.2">
      <c r="B142" s="640"/>
      <c r="C142" s="641"/>
      <c r="D142" s="641"/>
      <c r="E142" s="641"/>
      <c r="F142" s="633" t="str">
        <f>IF($B141="","","Bottom")</f>
        <v/>
      </c>
      <c r="G142" s="634"/>
      <c r="H142" s="634" t="str">
        <f>IF($B141="","",VLOOKUP($B141,Reinforcements[],COLUMN(Reinforcements[[#Headers],['# of End Connection Bolts          (Bottom)]])-1,FALSE))</f>
        <v/>
      </c>
      <c r="I142" s="634"/>
      <c r="J142" s="634" t="str">
        <f>IF($B141="","",VLOOKUP($B141,Reinforcements[],COLUMN(Reinforcements[[#Headers],[Threads Included (N) or Excluded (X) (Bottom)]])-1,FALSE))</f>
        <v/>
      </c>
      <c r="K142" s="634"/>
      <c r="L142" s="634" t="str">
        <f>IF($B141="","",VLOOKUP($B141,Reinforcements[],COLUMN(Reinforcements[[#Headers],[End Connection Bolt Spacing (in) (B)]])-1,FALSE))</f>
        <v/>
      </c>
      <c r="M142" s="634"/>
      <c r="N142" s="634" t="str">
        <f>IF($B141="","",VLOOKUP($B141,Reinforcements[],COLUMN(Reinforcements[[#Headers],[End Connection Edge Distance (in) (B)]])-1,FALSE))</f>
        <v/>
      </c>
      <c r="O142" s="634"/>
      <c r="P142" s="634" t="str">
        <f>IF($B141="","",VLOOKUP($B141,Reinforcements[],COLUMN(Reinforcements[[#Headers],[Bottom Weld Grade (ksi)]])-1,FALSE))</f>
        <v/>
      </c>
      <c r="Q142" s="634"/>
      <c r="R142" s="634" t="str">
        <f>IF($B141="","",VLOOKUP($B141,Reinforcements[],COLUMN(Reinforcements[[#Headers],[Bottom Transverse (Horizontal) Weld]])-1,FALSE))</f>
        <v/>
      </c>
      <c r="S142" s="634"/>
      <c r="T142" s="634"/>
      <c r="U142" s="634" t="str">
        <f>IF($B141="","",VLOOKUP($B141,Reinforcements[],COLUMN(Reinforcements[[#Headers],[Bottom Transverse Weld Length]])-1,FALSE))</f>
        <v/>
      </c>
      <c r="V142" s="634"/>
      <c r="W142" s="634"/>
      <c r="X142" s="634" t="str">
        <f>IF($B141="","",VLOOKUP($B141,Reinforcements[],COLUMN(Reinforcements[[#Headers],[Bottom Transverse Weld Groove Depth (in)]])-1,FALSE))</f>
        <v/>
      </c>
      <c r="Y142" s="634"/>
      <c r="Z142" s="634"/>
      <c r="AA142" s="634" t="str">
        <f>IF($B141="","",VLOOKUP($B141,Reinforcements[],COLUMN(Reinforcements[[#Headers],[Bottom Transverse Weld Groove Angle (degrees)]])-1,FALSE))</f>
        <v/>
      </c>
      <c r="AB142" s="634"/>
      <c r="AC142" s="634"/>
      <c r="AD142" s="634" t="str">
        <f>IF($B141="","",VLOOKUP($B141,Reinforcements[],COLUMN(Reinforcements[[#Headers],[Bottom Transverse Weld Fillet Size (in)]])-1,FALSE))</f>
        <v/>
      </c>
      <c r="AE142" s="634"/>
      <c r="AF142" s="634" t="str">
        <f>IF($B141="","",VLOOKUP($B141,Reinforcements[],COLUMN(Reinforcements[[#Headers],[Bottom Longitudinal Weld Length]])-1,FALSE))</f>
        <v/>
      </c>
      <c r="AG142" s="634"/>
      <c r="AH142" s="634"/>
      <c r="AI142" s="635" t="str">
        <f>IF($B141="","",VLOOKUP($B141,Reinforcements[],COLUMN(Reinforcements[[#Headers],[Bottom Longitudinal Weld Fillet Size (in)]])-1,FALSE))</f>
        <v/>
      </c>
      <c r="AJ142" s="635"/>
      <c r="AK142" s="636" t="str">
        <f>IF($B141="","",IF(Rev="F",(VLOOKUP($B141,Reinforcements[],COLUMN(Reinforcements[[#Headers],[Rev. F Bottom Connection Capacity (kips)]])-1,FALSE)),(IF(Rev="G",(VLOOKUP($B141,Reinforcements[],COLUMN(Reinforcements[[#Headers],[Rev. G Bottom Connection Capacity (kips)]])-1,FALSE)),(VLOOKUP($B141,Reinforcements[],COLUMN(Reinforcements[[#Headers],[Rev. H Bottom Connection Capacity (kips)]])-1,FALSE))))))</f>
        <v/>
      </c>
      <c r="AL142" s="636"/>
      <c r="AM142" s="637"/>
    </row>
    <row r="143" spans="2:39" ht="12.75" hidden="1" customHeight="1" x14ac:dyDescent="0.2">
      <c r="B143" s="638" t="str">
        <f>IF('Reinforcements'!B73="","",'Reinforcements'!B73)</f>
        <v/>
      </c>
      <c r="C143" s="639"/>
      <c r="D143" s="639"/>
      <c r="E143" s="639"/>
      <c r="F143" s="642" t="str">
        <f>IF($B143="","","Top")</f>
        <v/>
      </c>
      <c r="G143" s="629"/>
      <c r="H143" s="629" t="str">
        <f>IF($B143="","",VLOOKUP($B143,Reinforcements[],COLUMN(Reinforcements[[#Headers],['# of End Connection Bolts          (Top)]])-1,FALSE))</f>
        <v/>
      </c>
      <c r="I143" s="629"/>
      <c r="J143" s="629" t="str">
        <f>IF($B143="","",VLOOKUP($B143,Reinforcements[],COLUMN(Reinforcements[[#Headers],[Threads Included (N) or Excluded (X) (Top)]])-1,FALSE))</f>
        <v/>
      </c>
      <c r="K143" s="629"/>
      <c r="L143" s="629" t="str">
        <f>IF($B143="","",VLOOKUP($B143,Reinforcements[],COLUMN(Reinforcements[[#Headers],[End Connection Bolt Spacing (in) (T)]])-1,FALSE))</f>
        <v/>
      </c>
      <c r="M143" s="629"/>
      <c r="N143" s="629" t="str">
        <f>IF($B143="","",VLOOKUP($B143,Reinforcements[],COLUMN(Reinforcements[[#Headers],[End Connection Edge Distance (in) (T)]])-1,FALSE))</f>
        <v/>
      </c>
      <c r="O143" s="629"/>
      <c r="P143" s="629" t="str">
        <f>IF($B143="","",VLOOKUP($B143,Reinforcements[],COLUMN(Reinforcements[[#Headers],[Top Weld Grade (ksi)]])-1,FALSE))</f>
        <v/>
      </c>
      <c r="Q143" s="629"/>
      <c r="R143" s="629" t="str">
        <f>IF($B143="","",VLOOKUP($B143,Reinforcements[],COLUMN(Reinforcements[[#Headers],[Top Transverse (Horizontal) Weld]])-1,FALSE))</f>
        <v/>
      </c>
      <c r="S143" s="629"/>
      <c r="T143" s="629"/>
      <c r="U143" s="629" t="str">
        <f>IF($B143="","",VLOOKUP($B143,Reinforcements[],COLUMN(Reinforcements[[#Headers],[Top Transverse Weld Length]])-1,FALSE))</f>
        <v/>
      </c>
      <c r="V143" s="629"/>
      <c r="W143" s="629"/>
      <c r="X143" s="629" t="str">
        <f>IF($B143="","",VLOOKUP($B143,Reinforcements[],COLUMN(Reinforcements[[#Headers],[Top Transverse Weld Groove Depth (in)]])-1,FALSE))</f>
        <v/>
      </c>
      <c r="Y143" s="629"/>
      <c r="Z143" s="629"/>
      <c r="AA143" s="629" t="str">
        <f>IF($B143="","",VLOOKUP($B143,Reinforcements[],COLUMN(Reinforcements[[#Headers],[Top Transverse Weld Groove Angle (degrees)]])-1,FALSE))</f>
        <v/>
      </c>
      <c r="AB143" s="629"/>
      <c r="AC143" s="629"/>
      <c r="AD143" s="629" t="str">
        <f>IF($B143="","",VLOOKUP($B143,Reinforcements[],COLUMN(Reinforcements[[#Headers],[Top Transverse Weld Fillet Size (in)]])-1,FALSE))</f>
        <v/>
      </c>
      <c r="AE143" s="629"/>
      <c r="AF143" s="629" t="str">
        <f>IF($B143="","",VLOOKUP($B143,Reinforcements[],COLUMN(Reinforcements[[#Headers],[Top Longitudinal Weld Length]])-1,FALSE))</f>
        <v/>
      </c>
      <c r="AG143" s="629"/>
      <c r="AH143" s="629"/>
      <c r="AI143" s="630" t="str">
        <f>IF($B143="","",VLOOKUP($B143,Reinforcements[],COLUMN(Reinforcements[[#Headers],[Top Longitudinal Weld Fillet Size (in)]])-1,FALSE))</f>
        <v/>
      </c>
      <c r="AJ143" s="630"/>
      <c r="AK143" s="631" t="str">
        <f>IF($B143="","",IF(Rev="F",(VLOOKUP($B143,Reinforcements[],COLUMN(Reinforcements[[#Headers],[Rev. F Top Connection Capacity (kips)]])-1,FALSE)),(IF(Rev="G",(VLOOKUP($B143,Reinforcements[],COLUMN(Reinforcements[[#Headers],[Rev. G Top Connection Capacity (kips)]])-1,FALSE)),(VLOOKUP($B143,Reinforcements[],COLUMN(Reinforcements[[#Headers],[Rev. H Top Connection Capacity (kips)]])-1,FALSE))))))</f>
        <v/>
      </c>
      <c r="AL143" s="631"/>
      <c r="AM143" s="632"/>
    </row>
    <row r="144" spans="2:39" ht="12.75" hidden="1" customHeight="1" x14ac:dyDescent="0.2">
      <c r="B144" s="640"/>
      <c r="C144" s="641"/>
      <c r="D144" s="641"/>
      <c r="E144" s="641"/>
      <c r="F144" s="633" t="str">
        <f>IF($B143="","","Bottom")</f>
        <v/>
      </c>
      <c r="G144" s="634"/>
      <c r="H144" s="634" t="str">
        <f>IF($B143="","",VLOOKUP($B143,Reinforcements[],COLUMN(Reinforcements[[#Headers],['# of End Connection Bolts          (Bottom)]])-1,FALSE))</f>
        <v/>
      </c>
      <c r="I144" s="634"/>
      <c r="J144" s="634" t="str">
        <f>IF($B143="","",VLOOKUP($B143,Reinforcements[],COLUMN(Reinforcements[[#Headers],[Threads Included (N) or Excluded (X) (Bottom)]])-1,FALSE))</f>
        <v/>
      </c>
      <c r="K144" s="634"/>
      <c r="L144" s="634" t="str">
        <f>IF($B143="","",VLOOKUP($B143,Reinforcements[],COLUMN(Reinforcements[[#Headers],[End Connection Bolt Spacing (in) (B)]])-1,FALSE))</f>
        <v/>
      </c>
      <c r="M144" s="634"/>
      <c r="N144" s="634" t="str">
        <f>IF($B143="","",VLOOKUP($B143,Reinforcements[],COLUMN(Reinforcements[[#Headers],[End Connection Edge Distance (in) (B)]])-1,FALSE))</f>
        <v/>
      </c>
      <c r="O144" s="634"/>
      <c r="P144" s="634" t="str">
        <f>IF($B143="","",VLOOKUP($B143,Reinforcements[],COLUMN(Reinforcements[[#Headers],[Bottom Weld Grade (ksi)]])-1,FALSE))</f>
        <v/>
      </c>
      <c r="Q144" s="634"/>
      <c r="R144" s="634" t="str">
        <f>IF($B143="","",VLOOKUP($B143,Reinforcements[],COLUMN(Reinforcements[[#Headers],[Bottom Transverse (Horizontal) Weld]])-1,FALSE))</f>
        <v/>
      </c>
      <c r="S144" s="634"/>
      <c r="T144" s="634"/>
      <c r="U144" s="634" t="str">
        <f>IF($B143="","",VLOOKUP($B143,Reinforcements[],COLUMN(Reinforcements[[#Headers],[Bottom Transverse Weld Length]])-1,FALSE))</f>
        <v/>
      </c>
      <c r="V144" s="634"/>
      <c r="W144" s="634"/>
      <c r="X144" s="634" t="str">
        <f>IF($B143="","",VLOOKUP($B143,Reinforcements[],COLUMN(Reinforcements[[#Headers],[Bottom Transverse Weld Groove Depth (in)]])-1,FALSE))</f>
        <v/>
      </c>
      <c r="Y144" s="634"/>
      <c r="Z144" s="634"/>
      <c r="AA144" s="634" t="str">
        <f>IF($B143="","",VLOOKUP($B143,Reinforcements[],COLUMN(Reinforcements[[#Headers],[Bottom Transverse Weld Groove Angle (degrees)]])-1,FALSE))</f>
        <v/>
      </c>
      <c r="AB144" s="634"/>
      <c r="AC144" s="634"/>
      <c r="AD144" s="634" t="str">
        <f>IF($B143="","",VLOOKUP($B143,Reinforcements[],COLUMN(Reinforcements[[#Headers],[Bottom Transverse Weld Fillet Size (in)]])-1,FALSE))</f>
        <v/>
      </c>
      <c r="AE144" s="634"/>
      <c r="AF144" s="634" t="str">
        <f>IF($B143="","",VLOOKUP($B143,Reinforcements[],COLUMN(Reinforcements[[#Headers],[Bottom Longitudinal Weld Length]])-1,FALSE))</f>
        <v/>
      </c>
      <c r="AG144" s="634"/>
      <c r="AH144" s="634"/>
      <c r="AI144" s="635" t="str">
        <f>IF($B143="","",VLOOKUP($B143,Reinforcements[],COLUMN(Reinforcements[[#Headers],[Bottom Longitudinal Weld Fillet Size (in)]])-1,FALSE))</f>
        <v/>
      </c>
      <c r="AJ144" s="635"/>
      <c r="AK144" s="636" t="str">
        <f>IF($B143="","",IF(Rev="F",(VLOOKUP($B143,Reinforcements[],COLUMN(Reinforcements[[#Headers],[Rev. F Bottom Connection Capacity (kips)]])-1,FALSE)),(IF(Rev="G",(VLOOKUP($B143,Reinforcements[],COLUMN(Reinforcements[[#Headers],[Rev. G Bottom Connection Capacity (kips)]])-1,FALSE)),(VLOOKUP($B143,Reinforcements[],COLUMN(Reinforcements[[#Headers],[Rev. H Bottom Connection Capacity (kips)]])-1,FALSE))))))</f>
        <v/>
      </c>
      <c r="AL144" s="636"/>
      <c r="AM144" s="637"/>
    </row>
    <row r="145" spans="2:39" ht="12.75" hidden="1" customHeight="1" x14ac:dyDescent="0.2">
      <c r="B145" s="638" t="str">
        <f>IF('Reinforcements'!B74="","",'Reinforcements'!B74)</f>
        <v/>
      </c>
      <c r="C145" s="639"/>
      <c r="D145" s="639"/>
      <c r="E145" s="639"/>
      <c r="F145" s="642" t="str">
        <f t="shared" ref="F145" si="5">IF($B145="","","Top")</f>
        <v/>
      </c>
      <c r="G145" s="629"/>
      <c r="H145" s="629" t="str">
        <f>IF($B145="","",VLOOKUP($B145,Reinforcements[],COLUMN(Reinforcements[[#Headers],['# of End Connection Bolts          (Top)]])-1,FALSE))</f>
        <v/>
      </c>
      <c r="I145" s="629"/>
      <c r="J145" s="629" t="str">
        <f>IF($B145="","",VLOOKUP($B145,Reinforcements[],COLUMN(Reinforcements[[#Headers],[Threads Included (N) or Excluded (X) (Top)]])-1,FALSE))</f>
        <v/>
      </c>
      <c r="K145" s="629"/>
      <c r="L145" s="629" t="str">
        <f>IF($B145="","",VLOOKUP($B145,Reinforcements[],COLUMN(Reinforcements[[#Headers],[End Connection Bolt Spacing (in) (T)]])-1,FALSE))</f>
        <v/>
      </c>
      <c r="M145" s="629"/>
      <c r="N145" s="629" t="str">
        <f>IF($B145="","",VLOOKUP($B145,Reinforcements[],COLUMN(Reinforcements[[#Headers],[End Connection Edge Distance (in) (T)]])-1,FALSE))</f>
        <v/>
      </c>
      <c r="O145" s="629"/>
      <c r="P145" s="629" t="str">
        <f>IF($B145="","",VLOOKUP($B145,Reinforcements[],COLUMN(Reinforcements[[#Headers],[Top Weld Grade (ksi)]])-1,FALSE))</f>
        <v/>
      </c>
      <c r="Q145" s="629"/>
      <c r="R145" s="629" t="str">
        <f>IF($B145="","",VLOOKUP($B145,Reinforcements[],COLUMN(Reinforcements[[#Headers],[Top Transverse (Horizontal) Weld]])-1,FALSE))</f>
        <v/>
      </c>
      <c r="S145" s="629"/>
      <c r="T145" s="629"/>
      <c r="U145" s="629" t="str">
        <f>IF($B145="","",VLOOKUP($B145,Reinforcements[],COLUMN(Reinforcements[[#Headers],[Top Transverse Weld Length]])-1,FALSE))</f>
        <v/>
      </c>
      <c r="V145" s="629"/>
      <c r="W145" s="629"/>
      <c r="X145" s="629" t="str">
        <f>IF($B145="","",VLOOKUP($B145,Reinforcements[],COLUMN(Reinforcements[[#Headers],[Top Transverse Weld Groove Depth (in)]])-1,FALSE))</f>
        <v/>
      </c>
      <c r="Y145" s="629"/>
      <c r="Z145" s="629"/>
      <c r="AA145" s="629" t="str">
        <f>IF($B145="","",VLOOKUP($B145,Reinforcements[],COLUMN(Reinforcements[[#Headers],[Top Transverse Weld Groove Angle (degrees)]])-1,FALSE))</f>
        <v/>
      </c>
      <c r="AB145" s="629"/>
      <c r="AC145" s="629"/>
      <c r="AD145" s="629" t="str">
        <f>IF($B145="","",VLOOKUP($B145,Reinforcements[],COLUMN(Reinforcements[[#Headers],[Top Transverse Weld Fillet Size (in)]])-1,FALSE))</f>
        <v/>
      </c>
      <c r="AE145" s="629"/>
      <c r="AF145" s="629" t="str">
        <f>IF($B145="","",VLOOKUP($B145,Reinforcements[],COLUMN(Reinforcements[[#Headers],[Top Longitudinal Weld Length]])-1,FALSE))</f>
        <v/>
      </c>
      <c r="AG145" s="629"/>
      <c r="AH145" s="629"/>
      <c r="AI145" s="630" t="str">
        <f>IF($B145="","",VLOOKUP($B145,Reinforcements[],COLUMN(Reinforcements[[#Headers],[Top Longitudinal Weld Fillet Size (in)]])-1,FALSE))</f>
        <v/>
      </c>
      <c r="AJ145" s="630"/>
      <c r="AK145" s="631" t="str">
        <f>IF($B145="","",IF(Rev="F",(VLOOKUP($B145,Reinforcements[],COLUMN(Reinforcements[[#Headers],[Rev. F Top Connection Capacity (kips)]])-1,FALSE)),(IF(Rev="G",(VLOOKUP($B145,Reinforcements[],COLUMN(Reinforcements[[#Headers],[Rev. G Top Connection Capacity (kips)]])-1,FALSE)),(VLOOKUP($B145,Reinforcements[],COLUMN(Reinforcements[[#Headers],[Rev. H Top Connection Capacity (kips)]])-1,FALSE))))))</f>
        <v/>
      </c>
      <c r="AL145" s="631"/>
      <c r="AM145" s="632"/>
    </row>
    <row r="146" spans="2:39" ht="12.75" hidden="1" customHeight="1" x14ac:dyDescent="0.2">
      <c r="B146" s="640"/>
      <c r="C146" s="641"/>
      <c r="D146" s="641"/>
      <c r="E146" s="641"/>
      <c r="F146" s="633" t="str">
        <f t="shared" ref="F146" si="6">IF($B145="","","Bottom")</f>
        <v/>
      </c>
      <c r="G146" s="634"/>
      <c r="H146" s="634" t="str">
        <f>IF($B145="","",VLOOKUP($B145,Reinforcements[],COLUMN(Reinforcements[[#Headers],['# of End Connection Bolts          (Bottom)]])-1,FALSE))</f>
        <v/>
      </c>
      <c r="I146" s="634"/>
      <c r="J146" s="634" t="str">
        <f>IF($B145="","",VLOOKUP($B145,Reinforcements[],COLUMN(Reinforcements[[#Headers],[Threads Included (N) or Excluded (X) (Bottom)]])-1,FALSE))</f>
        <v/>
      </c>
      <c r="K146" s="634"/>
      <c r="L146" s="634" t="str">
        <f>IF($B145="","",VLOOKUP($B145,Reinforcements[],COLUMN(Reinforcements[[#Headers],[End Connection Bolt Spacing (in) (B)]])-1,FALSE))</f>
        <v/>
      </c>
      <c r="M146" s="634"/>
      <c r="N146" s="634" t="str">
        <f>IF($B145="","",VLOOKUP($B145,Reinforcements[],COLUMN(Reinforcements[[#Headers],[End Connection Edge Distance (in) (B)]])-1,FALSE))</f>
        <v/>
      </c>
      <c r="O146" s="634"/>
      <c r="P146" s="634" t="str">
        <f>IF($B145="","",VLOOKUP($B145,Reinforcements[],COLUMN(Reinforcements[[#Headers],[Bottom Weld Grade (ksi)]])-1,FALSE))</f>
        <v/>
      </c>
      <c r="Q146" s="634"/>
      <c r="R146" s="634" t="str">
        <f>IF($B145="","",VLOOKUP($B145,Reinforcements[],COLUMN(Reinforcements[[#Headers],[Bottom Transverse (Horizontal) Weld]])-1,FALSE))</f>
        <v/>
      </c>
      <c r="S146" s="634"/>
      <c r="T146" s="634"/>
      <c r="U146" s="634" t="str">
        <f>IF($B145="","",VLOOKUP($B145,Reinforcements[],COLUMN(Reinforcements[[#Headers],[Bottom Transverse Weld Length]])-1,FALSE))</f>
        <v/>
      </c>
      <c r="V146" s="634"/>
      <c r="W146" s="634"/>
      <c r="X146" s="634" t="str">
        <f>IF($B145="","",VLOOKUP($B145,Reinforcements[],COLUMN(Reinforcements[[#Headers],[Bottom Transverse Weld Groove Depth (in)]])-1,FALSE))</f>
        <v/>
      </c>
      <c r="Y146" s="634"/>
      <c r="Z146" s="634"/>
      <c r="AA146" s="634" t="str">
        <f>IF($B145="","",VLOOKUP($B145,Reinforcements[],COLUMN(Reinforcements[[#Headers],[Bottom Transverse Weld Groove Angle (degrees)]])-1,FALSE))</f>
        <v/>
      </c>
      <c r="AB146" s="634"/>
      <c r="AC146" s="634"/>
      <c r="AD146" s="634" t="str">
        <f>IF($B145="","",VLOOKUP($B145,Reinforcements[],COLUMN(Reinforcements[[#Headers],[Bottom Transverse Weld Fillet Size (in)]])-1,FALSE))</f>
        <v/>
      </c>
      <c r="AE146" s="634"/>
      <c r="AF146" s="634" t="str">
        <f>IF($B145="","",VLOOKUP($B145,Reinforcements[],COLUMN(Reinforcements[[#Headers],[Bottom Longitudinal Weld Length]])-1,FALSE))</f>
        <v/>
      </c>
      <c r="AG146" s="634"/>
      <c r="AH146" s="634"/>
      <c r="AI146" s="635" t="str">
        <f>IF($B145="","",VLOOKUP($B145,Reinforcements[],COLUMN(Reinforcements[[#Headers],[Bottom Longitudinal Weld Fillet Size (in)]])-1,FALSE))</f>
        <v/>
      </c>
      <c r="AJ146" s="635"/>
      <c r="AK146" s="636" t="str">
        <f>IF($B145="","",IF(Rev="F",(VLOOKUP($B145,Reinforcements[],COLUMN(Reinforcements[[#Headers],[Rev. F Bottom Connection Capacity (kips)]])-1,FALSE)),(IF(Rev="G",(VLOOKUP($B145,Reinforcements[],COLUMN(Reinforcements[[#Headers],[Rev. G Bottom Connection Capacity (kips)]])-1,FALSE)),(VLOOKUP($B145,Reinforcements[],COLUMN(Reinforcements[[#Headers],[Rev. H Bottom Connection Capacity (kips)]])-1,FALSE))))))</f>
        <v/>
      </c>
      <c r="AL146" s="636"/>
      <c r="AM146" s="637"/>
    </row>
    <row r="147" spans="2:39" ht="12.75" hidden="1" customHeight="1" x14ac:dyDescent="0.2">
      <c r="B147" s="638" t="str">
        <f>IF('Reinforcements'!B75="","",'Reinforcements'!B75)</f>
        <v/>
      </c>
      <c r="C147" s="639"/>
      <c r="D147" s="639"/>
      <c r="E147" s="639"/>
      <c r="F147" s="642" t="str">
        <f t="shared" ref="F147" si="7">IF($B147="","","Top")</f>
        <v/>
      </c>
      <c r="G147" s="629"/>
      <c r="H147" s="629" t="str">
        <f>IF($B147="","",VLOOKUP($B147,Reinforcements[],COLUMN(Reinforcements[[#Headers],['# of End Connection Bolts          (Top)]])-1,FALSE))</f>
        <v/>
      </c>
      <c r="I147" s="629"/>
      <c r="J147" s="629" t="str">
        <f>IF($B147="","",VLOOKUP($B147,Reinforcements[],COLUMN(Reinforcements[[#Headers],[Threads Included (N) or Excluded (X) (Top)]])-1,FALSE))</f>
        <v/>
      </c>
      <c r="K147" s="629"/>
      <c r="L147" s="629" t="str">
        <f>IF($B147="","",VLOOKUP($B147,Reinforcements[],COLUMN(Reinforcements[[#Headers],[End Connection Bolt Spacing (in) (T)]])-1,FALSE))</f>
        <v/>
      </c>
      <c r="M147" s="629"/>
      <c r="N147" s="629" t="str">
        <f>IF($B147="","",VLOOKUP($B147,Reinforcements[],COLUMN(Reinforcements[[#Headers],[End Connection Edge Distance (in) (T)]])-1,FALSE))</f>
        <v/>
      </c>
      <c r="O147" s="629"/>
      <c r="P147" s="629" t="str">
        <f>IF($B147="","",VLOOKUP($B147,Reinforcements[],COLUMN(Reinforcements[[#Headers],[Top Weld Grade (ksi)]])-1,FALSE))</f>
        <v/>
      </c>
      <c r="Q147" s="629"/>
      <c r="R147" s="629" t="str">
        <f>IF($B147="","",VLOOKUP($B147,Reinforcements[],COLUMN(Reinforcements[[#Headers],[Top Transverse (Horizontal) Weld]])-1,FALSE))</f>
        <v/>
      </c>
      <c r="S147" s="629"/>
      <c r="T147" s="629"/>
      <c r="U147" s="629" t="str">
        <f>IF($B147="","",VLOOKUP($B147,Reinforcements[],COLUMN(Reinforcements[[#Headers],[Top Transverse Weld Length]])-1,FALSE))</f>
        <v/>
      </c>
      <c r="V147" s="629"/>
      <c r="W147" s="629"/>
      <c r="X147" s="629" t="str">
        <f>IF($B147="","",VLOOKUP($B147,Reinforcements[],COLUMN(Reinforcements[[#Headers],[Top Transverse Weld Groove Depth (in)]])-1,FALSE))</f>
        <v/>
      </c>
      <c r="Y147" s="629"/>
      <c r="Z147" s="629"/>
      <c r="AA147" s="629" t="str">
        <f>IF($B147="","",VLOOKUP($B147,Reinforcements[],COLUMN(Reinforcements[[#Headers],[Top Transverse Weld Groove Angle (degrees)]])-1,FALSE))</f>
        <v/>
      </c>
      <c r="AB147" s="629"/>
      <c r="AC147" s="629"/>
      <c r="AD147" s="629" t="str">
        <f>IF($B147="","",VLOOKUP($B147,Reinforcements[],COLUMN(Reinforcements[[#Headers],[Top Transverse Weld Fillet Size (in)]])-1,FALSE))</f>
        <v/>
      </c>
      <c r="AE147" s="629"/>
      <c r="AF147" s="629" t="str">
        <f>IF($B147="","",VLOOKUP($B147,Reinforcements[],COLUMN(Reinforcements[[#Headers],[Top Longitudinal Weld Length]])-1,FALSE))</f>
        <v/>
      </c>
      <c r="AG147" s="629"/>
      <c r="AH147" s="629"/>
      <c r="AI147" s="630" t="str">
        <f>IF($B147="","",VLOOKUP($B147,Reinforcements[],COLUMN(Reinforcements[[#Headers],[Top Longitudinal Weld Fillet Size (in)]])-1,FALSE))</f>
        <v/>
      </c>
      <c r="AJ147" s="630"/>
      <c r="AK147" s="631" t="str">
        <f>IF($B147="","",IF(Rev="F",(VLOOKUP($B147,Reinforcements[],COLUMN(Reinforcements[[#Headers],[Rev. F Top Connection Capacity (kips)]])-1,FALSE)),(IF(Rev="G",(VLOOKUP($B147,Reinforcements[],COLUMN(Reinforcements[[#Headers],[Rev. G Top Connection Capacity (kips)]])-1,FALSE)),(VLOOKUP($B147,Reinforcements[],COLUMN(Reinforcements[[#Headers],[Rev. H Top Connection Capacity (kips)]])-1,FALSE))))))</f>
        <v/>
      </c>
      <c r="AL147" s="631"/>
      <c r="AM147" s="632"/>
    </row>
    <row r="148" spans="2:39" ht="12.75" hidden="1" customHeight="1" x14ac:dyDescent="0.2">
      <c r="B148" s="640"/>
      <c r="C148" s="641"/>
      <c r="D148" s="641"/>
      <c r="E148" s="641"/>
      <c r="F148" s="633" t="str">
        <f t="shared" ref="F148" si="8">IF($B147="","","Bottom")</f>
        <v/>
      </c>
      <c r="G148" s="634"/>
      <c r="H148" s="634" t="str">
        <f>IF($B147="","",VLOOKUP($B147,Reinforcements[],COLUMN(Reinforcements[[#Headers],['# of End Connection Bolts          (Bottom)]])-1,FALSE))</f>
        <v/>
      </c>
      <c r="I148" s="634"/>
      <c r="J148" s="634" t="str">
        <f>IF($B147="","",VLOOKUP($B147,Reinforcements[],COLUMN(Reinforcements[[#Headers],[Threads Included (N) or Excluded (X) (Bottom)]])-1,FALSE))</f>
        <v/>
      </c>
      <c r="K148" s="634"/>
      <c r="L148" s="634" t="str">
        <f>IF($B147="","",VLOOKUP($B147,Reinforcements[],COLUMN(Reinforcements[[#Headers],[End Connection Bolt Spacing (in) (B)]])-1,FALSE))</f>
        <v/>
      </c>
      <c r="M148" s="634"/>
      <c r="N148" s="634" t="str">
        <f>IF($B147="","",VLOOKUP($B147,Reinforcements[],COLUMN(Reinforcements[[#Headers],[End Connection Edge Distance (in) (B)]])-1,FALSE))</f>
        <v/>
      </c>
      <c r="O148" s="634"/>
      <c r="P148" s="634" t="str">
        <f>IF($B147="","",VLOOKUP($B147,Reinforcements[],COLUMN(Reinforcements[[#Headers],[Bottom Weld Grade (ksi)]])-1,FALSE))</f>
        <v/>
      </c>
      <c r="Q148" s="634"/>
      <c r="R148" s="634" t="str">
        <f>IF($B147="","",VLOOKUP($B147,Reinforcements[],COLUMN(Reinforcements[[#Headers],[Bottom Transverse (Horizontal) Weld]])-1,FALSE))</f>
        <v/>
      </c>
      <c r="S148" s="634"/>
      <c r="T148" s="634"/>
      <c r="U148" s="634" t="str">
        <f>IF($B147="","",VLOOKUP($B147,Reinforcements[],COLUMN(Reinforcements[[#Headers],[Bottom Transverse Weld Length]])-1,FALSE))</f>
        <v/>
      </c>
      <c r="V148" s="634"/>
      <c r="W148" s="634"/>
      <c r="X148" s="634" t="str">
        <f>IF($B147="","",VLOOKUP($B147,Reinforcements[],COLUMN(Reinforcements[[#Headers],[Bottom Transverse Weld Groove Depth (in)]])-1,FALSE))</f>
        <v/>
      </c>
      <c r="Y148" s="634"/>
      <c r="Z148" s="634"/>
      <c r="AA148" s="634" t="str">
        <f>IF($B147="","",VLOOKUP($B147,Reinforcements[],COLUMN(Reinforcements[[#Headers],[Bottom Transverse Weld Groove Angle (degrees)]])-1,FALSE))</f>
        <v/>
      </c>
      <c r="AB148" s="634"/>
      <c r="AC148" s="634"/>
      <c r="AD148" s="634" t="str">
        <f>IF($B147="","",VLOOKUP($B147,Reinforcements[],COLUMN(Reinforcements[[#Headers],[Bottom Transverse Weld Fillet Size (in)]])-1,FALSE))</f>
        <v/>
      </c>
      <c r="AE148" s="634"/>
      <c r="AF148" s="634" t="str">
        <f>IF($B147="","",VLOOKUP($B147,Reinforcements[],COLUMN(Reinforcements[[#Headers],[Bottom Longitudinal Weld Length]])-1,FALSE))</f>
        <v/>
      </c>
      <c r="AG148" s="634"/>
      <c r="AH148" s="634"/>
      <c r="AI148" s="635" t="str">
        <f>IF($B147="","",VLOOKUP($B147,Reinforcements[],COLUMN(Reinforcements[[#Headers],[Bottom Longitudinal Weld Fillet Size (in)]])-1,FALSE))</f>
        <v/>
      </c>
      <c r="AJ148" s="635"/>
      <c r="AK148" s="636" t="str">
        <f>IF($B147="","",IF(Rev="F",(VLOOKUP($B147,Reinforcements[],COLUMN(Reinforcements[[#Headers],[Rev. F Bottom Connection Capacity (kips)]])-1,FALSE)),(IF(Rev="G",(VLOOKUP($B147,Reinforcements[],COLUMN(Reinforcements[[#Headers],[Rev. G Bottom Connection Capacity (kips)]])-1,FALSE)),(VLOOKUP($B147,Reinforcements[],COLUMN(Reinforcements[[#Headers],[Rev. H Bottom Connection Capacity (kips)]])-1,FALSE))))))</f>
        <v/>
      </c>
      <c r="AL148" s="636"/>
      <c r="AM148" s="637"/>
    </row>
    <row r="149" spans="2:39" ht="12.75" hidden="1" customHeight="1" x14ac:dyDescent="0.2">
      <c r="B149" s="638" t="str">
        <f>IF('Reinforcements'!B76="","",'Reinforcements'!B76)</f>
        <v/>
      </c>
      <c r="C149" s="639"/>
      <c r="D149" s="639"/>
      <c r="E149" s="639"/>
      <c r="F149" s="642" t="str">
        <f t="shared" ref="F149" si="9">IF($B149="","","Top")</f>
        <v/>
      </c>
      <c r="G149" s="629"/>
      <c r="H149" s="629" t="str">
        <f>IF($B149="","",VLOOKUP($B149,Reinforcements[],COLUMN(Reinforcements[[#Headers],['# of End Connection Bolts          (Top)]])-1,FALSE))</f>
        <v/>
      </c>
      <c r="I149" s="629"/>
      <c r="J149" s="629" t="str">
        <f>IF($B149="","",VLOOKUP($B149,Reinforcements[],COLUMN(Reinforcements[[#Headers],[Threads Included (N) or Excluded (X) (Top)]])-1,FALSE))</f>
        <v/>
      </c>
      <c r="K149" s="629"/>
      <c r="L149" s="629" t="str">
        <f>IF($B149="","",VLOOKUP($B149,Reinforcements[],COLUMN(Reinforcements[[#Headers],[End Connection Bolt Spacing (in) (T)]])-1,FALSE))</f>
        <v/>
      </c>
      <c r="M149" s="629"/>
      <c r="N149" s="629" t="str">
        <f>IF($B149="","",VLOOKUP($B149,Reinforcements[],COLUMN(Reinforcements[[#Headers],[End Connection Edge Distance (in) (T)]])-1,FALSE))</f>
        <v/>
      </c>
      <c r="O149" s="629"/>
      <c r="P149" s="629" t="str">
        <f>IF($B149="","",VLOOKUP($B149,Reinforcements[],COLUMN(Reinforcements[[#Headers],[Top Weld Grade (ksi)]])-1,FALSE))</f>
        <v/>
      </c>
      <c r="Q149" s="629"/>
      <c r="R149" s="629" t="str">
        <f>IF($B149="","",VLOOKUP($B149,Reinforcements[],COLUMN(Reinforcements[[#Headers],[Top Transverse (Horizontal) Weld]])-1,FALSE))</f>
        <v/>
      </c>
      <c r="S149" s="629"/>
      <c r="T149" s="629"/>
      <c r="U149" s="629" t="str">
        <f>IF($B149="","",VLOOKUP($B149,Reinforcements[],COLUMN(Reinforcements[[#Headers],[Top Transverse Weld Length]])-1,FALSE))</f>
        <v/>
      </c>
      <c r="V149" s="629"/>
      <c r="W149" s="629"/>
      <c r="X149" s="629" t="str">
        <f>IF($B149="","",VLOOKUP($B149,Reinforcements[],COLUMN(Reinforcements[[#Headers],[Top Transverse Weld Groove Depth (in)]])-1,FALSE))</f>
        <v/>
      </c>
      <c r="Y149" s="629"/>
      <c r="Z149" s="629"/>
      <c r="AA149" s="629" t="str">
        <f>IF($B149="","",VLOOKUP($B149,Reinforcements[],COLUMN(Reinforcements[[#Headers],[Top Transverse Weld Groove Angle (degrees)]])-1,FALSE))</f>
        <v/>
      </c>
      <c r="AB149" s="629"/>
      <c r="AC149" s="629"/>
      <c r="AD149" s="629" t="str">
        <f>IF($B149="","",VLOOKUP($B149,Reinforcements[],COLUMN(Reinforcements[[#Headers],[Top Transverse Weld Fillet Size (in)]])-1,FALSE))</f>
        <v/>
      </c>
      <c r="AE149" s="629"/>
      <c r="AF149" s="629" t="str">
        <f>IF($B149="","",VLOOKUP($B149,Reinforcements[],COLUMN(Reinforcements[[#Headers],[Top Longitudinal Weld Length]])-1,FALSE))</f>
        <v/>
      </c>
      <c r="AG149" s="629"/>
      <c r="AH149" s="629"/>
      <c r="AI149" s="630" t="str">
        <f>IF($B149="","",VLOOKUP($B149,Reinforcements[],COLUMN(Reinforcements[[#Headers],[Top Longitudinal Weld Fillet Size (in)]])-1,FALSE))</f>
        <v/>
      </c>
      <c r="AJ149" s="630"/>
      <c r="AK149" s="631" t="str">
        <f>IF($B149="","",IF(Rev="F",(VLOOKUP($B149,Reinforcements[],COLUMN(Reinforcements[[#Headers],[Rev. F Top Connection Capacity (kips)]])-1,FALSE)),(IF(Rev="G",(VLOOKUP($B149,Reinforcements[],COLUMN(Reinforcements[[#Headers],[Rev. G Top Connection Capacity (kips)]])-1,FALSE)),(VLOOKUP($B149,Reinforcements[],COLUMN(Reinforcements[[#Headers],[Rev. H Top Connection Capacity (kips)]])-1,FALSE))))))</f>
        <v/>
      </c>
      <c r="AL149" s="631"/>
      <c r="AM149" s="632"/>
    </row>
    <row r="150" spans="2:39" ht="12.75" hidden="1" customHeight="1" x14ac:dyDescent="0.2">
      <c r="B150" s="640"/>
      <c r="C150" s="641"/>
      <c r="D150" s="641"/>
      <c r="E150" s="641"/>
      <c r="F150" s="633" t="str">
        <f t="shared" ref="F150" si="10">IF($B149="","","Bottom")</f>
        <v/>
      </c>
      <c r="G150" s="634"/>
      <c r="H150" s="634" t="str">
        <f>IF($B149="","",VLOOKUP($B149,Reinforcements[],COLUMN(Reinforcements[[#Headers],['# of End Connection Bolts          (Bottom)]])-1,FALSE))</f>
        <v/>
      </c>
      <c r="I150" s="634"/>
      <c r="J150" s="634" t="str">
        <f>IF($B149="","",VLOOKUP($B149,Reinforcements[],COLUMN(Reinforcements[[#Headers],[Threads Included (N) or Excluded (X) (Bottom)]])-1,FALSE))</f>
        <v/>
      </c>
      <c r="K150" s="634"/>
      <c r="L150" s="634" t="str">
        <f>IF($B149="","",VLOOKUP($B149,Reinforcements[],COLUMN(Reinforcements[[#Headers],[End Connection Bolt Spacing (in) (B)]])-1,FALSE))</f>
        <v/>
      </c>
      <c r="M150" s="634"/>
      <c r="N150" s="634" t="str">
        <f>IF($B149="","",VLOOKUP($B149,Reinforcements[],COLUMN(Reinforcements[[#Headers],[End Connection Edge Distance (in) (B)]])-1,FALSE))</f>
        <v/>
      </c>
      <c r="O150" s="634"/>
      <c r="P150" s="634" t="str">
        <f>IF($B149="","",VLOOKUP($B149,Reinforcements[],COLUMN(Reinforcements[[#Headers],[Bottom Weld Grade (ksi)]])-1,FALSE))</f>
        <v/>
      </c>
      <c r="Q150" s="634"/>
      <c r="R150" s="634" t="str">
        <f>IF($B149="","",VLOOKUP($B149,Reinforcements[],COLUMN(Reinforcements[[#Headers],[Bottom Transverse (Horizontal) Weld]])-1,FALSE))</f>
        <v/>
      </c>
      <c r="S150" s="634"/>
      <c r="T150" s="634"/>
      <c r="U150" s="634" t="str">
        <f>IF($B149="","",VLOOKUP($B149,Reinforcements[],COLUMN(Reinforcements[[#Headers],[Bottom Transverse Weld Length]])-1,FALSE))</f>
        <v/>
      </c>
      <c r="V150" s="634"/>
      <c r="W150" s="634"/>
      <c r="X150" s="634" t="str">
        <f>IF($B149="","",VLOOKUP($B149,Reinforcements[],COLUMN(Reinforcements[[#Headers],[Bottom Transverse Weld Groove Depth (in)]])-1,FALSE))</f>
        <v/>
      </c>
      <c r="Y150" s="634"/>
      <c r="Z150" s="634"/>
      <c r="AA150" s="634" t="str">
        <f>IF($B149="","",VLOOKUP($B149,Reinforcements[],COLUMN(Reinforcements[[#Headers],[Bottom Transverse Weld Groove Angle (degrees)]])-1,FALSE))</f>
        <v/>
      </c>
      <c r="AB150" s="634"/>
      <c r="AC150" s="634"/>
      <c r="AD150" s="634" t="str">
        <f>IF($B149="","",VLOOKUP($B149,Reinforcements[],COLUMN(Reinforcements[[#Headers],[Bottom Transverse Weld Fillet Size (in)]])-1,FALSE))</f>
        <v/>
      </c>
      <c r="AE150" s="634"/>
      <c r="AF150" s="634" t="str">
        <f>IF($B149="","",VLOOKUP($B149,Reinforcements[],COLUMN(Reinforcements[[#Headers],[Bottom Longitudinal Weld Length]])-1,FALSE))</f>
        <v/>
      </c>
      <c r="AG150" s="634"/>
      <c r="AH150" s="634"/>
      <c r="AI150" s="635" t="str">
        <f>IF($B149="","",VLOOKUP($B149,Reinforcements[],COLUMN(Reinforcements[[#Headers],[Bottom Longitudinal Weld Fillet Size (in)]])-1,FALSE))</f>
        <v/>
      </c>
      <c r="AJ150" s="635"/>
      <c r="AK150" s="636" t="str">
        <f>IF($B149="","",IF(Rev="F",(VLOOKUP($B149,Reinforcements[],COLUMN(Reinforcements[[#Headers],[Rev. F Bottom Connection Capacity (kips)]])-1,FALSE)),(IF(Rev="G",(VLOOKUP($B149,Reinforcements[],COLUMN(Reinforcements[[#Headers],[Rev. G Bottom Connection Capacity (kips)]])-1,FALSE)),(VLOOKUP($B149,Reinforcements[],COLUMN(Reinforcements[[#Headers],[Rev. H Bottom Connection Capacity (kips)]])-1,FALSE))))))</f>
        <v/>
      </c>
      <c r="AL150" s="636"/>
      <c r="AM150" s="637"/>
    </row>
    <row r="151" spans="2:39" ht="12.75" hidden="1" customHeight="1" x14ac:dyDescent="0.2">
      <c r="B151" s="638" t="str">
        <f>IF('Reinforcements'!B77="","",'Reinforcements'!B77)</f>
        <v/>
      </c>
      <c r="C151" s="639"/>
      <c r="D151" s="639"/>
      <c r="E151" s="639"/>
      <c r="F151" s="642" t="str">
        <f t="shared" ref="F151" si="11">IF($B151="","","Top")</f>
        <v/>
      </c>
      <c r="G151" s="629"/>
      <c r="H151" s="629" t="str">
        <f>IF($B151="","",VLOOKUP($B151,Reinforcements[],COLUMN(Reinforcements[[#Headers],['# of End Connection Bolts          (Top)]])-1,FALSE))</f>
        <v/>
      </c>
      <c r="I151" s="629"/>
      <c r="J151" s="629" t="str">
        <f>IF($B151="","",VLOOKUP($B151,Reinforcements[],COLUMN(Reinforcements[[#Headers],[Threads Included (N) or Excluded (X) (Top)]])-1,FALSE))</f>
        <v/>
      </c>
      <c r="K151" s="629"/>
      <c r="L151" s="629" t="str">
        <f>IF($B151="","",VLOOKUP($B151,Reinforcements[],COLUMN(Reinforcements[[#Headers],[End Connection Bolt Spacing (in) (T)]])-1,FALSE))</f>
        <v/>
      </c>
      <c r="M151" s="629"/>
      <c r="N151" s="629" t="str">
        <f>IF($B151="","",VLOOKUP($B151,Reinforcements[],COLUMN(Reinforcements[[#Headers],[End Connection Edge Distance (in) (T)]])-1,FALSE))</f>
        <v/>
      </c>
      <c r="O151" s="629"/>
      <c r="P151" s="629" t="str">
        <f>IF($B151="","",VLOOKUP($B151,Reinforcements[],COLUMN(Reinforcements[[#Headers],[Top Weld Grade (ksi)]])-1,FALSE))</f>
        <v/>
      </c>
      <c r="Q151" s="629"/>
      <c r="R151" s="629" t="str">
        <f>IF($B151="","",VLOOKUP($B151,Reinforcements[],COLUMN(Reinforcements[[#Headers],[Top Transverse (Horizontal) Weld]])-1,FALSE))</f>
        <v/>
      </c>
      <c r="S151" s="629"/>
      <c r="T151" s="629"/>
      <c r="U151" s="629" t="str">
        <f>IF($B151="","",VLOOKUP($B151,Reinforcements[],COLUMN(Reinforcements[[#Headers],[Top Transverse Weld Length]])-1,FALSE))</f>
        <v/>
      </c>
      <c r="V151" s="629"/>
      <c r="W151" s="629"/>
      <c r="X151" s="629" t="str">
        <f>IF($B151="","",VLOOKUP($B151,Reinforcements[],COLUMN(Reinforcements[[#Headers],[Top Transverse Weld Groove Depth (in)]])-1,FALSE))</f>
        <v/>
      </c>
      <c r="Y151" s="629"/>
      <c r="Z151" s="629"/>
      <c r="AA151" s="629" t="str">
        <f>IF($B151="","",VLOOKUP($B151,Reinforcements[],COLUMN(Reinforcements[[#Headers],[Top Transverse Weld Groove Angle (degrees)]])-1,FALSE))</f>
        <v/>
      </c>
      <c r="AB151" s="629"/>
      <c r="AC151" s="629"/>
      <c r="AD151" s="629" t="str">
        <f>IF($B151="","",VLOOKUP($B151,Reinforcements[],COLUMN(Reinforcements[[#Headers],[Top Transverse Weld Fillet Size (in)]])-1,FALSE))</f>
        <v/>
      </c>
      <c r="AE151" s="629"/>
      <c r="AF151" s="629" t="str">
        <f>IF($B151="","",VLOOKUP($B151,Reinforcements[],COLUMN(Reinforcements[[#Headers],[Top Longitudinal Weld Length]])-1,FALSE))</f>
        <v/>
      </c>
      <c r="AG151" s="629"/>
      <c r="AH151" s="629"/>
      <c r="AI151" s="630" t="str">
        <f>IF($B151="","",VLOOKUP($B151,Reinforcements[],COLUMN(Reinforcements[[#Headers],[Top Longitudinal Weld Fillet Size (in)]])-1,FALSE))</f>
        <v/>
      </c>
      <c r="AJ151" s="630"/>
      <c r="AK151" s="631" t="str">
        <f>IF($B151="","",IF(Rev="F",(VLOOKUP($B151,Reinforcements[],COLUMN(Reinforcements[[#Headers],[Rev. F Top Connection Capacity (kips)]])-1,FALSE)),(IF(Rev="G",(VLOOKUP($B151,Reinforcements[],COLUMN(Reinforcements[[#Headers],[Rev. G Top Connection Capacity (kips)]])-1,FALSE)),(VLOOKUP($B151,Reinforcements[],COLUMN(Reinforcements[[#Headers],[Rev. H Top Connection Capacity (kips)]])-1,FALSE))))))</f>
        <v/>
      </c>
      <c r="AL151" s="631"/>
      <c r="AM151" s="632"/>
    </row>
    <row r="152" spans="2:39" ht="12.75" hidden="1" customHeight="1" x14ac:dyDescent="0.2">
      <c r="B152" s="640"/>
      <c r="C152" s="641"/>
      <c r="D152" s="641"/>
      <c r="E152" s="641"/>
      <c r="F152" s="633" t="str">
        <f t="shared" ref="F152" si="12">IF($B151="","","Bottom")</f>
        <v/>
      </c>
      <c r="G152" s="634"/>
      <c r="H152" s="634" t="str">
        <f>IF($B151="","",VLOOKUP($B151,Reinforcements[],COLUMN(Reinforcements[[#Headers],['# of End Connection Bolts          (Bottom)]])-1,FALSE))</f>
        <v/>
      </c>
      <c r="I152" s="634"/>
      <c r="J152" s="634" t="str">
        <f>IF($B151="","",VLOOKUP($B151,Reinforcements[],COLUMN(Reinforcements[[#Headers],[Threads Included (N) or Excluded (X) (Bottom)]])-1,FALSE))</f>
        <v/>
      </c>
      <c r="K152" s="634"/>
      <c r="L152" s="634" t="str">
        <f>IF($B151="","",VLOOKUP($B151,Reinforcements[],COLUMN(Reinforcements[[#Headers],[End Connection Bolt Spacing (in) (B)]])-1,FALSE))</f>
        <v/>
      </c>
      <c r="M152" s="634"/>
      <c r="N152" s="634" t="str">
        <f>IF($B151="","",VLOOKUP($B151,Reinforcements[],COLUMN(Reinforcements[[#Headers],[End Connection Edge Distance (in) (B)]])-1,FALSE))</f>
        <v/>
      </c>
      <c r="O152" s="634"/>
      <c r="P152" s="634" t="str">
        <f>IF($B151="","",VLOOKUP($B151,Reinforcements[],COLUMN(Reinforcements[[#Headers],[Bottom Weld Grade (ksi)]])-1,FALSE))</f>
        <v/>
      </c>
      <c r="Q152" s="634"/>
      <c r="R152" s="634" t="str">
        <f>IF($B151="","",VLOOKUP($B151,Reinforcements[],COLUMN(Reinforcements[[#Headers],[Bottom Transverse (Horizontal) Weld]])-1,FALSE))</f>
        <v/>
      </c>
      <c r="S152" s="634"/>
      <c r="T152" s="634"/>
      <c r="U152" s="634" t="str">
        <f>IF($B151="","",VLOOKUP($B151,Reinforcements[],COLUMN(Reinforcements[[#Headers],[Bottom Transverse Weld Length]])-1,FALSE))</f>
        <v/>
      </c>
      <c r="V152" s="634"/>
      <c r="W152" s="634"/>
      <c r="X152" s="634" t="str">
        <f>IF($B151="","",VLOOKUP($B151,Reinforcements[],COLUMN(Reinforcements[[#Headers],[Bottom Transverse Weld Groove Depth (in)]])-1,FALSE))</f>
        <v/>
      </c>
      <c r="Y152" s="634"/>
      <c r="Z152" s="634"/>
      <c r="AA152" s="634" t="str">
        <f>IF($B151="","",VLOOKUP($B151,Reinforcements[],COLUMN(Reinforcements[[#Headers],[Bottom Transverse Weld Groove Angle (degrees)]])-1,FALSE))</f>
        <v/>
      </c>
      <c r="AB152" s="634"/>
      <c r="AC152" s="634"/>
      <c r="AD152" s="634" t="str">
        <f>IF($B151="","",VLOOKUP($B151,Reinforcements[],COLUMN(Reinforcements[[#Headers],[Bottom Transverse Weld Fillet Size (in)]])-1,FALSE))</f>
        <v/>
      </c>
      <c r="AE152" s="634"/>
      <c r="AF152" s="634" t="str">
        <f>IF($B151="","",VLOOKUP($B151,Reinforcements[],COLUMN(Reinforcements[[#Headers],[Bottom Longitudinal Weld Length]])-1,FALSE))</f>
        <v/>
      </c>
      <c r="AG152" s="634"/>
      <c r="AH152" s="634"/>
      <c r="AI152" s="635" t="str">
        <f>IF($B151="","",VLOOKUP($B151,Reinforcements[],COLUMN(Reinforcements[[#Headers],[Bottom Longitudinal Weld Fillet Size (in)]])-1,FALSE))</f>
        <v/>
      </c>
      <c r="AJ152" s="635"/>
      <c r="AK152" s="636" t="str">
        <f>IF($B151="","",IF(Rev="F",(VLOOKUP($B151,Reinforcements[],COLUMN(Reinforcements[[#Headers],[Rev. F Bottom Connection Capacity (kips)]])-1,FALSE)),(IF(Rev="G",(VLOOKUP($B151,Reinforcements[],COLUMN(Reinforcements[[#Headers],[Rev. G Bottom Connection Capacity (kips)]])-1,FALSE)),(VLOOKUP($B151,Reinforcements[],COLUMN(Reinforcements[[#Headers],[Rev. H Bottom Connection Capacity (kips)]])-1,FALSE))))))</f>
        <v/>
      </c>
      <c r="AL152" s="636"/>
      <c r="AM152" s="637"/>
    </row>
    <row r="153" spans="2:39" ht="12.75" hidden="1" customHeight="1" x14ac:dyDescent="0.2">
      <c r="B153" s="638" t="str">
        <f>IF('Reinforcements'!B78="","",'Reinforcements'!B78)</f>
        <v/>
      </c>
      <c r="C153" s="639"/>
      <c r="D153" s="639"/>
      <c r="E153" s="639"/>
      <c r="F153" s="642" t="str">
        <f t="shared" ref="F153" si="13">IF($B153="","","Top")</f>
        <v/>
      </c>
      <c r="G153" s="629"/>
      <c r="H153" s="629" t="str">
        <f>IF($B153="","",VLOOKUP($B153,Reinforcements[],COLUMN(Reinforcements[[#Headers],['# of End Connection Bolts          (Top)]])-1,FALSE))</f>
        <v/>
      </c>
      <c r="I153" s="629"/>
      <c r="J153" s="629" t="str">
        <f>IF($B153="","",VLOOKUP($B153,Reinforcements[],COLUMN(Reinforcements[[#Headers],[Threads Included (N) or Excluded (X) (Top)]])-1,FALSE))</f>
        <v/>
      </c>
      <c r="K153" s="629"/>
      <c r="L153" s="629" t="str">
        <f>IF($B153="","",VLOOKUP($B153,Reinforcements[],COLUMN(Reinforcements[[#Headers],[End Connection Bolt Spacing (in) (T)]])-1,FALSE))</f>
        <v/>
      </c>
      <c r="M153" s="629"/>
      <c r="N153" s="629" t="str">
        <f>IF($B153="","",VLOOKUP($B153,Reinforcements[],COLUMN(Reinforcements[[#Headers],[End Connection Edge Distance (in) (T)]])-1,FALSE))</f>
        <v/>
      </c>
      <c r="O153" s="629"/>
      <c r="P153" s="629" t="str">
        <f>IF($B153="","",VLOOKUP($B153,Reinforcements[],COLUMN(Reinforcements[[#Headers],[Top Weld Grade (ksi)]])-1,FALSE))</f>
        <v/>
      </c>
      <c r="Q153" s="629"/>
      <c r="R153" s="629" t="str">
        <f>IF($B153="","",VLOOKUP($B153,Reinforcements[],COLUMN(Reinforcements[[#Headers],[Top Transverse (Horizontal) Weld]])-1,FALSE))</f>
        <v/>
      </c>
      <c r="S153" s="629"/>
      <c r="T153" s="629"/>
      <c r="U153" s="629" t="str">
        <f>IF($B153="","",VLOOKUP($B153,Reinforcements[],COLUMN(Reinforcements[[#Headers],[Top Transverse Weld Length]])-1,FALSE))</f>
        <v/>
      </c>
      <c r="V153" s="629"/>
      <c r="W153" s="629"/>
      <c r="X153" s="629" t="str">
        <f>IF($B153="","",VLOOKUP($B153,Reinforcements[],COLUMN(Reinforcements[[#Headers],[Top Transverse Weld Groove Depth (in)]])-1,FALSE))</f>
        <v/>
      </c>
      <c r="Y153" s="629"/>
      <c r="Z153" s="629"/>
      <c r="AA153" s="629" t="str">
        <f>IF($B153="","",VLOOKUP($B153,Reinforcements[],COLUMN(Reinforcements[[#Headers],[Top Transverse Weld Groove Angle (degrees)]])-1,FALSE))</f>
        <v/>
      </c>
      <c r="AB153" s="629"/>
      <c r="AC153" s="629"/>
      <c r="AD153" s="629" t="str">
        <f>IF($B153="","",VLOOKUP($B153,Reinforcements[],COLUMN(Reinforcements[[#Headers],[Top Transverse Weld Fillet Size (in)]])-1,FALSE))</f>
        <v/>
      </c>
      <c r="AE153" s="629"/>
      <c r="AF153" s="629" t="str">
        <f>IF($B153="","",VLOOKUP($B153,Reinforcements[],COLUMN(Reinforcements[[#Headers],[Top Longitudinal Weld Length]])-1,FALSE))</f>
        <v/>
      </c>
      <c r="AG153" s="629"/>
      <c r="AH153" s="629"/>
      <c r="AI153" s="630" t="str">
        <f>IF($B153="","",VLOOKUP($B153,Reinforcements[],COLUMN(Reinforcements[[#Headers],[Top Longitudinal Weld Fillet Size (in)]])-1,FALSE))</f>
        <v/>
      </c>
      <c r="AJ153" s="630"/>
      <c r="AK153" s="631" t="str">
        <f>IF($B153="","",IF(Rev="F",(VLOOKUP($B153,Reinforcements[],COLUMN(Reinforcements[[#Headers],[Rev. F Top Connection Capacity (kips)]])-1,FALSE)),(IF(Rev="G",(VLOOKUP($B153,Reinforcements[],COLUMN(Reinforcements[[#Headers],[Rev. G Top Connection Capacity (kips)]])-1,FALSE)),(VLOOKUP($B153,Reinforcements[],COLUMN(Reinforcements[[#Headers],[Rev. H Top Connection Capacity (kips)]])-1,FALSE))))))</f>
        <v/>
      </c>
      <c r="AL153" s="631"/>
      <c r="AM153" s="632"/>
    </row>
    <row r="154" spans="2:39" ht="12.75" hidden="1" customHeight="1" x14ac:dyDescent="0.2">
      <c r="B154" s="640"/>
      <c r="C154" s="641"/>
      <c r="D154" s="641"/>
      <c r="E154" s="641"/>
      <c r="F154" s="633" t="str">
        <f t="shared" ref="F154" si="14">IF($B153="","","Bottom")</f>
        <v/>
      </c>
      <c r="G154" s="634"/>
      <c r="H154" s="634" t="str">
        <f>IF($B153="","",VLOOKUP($B153,Reinforcements[],COLUMN(Reinforcements[[#Headers],['# of End Connection Bolts          (Bottom)]])-1,FALSE))</f>
        <v/>
      </c>
      <c r="I154" s="634"/>
      <c r="J154" s="634" t="str">
        <f>IF($B153="","",VLOOKUP($B153,Reinforcements[],COLUMN(Reinforcements[[#Headers],[Threads Included (N) or Excluded (X) (Bottom)]])-1,FALSE))</f>
        <v/>
      </c>
      <c r="K154" s="634"/>
      <c r="L154" s="634" t="str">
        <f>IF($B153="","",VLOOKUP($B153,Reinforcements[],COLUMN(Reinforcements[[#Headers],[End Connection Bolt Spacing (in) (B)]])-1,FALSE))</f>
        <v/>
      </c>
      <c r="M154" s="634"/>
      <c r="N154" s="634" t="str">
        <f>IF($B153="","",VLOOKUP($B153,Reinforcements[],COLUMN(Reinforcements[[#Headers],[End Connection Edge Distance (in) (B)]])-1,FALSE))</f>
        <v/>
      </c>
      <c r="O154" s="634"/>
      <c r="P154" s="634" t="str">
        <f>IF($B153="","",VLOOKUP($B153,Reinforcements[],COLUMN(Reinforcements[[#Headers],[Bottom Weld Grade (ksi)]])-1,FALSE))</f>
        <v/>
      </c>
      <c r="Q154" s="634"/>
      <c r="R154" s="634" t="str">
        <f>IF($B153="","",VLOOKUP($B153,Reinforcements[],COLUMN(Reinforcements[[#Headers],[Bottom Transverse (Horizontal) Weld]])-1,FALSE))</f>
        <v/>
      </c>
      <c r="S154" s="634"/>
      <c r="T154" s="634"/>
      <c r="U154" s="634" t="str">
        <f>IF($B153="","",VLOOKUP($B153,Reinforcements[],COLUMN(Reinforcements[[#Headers],[Bottom Transverse Weld Length]])-1,FALSE))</f>
        <v/>
      </c>
      <c r="V154" s="634"/>
      <c r="W154" s="634"/>
      <c r="X154" s="634" t="str">
        <f>IF($B153="","",VLOOKUP($B153,Reinforcements[],COLUMN(Reinforcements[[#Headers],[Bottom Transverse Weld Groove Depth (in)]])-1,FALSE))</f>
        <v/>
      </c>
      <c r="Y154" s="634"/>
      <c r="Z154" s="634"/>
      <c r="AA154" s="634" t="str">
        <f>IF($B153="","",VLOOKUP($B153,Reinforcements[],COLUMN(Reinforcements[[#Headers],[Bottom Transverse Weld Groove Angle (degrees)]])-1,FALSE))</f>
        <v/>
      </c>
      <c r="AB154" s="634"/>
      <c r="AC154" s="634"/>
      <c r="AD154" s="634" t="str">
        <f>IF($B153="","",VLOOKUP($B153,Reinforcements[],COLUMN(Reinforcements[[#Headers],[Bottom Transverse Weld Fillet Size (in)]])-1,FALSE))</f>
        <v/>
      </c>
      <c r="AE154" s="634"/>
      <c r="AF154" s="634" t="str">
        <f>IF($B153="","",VLOOKUP($B153,Reinforcements[],COLUMN(Reinforcements[[#Headers],[Bottom Longitudinal Weld Length]])-1,FALSE))</f>
        <v/>
      </c>
      <c r="AG154" s="634"/>
      <c r="AH154" s="634"/>
      <c r="AI154" s="635" t="str">
        <f>IF($B153="","",VLOOKUP($B153,Reinforcements[],COLUMN(Reinforcements[[#Headers],[Bottom Longitudinal Weld Fillet Size (in)]])-1,FALSE))</f>
        <v/>
      </c>
      <c r="AJ154" s="635"/>
      <c r="AK154" s="636" t="str">
        <f>IF($B153="","",IF(Rev="F",(VLOOKUP($B153,Reinforcements[],COLUMN(Reinforcements[[#Headers],[Rev. F Bottom Connection Capacity (kips)]])-1,FALSE)),(IF(Rev="G",(VLOOKUP($B153,Reinforcements[],COLUMN(Reinforcements[[#Headers],[Rev. G Bottom Connection Capacity (kips)]])-1,FALSE)),(VLOOKUP($B153,Reinforcements[],COLUMN(Reinforcements[[#Headers],[Rev. H Bottom Connection Capacity (kips)]])-1,FALSE))))))</f>
        <v/>
      </c>
      <c r="AL154" s="636"/>
      <c r="AM154" s="637"/>
    </row>
    <row r="155" spans="2:39" ht="12.75" hidden="1" customHeight="1" x14ac:dyDescent="0.2">
      <c r="B155" s="638" t="str">
        <f>IF('Reinforcements'!B79="","",'Reinforcements'!B79)</f>
        <v/>
      </c>
      <c r="C155" s="639"/>
      <c r="D155" s="639"/>
      <c r="E155" s="639"/>
      <c r="F155" s="642" t="str">
        <f t="shared" ref="F155" si="15">IF($B155="","","Top")</f>
        <v/>
      </c>
      <c r="G155" s="629"/>
      <c r="H155" s="629" t="str">
        <f>IF($B155="","",VLOOKUP($B155,Reinforcements[],COLUMN(Reinforcements[[#Headers],['# of End Connection Bolts          (Top)]])-1,FALSE))</f>
        <v/>
      </c>
      <c r="I155" s="629"/>
      <c r="J155" s="629" t="str">
        <f>IF($B155="","",VLOOKUP($B155,Reinforcements[],COLUMN(Reinforcements[[#Headers],[Threads Included (N) or Excluded (X) (Top)]])-1,FALSE))</f>
        <v/>
      </c>
      <c r="K155" s="629"/>
      <c r="L155" s="629" t="str">
        <f>IF($B155="","",VLOOKUP($B155,Reinforcements[],COLUMN(Reinforcements[[#Headers],[End Connection Bolt Spacing (in) (T)]])-1,FALSE))</f>
        <v/>
      </c>
      <c r="M155" s="629"/>
      <c r="N155" s="629" t="str">
        <f>IF($B155="","",VLOOKUP($B155,Reinforcements[],COLUMN(Reinforcements[[#Headers],[End Connection Edge Distance (in) (T)]])-1,FALSE))</f>
        <v/>
      </c>
      <c r="O155" s="629"/>
      <c r="P155" s="629" t="str">
        <f>IF($B155="","",VLOOKUP($B155,Reinforcements[],COLUMN(Reinforcements[[#Headers],[Top Weld Grade (ksi)]])-1,FALSE))</f>
        <v/>
      </c>
      <c r="Q155" s="629"/>
      <c r="R155" s="629" t="str">
        <f>IF($B155="","",VLOOKUP($B155,Reinforcements[],COLUMN(Reinforcements[[#Headers],[Top Transverse (Horizontal) Weld]])-1,FALSE))</f>
        <v/>
      </c>
      <c r="S155" s="629"/>
      <c r="T155" s="629"/>
      <c r="U155" s="629" t="str">
        <f>IF($B155="","",VLOOKUP($B155,Reinforcements[],COLUMN(Reinforcements[[#Headers],[Top Transverse Weld Length]])-1,FALSE))</f>
        <v/>
      </c>
      <c r="V155" s="629"/>
      <c r="W155" s="629"/>
      <c r="X155" s="629" t="str">
        <f>IF($B155="","",VLOOKUP($B155,Reinforcements[],COLUMN(Reinforcements[[#Headers],[Top Transverse Weld Groove Depth (in)]])-1,FALSE))</f>
        <v/>
      </c>
      <c r="Y155" s="629"/>
      <c r="Z155" s="629"/>
      <c r="AA155" s="629" t="str">
        <f>IF($B155="","",VLOOKUP($B155,Reinforcements[],COLUMN(Reinforcements[[#Headers],[Top Transverse Weld Groove Angle (degrees)]])-1,FALSE))</f>
        <v/>
      </c>
      <c r="AB155" s="629"/>
      <c r="AC155" s="629"/>
      <c r="AD155" s="629" t="str">
        <f>IF($B155="","",VLOOKUP($B155,Reinforcements[],COLUMN(Reinforcements[[#Headers],[Top Transverse Weld Fillet Size (in)]])-1,FALSE))</f>
        <v/>
      </c>
      <c r="AE155" s="629"/>
      <c r="AF155" s="629" t="str">
        <f>IF($B155="","",VLOOKUP($B155,Reinforcements[],COLUMN(Reinforcements[[#Headers],[Top Longitudinal Weld Length]])-1,FALSE))</f>
        <v/>
      </c>
      <c r="AG155" s="629"/>
      <c r="AH155" s="629"/>
      <c r="AI155" s="630" t="str">
        <f>IF($B155="","",VLOOKUP($B155,Reinforcements[],COLUMN(Reinforcements[[#Headers],[Top Longitudinal Weld Fillet Size (in)]])-1,FALSE))</f>
        <v/>
      </c>
      <c r="AJ155" s="630"/>
      <c r="AK155" s="631" t="str">
        <f>IF($B155="","",IF(Rev="F",(VLOOKUP($B155,Reinforcements[],COLUMN(Reinforcements[[#Headers],[Rev. F Top Connection Capacity (kips)]])-1,FALSE)),(IF(Rev="G",(VLOOKUP($B155,Reinforcements[],COLUMN(Reinforcements[[#Headers],[Rev. G Top Connection Capacity (kips)]])-1,FALSE)),(VLOOKUP($B155,Reinforcements[],COLUMN(Reinforcements[[#Headers],[Rev. H Top Connection Capacity (kips)]])-1,FALSE))))))</f>
        <v/>
      </c>
      <c r="AL155" s="631"/>
      <c r="AM155" s="632"/>
    </row>
    <row r="156" spans="2:39" ht="12.75" hidden="1" customHeight="1" x14ac:dyDescent="0.2">
      <c r="B156" s="640"/>
      <c r="C156" s="641"/>
      <c r="D156" s="641"/>
      <c r="E156" s="641"/>
      <c r="F156" s="633" t="str">
        <f t="shared" ref="F156" si="16">IF($B155="","","Bottom")</f>
        <v/>
      </c>
      <c r="G156" s="634"/>
      <c r="H156" s="634" t="str">
        <f>IF($B155="","",VLOOKUP($B155,Reinforcements[],COLUMN(Reinforcements[[#Headers],['# of End Connection Bolts          (Bottom)]])-1,FALSE))</f>
        <v/>
      </c>
      <c r="I156" s="634"/>
      <c r="J156" s="634" t="str">
        <f>IF($B155="","",VLOOKUP($B155,Reinforcements[],COLUMN(Reinforcements[[#Headers],[Threads Included (N) or Excluded (X) (Bottom)]])-1,FALSE))</f>
        <v/>
      </c>
      <c r="K156" s="634"/>
      <c r="L156" s="634" t="str">
        <f>IF($B155="","",VLOOKUP($B155,Reinforcements[],COLUMN(Reinforcements[[#Headers],[End Connection Bolt Spacing (in) (B)]])-1,FALSE))</f>
        <v/>
      </c>
      <c r="M156" s="634"/>
      <c r="N156" s="634" t="str">
        <f>IF($B155="","",VLOOKUP($B155,Reinforcements[],COLUMN(Reinforcements[[#Headers],[End Connection Edge Distance (in) (B)]])-1,FALSE))</f>
        <v/>
      </c>
      <c r="O156" s="634"/>
      <c r="P156" s="634" t="str">
        <f>IF($B155="","",VLOOKUP($B155,Reinforcements[],COLUMN(Reinforcements[[#Headers],[Bottom Weld Grade (ksi)]])-1,FALSE))</f>
        <v/>
      </c>
      <c r="Q156" s="634"/>
      <c r="R156" s="634" t="str">
        <f>IF($B155="","",VLOOKUP($B155,Reinforcements[],COLUMN(Reinforcements[[#Headers],[Bottom Transverse (Horizontal) Weld]])-1,FALSE))</f>
        <v/>
      </c>
      <c r="S156" s="634"/>
      <c r="T156" s="634"/>
      <c r="U156" s="634" t="str">
        <f>IF($B155="","",VLOOKUP($B155,Reinforcements[],COLUMN(Reinforcements[[#Headers],[Bottom Transverse Weld Length]])-1,FALSE))</f>
        <v/>
      </c>
      <c r="V156" s="634"/>
      <c r="W156" s="634"/>
      <c r="X156" s="634" t="str">
        <f>IF($B155="","",VLOOKUP($B155,Reinforcements[],COLUMN(Reinforcements[[#Headers],[Bottom Transverse Weld Groove Depth (in)]])-1,FALSE))</f>
        <v/>
      </c>
      <c r="Y156" s="634"/>
      <c r="Z156" s="634"/>
      <c r="AA156" s="634" t="str">
        <f>IF($B155="","",VLOOKUP($B155,Reinforcements[],COLUMN(Reinforcements[[#Headers],[Bottom Transverse Weld Groove Angle (degrees)]])-1,FALSE))</f>
        <v/>
      </c>
      <c r="AB156" s="634"/>
      <c r="AC156" s="634"/>
      <c r="AD156" s="634" t="str">
        <f>IF($B155="","",VLOOKUP($B155,Reinforcements[],COLUMN(Reinforcements[[#Headers],[Bottom Transverse Weld Fillet Size (in)]])-1,FALSE))</f>
        <v/>
      </c>
      <c r="AE156" s="634"/>
      <c r="AF156" s="634" t="str">
        <f>IF($B155="","",VLOOKUP($B155,Reinforcements[],COLUMN(Reinforcements[[#Headers],[Bottom Longitudinal Weld Length]])-1,FALSE))</f>
        <v/>
      </c>
      <c r="AG156" s="634"/>
      <c r="AH156" s="634"/>
      <c r="AI156" s="635" t="str">
        <f>IF($B155="","",VLOOKUP($B155,Reinforcements[],COLUMN(Reinforcements[[#Headers],[Bottom Longitudinal Weld Fillet Size (in)]])-1,FALSE))</f>
        <v/>
      </c>
      <c r="AJ156" s="635"/>
      <c r="AK156" s="636" t="str">
        <f>IF($B155="","",IF(Rev="F",(VLOOKUP($B155,Reinforcements[],COLUMN(Reinforcements[[#Headers],[Rev. F Bottom Connection Capacity (kips)]])-1,FALSE)),(IF(Rev="G",(VLOOKUP($B155,Reinforcements[],COLUMN(Reinforcements[[#Headers],[Rev. G Bottom Connection Capacity (kips)]])-1,FALSE)),(VLOOKUP($B155,Reinforcements[],COLUMN(Reinforcements[[#Headers],[Rev. H Bottom Connection Capacity (kips)]])-1,FALSE))))))</f>
        <v/>
      </c>
      <c r="AL156" s="636"/>
      <c r="AM156" s="637"/>
    </row>
    <row r="157" spans="2:39" ht="12.75" hidden="1" customHeight="1" x14ac:dyDescent="0.2">
      <c r="B157" s="638" t="str">
        <f>IF('Reinforcements'!B80="","",'Reinforcements'!B80)</f>
        <v/>
      </c>
      <c r="C157" s="639"/>
      <c r="D157" s="639"/>
      <c r="E157" s="639"/>
      <c r="F157" s="642" t="str">
        <f t="shared" ref="F157" si="17">IF($B157="","","Top")</f>
        <v/>
      </c>
      <c r="G157" s="629"/>
      <c r="H157" s="629" t="str">
        <f>IF($B157="","",VLOOKUP($B157,Reinforcements[],COLUMN(Reinforcements[[#Headers],['# of End Connection Bolts          (Top)]])-1,FALSE))</f>
        <v/>
      </c>
      <c r="I157" s="629"/>
      <c r="J157" s="629" t="str">
        <f>IF($B157="","",VLOOKUP($B157,Reinforcements[],COLUMN(Reinforcements[[#Headers],[Threads Included (N) or Excluded (X) (Top)]])-1,FALSE))</f>
        <v/>
      </c>
      <c r="K157" s="629"/>
      <c r="L157" s="629" t="str">
        <f>IF($B157="","",VLOOKUP($B157,Reinforcements[],COLUMN(Reinforcements[[#Headers],[End Connection Bolt Spacing (in) (T)]])-1,FALSE))</f>
        <v/>
      </c>
      <c r="M157" s="629"/>
      <c r="N157" s="629" t="str">
        <f>IF($B157="","",VLOOKUP($B157,Reinforcements[],COLUMN(Reinforcements[[#Headers],[End Connection Edge Distance (in) (T)]])-1,FALSE))</f>
        <v/>
      </c>
      <c r="O157" s="629"/>
      <c r="P157" s="629" t="str">
        <f>IF($B157="","",VLOOKUP($B157,Reinforcements[],COLUMN(Reinforcements[[#Headers],[Top Weld Grade (ksi)]])-1,FALSE))</f>
        <v/>
      </c>
      <c r="Q157" s="629"/>
      <c r="R157" s="629" t="str">
        <f>IF($B157="","",VLOOKUP($B157,Reinforcements[],COLUMN(Reinforcements[[#Headers],[Top Transverse (Horizontal) Weld]])-1,FALSE))</f>
        <v/>
      </c>
      <c r="S157" s="629"/>
      <c r="T157" s="629"/>
      <c r="U157" s="629" t="str">
        <f>IF($B157="","",VLOOKUP($B157,Reinforcements[],COLUMN(Reinforcements[[#Headers],[Top Transverse Weld Length]])-1,FALSE))</f>
        <v/>
      </c>
      <c r="V157" s="629"/>
      <c r="W157" s="629"/>
      <c r="X157" s="629" t="str">
        <f>IF($B157="","",VLOOKUP($B157,Reinforcements[],COLUMN(Reinforcements[[#Headers],[Top Transverse Weld Groove Depth (in)]])-1,FALSE))</f>
        <v/>
      </c>
      <c r="Y157" s="629"/>
      <c r="Z157" s="629"/>
      <c r="AA157" s="629" t="str">
        <f>IF($B157="","",VLOOKUP($B157,Reinforcements[],COLUMN(Reinforcements[[#Headers],[Top Transverse Weld Groove Angle (degrees)]])-1,FALSE))</f>
        <v/>
      </c>
      <c r="AB157" s="629"/>
      <c r="AC157" s="629"/>
      <c r="AD157" s="629" t="str">
        <f>IF($B157="","",VLOOKUP($B157,Reinforcements[],COLUMN(Reinforcements[[#Headers],[Top Transverse Weld Fillet Size (in)]])-1,FALSE))</f>
        <v/>
      </c>
      <c r="AE157" s="629"/>
      <c r="AF157" s="629" t="str">
        <f>IF($B157="","",VLOOKUP($B157,Reinforcements[],COLUMN(Reinforcements[[#Headers],[Top Longitudinal Weld Length]])-1,FALSE))</f>
        <v/>
      </c>
      <c r="AG157" s="629"/>
      <c r="AH157" s="629"/>
      <c r="AI157" s="630" t="str">
        <f>IF($B157="","",VLOOKUP($B157,Reinforcements[],COLUMN(Reinforcements[[#Headers],[Top Longitudinal Weld Fillet Size (in)]])-1,FALSE))</f>
        <v/>
      </c>
      <c r="AJ157" s="630"/>
      <c r="AK157" s="631" t="str">
        <f>IF($B157="","",IF(Rev="F",(VLOOKUP($B157,Reinforcements[],COLUMN(Reinforcements[[#Headers],[Rev. F Top Connection Capacity (kips)]])-1,FALSE)),(IF(Rev="G",(VLOOKUP($B157,Reinforcements[],COLUMN(Reinforcements[[#Headers],[Rev. G Top Connection Capacity (kips)]])-1,FALSE)),(VLOOKUP($B157,Reinforcements[],COLUMN(Reinforcements[[#Headers],[Rev. H Top Connection Capacity (kips)]])-1,FALSE))))))</f>
        <v/>
      </c>
      <c r="AL157" s="631"/>
      <c r="AM157" s="632"/>
    </row>
    <row r="158" spans="2:39" ht="12.75" hidden="1" customHeight="1" x14ac:dyDescent="0.2">
      <c r="B158" s="640"/>
      <c r="C158" s="641"/>
      <c r="D158" s="641"/>
      <c r="E158" s="641"/>
      <c r="F158" s="633" t="str">
        <f t="shared" ref="F158" si="18">IF($B157="","","Bottom")</f>
        <v/>
      </c>
      <c r="G158" s="634"/>
      <c r="H158" s="634" t="str">
        <f>IF($B157="","",VLOOKUP($B157,Reinforcements[],COLUMN(Reinforcements[[#Headers],['# of End Connection Bolts          (Bottom)]])-1,FALSE))</f>
        <v/>
      </c>
      <c r="I158" s="634"/>
      <c r="J158" s="634" t="str">
        <f>IF($B157="","",VLOOKUP($B157,Reinforcements[],COLUMN(Reinforcements[[#Headers],[Threads Included (N) or Excluded (X) (Bottom)]])-1,FALSE))</f>
        <v/>
      </c>
      <c r="K158" s="634"/>
      <c r="L158" s="634" t="str">
        <f>IF($B157="","",VLOOKUP($B157,Reinforcements[],COLUMN(Reinforcements[[#Headers],[End Connection Bolt Spacing (in) (B)]])-1,FALSE))</f>
        <v/>
      </c>
      <c r="M158" s="634"/>
      <c r="N158" s="634" t="str">
        <f>IF($B157="","",VLOOKUP($B157,Reinforcements[],COLUMN(Reinforcements[[#Headers],[End Connection Edge Distance (in) (B)]])-1,FALSE))</f>
        <v/>
      </c>
      <c r="O158" s="634"/>
      <c r="P158" s="634" t="str">
        <f>IF($B157="","",VLOOKUP($B157,Reinforcements[],COLUMN(Reinforcements[[#Headers],[Bottom Weld Grade (ksi)]])-1,FALSE))</f>
        <v/>
      </c>
      <c r="Q158" s="634"/>
      <c r="R158" s="634" t="str">
        <f>IF($B157="","",VLOOKUP($B157,Reinforcements[],COLUMN(Reinforcements[[#Headers],[Bottom Transverse (Horizontal) Weld]])-1,FALSE))</f>
        <v/>
      </c>
      <c r="S158" s="634"/>
      <c r="T158" s="634"/>
      <c r="U158" s="634" t="str">
        <f>IF($B157="","",VLOOKUP($B157,Reinforcements[],COLUMN(Reinforcements[[#Headers],[Bottom Transverse Weld Length]])-1,FALSE))</f>
        <v/>
      </c>
      <c r="V158" s="634"/>
      <c r="W158" s="634"/>
      <c r="X158" s="634" t="str">
        <f>IF($B157="","",VLOOKUP($B157,Reinforcements[],COLUMN(Reinforcements[[#Headers],[Bottom Transverse Weld Groove Depth (in)]])-1,FALSE))</f>
        <v/>
      </c>
      <c r="Y158" s="634"/>
      <c r="Z158" s="634"/>
      <c r="AA158" s="634" t="str">
        <f>IF($B157="","",VLOOKUP($B157,Reinforcements[],COLUMN(Reinforcements[[#Headers],[Bottom Transverse Weld Groove Angle (degrees)]])-1,FALSE))</f>
        <v/>
      </c>
      <c r="AB158" s="634"/>
      <c r="AC158" s="634"/>
      <c r="AD158" s="634" t="str">
        <f>IF($B157="","",VLOOKUP($B157,Reinforcements[],COLUMN(Reinforcements[[#Headers],[Bottom Transverse Weld Fillet Size (in)]])-1,FALSE))</f>
        <v/>
      </c>
      <c r="AE158" s="634"/>
      <c r="AF158" s="634" t="str">
        <f>IF($B157="","",VLOOKUP($B157,Reinforcements[],COLUMN(Reinforcements[[#Headers],[Bottom Longitudinal Weld Length]])-1,FALSE))</f>
        <v/>
      </c>
      <c r="AG158" s="634"/>
      <c r="AH158" s="634"/>
      <c r="AI158" s="635" t="str">
        <f>IF($B157="","",VLOOKUP($B157,Reinforcements[],COLUMN(Reinforcements[[#Headers],[Bottom Longitudinal Weld Fillet Size (in)]])-1,FALSE))</f>
        <v/>
      </c>
      <c r="AJ158" s="635"/>
      <c r="AK158" s="636" t="str">
        <f>IF($B157="","",IF(Rev="F",(VLOOKUP($B157,Reinforcements[],COLUMN(Reinforcements[[#Headers],[Rev. F Bottom Connection Capacity (kips)]])-1,FALSE)),(IF(Rev="G",(VLOOKUP($B157,Reinforcements[],COLUMN(Reinforcements[[#Headers],[Rev. G Bottom Connection Capacity (kips)]])-1,FALSE)),(VLOOKUP($B157,Reinforcements[],COLUMN(Reinforcements[[#Headers],[Rev. H Bottom Connection Capacity (kips)]])-1,FALSE))))))</f>
        <v/>
      </c>
      <c r="AL158" s="636"/>
      <c r="AM158" s="637"/>
    </row>
    <row r="159" spans="2:39" ht="12.75" hidden="1" customHeight="1" x14ac:dyDescent="0.2">
      <c r="B159" s="638" t="str">
        <f>IF('Reinforcements'!B81="","",'Reinforcements'!B81)</f>
        <v/>
      </c>
      <c r="C159" s="639"/>
      <c r="D159" s="639"/>
      <c r="E159" s="639"/>
      <c r="F159" s="642" t="str">
        <f t="shared" ref="F159" si="19">IF($B159="","","Top")</f>
        <v/>
      </c>
      <c r="G159" s="629"/>
      <c r="H159" s="629" t="str">
        <f>IF($B159="","",VLOOKUP($B159,Reinforcements[],COLUMN(Reinforcements[[#Headers],['# of End Connection Bolts          (Top)]])-1,FALSE))</f>
        <v/>
      </c>
      <c r="I159" s="629"/>
      <c r="J159" s="629" t="str">
        <f>IF($B159="","",VLOOKUP($B159,Reinforcements[],COLUMN(Reinforcements[[#Headers],[Threads Included (N) or Excluded (X) (Top)]])-1,FALSE))</f>
        <v/>
      </c>
      <c r="K159" s="629"/>
      <c r="L159" s="629" t="str">
        <f>IF($B159="","",VLOOKUP($B159,Reinforcements[],COLUMN(Reinforcements[[#Headers],[End Connection Bolt Spacing (in) (T)]])-1,FALSE))</f>
        <v/>
      </c>
      <c r="M159" s="629"/>
      <c r="N159" s="629" t="str">
        <f>IF($B159="","",VLOOKUP($B159,Reinforcements[],COLUMN(Reinforcements[[#Headers],[End Connection Edge Distance (in) (T)]])-1,FALSE))</f>
        <v/>
      </c>
      <c r="O159" s="629"/>
      <c r="P159" s="629" t="str">
        <f>IF($B159="","",VLOOKUP($B159,Reinforcements[],COLUMN(Reinforcements[[#Headers],[Top Weld Grade (ksi)]])-1,FALSE))</f>
        <v/>
      </c>
      <c r="Q159" s="629"/>
      <c r="R159" s="629" t="str">
        <f>IF($B159="","",VLOOKUP($B159,Reinforcements[],COLUMN(Reinforcements[[#Headers],[Top Transverse (Horizontal) Weld]])-1,FALSE))</f>
        <v/>
      </c>
      <c r="S159" s="629"/>
      <c r="T159" s="629"/>
      <c r="U159" s="629" t="str">
        <f>IF($B159="","",VLOOKUP($B159,Reinforcements[],COLUMN(Reinforcements[[#Headers],[Top Transverse Weld Length]])-1,FALSE))</f>
        <v/>
      </c>
      <c r="V159" s="629"/>
      <c r="W159" s="629"/>
      <c r="X159" s="629" t="str">
        <f>IF($B159="","",VLOOKUP($B159,Reinforcements[],COLUMN(Reinforcements[[#Headers],[Top Transverse Weld Groove Depth (in)]])-1,FALSE))</f>
        <v/>
      </c>
      <c r="Y159" s="629"/>
      <c r="Z159" s="629"/>
      <c r="AA159" s="629" t="str">
        <f>IF($B159="","",VLOOKUP($B159,Reinforcements[],COLUMN(Reinforcements[[#Headers],[Top Transverse Weld Groove Angle (degrees)]])-1,FALSE))</f>
        <v/>
      </c>
      <c r="AB159" s="629"/>
      <c r="AC159" s="629"/>
      <c r="AD159" s="629" t="str">
        <f>IF($B159="","",VLOOKUP($B159,Reinforcements[],COLUMN(Reinforcements[[#Headers],[Top Transverse Weld Fillet Size (in)]])-1,FALSE))</f>
        <v/>
      </c>
      <c r="AE159" s="629"/>
      <c r="AF159" s="629" t="str">
        <f>IF($B159="","",VLOOKUP($B159,Reinforcements[],COLUMN(Reinforcements[[#Headers],[Top Longitudinal Weld Length]])-1,FALSE))</f>
        <v/>
      </c>
      <c r="AG159" s="629"/>
      <c r="AH159" s="629"/>
      <c r="AI159" s="630" t="str">
        <f>IF($B159="","",VLOOKUP($B159,Reinforcements[],COLUMN(Reinforcements[[#Headers],[Top Longitudinal Weld Fillet Size (in)]])-1,FALSE))</f>
        <v/>
      </c>
      <c r="AJ159" s="630"/>
      <c r="AK159" s="631" t="str">
        <f>IF($B159="","",IF(Rev="F",(VLOOKUP($B159,Reinforcements[],COLUMN(Reinforcements[[#Headers],[Rev. F Top Connection Capacity (kips)]])-1,FALSE)),(IF(Rev="G",(VLOOKUP($B159,Reinforcements[],COLUMN(Reinforcements[[#Headers],[Rev. G Top Connection Capacity (kips)]])-1,FALSE)),(VLOOKUP($B159,Reinforcements[],COLUMN(Reinforcements[[#Headers],[Rev. H Top Connection Capacity (kips)]])-1,FALSE))))))</f>
        <v/>
      </c>
      <c r="AL159" s="631"/>
      <c r="AM159" s="632"/>
    </row>
    <row r="160" spans="2:39" ht="12.75" hidden="1" customHeight="1" x14ac:dyDescent="0.2">
      <c r="B160" s="640"/>
      <c r="C160" s="641"/>
      <c r="D160" s="641"/>
      <c r="E160" s="641"/>
      <c r="F160" s="633" t="str">
        <f t="shared" ref="F160" si="20">IF($B159="","","Bottom")</f>
        <v/>
      </c>
      <c r="G160" s="634"/>
      <c r="H160" s="634" t="str">
        <f>IF($B159="","",VLOOKUP($B159,Reinforcements[],COLUMN(Reinforcements[[#Headers],['# of End Connection Bolts          (Bottom)]])-1,FALSE))</f>
        <v/>
      </c>
      <c r="I160" s="634"/>
      <c r="J160" s="634" t="str">
        <f>IF($B159="","",VLOOKUP($B159,Reinforcements[],COLUMN(Reinforcements[[#Headers],[Threads Included (N) or Excluded (X) (Bottom)]])-1,FALSE))</f>
        <v/>
      </c>
      <c r="K160" s="634"/>
      <c r="L160" s="634" t="str">
        <f>IF($B159="","",VLOOKUP($B159,Reinforcements[],COLUMN(Reinforcements[[#Headers],[End Connection Bolt Spacing (in) (B)]])-1,FALSE))</f>
        <v/>
      </c>
      <c r="M160" s="634"/>
      <c r="N160" s="634" t="str">
        <f>IF($B159="","",VLOOKUP($B159,Reinforcements[],COLUMN(Reinforcements[[#Headers],[End Connection Edge Distance (in) (B)]])-1,FALSE))</f>
        <v/>
      </c>
      <c r="O160" s="634"/>
      <c r="P160" s="634" t="str">
        <f>IF($B159="","",VLOOKUP($B159,Reinforcements[],COLUMN(Reinforcements[[#Headers],[Bottom Weld Grade (ksi)]])-1,FALSE))</f>
        <v/>
      </c>
      <c r="Q160" s="634"/>
      <c r="R160" s="634" t="str">
        <f>IF($B159="","",VLOOKUP($B159,Reinforcements[],COLUMN(Reinforcements[[#Headers],[Bottom Transverse (Horizontal) Weld]])-1,FALSE))</f>
        <v/>
      </c>
      <c r="S160" s="634"/>
      <c r="T160" s="634"/>
      <c r="U160" s="634" t="str">
        <f>IF($B159="","",VLOOKUP($B159,Reinforcements[],COLUMN(Reinforcements[[#Headers],[Bottom Transverse Weld Length]])-1,FALSE))</f>
        <v/>
      </c>
      <c r="V160" s="634"/>
      <c r="W160" s="634"/>
      <c r="X160" s="634" t="str">
        <f>IF($B159="","",VLOOKUP($B159,Reinforcements[],COLUMN(Reinforcements[[#Headers],[Bottom Transverse Weld Groove Depth (in)]])-1,FALSE))</f>
        <v/>
      </c>
      <c r="Y160" s="634"/>
      <c r="Z160" s="634"/>
      <c r="AA160" s="634" t="str">
        <f>IF($B159="","",VLOOKUP($B159,Reinforcements[],COLUMN(Reinforcements[[#Headers],[Bottom Transverse Weld Groove Angle (degrees)]])-1,FALSE))</f>
        <v/>
      </c>
      <c r="AB160" s="634"/>
      <c r="AC160" s="634"/>
      <c r="AD160" s="634" t="str">
        <f>IF($B159="","",VLOOKUP($B159,Reinforcements[],COLUMN(Reinforcements[[#Headers],[Bottom Transverse Weld Fillet Size (in)]])-1,FALSE))</f>
        <v/>
      </c>
      <c r="AE160" s="634"/>
      <c r="AF160" s="634" t="str">
        <f>IF($B159="","",VLOOKUP($B159,Reinforcements[],COLUMN(Reinforcements[[#Headers],[Bottom Longitudinal Weld Length]])-1,FALSE))</f>
        <v/>
      </c>
      <c r="AG160" s="634"/>
      <c r="AH160" s="634"/>
      <c r="AI160" s="635" t="str">
        <f>IF($B159="","",VLOOKUP($B159,Reinforcements[],COLUMN(Reinforcements[[#Headers],[Bottom Longitudinal Weld Fillet Size (in)]])-1,FALSE))</f>
        <v/>
      </c>
      <c r="AJ160" s="635"/>
      <c r="AK160" s="636" t="str">
        <f>IF($B159="","",IF(Rev="F",(VLOOKUP($B159,Reinforcements[],COLUMN(Reinforcements[[#Headers],[Rev. F Bottom Connection Capacity (kips)]])-1,FALSE)),(IF(Rev="G",(VLOOKUP($B159,Reinforcements[],COLUMN(Reinforcements[[#Headers],[Rev. G Bottom Connection Capacity (kips)]])-1,FALSE)),(VLOOKUP($B159,Reinforcements[],COLUMN(Reinforcements[[#Headers],[Rev. H Bottom Connection Capacity (kips)]])-1,FALSE))))))</f>
        <v/>
      </c>
      <c r="AL160" s="636"/>
      <c r="AM160" s="637"/>
    </row>
    <row r="161" spans="1:39" ht="12.75" hidden="1" customHeight="1" x14ac:dyDescent="0.2">
      <c r="B161" s="638" t="str">
        <f>IF('Reinforcements'!B82="","",'Reinforcements'!B82)</f>
        <v/>
      </c>
      <c r="C161" s="639"/>
      <c r="D161" s="639"/>
      <c r="E161" s="639"/>
      <c r="F161" s="642" t="str">
        <f t="shared" ref="F161:F163" si="21">IF($B161="","","Top")</f>
        <v/>
      </c>
      <c r="G161" s="629"/>
      <c r="H161" s="629" t="str">
        <f>IF($B161="","",VLOOKUP($B161,Reinforcements[],COLUMN(Reinforcements[[#Headers],['# of End Connection Bolts          (Top)]])-1,FALSE))</f>
        <v/>
      </c>
      <c r="I161" s="629"/>
      <c r="J161" s="629" t="str">
        <f>IF($B161="","",VLOOKUP($B161,Reinforcements[],COLUMN(Reinforcements[[#Headers],[Threads Included (N) or Excluded (X) (Top)]])-1,FALSE))</f>
        <v/>
      </c>
      <c r="K161" s="629"/>
      <c r="L161" s="629" t="str">
        <f>IF($B161="","",VLOOKUP($B161,Reinforcements[],COLUMN(Reinforcements[[#Headers],[End Connection Bolt Spacing (in) (T)]])-1,FALSE))</f>
        <v/>
      </c>
      <c r="M161" s="629"/>
      <c r="N161" s="629" t="str">
        <f>IF($B161="","",VLOOKUP($B161,Reinforcements[],COLUMN(Reinforcements[[#Headers],[End Connection Edge Distance (in) (T)]])-1,FALSE))</f>
        <v/>
      </c>
      <c r="O161" s="629"/>
      <c r="P161" s="629" t="str">
        <f>IF($B161="","",VLOOKUP($B161,Reinforcements[],COLUMN(Reinforcements[[#Headers],[Top Weld Grade (ksi)]])-1,FALSE))</f>
        <v/>
      </c>
      <c r="Q161" s="629"/>
      <c r="R161" s="629" t="str">
        <f>IF($B161="","",VLOOKUP($B161,Reinforcements[],COLUMN(Reinforcements[[#Headers],[Top Transverse (Horizontal) Weld]])-1,FALSE))</f>
        <v/>
      </c>
      <c r="S161" s="629"/>
      <c r="T161" s="629"/>
      <c r="U161" s="629" t="str">
        <f>IF($B161="","",VLOOKUP($B161,Reinforcements[],COLUMN(Reinforcements[[#Headers],[Top Transverse Weld Length]])-1,FALSE))</f>
        <v/>
      </c>
      <c r="V161" s="629"/>
      <c r="W161" s="629"/>
      <c r="X161" s="629" t="str">
        <f>IF($B161="","",VLOOKUP($B161,Reinforcements[],COLUMN(Reinforcements[[#Headers],[Top Transverse Weld Groove Depth (in)]])-1,FALSE))</f>
        <v/>
      </c>
      <c r="Y161" s="629"/>
      <c r="Z161" s="629"/>
      <c r="AA161" s="629" t="str">
        <f>IF($B161="","",VLOOKUP($B161,Reinforcements[],COLUMN(Reinforcements[[#Headers],[Top Transverse Weld Groove Angle (degrees)]])-1,FALSE))</f>
        <v/>
      </c>
      <c r="AB161" s="629"/>
      <c r="AC161" s="629"/>
      <c r="AD161" s="629" t="str">
        <f>IF($B161="","",VLOOKUP($B161,Reinforcements[],COLUMN(Reinforcements[[#Headers],[Top Transverse Weld Fillet Size (in)]])-1,FALSE))</f>
        <v/>
      </c>
      <c r="AE161" s="629"/>
      <c r="AF161" s="629" t="str">
        <f>IF($B161="","",VLOOKUP($B161,Reinforcements[],COLUMN(Reinforcements[[#Headers],[Top Longitudinal Weld Length]])-1,FALSE))</f>
        <v/>
      </c>
      <c r="AG161" s="629"/>
      <c r="AH161" s="629"/>
      <c r="AI161" s="630" t="str">
        <f>IF($B161="","",VLOOKUP($B161,Reinforcements[],COLUMN(Reinforcements[[#Headers],[Top Longitudinal Weld Fillet Size (in)]])-1,FALSE))</f>
        <v/>
      </c>
      <c r="AJ161" s="630"/>
      <c r="AK161" s="631" t="str">
        <f>IF($B161="","",IF(Rev="F",(VLOOKUP($B161,Reinforcements[],COLUMN(Reinforcements[[#Headers],[Rev. F Top Connection Capacity (kips)]])-1,FALSE)),(IF(Rev="G",(VLOOKUP($B161,Reinforcements[],COLUMN(Reinforcements[[#Headers],[Rev. G Top Connection Capacity (kips)]])-1,FALSE)),(VLOOKUP($B161,Reinforcements[],COLUMN(Reinforcements[[#Headers],[Rev. H Top Connection Capacity (kips)]])-1,FALSE))))))</f>
        <v/>
      </c>
      <c r="AL161" s="631"/>
      <c r="AM161" s="632"/>
    </row>
    <row r="162" spans="1:39" ht="12.75" hidden="1" customHeight="1" x14ac:dyDescent="0.2">
      <c r="B162" s="640"/>
      <c r="C162" s="641"/>
      <c r="D162" s="641"/>
      <c r="E162" s="641"/>
      <c r="F162" s="633" t="str">
        <f t="shared" ref="F162" si="22">IF($B161="","","Bottom")</f>
        <v/>
      </c>
      <c r="G162" s="634"/>
      <c r="H162" s="634" t="str">
        <f>IF($B161="","",VLOOKUP($B161,Reinforcements[],COLUMN(Reinforcements[[#Headers],['# of End Connection Bolts          (Bottom)]])-1,FALSE))</f>
        <v/>
      </c>
      <c r="I162" s="634"/>
      <c r="J162" s="634" t="str">
        <f>IF($B161="","",VLOOKUP($B161,Reinforcements[],COLUMN(Reinforcements[[#Headers],[Threads Included (N) or Excluded (X) (Bottom)]])-1,FALSE))</f>
        <v/>
      </c>
      <c r="K162" s="634"/>
      <c r="L162" s="634" t="str">
        <f>IF($B161="","",VLOOKUP($B161,Reinforcements[],COLUMN(Reinforcements[[#Headers],[End Connection Bolt Spacing (in) (B)]])-1,FALSE))</f>
        <v/>
      </c>
      <c r="M162" s="634"/>
      <c r="N162" s="634" t="str">
        <f>IF($B161="","",VLOOKUP($B161,Reinforcements[],COLUMN(Reinforcements[[#Headers],[End Connection Edge Distance (in) (B)]])-1,FALSE))</f>
        <v/>
      </c>
      <c r="O162" s="634"/>
      <c r="P162" s="634" t="str">
        <f>IF($B161="","",VLOOKUP($B161,Reinforcements[],COLUMN(Reinforcements[[#Headers],[Bottom Weld Grade (ksi)]])-1,FALSE))</f>
        <v/>
      </c>
      <c r="Q162" s="634"/>
      <c r="R162" s="634" t="str">
        <f>IF($B161="","",VLOOKUP($B161,Reinforcements[],COLUMN(Reinforcements[[#Headers],[Bottom Transverse (Horizontal) Weld]])-1,FALSE))</f>
        <v/>
      </c>
      <c r="S162" s="634"/>
      <c r="T162" s="634"/>
      <c r="U162" s="634" t="str">
        <f>IF($B161="","",VLOOKUP($B161,Reinforcements[],COLUMN(Reinforcements[[#Headers],[Bottom Transverse Weld Length]])-1,FALSE))</f>
        <v/>
      </c>
      <c r="V162" s="634"/>
      <c r="W162" s="634"/>
      <c r="X162" s="634" t="str">
        <f>IF($B161="","",VLOOKUP($B161,Reinforcements[],COLUMN(Reinforcements[[#Headers],[Bottom Transverse Weld Groove Depth (in)]])-1,FALSE))</f>
        <v/>
      </c>
      <c r="Y162" s="634"/>
      <c r="Z162" s="634"/>
      <c r="AA162" s="634" t="str">
        <f>IF($B161="","",VLOOKUP($B161,Reinforcements[],COLUMN(Reinforcements[[#Headers],[Bottom Transverse Weld Groove Angle (degrees)]])-1,FALSE))</f>
        <v/>
      </c>
      <c r="AB162" s="634"/>
      <c r="AC162" s="634"/>
      <c r="AD162" s="634" t="str">
        <f>IF($B161="","",VLOOKUP($B161,Reinforcements[],COLUMN(Reinforcements[[#Headers],[Bottom Transverse Weld Fillet Size (in)]])-1,FALSE))</f>
        <v/>
      </c>
      <c r="AE162" s="634"/>
      <c r="AF162" s="634" t="str">
        <f>IF($B161="","",VLOOKUP($B161,Reinforcements[],COLUMN(Reinforcements[[#Headers],[Bottom Longitudinal Weld Length]])-1,FALSE))</f>
        <v/>
      </c>
      <c r="AG162" s="634"/>
      <c r="AH162" s="634"/>
      <c r="AI162" s="635" t="str">
        <f>IF($B161="","",VLOOKUP($B161,Reinforcements[],COLUMN(Reinforcements[[#Headers],[Bottom Longitudinal Weld Fillet Size (in)]])-1,FALSE))</f>
        <v/>
      </c>
      <c r="AJ162" s="635"/>
      <c r="AK162" s="636" t="str">
        <f>IF($B161="","",IF(Rev="F",(VLOOKUP($B161,Reinforcements[],COLUMN(Reinforcements[[#Headers],[Rev. F Bottom Connection Capacity (kips)]])-1,FALSE)),(IF(Rev="G",(VLOOKUP($B161,Reinforcements[],COLUMN(Reinforcements[[#Headers],[Rev. G Bottom Connection Capacity (kips)]])-1,FALSE)),(VLOOKUP($B161,Reinforcements[],COLUMN(Reinforcements[[#Headers],[Rev. H Bottom Connection Capacity (kips)]])-1,FALSE))))))</f>
        <v/>
      </c>
      <c r="AL162" s="636"/>
      <c r="AM162" s="637"/>
    </row>
    <row r="163" spans="1:39" ht="12.75" hidden="1" customHeight="1" x14ac:dyDescent="0.2">
      <c r="B163" s="638" t="str">
        <f>IF('Reinforcements'!B83="","",'Reinforcements'!B83)</f>
        <v/>
      </c>
      <c r="C163" s="639"/>
      <c r="D163" s="639"/>
      <c r="E163" s="639"/>
      <c r="F163" s="642" t="str">
        <f t="shared" si="21"/>
        <v/>
      </c>
      <c r="G163" s="629"/>
      <c r="H163" s="629" t="str">
        <f>IF($B163="","",VLOOKUP($B163,Reinforcements[],COLUMN(Reinforcements[[#Headers],['# of End Connection Bolts          (Top)]])-1,FALSE))</f>
        <v/>
      </c>
      <c r="I163" s="629"/>
      <c r="J163" s="629" t="str">
        <f>IF($B163="","",VLOOKUP($B163,Reinforcements[],COLUMN(Reinforcements[[#Headers],[Threads Included (N) or Excluded (X) (Top)]])-1,FALSE))</f>
        <v/>
      </c>
      <c r="K163" s="629"/>
      <c r="L163" s="629" t="str">
        <f>IF($B163="","",VLOOKUP($B163,Reinforcements[],COLUMN(Reinforcements[[#Headers],[End Connection Bolt Spacing (in) (T)]])-1,FALSE))</f>
        <v/>
      </c>
      <c r="M163" s="629"/>
      <c r="N163" s="629" t="str">
        <f>IF($B163="","",VLOOKUP($B163,Reinforcements[],COLUMN(Reinforcements[[#Headers],[End Connection Edge Distance (in) (T)]])-1,FALSE))</f>
        <v/>
      </c>
      <c r="O163" s="629"/>
      <c r="P163" s="629" t="str">
        <f>IF($B163="","",VLOOKUP($B163,Reinforcements[],COLUMN(Reinforcements[[#Headers],[Top Weld Grade (ksi)]])-1,FALSE))</f>
        <v/>
      </c>
      <c r="Q163" s="629"/>
      <c r="R163" s="629" t="str">
        <f>IF($B163="","",VLOOKUP($B163,Reinforcements[],COLUMN(Reinforcements[[#Headers],[Top Transverse (Horizontal) Weld]])-1,FALSE))</f>
        <v/>
      </c>
      <c r="S163" s="629"/>
      <c r="T163" s="629"/>
      <c r="U163" s="629" t="str">
        <f>IF($B163="","",VLOOKUP($B163,Reinforcements[],COLUMN(Reinforcements[[#Headers],[Top Transverse Weld Length]])-1,FALSE))</f>
        <v/>
      </c>
      <c r="V163" s="629"/>
      <c r="W163" s="629"/>
      <c r="X163" s="629" t="str">
        <f>IF($B163="","",VLOOKUP($B163,Reinforcements[],COLUMN(Reinforcements[[#Headers],[Top Transverse Weld Groove Depth (in)]])-1,FALSE))</f>
        <v/>
      </c>
      <c r="Y163" s="629"/>
      <c r="Z163" s="629"/>
      <c r="AA163" s="629" t="str">
        <f>IF($B163="","",VLOOKUP($B163,Reinforcements[],COLUMN(Reinforcements[[#Headers],[Top Transverse Weld Groove Angle (degrees)]])-1,FALSE))</f>
        <v/>
      </c>
      <c r="AB163" s="629"/>
      <c r="AC163" s="629"/>
      <c r="AD163" s="629" t="str">
        <f>IF($B163="","",VLOOKUP($B163,Reinforcements[],COLUMN(Reinforcements[[#Headers],[Top Transverse Weld Fillet Size (in)]])-1,FALSE))</f>
        <v/>
      </c>
      <c r="AE163" s="629"/>
      <c r="AF163" s="629" t="str">
        <f>IF($B163="","",VLOOKUP($B163,Reinforcements[],COLUMN(Reinforcements[[#Headers],[Top Longitudinal Weld Length]])-1,FALSE))</f>
        <v/>
      </c>
      <c r="AG163" s="629"/>
      <c r="AH163" s="629"/>
      <c r="AI163" s="630" t="str">
        <f>IF($B163="","",VLOOKUP($B163,Reinforcements[],COLUMN(Reinforcements[[#Headers],[Top Longitudinal Weld Fillet Size (in)]])-1,FALSE))</f>
        <v/>
      </c>
      <c r="AJ163" s="630"/>
      <c r="AK163" s="631" t="str">
        <f>IF($B163="","",IF(Rev="F",(VLOOKUP($B163,Reinforcements[],COLUMN(Reinforcements[[#Headers],[Rev. F Top Connection Capacity (kips)]])-1,FALSE)),(IF(Rev="G",(VLOOKUP($B163,Reinforcements[],COLUMN(Reinforcements[[#Headers],[Rev. G Top Connection Capacity (kips)]])-1,FALSE)),(VLOOKUP($B163,Reinforcements[],COLUMN(Reinforcements[[#Headers],[Rev. H Top Connection Capacity (kips)]])-1,FALSE))))))</f>
        <v/>
      </c>
      <c r="AL163" s="631"/>
      <c r="AM163" s="632"/>
    </row>
    <row r="164" spans="1:39" ht="12.75" hidden="1" customHeight="1" x14ac:dyDescent="0.2">
      <c r="A164" s="62">
        <f>COUNTIF(B119:B164,"")-23</f>
        <v>23</v>
      </c>
      <c r="B164" s="640"/>
      <c r="C164" s="641"/>
      <c r="D164" s="641"/>
      <c r="E164" s="641"/>
      <c r="F164" s="633" t="str">
        <f t="shared" ref="F164" si="23">IF($B163="","","Bottom")</f>
        <v/>
      </c>
      <c r="G164" s="634"/>
      <c r="H164" s="634" t="str">
        <f>IF($B163="","",VLOOKUP($B163,Reinforcements[],COLUMN(Reinforcements[[#Headers],['# of End Connection Bolts          (Bottom)]])-1,FALSE))</f>
        <v/>
      </c>
      <c r="I164" s="634"/>
      <c r="J164" s="634" t="str">
        <f>IF($B163="","",VLOOKUP($B163,Reinforcements[],COLUMN(Reinforcements[[#Headers],[Threads Included (N) or Excluded (X) (Bottom)]])-1,FALSE))</f>
        <v/>
      </c>
      <c r="K164" s="634"/>
      <c r="L164" s="634" t="str">
        <f>IF($B163="","",VLOOKUP($B163,Reinforcements[],COLUMN(Reinforcements[[#Headers],[End Connection Bolt Spacing (in) (B)]])-1,FALSE))</f>
        <v/>
      </c>
      <c r="M164" s="634"/>
      <c r="N164" s="634" t="str">
        <f>IF($B163="","",VLOOKUP($B163,Reinforcements[],COLUMN(Reinforcements[[#Headers],[End Connection Edge Distance (in) (B)]])-1,FALSE))</f>
        <v/>
      </c>
      <c r="O164" s="634"/>
      <c r="P164" s="634" t="str">
        <f>IF($B163="","",VLOOKUP($B163,Reinforcements[],COLUMN(Reinforcements[[#Headers],[Bottom Weld Grade (ksi)]])-1,FALSE))</f>
        <v/>
      </c>
      <c r="Q164" s="634"/>
      <c r="R164" s="634" t="str">
        <f>IF($B163="","",VLOOKUP($B163,Reinforcements[],COLUMN(Reinforcements[[#Headers],[Bottom Transverse (Horizontal) Weld]])-1,FALSE))</f>
        <v/>
      </c>
      <c r="S164" s="634"/>
      <c r="T164" s="634"/>
      <c r="U164" s="634" t="str">
        <f>IF($B163="","",VLOOKUP($B163,Reinforcements[],COLUMN(Reinforcements[[#Headers],[Bottom Transverse Weld Length]])-1,FALSE))</f>
        <v/>
      </c>
      <c r="V164" s="634"/>
      <c r="W164" s="634"/>
      <c r="X164" s="634" t="str">
        <f>IF($B163="","",VLOOKUP($B163,Reinforcements[],COLUMN(Reinforcements[[#Headers],[Bottom Transverse Weld Groove Depth (in)]])-1,FALSE))</f>
        <v/>
      </c>
      <c r="Y164" s="634"/>
      <c r="Z164" s="634"/>
      <c r="AA164" s="634" t="str">
        <f>IF($B163="","",VLOOKUP($B163,Reinforcements[],COLUMN(Reinforcements[[#Headers],[Bottom Transverse Weld Groove Angle (degrees)]])-1,FALSE))</f>
        <v/>
      </c>
      <c r="AB164" s="634"/>
      <c r="AC164" s="634"/>
      <c r="AD164" s="634" t="str">
        <f>IF($B163="","",VLOOKUP($B163,Reinforcements[],COLUMN(Reinforcements[[#Headers],[Bottom Transverse Weld Fillet Size (in)]])-1,FALSE))</f>
        <v/>
      </c>
      <c r="AE164" s="634"/>
      <c r="AF164" s="634" t="str">
        <f>IF($B163="","",VLOOKUP($B163,Reinforcements[],COLUMN(Reinforcements[[#Headers],[Bottom Longitudinal Weld Length]])-1,FALSE))</f>
        <v/>
      </c>
      <c r="AG164" s="634"/>
      <c r="AH164" s="634"/>
      <c r="AI164" s="635" t="str">
        <f>IF($B163="","",VLOOKUP($B163,Reinforcements[],COLUMN(Reinforcements[[#Headers],[Bottom Longitudinal Weld Fillet Size (in)]])-1,FALSE))</f>
        <v/>
      </c>
      <c r="AJ164" s="635"/>
      <c r="AK164" s="636" t="str">
        <f>IF($B163="","",IF(Rev="F",(VLOOKUP($B163,Reinforcements[],COLUMN(Reinforcements[[#Headers],[Rev. F Bottom Connection Capacity (kips)]])-1,FALSE)),(IF(Rev="G",(VLOOKUP($B163,Reinforcements[],COLUMN(Reinforcements[[#Headers],[Rev. G Bottom Connection Capacity (kips)]])-1,FALSE)),(VLOOKUP($B163,Reinforcements[],COLUMN(Reinforcements[[#Headers],[Rev. H Bottom Connection Capacity (kips)]])-1,FALSE))))))</f>
        <v/>
      </c>
      <c r="AL164" s="636"/>
      <c r="AM164" s="637"/>
    </row>
    <row r="173" spans="1:39" x14ac:dyDescent="0.2">
      <c r="T173" s="66" t="s">
        <v>973</v>
      </c>
    </row>
  </sheetData>
  <sheetProtection algorithmName="SHA-512" hashValue="LS+f5L1NasgQdr3e6eHUfM5l0vIcOy3dn55PzIK35kxvBtsfi8SX1kn/Sf7lVmkw3WSMESsCtJmx+sE1kTDhdQ==" saltValue="TQIMwOrRGvxOzCA0kz4feg==" spinCount="100000" sheet="1" objects="1" scenarios="1" selectLockedCells="1"/>
  <dataConsolidate link="1"/>
  <mergeCells count="1470">
    <mergeCell ref="AR8:AS8"/>
    <mergeCell ref="C51:F51"/>
    <mergeCell ref="G51:J51"/>
    <mergeCell ref="R51:T51"/>
    <mergeCell ref="C80:F80"/>
    <mergeCell ref="G80:J80"/>
    <mergeCell ref="R80:T80"/>
    <mergeCell ref="C76:F76"/>
    <mergeCell ref="G76:J76"/>
    <mergeCell ref="R76:T76"/>
    <mergeCell ref="C77:F77"/>
    <mergeCell ref="G77:J77"/>
    <mergeCell ref="R77:T77"/>
    <mergeCell ref="C74:F74"/>
    <mergeCell ref="G74:J74"/>
    <mergeCell ref="C75:F75"/>
    <mergeCell ref="G75:J75"/>
    <mergeCell ref="R75:T75"/>
    <mergeCell ref="C72:F72"/>
    <mergeCell ref="G72:J72"/>
    <mergeCell ref="R72:T72"/>
    <mergeCell ref="C73:F73"/>
    <mergeCell ref="G73:J73"/>
    <mergeCell ref="R73:T73"/>
    <mergeCell ref="C70:F70"/>
    <mergeCell ref="G70:J70"/>
    <mergeCell ref="C71:F71"/>
    <mergeCell ref="G71:J71"/>
    <mergeCell ref="K70:N70"/>
    <mergeCell ref="O70:Q70"/>
    <mergeCell ref="K71:N71"/>
    <mergeCell ref="O71:Q71"/>
    <mergeCell ref="C68:F68"/>
    <mergeCell ref="G68:J68"/>
    <mergeCell ref="C69:F69"/>
    <mergeCell ref="G69:J69"/>
    <mergeCell ref="K68:N68"/>
    <mergeCell ref="O68:Q68"/>
    <mergeCell ref="K69:N69"/>
    <mergeCell ref="O69:Q69"/>
    <mergeCell ref="C81:F81"/>
    <mergeCell ref="G81:J81"/>
    <mergeCell ref="C78:F78"/>
    <mergeCell ref="G78:J78"/>
    <mergeCell ref="C79:F79"/>
    <mergeCell ref="G79:J79"/>
    <mergeCell ref="K81:N81"/>
    <mergeCell ref="O81:Q81"/>
    <mergeCell ref="K78:N78"/>
    <mergeCell ref="O78:Q78"/>
    <mergeCell ref="K79:N79"/>
    <mergeCell ref="O79:Q79"/>
    <mergeCell ref="K80:N80"/>
    <mergeCell ref="O80:Q80"/>
    <mergeCell ref="K77:N77"/>
    <mergeCell ref="O77:Q77"/>
    <mergeCell ref="C64:F64"/>
    <mergeCell ref="G64:J64"/>
    <mergeCell ref="R64:T64"/>
    <mergeCell ref="C65:F65"/>
    <mergeCell ref="G65:J65"/>
    <mergeCell ref="R65:T65"/>
    <mergeCell ref="K64:N64"/>
    <mergeCell ref="O64:Q64"/>
    <mergeCell ref="K65:N65"/>
    <mergeCell ref="O65:Q65"/>
    <mergeCell ref="C66:F66"/>
    <mergeCell ref="G66:J66"/>
    <mergeCell ref="R66:T66"/>
    <mergeCell ref="C67:F67"/>
    <mergeCell ref="G67:J67"/>
    <mergeCell ref="R67:T67"/>
    <mergeCell ref="K66:N66"/>
    <mergeCell ref="O66:Q66"/>
    <mergeCell ref="K67:N67"/>
    <mergeCell ref="O67:Q67"/>
    <mergeCell ref="K58:N58"/>
    <mergeCell ref="O58:Q58"/>
    <mergeCell ref="C60:F60"/>
    <mergeCell ref="G60:J60"/>
    <mergeCell ref="R60:T60"/>
    <mergeCell ref="C61:F61"/>
    <mergeCell ref="G61:J61"/>
    <mergeCell ref="R61:T61"/>
    <mergeCell ref="K60:N60"/>
    <mergeCell ref="O60:Q60"/>
    <mergeCell ref="K61:N61"/>
    <mergeCell ref="O61:Q61"/>
    <mergeCell ref="C62:F62"/>
    <mergeCell ref="G62:J62"/>
    <mergeCell ref="R62:T62"/>
    <mergeCell ref="C63:F63"/>
    <mergeCell ref="G63:J63"/>
    <mergeCell ref="R63:T63"/>
    <mergeCell ref="K62:N62"/>
    <mergeCell ref="O62:Q62"/>
    <mergeCell ref="K63:N63"/>
    <mergeCell ref="O63:Q63"/>
    <mergeCell ref="W16:Z16"/>
    <mergeCell ref="W15:Z15"/>
    <mergeCell ref="M1:Z2"/>
    <mergeCell ref="C115:AL115"/>
    <mergeCell ref="AV32:AY32"/>
    <mergeCell ref="Y114:AA114"/>
    <mergeCell ref="Y111:AA111"/>
    <mergeCell ref="Y112:AA112"/>
    <mergeCell ref="Y113:AA113"/>
    <mergeCell ref="C52:F52"/>
    <mergeCell ref="G52:J52"/>
    <mergeCell ref="R52:T52"/>
    <mergeCell ref="C53:F53"/>
    <mergeCell ref="G53:J53"/>
    <mergeCell ref="R53:T53"/>
    <mergeCell ref="C54:F54"/>
    <mergeCell ref="G54:J54"/>
    <mergeCell ref="R54:T54"/>
    <mergeCell ref="C55:F55"/>
    <mergeCell ref="G55:J55"/>
    <mergeCell ref="R55:T55"/>
    <mergeCell ref="C56:F56"/>
    <mergeCell ref="G56:J56"/>
    <mergeCell ref="R56:T56"/>
    <mergeCell ref="C57:F57"/>
    <mergeCell ref="G57:J57"/>
    <mergeCell ref="C58:F58"/>
    <mergeCell ref="G58:J58"/>
    <mergeCell ref="R58:T58"/>
    <mergeCell ref="C59:F59"/>
    <mergeCell ref="G59:J59"/>
    <mergeCell ref="R59:T59"/>
    <mergeCell ref="AE7:AH7"/>
    <mergeCell ref="AE8:AH8"/>
    <mergeCell ref="AA13:AD13"/>
    <mergeCell ref="AA14:AD14"/>
    <mergeCell ref="AA7:AD7"/>
    <mergeCell ref="Y109:AA109"/>
    <mergeCell ref="Y85:AA85"/>
    <mergeCell ref="S15:V15"/>
    <mergeCell ref="S16:V16"/>
    <mergeCell ref="S17:V17"/>
    <mergeCell ref="R35:T35"/>
    <mergeCell ref="R74:T74"/>
    <mergeCell ref="R70:T70"/>
    <mergeCell ref="R71:T71"/>
    <mergeCell ref="R68:T68"/>
    <mergeCell ref="R69:T69"/>
    <mergeCell ref="Y107:AA107"/>
    <mergeCell ref="Y86:AA86"/>
    <mergeCell ref="Y87:AA87"/>
    <mergeCell ref="R57:T57"/>
    <mergeCell ref="Y84:AA84"/>
    <mergeCell ref="W14:Z14"/>
    <mergeCell ref="AA15:AD15"/>
    <mergeCell ref="AA16:AD16"/>
    <mergeCell ref="R81:T81"/>
    <mergeCell ref="R78:T78"/>
    <mergeCell ref="R79:T79"/>
    <mergeCell ref="S7:V7"/>
    <mergeCell ref="T84:X84"/>
    <mergeCell ref="T85:X85"/>
    <mergeCell ref="AF86:AH86"/>
    <mergeCell ref="AF87:AH87"/>
    <mergeCell ref="R4:W4"/>
    <mergeCell ref="N28:Q28"/>
    <mergeCell ref="N21:Q21"/>
    <mergeCell ref="N22:Q22"/>
    <mergeCell ref="N27:Q27"/>
    <mergeCell ref="Y108:AA108"/>
    <mergeCell ref="N20:Q20"/>
    <mergeCell ref="O7:R7"/>
    <mergeCell ref="N35:Q35"/>
    <mergeCell ref="N29:Q29"/>
    <mergeCell ref="K56:N56"/>
    <mergeCell ref="O56:Q56"/>
    <mergeCell ref="K57:N57"/>
    <mergeCell ref="O57:Q57"/>
    <mergeCell ref="K55:N55"/>
    <mergeCell ref="O55:Q55"/>
    <mergeCell ref="R5:W5"/>
    <mergeCell ref="W13:Z13"/>
    <mergeCell ref="W7:Z7"/>
    <mergeCell ref="R20:T20"/>
    <mergeCell ref="R29:T29"/>
    <mergeCell ref="R30:T30"/>
    <mergeCell ref="K59:N59"/>
    <mergeCell ref="O59:Q59"/>
    <mergeCell ref="O73:Q73"/>
    <mergeCell ref="K74:N74"/>
    <mergeCell ref="O74:Q74"/>
    <mergeCell ref="K75:N75"/>
    <mergeCell ref="O75:Q75"/>
    <mergeCell ref="AA17:AD17"/>
    <mergeCell ref="K73:N73"/>
    <mergeCell ref="K23:M23"/>
    <mergeCell ref="G7:J7"/>
    <mergeCell ref="K7:N7"/>
    <mergeCell ref="G30:J30"/>
    <mergeCell ref="Y110:AA110"/>
    <mergeCell ref="AI9:AL9"/>
    <mergeCell ref="AI10:AL10"/>
    <mergeCell ref="AI11:AL11"/>
    <mergeCell ref="AI12:AL12"/>
    <mergeCell ref="AI13:AL13"/>
    <mergeCell ref="AE12:AH12"/>
    <mergeCell ref="AE13:AH13"/>
    <mergeCell ref="AE14:AH14"/>
    <mergeCell ref="AE15:AH15"/>
    <mergeCell ref="AE16:AH16"/>
    <mergeCell ref="AE17:AH17"/>
    <mergeCell ref="AI16:AL16"/>
    <mergeCell ref="AI17:AL17"/>
    <mergeCell ref="S13:V13"/>
    <mergeCell ref="S14:V14"/>
    <mergeCell ref="N23:Q23"/>
    <mergeCell ref="AE9:AH9"/>
    <mergeCell ref="AE10:AH10"/>
    <mergeCell ref="AE11:AH11"/>
    <mergeCell ref="N24:Q24"/>
    <mergeCell ref="N26:Q26"/>
    <mergeCell ref="N30:Q30"/>
    <mergeCell ref="AA12:AD12"/>
    <mergeCell ref="W12:Z12"/>
    <mergeCell ref="AD85:AE85"/>
    <mergeCell ref="AB84:AC84"/>
    <mergeCell ref="AB85:AC85"/>
    <mergeCell ref="AI89:AL89"/>
    <mergeCell ref="C8:F8"/>
    <mergeCell ref="C9:F9"/>
    <mergeCell ref="C10:F10"/>
    <mergeCell ref="G12:J12"/>
    <mergeCell ref="C7:F7"/>
    <mergeCell ref="K76:N76"/>
    <mergeCell ref="O76:Q76"/>
    <mergeCell ref="G14:J14"/>
    <mergeCell ref="AI8:AL8"/>
    <mergeCell ref="G15:J15"/>
    <mergeCell ref="G16:J16"/>
    <mergeCell ref="AI15:AL15"/>
    <mergeCell ref="AI14:AL14"/>
    <mergeCell ref="O8:R8"/>
    <mergeCell ref="O9:R9"/>
    <mergeCell ref="G17:J17"/>
    <mergeCell ref="K8:N8"/>
    <mergeCell ref="K9:N9"/>
    <mergeCell ref="W10:Z10"/>
    <mergeCell ref="W11:Z11"/>
    <mergeCell ref="K10:N10"/>
    <mergeCell ref="K11:N11"/>
    <mergeCell ref="K12:N12"/>
    <mergeCell ref="K13:N13"/>
    <mergeCell ref="O10:R10"/>
    <mergeCell ref="O11:R11"/>
    <mergeCell ref="O12:R12"/>
    <mergeCell ref="O13:R13"/>
    <mergeCell ref="W17:Z17"/>
    <mergeCell ref="N25:Q25"/>
    <mergeCell ref="K72:N72"/>
    <mergeCell ref="O72:Q72"/>
    <mergeCell ref="AI90:AL90"/>
    <mergeCell ref="AI91:AL91"/>
    <mergeCell ref="AI92:AL92"/>
    <mergeCell ref="AI93:AL93"/>
    <mergeCell ref="AI94:AL94"/>
    <mergeCell ref="AI95:AL95"/>
    <mergeCell ref="AI96:AL96"/>
    <mergeCell ref="AI97:AL97"/>
    <mergeCell ref="AI98:AL98"/>
    <mergeCell ref="AI99:AL99"/>
    <mergeCell ref="AI100:AL100"/>
    <mergeCell ref="AI101:AL101"/>
    <mergeCell ref="AI102:AL102"/>
    <mergeCell ref="AI7:AL7"/>
    <mergeCell ref="W8:Z8"/>
    <mergeCell ref="C11:F11"/>
    <mergeCell ref="C12:F12"/>
    <mergeCell ref="G8:J8"/>
    <mergeCell ref="G9:J9"/>
    <mergeCell ref="G10:J10"/>
    <mergeCell ref="G11:J11"/>
    <mergeCell ref="AA8:AD8"/>
    <mergeCell ref="W9:Z9"/>
    <mergeCell ref="AA9:AD9"/>
    <mergeCell ref="AA10:AD10"/>
    <mergeCell ref="AA11:AD11"/>
    <mergeCell ref="S12:V12"/>
    <mergeCell ref="S8:V8"/>
    <mergeCell ref="S9:V9"/>
    <mergeCell ref="S10:V10"/>
    <mergeCell ref="S11:V11"/>
    <mergeCell ref="R26:T26"/>
    <mergeCell ref="K24:M24"/>
    <mergeCell ref="K25:M25"/>
    <mergeCell ref="C20:F20"/>
    <mergeCell ref="K20:M20"/>
    <mergeCell ref="K21:M21"/>
    <mergeCell ref="K22:M22"/>
    <mergeCell ref="G20:J20"/>
    <mergeCell ref="C13:F13"/>
    <mergeCell ref="C17:F17"/>
    <mergeCell ref="C16:F16"/>
    <mergeCell ref="C15:F15"/>
    <mergeCell ref="C14:F14"/>
    <mergeCell ref="G13:J13"/>
    <mergeCell ref="AI113:AL113"/>
    <mergeCell ref="AI114:AL114"/>
    <mergeCell ref="AI84:AL84"/>
    <mergeCell ref="AI85:AL85"/>
    <mergeCell ref="AI86:AL86"/>
    <mergeCell ref="AI87:AL87"/>
    <mergeCell ref="AI108:AL108"/>
    <mergeCell ref="AI109:AL109"/>
    <mergeCell ref="AI103:AL103"/>
    <mergeCell ref="AI104:AL104"/>
    <mergeCell ref="AI105:AL105"/>
    <mergeCell ref="AI106:AL106"/>
    <mergeCell ref="AI107:AL107"/>
    <mergeCell ref="AI112:AL112"/>
    <mergeCell ref="AI110:AL110"/>
    <mergeCell ref="AI111:AL111"/>
    <mergeCell ref="AI88:AL88"/>
    <mergeCell ref="Y90:AA90"/>
    <mergeCell ref="C90:D90"/>
    <mergeCell ref="E90:F90"/>
    <mergeCell ref="G90:H90"/>
    <mergeCell ref="I90:K90"/>
    <mergeCell ref="L90:P90"/>
    <mergeCell ref="Q90:S90"/>
    <mergeCell ref="T90:X90"/>
    <mergeCell ref="AB90:AC90"/>
    <mergeCell ref="AD90:AE90"/>
    <mergeCell ref="AF90:AH90"/>
    <mergeCell ref="Y89:AA89"/>
    <mergeCell ref="Y88:AA88"/>
    <mergeCell ref="C36:F36"/>
    <mergeCell ref="G36:J36"/>
    <mergeCell ref="K36:M36"/>
    <mergeCell ref="N36:Q36"/>
    <mergeCell ref="R36:T36"/>
    <mergeCell ref="C37:F37"/>
    <mergeCell ref="G37:J37"/>
    <mergeCell ref="K37:M37"/>
    <mergeCell ref="N37:Q37"/>
    <mergeCell ref="R37:T37"/>
    <mergeCell ref="C38:F38"/>
    <mergeCell ref="G38:J38"/>
    <mergeCell ref="K38:M38"/>
    <mergeCell ref="N38:Q38"/>
    <mergeCell ref="R38:T38"/>
    <mergeCell ref="Q84:S84"/>
    <mergeCell ref="Q85:S85"/>
    <mergeCell ref="AF85:AH85"/>
    <mergeCell ref="AF84:AH84"/>
    <mergeCell ref="C40:F40"/>
    <mergeCell ref="G40:J40"/>
    <mergeCell ref="AD92:AE92"/>
    <mergeCell ref="AF92:AH92"/>
    <mergeCell ref="Y91:AA91"/>
    <mergeCell ref="C91:D91"/>
    <mergeCell ref="E91:F91"/>
    <mergeCell ref="G91:H91"/>
    <mergeCell ref="I91:K91"/>
    <mergeCell ref="L91:P91"/>
    <mergeCell ref="Q91:S91"/>
    <mergeCell ref="T91:X91"/>
    <mergeCell ref="AB91:AC91"/>
    <mergeCell ref="AD91:AE91"/>
    <mergeCell ref="AF91:AH91"/>
    <mergeCell ref="Y92:AA92"/>
    <mergeCell ref="C92:D92"/>
    <mergeCell ref="E92:F92"/>
    <mergeCell ref="G92:H92"/>
    <mergeCell ref="I92:K92"/>
    <mergeCell ref="L92:P92"/>
    <mergeCell ref="Q92:S92"/>
    <mergeCell ref="T92:X92"/>
    <mergeCell ref="AB92:AC92"/>
    <mergeCell ref="AD94:AE94"/>
    <mergeCell ref="AF94:AH94"/>
    <mergeCell ref="Y93:AA93"/>
    <mergeCell ref="C93:D93"/>
    <mergeCell ref="E93:F93"/>
    <mergeCell ref="G93:H93"/>
    <mergeCell ref="I93:K93"/>
    <mergeCell ref="L93:P93"/>
    <mergeCell ref="Q93:S93"/>
    <mergeCell ref="T93:X93"/>
    <mergeCell ref="AB93:AC93"/>
    <mergeCell ref="AD93:AE93"/>
    <mergeCell ref="AF93:AH93"/>
    <mergeCell ref="Y94:AA94"/>
    <mergeCell ref="C94:D94"/>
    <mergeCell ref="E94:F94"/>
    <mergeCell ref="G94:H94"/>
    <mergeCell ref="I94:K94"/>
    <mergeCell ref="L94:P94"/>
    <mergeCell ref="Q94:S94"/>
    <mergeCell ref="T94:X94"/>
    <mergeCell ref="AB94:AC94"/>
    <mergeCell ref="AD96:AE96"/>
    <mergeCell ref="AF96:AH96"/>
    <mergeCell ref="Y95:AA95"/>
    <mergeCell ref="C95:D95"/>
    <mergeCell ref="E95:F95"/>
    <mergeCell ref="G95:H95"/>
    <mergeCell ref="I95:K95"/>
    <mergeCell ref="L95:P95"/>
    <mergeCell ref="Q95:S95"/>
    <mergeCell ref="T95:X95"/>
    <mergeCell ref="AB95:AC95"/>
    <mergeCell ref="AD95:AE95"/>
    <mergeCell ref="AF95:AH95"/>
    <mergeCell ref="Y96:AA96"/>
    <mergeCell ref="C96:D96"/>
    <mergeCell ref="E96:F96"/>
    <mergeCell ref="G96:H96"/>
    <mergeCell ref="I96:K96"/>
    <mergeCell ref="L96:P96"/>
    <mergeCell ref="Q96:S96"/>
    <mergeCell ref="T96:X96"/>
    <mergeCell ref="AB96:AC96"/>
    <mergeCell ref="AD98:AE98"/>
    <mergeCell ref="AF98:AH98"/>
    <mergeCell ref="Y97:AA97"/>
    <mergeCell ref="C97:D97"/>
    <mergeCell ref="E97:F97"/>
    <mergeCell ref="G97:H97"/>
    <mergeCell ref="I97:K97"/>
    <mergeCell ref="L97:P97"/>
    <mergeCell ref="Q97:S97"/>
    <mergeCell ref="T97:X97"/>
    <mergeCell ref="AB97:AC97"/>
    <mergeCell ref="AD97:AE97"/>
    <mergeCell ref="AF97:AH97"/>
    <mergeCell ref="Y98:AA98"/>
    <mergeCell ref="C98:D98"/>
    <mergeCell ref="E98:F98"/>
    <mergeCell ref="G98:H98"/>
    <mergeCell ref="I98:K98"/>
    <mergeCell ref="L98:P98"/>
    <mergeCell ref="Q98:S98"/>
    <mergeCell ref="T98:X98"/>
    <mergeCell ref="AB98:AC98"/>
    <mergeCell ref="AD100:AE100"/>
    <mergeCell ref="AF100:AH100"/>
    <mergeCell ref="Y99:AA99"/>
    <mergeCell ref="C99:D99"/>
    <mergeCell ref="E99:F99"/>
    <mergeCell ref="G99:H99"/>
    <mergeCell ref="I99:K99"/>
    <mergeCell ref="L99:P99"/>
    <mergeCell ref="Q99:S99"/>
    <mergeCell ref="T99:X99"/>
    <mergeCell ref="AB99:AC99"/>
    <mergeCell ref="AD99:AE99"/>
    <mergeCell ref="AF99:AH99"/>
    <mergeCell ref="Y100:AA100"/>
    <mergeCell ref="C100:D100"/>
    <mergeCell ref="E100:F100"/>
    <mergeCell ref="G100:H100"/>
    <mergeCell ref="I100:K100"/>
    <mergeCell ref="L100:P100"/>
    <mergeCell ref="Q100:S100"/>
    <mergeCell ref="T100:X100"/>
    <mergeCell ref="AB100:AC100"/>
    <mergeCell ref="AD102:AE102"/>
    <mergeCell ref="AF102:AH102"/>
    <mergeCell ref="Y101:AA101"/>
    <mergeCell ref="C101:D101"/>
    <mergeCell ref="E101:F101"/>
    <mergeCell ref="G101:H101"/>
    <mergeCell ref="I101:K101"/>
    <mergeCell ref="L101:P101"/>
    <mergeCell ref="Q101:S101"/>
    <mergeCell ref="T101:X101"/>
    <mergeCell ref="AB101:AC101"/>
    <mergeCell ref="AD101:AE101"/>
    <mergeCell ref="AF101:AH101"/>
    <mergeCell ref="Y102:AA102"/>
    <mergeCell ref="C102:D102"/>
    <mergeCell ref="E102:F102"/>
    <mergeCell ref="G102:H102"/>
    <mergeCell ref="I102:K102"/>
    <mergeCell ref="L102:P102"/>
    <mergeCell ref="Q102:S102"/>
    <mergeCell ref="T102:X102"/>
    <mergeCell ref="AB102:AC102"/>
    <mergeCell ref="C104:D104"/>
    <mergeCell ref="E104:F104"/>
    <mergeCell ref="G104:H104"/>
    <mergeCell ref="I104:K104"/>
    <mergeCell ref="L104:P104"/>
    <mergeCell ref="Q104:S104"/>
    <mergeCell ref="T104:X104"/>
    <mergeCell ref="AB104:AC104"/>
    <mergeCell ref="AD104:AE104"/>
    <mergeCell ref="AF104:AH104"/>
    <mergeCell ref="Y103:AA103"/>
    <mergeCell ref="C103:D103"/>
    <mergeCell ref="E103:F103"/>
    <mergeCell ref="G103:H103"/>
    <mergeCell ref="I103:K103"/>
    <mergeCell ref="L103:P103"/>
    <mergeCell ref="Q103:S103"/>
    <mergeCell ref="T103:X103"/>
    <mergeCell ref="AB103:AC103"/>
    <mergeCell ref="C35:F35"/>
    <mergeCell ref="G35:J35"/>
    <mergeCell ref="K35:M35"/>
    <mergeCell ref="C39:F39"/>
    <mergeCell ref="G39:J39"/>
    <mergeCell ref="K39:M39"/>
    <mergeCell ref="N39:Q39"/>
    <mergeCell ref="AD106:AE106"/>
    <mergeCell ref="AF106:AH106"/>
    <mergeCell ref="Y105:AA105"/>
    <mergeCell ref="C105:D105"/>
    <mergeCell ref="E105:F105"/>
    <mergeCell ref="G105:H105"/>
    <mergeCell ref="I105:K105"/>
    <mergeCell ref="L105:P105"/>
    <mergeCell ref="Q105:S105"/>
    <mergeCell ref="T105:X105"/>
    <mergeCell ref="AB105:AC105"/>
    <mergeCell ref="AD105:AE105"/>
    <mergeCell ref="AF105:AH105"/>
    <mergeCell ref="Y106:AA106"/>
    <mergeCell ref="C106:D106"/>
    <mergeCell ref="E106:F106"/>
    <mergeCell ref="G106:H106"/>
    <mergeCell ref="I106:K106"/>
    <mergeCell ref="L106:P106"/>
    <mergeCell ref="Q106:S106"/>
    <mergeCell ref="T106:X106"/>
    <mergeCell ref="AB106:AC106"/>
    <mergeCell ref="AD103:AE103"/>
    <mergeCell ref="AF103:AH103"/>
    <mergeCell ref="Y104:AA104"/>
    <mergeCell ref="C33:F33"/>
    <mergeCell ref="G33:J33"/>
    <mergeCell ref="K33:M33"/>
    <mergeCell ref="N33:Q33"/>
    <mergeCell ref="R33:T33"/>
    <mergeCell ref="C34:F34"/>
    <mergeCell ref="G34:J34"/>
    <mergeCell ref="K34:M34"/>
    <mergeCell ref="N34:Q34"/>
    <mergeCell ref="R34:T34"/>
    <mergeCell ref="C31:F31"/>
    <mergeCell ref="G31:J31"/>
    <mergeCell ref="K31:M31"/>
    <mergeCell ref="R31:T31"/>
    <mergeCell ref="C32:F32"/>
    <mergeCell ref="G32:J32"/>
    <mergeCell ref="K32:M32"/>
    <mergeCell ref="N32:Q32"/>
    <mergeCell ref="R32:T32"/>
    <mergeCell ref="N31:Q31"/>
    <mergeCell ref="K40:M40"/>
    <mergeCell ref="N40:Q40"/>
    <mergeCell ref="R40:T40"/>
    <mergeCell ref="C41:F41"/>
    <mergeCell ref="G41:J41"/>
    <mergeCell ref="K41:M41"/>
    <mergeCell ref="N41:Q41"/>
    <mergeCell ref="R41:T41"/>
    <mergeCell ref="C45:F45"/>
    <mergeCell ref="G45:J45"/>
    <mergeCell ref="K45:M45"/>
    <mergeCell ref="N45:Q45"/>
    <mergeCell ref="R45:T45"/>
    <mergeCell ref="C46:F46"/>
    <mergeCell ref="G46:J46"/>
    <mergeCell ref="K46:M46"/>
    <mergeCell ref="N46:Q46"/>
    <mergeCell ref="R46:T46"/>
    <mergeCell ref="C43:F43"/>
    <mergeCell ref="G43:J43"/>
    <mergeCell ref="K43:M43"/>
    <mergeCell ref="N43:Q43"/>
    <mergeCell ref="R43:T43"/>
    <mergeCell ref="C44:F44"/>
    <mergeCell ref="G44:J44"/>
    <mergeCell ref="K44:M44"/>
    <mergeCell ref="N44:Q44"/>
    <mergeCell ref="R44:T44"/>
    <mergeCell ref="C42:F42"/>
    <mergeCell ref="G42:J42"/>
    <mergeCell ref="C47:F47"/>
    <mergeCell ref="G47:J47"/>
    <mergeCell ref="K47:M47"/>
    <mergeCell ref="N47:Q47"/>
    <mergeCell ref="R47:T47"/>
    <mergeCell ref="C50:F50"/>
    <mergeCell ref="G50:J50"/>
    <mergeCell ref="K50:M50"/>
    <mergeCell ref="N50:Q50"/>
    <mergeCell ref="R50:T50"/>
    <mergeCell ref="C48:F48"/>
    <mergeCell ref="G48:J48"/>
    <mergeCell ref="K48:M48"/>
    <mergeCell ref="N48:Q48"/>
    <mergeCell ref="R48:T48"/>
    <mergeCell ref="C49:F49"/>
    <mergeCell ref="G49:J49"/>
    <mergeCell ref="K49:M49"/>
    <mergeCell ref="N49:Q49"/>
    <mergeCell ref="R49:T49"/>
    <mergeCell ref="C30:F30"/>
    <mergeCell ref="G21:J21"/>
    <mergeCell ref="G22:J22"/>
    <mergeCell ref="G23:J23"/>
    <mergeCell ref="G24:J24"/>
    <mergeCell ref="G25:J25"/>
    <mergeCell ref="G26:J26"/>
    <mergeCell ref="G27:J27"/>
    <mergeCell ref="G28:J28"/>
    <mergeCell ref="G29:J29"/>
    <mergeCell ref="C29:F29"/>
    <mergeCell ref="C21:F21"/>
    <mergeCell ref="C22:F22"/>
    <mergeCell ref="C23:F23"/>
    <mergeCell ref="C24:F24"/>
    <mergeCell ref="C25:F25"/>
    <mergeCell ref="C26:F26"/>
    <mergeCell ref="C27:F27"/>
    <mergeCell ref="C28:F28"/>
    <mergeCell ref="O51:Q51"/>
    <mergeCell ref="K51:N51"/>
    <mergeCell ref="K52:N52"/>
    <mergeCell ref="O52:Q52"/>
    <mergeCell ref="K53:N53"/>
    <mergeCell ref="O53:Q53"/>
    <mergeCell ref="K54:N54"/>
    <mergeCell ref="O54:Q54"/>
    <mergeCell ref="K27:M27"/>
    <mergeCell ref="K28:M28"/>
    <mergeCell ref="K26:M26"/>
    <mergeCell ref="K29:M29"/>
    <mergeCell ref="K30:M30"/>
    <mergeCell ref="R27:T27"/>
    <mergeCell ref="R28:T28"/>
    <mergeCell ref="K14:N14"/>
    <mergeCell ref="K15:N15"/>
    <mergeCell ref="K16:N16"/>
    <mergeCell ref="K17:N17"/>
    <mergeCell ref="O14:R14"/>
    <mergeCell ref="O15:R15"/>
    <mergeCell ref="O16:R16"/>
    <mergeCell ref="O17:R17"/>
    <mergeCell ref="R39:T39"/>
    <mergeCell ref="K42:M42"/>
    <mergeCell ref="N42:Q42"/>
    <mergeCell ref="R42:T42"/>
    <mergeCell ref="R21:T21"/>
    <mergeCell ref="R22:T22"/>
    <mergeCell ref="R23:T23"/>
    <mergeCell ref="R24:T24"/>
    <mergeCell ref="R25:T25"/>
    <mergeCell ref="C87:D87"/>
    <mergeCell ref="E87:F87"/>
    <mergeCell ref="G87:H87"/>
    <mergeCell ref="I87:K87"/>
    <mergeCell ref="L87:P87"/>
    <mergeCell ref="Q87:S87"/>
    <mergeCell ref="T87:X87"/>
    <mergeCell ref="AB87:AC87"/>
    <mergeCell ref="AD87:AE87"/>
    <mergeCell ref="C86:D86"/>
    <mergeCell ref="E86:F86"/>
    <mergeCell ref="G86:H86"/>
    <mergeCell ref="I86:K86"/>
    <mergeCell ref="L86:P86"/>
    <mergeCell ref="Q86:S86"/>
    <mergeCell ref="T86:X86"/>
    <mergeCell ref="C84:D84"/>
    <mergeCell ref="C85:D85"/>
    <mergeCell ref="E84:F84"/>
    <mergeCell ref="E85:F85"/>
    <mergeCell ref="G84:H84"/>
    <mergeCell ref="G85:H85"/>
    <mergeCell ref="I84:K84"/>
    <mergeCell ref="I85:K85"/>
    <mergeCell ref="L84:P84"/>
    <mergeCell ref="L85:P85"/>
    <mergeCell ref="AD84:AE84"/>
    <mergeCell ref="AB86:AC86"/>
    <mergeCell ref="AD86:AE86"/>
    <mergeCell ref="AF88:AH88"/>
    <mergeCell ref="C89:D89"/>
    <mergeCell ref="E89:F89"/>
    <mergeCell ref="G89:H89"/>
    <mergeCell ref="I89:K89"/>
    <mergeCell ref="L89:P89"/>
    <mergeCell ref="Q89:S89"/>
    <mergeCell ref="T89:X89"/>
    <mergeCell ref="AB89:AC89"/>
    <mergeCell ref="AD89:AE89"/>
    <mergeCell ref="AF89:AH89"/>
    <mergeCell ref="C88:D88"/>
    <mergeCell ref="E88:F88"/>
    <mergeCell ref="G88:H88"/>
    <mergeCell ref="I88:K88"/>
    <mergeCell ref="L88:P88"/>
    <mergeCell ref="Q88:S88"/>
    <mergeCell ref="T88:X88"/>
    <mergeCell ref="AB88:AC88"/>
    <mergeCell ref="AD88:AE88"/>
    <mergeCell ref="AF107:AH107"/>
    <mergeCell ref="C108:D108"/>
    <mergeCell ref="E108:F108"/>
    <mergeCell ref="G108:H108"/>
    <mergeCell ref="I108:K108"/>
    <mergeCell ref="L108:P108"/>
    <mergeCell ref="Q108:S108"/>
    <mergeCell ref="T108:X108"/>
    <mergeCell ref="AB108:AC108"/>
    <mergeCell ref="AD108:AE108"/>
    <mergeCell ref="AF108:AH108"/>
    <mergeCell ref="C107:D107"/>
    <mergeCell ref="E107:F107"/>
    <mergeCell ref="G107:H107"/>
    <mergeCell ref="I107:K107"/>
    <mergeCell ref="L107:P107"/>
    <mergeCell ref="Q107:S107"/>
    <mergeCell ref="T107:X107"/>
    <mergeCell ref="AB107:AC107"/>
    <mergeCell ref="AD107:AE107"/>
    <mergeCell ref="AF109:AH109"/>
    <mergeCell ref="C110:D110"/>
    <mergeCell ref="E110:F110"/>
    <mergeCell ref="G110:H110"/>
    <mergeCell ref="I110:K110"/>
    <mergeCell ref="L110:P110"/>
    <mergeCell ref="Q110:S110"/>
    <mergeCell ref="T110:X110"/>
    <mergeCell ref="AB110:AC110"/>
    <mergeCell ref="AD110:AE110"/>
    <mergeCell ref="AF110:AH110"/>
    <mergeCell ref="C109:D109"/>
    <mergeCell ref="E109:F109"/>
    <mergeCell ref="G109:H109"/>
    <mergeCell ref="I109:K109"/>
    <mergeCell ref="L109:P109"/>
    <mergeCell ref="Q109:S109"/>
    <mergeCell ref="T109:X109"/>
    <mergeCell ref="AB109:AC109"/>
    <mergeCell ref="AD109:AE109"/>
    <mergeCell ref="AF111:AH111"/>
    <mergeCell ref="C112:D112"/>
    <mergeCell ref="E112:F112"/>
    <mergeCell ref="G112:H112"/>
    <mergeCell ref="I112:K112"/>
    <mergeCell ref="L112:P112"/>
    <mergeCell ref="Q112:S112"/>
    <mergeCell ref="T112:X112"/>
    <mergeCell ref="AB112:AC112"/>
    <mergeCell ref="AD112:AE112"/>
    <mergeCell ref="AF112:AH112"/>
    <mergeCell ref="C111:D111"/>
    <mergeCell ref="E111:F111"/>
    <mergeCell ref="G111:H111"/>
    <mergeCell ref="I111:K111"/>
    <mergeCell ref="L111:P111"/>
    <mergeCell ref="Q111:S111"/>
    <mergeCell ref="T111:X111"/>
    <mergeCell ref="AB111:AC111"/>
    <mergeCell ref="AD111:AE111"/>
    <mergeCell ref="AF113:AH113"/>
    <mergeCell ref="C114:D114"/>
    <mergeCell ref="E114:F114"/>
    <mergeCell ref="G114:H114"/>
    <mergeCell ref="I114:K114"/>
    <mergeCell ref="L114:P114"/>
    <mergeCell ref="Q114:S114"/>
    <mergeCell ref="T114:X114"/>
    <mergeCell ref="AB114:AC114"/>
    <mergeCell ref="AD114:AE114"/>
    <mergeCell ref="AF114:AH114"/>
    <mergeCell ref="C113:D113"/>
    <mergeCell ref="E113:F113"/>
    <mergeCell ref="G113:H113"/>
    <mergeCell ref="I113:K113"/>
    <mergeCell ref="L113:P113"/>
    <mergeCell ref="Q113:S113"/>
    <mergeCell ref="T113:X113"/>
    <mergeCell ref="AB113:AC113"/>
    <mergeCell ref="AD113:AE113"/>
    <mergeCell ref="B121:E122"/>
    <mergeCell ref="F121:G121"/>
    <mergeCell ref="H121:I121"/>
    <mergeCell ref="J121:K121"/>
    <mergeCell ref="L121:M121"/>
    <mergeCell ref="N121:O121"/>
    <mergeCell ref="P121:Q121"/>
    <mergeCell ref="H119:I119"/>
    <mergeCell ref="J119:K119"/>
    <mergeCell ref="L119:M119"/>
    <mergeCell ref="N119:O119"/>
    <mergeCell ref="P119:Q119"/>
    <mergeCell ref="R120:T120"/>
    <mergeCell ref="U119:W119"/>
    <mergeCell ref="H118:I118"/>
    <mergeCell ref="J118:K118"/>
    <mergeCell ref="L118:M118"/>
    <mergeCell ref="N118:O118"/>
    <mergeCell ref="P118:Q118"/>
    <mergeCell ref="R118:T118"/>
    <mergeCell ref="H120:I120"/>
    <mergeCell ref="J120:K120"/>
    <mergeCell ref="L120:M120"/>
    <mergeCell ref="N120:O120"/>
    <mergeCell ref="P120:Q120"/>
    <mergeCell ref="R119:T119"/>
    <mergeCell ref="B118:E118"/>
    <mergeCell ref="F118:G118"/>
    <mergeCell ref="F119:G119"/>
    <mergeCell ref="F120:G120"/>
    <mergeCell ref="B119:E120"/>
    <mergeCell ref="U118:W118"/>
    <mergeCell ref="AI118:AJ118"/>
    <mergeCell ref="AI119:AJ119"/>
    <mergeCell ref="AI120:AJ120"/>
    <mergeCell ref="AK118:AM118"/>
    <mergeCell ref="AK119:AM119"/>
    <mergeCell ref="AK120:AM120"/>
    <mergeCell ref="U120:W120"/>
    <mergeCell ref="X118:Z118"/>
    <mergeCell ref="X119:Z119"/>
    <mergeCell ref="X120:Z120"/>
    <mergeCell ref="AA118:AC118"/>
    <mergeCell ref="AA119:AC119"/>
    <mergeCell ref="AA120:AC120"/>
    <mergeCell ref="AD120:AE120"/>
    <mergeCell ref="AF120:AH120"/>
    <mergeCell ref="F122:G122"/>
    <mergeCell ref="H122:I122"/>
    <mergeCell ref="J122:K122"/>
    <mergeCell ref="L122:M122"/>
    <mergeCell ref="N122:O122"/>
    <mergeCell ref="P122:Q122"/>
    <mergeCell ref="R121:T121"/>
    <mergeCell ref="U121:W121"/>
    <mergeCell ref="X121:Z121"/>
    <mergeCell ref="AA121:AC121"/>
    <mergeCell ref="AD118:AE118"/>
    <mergeCell ref="AF118:AH118"/>
    <mergeCell ref="AD119:AE119"/>
    <mergeCell ref="AF119:AH119"/>
    <mergeCell ref="J123:K123"/>
    <mergeCell ref="L123:M123"/>
    <mergeCell ref="N123:O123"/>
    <mergeCell ref="P123:Q123"/>
    <mergeCell ref="R123:T123"/>
    <mergeCell ref="U123:W123"/>
    <mergeCell ref="AD121:AE121"/>
    <mergeCell ref="AF121:AH121"/>
    <mergeCell ref="AI121:AJ121"/>
    <mergeCell ref="AK121:AM121"/>
    <mergeCell ref="R122:T122"/>
    <mergeCell ref="U122:W122"/>
    <mergeCell ref="X122:Z122"/>
    <mergeCell ref="AA122:AC122"/>
    <mergeCell ref="AD122:AE122"/>
    <mergeCell ref="AF122:AH122"/>
    <mergeCell ref="AI122:AJ122"/>
    <mergeCell ref="AK122:AM122"/>
    <mergeCell ref="B125:E126"/>
    <mergeCell ref="F125:G125"/>
    <mergeCell ref="H125:I125"/>
    <mergeCell ref="J125:K125"/>
    <mergeCell ref="L125:M125"/>
    <mergeCell ref="N125:O125"/>
    <mergeCell ref="P125:Q125"/>
    <mergeCell ref="R125:T125"/>
    <mergeCell ref="U125:W125"/>
    <mergeCell ref="X123:Z123"/>
    <mergeCell ref="AA123:AC123"/>
    <mergeCell ref="AD123:AE123"/>
    <mergeCell ref="AF123:AH123"/>
    <mergeCell ref="AI123:AJ123"/>
    <mergeCell ref="AK123:AM123"/>
    <mergeCell ref="F124:G124"/>
    <mergeCell ref="H124:I124"/>
    <mergeCell ref="J124:K124"/>
    <mergeCell ref="L124:M124"/>
    <mergeCell ref="N124:O124"/>
    <mergeCell ref="P124:Q124"/>
    <mergeCell ref="R124:T124"/>
    <mergeCell ref="U124:W124"/>
    <mergeCell ref="X124:Z124"/>
    <mergeCell ref="AA124:AC124"/>
    <mergeCell ref="AD124:AE124"/>
    <mergeCell ref="AF124:AH124"/>
    <mergeCell ref="AI124:AJ124"/>
    <mergeCell ref="AK124:AM124"/>
    <mergeCell ref="B123:E124"/>
    <mergeCell ref="F123:G123"/>
    <mergeCell ref="H123:I123"/>
    <mergeCell ref="J127:K127"/>
    <mergeCell ref="L127:M127"/>
    <mergeCell ref="N127:O127"/>
    <mergeCell ref="P127:Q127"/>
    <mergeCell ref="R127:T127"/>
    <mergeCell ref="U127:W127"/>
    <mergeCell ref="X125:Z125"/>
    <mergeCell ref="AA125:AC125"/>
    <mergeCell ref="AD125:AE125"/>
    <mergeCell ref="AF125:AH125"/>
    <mergeCell ref="AI125:AJ125"/>
    <mergeCell ref="AK125:AM125"/>
    <mergeCell ref="F126:G126"/>
    <mergeCell ref="H126:I126"/>
    <mergeCell ref="J126:K126"/>
    <mergeCell ref="L126:M126"/>
    <mergeCell ref="N126:O126"/>
    <mergeCell ref="P126:Q126"/>
    <mergeCell ref="R126:T126"/>
    <mergeCell ref="U126:W126"/>
    <mergeCell ref="X126:Z126"/>
    <mergeCell ref="AA126:AC126"/>
    <mergeCell ref="AD126:AE126"/>
    <mergeCell ref="AF126:AH126"/>
    <mergeCell ref="AI126:AJ126"/>
    <mergeCell ref="AK126:AM126"/>
    <mergeCell ref="B129:E130"/>
    <mergeCell ref="F129:G129"/>
    <mergeCell ref="H129:I129"/>
    <mergeCell ref="J129:K129"/>
    <mergeCell ref="L129:M129"/>
    <mergeCell ref="N129:O129"/>
    <mergeCell ref="P129:Q129"/>
    <mergeCell ref="R129:T129"/>
    <mergeCell ref="U129:W129"/>
    <mergeCell ref="X127:Z127"/>
    <mergeCell ref="AA127:AC127"/>
    <mergeCell ref="AD127:AE127"/>
    <mergeCell ref="AF127:AH127"/>
    <mergeCell ref="AI127:AJ127"/>
    <mergeCell ref="AK127:AM127"/>
    <mergeCell ref="F128:G128"/>
    <mergeCell ref="H128:I128"/>
    <mergeCell ref="J128:K128"/>
    <mergeCell ref="L128:M128"/>
    <mergeCell ref="N128:O128"/>
    <mergeCell ref="P128:Q128"/>
    <mergeCell ref="R128:T128"/>
    <mergeCell ref="U128:W128"/>
    <mergeCell ref="X128:Z128"/>
    <mergeCell ref="AA128:AC128"/>
    <mergeCell ref="AD128:AE128"/>
    <mergeCell ref="AF128:AH128"/>
    <mergeCell ref="AI128:AJ128"/>
    <mergeCell ref="AK128:AM128"/>
    <mergeCell ref="B127:E128"/>
    <mergeCell ref="F127:G127"/>
    <mergeCell ref="H127:I127"/>
    <mergeCell ref="J131:K131"/>
    <mergeCell ref="L131:M131"/>
    <mergeCell ref="N131:O131"/>
    <mergeCell ref="P131:Q131"/>
    <mergeCell ref="R131:T131"/>
    <mergeCell ref="U131:W131"/>
    <mergeCell ref="X129:Z129"/>
    <mergeCell ref="AA129:AC129"/>
    <mergeCell ref="AD129:AE129"/>
    <mergeCell ref="AF129:AH129"/>
    <mergeCell ref="AI129:AJ129"/>
    <mergeCell ref="AK129:AM129"/>
    <mergeCell ref="F130:G130"/>
    <mergeCell ref="H130:I130"/>
    <mergeCell ref="J130:K130"/>
    <mergeCell ref="L130:M130"/>
    <mergeCell ref="N130:O130"/>
    <mergeCell ref="P130:Q130"/>
    <mergeCell ref="R130:T130"/>
    <mergeCell ref="U130:W130"/>
    <mergeCell ref="X130:Z130"/>
    <mergeCell ref="AA130:AC130"/>
    <mergeCell ref="AD130:AE130"/>
    <mergeCell ref="AF130:AH130"/>
    <mergeCell ref="AI130:AJ130"/>
    <mergeCell ref="AK130:AM130"/>
    <mergeCell ref="B133:E134"/>
    <mergeCell ref="F133:G133"/>
    <mergeCell ref="H133:I133"/>
    <mergeCell ref="J133:K133"/>
    <mergeCell ref="L133:M133"/>
    <mergeCell ref="N133:O133"/>
    <mergeCell ref="P133:Q133"/>
    <mergeCell ref="R133:T133"/>
    <mergeCell ref="U133:W133"/>
    <mergeCell ref="X131:Z131"/>
    <mergeCell ref="AA131:AC131"/>
    <mergeCell ref="AD131:AE131"/>
    <mergeCell ref="AF131:AH131"/>
    <mergeCell ref="AI131:AJ131"/>
    <mergeCell ref="AK131:AM131"/>
    <mergeCell ref="F132:G132"/>
    <mergeCell ref="H132:I132"/>
    <mergeCell ref="J132:K132"/>
    <mergeCell ref="L132:M132"/>
    <mergeCell ref="N132:O132"/>
    <mergeCell ref="P132:Q132"/>
    <mergeCell ref="R132:T132"/>
    <mergeCell ref="U132:W132"/>
    <mergeCell ref="X132:Z132"/>
    <mergeCell ref="AA132:AC132"/>
    <mergeCell ref="AD132:AE132"/>
    <mergeCell ref="AF132:AH132"/>
    <mergeCell ref="AI132:AJ132"/>
    <mergeCell ref="AK132:AM132"/>
    <mergeCell ref="B131:E132"/>
    <mergeCell ref="F131:G131"/>
    <mergeCell ref="H131:I131"/>
    <mergeCell ref="J135:K135"/>
    <mergeCell ref="L135:M135"/>
    <mergeCell ref="N135:O135"/>
    <mergeCell ref="P135:Q135"/>
    <mergeCell ref="R135:T135"/>
    <mergeCell ref="U135:W135"/>
    <mergeCell ref="X133:Z133"/>
    <mergeCell ref="AA133:AC133"/>
    <mergeCell ref="AD133:AE133"/>
    <mergeCell ref="AF133:AH133"/>
    <mergeCell ref="AI133:AJ133"/>
    <mergeCell ref="AK133:AM133"/>
    <mergeCell ref="F134:G134"/>
    <mergeCell ref="H134:I134"/>
    <mergeCell ref="J134:K134"/>
    <mergeCell ref="L134:M134"/>
    <mergeCell ref="N134:O134"/>
    <mergeCell ref="P134:Q134"/>
    <mergeCell ref="R134:T134"/>
    <mergeCell ref="U134:W134"/>
    <mergeCell ref="X134:Z134"/>
    <mergeCell ref="AA134:AC134"/>
    <mergeCell ref="AD134:AE134"/>
    <mergeCell ref="AF134:AH134"/>
    <mergeCell ref="AI134:AJ134"/>
    <mergeCell ref="AK134:AM134"/>
    <mergeCell ref="B137:E138"/>
    <mergeCell ref="F137:G137"/>
    <mergeCell ref="H137:I137"/>
    <mergeCell ref="J137:K137"/>
    <mergeCell ref="L137:M137"/>
    <mergeCell ref="N137:O137"/>
    <mergeCell ref="P137:Q137"/>
    <mergeCell ref="R137:T137"/>
    <mergeCell ref="U137:W137"/>
    <mergeCell ref="X135:Z135"/>
    <mergeCell ref="AA135:AC135"/>
    <mergeCell ref="AD135:AE135"/>
    <mergeCell ref="AF135:AH135"/>
    <mergeCell ref="AI135:AJ135"/>
    <mergeCell ref="AK135:AM135"/>
    <mergeCell ref="F136:G136"/>
    <mergeCell ref="H136:I136"/>
    <mergeCell ref="J136:K136"/>
    <mergeCell ref="L136:M136"/>
    <mergeCell ref="N136:O136"/>
    <mergeCell ref="P136:Q136"/>
    <mergeCell ref="R136:T136"/>
    <mergeCell ref="U136:W136"/>
    <mergeCell ref="X136:Z136"/>
    <mergeCell ref="AA136:AC136"/>
    <mergeCell ref="AD136:AE136"/>
    <mergeCell ref="AF136:AH136"/>
    <mergeCell ref="AI136:AJ136"/>
    <mergeCell ref="AK136:AM136"/>
    <mergeCell ref="B135:E136"/>
    <mergeCell ref="F135:G135"/>
    <mergeCell ref="H135:I135"/>
    <mergeCell ref="J139:K139"/>
    <mergeCell ref="L139:M139"/>
    <mergeCell ref="N139:O139"/>
    <mergeCell ref="P139:Q139"/>
    <mergeCell ref="R139:T139"/>
    <mergeCell ref="U139:W139"/>
    <mergeCell ref="X137:Z137"/>
    <mergeCell ref="AA137:AC137"/>
    <mergeCell ref="AD137:AE137"/>
    <mergeCell ref="AF137:AH137"/>
    <mergeCell ref="AI137:AJ137"/>
    <mergeCell ref="AK137:AM137"/>
    <mergeCell ref="F138:G138"/>
    <mergeCell ref="H138:I138"/>
    <mergeCell ref="J138:K138"/>
    <mergeCell ref="L138:M138"/>
    <mergeCell ref="N138:O138"/>
    <mergeCell ref="P138:Q138"/>
    <mergeCell ref="R138:T138"/>
    <mergeCell ref="U138:W138"/>
    <mergeCell ref="X138:Z138"/>
    <mergeCell ref="AA138:AC138"/>
    <mergeCell ref="AD138:AE138"/>
    <mergeCell ref="AF138:AH138"/>
    <mergeCell ref="AI138:AJ138"/>
    <mergeCell ref="AK138:AM138"/>
    <mergeCell ref="B141:E142"/>
    <mergeCell ref="F141:G141"/>
    <mergeCell ref="H141:I141"/>
    <mergeCell ref="J141:K141"/>
    <mergeCell ref="L141:M141"/>
    <mergeCell ref="N141:O141"/>
    <mergeCell ref="P141:Q141"/>
    <mergeCell ref="R141:T141"/>
    <mergeCell ref="U141:W141"/>
    <mergeCell ref="X139:Z139"/>
    <mergeCell ref="AA139:AC139"/>
    <mergeCell ref="AD139:AE139"/>
    <mergeCell ref="AF139:AH139"/>
    <mergeCell ref="AI139:AJ139"/>
    <mergeCell ref="AK139:AM139"/>
    <mergeCell ref="F140:G140"/>
    <mergeCell ref="H140:I140"/>
    <mergeCell ref="J140:K140"/>
    <mergeCell ref="L140:M140"/>
    <mergeCell ref="N140:O140"/>
    <mergeCell ref="P140:Q140"/>
    <mergeCell ref="R140:T140"/>
    <mergeCell ref="U140:W140"/>
    <mergeCell ref="X140:Z140"/>
    <mergeCell ref="AA140:AC140"/>
    <mergeCell ref="AD140:AE140"/>
    <mergeCell ref="AF140:AH140"/>
    <mergeCell ref="AI140:AJ140"/>
    <mergeCell ref="AK140:AM140"/>
    <mergeCell ref="B139:E140"/>
    <mergeCell ref="F139:G139"/>
    <mergeCell ref="H139:I139"/>
    <mergeCell ref="J143:K143"/>
    <mergeCell ref="L143:M143"/>
    <mergeCell ref="N143:O143"/>
    <mergeCell ref="P143:Q143"/>
    <mergeCell ref="R143:T143"/>
    <mergeCell ref="U143:W143"/>
    <mergeCell ref="X141:Z141"/>
    <mergeCell ref="AA141:AC141"/>
    <mergeCell ref="AD141:AE141"/>
    <mergeCell ref="AF141:AH141"/>
    <mergeCell ref="AI141:AJ141"/>
    <mergeCell ref="AK141:AM141"/>
    <mergeCell ref="F142:G142"/>
    <mergeCell ref="H142:I142"/>
    <mergeCell ref="J142:K142"/>
    <mergeCell ref="L142:M142"/>
    <mergeCell ref="N142:O142"/>
    <mergeCell ref="P142:Q142"/>
    <mergeCell ref="R142:T142"/>
    <mergeCell ref="U142:W142"/>
    <mergeCell ref="X142:Z142"/>
    <mergeCell ref="AA142:AC142"/>
    <mergeCell ref="AD142:AE142"/>
    <mergeCell ref="AF142:AH142"/>
    <mergeCell ref="AI142:AJ142"/>
    <mergeCell ref="AK142:AM142"/>
    <mergeCell ref="B145:E146"/>
    <mergeCell ref="F145:G145"/>
    <mergeCell ref="H145:I145"/>
    <mergeCell ref="J145:K145"/>
    <mergeCell ref="L145:M145"/>
    <mergeCell ref="N145:O145"/>
    <mergeCell ref="P145:Q145"/>
    <mergeCell ref="R145:T145"/>
    <mergeCell ref="U145:W145"/>
    <mergeCell ref="X143:Z143"/>
    <mergeCell ref="AA143:AC143"/>
    <mergeCell ref="AD143:AE143"/>
    <mergeCell ref="AF143:AH143"/>
    <mergeCell ref="AI143:AJ143"/>
    <mergeCell ref="AK143:AM143"/>
    <mergeCell ref="F144:G144"/>
    <mergeCell ref="H144:I144"/>
    <mergeCell ref="J144:K144"/>
    <mergeCell ref="L144:M144"/>
    <mergeCell ref="N144:O144"/>
    <mergeCell ref="P144:Q144"/>
    <mergeCell ref="R144:T144"/>
    <mergeCell ref="U144:W144"/>
    <mergeCell ref="X144:Z144"/>
    <mergeCell ref="AA144:AC144"/>
    <mergeCell ref="AD144:AE144"/>
    <mergeCell ref="AF144:AH144"/>
    <mergeCell ref="AI144:AJ144"/>
    <mergeCell ref="AK144:AM144"/>
    <mergeCell ref="B143:E144"/>
    <mergeCell ref="F143:G143"/>
    <mergeCell ref="H143:I143"/>
    <mergeCell ref="J147:K147"/>
    <mergeCell ref="L147:M147"/>
    <mergeCell ref="N147:O147"/>
    <mergeCell ref="P147:Q147"/>
    <mergeCell ref="R147:T147"/>
    <mergeCell ref="U147:W147"/>
    <mergeCell ref="X145:Z145"/>
    <mergeCell ref="AA145:AC145"/>
    <mergeCell ref="AD145:AE145"/>
    <mergeCell ref="AF145:AH145"/>
    <mergeCell ref="AI145:AJ145"/>
    <mergeCell ref="AK145:AM145"/>
    <mergeCell ref="F146:G146"/>
    <mergeCell ref="H146:I146"/>
    <mergeCell ref="J146:K146"/>
    <mergeCell ref="L146:M146"/>
    <mergeCell ref="N146:O146"/>
    <mergeCell ref="P146:Q146"/>
    <mergeCell ref="R146:T146"/>
    <mergeCell ref="U146:W146"/>
    <mergeCell ref="X146:Z146"/>
    <mergeCell ref="AA146:AC146"/>
    <mergeCell ref="AD146:AE146"/>
    <mergeCell ref="AF146:AH146"/>
    <mergeCell ref="AI146:AJ146"/>
    <mergeCell ref="AK146:AM146"/>
    <mergeCell ref="B149:E150"/>
    <mergeCell ref="F149:G149"/>
    <mergeCell ref="H149:I149"/>
    <mergeCell ref="J149:K149"/>
    <mergeCell ref="L149:M149"/>
    <mergeCell ref="N149:O149"/>
    <mergeCell ref="P149:Q149"/>
    <mergeCell ref="R149:T149"/>
    <mergeCell ref="U149:W149"/>
    <mergeCell ref="X147:Z147"/>
    <mergeCell ref="AA147:AC147"/>
    <mergeCell ref="AD147:AE147"/>
    <mergeCell ref="AF147:AH147"/>
    <mergeCell ref="AI147:AJ147"/>
    <mergeCell ref="AK147:AM147"/>
    <mergeCell ref="F148:G148"/>
    <mergeCell ref="H148:I148"/>
    <mergeCell ref="J148:K148"/>
    <mergeCell ref="L148:M148"/>
    <mergeCell ref="N148:O148"/>
    <mergeCell ref="P148:Q148"/>
    <mergeCell ref="R148:T148"/>
    <mergeCell ref="U148:W148"/>
    <mergeCell ref="X148:Z148"/>
    <mergeCell ref="AA148:AC148"/>
    <mergeCell ref="AD148:AE148"/>
    <mergeCell ref="AF148:AH148"/>
    <mergeCell ref="AI148:AJ148"/>
    <mergeCell ref="AK148:AM148"/>
    <mergeCell ref="B147:E148"/>
    <mergeCell ref="F147:G147"/>
    <mergeCell ref="H147:I147"/>
    <mergeCell ref="J151:K151"/>
    <mergeCell ref="L151:M151"/>
    <mergeCell ref="N151:O151"/>
    <mergeCell ref="P151:Q151"/>
    <mergeCell ref="R151:T151"/>
    <mergeCell ref="U151:W151"/>
    <mergeCell ref="X149:Z149"/>
    <mergeCell ref="AA149:AC149"/>
    <mergeCell ref="AD149:AE149"/>
    <mergeCell ref="AF149:AH149"/>
    <mergeCell ref="AI149:AJ149"/>
    <mergeCell ref="AK149:AM149"/>
    <mergeCell ref="F150:G150"/>
    <mergeCell ref="H150:I150"/>
    <mergeCell ref="J150:K150"/>
    <mergeCell ref="L150:M150"/>
    <mergeCell ref="N150:O150"/>
    <mergeCell ref="P150:Q150"/>
    <mergeCell ref="R150:T150"/>
    <mergeCell ref="U150:W150"/>
    <mergeCell ref="X150:Z150"/>
    <mergeCell ref="AA150:AC150"/>
    <mergeCell ref="AD150:AE150"/>
    <mergeCell ref="AF150:AH150"/>
    <mergeCell ref="AI150:AJ150"/>
    <mergeCell ref="AK150:AM150"/>
    <mergeCell ref="B153:E154"/>
    <mergeCell ref="F153:G153"/>
    <mergeCell ref="H153:I153"/>
    <mergeCell ref="J153:K153"/>
    <mergeCell ref="L153:M153"/>
    <mergeCell ref="N153:O153"/>
    <mergeCell ref="P153:Q153"/>
    <mergeCell ref="R153:T153"/>
    <mergeCell ref="U153:W153"/>
    <mergeCell ref="X151:Z151"/>
    <mergeCell ref="AA151:AC151"/>
    <mergeCell ref="AD151:AE151"/>
    <mergeCell ref="AF151:AH151"/>
    <mergeCell ref="AI151:AJ151"/>
    <mergeCell ref="AK151:AM151"/>
    <mergeCell ref="F152:G152"/>
    <mergeCell ref="H152:I152"/>
    <mergeCell ref="J152:K152"/>
    <mergeCell ref="L152:M152"/>
    <mergeCell ref="N152:O152"/>
    <mergeCell ref="P152:Q152"/>
    <mergeCell ref="R152:T152"/>
    <mergeCell ref="U152:W152"/>
    <mergeCell ref="X152:Z152"/>
    <mergeCell ref="AA152:AC152"/>
    <mergeCell ref="AD152:AE152"/>
    <mergeCell ref="AF152:AH152"/>
    <mergeCell ref="AI152:AJ152"/>
    <mergeCell ref="AK152:AM152"/>
    <mergeCell ref="B151:E152"/>
    <mergeCell ref="F151:G151"/>
    <mergeCell ref="H151:I151"/>
    <mergeCell ref="J155:K155"/>
    <mergeCell ref="L155:M155"/>
    <mergeCell ref="N155:O155"/>
    <mergeCell ref="P155:Q155"/>
    <mergeCell ref="R155:T155"/>
    <mergeCell ref="U155:W155"/>
    <mergeCell ref="X153:Z153"/>
    <mergeCell ref="AA153:AC153"/>
    <mergeCell ref="AD153:AE153"/>
    <mergeCell ref="AF153:AH153"/>
    <mergeCell ref="AI153:AJ153"/>
    <mergeCell ref="AK153:AM153"/>
    <mergeCell ref="F154:G154"/>
    <mergeCell ref="H154:I154"/>
    <mergeCell ref="J154:K154"/>
    <mergeCell ref="L154:M154"/>
    <mergeCell ref="N154:O154"/>
    <mergeCell ref="P154:Q154"/>
    <mergeCell ref="R154:T154"/>
    <mergeCell ref="U154:W154"/>
    <mergeCell ref="X154:Z154"/>
    <mergeCell ref="AA154:AC154"/>
    <mergeCell ref="AD154:AE154"/>
    <mergeCell ref="AF154:AH154"/>
    <mergeCell ref="AI154:AJ154"/>
    <mergeCell ref="AK154:AM154"/>
    <mergeCell ref="B157:E158"/>
    <mergeCell ref="F157:G157"/>
    <mergeCell ref="H157:I157"/>
    <mergeCell ref="J157:K157"/>
    <mergeCell ref="L157:M157"/>
    <mergeCell ref="N157:O157"/>
    <mergeCell ref="P157:Q157"/>
    <mergeCell ref="R157:T157"/>
    <mergeCell ref="U157:W157"/>
    <mergeCell ref="X155:Z155"/>
    <mergeCell ref="AA155:AC155"/>
    <mergeCell ref="AD155:AE155"/>
    <mergeCell ref="AF155:AH155"/>
    <mergeCell ref="AI155:AJ155"/>
    <mergeCell ref="AK155:AM155"/>
    <mergeCell ref="F156:G156"/>
    <mergeCell ref="H156:I156"/>
    <mergeCell ref="J156:K156"/>
    <mergeCell ref="L156:M156"/>
    <mergeCell ref="N156:O156"/>
    <mergeCell ref="P156:Q156"/>
    <mergeCell ref="R156:T156"/>
    <mergeCell ref="U156:W156"/>
    <mergeCell ref="X156:Z156"/>
    <mergeCell ref="AA156:AC156"/>
    <mergeCell ref="AD156:AE156"/>
    <mergeCell ref="AF156:AH156"/>
    <mergeCell ref="AI156:AJ156"/>
    <mergeCell ref="AK156:AM156"/>
    <mergeCell ref="B155:E156"/>
    <mergeCell ref="F155:G155"/>
    <mergeCell ref="H155:I155"/>
    <mergeCell ref="X157:Z157"/>
    <mergeCell ref="AA157:AC157"/>
    <mergeCell ref="AD157:AE157"/>
    <mergeCell ref="AF157:AH157"/>
    <mergeCell ref="AI157:AJ157"/>
    <mergeCell ref="AK157:AM157"/>
    <mergeCell ref="F158:G158"/>
    <mergeCell ref="H158:I158"/>
    <mergeCell ref="J158:K158"/>
    <mergeCell ref="L158:M158"/>
    <mergeCell ref="N158:O158"/>
    <mergeCell ref="P158:Q158"/>
    <mergeCell ref="R158:T158"/>
    <mergeCell ref="U158:W158"/>
    <mergeCell ref="X158:Z158"/>
    <mergeCell ref="AA158:AC158"/>
    <mergeCell ref="AD158:AE158"/>
    <mergeCell ref="AF158:AH158"/>
    <mergeCell ref="AI158:AJ158"/>
    <mergeCell ref="AK158:AM158"/>
    <mergeCell ref="AK159:AM159"/>
    <mergeCell ref="F160:G160"/>
    <mergeCell ref="H160:I160"/>
    <mergeCell ref="J160:K160"/>
    <mergeCell ref="L160:M160"/>
    <mergeCell ref="N160:O160"/>
    <mergeCell ref="P160:Q160"/>
    <mergeCell ref="R160:T160"/>
    <mergeCell ref="U160:W160"/>
    <mergeCell ref="X160:Z160"/>
    <mergeCell ref="AA160:AC160"/>
    <mergeCell ref="AD160:AE160"/>
    <mergeCell ref="AF160:AH160"/>
    <mergeCell ref="AI160:AJ160"/>
    <mergeCell ref="AK160:AM160"/>
    <mergeCell ref="B159:E160"/>
    <mergeCell ref="F159:G159"/>
    <mergeCell ref="H159:I159"/>
    <mergeCell ref="J159:K159"/>
    <mergeCell ref="L159:M159"/>
    <mergeCell ref="N159:O159"/>
    <mergeCell ref="P159:Q159"/>
    <mergeCell ref="R159:T159"/>
    <mergeCell ref="U159:W159"/>
    <mergeCell ref="B163:E164"/>
    <mergeCell ref="F163:G163"/>
    <mergeCell ref="H163:I163"/>
    <mergeCell ref="J163:K163"/>
    <mergeCell ref="L163:M163"/>
    <mergeCell ref="N163:O163"/>
    <mergeCell ref="P163:Q163"/>
    <mergeCell ref="R163:T163"/>
    <mergeCell ref="U163:W163"/>
    <mergeCell ref="X161:Z161"/>
    <mergeCell ref="AA161:AC161"/>
    <mergeCell ref="AD161:AE161"/>
    <mergeCell ref="AF161:AH161"/>
    <mergeCell ref="AI161:AJ161"/>
    <mergeCell ref="AK161:AM161"/>
    <mergeCell ref="F162:G162"/>
    <mergeCell ref="H162:I162"/>
    <mergeCell ref="J162:K162"/>
    <mergeCell ref="L162:M162"/>
    <mergeCell ref="N162:O162"/>
    <mergeCell ref="P162:Q162"/>
    <mergeCell ref="R162:T162"/>
    <mergeCell ref="U162:W162"/>
    <mergeCell ref="X162:Z162"/>
    <mergeCell ref="AA162:AC162"/>
    <mergeCell ref="AD162:AE162"/>
    <mergeCell ref="AF162:AH162"/>
    <mergeCell ref="AI162:AJ162"/>
    <mergeCell ref="AK162:AM162"/>
    <mergeCell ref="B161:E162"/>
    <mergeCell ref="F161:G161"/>
    <mergeCell ref="H161:I161"/>
    <mergeCell ref="AZ8:BA8"/>
    <mergeCell ref="X163:Z163"/>
    <mergeCell ref="AA163:AC163"/>
    <mergeCell ref="AD163:AE163"/>
    <mergeCell ref="AF163:AH163"/>
    <mergeCell ref="AI163:AJ163"/>
    <mergeCell ref="AK163:AM163"/>
    <mergeCell ref="F164:G164"/>
    <mergeCell ref="H164:I164"/>
    <mergeCell ref="J164:K164"/>
    <mergeCell ref="L164:M164"/>
    <mergeCell ref="N164:O164"/>
    <mergeCell ref="P164:Q164"/>
    <mergeCell ref="R164:T164"/>
    <mergeCell ref="U164:W164"/>
    <mergeCell ref="X164:Z164"/>
    <mergeCell ref="AA164:AC164"/>
    <mergeCell ref="AD164:AE164"/>
    <mergeCell ref="AF164:AH164"/>
    <mergeCell ref="AI164:AJ164"/>
    <mergeCell ref="AK164:AM164"/>
    <mergeCell ref="J161:K161"/>
    <mergeCell ref="L161:M161"/>
    <mergeCell ref="N161:O161"/>
    <mergeCell ref="P161:Q161"/>
    <mergeCell ref="R161:T161"/>
    <mergeCell ref="U161:W161"/>
    <mergeCell ref="X159:Z159"/>
    <mergeCell ref="AA159:AC159"/>
    <mergeCell ref="AD159:AE159"/>
    <mergeCell ref="AF159:AH159"/>
    <mergeCell ref="AI159:AJ159"/>
  </mergeCells>
  <conditionalFormatting sqref="U20:AL20">
    <cfRule type="expression" dxfId="448" priority="74" stopIfTrue="1">
      <formula>AND(U$20="")</formula>
    </cfRule>
  </conditionalFormatting>
  <conditionalFormatting sqref="C85:C114 E85:E114 G85:G114 I85:I114 Q85:Q114 AI85:AI114 AF85:AF114 AD85:AD114 Y85:Y114 AB85:AB114 L85:L114 T85:T114 L119">
    <cfRule type="containsErrors" dxfId="447" priority="73">
      <formula>ISERROR(C85)</formula>
    </cfRule>
  </conditionalFormatting>
  <conditionalFormatting sqref="AI85:AI114">
    <cfRule type="cellIs" dxfId="446" priority="72" operator="equal">
      <formula>0</formula>
    </cfRule>
  </conditionalFormatting>
  <conditionalFormatting sqref="C115">
    <cfRule type="containsErrors" dxfId="445" priority="67">
      <formula>ISERROR(C115)</formula>
    </cfRule>
  </conditionalFormatting>
  <conditionalFormatting sqref="U52:AF81">
    <cfRule type="expression" dxfId="444" priority="45" stopIfTrue="1">
      <formula>AND(U52&lt;&gt;"")</formula>
    </cfRule>
  </conditionalFormatting>
  <conditionalFormatting sqref="U52:AF81">
    <cfRule type="expression" dxfId="443" priority="44" stopIfTrue="1">
      <formula>AND(U$20="")</formula>
    </cfRule>
  </conditionalFormatting>
  <conditionalFormatting sqref="AG52:AL81">
    <cfRule type="expression" dxfId="442" priority="43" stopIfTrue="1">
      <formula>AND(AG52&lt;&gt;"")</formula>
    </cfRule>
  </conditionalFormatting>
  <conditionalFormatting sqref="AG52:AL81">
    <cfRule type="expression" dxfId="441" priority="42" stopIfTrue="1">
      <formula>AND(AG$20="")</formula>
    </cfRule>
  </conditionalFormatting>
  <conditionalFormatting sqref="U21:AL50">
    <cfRule type="expression" dxfId="440" priority="38">
      <formula>AND(U$20="")</formula>
    </cfRule>
    <cfRule type="expression" dxfId="439" priority="39">
      <formula>AND(U21&lt;&gt;"")</formula>
    </cfRule>
  </conditionalFormatting>
  <conditionalFormatting sqref="L120">
    <cfRule type="containsErrors" dxfId="438" priority="37">
      <formula>ISERROR(L120)</formula>
    </cfRule>
  </conditionalFormatting>
  <conditionalFormatting sqref="AA119">
    <cfRule type="containsErrors" dxfId="437" priority="29">
      <formula>ISERROR(AA119)</formula>
    </cfRule>
  </conditionalFormatting>
  <conditionalFormatting sqref="AA120">
    <cfRule type="containsErrors" dxfId="436" priority="27">
      <formula>ISERROR(AA120)</formula>
    </cfRule>
  </conditionalFormatting>
  <conditionalFormatting sqref="AI119">
    <cfRule type="containsErrors" dxfId="435" priority="24">
      <formula>ISERROR(AI119)</formula>
    </cfRule>
  </conditionalFormatting>
  <conditionalFormatting sqref="AI120">
    <cfRule type="containsErrors" dxfId="434" priority="23">
      <formula>ISERROR(AI120)</formula>
    </cfRule>
  </conditionalFormatting>
  <conditionalFormatting sqref="AF119">
    <cfRule type="containsErrors" dxfId="433" priority="22">
      <formula>ISERROR(AF119)</formula>
    </cfRule>
  </conditionalFormatting>
  <conditionalFormatting sqref="AF120">
    <cfRule type="containsErrors" dxfId="432" priority="21">
      <formula>ISERROR(AF120)</formula>
    </cfRule>
  </conditionalFormatting>
  <conditionalFormatting sqref="L121 L123 L125 L127 L129 L131 L133 L135 L137 L139 L141 L143 L145 L147 L149 L151 L153 L155 L157 L159 L161 L163">
    <cfRule type="containsErrors" dxfId="431" priority="8">
      <formula>ISERROR(L121)</formula>
    </cfRule>
  </conditionalFormatting>
  <conditionalFormatting sqref="L122 L124 L126 L128 L130 L132 L134 L136 L138 L140 L142 L144 L146 L148 L150 L152 L154 L156 L158 L160 L162 L164">
    <cfRule type="containsErrors" dxfId="430" priority="7">
      <formula>ISERROR(L122)</formula>
    </cfRule>
  </conditionalFormatting>
  <conditionalFormatting sqref="AA121 AA123 AA125 AA127 AA129 AA131 AA133 AA135 AA137 AA139 AA141 AA143 AA145 AA147 AA149 AA151 AA153 AA155 AA157 AA159 AA161 AA163">
    <cfRule type="containsErrors" dxfId="429" priority="6">
      <formula>ISERROR(AA121)</formula>
    </cfRule>
  </conditionalFormatting>
  <conditionalFormatting sqref="AA122 AA124 AA126 AA128 AA130 AA132 AA134 AA136 AA138 AA140 AA142 AA144 AA146 AA148 AA150 AA152 AA154 AA156 AA158 AA160 AA162 AA164">
    <cfRule type="containsErrors" dxfId="428" priority="5">
      <formula>ISERROR(AA122)</formula>
    </cfRule>
  </conditionalFormatting>
  <conditionalFormatting sqref="AI121 AI123 AI125 AI127 AI129 AI131 AI133 AI135 AI137 AI139 AI141 AI143 AI145 AI147 AI149 AI151 AI153 AI155 AI157 AI159 AI161 AI163">
    <cfRule type="containsErrors" dxfId="427" priority="4">
      <formula>ISERROR(AI121)</formula>
    </cfRule>
  </conditionalFormatting>
  <conditionalFormatting sqref="AI122 AI124 AI126 AI128 AI130 AI132 AI134 AI136 AI138 AI140 AI142 AI144 AI146 AI148 AI150 AI152 AI154 AI156 AI158 AI160 AI162 AI164">
    <cfRule type="containsErrors" dxfId="426" priority="3">
      <formula>ISERROR(AI122)</formula>
    </cfRule>
  </conditionalFormatting>
  <conditionalFormatting sqref="AF121 AF123 AF125 AF127 AF129 AF131 AF133 AF135 AF137 AF139 AF141 AF143 AF145 AF147 AF149 AF151 AF153 AF155 AF157 AF159 AF161 AF163">
    <cfRule type="containsErrors" dxfId="425" priority="2">
      <formula>ISERROR(AF121)</formula>
    </cfRule>
  </conditionalFormatting>
  <conditionalFormatting sqref="AF122 AF124 AF126 AF128 AF130 AF132 AF134 AF136 AF138 AF140 AF142 AF144 AF146 AF148 AF150 AF152 AF154 AF156 AF158 AF160 AF162 AF164">
    <cfRule type="containsErrors" dxfId="424" priority="1">
      <formula>ISERROR(AF122)</formula>
    </cfRule>
  </conditionalFormatting>
  <dataValidations count="7">
    <dataValidation showInputMessage="1" showErrorMessage="1" sqref="AI85:AI114" xr:uid="{00000000-0002-0000-0000-000000000000}"/>
    <dataValidation type="list" allowBlank="1" showInputMessage="1" showErrorMessage="1" sqref="U3" xr:uid="{00000000-0002-0000-0000-000001000000}">
      <formula1>"F,G,H"</formula1>
    </dataValidation>
    <dataValidation type="list" allowBlank="1" showInputMessage="1" showErrorMessage="1" sqref="AF84" xr:uid="{00000000-0002-0000-0000-000002000000}">
      <formula1>"Bolt Hole Size (in), Bolt Hole Size (mm)"</formula1>
    </dataValidation>
    <dataValidation type="list" allowBlank="1" showInputMessage="1" showErrorMessage="1" sqref="N21:Q50" xr:uid="{00000000-0002-0000-0000-000003000000}">
      <formula1>Reinforcement</formula1>
    </dataValidation>
    <dataValidation type="list" allowBlank="1" showInputMessage="1" showErrorMessage="1" sqref="O8:R13" xr:uid="{00000000-0002-0000-0000-000004000000}">
      <formula1>"0,8,12,16,18"</formula1>
    </dataValidation>
    <dataValidation type="list" allowBlank="1" showInputMessage="1" showErrorMessage="1" sqref="AI8:AL17" xr:uid="{00000000-0002-0000-0000-000005000000}">
      <formula1>Material</formula1>
    </dataValidation>
    <dataValidation type="list" allowBlank="1" showInputMessage="1" showErrorMessage="1" sqref="R20:T20" xr:uid="{00000000-0002-0000-0000-000006000000}">
      <formula1>"Number,Pole Flat Width (in)"</formula1>
    </dataValidation>
  </dataValidations>
  <printOptions horizontalCentered="1"/>
  <pageMargins left="0.7" right="0.7" top="0.5" bottom="0.75" header="0.3" footer="0.3"/>
  <pageSetup scale="66" orientation="portrait" r:id="rId1"/>
  <headerFooter scaleWithDoc="0">
    <oddFooter>&amp;LCCIpole - version 4.4.1&amp;RAnalysis Date: 8/27/2020&amp;CPage 1</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80" r:id="rId4" name="H_15">
              <controlPr defaultSize="0" print="0" autoFill="0" autoLine="0" autoPict="0" macro="[0]!H_15_Click">
                <anchor>
                  <from>
                    <xdr:col>22</xdr:col>
                    <xdr:colOff>66675</xdr:colOff>
                    <xdr:row>1</xdr:row>
                    <xdr:rowOff>238125</xdr:rowOff>
                  </from>
                  <to>
                    <xdr:col>29</xdr:col>
                    <xdr:colOff>0</xdr:colOff>
                    <xdr:row>2</xdr:row>
                    <xdr:rowOff>228600</xdr:rowOff>
                  </to>
                </anchor>
              </controlPr>
            </control>
          </mc:Choice>
        </mc:AlternateContent>
        <mc:AlternateContent xmlns:mc="http://schemas.openxmlformats.org/markup-compatibility/2006">
          <mc:Choice Requires="x14">
            <control shapeId="1410" r:id="rId5" name="Load_Z">
              <controlPr defaultSize="0" print="0" autoFill="0" autoLine="0" autoPict="0" macro="[0]!H_15_Click">
                <anchor>
                  <from>
                    <xdr:col>22</xdr:col>
                    <xdr:colOff>66675</xdr:colOff>
                    <xdr:row>1</xdr:row>
                    <xdr:rowOff>238125</xdr:rowOff>
                  </from>
                  <to>
                    <xdr:col>29</xdr:col>
                    <xdr:colOff>0</xdr:colOff>
                    <xdr:row>2</xdr:row>
                    <xdr:rowOff>228600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7">
    <pageSetUpPr fitToPage="1"/>
  </sheetPr>
  <dimension ref="A1:FU999"/>
  <sheetViews>
    <sheetView zoomScaleNormal="100" workbookViewId="0">
      <selection activeCell="G3" sqref="G3"/>
    </sheetView>
  </sheetViews>
  <sheetFormatPr defaultColWidth="9.140625" defaultRowHeight="12.75" x14ac:dyDescent="0.2"/>
  <cols>
    <col min="1" max="1" width="8.7109375" customWidth="1"/>
    <col min="2" max="3" width="3.7109375" customWidth="1"/>
    <col min="4" max="8" width="4" customWidth="1"/>
    <col min="9" max="11" width="8.28515625" hidden="1" customWidth="1"/>
    <col min="12" max="27" width="3.7109375" customWidth="1"/>
    <col min="28" max="31" width="3.7109375" hidden="1" customWidth="1"/>
    <col min="32" max="35" width="3.7109375" customWidth="1"/>
    <col min="36" max="39" width="3.7109375" hidden="1" customWidth="1"/>
    <col min="40" max="50" width="3.7109375" customWidth="1"/>
    <col min="51" max="51" width="3.7109375" hidden="1" customWidth="1"/>
    <col min="52" max="54" width="2.85546875" hidden="1" customWidth="1"/>
    <col min="55" max="55" width="4.28515625" hidden="1" customWidth="1"/>
    <col min="56" max="56" width="2.85546875" hidden="1" customWidth="1"/>
    <col min="57" max="57" width="5.42578125" hidden="1" customWidth="1"/>
    <col min="58" max="59" width="2.85546875" hidden="1" customWidth="1"/>
    <col min="60" max="60" width="4.28515625" hidden="1" customWidth="1"/>
    <col min="61" max="61" width="12" hidden="1" customWidth="1"/>
    <col min="62" max="65" width="2.85546875" hidden="1" customWidth="1"/>
    <col min="66" max="66" width="14" hidden="1" customWidth="1"/>
    <col min="67" max="68" width="3.7109375" hidden="1" customWidth="1"/>
    <col min="69" max="69" width="6.42578125" hidden="1" customWidth="1"/>
    <col min="70" max="72" width="2.85546875" hidden="1" customWidth="1"/>
    <col min="73" max="73" width="3.7109375" hidden="1" customWidth="1"/>
    <col min="74" max="91" width="3.7109375" style="25" hidden="1" customWidth="1"/>
    <col min="92" max="92" width="19.7109375" hidden="1" customWidth="1"/>
    <col min="93" max="93" width="3.85546875" hidden="1" customWidth="1"/>
    <col min="94" max="110" width="3.7109375" hidden="1" customWidth="1"/>
    <col min="111" max="111" width="12.42578125" hidden="1" customWidth="1"/>
    <col min="112" max="140" width="7.28515625" hidden="1" customWidth="1"/>
    <col min="141" max="170" width="7.28515625" style="65" hidden="1" customWidth="1"/>
    <col min="171" max="171" width="7.28515625" hidden="1" customWidth="1"/>
    <col min="172" max="172" width="3.7109375" hidden="1" customWidth="1"/>
    <col min="173" max="173" width="9.140625" hidden="1" customWidth="1"/>
    <col min="174" max="174" width="8.42578125" hidden="1" customWidth="1"/>
    <col min="175" max="175" width="9.140625" hidden="1" customWidth="1"/>
    <col min="176" max="176" width="9.140625" customWidth="1"/>
    <col min="177" max="177" width="9.140625" hidden="1" customWidth="1"/>
  </cols>
  <sheetData>
    <row r="1" spans="2:177" ht="54.95" customHeight="1" x14ac:dyDescent="0.3">
      <c r="L1" s="22"/>
      <c r="M1" s="22"/>
      <c r="N1" s="22"/>
      <c r="O1" s="22"/>
      <c r="P1" s="22"/>
      <c r="Q1" s="22"/>
      <c r="R1" s="22"/>
      <c r="S1" s="22"/>
      <c r="T1" s="22"/>
      <c r="U1" s="22"/>
      <c r="V1" s="22"/>
      <c r="W1" s="22"/>
      <c r="AD1" s="21"/>
      <c r="BT1" s="66"/>
      <c r="BW1" s="49"/>
    </row>
    <row r="2" spans="2:177" ht="39" customHeight="1" x14ac:dyDescent="0.2">
      <c r="C2" s="745" t="str">
        <f>IF('Macro References'!$A$20=TRUE,'Macro References'!C22,"")</f>
        <v/>
      </c>
      <c r="D2" s="745"/>
      <c r="E2" s="745"/>
      <c r="F2" s="745"/>
      <c r="G2" s="745"/>
      <c r="H2" s="745"/>
      <c r="I2" s="745"/>
      <c r="J2" s="745"/>
      <c r="K2" s="745"/>
      <c r="L2" s="749" t="str">
        <f>IF('Macro References'!$A$20=TRUE,'Macro References'!C21,"")</f>
        <v>TNX Geometry Input</v>
      </c>
      <c r="M2" s="749"/>
      <c r="N2" s="749"/>
      <c r="O2" s="749"/>
      <c r="P2" s="749"/>
      <c r="Q2" s="749"/>
      <c r="R2" s="749"/>
      <c r="S2" s="749"/>
      <c r="T2" s="749"/>
      <c r="U2" s="749"/>
      <c r="V2" s="749"/>
      <c r="W2" s="749"/>
      <c r="X2" s="749"/>
      <c r="Y2" s="749"/>
      <c r="Z2" s="749"/>
      <c r="AA2" s="749"/>
      <c r="AB2" s="749"/>
      <c r="AC2" s="749"/>
      <c r="AD2" s="749"/>
      <c r="AE2" s="749"/>
      <c r="AF2" s="749"/>
      <c r="AG2" s="749"/>
      <c r="AH2" s="749"/>
      <c r="AI2" s="749"/>
      <c r="AJ2" s="749"/>
      <c r="AK2" s="749"/>
      <c r="AL2" s="749"/>
      <c r="AM2" s="749"/>
      <c r="AN2" s="749"/>
      <c r="AO2" s="749"/>
      <c r="AP2" s="749"/>
      <c r="AQ2" s="749"/>
      <c r="AR2" s="749"/>
      <c r="AS2" s="749"/>
      <c r="AT2" s="749"/>
      <c r="AU2" s="749"/>
      <c r="AV2" s="749"/>
      <c r="AW2" s="749"/>
      <c r="AX2" s="749"/>
      <c r="AY2" s="38"/>
      <c r="AZ2" s="745" t="str">
        <f>IF('Macro References'!$A$20=TRUE,'Macro References'!C23,"")</f>
        <v>Analysis Results</v>
      </c>
      <c r="BA2" s="745"/>
      <c r="BB2" s="745"/>
      <c r="BC2" s="745"/>
      <c r="BD2" s="745"/>
      <c r="BE2" s="745"/>
      <c r="BF2" s="745"/>
      <c r="BG2" s="745"/>
      <c r="BH2" s="745"/>
      <c r="BI2" s="745"/>
      <c r="BJ2" s="745"/>
      <c r="BK2" s="745"/>
      <c r="BL2" s="745"/>
      <c r="BM2" s="745"/>
      <c r="BN2" s="745"/>
      <c r="BO2" s="745"/>
      <c r="BP2" s="745"/>
      <c r="BQ2" s="745"/>
      <c r="BR2" s="745"/>
      <c r="BS2" s="745"/>
      <c r="BT2" s="745"/>
      <c r="BU2" s="38"/>
      <c r="BV2" s="66"/>
      <c r="BW2"/>
      <c r="BX2"/>
      <c r="BY2"/>
      <c r="BZ2" s="66"/>
      <c r="CA2"/>
      <c r="CB2"/>
      <c r="CC2"/>
      <c r="CD2"/>
      <c r="CE2"/>
      <c r="CF2"/>
      <c r="CG2"/>
      <c r="CH2"/>
      <c r="CI2"/>
      <c r="CJ2"/>
      <c r="CK2"/>
      <c r="CL2"/>
      <c r="CM2"/>
      <c r="CN2" s="813" t="str">
        <f>IF('Macro References'!$A$20=TRUE,'Macro References'!C24,"")</f>
        <v>Additional Calculations</v>
      </c>
      <c r="CO2" s="813"/>
      <c r="CP2" s="813"/>
      <c r="CQ2" s="813"/>
      <c r="CR2" s="813"/>
      <c r="CS2" s="813"/>
      <c r="CT2" s="813"/>
      <c r="CU2" s="813"/>
      <c r="CV2" s="813"/>
      <c r="CW2" s="813"/>
      <c r="CX2" s="813"/>
      <c r="CY2" s="813"/>
      <c r="CZ2" s="813"/>
      <c r="DA2" s="813"/>
      <c r="DB2" s="813"/>
      <c r="DC2" s="813"/>
      <c r="DD2" s="813"/>
      <c r="DE2" s="813"/>
      <c r="DF2" s="813"/>
      <c r="DG2" s="813"/>
      <c r="DH2" s="813"/>
      <c r="DI2" s="813"/>
      <c r="DJ2" s="813"/>
      <c r="DK2" s="813"/>
      <c r="DL2" s="813"/>
      <c r="DM2" s="813"/>
      <c r="DN2" s="813"/>
      <c r="DO2" s="813"/>
      <c r="DP2" s="813"/>
      <c r="DQ2" s="813"/>
      <c r="DR2" s="813"/>
      <c r="DS2" s="813"/>
      <c r="DT2" s="813"/>
      <c r="DU2" s="813"/>
      <c r="DV2" s="813"/>
      <c r="DW2" s="813"/>
      <c r="DX2" s="813"/>
      <c r="DY2" s="813"/>
      <c r="DZ2" s="813"/>
      <c r="EA2" s="813"/>
      <c r="EB2" s="813"/>
      <c r="EC2" s="813"/>
      <c r="ED2" s="813"/>
      <c r="EE2" s="813"/>
      <c r="EF2" s="813"/>
      <c r="EG2" s="813"/>
      <c r="EH2" s="813"/>
      <c r="EI2" s="813"/>
      <c r="EJ2" s="813"/>
      <c r="EK2" s="813"/>
      <c r="EL2" s="813"/>
      <c r="EM2" s="813"/>
      <c r="EN2" s="813"/>
      <c r="EO2" s="813"/>
      <c r="EP2" s="813"/>
      <c r="EQ2" s="813"/>
      <c r="ER2" s="813"/>
      <c r="ES2" s="813"/>
      <c r="ET2" s="813"/>
      <c r="EU2" s="813"/>
      <c r="EV2" s="813"/>
      <c r="EW2" s="813"/>
      <c r="EX2" s="813"/>
      <c r="EY2" s="813"/>
      <c r="EZ2" s="813"/>
      <c r="FA2" s="813"/>
      <c r="FB2" s="813"/>
      <c r="FC2" s="813"/>
      <c r="FD2" s="813"/>
      <c r="FE2" s="813"/>
      <c r="FF2" s="813"/>
      <c r="FG2" s="813"/>
      <c r="FH2" s="813"/>
      <c r="FI2" s="813"/>
      <c r="FJ2" s="813"/>
      <c r="FK2" s="813"/>
      <c r="FL2" s="813"/>
      <c r="FM2" s="813"/>
      <c r="FN2" s="813"/>
      <c r="FO2" s="813"/>
    </row>
    <row r="3" spans="2:177" ht="21" customHeight="1" thickBot="1" x14ac:dyDescent="0.3">
      <c r="C3" s="770" t="s">
        <v>97</v>
      </c>
      <c r="D3" s="770"/>
      <c r="E3" s="770"/>
      <c r="F3" s="770"/>
      <c r="G3" s="61">
        <v>5</v>
      </c>
      <c r="I3" s="760" t="s">
        <v>65</v>
      </c>
      <c r="J3" s="761"/>
      <c r="K3" s="762"/>
      <c r="BV3" s="25">
        <f>COLUMN(BV2)</f>
        <v>74</v>
      </c>
      <c r="CM3" s="25">
        <f>COLUMN(CM2)</f>
        <v>91</v>
      </c>
      <c r="CN3" s="814" t="s">
        <v>201</v>
      </c>
      <c r="CO3" s="740" t="s">
        <v>191</v>
      </c>
      <c r="CP3" s="741"/>
      <c r="CQ3" s="741"/>
      <c r="CR3" s="741"/>
      <c r="CS3" s="741"/>
      <c r="CT3" s="741"/>
      <c r="CU3" s="741"/>
      <c r="CV3" s="741"/>
      <c r="CW3" s="742"/>
      <c r="CX3" s="743" t="s">
        <v>192</v>
      </c>
      <c r="CY3" s="741"/>
      <c r="CZ3" s="741"/>
      <c r="DA3" s="741"/>
      <c r="DB3" s="741"/>
      <c r="DC3" s="741"/>
      <c r="DD3" s="741"/>
      <c r="DE3" s="741"/>
      <c r="DF3" s="741"/>
      <c r="DG3" s="810" t="str">
        <f>"% Capacity"&amp;IF(AND(Rev="H",Calculations!$F$27=TRUE),"*","")</f>
        <v>% Capacity*</v>
      </c>
      <c r="DH3" s="811"/>
      <c r="DI3" s="811"/>
      <c r="DJ3" s="811"/>
      <c r="DK3" s="811"/>
      <c r="DL3" s="811"/>
      <c r="DM3" s="811"/>
      <c r="DN3" s="811"/>
      <c r="DO3" s="811"/>
      <c r="DP3" s="811"/>
      <c r="DQ3" s="811"/>
      <c r="DR3" s="811"/>
      <c r="DS3" s="811"/>
      <c r="DT3" s="811"/>
      <c r="DU3" s="811"/>
      <c r="DV3" s="811"/>
      <c r="DW3" s="811"/>
      <c r="DX3" s="811"/>
      <c r="DY3" s="811"/>
      <c r="DZ3" s="811"/>
      <c r="EA3" s="811"/>
      <c r="EB3" s="811"/>
      <c r="EC3" s="811"/>
      <c r="ED3" s="811"/>
      <c r="EE3" s="811"/>
      <c r="EF3" s="811"/>
      <c r="EG3" s="811"/>
      <c r="EH3" s="811"/>
      <c r="EI3" s="811"/>
      <c r="EJ3" s="811"/>
      <c r="EK3" s="811"/>
      <c r="EL3" s="810" t="s">
        <v>381</v>
      </c>
      <c r="EM3" s="811"/>
      <c r="EN3" s="811"/>
      <c r="EO3" s="811"/>
      <c r="EP3" s="811"/>
      <c r="EQ3" s="811"/>
      <c r="ER3" s="811"/>
      <c r="ES3" s="811"/>
      <c r="ET3" s="811"/>
      <c r="EU3" s="811"/>
      <c r="EV3" s="811"/>
      <c r="EW3" s="811"/>
      <c r="EX3" s="811"/>
      <c r="EY3" s="811"/>
      <c r="EZ3" s="811"/>
      <c r="FA3" s="811"/>
      <c r="FB3" s="811"/>
      <c r="FC3" s="811"/>
      <c r="FD3" s="811"/>
      <c r="FE3" s="811"/>
      <c r="FF3" s="811"/>
      <c r="FG3" s="811"/>
      <c r="FH3" s="811"/>
      <c r="FI3" s="811"/>
      <c r="FJ3" s="811"/>
      <c r="FK3" s="811"/>
      <c r="FL3" s="811"/>
      <c r="FM3" s="811"/>
      <c r="FN3" s="811"/>
      <c r="FO3" s="812"/>
      <c r="FP3" s="135"/>
      <c r="FQ3" s="719" t="s">
        <v>348</v>
      </c>
      <c r="FR3" s="720"/>
      <c r="FS3" s="721"/>
      <c r="FU3" s="69" t="b">
        <v>0</v>
      </c>
    </row>
    <row r="4" spans="2:177" ht="30" customHeight="1" thickBot="1" x14ac:dyDescent="0.3">
      <c r="C4" s="3"/>
      <c r="D4" s="751" t="s">
        <v>210</v>
      </c>
      <c r="E4" s="751"/>
      <c r="F4" s="751"/>
      <c r="G4" s="751"/>
      <c r="H4" s="751"/>
      <c r="I4" s="31" t="s">
        <v>126</v>
      </c>
      <c r="J4" s="31" t="s">
        <v>124</v>
      </c>
      <c r="K4" s="32" t="s">
        <v>125</v>
      </c>
      <c r="L4" s="763" t="s">
        <v>1</v>
      </c>
      <c r="M4" s="764"/>
      <c r="N4" s="764"/>
      <c r="O4" s="765"/>
      <c r="P4" s="751" t="s">
        <v>11</v>
      </c>
      <c r="Q4" s="751"/>
      <c r="R4" s="751"/>
      <c r="S4" s="751"/>
      <c r="T4" s="751" t="s">
        <v>2</v>
      </c>
      <c r="U4" s="751"/>
      <c r="V4" s="751"/>
      <c r="W4" s="751"/>
      <c r="X4" s="751" t="s">
        <v>3</v>
      </c>
      <c r="Y4" s="751"/>
      <c r="Z4" s="751"/>
      <c r="AA4" s="751"/>
      <c r="AB4" s="754" t="s">
        <v>66</v>
      </c>
      <c r="AC4" s="755"/>
      <c r="AD4" s="755"/>
      <c r="AE4" s="756"/>
      <c r="AF4" s="751" t="s">
        <v>4</v>
      </c>
      <c r="AG4" s="751"/>
      <c r="AH4" s="751"/>
      <c r="AI4" s="751"/>
      <c r="AJ4" s="754" t="s">
        <v>122</v>
      </c>
      <c r="AK4" s="755"/>
      <c r="AL4" s="755"/>
      <c r="AM4" s="756"/>
      <c r="AN4" s="751" t="s">
        <v>5</v>
      </c>
      <c r="AO4" s="751"/>
      <c r="AP4" s="751"/>
      <c r="AQ4" s="751"/>
      <c r="AR4" s="751" t="s">
        <v>10</v>
      </c>
      <c r="AS4" s="751"/>
      <c r="AT4" s="751"/>
      <c r="AU4" s="754"/>
      <c r="AV4" s="750" t="s">
        <v>121</v>
      </c>
      <c r="AW4" s="751"/>
      <c r="AX4" s="751"/>
      <c r="AZ4" s="788" t="s">
        <v>7</v>
      </c>
      <c r="BA4" s="789"/>
      <c r="BB4" s="789"/>
      <c r="BC4" s="790"/>
      <c r="BD4" s="783" t="s">
        <v>71</v>
      </c>
      <c r="BE4" s="783"/>
      <c r="BF4" s="783"/>
      <c r="BG4" s="784" t="s">
        <v>72</v>
      </c>
      <c r="BH4" s="784"/>
      <c r="BI4" s="784"/>
      <c r="BJ4" s="784"/>
      <c r="BK4" s="784"/>
      <c r="BL4" s="784" t="s">
        <v>73</v>
      </c>
      <c r="BM4" s="784"/>
      <c r="BN4" s="784"/>
      <c r="BO4" s="784"/>
      <c r="BP4" s="783" t="s">
        <v>6</v>
      </c>
      <c r="BQ4" s="783"/>
      <c r="BR4" s="784" t="s">
        <v>8</v>
      </c>
      <c r="BS4" s="784"/>
      <c r="BT4" s="784"/>
      <c r="BV4" s="25">
        <v>1</v>
      </c>
      <c r="BW4" s="25">
        <v>2</v>
      </c>
      <c r="BX4" s="25">
        <v>3</v>
      </c>
      <c r="BY4" s="25">
        <v>4</v>
      </c>
      <c r="BZ4" s="25">
        <v>5</v>
      </c>
      <c r="CA4" s="25">
        <v>6</v>
      </c>
      <c r="CB4" s="25">
        <v>7</v>
      </c>
      <c r="CC4" s="25">
        <v>8</v>
      </c>
      <c r="CD4" s="25">
        <v>9</v>
      </c>
      <c r="CE4" s="25">
        <v>10</v>
      </c>
      <c r="CF4" s="25">
        <v>11</v>
      </c>
      <c r="CG4" s="25">
        <v>12</v>
      </c>
      <c r="CH4" s="25">
        <v>13</v>
      </c>
      <c r="CI4" s="25">
        <v>14</v>
      </c>
      <c r="CJ4" s="25">
        <v>15</v>
      </c>
      <c r="CK4" s="25">
        <v>16</v>
      </c>
      <c r="CL4" s="25">
        <v>17</v>
      </c>
      <c r="CM4" s="25">
        <v>18</v>
      </c>
      <c r="CN4" s="815"/>
      <c r="CO4" s="737" t="s">
        <v>165</v>
      </c>
      <c r="CP4" s="737"/>
      <c r="CQ4" s="738"/>
      <c r="CR4" s="736" t="s">
        <v>180</v>
      </c>
      <c r="CS4" s="737"/>
      <c r="CT4" s="738"/>
      <c r="CU4" s="736" t="s">
        <v>134</v>
      </c>
      <c r="CV4" s="737"/>
      <c r="CW4" s="739"/>
      <c r="CX4" s="805" t="s">
        <v>165</v>
      </c>
      <c r="CY4" s="737"/>
      <c r="CZ4" s="738"/>
      <c r="DA4" s="736" t="s">
        <v>180</v>
      </c>
      <c r="DB4" s="737"/>
      <c r="DC4" s="738"/>
      <c r="DD4" s="736" t="s">
        <v>134</v>
      </c>
      <c r="DE4" s="737"/>
      <c r="DF4" s="739"/>
      <c r="DG4" s="50" t="s">
        <v>165</v>
      </c>
      <c r="DH4" s="51" t="s">
        <v>181</v>
      </c>
      <c r="DI4" s="51" t="s">
        <v>182</v>
      </c>
      <c r="DJ4" s="51" t="s">
        <v>183</v>
      </c>
      <c r="DK4" s="51" t="s">
        <v>184</v>
      </c>
      <c r="DL4" s="51" t="s">
        <v>185</v>
      </c>
      <c r="DM4" s="51" t="s">
        <v>186</v>
      </c>
      <c r="DN4" s="51" t="s">
        <v>187</v>
      </c>
      <c r="DO4" s="51" t="s">
        <v>188</v>
      </c>
      <c r="DP4" s="51" t="s">
        <v>189</v>
      </c>
      <c r="DQ4" s="52" t="s">
        <v>190</v>
      </c>
      <c r="DR4" s="51" t="s">
        <v>274</v>
      </c>
      <c r="DS4" s="52" t="s">
        <v>275</v>
      </c>
      <c r="DT4" s="51" t="s">
        <v>276</v>
      </c>
      <c r="DU4" s="52" t="s">
        <v>277</v>
      </c>
      <c r="DV4" s="51" t="s">
        <v>278</v>
      </c>
      <c r="DW4" s="52" t="s">
        <v>279</v>
      </c>
      <c r="DX4" s="51" t="s">
        <v>280</v>
      </c>
      <c r="DY4" s="52" t="s">
        <v>281</v>
      </c>
      <c r="DZ4" s="51" t="s">
        <v>282</v>
      </c>
      <c r="EA4" s="52" t="s">
        <v>283</v>
      </c>
      <c r="EB4" s="51" t="s">
        <v>284</v>
      </c>
      <c r="EC4" s="52" t="s">
        <v>285</v>
      </c>
      <c r="ED4" s="51" t="s">
        <v>286</v>
      </c>
      <c r="EE4" s="52" t="s">
        <v>287</v>
      </c>
      <c r="EF4" s="51" t="s">
        <v>288</v>
      </c>
      <c r="EG4" s="52" t="s">
        <v>289</v>
      </c>
      <c r="EH4" s="51" t="s">
        <v>290</v>
      </c>
      <c r="EI4" s="52" t="s">
        <v>291</v>
      </c>
      <c r="EJ4" s="51" t="s">
        <v>292</v>
      </c>
      <c r="EK4" s="51" t="s">
        <v>293</v>
      </c>
      <c r="EL4" s="51" t="s">
        <v>181</v>
      </c>
      <c r="EM4" s="51" t="s">
        <v>182</v>
      </c>
      <c r="EN4" s="51" t="s">
        <v>183</v>
      </c>
      <c r="EO4" s="51" t="s">
        <v>184</v>
      </c>
      <c r="EP4" s="51" t="s">
        <v>185</v>
      </c>
      <c r="EQ4" s="51" t="s">
        <v>186</v>
      </c>
      <c r="ER4" s="51" t="s">
        <v>187</v>
      </c>
      <c r="ES4" s="51" t="s">
        <v>188</v>
      </c>
      <c r="ET4" s="51" t="s">
        <v>189</v>
      </c>
      <c r="EU4" s="51" t="s">
        <v>190</v>
      </c>
      <c r="EV4" s="51" t="s">
        <v>274</v>
      </c>
      <c r="EW4" s="51" t="s">
        <v>275</v>
      </c>
      <c r="EX4" s="51" t="s">
        <v>276</v>
      </c>
      <c r="EY4" s="51" t="s">
        <v>277</v>
      </c>
      <c r="EZ4" s="51" t="s">
        <v>278</v>
      </c>
      <c r="FA4" s="51" t="s">
        <v>279</v>
      </c>
      <c r="FB4" s="51" t="s">
        <v>280</v>
      </c>
      <c r="FC4" s="51" t="s">
        <v>281</v>
      </c>
      <c r="FD4" s="51" t="s">
        <v>282</v>
      </c>
      <c r="FE4" s="51" t="s">
        <v>283</v>
      </c>
      <c r="FF4" s="51" t="s">
        <v>284</v>
      </c>
      <c r="FG4" s="51" t="s">
        <v>285</v>
      </c>
      <c r="FH4" s="51" t="s">
        <v>286</v>
      </c>
      <c r="FI4" s="51" t="s">
        <v>287</v>
      </c>
      <c r="FJ4" s="51" t="s">
        <v>288</v>
      </c>
      <c r="FK4" s="51" t="s">
        <v>289</v>
      </c>
      <c r="FL4" s="51" t="s">
        <v>290</v>
      </c>
      <c r="FM4" s="51" t="s">
        <v>291</v>
      </c>
      <c r="FN4" s="51" t="s">
        <v>292</v>
      </c>
      <c r="FO4" s="51" t="s">
        <v>293</v>
      </c>
      <c r="FP4" s="73"/>
      <c r="FQ4" s="127" t="s">
        <v>346</v>
      </c>
      <c r="FR4" s="126" t="s">
        <v>345</v>
      </c>
      <c r="FS4" s="127" t="s">
        <v>347</v>
      </c>
    </row>
    <row r="5" spans="2:177" ht="15.75" hidden="1" thickBot="1" x14ac:dyDescent="0.3">
      <c r="B5" s="62" t="b">
        <f>IF(OR(AND(G5&gt;='Geometry 2'!$AK$5,G5&lt;'Geometry 2'!$AL$5),AND(G5&gt;='Geometry 2'!$AK$6,G5&lt;'Geometry 2'!$AL$6),AND(G5&gt;='Geometry 2'!$AK$7,G5&lt;'Geometry 2'!$AL$7),AND(G5&gt;='Geometry 2'!$AK$8,G5&lt;'Geometry 2'!$AL$8),AND(G5&gt;='Geometry 2'!$AK$9,G5&lt;'Geometry 2'!$AL$9),AND(G5&gt;='Geometry 2'!$AK$10,G5&lt;'Geometry 2'!$AL$10),AND(G5&gt;='Geometry 2'!$AK$11,G5&lt;'Geometry 2'!$AL$11),AND(G5&gt;='Geometry 2'!$AK$12,G5&lt;'Geometry 2'!$AL$12),AND(G5&gt;='Geometry 2'!$AK$13,G5&lt;'Geometry 2'!$AL$13),AND(G5&gt;='Geometry 2'!$AK$14,G5&lt;'Geometry 2'!$AL$14)),TRUE,FALSE)</f>
        <v>0</v>
      </c>
      <c r="C5" s="4" t="str">
        <f>IF(D5="","",1)</f>
        <v/>
      </c>
      <c r="D5" s="766" t="str">
        <f>Ht</f>
        <v/>
      </c>
      <c r="E5" s="767"/>
      <c r="F5" s="17" t="str">
        <f>IF(D5="","","-")</f>
        <v/>
      </c>
      <c r="G5" s="768" t="str">
        <f>IF(D5="","",MAX(0,D5-IF(inc="n/a",999,inc),MAX(IF(D5&lt;=Hta_1,0,Hta_1),IF(D5&lt;=Hta_2,0,Hta_2),IF(D5&lt;=Hta_3,0,Hta_3),IF(D5&lt;=Hta_4,0,Hta_4),IF(D5&lt;=Hta_5,0,Hta_5),IF(D5&lt;=Hta_6,0,Hta_6),IF(D5&lt;=Hta_7,0,Hta_7),IF(D5&lt;=Hta_8,0,Hta_8),IF(D5&lt;=Hta_9,0,Hta_9),IF(D5&lt;=Hta_10,0,Hta_10),IF(D5&lt;=Hta_11,0,Hta_11),IF(D5&lt;=Hta_12,0,Hta_12),IF(D5&lt;=Hta_13,0,Hta_13),IF(D5&lt;=Hta_14,0,Hta_14),IF(D5&lt;=Hta_15,0,Hta_15),IF(D5&lt;=Hta_16,0,Hta_16),IF(D5&lt;=Hta_17,0,Hta_17),IF(D5&lt;=Hta_18,0,Hta_18),IF(D5&lt;=Hta_19,0,Hta_19),IF(D5&lt;=Hta_20,0,Hta_20),IF(D5&lt;=Hta_21,0,Hta_21),IF(D5&lt;=Hta_22,0,Hta_22),IF(D5&lt;=Hta_23,0,Hta_23),IF(D5&lt;=Hta_24,0,Hta_24),IF(D5&lt;=Hta_25,0,Hta_25),IF(D5&lt;=Hta_26,0,Hta_26),IF(D5&lt;=Hta_27,0,Hta_27),IF(D5&lt;=Hta_28,0,Hta_28),IF(D5&lt;=Hta_29,0,Hta_29),IF(D5&lt;=Hta_30,0,Hta_30)),MAX(IF(D5&lt;=Hta_1-0.25,0,Hta_1-0.25),IF(D5&lt;=Hta_2-0.25,0,Hta_2-0.25),IF(D5&lt;=Hta_3-0.25,0,Hta_3-0.25),IF(D5&lt;=Hta_4-0.25,0,Hta_4-0.25),IF(D5&lt;=Hta_5-0.25,0,Hta_5-0.25),IF(D5&lt;=Hta_6-0.25,0,Hta_6-0.25),IF(D5&lt;=Hta_7-0.25,0,Hta_7-0.25),IF(D5&lt;=Hta_8-0.25,0,Hta_8-0.25),IF(D5&lt;=Hta_9-0.25,0,Hta_9-0.25),IF(D5&lt;=Hta_10-0.25,0,Hta_10-0.25),IF(D5&lt;=Hta_11-0.25,0,Hta_11-0.25),IF(D5&lt;=Hta_12-0.25,0,Hta_12-0.25),IF(D5&lt;=Hta_13-0.25,0,Hta_13-0.25),IF(D5&lt;=Hta_14-0.25,0,Hta_14-0.25),IF(D5&lt;=Hta_15-0.25,0,Hta_15-0.25),IF(D5&lt;=Hta_16-0.25,0,Hta_16-0.25),IF(D5&lt;=Hta_17-0.25,0,Hta_17-0.25),IF(D5&lt;=Hta_18-0.25,0,Hta_18-0.25),IF(D5&lt;=Hta_19-0.25,0,Hta_19-0.25),IF(D5&lt;=Hta_20-0.25,0,Hta_20-0.25),IF(D5&lt;=Hta_21-0.25,0,Hta_21-0.25),IF(D5&lt;=Hta_22-0.25,0,Hta_22-0.25),IF(D5&lt;=Hta_23-0.25,0,Hta_23-0.25),IF(D5&lt;=Hta_24-0.25,0,Hta_24-0.25),IF(D5&lt;=Hta_25-0.25,0,Hta_25-0.25),IF(D5&lt;=Hta_26-0.25,0,Hta_26-0.25),IF(D5&lt;=Hta_27-0.25,0,Hta_27-0.25),IF(D5&lt;=Hta_28-0.25,0,Hta_28-0.25),IF(D5&lt;=Hta_29-0.25,0,Hta_29-0.25),IF(D5&lt;=Hta_30-0.25,0,Hta_30-0.25)),MAX(IF(D5&lt;=Hba_1,0,Hba_1),IF(D5&lt;=Hba_2,0,Hba_2),IF(D5&lt;=Hba_3,0,Hba_3),IF(D5&lt;=Hba_4,0,Hba_4),IF(D5&lt;=Hba_5,0,Hba_5),IF(D5&lt;=Hba_6,0,Hba_6),IF(D5&lt;=Hba_7,0,Hba_7),IF(D5&lt;=Hba_8,0,Hba_8),IF(D5&lt;=Hba_9,0,Hba_9),IF(D5&lt;=Hba_10,0,Hba_10),IF(D5&lt;=Hba_11,0,Hba_11),IF(D5&lt;=Hba_12,0,Hba_12),IF(D5&lt;=Hba_13,0,Hba_13),IF(D5&lt;=Hba_14,0,Hba_14),IF(D5&lt;=Hba_15,0,Hba_15),IF(D5&lt;=Hba_16,0,Hba_16),IF(D5&lt;=Hba_17,0,Hba_17),IF(D5&lt;=Hba_18,0,Hba_18),IF(D5&lt;=Hba_19,0,Hba_19),IF(D5&lt;=Hba_20,0,Hba_20),IF(D5&lt;=Hba_21,0,Hba_21),IF(D5&lt;=Hba_22,0,Hba_22),IF(D5&lt;=Hba_23,0,Hba_23),IF(D5&lt;=Hba_24,0,Hba_24),IF(D5&lt;=Hba_25,0,Hba_25),IF(D5&lt;=Hba_26,0,Hba_26),IF(D5&lt;=Hba_27,0,Hba_27),IF(D5&lt;=Hba_28,0,Hba_28),IF(D5&lt;=Hba_29,0,Hba_29),IF(D5&lt;=Hba_30,0,Hba_30)),MAX(IF(D5&lt;=Input!$C$8,0,Input!$C$8),IF(D5&lt;=Input!$C$9,0,Input!$C$9),IF(D5&lt;=Input!$C$10,0,Input!$C$10),IF(D5&lt;=Input!$C$11,0,Input!$C$11),IF(D5&lt;=Input!$C$12,0,Input!$C$12),IF(D5&lt;=Input!$C$13,0,Input!$C$13),IF(D5&lt;=Input!$C$14,0,Input!$C$14),IF(D5&lt;=Input!$C$15,0,Input!$C$15),IF(D5&lt;=Input!$C$16,0,Input!$C$16)),MAX(IF(D5&lt;=Hba_1-0.25,0,Hba_1-0.25),IF(D5&lt;=Hba_2-0.25,0,Hba_2-0.25),IF(D5&lt;=Hba_3-0.25,0,Hba_3-0.25),IF(D5&lt;=Hba_4-0.25,0,Hba_4-0.25),IF(D5&lt;=Hba_5-0.25,0,Hba_5-0.25),IF(D5&lt;=Hba_6-0.25,0,Hba_6-0.25),IF(D5&lt;=Hba_7-0.25,0,Hba_7-0.25),IF(D5&lt;=Hba_8-0.25,0,Hba_8-0.25),IF(D5&lt;=Hba_9-0.25,0,Hba_9-0.25),IF(D5&lt;=Hba_10-0.25,0,Hba_10-0.25),IF(D5&lt;=Hba_11-0.25,0,Hba_11-0.25),IF(D5&lt;=Hba_12-0.25,0,Hba_12-0.25),IF(D5&lt;=Hba_13-0.25,0,Hba_13-0.25),IF(D5&lt;=Hba_14-0.25,0,Hba_14-0.25),IF(D5&lt;=Hba_15-0.25,0,Hba_15-0.25),IF(D5&lt;=Hba_16-0.25,0,Hba_16-0.25),IF(D5&lt;=Hba_17-0.25,0,Hba_17-0.25),IF(D5&lt;=Hba_18-0.25,0,Hba_18-0.25),IF(D5&lt;=Hba_19-0.25,0,Hba_19-0.25),IF(D5&lt;=Hba_20-0.25,0,Hba_20-0.25),IF(D5&lt;=Hba_21-0.25,0,Hba_21-0.25),IF(D5&lt;=Hba_22-0.25,0,Hba_22-0.25),IF(D5&lt;=Hba_23-0.25,0,Hba_23-0.25),IF(D5&lt;=Hba_24-0.25,0,Hba_24-0.25),IF(D5&lt;=Hba_25-0.25,0,Hba_25-0.25),IF(D5&lt;=Hba_26-0.25,0,Hba_26-0.25),IF(D5&lt;=Hba_27-0.25,0,Hba_27-0.25),IF(D5&lt;=Hba_28-0.25,0,Hba_28-0.25),IF(D5&lt;=Hba_29-0.25,0,Hba_29-0.25),IF(D5&lt;=Hba_30-0.25,0,Hba_30-0.25)),IF(D5&lt;='Macro References'!$A$38,0,'Macro References'!$A$38)))</f>
        <v/>
      </c>
      <c r="H5" s="769"/>
      <c r="I5" s="228"/>
      <c r="J5" s="228"/>
      <c r="K5" s="228"/>
      <c r="L5" s="717" t="str">
        <f t="shared" ref="L5:L36" si="0">IF(D5="","",D5-G5+IF(P5="",0,P5))</f>
        <v/>
      </c>
      <c r="M5" s="717"/>
      <c r="N5" s="717"/>
      <c r="O5" s="717"/>
      <c r="P5" s="717" t="str">
        <f>IF(OR(G5=0,G5=""),"",IF(VLOOKUP(G5,'Geometry 2'!$C$4:$AI$14,1,TRUE)=VLOOKUP(G6,'Geometry 2'!$C$4:$AI$14,1,TRUE),"",IF(VLOOKUP(G5,'Geometry 2'!$C$4:$AI$14,33,TRUE)&lt;&gt;"n/a",MIN(G5,VLOOKUP(G5,'Geometry 2'!$C$4:$AI$14,1,TRUE))-VLOOKUP(G5,'Geometry 2'!$C$4:$AI$14,33,TRUE),"check")))</f>
        <v/>
      </c>
      <c r="Q5" s="717"/>
      <c r="R5" s="717"/>
      <c r="S5" s="717"/>
      <c r="T5" s="717" t="str">
        <f>IF($G5="","",VLOOKUP($G5,'Geometry 2'!$E$4:$AH$14,11,TRUE))</f>
        <v/>
      </c>
      <c r="U5" s="717"/>
      <c r="V5" s="717"/>
      <c r="W5" s="717"/>
      <c r="X5" s="716" t="str">
        <f>IF($G5="","",VLOOKUP($G5,'Geometry 2'!$E$4:$AJ$14,19,TRUE)-12*VLOOKUP($G5,'Geometry 2'!$E$4:$AJ$14,32,TRUE)*($D5-VLOOKUP($G5,'Geometry 2'!$E$5:$AH$14,1,TRUE)))</f>
        <v/>
      </c>
      <c r="Y5" s="716"/>
      <c r="Z5" s="716"/>
      <c r="AA5" s="716"/>
      <c r="AB5" s="757" t="str">
        <f>IF($G5="","",VLOOKUP($G5,'Geometry 2'!$E$4:$AJ$14,19,TRUE)-12*VLOOKUP($G5,'Geometry 2'!$E$4:$AJ$14,32,TRUE)*($G5-VLOOKUP($G5,'Geometry 2'!$E$5:$AH$14,1,TRUE)))</f>
        <v/>
      </c>
      <c r="AC5" s="758"/>
      <c r="AD5" s="758"/>
      <c r="AE5" s="759"/>
      <c r="AF5" s="716" t="str">
        <f>IF($G5="","",VLOOKUP($G5,'Geometry 2'!$E$4:$AJ$14,19,TRUE)-12*VLOOKUP($G5,'Geometry 2'!$E$4:$AJ$14,32,TRUE)*($G5-IF($P5="",0,$P5)-VLOOKUP($G5,'Geometry 2'!$E$5:$AH$14,1,TRUE)))</f>
        <v/>
      </c>
      <c r="AG5" s="716"/>
      <c r="AH5" s="716"/>
      <c r="AI5" s="716"/>
      <c r="AJ5" s="746" t="str">
        <f>IF($G5="","",VLOOKUP($G5,'Geometry 2'!$E$4:$AH$14,23,TRUE))</f>
        <v/>
      </c>
      <c r="AK5" s="747"/>
      <c r="AL5" s="747"/>
      <c r="AM5" s="748"/>
      <c r="AN5" s="717"/>
      <c r="AO5" s="717"/>
      <c r="AP5" s="717"/>
      <c r="AQ5" s="717"/>
      <c r="AR5" s="717" t="str">
        <f>IF($G5="","",VLOOKUP($G5,'Geometry 2'!$E$4:$AH$14,27,TRUE))</f>
        <v/>
      </c>
      <c r="AS5" s="717"/>
      <c r="AT5" s="717"/>
      <c r="AU5" s="718"/>
      <c r="AV5" s="715"/>
      <c r="AW5" s="716"/>
      <c r="AX5" s="716"/>
      <c r="AZ5" s="787" t="str">
        <f>IF(G5="","",CONCATENATE(ROUND(D5,2)," ",F5," ",ROUND(G5,2)))</f>
        <v/>
      </c>
      <c r="BA5" s="787"/>
      <c r="BB5" s="787"/>
      <c r="BC5" s="787"/>
      <c r="BD5" s="787"/>
      <c r="BE5" s="787"/>
      <c r="BF5" s="787"/>
      <c r="BG5" s="722" t="str">
        <f t="shared" ref="BG5:BG22" si="1">IF(AZ5="","","TP"&amp;ROUND(AF5,3)&amp;"x"&amp;ROUND(X5,3)&amp;"x"&amp;ROUND(AN5,4))</f>
        <v/>
      </c>
      <c r="BH5" s="723"/>
      <c r="BI5" s="723"/>
      <c r="BJ5" s="723"/>
      <c r="BK5" s="724"/>
      <c r="BL5" s="787"/>
      <c r="BM5" s="787"/>
      <c r="BN5" s="787"/>
      <c r="BO5" s="787"/>
      <c r="BP5" s="785"/>
      <c r="BQ5" s="786"/>
      <c r="BR5" s="787" t="str">
        <f>IF(BP5="","",IF(OR(AND(Rev="H",Calculations!$F$27=TRUE),AND(Rev&lt;&gt;"H",Calculations!$F$30=TRUE)),IF(BP5&lt;=1,"Pass","Fail"),IF(BP5&lt;=1.05,"Pass","Fail")))</f>
        <v/>
      </c>
      <c r="BS5" s="787"/>
      <c r="BT5" s="787"/>
      <c r="BU5" s="49"/>
      <c r="BV5" s="25" t="str">
        <f>IFERROR(CONCATENATE(IF(AND($G5&lt;Hta_1,$G5&gt;=Hba_1,Input!U$21&lt;&gt;""),Input!$B$21&amp;";",""),IF(AND($G5&lt;Hta_2,$G5&gt;=Hba_2,Input!U$22&lt;&gt;""),Input!$B$22&amp;";",""),IF(AND($G5&lt;Hta_3,$G5&gt;=Hba_3,Input!U$23&lt;&gt;""),Input!$B$23&amp;";",""),IF(AND($G5&lt;Hta_4,$G5&gt;=Hba_4,Input!U$24&lt;&gt;""),Input!$B$24&amp;";",""),IF(AND($G5&lt;Hta_5,$G5&gt;=Hba_5,Input!U$25&lt;&gt;""),Input!$B$25&amp;";",""),IF(AND($G5&lt;Hta_6,$G5&gt;=Hba_6,Input!U$26&lt;&gt;""),Input!$B$26&amp;";",""),IF(AND($G5&lt;Hta_7,$G5&gt;=Hba_7,Input!U$27&lt;&gt;""),Input!$B$27&amp;";",""),IF(AND($G5&lt;Hta_8,$G5&gt;=Hba_8,Input!U$28&lt;&gt;""),Input!$B$28&amp;";",""),IF(AND($G5&lt;Hta_9,$G5&gt;=Hba_9,Input!U$29&lt;&gt;""),Input!$B$29&amp;";",""),IF(AND($G5&lt;Hta_10,$G5&gt;=Hba_10,Input!U$30&lt;&gt;""),Input!$B$30&amp;";",""),IF(AND($G5&lt;Hta_11,$G5&gt;=Hba_11,Input!U$31&lt;&gt;""),Input!$B$31&amp;";",""),IF(AND($G5&lt;Hta_12,$G5&gt;=Hba_12,Input!U$32&lt;&gt;""),Input!$B$32&amp;";",""),IF(AND($G5&lt;Hta_13,$G5&gt;=Hba_13,Input!U$33&lt;&gt;""),Input!$B$33&amp;";",""),IF(AND($G5&lt;Hta_14,$G5&gt;=Hba_14,Input!U$34&lt;&gt;""),Input!$B$34&amp;";",""),IF(AND($G5&lt;Hta_15,$G5&gt;=Hba_15,Input!U$35&lt;&gt;""),Input!$B$35&amp;";",""),IF(AND($G5&lt;Hta_16,$G5&gt;=Hba_16,Input!U$36&lt;&gt;""),Input!$B$36&amp;";",""),IF(AND($G5&lt;Hta_17,$G5&gt;=Hba_17,Input!U$37&lt;&gt;""),Input!$B$37&amp;";",""),IF(AND($G5&lt;Hta_18,$G5&gt;=Hba_18,Input!U$38&lt;&gt;""),Input!$B$38&amp;";",""),IF(AND($G5&lt;Hta_19,$G5&gt;=Hba_19,Input!U$39&lt;&gt;""),Input!$B$39&amp;";",""),IF(AND($G5&lt;Hta_20,$G5&gt;=Hba_20,Input!U$40&lt;&gt;""),Input!$B$40&amp;";",""),IF(AND($G5&lt;Hta_21,$G5&gt;=Hba_21,Input!U$41&lt;&gt;""),Input!$B$41&amp;";",""),IF(AND($G5&lt;Hta_22,$G5&gt;=Hba_22,Input!U$42&lt;&gt;""),Input!$B$42&amp;";",""),IF(AND($G5&lt;Hta_23,$G5&gt;=Hba_23,Input!U$43&lt;&gt;""),Input!$B$43&amp;";",""),IF(AND($G5&lt;Hta_24,$G5&gt;=Hba_24,Input!U$44&lt;&gt;""),Input!$B$44&amp;";",""),IF(AND($G5&lt;Hta_25,$G5&gt;=Hba_25,Input!U$45&lt;&gt;""),Input!$B$45&amp;";",""),IF(AND($G5&lt;Hta_26,$G5&gt;=Hba_26,Input!U$46&lt;&gt;""),Input!$B$46&amp;";",""),IF(AND($G5&lt;Hta_27,$G5&gt;=Hba_27,Input!U$47&lt;&gt;""),Input!$B$47&amp;";",""),IF(AND($G5&lt;Hta_28,$G5&gt;=Hba_28,Input!U$48&lt;&gt;""),Input!$B$48&amp;";",""),IF(AND($G5&lt;Hta_29,$G5&gt;=Hba_29,Input!U$49&lt;&gt;""),Input!$B$49&amp;";",""),IF(AND($G5&lt;Hta_30,$G5&gt;=Hba_30,Input!U$50&lt;&gt;""),Input!$B$50&amp;";","")),"")</f>
        <v/>
      </c>
      <c r="BW5" s="25" t="str">
        <f>IFERROR(CONCATENATE(IF(AND($G5&lt;Hta_1,$G5&gt;=Hba_1,Input!V$21&lt;&gt;""),Input!$B$21&amp;";",""),IF(AND($G5&lt;Hta_2,$G5&gt;=Hba_2,Input!V$22&lt;&gt;""),Input!$B$22&amp;";",""),IF(AND($G5&lt;Hta_3,$G5&gt;=Hba_3,Input!V$23&lt;&gt;""),Input!$B$23&amp;";",""),IF(AND($G5&lt;Hta_4,$G5&gt;=Hba_4,Input!V$24&lt;&gt;""),Input!$B$24&amp;";",""),IF(AND($G5&lt;Hta_5,$G5&gt;=Hba_5,Input!V$25&lt;&gt;""),Input!$B$25&amp;";",""),IF(AND($G5&lt;Hta_6,$G5&gt;=Hba_6,Input!V$26&lt;&gt;""),Input!$B$26&amp;";",""),IF(AND($G5&lt;Hta_7,$G5&gt;=Hba_7,Input!V$27&lt;&gt;""),Input!$B$27&amp;";",""),IF(AND($G5&lt;Hta_8,$G5&gt;=Hba_8,Input!V$28&lt;&gt;""),Input!$B$28&amp;";",""),IF(AND($G5&lt;Hta_9,$G5&gt;=Hba_9,Input!V$29&lt;&gt;""),Input!$B$29&amp;";",""),IF(AND($G5&lt;Hta_10,$G5&gt;=Hba_10,Input!V$30&lt;&gt;""),Input!$B$30&amp;";",""),IF(AND($G5&lt;Hta_11,$G5&gt;=Hba_11,Input!V$31&lt;&gt;""),Input!$B$31&amp;";",""),IF(AND($G5&lt;Hta_12,$G5&gt;=Hba_12,Input!V$32&lt;&gt;""),Input!$B$32&amp;";",""),IF(AND($G5&lt;Hta_13,$G5&gt;=Hba_13,Input!V$33&lt;&gt;""),Input!$B$33&amp;";",""),IF(AND($G5&lt;Hta_14,$G5&gt;=Hba_14,Input!V$34&lt;&gt;""),Input!$B$34&amp;";",""),IF(AND($G5&lt;Hta_15,$G5&gt;=Hba_15,Input!V$35&lt;&gt;""),Input!$B$35&amp;";",""),IF(AND($G5&lt;Hta_16,$G5&gt;=Hba_16,Input!V$36&lt;&gt;""),Input!$B$36&amp;";",""),IF(AND($G5&lt;Hta_17,$G5&gt;=Hba_17,Input!V$37&lt;&gt;""),Input!$B$37&amp;";",""),IF(AND($G5&lt;Hta_18,$G5&gt;=Hba_18,Input!V$38&lt;&gt;""),Input!$B$38&amp;";",""),IF(AND($G5&lt;Hta_19,$G5&gt;=Hba_19,Input!V$39&lt;&gt;""),Input!$B$39&amp;";",""),IF(AND($G5&lt;Hta_20,$G5&gt;=Hba_20,Input!V$40&lt;&gt;""),Input!$B$40&amp;";",""),IF(AND($G5&lt;Hta_21,$G5&gt;=Hba_21,Input!V$41&lt;&gt;""),Input!$B$41&amp;";",""),IF(AND($G5&lt;Hta_22,$G5&gt;=Hba_22,Input!V$42&lt;&gt;""),Input!$B$42&amp;";",""),IF(AND($G5&lt;Hta_23,$G5&gt;=Hba_23,Input!V$43&lt;&gt;""),Input!$B$43&amp;";",""),IF(AND($G5&lt;Hta_24,$G5&gt;=Hba_24,Input!V$44&lt;&gt;""),Input!$B$44&amp;";",""),IF(AND($G5&lt;Hta_25,$G5&gt;=Hba_25,Input!V$45&lt;&gt;""),Input!$B$45&amp;";",""),IF(AND($G5&lt;Hta_26,$G5&gt;=Hba_26,Input!V$46&lt;&gt;""),Input!$B$46&amp;";",""),IF(AND($G5&lt;Hta_27,$G5&gt;=Hba_27,Input!V$47&lt;&gt;""),Input!$B$47&amp;";",""),IF(AND($G5&lt;Hta_28,$G5&gt;=Hba_28,Input!V$48&lt;&gt;""),Input!$B$48&amp;";",""),IF(AND($G5&lt;Hta_29,$G5&gt;=Hba_29,Input!V$49&lt;&gt;""),Input!$B$49&amp;";",""),IF(AND($G5&lt;Hta_30,$G5&gt;=Hba_30,Input!V$50&lt;&gt;""),Input!$B$50&amp;";","")),"")</f>
        <v/>
      </c>
      <c r="BX5" s="25" t="str">
        <f>IFERROR(CONCATENATE(IF(AND($G5&lt;Hta_1,$G5&gt;=Hba_1,Input!W$21&lt;&gt;""),Input!$B$21&amp;";",""),IF(AND($G5&lt;Hta_2,$G5&gt;=Hba_2,Input!W$22&lt;&gt;""),Input!$B$22&amp;";",""),IF(AND($G5&lt;Hta_3,$G5&gt;=Hba_3,Input!W$23&lt;&gt;""),Input!$B$23&amp;";",""),IF(AND($G5&lt;Hta_4,$G5&gt;=Hba_4,Input!W$24&lt;&gt;""),Input!$B$24&amp;";",""),IF(AND($G5&lt;Hta_5,$G5&gt;=Hba_5,Input!W$25&lt;&gt;""),Input!$B$25&amp;";",""),IF(AND($G5&lt;Hta_6,$G5&gt;=Hba_6,Input!W$26&lt;&gt;""),Input!$B$26&amp;";",""),IF(AND($G5&lt;Hta_7,$G5&gt;=Hba_7,Input!W$27&lt;&gt;""),Input!$B$27&amp;";",""),IF(AND($G5&lt;Hta_8,$G5&gt;=Hba_8,Input!W$28&lt;&gt;""),Input!$B$28&amp;";",""),IF(AND($G5&lt;Hta_9,$G5&gt;=Hba_9,Input!W$29&lt;&gt;""),Input!$B$29&amp;";",""),IF(AND($G5&lt;Hta_10,$G5&gt;=Hba_10,Input!W$30&lt;&gt;""),Input!$B$30&amp;";",""),IF(AND($G5&lt;Hta_11,$G5&gt;=Hba_11,Input!W$31&lt;&gt;""),Input!$B$31&amp;";",""),IF(AND($G5&lt;Hta_12,$G5&gt;=Hba_12,Input!W$32&lt;&gt;""),Input!$B$32&amp;";",""),IF(AND($G5&lt;Hta_13,$G5&gt;=Hba_13,Input!W$33&lt;&gt;""),Input!$B$33&amp;";",""),IF(AND($G5&lt;Hta_14,$G5&gt;=Hba_14,Input!W$34&lt;&gt;""),Input!$B$34&amp;";",""),IF(AND($G5&lt;Hta_15,$G5&gt;=Hba_15,Input!W$35&lt;&gt;""),Input!$B$35&amp;";",""),IF(AND($G5&lt;Hta_16,$G5&gt;=Hba_16,Input!W$36&lt;&gt;""),Input!$B$36&amp;";",""),IF(AND($G5&lt;Hta_17,$G5&gt;=Hba_17,Input!W$37&lt;&gt;""),Input!$B$37&amp;";",""),IF(AND($G5&lt;Hta_18,$G5&gt;=Hba_18,Input!W$38&lt;&gt;""),Input!$B$38&amp;";",""),IF(AND($G5&lt;Hta_19,$G5&gt;=Hba_19,Input!W$39&lt;&gt;""),Input!$B$39&amp;";",""),IF(AND($G5&lt;Hta_20,$G5&gt;=Hba_20,Input!W$40&lt;&gt;""),Input!$B$40&amp;";",""),IF(AND($G5&lt;Hta_21,$G5&gt;=Hba_21,Input!W$41&lt;&gt;""),Input!$B$41&amp;";",""),IF(AND($G5&lt;Hta_22,$G5&gt;=Hba_22,Input!W$42&lt;&gt;""),Input!$B$42&amp;";",""),IF(AND($G5&lt;Hta_23,$G5&gt;=Hba_23,Input!W$43&lt;&gt;""),Input!$B$43&amp;";",""),IF(AND($G5&lt;Hta_24,$G5&gt;=Hba_24,Input!W$44&lt;&gt;""),Input!$B$44&amp;";",""),IF(AND($G5&lt;Hta_25,$G5&gt;=Hba_25,Input!W$45&lt;&gt;""),Input!$B$45&amp;";",""),IF(AND($G5&lt;Hta_26,$G5&gt;=Hba_26,Input!W$46&lt;&gt;""),Input!$B$46&amp;";",""),IF(AND($G5&lt;Hta_27,$G5&gt;=Hba_27,Input!W$47&lt;&gt;""),Input!$B$47&amp;";",""),IF(AND($G5&lt;Hta_28,$G5&gt;=Hba_28,Input!W$48&lt;&gt;""),Input!$B$48&amp;";",""),IF(AND($G5&lt;Hta_29,$G5&gt;=Hba_29,Input!W$49&lt;&gt;""),Input!$B$49&amp;";",""),IF(AND($G5&lt;Hta_30,$G5&gt;=Hba_30,Input!W$50&lt;&gt;""),Input!$B$50&amp;";","")),"")</f>
        <v/>
      </c>
      <c r="BY5" s="25" t="str">
        <f>IFERROR(CONCATENATE(IF(AND($G5&lt;Hta_1,$G5&gt;=Hba_1,Input!X$21&lt;&gt;""),Input!$B$21&amp;";",""),IF(AND($G5&lt;Hta_2,$G5&gt;=Hba_2,Input!X$22&lt;&gt;""),Input!$B$22&amp;";",""),IF(AND($G5&lt;Hta_3,$G5&gt;=Hba_3,Input!X$23&lt;&gt;""),Input!$B$23&amp;";",""),IF(AND($G5&lt;Hta_4,$G5&gt;=Hba_4,Input!X$24&lt;&gt;""),Input!$B$24&amp;";",""),IF(AND($G5&lt;Hta_5,$G5&gt;=Hba_5,Input!X$25&lt;&gt;""),Input!$B$25&amp;";",""),IF(AND($G5&lt;Hta_6,$G5&gt;=Hba_6,Input!X$26&lt;&gt;""),Input!$B$26&amp;";",""),IF(AND($G5&lt;Hta_7,$G5&gt;=Hba_7,Input!X$27&lt;&gt;""),Input!$B$27&amp;";",""),IF(AND($G5&lt;Hta_8,$G5&gt;=Hba_8,Input!X$28&lt;&gt;""),Input!$B$28&amp;";",""),IF(AND($G5&lt;Hta_9,$G5&gt;=Hba_9,Input!X$29&lt;&gt;""),Input!$B$29&amp;";",""),IF(AND($G5&lt;Hta_10,$G5&gt;=Hba_10,Input!X$30&lt;&gt;""),Input!$B$30&amp;";",""),IF(AND($G5&lt;Hta_11,$G5&gt;=Hba_11,Input!X$31&lt;&gt;""),Input!$B$31&amp;";",""),IF(AND($G5&lt;Hta_12,$G5&gt;=Hba_12,Input!X$32&lt;&gt;""),Input!$B$32&amp;";",""),IF(AND($G5&lt;Hta_13,$G5&gt;=Hba_13,Input!X$33&lt;&gt;""),Input!$B$33&amp;";",""),IF(AND($G5&lt;Hta_14,$G5&gt;=Hba_14,Input!X$34&lt;&gt;""),Input!$B$34&amp;";",""),IF(AND($G5&lt;Hta_15,$G5&gt;=Hba_15,Input!X$35&lt;&gt;""),Input!$B$35&amp;";",""),IF(AND($G5&lt;Hta_16,$G5&gt;=Hba_16,Input!X$36&lt;&gt;""),Input!$B$36&amp;";",""),IF(AND($G5&lt;Hta_17,$G5&gt;=Hba_17,Input!X$37&lt;&gt;""),Input!$B$37&amp;";",""),IF(AND($G5&lt;Hta_18,$G5&gt;=Hba_18,Input!X$38&lt;&gt;""),Input!$B$38&amp;";",""),IF(AND($G5&lt;Hta_19,$G5&gt;=Hba_19,Input!X$39&lt;&gt;""),Input!$B$39&amp;";",""),IF(AND($G5&lt;Hta_20,$G5&gt;=Hba_20,Input!X$40&lt;&gt;""),Input!$B$40&amp;";",""),IF(AND($G5&lt;Hta_21,$G5&gt;=Hba_21,Input!X$41&lt;&gt;""),Input!$B$41&amp;";",""),IF(AND($G5&lt;Hta_22,$G5&gt;=Hba_22,Input!X$42&lt;&gt;""),Input!$B$42&amp;";",""),IF(AND($G5&lt;Hta_23,$G5&gt;=Hba_23,Input!X$43&lt;&gt;""),Input!$B$43&amp;";",""),IF(AND($G5&lt;Hta_24,$G5&gt;=Hba_24,Input!X$44&lt;&gt;""),Input!$B$44&amp;";",""),IF(AND($G5&lt;Hta_25,$G5&gt;=Hba_25,Input!X$45&lt;&gt;""),Input!$B$45&amp;";",""),IF(AND($G5&lt;Hta_26,$G5&gt;=Hba_26,Input!X$46&lt;&gt;""),Input!$B$46&amp;";",""),IF(AND($G5&lt;Hta_27,$G5&gt;=Hba_27,Input!X$47&lt;&gt;""),Input!$B$47&amp;";",""),IF(AND($G5&lt;Hta_28,$G5&gt;=Hba_28,Input!X$48&lt;&gt;""),Input!$B$48&amp;";",""),IF(AND($G5&lt;Hta_29,$G5&gt;=Hba_29,Input!X$49&lt;&gt;""),Input!$B$49&amp;";",""),IF(AND($G5&lt;Hta_30,$G5&gt;=Hba_30,Input!X$50&lt;&gt;""),Input!$B$50&amp;";","")),"")</f>
        <v/>
      </c>
      <c r="BZ5" s="25" t="str">
        <f>IFERROR(CONCATENATE(IF(AND($G5&lt;Hta_1,$G5&gt;=Hba_1,Input!Y$21&lt;&gt;""),Input!$B$21&amp;";",""),IF(AND($G5&lt;Hta_2,$G5&gt;=Hba_2,Input!Y$22&lt;&gt;""),Input!$B$22&amp;";",""),IF(AND($G5&lt;Hta_3,$G5&gt;=Hba_3,Input!Y$23&lt;&gt;""),Input!$B$23&amp;";",""),IF(AND($G5&lt;Hta_4,$G5&gt;=Hba_4,Input!Y$24&lt;&gt;""),Input!$B$24&amp;";",""),IF(AND($G5&lt;Hta_5,$G5&gt;=Hba_5,Input!Y$25&lt;&gt;""),Input!$B$25&amp;";",""),IF(AND($G5&lt;Hta_6,$G5&gt;=Hba_6,Input!Y$26&lt;&gt;""),Input!$B$26&amp;";",""),IF(AND($G5&lt;Hta_7,$G5&gt;=Hba_7,Input!Y$27&lt;&gt;""),Input!$B$27&amp;";",""),IF(AND($G5&lt;Hta_8,$G5&gt;=Hba_8,Input!Y$28&lt;&gt;""),Input!$B$28&amp;";",""),IF(AND($G5&lt;Hta_9,$G5&gt;=Hba_9,Input!Y$29&lt;&gt;""),Input!$B$29&amp;";",""),IF(AND($G5&lt;Hta_10,$G5&gt;=Hba_10,Input!Y$30&lt;&gt;""),Input!$B$30&amp;";",""),IF(AND($G5&lt;Hta_11,$G5&gt;=Hba_11,Input!Y$31&lt;&gt;""),Input!$B$31&amp;";",""),IF(AND($G5&lt;Hta_12,$G5&gt;=Hba_12,Input!Y$32&lt;&gt;""),Input!$B$32&amp;";",""),IF(AND($G5&lt;Hta_13,$G5&gt;=Hba_13,Input!Y$33&lt;&gt;""),Input!$B$33&amp;";",""),IF(AND($G5&lt;Hta_14,$G5&gt;=Hba_14,Input!Y$34&lt;&gt;""),Input!$B$34&amp;";",""),IF(AND($G5&lt;Hta_15,$G5&gt;=Hba_15,Input!Y$35&lt;&gt;""),Input!$B$35&amp;";",""),IF(AND($G5&lt;Hta_16,$G5&gt;=Hba_16,Input!Y$36&lt;&gt;""),Input!$B$36&amp;";",""),IF(AND($G5&lt;Hta_17,$G5&gt;=Hba_17,Input!Y$37&lt;&gt;""),Input!$B$37&amp;";",""),IF(AND($G5&lt;Hta_18,$G5&gt;=Hba_18,Input!Y$38&lt;&gt;""),Input!$B$38&amp;";",""),IF(AND($G5&lt;Hta_19,$G5&gt;=Hba_19,Input!Y$39&lt;&gt;""),Input!$B$39&amp;";",""),IF(AND($G5&lt;Hta_20,$G5&gt;=Hba_20,Input!Y$40&lt;&gt;""),Input!$B$40&amp;";",""),IF(AND($G5&lt;Hta_21,$G5&gt;=Hba_21,Input!Y$41&lt;&gt;""),Input!$B$41&amp;";",""),IF(AND($G5&lt;Hta_22,$G5&gt;=Hba_22,Input!Y$42&lt;&gt;""),Input!$B$42&amp;";",""),IF(AND($G5&lt;Hta_23,$G5&gt;=Hba_23,Input!Y$43&lt;&gt;""),Input!$B$43&amp;";",""),IF(AND($G5&lt;Hta_24,$G5&gt;=Hba_24,Input!Y$44&lt;&gt;""),Input!$B$44&amp;";",""),IF(AND($G5&lt;Hta_25,$G5&gt;=Hba_25,Input!Y$45&lt;&gt;""),Input!$B$45&amp;";",""),IF(AND($G5&lt;Hta_26,$G5&gt;=Hba_26,Input!Y$46&lt;&gt;""),Input!$B$46&amp;";",""),IF(AND($G5&lt;Hta_27,$G5&gt;=Hba_27,Input!Y$47&lt;&gt;""),Input!$B$47&amp;";",""),IF(AND($G5&lt;Hta_28,$G5&gt;=Hba_28,Input!Y$48&lt;&gt;""),Input!$B$48&amp;";",""),IF(AND($G5&lt;Hta_29,$G5&gt;=Hba_29,Input!Y$49&lt;&gt;""),Input!$B$49&amp;";",""),IF(AND($G5&lt;Hta_30,$G5&gt;=Hba_30,Input!Y$50&lt;&gt;""),Input!$B$50&amp;";","")),"")</f>
        <v/>
      </c>
      <c r="CA5" s="25" t="str">
        <f>IFERROR(CONCATENATE(IF(AND($G5&lt;Hta_1,$G5&gt;=Hba_1,Input!Z$21&lt;&gt;""),Input!$B$21&amp;";",""),IF(AND($G5&lt;Hta_2,$G5&gt;=Hba_2,Input!Z$22&lt;&gt;""),Input!$B$22&amp;";",""),IF(AND($G5&lt;Hta_3,$G5&gt;=Hba_3,Input!Z$23&lt;&gt;""),Input!$B$23&amp;";",""),IF(AND($G5&lt;Hta_4,$G5&gt;=Hba_4,Input!Z$24&lt;&gt;""),Input!$B$24&amp;";",""),IF(AND($G5&lt;Hta_5,$G5&gt;=Hba_5,Input!Z$25&lt;&gt;""),Input!$B$25&amp;";",""),IF(AND($G5&lt;Hta_6,$G5&gt;=Hba_6,Input!Z$26&lt;&gt;""),Input!$B$26&amp;";",""),IF(AND($G5&lt;Hta_7,$G5&gt;=Hba_7,Input!Z$27&lt;&gt;""),Input!$B$27&amp;";",""),IF(AND($G5&lt;Hta_8,$G5&gt;=Hba_8,Input!Z$28&lt;&gt;""),Input!$B$28&amp;";",""),IF(AND($G5&lt;Hta_9,$G5&gt;=Hba_9,Input!Z$29&lt;&gt;""),Input!$B$29&amp;";",""),IF(AND($G5&lt;Hta_10,$G5&gt;=Hba_10,Input!Z$30&lt;&gt;""),Input!$B$30&amp;";",""),IF(AND($G5&lt;Hta_11,$G5&gt;=Hba_11,Input!Z$31&lt;&gt;""),Input!$B$31&amp;";",""),IF(AND($G5&lt;Hta_12,$G5&gt;=Hba_12,Input!Z$32&lt;&gt;""),Input!$B$32&amp;";",""),IF(AND($G5&lt;Hta_13,$G5&gt;=Hba_13,Input!Z$33&lt;&gt;""),Input!$B$33&amp;";",""),IF(AND($G5&lt;Hta_14,$G5&gt;=Hba_14,Input!Z$34&lt;&gt;""),Input!$B$34&amp;";",""),IF(AND($G5&lt;Hta_15,$G5&gt;=Hba_15,Input!Z$35&lt;&gt;""),Input!$B$35&amp;";",""),IF(AND($G5&lt;Hta_16,$G5&gt;=Hba_16,Input!Z$36&lt;&gt;""),Input!$B$36&amp;";",""),IF(AND($G5&lt;Hta_17,$G5&gt;=Hba_17,Input!Z$37&lt;&gt;""),Input!$B$37&amp;";",""),IF(AND($G5&lt;Hta_18,$G5&gt;=Hba_18,Input!Z$38&lt;&gt;""),Input!$B$38&amp;";",""),IF(AND($G5&lt;Hta_19,$G5&gt;=Hba_19,Input!Z$39&lt;&gt;""),Input!$B$39&amp;";",""),IF(AND($G5&lt;Hta_20,$G5&gt;=Hba_20,Input!Z$40&lt;&gt;""),Input!$B$40&amp;";",""),IF(AND($G5&lt;Hta_21,$G5&gt;=Hba_21,Input!Z$41&lt;&gt;""),Input!$B$41&amp;";",""),IF(AND($G5&lt;Hta_22,$G5&gt;=Hba_22,Input!Z$42&lt;&gt;""),Input!$B$42&amp;";",""),IF(AND($G5&lt;Hta_23,$G5&gt;=Hba_23,Input!Z$43&lt;&gt;""),Input!$B$43&amp;";",""),IF(AND($G5&lt;Hta_24,$G5&gt;=Hba_24,Input!Z$44&lt;&gt;""),Input!$B$44&amp;";",""),IF(AND($G5&lt;Hta_25,$G5&gt;=Hba_25,Input!Z$45&lt;&gt;""),Input!$B$45&amp;";",""),IF(AND($G5&lt;Hta_26,$G5&gt;=Hba_26,Input!Z$46&lt;&gt;""),Input!$B$46&amp;";",""),IF(AND($G5&lt;Hta_27,$G5&gt;=Hba_27,Input!Z$47&lt;&gt;""),Input!$B$47&amp;";",""),IF(AND($G5&lt;Hta_28,$G5&gt;=Hba_28,Input!Z$48&lt;&gt;""),Input!$B$48&amp;";",""),IF(AND($G5&lt;Hta_29,$G5&gt;=Hba_29,Input!Z$49&lt;&gt;""),Input!$B$49&amp;";",""),IF(AND($G5&lt;Hta_30,$G5&gt;=Hba_30,Input!Z$50&lt;&gt;""),Input!$B$50&amp;";","")),"")</f>
        <v/>
      </c>
      <c r="CB5" s="25" t="str">
        <f>IFERROR(CONCATENATE(IF(AND($G5&lt;Hta_1,$G5&gt;=Hba_1,Input!AA$21&lt;&gt;""),Input!$B$21&amp;";",""),IF(AND($G5&lt;Hta_2,$G5&gt;=Hba_2,Input!AA$22&lt;&gt;""),Input!$B$22&amp;";",""),IF(AND($G5&lt;Hta_3,$G5&gt;=Hba_3,Input!AA$23&lt;&gt;""),Input!$B$23&amp;";",""),IF(AND($G5&lt;Hta_4,$G5&gt;=Hba_4,Input!AA$24&lt;&gt;""),Input!$B$24&amp;";",""),IF(AND($G5&lt;Hta_5,$G5&gt;=Hba_5,Input!AA$25&lt;&gt;""),Input!$B$25&amp;";",""),IF(AND($G5&lt;Hta_6,$G5&gt;=Hba_6,Input!AA$26&lt;&gt;""),Input!$B$26&amp;";",""),IF(AND($G5&lt;Hta_7,$G5&gt;=Hba_7,Input!AA$27&lt;&gt;""),Input!$B$27&amp;";",""),IF(AND($G5&lt;Hta_8,$G5&gt;=Hba_8,Input!AA$28&lt;&gt;""),Input!$B$28&amp;";",""),IF(AND($G5&lt;Hta_9,$G5&gt;=Hba_9,Input!AA$29&lt;&gt;""),Input!$B$29&amp;";",""),IF(AND($G5&lt;Hta_10,$G5&gt;=Hba_10,Input!AA$30&lt;&gt;""),Input!$B$30&amp;";",""),IF(AND($G5&lt;Hta_11,$G5&gt;=Hba_11,Input!AA$31&lt;&gt;""),Input!$B$31&amp;";",""),IF(AND($G5&lt;Hta_12,$G5&gt;=Hba_12,Input!AA$32&lt;&gt;""),Input!$B$32&amp;";",""),IF(AND($G5&lt;Hta_13,$G5&gt;=Hba_13,Input!AA$33&lt;&gt;""),Input!$B$33&amp;";",""),IF(AND($G5&lt;Hta_14,$G5&gt;=Hba_14,Input!AA$34&lt;&gt;""),Input!$B$34&amp;";",""),IF(AND($G5&lt;Hta_15,$G5&gt;=Hba_15,Input!AA$35&lt;&gt;""),Input!$B$35&amp;";",""),IF(AND($G5&lt;Hta_16,$G5&gt;=Hba_16,Input!AA$36&lt;&gt;""),Input!$B$36&amp;";",""),IF(AND($G5&lt;Hta_17,$G5&gt;=Hba_17,Input!AA$37&lt;&gt;""),Input!$B$37&amp;";",""),IF(AND($G5&lt;Hta_18,$G5&gt;=Hba_18,Input!AA$38&lt;&gt;""),Input!$B$38&amp;";",""),IF(AND($G5&lt;Hta_19,$G5&gt;=Hba_19,Input!AA$39&lt;&gt;""),Input!$B$39&amp;";",""),IF(AND($G5&lt;Hta_20,$G5&gt;=Hba_20,Input!AA$40&lt;&gt;""),Input!$B$40&amp;";",""),IF(AND($G5&lt;Hta_21,$G5&gt;=Hba_21,Input!AA$41&lt;&gt;""),Input!$B$41&amp;";",""),IF(AND($G5&lt;Hta_22,$G5&gt;=Hba_22,Input!AA$42&lt;&gt;""),Input!$B$42&amp;";",""),IF(AND($G5&lt;Hta_23,$G5&gt;=Hba_23,Input!AA$43&lt;&gt;""),Input!$B$43&amp;";",""),IF(AND($G5&lt;Hta_24,$G5&gt;=Hba_24,Input!AA$44&lt;&gt;""),Input!$B$44&amp;";",""),IF(AND($G5&lt;Hta_25,$G5&gt;=Hba_25,Input!AA$45&lt;&gt;""),Input!$B$45&amp;";",""),IF(AND($G5&lt;Hta_26,$G5&gt;=Hba_26,Input!AA$46&lt;&gt;""),Input!$B$46&amp;";",""),IF(AND($G5&lt;Hta_27,$G5&gt;=Hba_27,Input!AA$47&lt;&gt;""),Input!$B$47&amp;";",""),IF(AND($G5&lt;Hta_28,$G5&gt;=Hba_28,Input!AA$48&lt;&gt;""),Input!$B$48&amp;";",""),IF(AND($G5&lt;Hta_29,$G5&gt;=Hba_29,Input!AA$49&lt;&gt;""),Input!$B$49&amp;";",""),IF(AND($G5&lt;Hta_30,$G5&gt;=Hba_30,Input!AA$50&lt;&gt;""),Input!$B$50&amp;";","")),"")</f>
        <v/>
      </c>
      <c r="CC5" s="25" t="str">
        <f>IFERROR(CONCATENATE(IF(AND($G5&lt;Hta_1,$G5&gt;=Hba_1,Input!AB$21&lt;&gt;""),Input!$B$21&amp;";",""),IF(AND($G5&lt;Hta_2,$G5&gt;=Hba_2,Input!AB$22&lt;&gt;""),Input!$B$22&amp;";",""),IF(AND($G5&lt;Hta_3,$G5&gt;=Hba_3,Input!AB$23&lt;&gt;""),Input!$B$23&amp;";",""),IF(AND($G5&lt;Hta_4,$G5&gt;=Hba_4,Input!AB$24&lt;&gt;""),Input!$B$24&amp;";",""),IF(AND($G5&lt;Hta_5,$G5&gt;=Hba_5,Input!AB$25&lt;&gt;""),Input!$B$25&amp;";",""),IF(AND($G5&lt;Hta_6,$G5&gt;=Hba_6,Input!AB$26&lt;&gt;""),Input!$B$26&amp;";",""),IF(AND($G5&lt;Hta_7,$G5&gt;=Hba_7,Input!AB$27&lt;&gt;""),Input!$B$27&amp;";",""),IF(AND($G5&lt;Hta_8,$G5&gt;=Hba_8,Input!AB$28&lt;&gt;""),Input!$B$28&amp;";",""),IF(AND($G5&lt;Hta_9,$G5&gt;=Hba_9,Input!AB$29&lt;&gt;""),Input!$B$29&amp;";",""),IF(AND($G5&lt;Hta_10,$G5&gt;=Hba_10,Input!AB$30&lt;&gt;""),Input!$B$30&amp;";",""),IF(AND($G5&lt;Hta_11,$G5&gt;=Hba_11,Input!AB$31&lt;&gt;""),Input!$B$31&amp;";",""),IF(AND($G5&lt;Hta_12,$G5&gt;=Hba_12,Input!AB$32&lt;&gt;""),Input!$B$32&amp;";",""),IF(AND($G5&lt;Hta_13,$G5&gt;=Hba_13,Input!AB$33&lt;&gt;""),Input!$B$33&amp;";",""),IF(AND($G5&lt;Hta_14,$G5&gt;=Hba_14,Input!AB$34&lt;&gt;""),Input!$B$34&amp;";",""),IF(AND($G5&lt;Hta_15,$G5&gt;=Hba_15,Input!AB$35&lt;&gt;""),Input!$B$35&amp;";",""),IF(AND($G5&lt;Hta_16,$G5&gt;=Hba_16,Input!AB$36&lt;&gt;""),Input!$B$36&amp;";",""),IF(AND($G5&lt;Hta_17,$G5&gt;=Hba_17,Input!AB$37&lt;&gt;""),Input!$B$37&amp;";",""),IF(AND($G5&lt;Hta_18,$G5&gt;=Hba_18,Input!AB$38&lt;&gt;""),Input!$B$38&amp;";",""),IF(AND($G5&lt;Hta_19,$G5&gt;=Hba_19,Input!AB$39&lt;&gt;""),Input!$B$39&amp;";",""),IF(AND($G5&lt;Hta_20,$G5&gt;=Hba_20,Input!AB$40&lt;&gt;""),Input!$B$40&amp;";",""),IF(AND($G5&lt;Hta_21,$G5&gt;=Hba_21,Input!AB$41&lt;&gt;""),Input!$B$41&amp;";",""),IF(AND($G5&lt;Hta_22,$G5&gt;=Hba_22,Input!AB$42&lt;&gt;""),Input!$B$42&amp;";",""),IF(AND($G5&lt;Hta_23,$G5&gt;=Hba_23,Input!AB$43&lt;&gt;""),Input!$B$43&amp;";",""),IF(AND($G5&lt;Hta_24,$G5&gt;=Hba_24,Input!AB$44&lt;&gt;""),Input!$B$44&amp;";",""),IF(AND($G5&lt;Hta_25,$G5&gt;=Hba_25,Input!AB$45&lt;&gt;""),Input!$B$45&amp;";",""),IF(AND($G5&lt;Hta_26,$G5&gt;=Hba_26,Input!AB$46&lt;&gt;""),Input!$B$46&amp;";",""),IF(AND($G5&lt;Hta_27,$G5&gt;=Hba_27,Input!AB$47&lt;&gt;""),Input!$B$47&amp;";",""),IF(AND($G5&lt;Hta_28,$G5&gt;=Hba_28,Input!AB$48&lt;&gt;""),Input!$B$48&amp;";",""),IF(AND($G5&lt;Hta_29,$G5&gt;=Hba_29,Input!AB$49&lt;&gt;""),Input!$B$49&amp;";",""),IF(AND($G5&lt;Hta_30,$G5&gt;=Hba_30,Input!AB$50&lt;&gt;""),Input!$B$50&amp;";","")),"")</f>
        <v/>
      </c>
      <c r="CD5" s="25" t="str">
        <f>IFERROR(CONCATENATE(IF(AND($G5&lt;Hta_1,$G5&gt;=Hba_1,Input!AC$21&lt;&gt;""),Input!$B$21&amp;";",""),IF(AND($G5&lt;Hta_2,$G5&gt;=Hba_2,Input!AC$22&lt;&gt;""),Input!$B$22&amp;";",""),IF(AND($G5&lt;Hta_3,$G5&gt;=Hba_3,Input!AC$23&lt;&gt;""),Input!$B$23&amp;";",""),IF(AND($G5&lt;Hta_4,$G5&gt;=Hba_4,Input!AC$24&lt;&gt;""),Input!$B$24&amp;";",""),IF(AND($G5&lt;Hta_5,$G5&gt;=Hba_5,Input!AC$25&lt;&gt;""),Input!$B$25&amp;";",""),IF(AND($G5&lt;Hta_6,$G5&gt;=Hba_6,Input!AC$26&lt;&gt;""),Input!$B$26&amp;";",""),IF(AND($G5&lt;Hta_7,$G5&gt;=Hba_7,Input!AC$27&lt;&gt;""),Input!$B$27&amp;";",""),IF(AND($G5&lt;Hta_8,$G5&gt;=Hba_8,Input!AC$28&lt;&gt;""),Input!$B$28&amp;";",""),IF(AND($G5&lt;Hta_9,$G5&gt;=Hba_9,Input!AC$29&lt;&gt;""),Input!$B$29&amp;";",""),IF(AND($G5&lt;Hta_10,$G5&gt;=Hba_10,Input!AC$30&lt;&gt;""),Input!$B$30&amp;";",""),IF(AND($G5&lt;Hta_11,$G5&gt;=Hba_11,Input!AC$31&lt;&gt;""),Input!$B$31&amp;";",""),IF(AND($G5&lt;Hta_12,$G5&gt;=Hba_12,Input!AC$32&lt;&gt;""),Input!$B$32&amp;";",""),IF(AND($G5&lt;Hta_13,$G5&gt;=Hba_13,Input!AC$33&lt;&gt;""),Input!$B$33&amp;";",""),IF(AND($G5&lt;Hta_14,$G5&gt;=Hba_14,Input!AC$34&lt;&gt;""),Input!$B$34&amp;";",""),IF(AND($G5&lt;Hta_15,$G5&gt;=Hba_15,Input!AC$35&lt;&gt;""),Input!$B$35&amp;";",""),IF(AND($G5&lt;Hta_16,$G5&gt;=Hba_16,Input!AC$36&lt;&gt;""),Input!$B$36&amp;";",""),IF(AND($G5&lt;Hta_17,$G5&gt;=Hba_17,Input!AC$37&lt;&gt;""),Input!$B$37&amp;";",""),IF(AND($G5&lt;Hta_18,$G5&gt;=Hba_18,Input!AC$38&lt;&gt;""),Input!$B$38&amp;";",""),IF(AND($G5&lt;Hta_19,$G5&gt;=Hba_19,Input!AC$39&lt;&gt;""),Input!$B$39&amp;";",""),IF(AND($G5&lt;Hta_20,$G5&gt;=Hba_20,Input!AC$40&lt;&gt;""),Input!$B$40&amp;";",""),IF(AND($G5&lt;Hta_21,$G5&gt;=Hba_21,Input!AC$41&lt;&gt;""),Input!$B$41&amp;";",""),IF(AND($G5&lt;Hta_22,$G5&gt;=Hba_22,Input!AC$42&lt;&gt;""),Input!$B$42&amp;";",""),IF(AND($G5&lt;Hta_23,$G5&gt;=Hba_23,Input!AC$43&lt;&gt;""),Input!$B$43&amp;";",""),IF(AND($G5&lt;Hta_24,$G5&gt;=Hba_24,Input!AC$44&lt;&gt;""),Input!$B$44&amp;";",""),IF(AND($G5&lt;Hta_25,$G5&gt;=Hba_25,Input!AC$45&lt;&gt;""),Input!$B$45&amp;";",""),IF(AND($G5&lt;Hta_26,$G5&gt;=Hba_26,Input!AC$46&lt;&gt;""),Input!$B$46&amp;";",""),IF(AND($G5&lt;Hta_27,$G5&gt;=Hba_27,Input!AC$47&lt;&gt;""),Input!$B$47&amp;";",""),IF(AND($G5&lt;Hta_28,$G5&gt;=Hba_28,Input!AC$48&lt;&gt;""),Input!$B$48&amp;";",""),IF(AND($G5&lt;Hta_29,$G5&gt;=Hba_29,Input!AC$49&lt;&gt;""),Input!$B$49&amp;";",""),IF(AND($G5&lt;Hta_30,$G5&gt;=Hba_30,Input!AC$50&lt;&gt;""),Input!$B$50&amp;";","")),"")</f>
        <v/>
      </c>
      <c r="CE5" s="25" t="str">
        <f>IFERROR(CONCATENATE(IF(AND($G5&lt;Hta_1,$G5&gt;=Hba_1,Input!AD$21&lt;&gt;""),Input!$B$21&amp;";",""),IF(AND($G5&lt;Hta_2,$G5&gt;=Hba_2,Input!AD$22&lt;&gt;""),Input!$B$22&amp;";",""),IF(AND($G5&lt;Hta_3,$G5&gt;=Hba_3,Input!AD$23&lt;&gt;""),Input!$B$23&amp;";",""),IF(AND($G5&lt;Hta_4,$G5&gt;=Hba_4,Input!AD$24&lt;&gt;""),Input!$B$24&amp;";",""),IF(AND($G5&lt;Hta_5,$G5&gt;=Hba_5,Input!AD$25&lt;&gt;""),Input!$B$25&amp;";",""),IF(AND($G5&lt;Hta_6,$G5&gt;=Hba_6,Input!AD$26&lt;&gt;""),Input!$B$26&amp;";",""),IF(AND($G5&lt;Hta_7,$G5&gt;=Hba_7,Input!AD$27&lt;&gt;""),Input!$B$27&amp;";",""),IF(AND($G5&lt;Hta_8,$G5&gt;=Hba_8,Input!AD$28&lt;&gt;""),Input!$B$28&amp;";",""),IF(AND($G5&lt;Hta_9,$G5&gt;=Hba_9,Input!AD$29&lt;&gt;""),Input!$B$29&amp;";",""),IF(AND($G5&lt;Hta_10,$G5&gt;=Hba_10,Input!AD$30&lt;&gt;""),Input!$B$30&amp;";",""),IF(AND($G5&lt;Hta_11,$G5&gt;=Hba_11,Input!AD$31&lt;&gt;""),Input!$B$31&amp;";",""),IF(AND($G5&lt;Hta_12,$G5&gt;=Hba_12,Input!AD$32&lt;&gt;""),Input!$B$32&amp;";",""),IF(AND($G5&lt;Hta_13,$G5&gt;=Hba_13,Input!AD$33&lt;&gt;""),Input!$B$33&amp;";",""),IF(AND($G5&lt;Hta_14,$G5&gt;=Hba_14,Input!AD$34&lt;&gt;""),Input!$B$34&amp;";",""),IF(AND($G5&lt;Hta_15,$G5&gt;=Hba_15,Input!AD$35&lt;&gt;""),Input!$B$35&amp;";",""),IF(AND($G5&lt;Hta_16,$G5&gt;=Hba_16,Input!AD$36&lt;&gt;""),Input!$B$36&amp;";",""),IF(AND($G5&lt;Hta_17,$G5&gt;=Hba_17,Input!AD$37&lt;&gt;""),Input!$B$37&amp;";",""),IF(AND($G5&lt;Hta_18,$G5&gt;=Hba_18,Input!AD$38&lt;&gt;""),Input!$B$38&amp;";",""),IF(AND($G5&lt;Hta_19,$G5&gt;=Hba_19,Input!AD$39&lt;&gt;""),Input!$B$39&amp;";",""),IF(AND($G5&lt;Hta_20,$G5&gt;=Hba_20,Input!AD$40&lt;&gt;""),Input!$B$40&amp;";",""),IF(AND($G5&lt;Hta_21,$G5&gt;=Hba_21,Input!AD$41&lt;&gt;""),Input!$B$41&amp;";",""),IF(AND($G5&lt;Hta_22,$G5&gt;=Hba_22,Input!AD$42&lt;&gt;""),Input!$B$42&amp;";",""),IF(AND($G5&lt;Hta_23,$G5&gt;=Hba_23,Input!AD$43&lt;&gt;""),Input!$B$43&amp;";",""),IF(AND($G5&lt;Hta_24,$G5&gt;=Hba_24,Input!AD$44&lt;&gt;""),Input!$B$44&amp;";",""),IF(AND($G5&lt;Hta_25,$G5&gt;=Hba_25,Input!AD$45&lt;&gt;""),Input!$B$45&amp;";",""),IF(AND($G5&lt;Hta_26,$G5&gt;=Hba_26,Input!AD$46&lt;&gt;""),Input!$B$46&amp;";",""),IF(AND($G5&lt;Hta_27,$G5&gt;=Hba_27,Input!AD$47&lt;&gt;""),Input!$B$47&amp;";",""),IF(AND($G5&lt;Hta_28,$G5&gt;=Hba_28,Input!AD$48&lt;&gt;""),Input!$B$48&amp;";",""),IF(AND($G5&lt;Hta_29,$G5&gt;=Hba_29,Input!AD$49&lt;&gt;""),Input!$B$49&amp;";",""),IF(AND($G5&lt;Hta_30,$G5&gt;=Hba_30,Input!AD$50&lt;&gt;""),Input!$B$50&amp;";","")),"")</f>
        <v/>
      </c>
      <c r="CF5" s="25" t="str">
        <f>IFERROR(CONCATENATE(IF(AND($G5&lt;Hta_1,$G5&gt;=Hba_1,Input!AE$21&lt;&gt;""),Input!$B$21&amp;";",""),IF(AND($G5&lt;Hta_2,$G5&gt;=Hba_2,Input!AE$22&lt;&gt;""),Input!$B$22&amp;";",""),IF(AND($G5&lt;Hta_3,$G5&gt;=Hba_3,Input!AE$23&lt;&gt;""),Input!$B$23&amp;";",""),IF(AND($G5&lt;Hta_4,$G5&gt;=Hba_4,Input!AE$24&lt;&gt;""),Input!$B$24&amp;";",""),IF(AND($G5&lt;Hta_5,$G5&gt;=Hba_5,Input!AE$25&lt;&gt;""),Input!$B$25&amp;";",""),IF(AND($G5&lt;Hta_6,$G5&gt;=Hba_6,Input!AE$26&lt;&gt;""),Input!$B$26&amp;";",""),IF(AND($G5&lt;Hta_7,$G5&gt;=Hba_7,Input!AE$27&lt;&gt;""),Input!$B$27&amp;";",""),IF(AND($G5&lt;Hta_8,$G5&gt;=Hba_8,Input!AE$28&lt;&gt;""),Input!$B$28&amp;";",""),IF(AND($G5&lt;Hta_9,$G5&gt;=Hba_9,Input!AE$29&lt;&gt;""),Input!$B$29&amp;";",""),IF(AND($G5&lt;Hta_10,$G5&gt;=Hba_10,Input!AE$30&lt;&gt;""),Input!$B$30&amp;";",""),IF(AND($G5&lt;Hta_11,$G5&gt;=Hba_11,Input!AE$31&lt;&gt;""),Input!$B$31&amp;";",""),IF(AND($G5&lt;Hta_12,$G5&gt;=Hba_12,Input!AE$32&lt;&gt;""),Input!$B$32&amp;";",""),IF(AND($G5&lt;Hta_13,$G5&gt;=Hba_13,Input!AE$33&lt;&gt;""),Input!$B$33&amp;";",""),IF(AND($G5&lt;Hta_14,$G5&gt;=Hba_14,Input!AE$34&lt;&gt;""),Input!$B$34&amp;";",""),IF(AND($G5&lt;Hta_15,$G5&gt;=Hba_15,Input!AE$35&lt;&gt;""),Input!$B$35&amp;";",""),IF(AND($G5&lt;Hta_16,$G5&gt;=Hba_16,Input!AE$36&lt;&gt;""),Input!$B$36&amp;";",""),IF(AND($G5&lt;Hta_17,$G5&gt;=Hba_17,Input!AE$37&lt;&gt;""),Input!$B$37&amp;";",""),IF(AND($G5&lt;Hta_18,$G5&gt;=Hba_18,Input!AE$38&lt;&gt;""),Input!$B$38&amp;";",""),IF(AND($G5&lt;Hta_19,$G5&gt;=Hba_19,Input!AE$39&lt;&gt;""),Input!$B$39&amp;";",""),IF(AND($G5&lt;Hta_20,$G5&gt;=Hba_20,Input!AE$40&lt;&gt;""),Input!$B$40&amp;";",""),IF(AND($G5&lt;Hta_21,$G5&gt;=Hba_21,Input!AE$41&lt;&gt;""),Input!$B$41&amp;";",""),IF(AND($G5&lt;Hta_22,$G5&gt;=Hba_22,Input!AE$42&lt;&gt;""),Input!$B$42&amp;";",""),IF(AND($G5&lt;Hta_23,$G5&gt;=Hba_23,Input!AE$43&lt;&gt;""),Input!$B$43&amp;";",""),IF(AND($G5&lt;Hta_24,$G5&gt;=Hba_24,Input!AE$44&lt;&gt;""),Input!$B$44&amp;";",""),IF(AND($G5&lt;Hta_25,$G5&gt;=Hba_25,Input!AE$45&lt;&gt;""),Input!$B$45&amp;";",""),IF(AND($G5&lt;Hta_26,$G5&gt;=Hba_26,Input!AE$46&lt;&gt;""),Input!$B$46&amp;";",""),IF(AND($G5&lt;Hta_27,$G5&gt;=Hba_27,Input!AE$47&lt;&gt;""),Input!$B$47&amp;";",""),IF(AND($G5&lt;Hta_28,$G5&gt;=Hba_28,Input!AE$48&lt;&gt;""),Input!$B$48&amp;";",""),IF(AND($G5&lt;Hta_29,$G5&gt;=Hba_29,Input!AE$49&lt;&gt;""),Input!$B$49&amp;";",""),IF(AND($G5&lt;Hta_30,$G5&gt;=Hba_30,Input!AE$50&lt;&gt;""),Input!$B$50&amp;";","")),"")</f>
        <v/>
      </c>
      <c r="CG5" s="25" t="str">
        <f>IFERROR(CONCATENATE(IF(AND($G5&lt;Hta_1,$G5&gt;=Hba_1,Input!AF$21&lt;&gt;""),Input!$B$21&amp;";",""),IF(AND($G5&lt;Hta_2,$G5&gt;=Hba_2,Input!AF$22&lt;&gt;""),Input!$B$22&amp;";",""),IF(AND($G5&lt;Hta_3,$G5&gt;=Hba_3,Input!AF$23&lt;&gt;""),Input!$B$23&amp;";",""),IF(AND($G5&lt;Hta_4,$G5&gt;=Hba_4,Input!AF$24&lt;&gt;""),Input!$B$24&amp;";",""),IF(AND($G5&lt;Hta_5,$G5&gt;=Hba_5,Input!AF$25&lt;&gt;""),Input!$B$25&amp;";",""),IF(AND($G5&lt;Hta_6,$G5&gt;=Hba_6,Input!AF$26&lt;&gt;""),Input!$B$26&amp;";",""),IF(AND($G5&lt;Hta_7,$G5&gt;=Hba_7,Input!AF$27&lt;&gt;""),Input!$B$27&amp;";",""),IF(AND($G5&lt;Hta_8,$G5&gt;=Hba_8,Input!AF$28&lt;&gt;""),Input!$B$28&amp;";",""),IF(AND($G5&lt;Hta_9,$G5&gt;=Hba_9,Input!AF$29&lt;&gt;""),Input!$B$29&amp;";",""),IF(AND($G5&lt;Hta_10,$G5&gt;=Hba_10,Input!AF$30&lt;&gt;""),Input!$B$30&amp;";",""),IF(AND($G5&lt;Hta_11,$G5&gt;=Hba_11,Input!AF$31&lt;&gt;""),Input!$B$31&amp;";",""),IF(AND($G5&lt;Hta_12,$G5&gt;=Hba_12,Input!AF$32&lt;&gt;""),Input!$B$32&amp;";",""),IF(AND($G5&lt;Hta_13,$G5&gt;=Hba_13,Input!AF$33&lt;&gt;""),Input!$B$33&amp;";",""),IF(AND($G5&lt;Hta_14,$G5&gt;=Hba_14,Input!AF$34&lt;&gt;""),Input!$B$34&amp;";",""),IF(AND($G5&lt;Hta_15,$G5&gt;=Hba_15,Input!AF$35&lt;&gt;""),Input!$B$35&amp;";",""),IF(AND($G5&lt;Hta_16,$G5&gt;=Hba_16,Input!AF$36&lt;&gt;""),Input!$B$36&amp;";",""),IF(AND($G5&lt;Hta_17,$G5&gt;=Hba_17,Input!AF$37&lt;&gt;""),Input!$B$37&amp;";",""),IF(AND($G5&lt;Hta_18,$G5&gt;=Hba_18,Input!AF$38&lt;&gt;""),Input!$B$38&amp;";",""),IF(AND($G5&lt;Hta_19,$G5&gt;=Hba_19,Input!AF$39&lt;&gt;""),Input!$B$39&amp;";",""),IF(AND($G5&lt;Hta_20,$G5&gt;=Hba_20,Input!AF$40&lt;&gt;""),Input!$B$40&amp;";",""),IF(AND($G5&lt;Hta_21,$G5&gt;=Hba_21,Input!AF$41&lt;&gt;""),Input!$B$41&amp;";",""),IF(AND($G5&lt;Hta_22,$G5&gt;=Hba_22,Input!AF$42&lt;&gt;""),Input!$B$42&amp;";",""),IF(AND($G5&lt;Hta_23,$G5&gt;=Hba_23,Input!AF$43&lt;&gt;""),Input!$B$43&amp;";",""),IF(AND($G5&lt;Hta_24,$G5&gt;=Hba_24,Input!AF$44&lt;&gt;""),Input!$B$44&amp;";",""),IF(AND($G5&lt;Hta_25,$G5&gt;=Hba_25,Input!AF$45&lt;&gt;""),Input!$B$45&amp;";",""),IF(AND($G5&lt;Hta_26,$G5&gt;=Hba_26,Input!AF$46&lt;&gt;""),Input!$B$46&amp;";",""),IF(AND($G5&lt;Hta_27,$G5&gt;=Hba_27,Input!AF$47&lt;&gt;""),Input!$B$47&amp;";",""),IF(AND($G5&lt;Hta_28,$G5&gt;=Hba_28,Input!AF$48&lt;&gt;""),Input!$B$48&amp;";",""),IF(AND($G5&lt;Hta_29,$G5&gt;=Hba_29,Input!AF$49&lt;&gt;""),Input!$B$49&amp;";",""),IF(AND($G5&lt;Hta_30,$G5&gt;=Hba_30,Input!AF$50&lt;&gt;""),Input!$B$50&amp;";","")),"")</f>
        <v/>
      </c>
      <c r="CH5" s="25" t="str">
        <f>IFERROR(CONCATENATE(IF(AND($G5&lt;Hta_1,$G5&gt;=Hba_1,Input!AG$21&lt;&gt;""),Input!$B$21&amp;";",""),IF(AND($G5&lt;Hta_2,$G5&gt;=Hba_2,Input!AG$22&lt;&gt;""),Input!$B$22&amp;";",""),IF(AND($G5&lt;Hta_3,$G5&gt;=Hba_3,Input!AG$23&lt;&gt;""),Input!$B$23&amp;";",""),IF(AND($G5&lt;Hta_4,$G5&gt;=Hba_4,Input!AG$24&lt;&gt;""),Input!$B$24&amp;";",""),IF(AND($G5&lt;Hta_5,$G5&gt;=Hba_5,Input!AG$25&lt;&gt;""),Input!$B$25&amp;";",""),IF(AND($G5&lt;Hta_6,$G5&gt;=Hba_6,Input!AG$26&lt;&gt;""),Input!$B$26&amp;";",""),IF(AND($G5&lt;Hta_7,$G5&gt;=Hba_7,Input!AG$27&lt;&gt;""),Input!$B$27&amp;";",""),IF(AND($G5&lt;Hta_8,$G5&gt;=Hba_8,Input!AG$28&lt;&gt;""),Input!$B$28&amp;";",""),IF(AND($G5&lt;Hta_9,$G5&gt;=Hba_9,Input!AG$29&lt;&gt;""),Input!$B$29&amp;";",""),IF(AND($G5&lt;Hta_10,$G5&gt;=Hba_10,Input!AG$30&lt;&gt;""),Input!$B$30&amp;";",""),IF(AND($G5&lt;Hta_11,$G5&gt;=Hba_11,Input!AG$31&lt;&gt;""),Input!$B$31&amp;";",""),IF(AND($G5&lt;Hta_12,$G5&gt;=Hba_12,Input!AG$32&lt;&gt;""),Input!$B$32&amp;";",""),IF(AND($G5&lt;Hta_13,$G5&gt;=Hba_13,Input!AG$33&lt;&gt;""),Input!$B$33&amp;";",""),IF(AND($G5&lt;Hta_14,$G5&gt;=Hba_14,Input!AG$34&lt;&gt;""),Input!$B$34&amp;";",""),IF(AND($G5&lt;Hta_15,$G5&gt;=Hba_15,Input!AG$35&lt;&gt;""),Input!$B$35&amp;";",""),IF(AND($G5&lt;Hta_16,$G5&gt;=Hba_16,Input!AG$36&lt;&gt;""),Input!$B$36&amp;";",""),IF(AND($G5&lt;Hta_17,$G5&gt;=Hba_17,Input!AG$37&lt;&gt;""),Input!$B$37&amp;";",""),IF(AND($G5&lt;Hta_18,$G5&gt;=Hba_18,Input!AG$38&lt;&gt;""),Input!$B$38&amp;";",""),IF(AND($G5&lt;Hta_19,$G5&gt;=Hba_19,Input!AG$39&lt;&gt;""),Input!$B$39&amp;";",""),IF(AND($G5&lt;Hta_20,$G5&gt;=Hba_20,Input!AG$40&lt;&gt;""),Input!$B$40&amp;";",""),IF(AND($G5&lt;Hta_21,$G5&gt;=Hba_21,Input!AG$41&lt;&gt;""),Input!$B$41&amp;";",""),IF(AND($G5&lt;Hta_22,$G5&gt;=Hba_22,Input!AG$42&lt;&gt;""),Input!$B$42&amp;";",""),IF(AND($G5&lt;Hta_23,$G5&gt;=Hba_23,Input!AG$43&lt;&gt;""),Input!$B$43&amp;";",""),IF(AND($G5&lt;Hta_24,$G5&gt;=Hba_24,Input!AG$44&lt;&gt;""),Input!$B$44&amp;";",""),IF(AND($G5&lt;Hta_25,$G5&gt;=Hba_25,Input!AG$45&lt;&gt;""),Input!$B$45&amp;";",""),IF(AND($G5&lt;Hta_26,$G5&gt;=Hba_26,Input!AG$46&lt;&gt;""),Input!$B$46&amp;";",""),IF(AND($G5&lt;Hta_27,$G5&gt;=Hba_27,Input!AG$47&lt;&gt;""),Input!$B$47&amp;";",""),IF(AND($G5&lt;Hta_28,$G5&gt;=Hba_28,Input!AG$48&lt;&gt;""),Input!$B$48&amp;";",""),IF(AND($G5&lt;Hta_29,$G5&gt;=Hba_29,Input!AG$49&lt;&gt;""),Input!$B$49&amp;";",""),IF(AND($G5&lt;Hta_30,$G5&gt;=Hba_30,Input!AG$50&lt;&gt;""),Input!$B$50&amp;";","")),"")</f>
        <v/>
      </c>
      <c r="CI5" s="25" t="str">
        <f>IFERROR(CONCATENATE(IF(AND($G5&lt;Hta_1,$G5&gt;=Hba_1,Input!AH$21&lt;&gt;""),Input!$B$21&amp;";",""),IF(AND($G5&lt;Hta_2,$G5&gt;=Hba_2,Input!AH$22&lt;&gt;""),Input!$B$22&amp;";",""),IF(AND($G5&lt;Hta_3,$G5&gt;=Hba_3,Input!AH$23&lt;&gt;""),Input!$B$23&amp;";",""),IF(AND($G5&lt;Hta_4,$G5&gt;=Hba_4,Input!AH$24&lt;&gt;""),Input!$B$24&amp;";",""),IF(AND($G5&lt;Hta_5,$G5&gt;=Hba_5,Input!AH$25&lt;&gt;""),Input!$B$25&amp;";",""),IF(AND($G5&lt;Hta_6,$G5&gt;=Hba_6,Input!AH$26&lt;&gt;""),Input!$B$26&amp;";",""),IF(AND($G5&lt;Hta_7,$G5&gt;=Hba_7,Input!AH$27&lt;&gt;""),Input!$B$27&amp;";",""),IF(AND($G5&lt;Hta_8,$G5&gt;=Hba_8,Input!AH$28&lt;&gt;""),Input!$B$28&amp;";",""),IF(AND($G5&lt;Hta_9,$G5&gt;=Hba_9,Input!AH$29&lt;&gt;""),Input!$B$29&amp;";",""),IF(AND($G5&lt;Hta_10,$G5&gt;=Hba_10,Input!AH$30&lt;&gt;""),Input!$B$30&amp;";",""),IF(AND($G5&lt;Hta_11,$G5&gt;=Hba_11,Input!AH$31&lt;&gt;""),Input!$B$31&amp;";",""),IF(AND($G5&lt;Hta_12,$G5&gt;=Hba_12,Input!AH$32&lt;&gt;""),Input!$B$32&amp;";",""),IF(AND($G5&lt;Hta_13,$G5&gt;=Hba_13,Input!AH$33&lt;&gt;""),Input!$B$33&amp;";",""),IF(AND($G5&lt;Hta_14,$G5&gt;=Hba_14,Input!AH$34&lt;&gt;""),Input!$B$34&amp;";",""),IF(AND($G5&lt;Hta_15,$G5&gt;=Hba_15,Input!AH$35&lt;&gt;""),Input!$B$35&amp;";",""),IF(AND($G5&lt;Hta_16,$G5&gt;=Hba_16,Input!AH$36&lt;&gt;""),Input!$B$36&amp;";",""),IF(AND($G5&lt;Hta_17,$G5&gt;=Hba_17,Input!AH$37&lt;&gt;""),Input!$B$37&amp;";",""),IF(AND($G5&lt;Hta_18,$G5&gt;=Hba_18,Input!AH$38&lt;&gt;""),Input!$B$38&amp;";",""),IF(AND($G5&lt;Hta_19,$G5&gt;=Hba_19,Input!AH$39&lt;&gt;""),Input!$B$39&amp;";",""),IF(AND($G5&lt;Hta_20,$G5&gt;=Hba_20,Input!AH$40&lt;&gt;""),Input!$B$40&amp;";",""),IF(AND($G5&lt;Hta_21,$G5&gt;=Hba_21,Input!AH$41&lt;&gt;""),Input!$B$41&amp;";",""),IF(AND($G5&lt;Hta_22,$G5&gt;=Hba_22,Input!AH$42&lt;&gt;""),Input!$B$42&amp;";",""),IF(AND($G5&lt;Hta_23,$G5&gt;=Hba_23,Input!AH$43&lt;&gt;""),Input!$B$43&amp;";",""),IF(AND($G5&lt;Hta_24,$G5&gt;=Hba_24,Input!AH$44&lt;&gt;""),Input!$B$44&amp;";",""),IF(AND($G5&lt;Hta_25,$G5&gt;=Hba_25,Input!AH$45&lt;&gt;""),Input!$B$45&amp;";",""),IF(AND($G5&lt;Hta_26,$G5&gt;=Hba_26,Input!AH$46&lt;&gt;""),Input!$B$46&amp;";",""),IF(AND($G5&lt;Hta_27,$G5&gt;=Hba_27,Input!AH$47&lt;&gt;""),Input!$B$47&amp;";",""),IF(AND($G5&lt;Hta_28,$G5&gt;=Hba_28,Input!AH$48&lt;&gt;""),Input!$B$48&amp;";",""),IF(AND($G5&lt;Hta_29,$G5&gt;=Hba_29,Input!AH$49&lt;&gt;""),Input!$B$49&amp;";",""),IF(AND($G5&lt;Hta_30,$G5&gt;=Hba_30,Input!AH$50&lt;&gt;""),Input!$B$50&amp;";","")),"")</f>
        <v/>
      </c>
      <c r="CJ5" s="25" t="str">
        <f>IFERROR(CONCATENATE(IF(AND($G5&lt;Hta_1,$G5&gt;=Hba_1,Input!AI$21&lt;&gt;""),Input!$B$21&amp;";",""),IF(AND($G5&lt;Hta_2,$G5&gt;=Hba_2,Input!AI$22&lt;&gt;""),Input!$B$22&amp;";",""),IF(AND($G5&lt;Hta_3,$G5&gt;=Hba_3,Input!AI$23&lt;&gt;""),Input!$B$23&amp;";",""),IF(AND($G5&lt;Hta_4,$G5&gt;=Hba_4,Input!AI$24&lt;&gt;""),Input!$B$24&amp;";",""),IF(AND($G5&lt;Hta_5,$G5&gt;=Hba_5,Input!AI$25&lt;&gt;""),Input!$B$25&amp;";",""),IF(AND($G5&lt;Hta_6,$G5&gt;=Hba_6,Input!AI$26&lt;&gt;""),Input!$B$26&amp;";",""),IF(AND($G5&lt;Hta_7,$G5&gt;=Hba_7,Input!AI$27&lt;&gt;""),Input!$B$27&amp;";",""),IF(AND($G5&lt;Hta_8,$G5&gt;=Hba_8,Input!AI$28&lt;&gt;""),Input!$B$28&amp;";",""),IF(AND($G5&lt;Hta_9,$G5&gt;=Hba_9,Input!AI$29&lt;&gt;""),Input!$B$29&amp;";",""),IF(AND($G5&lt;Hta_10,$G5&gt;=Hba_10,Input!AI$30&lt;&gt;""),Input!$B$30&amp;";",""),IF(AND($G5&lt;Hta_11,$G5&gt;=Hba_11,Input!AI$31&lt;&gt;""),Input!$B$31&amp;";",""),IF(AND($G5&lt;Hta_12,$G5&gt;=Hba_12,Input!AI$32&lt;&gt;""),Input!$B$32&amp;";",""),IF(AND($G5&lt;Hta_13,$G5&gt;=Hba_13,Input!AI$33&lt;&gt;""),Input!$B$33&amp;";",""),IF(AND($G5&lt;Hta_14,$G5&gt;=Hba_14,Input!AI$34&lt;&gt;""),Input!$B$34&amp;";",""),IF(AND($G5&lt;Hta_15,$G5&gt;=Hba_15,Input!AI$35&lt;&gt;""),Input!$B$35&amp;";",""),IF(AND($G5&lt;Hta_16,$G5&gt;=Hba_16,Input!AI$36&lt;&gt;""),Input!$B$36&amp;";",""),IF(AND($G5&lt;Hta_17,$G5&gt;=Hba_17,Input!AI$37&lt;&gt;""),Input!$B$37&amp;";",""),IF(AND($G5&lt;Hta_18,$G5&gt;=Hba_18,Input!AI$38&lt;&gt;""),Input!$B$38&amp;";",""),IF(AND($G5&lt;Hta_19,$G5&gt;=Hba_19,Input!AI$39&lt;&gt;""),Input!$B$39&amp;";",""),IF(AND($G5&lt;Hta_20,$G5&gt;=Hba_20,Input!AI$40&lt;&gt;""),Input!$B$40&amp;";",""),IF(AND($G5&lt;Hta_21,$G5&gt;=Hba_21,Input!AI$41&lt;&gt;""),Input!$B$41&amp;";",""),IF(AND($G5&lt;Hta_22,$G5&gt;=Hba_22,Input!AI$42&lt;&gt;""),Input!$B$42&amp;";",""),IF(AND($G5&lt;Hta_23,$G5&gt;=Hba_23,Input!AI$43&lt;&gt;""),Input!$B$43&amp;";",""),IF(AND($G5&lt;Hta_24,$G5&gt;=Hba_24,Input!AI$44&lt;&gt;""),Input!$B$44&amp;";",""),IF(AND($G5&lt;Hta_25,$G5&gt;=Hba_25,Input!AI$45&lt;&gt;""),Input!$B$45&amp;";",""),IF(AND($G5&lt;Hta_26,$G5&gt;=Hba_26,Input!AI$46&lt;&gt;""),Input!$B$46&amp;";",""),IF(AND($G5&lt;Hta_27,$G5&gt;=Hba_27,Input!AI$47&lt;&gt;""),Input!$B$47&amp;";",""),IF(AND($G5&lt;Hta_28,$G5&gt;=Hba_28,Input!AI$48&lt;&gt;""),Input!$B$48&amp;";",""),IF(AND($G5&lt;Hta_29,$G5&gt;=Hba_29,Input!AI$49&lt;&gt;""),Input!$B$49&amp;";",""),IF(AND($G5&lt;Hta_30,$G5&gt;=Hba_30,Input!AI$50&lt;&gt;""),Input!$B$50&amp;";","")),"")</f>
        <v/>
      </c>
      <c r="CK5" s="25" t="str">
        <f>IFERROR(CONCATENATE(IF(AND($G5&lt;Hta_1,$G5&gt;=Hba_1,Input!AJ$21&lt;&gt;""),Input!$B$21&amp;";",""),IF(AND($G5&lt;Hta_2,$G5&gt;=Hba_2,Input!AJ$22&lt;&gt;""),Input!$B$22&amp;";",""),IF(AND($G5&lt;Hta_3,$G5&gt;=Hba_3,Input!AJ$23&lt;&gt;""),Input!$B$23&amp;";",""),IF(AND($G5&lt;Hta_4,$G5&gt;=Hba_4,Input!AJ$24&lt;&gt;""),Input!$B$24&amp;";",""),IF(AND($G5&lt;Hta_5,$G5&gt;=Hba_5,Input!AJ$25&lt;&gt;""),Input!$B$25&amp;";",""),IF(AND($G5&lt;Hta_6,$G5&gt;=Hba_6,Input!AJ$26&lt;&gt;""),Input!$B$26&amp;";",""),IF(AND($G5&lt;Hta_7,$G5&gt;=Hba_7,Input!AJ$27&lt;&gt;""),Input!$B$27&amp;";",""),IF(AND($G5&lt;Hta_8,$G5&gt;=Hba_8,Input!AJ$28&lt;&gt;""),Input!$B$28&amp;";",""),IF(AND($G5&lt;Hta_9,$G5&gt;=Hba_9,Input!AJ$29&lt;&gt;""),Input!$B$29&amp;";",""),IF(AND($G5&lt;Hta_10,$G5&gt;=Hba_10,Input!AJ$30&lt;&gt;""),Input!$B$30&amp;";",""),IF(AND($G5&lt;Hta_11,$G5&gt;=Hba_11,Input!AJ$31&lt;&gt;""),Input!$B$31&amp;";",""),IF(AND($G5&lt;Hta_12,$G5&gt;=Hba_12,Input!AJ$32&lt;&gt;""),Input!$B$32&amp;";",""),IF(AND($G5&lt;Hta_13,$G5&gt;=Hba_13,Input!AJ$33&lt;&gt;""),Input!$B$33&amp;";",""),IF(AND($G5&lt;Hta_14,$G5&gt;=Hba_14,Input!AJ$34&lt;&gt;""),Input!$B$34&amp;";",""),IF(AND($G5&lt;Hta_15,$G5&gt;=Hba_15,Input!AJ$35&lt;&gt;""),Input!$B$35&amp;";",""),IF(AND($G5&lt;Hta_16,$G5&gt;=Hba_16,Input!AJ$36&lt;&gt;""),Input!$B$36&amp;";",""),IF(AND($G5&lt;Hta_17,$G5&gt;=Hba_17,Input!AJ$37&lt;&gt;""),Input!$B$37&amp;";",""),IF(AND($G5&lt;Hta_18,$G5&gt;=Hba_18,Input!AJ$38&lt;&gt;""),Input!$B$38&amp;";",""),IF(AND($G5&lt;Hta_19,$G5&gt;=Hba_19,Input!AJ$39&lt;&gt;""),Input!$B$39&amp;";",""),IF(AND($G5&lt;Hta_20,$G5&gt;=Hba_20,Input!AJ$40&lt;&gt;""),Input!$B$40&amp;";",""),IF(AND($G5&lt;Hta_21,$G5&gt;=Hba_21,Input!AJ$41&lt;&gt;""),Input!$B$41&amp;";",""),IF(AND($G5&lt;Hta_22,$G5&gt;=Hba_22,Input!AJ$42&lt;&gt;""),Input!$B$42&amp;";",""),IF(AND($G5&lt;Hta_23,$G5&gt;=Hba_23,Input!AJ$43&lt;&gt;""),Input!$B$43&amp;";",""),IF(AND($G5&lt;Hta_24,$G5&gt;=Hba_24,Input!AJ$44&lt;&gt;""),Input!$B$44&amp;";",""),IF(AND($G5&lt;Hta_25,$G5&gt;=Hba_25,Input!AJ$45&lt;&gt;""),Input!$B$45&amp;";",""),IF(AND($G5&lt;Hta_26,$G5&gt;=Hba_26,Input!AJ$46&lt;&gt;""),Input!$B$46&amp;";",""),IF(AND($G5&lt;Hta_27,$G5&gt;=Hba_27,Input!AJ$47&lt;&gt;""),Input!$B$47&amp;";",""),IF(AND($G5&lt;Hta_28,$G5&gt;=Hba_28,Input!AJ$48&lt;&gt;""),Input!$B$48&amp;";",""),IF(AND($G5&lt;Hta_29,$G5&gt;=Hba_29,Input!AJ$49&lt;&gt;""),Input!$B$49&amp;";",""),IF(AND($G5&lt;Hta_30,$G5&gt;=Hba_30,Input!AJ$50&lt;&gt;""),Input!$B$50&amp;";","")),"")</f>
        <v/>
      </c>
      <c r="CL5" s="25" t="str">
        <f>IFERROR(CONCATENATE(IF(AND($G5&lt;Hta_1,$G5&gt;=Hba_1,Input!AK$21&lt;&gt;""),Input!$B$21&amp;";",""),IF(AND($G5&lt;Hta_2,$G5&gt;=Hba_2,Input!AK$22&lt;&gt;""),Input!$B$22&amp;";",""),IF(AND($G5&lt;Hta_3,$G5&gt;=Hba_3,Input!AK$23&lt;&gt;""),Input!$B$23&amp;";",""),IF(AND($G5&lt;Hta_4,$G5&gt;=Hba_4,Input!AK$24&lt;&gt;""),Input!$B$24&amp;";",""),IF(AND($G5&lt;Hta_5,$G5&gt;=Hba_5,Input!AK$25&lt;&gt;""),Input!$B$25&amp;";",""),IF(AND($G5&lt;Hta_6,$G5&gt;=Hba_6,Input!AK$26&lt;&gt;""),Input!$B$26&amp;";",""),IF(AND($G5&lt;Hta_7,$G5&gt;=Hba_7,Input!AK$27&lt;&gt;""),Input!$B$27&amp;";",""),IF(AND($G5&lt;Hta_8,$G5&gt;=Hba_8,Input!AK$28&lt;&gt;""),Input!$B$28&amp;";",""),IF(AND($G5&lt;Hta_9,$G5&gt;=Hba_9,Input!AK$29&lt;&gt;""),Input!$B$29&amp;";",""),IF(AND($G5&lt;Hta_10,$G5&gt;=Hba_10,Input!AK$30&lt;&gt;""),Input!$B$30&amp;";",""),IF(AND($G5&lt;Hta_11,$G5&gt;=Hba_11,Input!AK$31&lt;&gt;""),Input!$B$31&amp;";",""),IF(AND($G5&lt;Hta_12,$G5&gt;=Hba_12,Input!AK$32&lt;&gt;""),Input!$B$32&amp;";",""),IF(AND($G5&lt;Hta_13,$G5&gt;=Hba_13,Input!AK$33&lt;&gt;""),Input!$B$33&amp;";",""),IF(AND($G5&lt;Hta_14,$G5&gt;=Hba_14,Input!AK$34&lt;&gt;""),Input!$B$34&amp;";",""),IF(AND($G5&lt;Hta_15,$G5&gt;=Hba_15,Input!AK$35&lt;&gt;""),Input!$B$35&amp;";",""),IF(AND($G5&lt;Hta_16,$G5&gt;=Hba_16,Input!AK$36&lt;&gt;""),Input!$B$36&amp;";",""),IF(AND($G5&lt;Hta_17,$G5&gt;=Hba_17,Input!AK$37&lt;&gt;""),Input!$B$37&amp;";",""),IF(AND($G5&lt;Hta_18,$G5&gt;=Hba_18,Input!AK$38&lt;&gt;""),Input!$B$38&amp;";",""),IF(AND($G5&lt;Hta_19,$G5&gt;=Hba_19,Input!AK$39&lt;&gt;""),Input!$B$39&amp;";",""),IF(AND($G5&lt;Hta_20,$G5&gt;=Hba_20,Input!AK$40&lt;&gt;""),Input!$B$40&amp;";",""),IF(AND($G5&lt;Hta_21,$G5&gt;=Hba_21,Input!AK$41&lt;&gt;""),Input!$B$41&amp;";",""),IF(AND($G5&lt;Hta_22,$G5&gt;=Hba_22,Input!AK$42&lt;&gt;""),Input!$B$42&amp;";",""),IF(AND($G5&lt;Hta_23,$G5&gt;=Hba_23,Input!AK$43&lt;&gt;""),Input!$B$43&amp;";",""),IF(AND($G5&lt;Hta_24,$G5&gt;=Hba_24,Input!AK$44&lt;&gt;""),Input!$B$44&amp;";",""),IF(AND($G5&lt;Hta_25,$G5&gt;=Hba_25,Input!AK$45&lt;&gt;""),Input!$B$45&amp;";",""),IF(AND($G5&lt;Hta_26,$G5&gt;=Hba_26,Input!AK$46&lt;&gt;""),Input!$B$46&amp;";",""),IF(AND($G5&lt;Hta_27,$G5&gt;=Hba_27,Input!AK$47&lt;&gt;""),Input!$B$47&amp;";",""),IF(AND($G5&lt;Hta_28,$G5&gt;=Hba_28,Input!AK$48&lt;&gt;""),Input!$B$48&amp;";",""),IF(AND($G5&lt;Hta_29,$G5&gt;=Hba_29,Input!AK$49&lt;&gt;""),Input!$B$49&amp;";",""),IF(AND($G5&lt;Hta_30,$G5&gt;=Hba_30,Input!AK$50&lt;&gt;""),Input!$B$50&amp;";","")),"")</f>
        <v/>
      </c>
      <c r="CM5" s="25" t="str">
        <f>IFERROR(CONCATENATE(IF(AND($G5&lt;Hta_1,$G5&gt;=Hba_1,Input!AL$21&lt;&gt;""),Input!$B$21&amp;";",""),IF(AND($G5&lt;Hta_2,$G5&gt;=Hba_2,Input!AL$22&lt;&gt;""),Input!$B$22&amp;";",""),IF(AND($G5&lt;Hta_3,$G5&gt;=Hba_3,Input!AL$23&lt;&gt;""),Input!$B$23&amp;";",""),IF(AND($G5&lt;Hta_4,$G5&gt;=Hba_4,Input!AL$24&lt;&gt;""),Input!$B$24&amp;";",""),IF(AND($G5&lt;Hta_5,$G5&gt;=Hba_5,Input!AL$25&lt;&gt;""),Input!$B$25&amp;";",""),IF(AND($G5&lt;Hta_6,$G5&gt;=Hba_6,Input!AL$26&lt;&gt;""),Input!$B$26&amp;";",""),IF(AND($G5&lt;Hta_7,$G5&gt;=Hba_7,Input!AL$27&lt;&gt;""),Input!$B$27&amp;";",""),IF(AND($G5&lt;Hta_8,$G5&gt;=Hba_8,Input!AL$28&lt;&gt;""),Input!$B$28&amp;";",""),IF(AND($G5&lt;Hta_9,$G5&gt;=Hba_9,Input!AL$29&lt;&gt;""),Input!$B$29&amp;";",""),IF(AND($G5&lt;Hta_10,$G5&gt;=Hba_10,Input!AL$30&lt;&gt;""),Input!$B$30&amp;";",""),IF(AND($G5&lt;Hta_11,$G5&gt;=Hba_11,Input!AL$31&lt;&gt;""),Input!$B$31&amp;";",""),IF(AND($G5&lt;Hta_12,$G5&gt;=Hba_12,Input!AL$32&lt;&gt;""),Input!$B$32&amp;";",""),IF(AND($G5&lt;Hta_13,$G5&gt;=Hba_13,Input!AL$33&lt;&gt;""),Input!$B$33&amp;";",""),IF(AND($G5&lt;Hta_14,$G5&gt;=Hba_14,Input!AL$34&lt;&gt;""),Input!$B$34&amp;";",""),IF(AND($G5&lt;Hta_15,$G5&gt;=Hba_15,Input!AL$35&lt;&gt;""),Input!$B$35&amp;";",""),IF(AND($G5&lt;Hta_16,$G5&gt;=Hba_16,Input!AL$36&lt;&gt;""),Input!$B$36&amp;";",""),IF(AND($G5&lt;Hta_17,$G5&gt;=Hba_17,Input!AL$37&lt;&gt;""),Input!$B$37&amp;";",""),IF(AND($G5&lt;Hta_18,$G5&gt;=Hba_18,Input!AL$38&lt;&gt;""),Input!$B$38&amp;";",""),IF(AND($G5&lt;Hta_19,$G5&gt;=Hba_19,Input!AL$39&lt;&gt;""),Input!$B$39&amp;";",""),IF(AND($G5&lt;Hta_20,$G5&gt;=Hba_20,Input!AL$40&lt;&gt;""),Input!$B$40&amp;";",""),IF(AND($G5&lt;Hta_21,$G5&gt;=Hba_21,Input!AL$41&lt;&gt;""),Input!$B$41&amp;";",""),IF(AND($G5&lt;Hta_22,$G5&gt;=Hba_22,Input!AL$42&lt;&gt;""),Input!$B$42&amp;";",""),IF(AND($G5&lt;Hta_23,$G5&gt;=Hba_23,Input!AL$43&lt;&gt;""),Input!$B$43&amp;";",""),IF(AND($G5&lt;Hta_24,$G5&gt;=Hba_24,Input!AL$44&lt;&gt;""),Input!$B$44&amp;";",""),IF(AND($G5&lt;Hta_25,$G5&gt;=Hba_25,Input!AL$45&lt;&gt;""),Input!$B$45&amp;";",""),IF(AND($G5&lt;Hta_26,$G5&gt;=Hba_26,Input!AL$46&lt;&gt;""),Input!$B$46&amp;";",""),IF(AND($G5&lt;Hta_27,$G5&gt;=Hba_27,Input!AL$47&lt;&gt;""),Input!$B$47&amp;";",""),IF(AND($G5&lt;Hta_28,$G5&gt;=Hba_28,Input!AL$48&lt;&gt;""),Input!$B$48&amp;";",""),IF(AND($G5&lt;Hta_29,$G5&gt;=Hba_29,Input!AL$49&lt;&gt;""),Input!$B$49&amp;";",""),IF(AND($G5&lt;Hta_30,$G5&gt;=Hba_30,Input!AL$50&lt;&gt;""),Input!$B$50&amp;";","")),"")</f>
        <v/>
      </c>
      <c r="CN5" s="60" t="str">
        <f>AZ5</f>
        <v/>
      </c>
      <c r="CO5" s="798"/>
      <c r="CP5" s="799"/>
      <c r="CQ5" s="800"/>
      <c r="CR5" s="798"/>
      <c r="CS5" s="799"/>
      <c r="CT5" s="800"/>
      <c r="CU5" s="801" t="str">
        <f>IF(CO5="","",IF(CR5="n/a",CO5,CO5+CR5))</f>
        <v/>
      </c>
      <c r="CV5" s="802"/>
      <c r="CW5" s="802"/>
      <c r="CX5" s="803"/>
      <c r="CY5" s="803"/>
      <c r="CZ5" s="804"/>
      <c r="DA5" s="726"/>
      <c r="DB5" s="727"/>
      <c r="DC5" s="732"/>
      <c r="DD5" s="726" t="str">
        <f>IF(CX5="","",IF(DA5="n/a",CX5,CX5+DA5))</f>
        <v/>
      </c>
      <c r="DE5" s="727"/>
      <c r="DF5" s="728"/>
      <c r="DG5" s="53"/>
      <c r="DH5" s="54"/>
      <c r="DI5" s="54"/>
      <c r="DJ5" s="54"/>
      <c r="DK5" s="54"/>
      <c r="DL5" s="54"/>
      <c r="DM5" s="54"/>
      <c r="DN5" s="54"/>
      <c r="DO5" s="54"/>
      <c r="DP5" s="54"/>
      <c r="DQ5" s="57"/>
      <c r="DR5" s="57"/>
      <c r="DS5" s="57"/>
      <c r="DT5" s="57"/>
      <c r="DU5" s="57"/>
      <c r="DV5" s="57"/>
      <c r="DW5" s="57"/>
      <c r="DX5" s="57"/>
      <c r="DY5" s="57"/>
      <c r="DZ5" s="57"/>
      <c r="EA5" s="57"/>
      <c r="EB5" s="57"/>
      <c r="EC5" s="57"/>
      <c r="ED5" s="57"/>
      <c r="EE5" s="57"/>
      <c r="EF5" s="57"/>
      <c r="EG5" s="57"/>
      <c r="EH5" s="57"/>
      <c r="EI5" s="57"/>
      <c r="EJ5" s="57"/>
      <c r="EK5" s="57"/>
      <c r="EL5" s="133"/>
      <c r="EM5" s="133"/>
      <c r="EN5" s="133"/>
      <c r="EO5" s="133"/>
      <c r="EP5" s="133"/>
      <c r="EQ5" s="133"/>
      <c r="ER5" s="133"/>
      <c r="ES5" s="133"/>
      <c r="ET5" s="133"/>
      <c r="EU5" s="133"/>
      <c r="EV5" s="133"/>
      <c r="EW5" s="133"/>
      <c r="EX5" s="133"/>
      <c r="EY5" s="133"/>
      <c r="EZ5" s="133"/>
      <c r="FA5" s="133"/>
      <c r="FB5" s="133"/>
      <c r="FC5" s="133"/>
      <c r="FD5" s="133"/>
      <c r="FE5" s="133"/>
      <c r="FF5" s="133"/>
      <c r="FG5" s="133"/>
      <c r="FH5" s="133"/>
      <c r="FI5" s="133"/>
      <c r="FJ5" s="133"/>
      <c r="FK5" s="133"/>
      <c r="FL5" s="133"/>
      <c r="FM5" s="133"/>
      <c r="FN5" s="133"/>
      <c r="FO5" s="133"/>
      <c r="FP5" s="65"/>
      <c r="FQ5" s="125"/>
      <c r="FR5" s="123"/>
      <c r="FS5" s="121"/>
      <c r="FT5" s="119"/>
    </row>
    <row r="6" spans="2:177" ht="15.75" hidden="1" thickBot="1" x14ac:dyDescent="0.3">
      <c r="B6" s="62" t="b">
        <f>IF(OR(AND(G6&gt;='Geometry 2'!$AK$5,G6&lt;'Geometry 2'!$AL$5),AND(G6&gt;='Geometry 2'!$AK$6,G6&lt;'Geometry 2'!$AL$6),AND(G6&gt;='Geometry 2'!$AK$7,G6&lt;'Geometry 2'!$AL$7),AND(G6&gt;='Geometry 2'!$AK$8,G6&lt;'Geometry 2'!$AL$8),AND(G6&gt;='Geometry 2'!$AK$9,G6&lt;'Geometry 2'!$AL$9),AND(G6&gt;='Geometry 2'!$AK$10,G6&lt;'Geometry 2'!$AL$10),AND(G6&gt;='Geometry 2'!$AK$11,G6&lt;'Geometry 2'!$AL$11),AND(G6&gt;='Geometry 2'!$AK$12,G6&lt;'Geometry 2'!$AL$12),AND(G6&gt;='Geometry 2'!$AK$13,G6&lt;'Geometry 2'!$AL$13),AND(G6&gt;='Geometry 2'!$AK$14,G6&lt;'Geometry 2'!$AL$14)),TRUE,FALSE)</f>
        <v>0</v>
      </c>
      <c r="C6" s="4" t="str">
        <f>IF(OR(G5=0,C5=""),"",C5+1)</f>
        <v/>
      </c>
      <c r="D6" s="766" t="str">
        <f>IF(OR(G5=0,G5=""),"",G5)</f>
        <v/>
      </c>
      <c r="E6" s="767"/>
      <c r="F6" s="17" t="str">
        <f t="shared" ref="F6:F69" si="2">IF(D6="","","-")</f>
        <v/>
      </c>
      <c r="G6" s="768" t="str">
        <f>IF(D6="","",MAX(0,G5-IF(inc="n/a",999,inc),MAX(IF(G5&lt;=Hta_1,0,Hta_1),IF(G5&lt;=Hta_2,0,Hta_2),IF(G5&lt;=Hta_3,0,Hta_3),IF(G5&lt;=Hta_4,0,Hta_4),IF(G5&lt;=Hta_5,0,Hta_5),IF(G5&lt;=Hta_6,0,Hta_6),IF(G5&lt;=Hta_7,0,Hta_7),IF(G5&lt;=Hta_8,0,Hta_8),IF(G5&lt;=Hta_9,0,Hta_9),IF(G5&lt;=Hta_10,0,Hta_10),IF(G5&lt;=Hta_11,0,Hta_11),IF(G5&lt;=Hta_12,0,Hta_12),IF(G5&lt;=Hta_13,0,Hta_13),IF(G5&lt;=Hta_14,0,Hta_14),IF(G5&lt;=Hta_15,0,Hta_15),IF(G5&lt;=Hta_16,0,Hta_16),IF(G5&lt;=Hta_17,0,Hta_17),IF(G5&lt;=Hta_18,0,Hta_18),IF(G5&lt;=Hta_19,0,Hta_19),IF(G5&lt;=Hta_20,0,Hta_20),IF(G5&lt;=Hta_21,0,Hta_21),IF(G5&lt;=Hta_22,0,Hta_22),IF(G5&lt;=Hta_23,0,Hta_23),IF(G5&lt;=Hta_24,0,Hta_24),IF(G5&lt;=Hta_25,0,Hta_25),IF(G5&lt;=Hta_26,0,Hta_26),IF(G5&lt;=Hta_27,0,Hta_27),IF(G5&lt;=Hta_28,0,Hta_28),IF(G5&lt;=Hta_29,0,Hta_29),IF(G5&lt;=Hta_30,0,Hta_30)),MAX(IF(G5&lt;=Hta_1-0.25,0,Hta_1-0.25),IF(G5&lt;=Hta_2-0.25,0,Hta_2-0.25),IF(G5&lt;=Hta_3-0.25,0,Hta_3-0.25),IF(G5&lt;=Hta_4-0.25,0,Hta_4-0.25),IF(G5&lt;=Hta_5-0.25,0,Hta_5-0.25),IF(G5&lt;=Hta_6-0.25,0,Hta_6-0.25),IF(G5&lt;=Hta_7-0.25,0,Hta_7-0.25),IF(G5&lt;=Hta_8-0.25,0,Hta_8-0.25),IF(G5&lt;=Hta_9-0.25,0,Hta_9-0.25),IF(G5&lt;=Hta_10-0.25,0,Hta_10-0.25),IF(G5&lt;=Hta_11-0.25,0,Hta_11-0.25),IF(G5&lt;=Hta_12-0.25,0,Hta_12-0.25),IF(G5&lt;=Hta_13-0.25,0,Hta_13-0.25),IF(G5&lt;=Hta_14-0.25,0,Hta_14-0.25),IF(G5&lt;=Hta_15-0.25,0,Hta_15-0.25),IF(G5&lt;=Hta_16-0.25,0,Hta_16-0.25),IF(G5&lt;=Hta_17-0.25,0,Hta_17-0.25),IF(G5&lt;=Hta_18-0.25,0,Hta_18-0.25),IF(G5&lt;=Hta_19-0.25,0,Hta_19-0.25),IF(G5&lt;=Hta_20-0.25,0,Hta_20-0.25),IF(G5&lt;=Hta_21-0.25,0,Hta_21-0.25),IF(G5&lt;=Hta_22-0.25,0,Hta_22-0.25),IF(G5&lt;=Hta_23-0.25,0,Hta_23-0.25),IF(G5&lt;=Hta_24-0.25,0,Hta_24-0.25),IF(G5&lt;=Hta_25-0.25,0,Hta_25-0.25),IF(G5&lt;=Hta_26-0.25,0,Hta_26-0.25),IF(G5&lt;=Hta_27-0.25,0,Hta_27-0.25),IF(G5&lt;=Hta_28-0.25,0,Hta_28-0.25),IF(G5&lt;=Hta_29-0.25,0,Hta_29-0.25),IF(G5&lt;=Hta_30-0.25,0,Hta_30-0.25)),MAX(IF(G5&lt;=Hba_1,0,Hba_1),IF(G5&lt;=Hba_2,0,Hba_2),IF(G5&lt;=Hba_3,0,Hba_3),IF(G5&lt;=Hba_4,0,Hba_4),IF(G5&lt;=Hba_5,0,Hba_5),IF(G5&lt;=Hba_6,0,Hba_6),IF(G5&lt;=Hba_7,0,Hba_7),IF(G5&lt;=Hba_8,0,Hba_8),IF(G5&lt;=Hba_9,0,Hba_9),IF(G5&lt;=Hba_10,0,Hba_10),IF(G5&lt;=Hba_11,0,Hba_11),IF(G5&lt;=Hba_12,0,Hba_12),IF(G5&lt;=Hba_13,0,Hba_13),IF(G5&lt;=Hba_14,0,Hba_14),IF(G5&lt;=Hba_15,0,Hba_15),IF(G5&lt;=Hba_16,0,Hba_16),IF(G5&lt;=Hba_17,0,Hba_17),IF(G5&lt;=Hba_18,0,Hba_18),IF(G5&lt;=Hba_19,0,Hba_19),IF(G5&lt;=Hba_20,0,Hba_20),IF(G5&lt;=Hba_21,0,Hba_21),IF(G5&lt;=Hba_22,0,Hba_22),IF(G5&lt;=Hba_23,0,Hba_23),IF(G5&lt;=Hba_24,0,Hba_24),IF(G5&lt;=Hba_25,0,Hba_25),IF(G5&lt;=Hba_26,0,Hba_26),IF(G5&lt;=Hba_27,0,Hba_27),IF(G5&lt;=Hba_28,0,Hba_28),IF(G5&lt;=Hba_29,0,Hba_29),IF(G5&lt;=Hba_30,0,Hba_30)),MAX(IF(G5&lt;=Input!$C$8,0,Input!$C$8),IF(G5&lt;=Input!$C$9,0,Input!$C$9),IF(G5&lt;=Input!$C$10,0,Input!$C$10),IF(G5&lt;=Input!$C$11,0,Input!$C$11),IF(G5&lt;=Input!$C$12,0,Input!$C$12),IF(G5&lt;=Input!$C$13,0,Input!$C$13),IF(G5&lt;=Input!$C$14,0,Input!$C$14),IF(G5&lt;=Input!$C$15,0,Input!$C$15),IF(G5&lt;=Input!$C$16,0,Input!$C$16)),MAX(IF(G5&lt;=Hba_1-0.25,0,Hba_1-0.25),IF(G5&lt;=Hba_2-0.25,0,Hba_2-0.25),IF(G5&lt;=Hba_3-0.25,0,Hba_3-0.25),IF(G5&lt;=Hba_4-0.25,0,Hba_4-0.25),IF(G5&lt;=Hba_5-0.25,0,Hba_5-0.25),IF(G5&lt;=Hba_6-0.25,0,Hba_6-0.25),IF(G5&lt;=Hba_7-0.25,0,Hba_7-0.25),IF(G5&lt;=Hba_8-0.25,0,Hba_8-0.25),IF(G5&lt;=Hba_9-0.25,0,Hba_9-0.25),IF(G5&lt;=Hba_10-0.25,0,Hba_10-0.25),IF(G5&lt;=Hba_11-0.25,0,Hba_11-0.25),IF(G5&lt;=Hba_12-0.25,0,Hba_12-0.25),IF(G5&lt;=Hba_13-0.25,0,Hba_13-0.25),IF(G5&lt;=Hba_14-0.25,0,Hba_14-0.25),IF(G5&lt;=Hba_15-0.25,0,Hba_15-0.25),IF(G5&lt;=Hba_16-0.25,0,Hba_16-0.25),IF(G5&lt;=Hba_17-0.25,0,Hba_17-0.25),IF(G5&lt;=Hba_18-0.25,0,Hba_18-0.25),IF(G5&lt;=Hba_19-0.25,0,Hba_19-0.25),IF(G5&lt;=Hba_20-0.25,0,Hba_20-0.25),IF(G5&lt;=Hba_21-0.25,0,Hba_21-0.25),IF(G5&lt;=Hba_22-0.25,0,Hba_22-0.25),IF(G5&lt;=Hba_23-0.25,0,Hba_23-0.25),IF(G5&lt;=Hba_24-0.25,0,Hba_24-0.25),IF(G5&lt;=Hba_25-0.25,0,Hba_25-0.25),IF(G5&lt;=Hba_26-0.25,0,Hba_26-0.25),IF(G5&lt;=Hba_27-0.25,0,Hba_27-0.25),IF(G5&lt;=Hba_28-0.25,0,Hba_28-0.25),IF(G5&lt;=Hba_29-0.25,0,Hba_29-0.25),IF(G5&lt;=Hba_30-0.25,0,Hba_30-0.25)),IF(G5&lt;='Macro References'!$A$38,0,'Macro References'!$A$38)))</f>
        <v/>
      </c>
      <c r="H6" s="769"/>
      <c r="I6" s="228"/>
      <c r="J6" s="228"/>
      <c r="K6" s="228"/>
      <c r="L6" s="717" t="str">
        <f t="shared" si="0"/>
        <v/>
      </c>
      <c r="M6" s="717"/>
      <c r="N6" s="717"/>
      <c r="O6" s="717"/>
      <c r="P6" s="717" t="str">
        <f>IF(OR(G6=0,G6=""),"",IF(VLOOKUP(G6,'Geometry 2'!$C$4:$AI$14,1,TRUE)=VLOOKUP(G7,'Geometry 2'!$C$4:$AI$14,1,TRUE),"",IF(VLOOKUP(G6,'Geometry 2'!$C$4:$AI$14,33,TRUE)&lt;&gt;"n/a",MIN(G6,VLOOKUP(G6,'Geometry 2'!$C$4:$AI$14,1,TRUE))-VLOOKUP(G6,'Geometry 2'!$C$4:$AI$14,33,TRUE),"check")))</f>
        <v/>
      </c>
      <c r="Q6" s="717"/>
      <c r="R6" s="717"/>
      <c r="S6" s="717"/>
      <c r="T6" s="717" t="str">
        <f>IF($G6="","",VLOOKUP($G6,'Geometry 2'!$E$4:$AH$14,11,TRUE))</f>
        <v/>
      </c>
      <c r="U6" s="717"/>
      <c r="V6" s="717"/>
      <c r="W6" s="717"/>
      <c r="X6" s="716" t="str">
        <f>IF($G6="","",VLOOKUP($G6,'Geometry 2'!$E$4:$AJ$14,19,TRUE)-12*VLOOKUP($G6,'Geometry 2'!$E$4:$AJ$14,32,TRUE)*($D6-VLOOKUP($G6,'Geometry 2'!$E$5:$AH$14,1,TRUE)))</f>
        <v/>
      </c>
      <c r="Y6" s="716"/>
      <c r="Z6" s="716"/>
      <c r="AA6" s="716"/>
      <c r="AB6" s="757" t="str">
        <f>IF($G6="","",VLOOKUP($G6,'Geometry 2'!$E$4:$AJ$14,19,TRUE)-12*VLOOKUP($G6,'Geometry 2'!$E$4:$AJ$14,32,TRUE)*($G6-VLOOKUP($G6,'Geometry 2'!$E$5:$AH$14,1,TRUE)))</f>
        <v/>
      </c>
      <c r="AC6" s="758"/>
      <c r="AD6" s="758"/>
      <c r="AE6" s="759"/>
      <c r="AF6" s="716" t="str">
        <f>IF($G6="","",VLOOKUP($G6,'Geometry 2'!$E$4:$AJ$14,19,TRUE)-12*VLOOKUP($G6,'Geometry 2'!$E$4:$AJ$14,32,TRUE)*($G6-IF($P6="",0,$P6)-VLOOKUP($G6,'Geometry 2'!$E$5:$AH$14,1,TRUE)))</f>
        <v/>
      </c>
      <c r="AG6" s="716"/>
      <c r="AH6" s="716"/>
      <c r="AI6" s="716"/>
      <c r="AJ6" s="746" t="str">
        <f>IF($G6="","",VLOOKUP($G6,'Geometry 2'!$E$4:$AH$14,23,TRUE))</f>
        <v/>
      </c>
      <c r="AK6" s="747"/>
      <c r="AL6" s="747"/>
      <c r="AM6" s="748"/>
      <c r="AN6" s="717"/>
      <c r="AO6" s="717"/>
      <c r="AP6" s="717"/>
      <c r="AQ6" s="717"/>
      <c r="AR6" s="717" t="str">
        <f>IF($G6="","",VLOOKUP($G6,'Geometry 2'!$E$4:$AH$14,27,TRUE))</f>
        <v/>
      </c>
      <c r="AS6" s="717"/>
      <c r="AT6" s="717"/>
      <c r="AU6" s="718"/>
      <c r="AV6" s="715"/>
      <c r="AW6" s="716"/>
      <c r="AX6" s="716"/>
      <c r="AZ6" s="722" t="str">
        <f>IF(G6="","",CONCATENATE(ROUND(D6,2)," ",F6," ",ROUND(G6,2)))</f>
        <v/>
      </c>
      <c r="BA6" s="723"/>
      <c r="BB6" s="723"/>
      <c r="BC6" s="724"/>
      <c r="BD6" s="722"/>
      <c r="BE6" s="723"/>
      <c r="BF6" s="723"/>
      <c r="BG6" s="722" t="str">
        <f t="shared" si="1"/>
        <v/>
      </c>
      <c r="BH6" s="723"/>
      <c r="BI6" s="723"/>
      <c r="BJ6" s="723"/>
      <c r="BK6" s="724"/>
      <c r="BL6" s="722"/>
      <c r="BM6" s="723"/>
      <c r="BN6" s="723"/>
      <c r="BO6" s="723"/>
      <c r="BP6" s="725"/>
      <c r="BQ6" s="725"/>
      <c r="BR6" s="722" t="str">
        <f>IF(BP6="","",IF(OR(AND(Rev="H",Calculations!$F$27=TRUE),AND(Rev&lt;&gt;"H",Calculations!$F$30=TRUE)),IF(BP6&lt;=1,"Pass","Fail"),IF(BP6&lt;=1.05,"Pass","Fail")))</f>
        <v/>
      </c>
      <c r="BS6" s="723"/>
      <c r="BT6" s="724"/>
      <c r="BU6" s="49"/>
      <c r="BV6" s="25" t="str">
        <f>IFERROR(CONCATENATE(IF(AND($G6&lt;Hta_1,$G6&gt;=Hba_1,Input!U$21&lt;&gt;""),Input!$B$21&amp;";",""),IF(AND($G6&lt;Hta_2,$G6&gt;=Hba_2,Input!U$22&lt;&gt;""),Input!$B$22&amp;";",""),IF(AND($G6&lt;Hta_3,$G6&gt;=Hba_3,Input!U$23&lt;&gt;""),Input!$B$23&amp;";",""),IF(AND($G6&lt;Hta_4,$G6&gt;=Hba_4,Input!U$24&lt;&gt;""),Input!$B$24&amp;";",""),IF(AND($G6&lt;Hta_5,$G6&gt;=Hba_5,Input!U$25&lt;&gt;""),Input!$B$25&amp;";",""),IF(AND($G6&lt;Hta_6,$G6&gt;=Hba_6,Input!U$26&lt;&gt;""),Input!$B$26&amp;";",""),IF(AND($G6&lt;Hta_7,$G6&gt;=Hba_7,Input!U$27&lt;&gt;""),Input!$B$27&amp;";",""),IF(AND($G6&lt;Hta_8,$G6&gt;=Hba_8,Input!U$28&lt;&gt;""),Input!$B$28&amp;";",""),IF(AND($G6&lt;Hta_9,$G6&gt;=Hba_9,Input!U$29&lt;&gt;""),Input!$B$29&amp;";",""),IF(AND($G6&lt;Hta_10,$G6&gt;=Hba_10,Input!U$30&lt;&gt;""),Input!$B$30&amp;";",""),IF(AND($G6&lt;Hta_11,$G6&gt;=Hba_11,Input!U$31&lt;&gt;""),Input!$B$31&amp;";",""),IF(AND($G6&lt;Hta_12,$G6&gt;=Hba_12,Input!U$32&lt;&gt;""),Input!$B$32&amp;";",""),IF(AND($G6&lt;Hta_13,$G6&gt;=Hba_13,Input!U$33&lt;&gt;""),Input!$B$33&amp;";",""),IF(AND($G6&lt;Hta_14,$G6&gt;=Hba_14,Input!U$34&lt;&gt;""),Input!$B$34&amp;";",""),IF(AND($G6&lt;Hta_15,$G6&gt;=Hba_15,Input!U$35&lt;&gt;""),Input!$B$35&amp;";",""),IF(AND($G6&lt;Hta_16,$G6&gt;=Hba_16,Input!U$36&lt;&gt;""),Input!$B$36&amp;";",""),IF(AND($G6&lt;Hta_17,$G6&gt;=Hba_17,Input!U$37&lt;&gt;""),Input!$B$37&amp;";",""),IF(AND($G6&lt;Hta_18,$G6&gt;=Hba_18,Input!U$38&lt;&gt;""),Input!$B$38&amp;";",""),IF(AND($G6&lt;Hta_19,$G6&gt;=Hba_19,Input!U$39&lt;&gt;""),Input!$B$39&amp;";",""),IF(AND($G6&lt;Hta_20,$G6&gt;=Hba_20,Input!U$40&lt;&gt;""),Input!$B$40&amp;";",""),IF(AND($G6&lt;Hta_21,$G6&gt;=Hba_21,Input!U$41&lt;&gt;""),Input!$B$41&amp;";",""),IF(AND($G6&lt;Hta_22,$G6&gt;=Hba_22,Input!U$42&lt;&gt;""),Input!$B$42&amp;";",""),IF(AND($G6&lt;Hta_23,$G6&gt;=Hba_23,Input!U$43&lt;&gt;""),Input!$B$43&amp;";",""),IF(AND($G6&lt;Hta_24,$G6&gt;=Hba_24,Input!U$44&lt;&gt;""),Input!$B$44&amp;";",""),IF(AND($G6&lt;Hta_25,$G6&gt;=Hba_25,Input!U$45&lt;&gt;""),Input!$B$45&amp;";",""),IF(AND($G6&lt;Hta_26,$G6&gt;=Hba_26,Input!U$46&lt;&gt;""),Input!$B$46&amp;";",""),IF(AND($G6&lt;Hta_27,$G6&gt;=Hba_27,Input!U$47&lt;&gt;""),Input!$B$47&amp;";",""),IF(AND($G6&lt;Hta_28,$G6&gt;=Hba_28,Input!U$48&lt;&gt;""),Input!$B$48&amp;";",""),IF(AND($G6&lt;Hta_29,$G6&gt;=Hba_29,Input!U$49&lt;&gt;""),Input!$B$49&amp;";",""),IF(AND($G6&lt;Hta_30,$G6&gt;=Hba_30,Input!U$50&lt;&gt;""),Input!$B$50&amp;";","")),"")</f>
        <v/>
      </c>
      <c r="BW6" s="25" t="str">
        <f>IFERROR(CONCATENATE(IF(AND($G6&lt;Hta_1,$G6&gt;=Hba_1,Input!V$21&lt;&gt;""),Input!$B$21&amp;";",""),IF(AND($G6&lt;Hta_2,$G6&gt;=Hba_2,Input!V$22&lt;&gt;""),Input!$B$22&amp;";",""),IF(AND($G6&lt;Hta_3,$G6&gt;=Hba_3,Input!V$23&lt;&gt;""),Input!$B$23&amp;";",""),IF(AND($G6&lt;Hta_4,$G6&gt;=Hba_4,Input!V$24&lt;&gt;""),Input!$B$24&amp;";",""),IF(AND($G6&lt;Hta_5,$G6&gt;=Hba_5,Input!V$25&lt;&gt;""),Input!$B$25&amp;";",""),IF(AND($G6&lt;Hta_6,$G6&gt;=Hba_6,Input!V$26&lt;&gt;""),Input!$B$26&amp;";",""),IF(AND($G6&lt;Hta_7,$G6&gt;=Hba_7,Input!V$27&lt;&gt;""),Input!$B$27&amp;";",""),IF(AND($G6&lt;Hta_8,$G6&gt;=Hba_8,Input!V$28&lt;&gt;""),Input!$B$28&amp;";",""),IF(AND($G6&lt;Hta_9,$G6&gt;=Hba_9,Input!V$29&lt;&gt;""),Input!$B$29&amp;";",""),IF(AND($G6&lt;Hta_10,$G6&gt;=Hba_10,Input!V$30&lt;&gt;""),Input!$B$30&amp;";",""),IF(AND($G6&lt;Hta_11,$G6&gt;=Hba_11,Input!V$31&lt;&gt;""),Input!$B$31&amp;";",""),IF(AND($G6&lt;Hta_12,$G6&gt;=Hba_12,Input!V$32&lt;&gt;""),Input!$B$32&amp;";",""),IF(AND($G6&lt;Hta_13,$G6&gt;=Hba_13,Input!V$33&lt;&gt;""),Input!$B$33&amp;";",""),IF(AND($G6&lt;Hta_14,$G6&gt;=Hba_14,Input!V$34&lt;&gt;""),Input!$B$34&amp;";",""),IF(AND($G6&lt;Hta_15,$G6&gt;=Hba_15,Input!V$35&lt;&gt;""),Input!$B$35&amp;";",""),IF(AND($G6&lt;Hta_16,$G6&gt;=Hba_16,Input!V$36&lt;&gt;""),Input!$B$36&amp;";",""),IF(AND($G6&lt;Hta_17,$G6&gt;=Hba_17,Input!V$37&lt;&gt;""),Input!$B$37&amp;";",""),IF(AND($G6&lt;Hta_18,$G6&gt;=Hba_18,Input!V$38&lt;&gt;""),Input!$B$38&amp;";",""),IF(AND($G6&lt;Hta_19,$G6&gt;=Hba_19,Input!V$39&lt;&gt;""),Input!$B$39&amp;";",""),IF(AND($G6&lt;Hta_20,$G6&gt;=Hba_20,Input!V$40&lt;&gt;""),Input!$B$40&amp;";",""),IF(AND($G6&lt;Hta_21,$G6&gt;=Hba_21,Input!V$41&lt;&gt;""),Input!$B$41&amp;";",""),IF(AND($G6&lt;Hta_22,$G6&gt;=Hba_22,Input!V$42&lt;&gt;""),Input!$B$42&amp;";",""),IF(AND($G6&lt;Hta_23,$G6&gt;=Hba_23,Input!V$43&lt;&gt;""),Input!$B$43&amp;";",""),IF(AND($G6&lt;Hta_24,$G6&gt;=Hba_24,Input!V$44&lt;&gt;""),Input!$B$44&amp;";",""),IF(AND($G6&lt;Hta_25,$G6&gt;=Hba_25,Input!V$45&lt;&gt;""),Input!$B$45&amp;";",""),IF(AND($G6&lt;Hta_26,$G6&gt;=Hba_26,Input!V$46&lt;&gt;""),Input!$B$46&amp;";",""),IF(AND($G6&lt;Hta_27,$G6&gt;=Hba_27,Input!V$47&lt;&gt;""),Input!$B$47&amp;";",""),IF(AND($G6&lt;Hta_28,$G6&gt;=Hba_28,Input!V$48&lt;&gt;""),Input!$B$48&amp;";",""),IF(AND($G6&lt;Hta_29,$G6&gt;=Hba_29,Input!V$49&lt;&gt;""),Input!$B$49&amp;";",""),IF(AND($G6&lt;Hta_30,$G6&gt;=Hba_30,Input!V$50&lt;&gt;""),Input!$B$50&amp;";","")),"")</f>
        <v/>
      </c>
      <c r="BX6" s="25" t="str">
        <f>IFERROR(CONCATENATE(IF(AND($G6&lt;Hta_1,$G6&gt;=Hba_1,Input!W$21&lt;&gt;""),Input!$B$21&amp;";",""),IF(AND($G6&lt;Hta_2,$G6&gt;=Hba_2,Input!W$22&lt;&gt;""),Input!$B$22&amp;";",""),IF(AND($G6&lt;Hta_3,$G6&gt;=Hba_3,Input!W$23&lt;&gt;""),Input!$B$23&amp;";",""),IF(AND($G6&lt;Hta_4,$G6&gt;=Hba_4,Input!W$24&lt;&gt;""),Input!$B$24&amp;";",""),IF(AND($G6&lt;Hta_5,$G6&gt;=Hba_5,Input!W$25&lt;&gt;""),Input!$B$25&amp;";",""),IF(AND($G6&lt;Hta_6,$G6&gt;=Hba_6,Input!W$26&lt;&gt;""),Input!$B$26&amp;";",""),IF(AND($G6&lt;Hta_7,$G6&gt;=Hba_7,Input!W$27&lt;&gt;""),Input!$B$27&amp;";",""),IF(AND($G6&lt;Hta_8,$G6&gt;=Hba_8,Input!W$28&lt;&gt;""),Input!$B$28&amp;";",""),IF(AND($G6&lt;Hta_9,$G6&gt;=Hba_9,Input!W$29&lt;&gt;""),Input!$B$29&amp;";",""),IF(AND($G6&lt;Hta_10,$G6&gt;=Hba_10,Input!W$30&lt;&gt;""),Input!$B$30&amp;";",""),IF(AND($G6&lt;Hta_11,$G6&gt;=Hba_11,Input!W$31&lt;&gt;""),Input!$B$31&amp;";",""),IF(AND($G6&lt;Hta_12,$G6&gt;=Hba_12,Input!W$32&lt;&gt;""),Input!$B$32&amp;";",""),IF(AND($G6&lt;Hta_13,$G6&gt;=Hba_13,Input!W$33&lt;&gt;""),Input!$B$33&amp;";",""),IF(AND($G6&lt;Hta_14,$G6&gt;=Hba_14,Input!W$34&lt;&gt;""),Input!$B$34&amp;";",""),IF(AND($G6&lt;Hta_15,$G6&gt;=Hba_15,Input!W$35&lt;&gt;""),Input!$B$35&amp;";",""),IF(AND($G6&lt;Hta_16,$G6&gt;=Hba_16,Input!W$36&lt;&gt;""),Input!$B$36&amp;";",""),IF(AND($G6&lt;Hta_17,$G6&gt;=Hba_17,Input!W$37&lt;&gt;""),Input!$B$37&amp;";",""),IF(AND($G6&lt;Hta_18,$G6&gt;=Hba_18,Input!W$38&lt;&gt;""),Input!$B$38&amp;";",""),IF(AND($G6&lt;Hta_19,$G6&gt;=Hba_19,Input!W$39&lt;&gt;""),Input!$B$39&amp;";",""),IF(AND($G6&lt;Hta_20,$G6&gt;=Hba_20,Input!W$40&lt;&gt;""),Input!$B$40&amp;";",""),IF(AND($G6&lt;Hta_21,$G6&gt;=Hba_21,Input!W$41&lt;&gt;""),Input!$B$41&amp;";",""),IF(AND($G6&lt;Hta_22,$G6&gt;=Hba_22,Input!W$42&lt;&gt;""),Input!$B$42&amp;";",""),IF(AND($G6&lt;Hta_23,$G6&gt;=Hba_23,Input!W$43&lt;&gt;""),Input!$B$43&amp;";",""),IF(AND($G6&lt;Hta_24,$G6&gt;=Hba_24,Input!W$44&lt;&gt;""),Input!$B$44&amp;";",""),IF(AND($G6&lt;Hta_25,$G6&gt;=Hba_25,Input!W$45&lt;&gt;""),Input!$B$45&amp;";",""),IF(AND($G6&lt;Hta_26,$G6&gt;=Hba_26,Input!W$46&lt;&gt;""),Input!$B$46&amp;";",""),IF(AND($G6&lt;Hta_27,$G6&gt;=Hba_27,Input!W$47&lt;&gt;""),Input!$B$47&amp;";",""),IF(AND($G6&lt;Hta_28,$G6&gt;=Hba_28,Input!W$48&lt;&gt;""),Input!$B$48&amp;";",""),IF(AND($G6&lt;Hta_29,$G6&gt;=Hba_29,Input!W$49&lt;&gt;""),Input!$B$49&amp;";",""),IF(AND($G6&lt;Hta_30,$G6&gt;=Hba_30,Input!W$50&lt;&gt;""),Input!$B$50&amp;";","")),"")</f>
        <v/>
      </c>
      <c r="BY6" s="25" t="str">
        <f>IFERROR(CONCATENATE(IF(AND($G6&lt;Hta_1,$G6&gt;=Hba_1,Input!X$21&lt;&gt;""),Input!$B$21&amp;";",""),IF(AND($G6&lt;Hta_2,$G6&gt;=Hba_2,Input!X$22&lt;&gt;""),Input!$B$22&amp;";",""),IF(AND($G6&lt;Hta_3,$G6&gt;=Hba_3,Input!X$23&lt;&gt;""),Input!$B$23&amp;";",""),IF(AND($G6&lt;Hta_4,$G6&gt;=Hba_4,Input!X$24&lt;&gt;""),Input!$B$24&amp;";",""),IF(AND($G6&lt;Hta_5,$G6&gt;=Hba_5,Input!X$25&lt;&gt;""),Input!$B$25&amp;";",""),IF(AND($G6&lt;Hta_6,$G6&gt;=Hba_6,Input!X$26&lt;&gt;""),Input!$B$26&amp;";",""),IF(AND($G6&lt;Hta_7,$G6&gt;=Hba_7,Input!X$27&lt;&gt;""),Input!$B$27&amp;";",""),IF(AND($G6&lt;Hta_8,$G6&gt;=Hba_8,Input!X$28&lt;&gt;""),Input!$B$28&amp;";",""),IF(AND($G6&lt;Hta_9,$G6&gt;=Hba_9,Input!X$29&lt;&gt;""),Input!$B$29&amp;";",""),IF(AND($G6&lt;Hta_10,$G6&gt;=Hba_10,Input!X$30&lt;&gt;""),Input!$B$30&amp;";",""),IF(AND($G6&lt;Hta_11,$G6&gt;=Hba_11,Input!X$31&lt;&gt;""),Input!$B$31&amp;";",""),IF(AND($G6&lt;Hta_12,$G6&gt;=Hba_12,Input!X$32&lt;&gt;""),Input!$B$32&amp;";",""),IF(AND($G6&lt;Hta_13,$G6&gt;=Hba_13,Input!X$33&lt;&gt;""),Input!$B$33&amp;";",""),IF(AND($G6&lt;Hta_14,$G6&gt;=Hba_14,Input!X$34&lt;&gt;""),Input!$B$34&amp;";",""),IF(AND($G6&lt;Hta_15,$G6&gt;=Hba_15,Input!X$35&lt;&gt;""),Input!$B$35&amp;";",""),IF(AND($G6&lt;Hta_16,$G6&gt;=Hba_16,Input!X$36&lt;&gt;""),Input!$B$36&amp;";",""),IF(AND($G6&lt;Hta_17,$G6&gt;=Hba_17,Input!X$37&lt;&gt;""),Input!$B$37&amp;";",""),IF(AND($G6&lt;Hta_18,$G6&gt;=Hba_18,Input!X$38&lt;&gt;""),Input!$B$38&amp;";",""),IF(AND($G6&lt;Hta_19,$G6&gt;=Hba_19,Input!X$39&lt;&gt;""),Input!$B$39&amp;";",""),IF(AND($G6&lt;Hta_20,$G6&gt;=Hba_20,Input!X$40&lt;&gt;""),Input!$B$40&amp;";",""),IF(AND($G6&lt;Hta_21,$G6&gt;=Hba_21,Input!X$41&lt;&gt;""),Input!$B$41&amp;";",""),IF(AND($G6&lt;Hta_22,$G6&gt;=Hba_22,Input!X$42&lt;&gt;""),Input!$B$42&amp;";",""),IF(AND($G6&lt;Hta_23,$G6&gt;=Hba_23,Input!X$43&lt;&gt;""),Input!$B$43&amp;";",""),IF(AND($G6&lt;Hta_24,$G6&gt;=Hba_24,Input!X$44&lt;&gt;""),Input!$B$44&amp;";",""),IF(AND($G6&lt;Hta_25,$G6&gt;=Hba_25,Input!X$45&lt;&gt;""),Input!$B$45&amp;";",""),IF(AND($G6&lt;Hta_26,$G6&gt;=Hba_26,Input!X$46&lt;&gt;""),Input!$B$46&amp;";",""),IF(AND($G6&lt;Hta_27,$G6&gt;=Hba_27,Input!X$47&lt;&gt;""),Input!$B$47&amp;";",""),IF(AND($G6&lt;Hta_28,$G6&gt;=Hba_28,Input!X$48&lt;&gt;""),Input!$B$48&amp;";",""),IF(AND($G6&lt;Hta_29,$G6&gt;=Hba_29,Input!X$49&lt;&gt;""),Input!$B$49&amp;";",""),IF(AND($G6&lt;Hta_30,$G6&gt;=Hba_30,Input!X$50&lt;&gt;""),Input!$B$50&amp;";","")),"")</f>
        <v/>
      </c>
      <c r="BZ6" s="25" t="str">
        <f>IFERROR(CONCATENATE(IF(AND($G6&lt;Hta_1,$G6&gt;=Hba_1,Input!Y$21&lt;&gt;""),Input!$B$21&amp;";",""),IF(AND($G6&lt;Hta_2,$G6&gt;=Hba_2,Input!Y$22&lt;&gt;""),Input!$B$22&amp;";",""),IF(AND($G6&lt;Hta_3,$G6&gt;=Hba_3,Input!Y$23&lt;&gt;""),Input!$B$23&amp;";",""),IF(AND($G6&lt;Hta_4,$G6&gt;=Hba_4,Input!Y$24&lt;&gt;""),Input!$B$24&amp;";",""),IF(AND($G6&lt;Hta_5,$G6&gt;=Hba_5,Input!Y$25&lt;&gt;""),Input!$B$25&amp;";",""),IF(AND($G6&lt;Hta_6,$G6&gt;=Hba_6,Input!Y$26&lt;&gt;""),Input!$B$26&amp;";",""),IF(AND($G6&lt;Hta_7,$G6&gt;=Hba_7,Input!Y$27&lt;&gt;""),Input!$B$27&amp;";",""),IF(AND($G6&lt;Hta_8,$G6&gt;=Hba_8,Input!Y$28&lt;&gt;""),Input!$B$28&amp;";",""),IF(AND($G6&lt;Hta_9,$G6&gt;=Hba_9,Input!Y$29&lt;&gt;""),Input!$B$29&amp;";",""),IF(AND($G6&lt;Hta_10,$G6&gt;=Hba_10,Input!Y$30&lt;&gt;""),Input!$B$30&amp;";",""),IF(AND($G6&lt;Hta_11,$G6&gt;=Hba_11,Input!Y$31&lt;&gt;""),Input!$B$31&amp;";",""),IF(AND($G6&lt;Hta_12,$G6&gt;=Hba_12,Input!Y$32&lt;&gt;""),Input!$B$32&amp;";",""),IF(AND($G6&lt;Hta_13,$G6&gt;=Hba_13,Input!Y$33&lt;&gt;""),Input!$B$33&amp;";",""),IF(AND($G6&lt;Hta_14,$G6&gt;=Hba_14,Input!Y$34&lt;&gt;""),Input!$B$34&amp;";",""),IF(AND($G6&lt;Hta_15,$G6&gt;=Hba_15,Input!Y$35&lt;&gt;""),Input!$B$35&amp;";",""),IF(AND($G6&lt;Hta_16,$G6&gt;=Hba_16,Input!Y$36&lt;&gt;""),Input!$B$36&amp;";",""),IF(AND($G6&lt;Hta_17,$G6&gt;=Hba_17,Input!Y$37&lt;&gt;""),Input!$B$37&amp;";",""),IF(AND($G6&lt;Hta_18,$G6&gt;=Hba_18,Input!Y$38&lt;&gt;""),Input!$B$38&amp;";",""),IF(AND($G6&lt;Hta_19,$G6&gt;=Hba_19,Input!Y$39&lt;&gt;""),Input!$B$39&amp;";",""),IF(AND($G6&lt;Hta_20,$G6&gt;=Hba_20,Input!Y$40&lt;&gt;""),Input!$B$40&amp;";",""),IF(AND($G6&lt;Hta_21,$G6&gt;=Hba_21,Input!Y$41&lt;&gt;""),Input!$B$41&amp;";",""),IF(AND($G6&lt;Hta_22,$G6&gt;=Hba_22,Input!Y$42&lt;&gt;""),Input!$B$42&amp;";",""),IF(AND($G6&lt;Hta_23,$G6&gt;=Hba_23,Input!Y$43&lt;&gt;""),Input!$B$43&amp;";",""),IF(AND($G6&lt;Hta_24,$G6&gt;=Hba_24,Input!Y$44&lt;&gt;""),Input!$B$44&amp;";",""),IF(AND($G6&lt;Hta_25,$G6&gt;=Hba_25,Input!Y$45&lt;&gt;""),Input!$B$45&amp;";",""),IF(AND($G6&lt;Hta_26,$G6&gt;=Hba_26,Input!Y$46&lt;&gt;""),Input!$B$46&amp;";",""),IF(AND($G6&lt;Hta_27,$G6&gt;=Hba_27,Input!Y$47&lt;&gt;""),Input!$B$47&amp;";",""),IF(AND($G6&lt;Hta_28,$G6&gt;=Hba_28,Input!Y$48&lt;&gt;""),Input!$B$48&amp;";",""),IF(AND($G6&lt;Hta_29,$G6&gt;=Hba_29,Input!Y$49&lt;&gt;""),Input!$B$49&amp;";",""),IF(AND($G6&lt;Hta_30,$G6&gt;=Hba_30,Input!Y$50&lt;&gt;""),Input!$B$50&amp;";","")),"")</f>
        <v/>
      </c>
      <c r="CA6" s="25" t="str">
        <f>IFERROR(CONCATENATE(IF(AND($G6&lt;Hta_1,$G6&gt;=Hba_1,Input!Z$21&lt;&gt;""),Input!$B$21&amp;";",""),IF(AND($G6&lt;Hta_2,$G6&gt;=Hba_2,Input!Z$22&lt;&gt;""),Input!$B$22&amp;";",""),IF(AND($G6&lt;Hta_3,$G6&gt;=Hba_3,Input!Z$23&lt;&gt;""),Input!$B$23&amp;";",""),IF(AND($G6&lt;Hta_4,$G6&gt;=Hba_4,Input!Z$24&lt;&gt;""),Input!$B$24&amp;";",""),IF(AND($G6&lt;Hta_5,$G6&gt;=Hba_5,Input!Z$25&lt;&gt;""),Input!$B$25&amp;";",""),IF(AND($G6&lt;Hta_6,$G6&gt;=Hba_6,Input!Z$26&lt;&gt;""),Input!$B$26&amp;";",""),IF(AND($G6&lt;Hta_7,$G6&gt;=Hba_7,Input!Z$27&lt;&gt;""),Input!$B$27&amp;";",""),IF(AND($G6&lt;Hta_8,$G6&gt;=Hba_8,Input!Z$28&lt;&gt;""),Input!$B$28&amp;";",""),IF(AND($G6&lt;Hta_9,$G6&gt;=Hba_9,Input!Z$29&lt;&gt;""),Input!$B$29&amp;";",""),IF(AND($G6&lt;Hta_10,$G6&gt;=Hba_10,Input!Z$30&lt;&gt;""),Input!$B$30&amp;";",""),IF(AND($G6&lt;Hta_11,$G6&gt;=Hba_11,Input!Z$31&lt;&gt;""),Input!$B$31&amp;";",""),IF(AND($G6&lt;Hta_12,$G6&gt;=Hba_12,Input!Z$32&lt;&gt;""),Input!$B$32&amp;";",""),IF(AND($G6&lt;Hta_13,$G6&gt;=Hba_13,Input!Z$33&lt;&gt;""),Input!$B$33&amp;";",""),IF(AND($G6&lt;Hta_14,$G6&gt;=Hba_14,Input!Z$34&lt;&gt;""),Input!$B$34&amp;";",""),IF(AND($G6&lt;Hta_15,$G6&gt;=Hba_15,Input!Z$35&lt;&gt;""),Input!$B$35&amp;";",""),IF(AND($G6&lt;Hta_16,$G6&gt;=Hba_16,Input!Z$36&lt;&gt;""),Input!$B$36&amp;";",""),IF(AND($G6&lt;Hta_17,$G6&gt;=Hba_17,Input!Z$37&lt;&gt;""),Input!$B$37&amp;";",""),IF(AND($G6&lt;Hta_18,$G6&gt;=Hba_18,Input!Z$38&lt;&gt;""),Input!$B$38&amp;";",""),IF(AND($G6&lt;Hta_19,$G6&gt;=Hba_19,Input!Z$39&lt;&gt;""),Input!$B$39&amp;";",""),IF(AND($G6&lt;Hta_20,$G6&gt;=Hba_20,Input!Z$40&lt;&gt;""),Input!$B$40&amp;";",""),IF(AND($G6&lt;Hta_21,$G6&gt;=Hba_21,Input!Z$41&lt;&gt;""),Input!$B$41&amp;";",""),IF(AND($G6&lt;Hta_22,$G6&gt;=Hba_22,Input!Z$42&lt;&gt;""),Input!$B$42&amp;";",""),IF(AND($G6&lt;Hta_23,$G6&gt;=Hba_23,Input!Z$43&lt;&gt;""),Input!$B$43&amp;";",""),IF(AND($G6&lt;Hta_24,$G6&gt;=Hba_24,Input!Z$44&lt;&gt;""),Input!$B$44&amp;";",""),IF(AND($G6&lt;Hta_25,$G6&gt;=Hba_25,Input!Z$45&lt;&gt;""),Input!$B$45&amp;";",""),IF(AND($G6&lt;Hta_26,$G6&gt;=Hba_26,Input!Z$46&lt;&gt;""),Input!$B$46&amp;";",""),IF(AND($G6&lt;Hta_27,$G6&gt;=Hba_27,Input!Z$47&lt;&gt;""),Input!$B$47&amp;";",""),IF(AND($G6&lt;Hta_28,$G6&gt;=Hba_28,Input!Z$48&lt;&gt;""),Input!$B$48&amp;";",""),IF(AND($G6&lt;Hta_29,$G6&gt;=Hba_29,Input!Z$49&lt;&gt;""),Input!$B$49&amp;";",""),IF(AND($G6&lt;Hta_30,$G6&gt;=Hba_30,Input!Z$50&lt;&gt;""),Input!$B$50&amp;";","")),"")</f>
        <v/>
      </c>
      <c r="CB6" s="25" t="str">
        <f>IFERROR(CONCATENATE(IF(AND($G6&lt;Hta_1,$G6&gt;=Hba_1,Input!AA$21&lt;&gt;""),Input!$B$21&amp;";",""),IF(AND($G6&lt;Hta_2,$G6&gt;=Hba_2,Input!AA$22&lt;&gt;""),Input!$B$22&amp;";",""),IF(AND($G6&lt;Hta_3,$G6&gt;=Hba_3,Input!AA$23&lt;&gt;""),Input!$B$23&amp;";",""),IF(AND($G6&lt;Hta_4,$G6&gt;=Hba_4,Input!AA$24&lt;&gt;""),Input!$B$24&amp;";",""),IF(AND($G6&lt;Hta_5,$G6&gt;=Hba_5,Input!AA$25&lt;&gt;""),Input!$B$25&amp;";",""),IF(AND($G6&lt;Hta_6,$G6&gt;=Hba_6,Input!AA$26&lt;&gt;""),Input!$B$26&amp;";",""),IF(AND($G6&lt;Hta_7,$G6&gt;=Hba_7,Input!AA$27&lt;&gt;""),Input!$B$27&amp;";",""),IF(AND($G6&lt;Hta_8,$G6&gt;=Hba_8,Input!AA$28&lt;&gt;""),Input!$B$28&amp;";",""),IF(AND($G6&lt;Hta_9,$G6&gt;=Hba_9,Input!AA$29&lt;&gt;""),Input!$B$29&amp;";",""),IF(AND($G6&lt;Hta_10,$G6&gt;=Hba_10,Input!AA$30&lt;&gt;""),Input!$B$30&amp;";",""),IF(AND($G6&lt;Hta_11,$G6&gt;=Hba_11,Input!AA$31&lt;&gt;""),Input!$B$31&amp;";",""),IF(AND($G6&lt;Hta_12,$G6&gt;=Hba_12,Input!AA$32&lt;&gt;""),Input!$B$32&amp;";",""),IF(AND($G6&lt;Hta_13,$G6&gt;=Hba_13,Input!AA$33&lt;&gt;""),Input!$B$33&amp;";",""),IF(AND($G6&lt;Hta_14,$G6&gt;=Hba_14,Input!AA$34&lt;&gt;""),Input!$B$34&amp;";",""),IF(AND($G6&lt;Hta_15,$G6&gt;=Hba_15,Input!AA$35&lt;&gt;""),Input!$B$35&amp;";",""),IF(AND($G6&lt;Hta_16,$G6&gt;=Hba_16,Input!AA$36&lt;&gt;""),Input!$B$36&amp;";",""),IF(AND($G6&lt;Hta_17,$G6&gt;=Hba_17,Input!AA$37&lt;&gt;""),Input!$B$37&amp;";",""),IF(AND($G6&lt;Hta_18,$G6&gt;=Hba_18,Input!AA$38&lt;&gt;""),Input!$B$38&amp;";",""),IF(AND($G6&lt;Hta_19,$G6&gt;=Hba_19,Input!AA$39&lt;&gt;""),Input!$B$39&amp;";",""),IF(AND($G6&lt;Hta_20,$G6&gt;=Hba_20,Input!AA$40&lt;&gt;""),Input!$B$40&amp;";",""),IF(AND($G6&lt;Hta_21,$G6&gt;=Hba_21,Input!AA$41&lt;&gt;""),Input!$B$41&amp;";",""),IF(AND($G6&lt;Hta_22,$G6&gt;=Hba_22,Input!AA$42&lt;&gt;""),Input!$B$42&amp;";",""),IF(AND($G6&lt;Hta_23,$G6&gt;=Hba_23,Input!AA$43&lt;&gt;""),Input!$B$43&amp;";",""),IF(AND($G6&lt;Hta_24,$G6&gt;=Hba_24,Input!AA$44&lt;&gt;""),Input!$B$44&amp;";",""),IF(AND($G6&lt;Hta_25,$G6&gt;=Hba_25,Input!AA$45&lt;&gt;""),Input!$B$45&amp;";",""),IF(AND($G6&lt;Hta_26,$G6&gt;=Hba_26,Input!AA$46&lt;&gt;""),Input!$B$46&amp;";",""),IF(AND($G6&lt;Hta_27,$G6&gt;=Hba_27,Input!AA$47&lt;&gt;""),Input!$B$47&amp;";",""),IF(AND($G6&lt;Hta_28,$G6&gt;=Hba_28,Input!AA$48&lt;&gt;""),Input!$B$48&amp;";",""),IF(AND($G6&lt;Hta_29,$G6&gt;=Hba_29,Input!AA$49&lt;&gt;""),Input!$B$49&amp;";",""),IF(AND($G6&lt;Hta_30,$G6&gt;=Hba_30,Input!AA$50&lt;&gt;""),Input!$B$50&amp;";","")),"")</f>
        <v/>
      </c>
      <c r="CC6" s="25" t="str">
        <f>IFERROR(CONCATENATE(IF(AND($G6&lt;Hta_1,$G6&gt;=Hba_1,Input!AB$21&lt;&gt;""),Input!$B$21&amp;";",""),IF(AND($G6&lt;Hta_2,$G6&gt;=Hba_2,Input!AB$22&lt;&gt;""),Input!$B$22&amp;";",""),IF(AND($G6&lt;Hta_3,$G6&gt;=Hba_3,Input!AB$23&lt;&gt;""),Input!$B$23&amp;";",""),IF(AND($G6&lt;Hta_4,$G6&gt;=Hba_4,Input!AB$24&lt;&gt;""),Input!$B$24&amp;";",""),IF(AND($G6&lt;Hta_5,$G6&gt;=Hba_5,Input!AB$25&lt;&gt;""),Input!$B$25&amp;";",""),IF(AND($G6&lt;Hta_6,$G6&gt;=Hba_6,Input!AB$26&lt;&gt;""),Input!$B$26&amp;";",""),IF(AND($G6&lt;Hta_7,$G6&gt;=Hba_7,Input!AB$27&lt;&gt;""),Input!$B$27&amp;";",""),IF(AND($G6&lt;Hta_8,$G6&gt;=Hba_8,Input!AB$28&lt;&gt;""),Input!$B$28&amp;";",""),IF(AND($G6&lt;Hta_9,$G6&gt;=Hba_9,Input!AB$29&lt;&gt;""),Input!$B$29&amp;";",""),IF(AND($G6&lt;Hta_10,$G6&gt;=Hba_10,Input!AB$30&lt;&gt;""),Input!$B$30&amp;";",""),IF(AND($G6&lt;Hta_11,$G6&gt;=Hba_11,Input!AB$31&lt;&gt;""),Input!$B$31&amp;";",""),IF(AND($G6&lt;Hta_12,$G6&gt;=Hba_12,Input!AB$32&lt;&gt;""),Input!$B$32&amp;";",""),IF(AND($G6&lt;Hta_13,$G6&gt;=Hba_13,Input!AB$33&lt;&gt;""),Input!$B$33&amp;";",""),IF(AND($G6&lt;Hta_14,$G6&gt;=Hba_14,Input!AB$34&lt;&gt;""),Input!$B$34&amp;";",""),IF(AND($G6&lt;Hta_15,$G6&gt;=Hba_15,Input!AB$35&lt;&gt;""),Input!$B$35&amp;";",""),IF(AND($G6&lt;Hta_16,$G6&gt;=Hba_16,Input!AB$36&lt;&gt;""),Input!$B$36&amp;";",""),IF(AND($G6&lt;Hta_17,$G6&gt;=Hba_17,Input!AB$37&lt;&gt;""),Input!$B$37&amp;";",""),IF(AND($G6&lt;Hta_18,$G6&gt;=Hba_18,Input!AB$38&lt;&gt;""),Input!$B$38&amp;";",""),IF(AND($G6&lt;Hta_19,$G6&gt;=Hba_19,Input!AB$39&lt;&gt;""),Input!$B$39&amp;";",""),IF(AND($G6&lt;Hta_20,$G6&gt;=Hba_20,Input!AB$40&lt;&gt;""),Input!$B$40&amp;";",""),IF(AND($G6&lt;Hta_21,$G6&gt;=Hba_21,Input!AB$41&lt;&gt;""),Input!$B$41&amp;";",""),IF(AND($G6&lt;Hta_22,$G6&gt;=Hba_22,Input!AB$42&lt;&gt;""),Input!$B$42&amp;";",""),IF(AND($G6&lt;Hta_23,$G6&gt;=Hba_23,Input!AB$43&lt;&gt;""),Input!$B$43&amp;";",""),IF(AND($G6&lt;Hta_24,$G6&gt;=Hba_24,Input!AB$44&lt;&gt;""),Input!$B$44&amp;";",""),IF(AND($G6&lt;Hta_25,$G6&gt;=Hba_25,Input!AB$45&lt;&gt;""),Input!$B$45&amp;";",""),IF(AND($G6&lt;Hta_26,$G6&gt;=Hba_26,Input!AB$46&lt;&gt;""),Input!$B$46&amp;";",""),IF(AND($G6&lt;Hta_27,$G6&gt;=Hba_27,Input!AB$47&lt;&gt;""),Input!$B$47&amp;";",""),IF(AND($G6&lt;Hta_28,$G6&gt;=Hba_28,Input!AB$48&lt;&gt;""),Input!$B$48&amp;";",""),IF(AND($G6&lt;Hta_29,$G6&gt;=Hba_29,Input!AB$49&lt;&gt;""),Input!$B$49&amp;";",""),IF(AND($G6&lt;Hta_30,$G6&gt;=Hba_30,Input!AB$50&lt;&gt;""),Input!$B$50&amp;";","")),"")</f>
        <v/>
      </c>
      <c r="CD6" s="25" t="str">
        <f>IFERROR(CONCATENATE(IF(AND($G6&lt;Hta_1,$G6&gt;=Hba_1,Input!AC$21&lt;&gt;""),Input!$B$21&amp;";",""),IF(AND($G6&lt;Hta_2,$G6&gt;=Hba_2,Input!AC$22&lt;&gt;""),Input!$B$22&amp;";",""),IF(AND($G6&lt;Hta_3,$G6&gt;=Hba_3,Input!AC$23&lt;&gt;""),Input!$B$23&amp;";",""),IF(AND($G6&lt;Hta_4,$G6&gt;=Hba_4,Input!AC$24&lt;&gt;""),Input!$B$24&amp;";",""),IF(AND($G6&lt;Hta_5,$G6&gt;=Hba_5,Input!AC$25&lt;&gt;""),Input!$B$25&amp;";",""),IF(AND($G6&lt;Hta_6,$G6&gt;=Hba_6,Input!AC$26&lt;&gt;""),Input!$B$26&amp;";",""),IF(AND($G6&lt;Hta_7,$G6&gt;=Hba_7,Input!AC$27&lt;&gt;""),Input!$B$27&amp;";",""),IF(AND($G6&lt;Hta_8,$G6&gt;=Hba_8,Input!AC$28&lt;&gt;""),Input!$B$28&amp;";",""),IF(AND($G6&lt;Hta_9,$G6&gt;=Hba_9,Input!AC$29&lt;&gt;""),Input!$B$29&amp;";",""),IF(AND($G6&lt;Hta_10,$G6&gt;=Hba_10,Input!AC$30&lt;&gt;""),Input!$B$30&amp;";",""),IF(AND($G6&lt;Hta_11,$G6&gt;=Hba_11,Input!AC$31&lt;&gt;""),Input!$B$31&amp;";",""),IF(AND($G6&lt;Hta_12,$G6&gt;=Hba_12,Input!AC$32&lt;&gt;""),Input!$B$32&amp;";",""),IF(AND($G6&lt;Hta_13,$G6&gt;=Hba_13,Input!AC$33&lt;&gt;""),Input!$B$33&amp;";",""),IF(AND($G6&lt;Hta_14,$G6&gt;=Hba_14,Input!AC$34&lt;&gt;""),Input!$B$34&amp;";",""),IF(AND($G6&lt;Hta_15,$G6&gt;=Hba_15,Input!AC$35&lt;&gt;""),Input!$B$35&amp;";",""),IF(AND($G6&lt;Hta_16,$G6&gt;=Hba_16,Input!AC$36&lt;&gt;""),Input!$B$36&amp;";",""),IF(AND($G6&lt;Hta_17,$G6&gt;=Hba_17,Input!AC$37&lt;&gt;""),Input!$B$37&amp;";",""),IF(AND($G6&lt;Hta_18,$G6&gt;=Hba_18,Input!AC$38&lt;&gt;""),Input!$B$38&amp;";",""),IF(AND($G6&lt;Hta_19,$G6&gt;=Hba_19,Input!AC$39&lt;&gt;""),Input!$B$39&amp;";",""),IF(AND($G6&lt;Hta_20,$G6&gt;=Hba_20,Input!AC$40&lt;&gt;""),Input!$B$40&amp;";",""),IF(AND($G6&lt;Hta_21,$G6&gt;=Hba_21,Input!AC$41&lt;&gt;""),Input!$B$41&amp;";",""),IF(AND($G6&lt;Hta_22,$G6&gt;=Hba_22,Input!AC$42&lt;&gt;""),Input!$B$42&amp;";",""),IF(AND($G6&lt;Hta_23,$G6&gt;=Hba_23,Input!AC$43&lt;&gt;""),Input!$B$43&amp;";",""),IF(AND($G6&lt;Hta_24,$G6&gt;=Hba_24,Input!AC$44&lt;&gt;""),Input!$B$44&amp;";",""),IF(AND($G6&lt;Hta_25,$G6&gt;=Hba_25,Input!AC$45&lt;&gt;""),Input!$B$45&amp;";",""),IF(AND($G6&lt;Hta_26,$G6&gt;=Hba_26,Input!AC$46&lt;&gt;""),Input!$B$46&amp;";",""),IF(AND($G6&lt;Hta_27,$G6&gt;=Hba_27,Input!AC$47&lt;&gt;""),Input!$B$47&amp;";",""),IF(AND($G6&lt;Hta_28,$G6&gt;=Hba_28,Input!AC$48&lt;&gt;""),Input!$B$48&amp;";",""),IF(AND($G6&lt;Hta_29,$G6&gt;=Hba_29,Input!AC$49&lt;&gt;""),Input!$B$49&amp;";",""),IF(AND($G6&lt;Hta_30,$G6&gt;=Hba_30,Input!AC$50&lt;&gt;""),Input!$B$50&amp;";","")),"")</f>
        <v/>
      </c>
      <c r="CE6" s="25" t="str">
        <f>IFERROR(CONCATENATE(IF(AND($G6&lt;Hta_1,$G6&gt;=Hba_1,Input!AD$21&lt;&gt;""),Input!$B$21&amp;";",""),IF(AND($G6&lt;Hta_2,$G6&gt;=Hba_2,Input!AD$22&lt;&gt;""),Input!$B$22&amp;";",""),IF(AND($G6&lt;Hta_3,$G6&gt;=Hba_3,Input!AD$23&lt;&gt;""),Input!$B$23&amp;";",""),IF(AND($G6&lt;Hta_4,$G6&gt;=Hba_4,Input!AD$24&lt;&gt;""),Input!$B$24&amp;";",""),IF(AND($G6&lt;Hta_5,$G6&gt;=Hba_5,Input!AD$25&lt;&gt;""),Input!$B$25&amp;";",""),IF(AND($G6&lt;Hta_6,$G6&gt;=Hba_6,Input!AD$26&lt;&gt;""),Input!$B$26&amp;";",""),IF(AND($G6&lt;Hta_7,$G6&gt;=Hba_7,Input!AD$27&lt;&gt;""),Input!$B$27&amp;";",""),IF(AND($G6&lt;Hta_8,$G6&gt;=Hba_8,Input!AD$28&lt;&gt;""),Input!$B$28&amp;";",""),IF(AND($G6&lt;Hta_9,$G6&gt;=Hba_9,Input!AD$29&lt;&gt;""),Input!$B$29&amp;";",""),IF(AND($G6&lt;Hta_10,$G6&gt;=Hba_10,Input!AD$30&lt;&gt;""),Input!$B$30&amp;";",""),IF(AND($G6&lt;Hta_11,$G6&gt;=Hba_11,Input!AD$31&lt;&gt;""),Input!$B$31&amp;";",""),IF(AND($G6&lt;Hta_12,$G6&gt;=Hba_12,Input!AD$32&lt;&gt;""),Input!$B$32&amp;";",""),IF(AND($G6&lt;Hta_13,$G6&gt;=Hba_13,Input!AD$33&lt;&gt;""),Input!$B$33&amp;";",""),IF(AND($G6&lt;Hta_14,$G6&gt;=Hba_14,Input!AD$34&lt;&gt;""),Input!$B$34&amp;";",""),IF(AND($G6&lt;Hta_15,$G6&gt;=Hba_15,Input!AD$35&lt;&gt;""),Input!$B$35&amp;";",""),IF(AND($G6&lt;Hta_16,$G6&gt;=Hba_16,Input!AD$36&lt;&gt;""),Input!$B$36&amp;";",""),IF(AND($G6&lt;Hta_17,$G6&gt;=Hba_17,Input!AD$37&lt;&gt;""),Input!$B$37&amp;";",""),IF(AND($G6&lt;Hta_18,$G6&gt;=Hba_18,Input!AD$38&lt;&gt;""),Input!$B$38&amp;";",""),IF(AND($G6&lt;Hta_19,$G6&gt;=Hba_19,Input!AD$39&lt;&gt;""),Input!$B$39&amp;";",""),IF(AND($G6&lt;Hta_20,$G6&gt;=Hba_20,Input!AD$40&lt;&gt;""),Input!$B$40&amp;";",""),IF(AND($G6&lt;Hta_21,$G6&gt;=Hba_21,Input!AD$41&lt;&gt;""),Input!$B$41&amp;";",""),IF(AND($G6&lt;Hta_22,$G6&gt;=Hba_22,Input!AD$42&lt;&gt;""),Input!$B$42&amp;";",""),IF(AND($G6&lt;Hta_23,$G6&gt;=Hba_23,Input!AD$43&lt;&gt;""),Input!$B$43&amp;";",""),IF(AND($G6&lt;Hta_24,$G6&gt;=Hba_24,Input!AD$44&lt;&gt;""),Input!$B$44&amp;";",""),IF(AND($G6&lt;Hta_25,$G6&gt;=Hba_25,Input!AD$45&lt;&gt;""),Input!$B$45&amp;";",""),IF(AND($G6&lt;Hta_26,$G6&gt;=Hba_26,Input!AD$46&lt;&gt;""),Input!$B$46&amp;";",""),IF(AND($G6&lt;Hta_27,$G6&gt;=Hba_27,Input!AD$47&lt;&gt;""),Input!$B$47&amp;";",""),IF(AND($G6&lt;Hta_28,$G6&gt;=Hba_28,Input!AD$48&lt;&gt;""),Input!$B$48&amp;";",""),IF(AND($G6&lt;Hta_29,$G6&gt;=Hba_29,Input!AD$49&lt;&gt;""),Input!$B$49&amp;";",""),IF(AND($G6&lt;Hta_30,$G6&gt;=Hba_30,Input!AD$50&lt;&gt;""),Input!$B$50&amp;";","")),"")</f>
        <v/>
      </c>
      <c r="CF6" s="25" t="str">
        <f>IFERROR(CONCATENATE(IF(AND($G6&lt;Hta_1,$G6&gt;=Hba_1,Input!AE$21&lt;&gt;""),Input!$B$21&amp;";",""),IF(AND($G6&lt;Hta_2,$G6&gt;=Hba_2,Input!AE$22&lt;&gt;""),Input!$B$22&amp;";",""),IF(AND($G6&lt;Hta_3,$G6&gt;=Hba_3,Input!AE$23&lt;&gt;""),Input!$B$23&amp;";",""),IF(AND($G6&lt;Hta_4,$G6&gt;=Hba_4,Input!AE$24&lt;&gt;""),Input!$B$24&amp;";",""),IF(AND($G6&lt;Hta_5,$G6&gt;=Hba_5,Input!AE$25&lt;&gt;""),Input!$B$25&amp;";",""),IF(AND($G6&lt;Hta_6,$G6&gt;=Hba_6,Input!AE$26&lt;&gt;""),Input!$B$26&amp;";",""),IF(AND($G6&lt;Hta_7,$G6&gt;=Hba_7,Input!AE$27&lt;&gt;""),Input!$B$27&amp;";",""),IF(AND($G6&lt;Hta_8,$G6&gt;=Hba_8,Input!AE$28&lt;&gt;""),Input!$B$28&amp;";",""),IF(AND($G6&lt;Hta_9,$G6&gt;=Hba_9,Input!AE$29&lt;&gt;""),Input!$B$29&amp;";",""),IF(AND($G6&lt;Hta_10,$G6&gt;=Hba_10,Input!AE$30&lt;&gt;""),Input!$B$30&amp;";",""),IF(AND($G6&lt;Hta_11,$G6&gt;=Hba_11,Input!AE$31&lt;&gt;""),Input!$B$31&amp;";",""),IF(AND($G6&lt;Hta_12,$G6&gt;=Hba_12,Input!AE$32&lt;&gt;""),Input!$B$32&amp;";",""),IF(AND($G6&lt;Hta_13,$G6&gt;=Hba_13,Input!AE$33&lt;&gt;""),Input!$B$33&amp;";",""),IF(AND($G6&lt;Hta_14,$G6&gt;=Hba_14,Input!AE$34&lt;&gt;""),Input!$B$34&amp;";",""),IF(AND($G6&lt;Hta_15,$G6&gt;=Hba_15,Input!AE$35&lt;&gt;""),Input!$B$35&amp;";",""),IF(AND($G6&lt;Hta_16,$G6&gt;=Hba_16,Input!AE$36&lt;&gt;""),Input!$B$36&amp;";",""),IF(AND($G6&lt;Hta_17,$G6&gt;=Hba_17,Input!AE$37&lt;&gt;""),Input!$B$37&amp;";",""),IF(AND($G6&lt;Hta_18,$G6&gt;=Hba_18,Input!AE$38&lt;&gt;""),Input!$B$38&amp;";",""),IF(AND($G6&lt;Hta_19,$G6&gt;=Hba_19,Input!AE$39&lt;&gt;""),Input!$B$39&amp;";",""),IF(AND($G6&lt;Hta_20,$G6&gt;=Hba_20,Input!AE$40&lt;&gt;""),Input!$B$40&amp;";",""),IF(AND($G6&lt;Hta_21,$G6&gt;=Hba_21,Input!AE$41&lt;&gt;""),Input!$B$41&amp;";",""),IF(AND($G6&lt;Hta_22,$G6&gt;=Hba_22,Input!AE$42&lt;&gt;""),Input!$B$42&amp;";",""),IF(AND($G6&lt;Hta_23,$G6&gt;=Hba_23,Input!AE$43&lt;&gt;""),Input!$B$43&amp;";",""),IF(AND($G6&lt;Hta_24,$G6&gt;=Hba_24,Input!AE$44&lt;&gt;""),Input!$B$44&amp;";",""),IF(AND($G6&lt;Hta_25,$G6&gt;=Hba_25,Input!AE$45&lt;&gt;""),Input!$B$45&amp;";",""),IF(AND($G6&lt;Hta_26,$G6&gt;=Hba_26,Input!AE$46&lt;&gt;""),Input!$B$46&amp;";",""),IF(AND($G6&lt;Hta_27,$G6&gt;=Hba_27,Input!AE$47&lt;&gt;""),Input!$B$47&amp;";",""),IF(AND($G6&lt;Hta_28,$G6&gt;=Hba_28,Input!AE$48&lt;&gt;""),Input!$B$48&amp;";",""),IF(AND($G6&lt;Hta_29,$G6&gt;=Hba_29,Input!AE$49&lt;&gt;""),Input!$B$49&amp;";",""),IF(AND($G6&lt;Hta_30,$G6&gt;=Hba_30,Input!AE$50&lt;&gt;""),Input!$B$50&amp;";","")),"")</f>
        <v/>
      </c>
      <c r="CG6" s="25" t="str">
        <f>IFERROR(CONCATENATE(IF(AND($G6&lt;Hta_1,$G6&gt;=Hba_1,Input!AF$21&lt;&gt;""),Input!$B$21&amp;";",""),IF(AND($G6&lt;Hta_2,$G6&gt;=Hba_2,Input!AF$22&lt;&gt;""),Input!$B$22&amp;";",""),IF(AND($G6&lt;Hta_3,$G6&gt;=Hba_3,Input!AF$23&lt;&gt;""),Input!$B$23&amp;";",""),IF(AND($G6&lt;Hta_4,$G6&gt;=Hba_4,Input!AF$24&lt;&gt;""),Input!$B$24&amp;";",""),IF(AND($G6&lt;Hta_5,$G6&gt;=Hba_5,Input!AF$25&lt;&gt;""),Input!$B$25&amp;";",""),IF(AND($G6&lt;Hta_6,$G6&gt;=Hba_6,Input!AF$26&lt;&gt;""),Input!$B$26&amp;";",""),IF(AND($G6&lt;Hta_7,$G6&gt;=Hba_7,Input!AF$27&lt;&gt;""),Input!$B$27&amp;";",""),IF(AND($G6&lt;Hta_8,$G6&gt;=Hba_8,Input!AF$28&lt;&gt;""),Input!$B$28&amp;";",""),IF(AND($G6&lt;Hta_9,$G6&gt;=Hba_9,Input!AF$29&lt;&gt;""),Input!$B$29&amp;";",""),IF(AND($G6&lt;Hta_10,$G6&gt;=Hba_10,Input!AF$30&lt;&gt;""),Input!$B$30&amp;";",""),IF(AND($G6&lt;Hta_11,$G6&gt;=Hba_11,Input!AF$31&lt;&gt;""),Input!$B$31&amp;";",""),IF(AND($G6&lt;Hta_12,$G6&gt;=Hba_12,Input!AF$32&lt;&gt;""),Input!$B$32&amp;";",""),IF(AND($G6&lt;Hta_13,$G6&gt;=Hba_13,Input!AF$33&lt;&gt;""),Input!$B$33&amp;";",""),IF(AND($G6&lt;Hta_14,$G6&gt;=Hba_14,Input!AF$34&lt;&gt;""),Input!$B$34&amp;";",""),IF(AND($G6&lt;Hta_15,$G6&gt;=Hba_15,Input!AF$35&lt;&gt;""),Input!$B$35&amp;";",""),IF(AND($G6&lt;Hta_16,$G6&gt;=Hba_16,Input!AF$36&lt;&gt;""),Input!$B$36&amp;";",""),IF(AND($G6&lt;Hta_17,$G6&gt;=Hba_17,Input!AF$37&lt;&gt;""),Input!$B$37&amp;";",""),IF(AND($G6&lt;Hta_18,$G6&gt;=Hba_18,Input!AF$38&lt;&gt;""),Input!$B$38&amp;";",""),IF(AND($G6&lt;Hta_19,$G6&gt;=Hba_19,Input!AF$39&lt;&gt;""),Input!$B$39&amp;";",""),IF(AND($G6&lt;Hta_20,$G6&gt;=Hba_20,Input!AF$40&lt;&gt;""),Input!$B$40&amp;";",""),IF(AND($G6&lt;Hta_21,$G6&gt;=Hba_21,Input!AF$41&lt;&gt;""),Input!$B$41&amp;";",""),IF(AND($G6&lt;Hta_22,$G6&gt;=Hba_22,Input!AF$42&lt;&gt;""),Input!$B$42&amp;";",""),IF(AND($G6&lt;Hta_23,$G6&gt;=Hba_23,Input!AF$43&lt;&gt;""),Input!$B$43&amp;";",""),IF(AND($G6&lt;Hta_24,$G6&gt;=Hba_24,Input!AF$44&lt;&gt;""),Input!$B$44&amp;";",""),IF(AND($G6&lt;Hta_25,$G6&gt;=Hba_25,Input!AF$45&lt;&gt;""),Input!$B$45&amp;";",""),IF(AND($G6&lt;Hta_26,$G6&gt;=Hba_26,Input!AF$46&lt;&gt;""),Input!$B$46&amp;";",""),IF(AND($G6&lt;Hta_27,$G6&gt;=Hba_27,Input!AF$47&lt;&gt;""),Input!$B$47&amp;";",""),IF(AND($G6&lt;Hta_28,$G6&gt;=Hba_28,Input!AF$48&lt;&gt;""),Input!$B$48&amp;";",""),IF(AND($G6&lt;Hta_29,$G6&gt;=Hba_29,Input!AF$49&lt;&gt;""),Input!$B$49&amp;";",""),IF(AND($G6&lt;Hta_30,$G6&gt;=Hba_30,Input!AF$50&lt;&gt;""),Input!$B$50&amp;";","")),"")</f>
        <v/>
      </c>
      <c r="CH6" s="25" t="str">
        <f>IFERROR(CONCATENATE(IF(AND($G6&lt;Hta_1,$G6&gt;=Hba_1,Input!AG$21&lt;&gt;""),Input!$B$21&amp;";",""),IF(AND($G6&lt;Hta_2,$G6&gt;=Hba_2,Input!AG$22&lt;&gt;""),Input!$B$22&amp;";",""),IF(AND($G6&lt;Hta_3,$G6&gt;=Hba_3,Input!AG$23&lt;&gt;""),Input!$B$23&amp;";",""),IF(AND($G6&lt;Hta_4,$G6&gt;=Hba_4,Input!AG$24&lt;&gt;""),Input!$B$24&amp;";",""),IF(AND($G6&lt;Hta_5,$G6&gt;=Hba_5,Input!AG$25&lt;&gt;""),Input!$B$25&amp;";",""),IF(AND($G6&lt;Hta_6,$G6&gt;=Hba_6,Input!AG$26&lt;&gt;""),Input!$B$26&amp;";",""),IF(AND($G6&lt;Hta_7,$G6&gt;=Hba_7,Input!AG$27&lt;&gt;""),Input!$B$27&amp;";",""),IF(AND($G6&lt;Hta_8,$G6&gt;=Hba_8,Input!AG$28&lt;&gt;""),Input!$B$28&amp;";",""),IF(AND($G6&lt;Hta_9,$G6&gt;=Hba_9,Input!AG$29&lt;&gt;""),Input!$B$29&amp;";",""),IF(AND($G6&lt;Hta_10,$G6&gt;=Hba_10,Input!AG$30&lt;&gt;""),Input!$B$30&amp;";",""),IF(AND($G6&lt;Hta_11,$G6&gt;=Hba_11,Input!AG$31&lt;&gt;""),Input!$B$31&amp;";",""),IF(AND($G6&lt;Hta_12,$G6&gt;=Hba_12,Input!AG$32&lt;&gt;""),Input!$B$32&amp;";",""),IF(AND($G6&lt;Hta_13,$G6&gt;=Hba_13,Input!AG$33&lt;&gt;""),Input!$B$33&amp;";",""),IF(AND($G6&lt;Hta_14,$G6&gt;=Hba_14,Input!AG$34&lt;&gt;""),Input!$B$34&amp;";",""),IF(AND($G6&lt;Hta_15,$G6&gt;=Hba_15,Input!AG$35&lt;&gt;""),Input!$B$35&amp;";",""),IF(AND($G6&lt;Hta_16,$G6&gt;=Hba_16,Input!AG$36&lt;&gt;""),Input!$B$36&amp;";",""),IF(AND($G6&lt;Hta_17,$G6&gt;=Hba_17,Input!AG$37&lt;&gt;""),Input!$B$37&amp;";",""),IF(AND($G6&lt;Hta_18,$G6&gt;=Hba_18,Input!AG$38&lt;&gt;""),Input!$B$38&amp;";",""),IF(AND($G6&lt;Hta_19,$G6&gt;=Hba_19,Input!AG$39&lt;&gt;""),Input!$B$39&amp;";",""),IF(AND($G6&lt;Hta_20,$G6&gt;=Hba_20,Input!AG$40&lt;&gt;""),Input!$B$40&amp;";",""),IF(AND($G6&lt;Hta_21,$G6&gt;=Hba_21,Input!AG$41&lt;&gt;""),Input!$B$41&amp;";",""),IF(AND($G6&lt;Hta_22,$G6&gt;=Hba_22,Input!AG$42&lt;&gt;""),Input!$B$42&amp;";",""),IF(AND($G6&lt;Hta_23,$G6&gt;=Hba_23,Input!AG$43&lt;&gt;""),Input!$B$43&amp;";",""),IF(AND($G6&lt;Hta_24,$G6&gt;=Hba_24,Input!AG$44&lt;&gt;""),Input!$B$44&amp;";",""),IF(AND($G6&lt;Hta_25,$G6&gt;=Hba_25,Input!AG$45&lt;&gt;""),Input!$B$45&amp;";",""),IF(AND($G6&lt;Hta_26,$G6&gt;=Hba_26,Input!AG$46&lt;&gt;""),Input!$B$46&amp;";",""),IF(AND($G6&lt;Hta_27,$G6&gt;=Hba_27,Input!AG$47&lt;&gt;""),Input!$B$47&amp;";",""),IF(AND($G6&lt;Hta_28,$G6&gt;=Hba_28,Input!AG$48&lt;&gt;""),Input!$B$48&amp;";",""),IF(AND($G6&lt;Hta_29,$G6&gt;=Hba_29,Input!AG$49&lt;&gt;""),Input!$B$49&amp;";",""),IF(AND($G6&lt;Hta_30,$G6&gt;=Hba_30,Input!AG$50&lt;&gt;""),Input!$B$50&amp;";","")),"")</f>
        <v/>
      </c>
      <c r="CI6" s="25" t="str">
        <f>IFERROR(CONCATENATE(IF(AND($G6&lt;Hta_1,$G6&gt;=Hba_1,Input!AH$21&lt;&gt;""),Input!$B$21&amp;";",""),IF(AND($G6&lt;Hta_2,$G6&gt;=Hba_2,Input!AH$22&lt;&gt;""),Input!$B$22&amp;";",""),IF(AND($G6&lt;Hta_3,$G6&gt;=Hba_3,Input!AH$23&lt;&gt;""),Input!$B$23&amp;";",""),IF(AND($G6&lt;Hta_4,$G6&gt;=Hba_4,Input!AH$24&lt;&gt;""),Input!$B$24&amp;";",""),IF(AND($G6&lt;Hta_5,$G6&gt;=Hba_5,Input!AH$25&lt;&gt;""),Input!$B$25&amp;";",""),IF(AND($G6&lt;Hta_6,$G6&gt;=Hba_6,Input!AH$26&lt;&gt;""),Input!$B$26&amp;";",""),IF(AND($G6&lt;Hta_7,$G6&gt;=Hba_7,Input!AH$27&lt;&gt;""),Input!$B$27&amp;";",""),IF(AND($G6&lt;Hta_8,$G6&gt;=Hba_8,Input!AH$28&lt;&gt;""),Input!$B$28&amp;";",""),IF(AND($G6&lt;Hta_9,$G6&gt;=Hba_9,Input!AH$29&lt;&gt;""),Input!$B$29&amp;";",""),IF(AND($G6&lt;Hta_10,$G6&gt;=Hba_10,Input!AH$30&lt;&gt;""),Input!$B$30&amp;";",""),IF(AND($G6&lt;Hta_11,$G6&gt;=Hba_11,Input!AH$31&lt;&gt;""),Input!$B$31&amp;";",""),IF(AND($G6&lt;Hta_12,$G6&gt;=Hba_12,Input!AH$32&lt;&gt;""),Input!$B$32&amp;";",""),IF(AND($G6&lt;Hta_13,$G6&gt;=Hba_13,Input!AH$33&lt;&gt;""),Input!$B$33&amp;";",""),IF(AND($G6&lt;Hta_14,$G6&gt;=Hba_14,Input!AH$34&lt;&gt;""),Input!$B$34&amp;";",""),IF(AND($G6&lt;Hta_15,$G6&gt;=Hba_15,Input!AH$35&lt;&gt;""),Input!$B$35&amp;";",""),IF(AND($G6&lt;Hta_16,$G6&gt;=Hba_16,Input!AH$36&lt;&gt;""),Input!$B$36&amp;";",""),IF(AND($G6&lt;Hta_17,$G6&gt;=Hba_17,Input!AH$37&lt;&gt;""),Input!$B$37&amp;";",""),IF(AND($G6&lt;Hta_18,$G6&gt;=Hba_18,Input!AH$38&lt;&gt;""),Input!$B$38&amp;";",""),IF(AND($G6&lt;Hta_19,$G6&gt;=Hba_19,Input!AH$39&lt;&gt;""),Input!$B$39&amp;";",""),IF(AND($G6&lt;Hta_20,$G6&gt;=Hba_20,Input!AH$40&lt;&gt;""),Input!$B$40&amp;";",""),IF(AND($G6&lt;Hta_21,$G6&gt;=Hba_21,Input!AH$41&lt;&gt;""),Input!$B$41&amp;";",""),IF(AND($G6&lt;Hta_22,$G6&gt;=Hba_22,Input!AH$42&lt;&gt;""),Input!$B$42&amp;";",""),IF(AND($G6&lt;Hta_23,$G6&gt;=Hba_23,Input!AH$43&lt;&gt;""),Input!$B$43&amp;";",""),IF(AND($G6&lt;Hta_24,$G6&gt;=Hba_24,Input!AH$44&lt;&gt;""),Input!$B$44&amp;";",""),IF(AND($G6&lt;Hta_25,$G6&gt;=Hba_25,Input!AH$45&lt;&gt;""),Input!$B$45&amp;";",""),IF(AND($G6&lt;Hta_26,$G6&gt;=Hba_26,Input!AH$46&lt;&gt;""),Input!$B$46&amp;";",""),IF(AND($G6&lt;Hta_27,$G6&gt;=Hba_27,Input!AH$47&lt;&gt;""),Input!$B$47&amp;";",""),IF(AND($G6&lt;Hta_28,$G6&gt;=Hba_28,Input!AH$48&lt;&gt;""),Input!$B$48&amp;";",""),IF(AND($G6&lt;Hta_29,$G6&gt;=Hba_29,Input!AH$49&lt;&gt;""),Input!$B$49&amp;";",""),IF(AND($G6&lt;Hta_30,$G6&gt;=Hba_30,Input!AH$50&lt;&gt;""),Input!$B$50&amp;";","")),"")</f>
        <v/>
      </c>
      <c r="CJ6" s="25" t="str">
        <f>IFERROR(CONCATENATE(IF(AND($G6&lt;Hta_1,$G6&gt;=Hba_1,Input!AI$21&lt;&gt;""),Input!$B$21&amp;";",""),IF(AND($G6&lt;Hta_2,$G6&gt;=Hba_2,Input!AI$22&lt;&gt;""),Input!$B$22&amp;";",""),IF(AND($G6&lt;Hta_3,$G6&gt;=Hba_3,Input!AI$23&lt;&gt;""),Input!$B$23&amp;";",""),IF(AND($G6&lt;Hta_4,$G6&gt;=Hba_4,Input!AI$24&lt;&gt;""),Input!$B$24&amp;";",""),IF(AND($G6&lt;Hta_5,$G6&gt;=Hba_5,Input!AI$25&lt;&gt;""),Input!$B$25&amp;";",""),IF(AND($G6&lt;Hta_6,$G6&gt;=Hba_6,Input!AI$26&lt;&gt;""),Input!$B$26&amp;";",""),IF(AND($G6&lt;Hta_7,$G6&gt;=Hba_7,Input!AI$27&lt;&gt;""),Input!$B$27&amp;";",""),IF(AND($G6&lt;Hta_8,$G6&gt;=Hba_8,Input!AI$28&lt;&gt;""),Input!$B$28&amp;";",""),IF(AND($G6&lt;Hta_9,$G6&gt;=Hba_9,Input!AI$29&lt;&gt;""),Input!$B$29&amp;";",""),IF(AND($G6&lt;Hta_10,$G6&gt;=Hba_10,Input!AI$30&lt;&gt;""),Input!$B$30&amp;";",""),IF(AND($G6&lt;Hta_11,$G6&gt;=Hba_11,Input!AI$31&lt;&gt;""),Input!$B$31&amp;";",""),IF(AND($G6&lt;Hta_12,$G6&gt;=Hba_12,Input!AI$32&lt;&gt;""),Input!$B$32&amp;";",""),IF(AND($G6&lt;Hta_13,$G6&gt;=Hba_13,Input!AI$33&lt;&gt;""),Input!$B$33&amp;";",""),IF(AND($G6&lt;Hta_14,$G6&gt;=Hba_14,Input!AI$34&lt;&gt;""),Input!$B$34&amp;";",""),IF(AND($G6&lt;Hta_15,$G6&gt;=Hba_15,Input!AI$35&lt;&gt;""),Input!$B$35&amp;";",""),IF(AND($G6&lt;Hta_16,$G6&gt;=Hba_16,Input!AI$36&lt;&gt;""),Input!$B$36&amp;";",""),IF(AND($G6&lt;Hta_17,$G6&gt;=Hba_17,Input!AI$37&lt;&gt;""),Input!$B$37&amp;";",""),IF(AND($G6&lt;Hta_18,$G6&gt;=Hba_18,Input!AI$38&lt;&gt;""),Input!$B$38&amp;";",""),IF(AND($G6&lt;Hta_19,$G6&gt;=Hba_19,Input!AI$39&lt;&gt;""),Input!$B$39&amp;";",""),IF(AND($G6&lt;Hta_20,$G6&gt;=Hba_20,Input!AI$40&lt;&gt;""),Input!$B$40&amp;";",""),IF(AND($G6&lt;Hta_21,$G6&gt;=Hba_21,Input!AI$41&lt;&gt;""),Input!$B$41&amp;";",""),IF(AND($G6&lt;Hta_22,$G6&gt;=Hba_22,Input!AI$42&lt;&gt;""),Input!$B$42&amp;";",""),IF(AND($G6&lt;Hta_23,$G6&gt;=Hba_23,Input!AI$43&lt;&gt;""),Input!$B$43&amp;";",""),IF(AND($G6&lt;Hta_24,$G6&gt;=Hba_24,Input!AI$44&lt;&gt;""),Input!$B$44&amp;";",""),IF(AND($G6&lt;Hta_25,$G6&gt;=Hba_25,Input!AI$45&lt;&gt;""),Input!$B$45&amp;";",""),IF(AND($G6&lt;Hta_26,$G6&gt;=Hba_26,Input!AI$46&lt;&gt;""),Input!$B$46&amp;";",""),IF(AND($G6&lt;Hta_27,$G6&gt;=Hba_27,Input!AI$47&lt;&gt;""),Input!$B$47&amp;";",""),IF(AND($G6&lt;Hta_28,$G6&gt;=Hba_28,Input!AI$48&lt;&gt;""),Input!$B$48&amp;";",""),IF(AND($G6&lt;Hta_29,$G6&gt;=Hba_29,Input!AI$49&lt;&gt;""),Input!$B$49&amp;";",""),IF(AND($G6&lt;Hta_30,$G6&gt;=Hba_30,Input!AI$50&lt;&gt;""),Input!$B$50&amp;";","")),"")</f>
        <v/>
      </c>
      <c r="CK6" s="25" t="str">
        <f>IFERROR(CONCATENATE(IF(AND($G6&lt;Hta_1,$G6&gt;=Hba_1,Input!AJ$21&lt;&gt;""),Input!$B$21&amp;";",""),IF(AND($G6&lt;Hta_2,$G6&gt;=Hba_2,Input!AJ$22&lt;&gt;""),Input!$B$22&amp;";",""),IF(AND($G6&lt;Hta_3,$G6&gt;=Hba_3,Input!AJ$23&lt;&gt;""),Input!$B$23&amp;";",""),IF(AND($G6&lt;Hta_4,$G6&gt;=Hba_4,Input!AJ$24&lt;&gt;""),Input!$B$24&amp;";",""),IF(AND($G6&lt;Hta_5,$G6&gt;=Hba_5,Input!AJ$25&lt;&gt;""),Input!$B$25&amp;";",""),IF(AND($G6&lt;Hta_6,$G6&gt;=Hba_6,Input!AJ$26&lt;&gt;""),Input!$B$26&amp;";",""),IF(AND($G6&lt;Hta_7,$G6&gt;=Hba_7,Input!AJ$27&lt;&gt;""),Input!$B$27&amp;";",""),IF(AND($G6&lt;Hta_8,$G6&gt;=Hba_8,Input!AJ$28&lt;&gt;""),Input!$B$28&amp;";",""),IF(AND($G6&lt;Hta_9,$G6&gt;=Hba_9,Input!AJ$29&lt;&gt;""),Input!$B$29&amp;";",""),IF(AND($G6&lt;Hta_10,$G6&gt;=Hba_10,Input!AJ$30&lt;&gt;""),Input!$B$30&amp;";",""),IF(AND($G6&lt;Hta_11,$G6&gt;=Hba_11,Input!AJ$31&lt;&gt;""),Input!$B$31&amp;";",""),IF(AND($G6&lt;Hta_12,$G6&gt;=Hba_12,Input!AJ$32&lt;&gt;""),Input!$B$32&amp;";",""),IF(AND($G6&lt;Hta_13,$G6&gt;=Hba_13,Input!AJ$33&lt;&gt;""),Input!$B$33&amp;";",""),IF(AND($G6&lt;Hta_14,$G6&gt;=Hba_14,Input!AJ$34&lt;&gt;""),Input!$B$34&amp;";",""),IF(AND($G6&lt;Hta_15,$G6&gt;=Hba_15,Input!AJ$35&lt;&gt;""),Input!$B$35&amp;";",""),IF(AND($G6&lt;Hta_16,$G6&gt;=Hba_16,Input!AJ$36&lt;&gt;""),Input!$B$36&amp;";",""),IF(AND($G6&lt;Hta_17,$G6&gt;=Hba_17,Input!AJ$37&lt;&gt;""),Input!$B$37&amp;";",""),IF(AND($G6&lt;Hta_18,$G6&gt;=Hba_18,Input!AJ$38&lt;&gt;""),Input!$B$38&amp;";",""),IF(AND($G6&lt;Hta_19,$G6&gt;=Hba_19,Input!AJ$39&lt;&gt;""),Input!$B$39&amp;";",""),IF(AND($G6&lt;Hta_20,$G6&gt;=Hba_20,Input!AJ$40&lt;&gt;""),Input!$B$40&amp;";",""),IF(AND($G6&lt;Hta_21,$G6&gt;=Hba_21,Input!AJ$41&lt;&gt;""),Input!$B$41&amp;";",""),IF(AND($G6&lt;Hta_22,$G6&gt;=Hba_22,Input!AJ$42&lt;&gt;""),Input!$B$42&amp;";",""),IF(AND($G6&lt;Hta_23,$G6&gt;=Hba_23,Input!AJ$43&lt;&gt;""),Input!$B$43&amp;";",""),IF(AND($G6&lt;Hta_24,$G6&gt;=Hba_24,Input!AJ$44&lt;&gt;""),Input!$B$44&amp;";",""),IF(AND($G6&lt;Hta_25,$G6&gt;=Hba_25,Input!AJ$45&lt;&gt;""),Input!$B$45&amp;";",""),IF(AND($G6&lt;Hta_26,$G6&gt;=Hba_26,Input!AJ$46&lt;&gt;""),Input!$B$46&amp;";",""),IF(AND($G6&lt;Hta_27,$G6&gt;=Hba_27,Input!AJ$47&lt;&gt;""),Input!$B$47&amp;";",""),IF(AND($G6&lt;Hta_28,$G6&gt;=Hba_28,Input!AJ$48&lt;&gt;""),Input!$B$48&amp;";",""),IF(AND($G6&lt;Hta_29,$G6&gt;=Hba_29,Input!AJ$49&lt;&gt;""),Input!$B$49&amp;";",""),IF(AND($G6&lt;Hta_30,$G6&gt;=Hba_30,Input!AJ$50&lt;&gt;""),Input!$B$50&amp;";","")),"")</f>
        <v/>
      </c>
      <c r="CL6" s="25" t="str">
        <f>IFERROR(CONCATENATE(IF(AND($G6&lt;Hta_1,$G6&gt;=Hba_1,Input!AK$21&lt;&gt;""),Input!$B$21&amp;";",""),IF(AND($G6&lt;Hta_2,$G6&gt;=Hba_2,Input!AK$22&lt;&gt;""),Input!$B$22&amp;";",""),IF(AND($G6&lt;Hta_3,$G6&gt;=Hba_3,Input!AK$23&lt;&gt;""),Input!$B$23&amp;";",""),IF(AND($G6&lt;Hta_4,$G6&gt;=Hba_4,Input!AK$24&lt;&gt;""),Input!$B$24&amp;";",""),IF(AND($G6&lt;Hta_5,$G6&gt;=Hba_5,Input!AK$25&lt;&gt;""),Input!$B$25&amp;";",""),IF(AND($G6&lt;Hta_6,$G6&gt;=Hba_6,Input!AK$26&lt;&gt;""),Input!$B$26&amp;";",""),IF(AND($G6&lt;Hta_7,$G6&gt;=Hba_7,Input!AK$27&lt;&gt;""),Input!$B$27&amp;";",""),IF(AND($G6&lt;Hta_8,$G6&gt;=Hba_8,Input!AK$28&lt;&gt;""),Input!$B$28&amp;";",""),IF(AND($G6&lt;Hta_9,$G6&gt;=Hba_9,Input!AK$29&lt;&gt;""),Input!$B$29&amp;";",""),IF(AND($G6&lt;Hta_10,$G6&gt;=Hba_10,Input!AK$30&lt;&gt;""),Input!$B$30&amp;";",""),IF(AND($G6&lt;Hta_11,$G6&gt;=Hba_11,Input!AK$31&lt;&gt;""),Input!$B$31&amp;";",""),IF(AND($G6&lt;Hta_12,$G6&gt;=Hba_12,Input!AK$32&lt;&gt;""),Input!$B$32&amp;";",""),IF(AND($G6&lt;Hta_13,$G6&gt;=Hba_13,Input!AK$33&lt;&gt;""),Input!$B$33&amp;";",""),IF(AND($G6&lt;Hta_14,$G6&gt;=Hba_14,Input!AK$34&lt;&gt;""),Input!$B$34&amp;";",""),IF(AND($G6&lt;Hta_15,$G6&gt;=Hba_15,Input!AK$35&lt;&gt;""),Input!$B$35&amp;";",""),IF(AND($G6&lt;Hta_16,$G6&gt;=Hba_16,Input!AK$36&lt;&gt;""),Input!$B$36&amp;";",""),IF(AND($G6&lt;Hta_17,$G6&gt;=Hba_17,Input!AK$37&lt;&gt;""),Input!$B$37&amp;";",""),IF(AND($G6&lt;Hta_18,$G6&gt;=Hba_18,Input!AK$38&lt;&gt;""),Input!$B$38&amp;";",""),IF(AND($G6&lt;Hta_19,$G6&gt;=Hba_19,Input!AK$39&lt;&gt;""),Input!$B$39&amp;";",""),IF(AND($G6&lt;Hta_20,$G6&gt;=Hba_20,Input!AK$40&lt;&gt;""),Input!$B$40&amp;";",""),IF(AND($G6&lt;Hta_21,$G6&gt;=Hba_21,Input!AK$41&lt;&gt;""),Input!$B$41&amp;";",""),IF(AND($G6&lt;Hta_22,$G6&gt;=Hba_22,Input!AK$42&lt;&gt;""),Input!$B$42&amp;";",""),IF(AND($G6&lt;Hta_23,$G6&gt;=Hba_23,Input!AK$43&lt;&gt;""),Input!$B$43&amp;";",""),IF(AND($G6&lt;Hta_24,$G6&gt;=Hba_24,Input!AK$44&lt;&gt;""),Input!$B$44&amp;";",""),IF(AND($G6&lt;Hta_25,$G6&gt;=Hba_25,Input!AK$45&lt;&gt;""),Input!$B$45&amp;";",""),IF(AND($G6&lt;Hta_26,$G6&gt;=Hba_26,Input!AK$46&lt;&gt;""),Input!$B$46&amp;";",""),IF(AND($G6&lt;Hta_27,$G6&gt;=Hba_27,Input!AK$47&lt;&gt;""),Input!$B$47&amp;";",""),IF(AND($G6&lt;Hta_28,$G6&gt;=Hba_28,Input!AK$48&lt;&gt;""),Input!$B$48&amp;";",""),IF(AND($G6&lt;Hta_29,$G6&gt;=Hba_29,Input!AK$49&lt;&gt;""),Input!$B$49&amp;";",""),IF(AND($G6&lt;Hta_30,$G6&gt;=Hba_30,Input!AK$50&lt;&gt;""),Input!$B$50&amp;";","")),"")</f>
        <v/>
      </c>
      <c r="CM6" s="25" t="str">
        <f>IFERROR(CONCATENATE(IF(AND($G6&lt;Hta_1,$G6&gt;=Hba_1,Input!AL$21&lt;&gt;""),Input!$B$21&amp;";",""),IF(AND($G6&lt;Hta_2,$G6&gt;=Hba_2,Input!AL$22&lt;&gt;""),Input!$B$22&amp;";",""),IF(AND($G6&lt;Hta_3,$G6&gt;=Hba_3,Input!AL$23&lt;&gt;""),Input!$B$23&amp;";",""),IF(AND($G6&lt;Hta_4,$G6&gt;=Hba_4,Input!AL$24&lt;&gt;""),Input!$B$24&amp;";",""),IF(AND($G6&lt;Hta_5,$G6&gt;=Hba_5,Input!AL$25&lt;&gt;""),Input!$B$25&amp;";",""),IF(AND($G6&lt;Hta_6,$G6&gt;=Hba_6,Input!AL$26&lt;&gt;""),Input!$B$26&amp;";",""),IF(AND($G6&lt;Hta_7,$G6&gt;=Hba_7,Input!AL$27&lt;&gt;""),Input!$B$27&amp;";",""),IF(AND($G6&lt;Hta_8,$G6&gt;=Hba_8,Input!AL$28&lt;&gt;""),Input!$B$28&amp;";",""),IF(AND($G6&lt;Hta_9,$G6&gt;=Hba_9,Input!AL$29&lt;&gt;""),Input!$B$29&amp;";",""),IF(AND($G6&lt;Hta_10,$G6&gt;=Hba_10,Input!AL$30&lt;&gt;""),Input!$B$30&amp;";",""),IF(AND($G6&lt;Hta_11,$G6&gt;=Hba_11,Input!AL$31&lt;&gt;""),Input!$B$31&amp;";",""),IF(AND($G6&lt;Hta_12,$G6&gt;=Hba_12,Input!AL$32&lt;&gt;""),Input!$B$32&amp;";",""),IF(AND($G6&lt;Hta_13,$G6&gt;=Hba_13,Input!AL$33&lt;&gt;""),Input!$B$33&amp;";",""),IF(AND($G6&lt;Hta_14,$G6&gt;=Hba_14,Input!AL$34&lt;&gt;""),Input!$B$34&amp;";",""),IF(AND($G6&lt;Hta_15,$G6&gt;=Hba_15,Input!AL$35&lt;&gt;""),Input!$B$35&amp;";",""),IF(AND($G6&lt;Hta_16,$G6&gt;=Hba_16,Input!AL$36&lt;&gt;""),Input!$B$36&amp;";",""),IF(AND($G6&lt;Hta_17,$G6&gt;=Hba_17,Input!AL$37&lt;&gt;""),Input!$B$37&amp;";",""),IF(AND($G6&lt;Hta_18,$G6&gt;=Hba_18,Input!AL$38&lt;&gt;""),Input!$B$38&amp;";",""),IF(AND($G6&lt;Hta_19,$G6&gt;=Hba_19,Input!AL$39&lt;&gt;""),Input!$B$39&amp;";",""),IF(AND($G6&lt;Hta_20,$G6&gt;=Hba_20,Input!AL$40&lt;&gt;""),Input!$B$40&amp;";",""),IF(AND($G6&lt;Hta_21,$G6&gt;=Hba_21,Input!AL$41&lt;&gt;""),Input!$B$41&amp;";",""),IF(AND($G6&lt;Hta_22,$G6&gt;=Hba_22,Input!AL$42&lt;&gt;""),Input!$B$42&amp;";",""),IF(AND($G6&lt;Hta_23,$G6&gt;=Hba_23,Input!AL$43&lt;&gt;""),Input!$B$43&amp;";",""),IF(AND($G6&lt;Hta_24,$G6&gt;=Hba_24,Input!AL$44&lt;&gt;""),Input!$B$44&amp;";",""),IF(AND($G6&lt;Hta_25,$G6&gt;=Hba_25,Input!AL$45&lt;&gt;""),Input!$B$45&amp;";",""),IF(AND($G6&lt;Hta_26,$G6&gt;=Hba_26,Input!AL$46&lt;&gt;""),Input!$B$46&amp;";",""),IF(AND($G6&lt;Hta_27,$G6&gt;=Hba_27,Input!AL$47&lt;&gt;""),Input!$B$47&amp;";",""),IF(AND($G6&lt;Hta_28,$G6&gt;=Hba_28,Input!AL$48&lt;&gt;""),Input!$B$48&amp;";",""),IF(AND($G6&lt;Hta_29,$G6&gt;=Hba_29,Input!AL$49&lt;&gt;""),Input!$B$49&amp;";",""),IF(AND($G6&lt;Hta_30,$G6&gt;=Hba_30,Input!AL$50&lt;&gt;""),Input!$B$50&amp;";","")),"")</f>
        <v/>
      </c>
      <c r="CN6" s="59" t="str">
        <f>AZ6</f>
        <v/>
      </c>
      <c r="CO6" s="791"/>
      <c r="CP6" s="792"/>
      <c r="CQ6" s="793"/>
      <c r="CR6" s="791"/>
      <c r="CS6" s="792"/>
      <c r="CT6" s="793"/>
      <c r="CU6" s="794" t="str">
        <f>IF(CO6="","",IF(CR6="n/a",CO6,CO6+CR6))</f>
        <v/>
      </c>
      <c r="CV6" s="795"/>
      <c r="CW6" s="795"/>
      <c r="CX6" s="796"/>
      <c r="CY6" s="796"/>
      <c r="CZ6" s="797"/>
      <c r="DA6" s="733"/>
      <c r="DB6" s="734"/>
      <c r="DC6" s="735"/>
      <c r="DD6" s="729" t="str">
        <f>IF(CX6="","",IF(DA6="n/a",CX6,CX6+DA6))</f>
        <v/>
      </c>
      <c r="DE6" s="730"/>
      <c r="DF6" s="731"/>
      <c r="DG6" s="55"/>
      <c r="DH6" s="56"/>
      <c r="DI6" s="56"/>
      <c r="DJ6" s="56"/>
      <c r="DK6" s="56"/>
      <c r="DL6" s="56"/>
      <c r="DM6" s="56"/>
      <c r="DN6" s="56"/>
      <c r="DO6" s="56"/>
      <c r="DP6" s="56"/>
      <c r="DQ6" s="58"/>
      <c r="DR6" s="58"/>
      <c r="DS6" s="58"/>
      <c r="DT6" s="58"/>
      <c r="DU6" s="58"/>
      <c r="DV6" s="58"/>
      <c r="DW6" s="58"/>
      <c r="DX6" s="58"/>
      <c r="DY6" s="58"/>
      <c r="DZ6" s="58"/>
      <c r="EA6" s="58"/>
      <c r="EB6" s="58"/>
      <c r="EC6" s="58"/>
      <c r="ED6" s="58"/>
      <c r="EE6" s="58"/>
      <c r="EF6" s="58"/>
      <c r="EG6" s="58"/>
      <c r="EH6" s="58"/>
      <c r="EI6" s="58"/>
      <c r="EJ6" s="58"/>
      <c r="EK6" s="58"/>
      <c r="EL6" s="134"/>
      <c r="EM6" s="134"/>
      <c r="EN6" s="134"/>
      <c r="EO6" s="134"/>
      <c r="EP6" s="134"/>
      <c r="EQ6" s="134"/>
      <c r="ER6" s="134"/>
      <c r="ES6" s="134"/>
      <c r="ET6" s="134"/>
      <c r="EU6" s="134"/>
      <c r="EV6" s="134"/>
      <c r="EW6" s="134"/>
      <c r="EX6" s="134"/>
      <c r="EY6" s="134"/>
      <c r="EZ6" s="134"/>
      <c r="FA6" s="134"/>
      <c r="FB6" s="134"/>
      <c r="FC6" s="134"/>
      <c r="FD6" s="134"/>
      <c r="FE6" s="134"/>
      <c r="FF6" s="134"/>
      <c r="FG6" s="134"/>
      <c r="FH6" s="134"/>
      <c r="FI6" s="134"/>
      <c r="FJ6" s="134"/>
      <c r="FK6" s="134"/>
      <c r="FL6" s="134"/>
      <c r="FM6" s="134"/>
      <c r="FN6" s="134"/>
      <c r="FO6" s="134"/>
      <c r="FP6" s="65"/>
      <c r="FQ6" s="124"/>
      <c r="FR6" s="122"/>
      <c r="FS6" s="120"/>
      <c r="FT6" s="119"/>
    </row>
    <row r="7" spans="2:177" ht="15.75" hidden="1" thickBot="1" x14ac:dyDescent="0.3">
      <c r="B7" s="62" t="b">
        <f>IF(OR(AND(G7&gt;='Geometry 2'!$AK$5,G7&lt;'Geometry 2'!$AL$5),AND(G7&gt;='Geometry 2'!$AK$6,G7&lt;'Geometry 2'!$AL$6),AND(G7&gt;='Geometry 2'!$AK$7,G7&lt;'Geometry 2'!$AL$7),AND(G7&gt;='Geometry 2'!$AK$8,G7&lt;'Geometry 2'!$AL$8),AND(G7&gt;='Geometry 2'!$AK$9,G7&lt;'Geometry 2'!$AL$9),AND(G7&gt;='Geometry 2'!$AK$10,G7&lt;'Geometry 2'!$AL$10),AND(G7&gt;='Geometry 2'!$AK$11,G7&lt;'Geometry 2'!$AL$11),AND(G7&gt;='Geometry 2'!$AK$12,G7&lt;'Geometry 2'!$AL$12),AND(G7&gt;='Geometry 2'!$AK$13,G7&lt;'Geometry 2'!$AL$13),AND(G7&gt;='Geometry 2'!$AK$14,G7&lt;'Geometry 2'!$AL$14)),TRUE,FALSE)</f>
        <v>0</v>
      </c>
      <c r="C7" s="4" t="str">
        <f t="shared" ref="C7:C70" si="3">IF(OR(G6=0,C6=""),"",C6+1)</f>
        <v/>
      </c>
      <c r="D7" s="766" t="str">
        <f t="shared" ref="D7:D70" si="4">IF(OR(G6=0,G6=""),"",G6)</f>
        <v/>
      </c>
      <c r="E7" s="767"/>
      <c r="F7" s="17" t="str">
        <f t="shared" si="2"/>
        <v/>
      </c>
      <c r="G7" s="768" t="str">
        <f>IF(D7="","",MAX(0,G6-IF(inc="n/a",999,inc),MAX(IF(G6&lt;=Hta_1,0,Hta_1),IF(G6&lt;=Hta_2,0,Hta_2),IF(G6&lt;=Hta_3,0,Hta_3),IF(G6&lt;=Hta_4,0,Hta_4),IF(G6&lt;=Hta_5,0,Hta_5),IF(G6&lt;=Hta_6,0,Hta_6),IF(G6&lt;=Hta_7,0,Hta_7),IF(G6&lt;=Hta_8,0,Hta_8),IF(G6&lt;=Hta_9,0,Hta_9),IF(G6&lt;=Hta_10,0,Hta_10),IF(G6&lt;=Hta_11,0,Hta_11),IF(G6&lt;=Hta_12,0,Hta_12),IF(G6&lt;=Hta_13,0,Hta_13),IF(G6&lt;=Hta_14,0,Hta_14),IF(G6&lt;=Hta_15,0,Hta_15),IF(G6&lt;=Hta_16,0,Hta_16),IF(G6&lt;=Hta_17,0,Hta_17),IF(G6&lt;=Hta_18,0,Hta_18),IF(G6&lt;=Hta_19,0,Hta_19),IF(G6&lt;=Hta_20,0,Hta_20),IF(G6&lt;=Hta_21,0,Hta_21),IF(G6&lt;=Hta_22,0,Hta_22),IF(G6&lt;=Hta_23,0,Hta_23),IF(G6&lt;=Hta_24,0,Hta_24),IF(G6&lt;=Hta_25,0,Hta_25),IF(G6&lt;=Hta_26,0,Hta_26),IF(G6&lt;=Hta_27,0,Hta_27),IF(G6&lt;=Hta_28,0,Hta_28),IF(G6&lt;=Hta_29,0,Hta_29),IF(G6&lt;=Hta_30,0,Hta_30)),MAX(IF(G6&lt;=Hta_1-0.25,0,Hta_1-0.25),IF(G6&lt;=Hta_2-0.25,0,Hta_2-0.25),IF(G6&lt;=Hta_3-0.25,0,Hta_3-0.25),IF(G6&lt;=Hta_4-0.25,0,Hta_4-0.25),IF(G6&lt;=Hta_5-0.25,0,Hta_5-0.25),IF(G6&lt;=Hta_6-0.25,0,Hta_6-0.25),IF(G6&lt;=Hta_7-0.25,0,Hta_7-0.25),IF(G6&lt;=Hta_8-0.25,0,Hta_8-0.25),IF(G6&lt;=Hta_9-0.25,0,Hta_9-0.25),IF(G6&lt;=Hta_10-0.25,0,Hta_10-0.25),IF(G6&lt;=Hta_11-0.25,0,Hta_11-0.25),IF(G6&lt;=Hta_12-0.25,0,Hta_12-0.25),IF(G6&lt;=Hta_13-0.25,0,Hta_13-0.25),IF(G6&lt;=Hta_14-0.25,0,Hta_14-0.25),IF(G6&lt;=Hta_15-0.25,0,Hta_15-0.25),IF(G6&lt;=Hta_16-0.25,0,Hta_16-0.25),IF(G6&lt;=Hta_17-0.25,0,Hta_17-0.25),IF(G6&lt;=Hta_18-0.25,0,Hta_18-0.25),IF(G6&lt;=Hta_19-0.25,0,Hta_19-0.25),IF(G6&lt;=Hta_20-0.25,0,Hta_20-0.25),IF(G6&lt;=Hta_21-0.25,0,Hta_21-0.25),IF(G6&lt;=Hta_22-0.25,0,Hta_22-0.25),IF(G6&lt;=Hta_23-0.25,0,Hta_23-0.25),IF(G6&lt;=Hta_24-0.25,0,Hta_24-0.25),IF(G6&lt;=Hta_25-0.25,0,Hta_25-0.25),IF(G6&lt;=Hta_26-0.25,0,Hta_26-0.25),IF(G6&lt;=Hta_27-0.25,0,Hta_27-0.25),IF(G6&lt;=Hta_28-0.25,0,Hta_28-0.25),IF(G6&lt;=Hta_29-0.25,0,Hta_29-0.25),IF(G6&lt;=Hta_30-0.25,0,Hta_30-0.25)),MAX(IF(G6&lt;=Hba_1,0,Hba_1),IF(G6&lt;=Hba_2,0,Hba_2),IF(G6&lt;=Hba_3,0,Hba_3),IF(G6&lt;=Hba_4,0,Hba_4),IF(G6&lt;=Hba_5,0,Hba_5),IF(G6&lt;=Hba_6,0,Hba_6),IF(G6&lt;=Hba_7,0,Hba_7),IF(G6&lt;=Hba_8,0,Hba_8),IF(G6&lt;=Hba_9,0,Hba_9),IF(G6&lt;=Hba_10,0,Hba_10),IF(G6&lt;=Hba_11,0,Hba_11),IF(G6&lt;=Hba_12,0,Hba_12),IF(G6&lt;=Hba_13,0,Hba_13),IF(G6&lt;=Hba_14,0,Hba_14),IF(G6&lt;=Hba_15,0,Hba_15),IF(G6&lt;=Hba_16,0,Hba_16),IF(G6&lt;=Hba_17,0,Hba_17),IF(G6&lt;=Hba_18,0,Hba_18),IF(G6&lt;=Hba_19,0,Hba_19),IF(G6&lt;=Hba_20,0,Hba_20),IF(G6&lt;=Hba_21,0,Hba_21),IF(G6&lt;=Hba_22,0,Hba_22),IF(G6&lt;=Hba_23,0,Hba_23),IF(G6&lt;=Hba_24,0,Hba_24),IF(G6&lt;=Hba_25,0,Hba_25),IF(G6&lt;=Hba_26,0,Hba_26),IF(G6&lt;=Hba_27,0,Hba_27),IF(G6&lt;=Hba_28,0,Hba_28),IF(G6&lt;=Hba_29,0,Hba_29),IF(G6&lt;=Hba_30,0,Hba_30)),MAX(IF(G6&lt;=Input!$C$8,0,Input!$C$8),IF(G6&lt;=Input!$C$9,0,Input!$C$9),IF(G6&lt;=Input!$C$10,0,Input!$C$10),IF(G6&lt;=Input!$C$11,0,Input!$C$11),IF(G6&lt;=Input!$C$12,0,Input!$C$12),IF(G6&lt;=Input!$C$13,0,Input!$C$13),IF(G6&lt;=Input!$C$14,0,Input!$C$14),IF(G6&lt;=Input!$C$15,0,Input!$C$15),IF(G6&lt;=Input!$C$16,0,Input!$C$16)),MAX(IF(G6&lt;=Hba_1-0.25,0,Hba_1-0.25),IF(G6&lt;=Hba_2-0.25,0,Hba_2-0.25),IF(G6&lt;=Hba_3-0.25,0,Hba_3-0.25),IF(G6&lt;=Hba_4-0.25,0,Hba_4-0.25),IF(G6&lt;=Hba_5-0.25,0,Hba_5-0.25),IF(G6&lt;=Hba_6-0.25,0,Hba_6-0.25),IF(G6&lt;=Hba_7-0.25,0,Hba_7-0.25),IF(G6&lt;=Hba_8-0.25,0,Hba_8-0.25),IF(G6&lt;=Hba_9-0.25,0,Hba_9-0.25),IF(G6&lt;=Hba_10-0.25,0,Hba_10-0.25),IF(G6&lt;=Hba_11-0.25,0,Hba_11-0.25),IF(G6&lt;=Hba_12-0.25,0,Hba_12-0.25),IF(G6&lt;=Hba_13-0.25,0,Hba_13-0.25),IF(G6&lt;=Hba_14-0.25,0,Hba_14-0.25),IF(G6&lt;=Hba_15-0.25,0,Hba_15-0.25),IF(G6&lt;=Hba_16-0.25,0,Hba_16-0.25),IF(G6&lt;=Hba_17-0.25,0,Hba_17-0.25),IF(G6&lt;=Hba_18-0.25,0,Hba_18-0.25),IF(G6&lt;=Hba_19-0.25,0,Hba_19-0.25),IF(G6&lt;=Hba_20-0.25,0,Hba_20-0.25),IF(G6&lt;=Hba_21-0.25,0,Hba_21-0.25),IF(G6&lt;=Hba_22-0.25,0,Hba_22-0.25),IF(G6&lt;=Hba_23-0.25,0,Hba_23-0.25),IF(G6&lt;=Hba_24-0.25,0,Hba_24-0.25),IF(G6&lt;=Hba_25-0.25,0,Hba_25-0.25),IF(G6&lt;=Hba_26-0.25,0,Hba_26-0.25),IF(G6&lt;=Hba_27-0.25,0,Hba_27-0.25),IF(G6&lt;=Hba_28-0.25,0,Hba_28-0.25),IF(G6&lt;=Hba_29-0.25,0,Hba_29-0.25),IF(G6&lt;=Hba_30-0.25,0,Hba_30-0.25)),IF(G6&lt;='Macro References'!$A$38,0,'Macro References'!$A$38)))</f>
        <v/>
      </c>
      <c r="H7" s="769"/>
      <c r="I7" s="228"/>
      <c r="J7" s="228"/>
      <c r="K7" s="228"/>
      <c r="L7" s="717" t="str">
        <f t="shared" si="0"/>
        <v/>
      </c>
      <c r="M7" s="717"/>
      <c r="N7" s="717"/>
      <c r="O7" s="717"/>
      <c r="P7" s="717" t="str">
        <f>IF(OR(G7=0,G7=""),"",IF(VLOOKUP(G7,'Geometry 2'!$C$4:$AI$14,1,TRUE)=VLOOKUP(G8,'Geometry 2'!$C$4:$AI$14,1,TRUE),"",IF(VLOOKUP(G7,'Geometry 2'!$C$4:$AI$14,33,TRUE)&lt;&gt;"n/a",MIN(G7,VLOOKUP(G7,'Geometry 2'!$C$4:$AI$14,1,TRUE))-VLOOKUP(G7,'Geometry 2'!$C$4:$AI$14,33,TRUE),"check")))</f>
        <v/>
      </c>
      <c r="Q7" s="717"/>
      <c r="R7" s="717"/>
      <c r="S7" s="717"/>
      <c r="T7" s="717" t="str">
        <f>IF($G7="","",VLOOKUP($G7,'Geometry 2'!$E$4:$AH$14,11,TRUE))</f>
        <v/>
      </c>
      <c r="U7" s="717"/>
      <c r="V7" s="717"/>
      <c r="W7" s="717"/>
      <c r="X7" s="716" t="str">
        <f>IF($G7="","",VLOOKUP($G7,'Geometry 2'!$E$4:$AJ$14,19,TRUE)-12*VLOOKUP($G7,'Geometry 2'!$E$4:$AJ$14,32,TRUE)*($D7-VLOOKUP($G7,'Geometry 2'!$E$5:$AH$14,1,TRUE)))</f>
        <v/>
      </c>
      <c r="Y7" s="716"/>
      <c r="Z7" s="716"/>
      <c r="AA7" s="716"/>
      <c r="AB7" s="757" t="str">
        <f>IF($G7="","",VLOOKUP($G7,'Geometry 2'!$E$4:$AJ$14,19,TRUE)-12*VLOOKUP($G7,'Geometry 2'!$E$4:$AJ$14,32,TRUE)*($G7-VLOOKUP($G7,'Geometry 2'!$E$5:$AH$14,1,TRUE)))</f>
        <v/>
      </c>
      <c r="AC7" s="758"/>
      <c r="AD7" s="758"/>
      <c r="AE7" s="759"/>
      <c r="AF7" s="716" t="str">
        <f>IF($G7="","",VLOOKUP($G7,'Geometry 2'!$E$4:$AJ$14,19,TRUE)-12*VLOOKUP($G7,'Geometry 2'!$E$4:$AJ$14,32,TRUE)*($G7-IF($P7="",0,$P7)-VLOOKUP($G7,'Geometry 2'!$E$5:$AH$14,1,TRUE)))</f>
        <v/>
      </c>
      <c r="AG7" s="716"/>
      <c r="AH7" s="716"/>
      <c r="AI7" s="716"/>
      <c r="AJ7" s="746" t="str">
        <f>IF($G7="","",VLOOKUP($G7,'Geometry 2'!$E$4:$AH$14,23,TRUE))</f>
        <v/>
      </c>
      <c r="AK7" s="747"/>
      <c r="AL7" s="747"/>
      <c r="AM7" s="748"/>
      <c r="AN7" s="717"/>
      <c r="AO7" s="717"/>
      <c r="AP7" s="717"/>
      <c r="AQ7" s="717"/>
      <c r="AR7" s="717" t="str">
        <f>IF($G7="","",VLOOKUP($G7,'Geometry 2'!$E$4:$AH$14,27,TRUE))</f>
        <v/>
      </c>
      <c r="AS7" s="717"/>
      <c r="AT7" s="717"/>
      <c r="AU7" s="718"/>
      <c r="AV7" s="715"/>
      <c r="AW7" s="716"/>
      <c r="AX7" s="716"/>
      <c r="AZ7" s="722" t="str">
        <f t="shared" ref="AZ7:AZ70" si="5">IF(G7="","",CONCATENATE(ROUND(D7,2)," ",F7," ",ROUND(G7,2)))</f>
        <v/>
      </c>
      <c r="BA7" s="723"/>
      <c r="BB7" s="723"/>
      <c r="BC7" s="724"/>
      <c r="BD7" s="722"/>
      <c r="BE7" s="723"/>
      <c r="BF7" s="723"/>
      <c r="BG7" s="722" t="str">
        <f t="shared" si="1"/>
        <v/>
      </c>
      <c r="BH7" s="723"/>
      <c r="BI7" s="723"/>
      <c r="BJ7" s="723"/>
      <c r="BK7" s="724"/>
      <c r="BL7" s="722"/>
      <c r="BM7" s="723"/>
      <c r="BN7" s="723"/>
      <c r="BO7" s="723"/>
      <c r="BP7" s="725"/>
      <c r="BQ7" s="725"/>
      <c r="BR7" s="722" t="str">
        <f>IF(BP7="","",IF(OR(AND(Rev="H",Calculations!$F$27=TRUE),AND(Rev&lt;&gt;"H",Calculations!$F$30=TRUE)),IF(BP7&lt;=1,"Pass","Fail"),IF(BP7&lt;=1.05,"Pass","Fail")))</f>
        <v/>
      </c>
      <c r="BS7" s="723"/>
      <c r="BT7" s="724"/>
      <c r="BU7" s="49"/>
      <c r="BV7" s="25" t="str">
        <f>IFERROR(CONCATENATE(IF(AND($G7&lt;Hta_1,$G7&gt;=Hba_1,Input!U$21&lt;&gt;""),Input!$B$21&amp;";",""),IF(AND($G7&lt;Hta_2,$G7&gt;=Hba_2,Input!U$22&lt;&gt;""),Input!$B$22&amp;";",""),IF(AND($G7&lt;Hta_3,$G7&gt;=Hba_3,Input!U$23&lt;&gt;""),Input!$B$23&amp;";",""),IF(AND($G7&lt;Hta_4,$G7&gt;=Hba_4,Input!U$24&lt;&gt;""),Input!$B$24&amp;";",""),IF(AND($G7&lt;Hta_5,$G7&gt;=Hba_5,Input!U$25&lt;&gt;""),Input!$B$25&amp;";",""),IF(AND($G7&lt;Hta_6,$G7&gt;=Hba_6,Input!U$26&lt;&gt;""),Input!$B$26&amp;";",""),IF(AND($G7&lt;Hta_7,$G7&gt;=Hba_7,Input!U$27&lt;&gt;""),Input!$B$27&amp;";",""),IF(AND($G7&lt;Hta_8,$G7&gt;=Hba_8,Input!U$28&lt;&gt;""),Input!$B$28&amp;";",""),IF(AND($G7&lt;Hta_9,$G7&gt;=Hba_9,Input!U$29&lt;&gt;""),Input!$B$29&amp;";",""),IF(AND($G7&lt;Hta_10,$G7&gt;=Hba_10,Input!U$30&lt;&gt;""),Input!$B$30&amp;";",""),IF(AND($G7&lt;Hta_11,$G7&gt;=Hba_11,Input!U$31&lt;&gt;""),Input!$B$31&amp;";",""),IF(AND($G7&lt;Hta_12,$G7&gt;=Hba_12,Input!U$32&lt;&gt;""),Input!$B$32&amp;";",""),IF(AND($G7&lt;Hta_13,$G7&gt;=Hba_13,Input!U$33&lt;&gt;""),Input!$B$33&amp;";",""),IF(AND($G7&lt;Hta_14,$G7&gt;=Hba_14,Input!U$34&lt;&gt;""),Input!$B$34&amp;";",""),IF(AND($G7&lt;Hta_15,$G7&gt;=Hba_15,Input!U$35&lt;&gt;""),Input!$B$35&amp;";",""),IF(AND($G7&lt;Hta_16,$G7&gt;=Hba_16,Input!U$36&lt;&gt;""),Input!$B$36&amp;";",""),IF(AND($G7&lt;Hta_17,$G7&gt;=Hba_17,Input!U$37&lt;&gt;""),Input!$B$37&amp;";",""),IF(AND($G7&lt;Hta_18,$G7&gt;=Hba_18,Input!U$38&lt;&gt;""),Input!$B$38&amp;";",""),IF(AND($G7&lt;Hta_19,$G7&gt;=Hba_19,Input!U$39&lt;&gt;""),Input!$B$39&amp;";",""),IF(AND($G7&lt;Hta_20,$G7&gt;=Hba_20,Input!U$40&lt;&gt;""),Input!$B$40&amp;";",""),IF(AND($G7&lt;Hta_21,$G7&gt;=Hba_21,Input!U$41&lt;&gt;""),Input!$B$41&amp;";",""),IF(AND($G7&lt;Hta_22,$G7&gt;=Hba_22,Input!U$42&lt;&gt;""),Input!$B$42&amp;";",""),IF(AND($G7&lt;Hta_23,$G7&gt;=Hba_23,Input!U$43&lt;&gt;""),Input!$B$43&amp;";",""),IF(AND($G7&lt;Hta_24,$G7&gt;=Hba_24,Input!U$44&lt;&gt;""),Input!$B$44&amp;";",""),IF(AND($G7&lt;Hta_25,$G7&gt;=Hba_25,Input!U$45&lt;&gt;""),Input!$B$45&amp;";",""),IF(AND($G7&lt;Hta_26,$G7&gt;=Hba_26,Input!U$46&lt;&gt;""),Input!$B$46&amp;";",""),IF(AND($G7&lt;Hta_27,$G7&gt;=Hba_27,Input!U$47&lt;&gt;""),Input!$B$47&amp;";",""),IF(AND($G7&lt;Hta_28,$G7&gt;=Hba_28,Input!U$48&lt;&gt;""),Input!$B$48&amp;";",""),IF(AND($G7&lt;Hta_29,$G7&gt;=Hba_29,Input!U$49&lt;&gt;""),Input!$B$49&amp;";",""),IF(AND($G7&lt;Hta_30,$G7&gt;=Hba_30,Input!U$50&lt;&gt;""),Input!$B$50&amp;";","")),"")</f>
        <v/>
      </c>
      <c r="BW7" s="25" t="str">
        <f>IFERROR(CONCATENATE(IF(AND($G7&lt;Hta_1,$G7&gt;=Hba_1,Input!V$21&lt;&gt;""),Input!$B$21&amp;";",""),IF(AND($G7&lt;Hta_2,$G7&gt;=Hba_2,Input!V$22&lt;&gt;""),Input!$B$22&amp;";",""),IF(AND($G7&lt;Hta_3,$G7&gt;=Hba_3,Input!V$23&lt;&gt;""),Input!$B$23&amp;";",""),IF(AND($G7&lt;Hta_4,$G7&gt;=Hba_4,Input!V$24&lt;&gt;""),Input!$B$24&amp;";",""),IF(AND($G7&lt;Hta_5,$G7&gt;=Hba_5,Input!V$25&lt;&gt;""),Input!$B$25&amp;";",""),IF(AND($G7&lt;Hta_6,$G7&gt;=Hba_6,Input!V$26&lt;&gt;""),Input!$B$26&amp;";",""),IF(AND($G7&lt;Hta_7,$G7&gt;=Hba_7,Input!V$27&lt;&gt;""),Input!$B$27&amp;";",""),IF(AND($G7&lt;Hta_8,$G7&gt;=Hba_8,Input!V$28&lt;&gt;""),Input!$B$28&amp;";",""),IF(AND($G7&lt;Hta_9,$G7&gt;=Hba_9,Input!V$29&lt;&gt;""),Input!$B$29&amp;";",""),IF(AND($G7&lt;Hta_10,$G7&gt;=Hba_10,Input!V$30&lt;&gt;""),Input!$B$30&amp;";",""),IF(AND($G7&lt;Hta_11,$G7&gt;=Hba_11,Input!V$31&lt;&gt;""),Input!$B$31&amp;";",""),IF(AND($G7&lt;Hta_12,$G7&gt;=Hba_12,Input!V$32&lt;&gt;""),Input!$B$32&amp;";",""),IF(AND($G7&lt;Hta_13,$G7&gt;=Hba_13,Input!V$33&lt;&gt;""),Input!$B$33&amp;";",""),IF(AND($G7&lt;Hta_14,$G7&gt;=Hba_14,Input!V$34&lt;&gt;""),Input!$B$34&amp;";",""),IF(AND($G7&lt;Hta_15,$G7&gt;=Hba_15,Input!V$35&lt;&gt;""),Input!$B$35&amp;";",""),IF(AND($G7&lt;Hta_16,$G7&gt;=Hba_16,Input!V$36&lt;&gt;""),Input!$B$36&amp;";",""),IF(AND($G7&lt;Hta_17,$G7&gt;=Hba_17,Input!V$37&lt;&gt;""),Input!$B$37&amp;";",""),IF(AND($G7&lt;Hta_18,$G7&gt;=Hba_18,Input!V$38&lt;&gt;""),Input!$B$38&amp;";",""),IF(AND($G7&lt;Hta_19,$G7&gt;=Hba_19,Input!V$39&lt;&gt;""),Input!$B$39&amp;";",""),IF(AND($G7&lt;Hta_20,$G7&gt;=Hba_20,Input!V$40&lt;&gt;""),Input!$B$40&amp;";",""),IF(AND($G7&lt;Hta_21,$G7&gt;=Hba_21,Input!V$41&lt;&gt;""),Input!$B$41&amp;";",""),IF(AND($G7&lt;Hta_22,$G7&gt;=Hba_22,Input!V$42&lt;&gt;""),Input!$B$42&amp;";",""),IF(AND($G7&lt;Hta_23,$G7&gt;=Hba_23,Input!V$43&lt;&gt;""),Input!$B$43&amp;";",""),IF(AND($G7&lt;Hta_24,$G7&gt;=Hba_24,Input!V$44&lt;&gt;""),Input!$B$44&amp;";",""),IF(AND($G7&lt;Hta_25,$G7&gt;=Hba_25,Input!V$45&lt;&gt;""),Input!$B$45&amp;";",""),IF(AND($G7&lt;Hta_26,$G7&gt;=Hba_26,Input!V$46&lt;&gt;""),Input!$B$46&amp;";",""),IF(AND($G7&lt;Hta_27,$G7&gt;=Hba_27,Input!V$47&lt;&gt;""),Input!$B$47&amp;";",""),IF(AND($G7&lt;Hta_28,$G7&gt;=Hba_28,Input!V$48&lt;&gt;""),Input!$B$48&amp;";",""),IF(AND($G7&lt;Hta_29,$G7&gt;=Hba_29,Input!V$49&lt;&gt;""),Input!$B$49&amp;";",""),IF(AND($G7&lt;Hta_30,$G7&gt;=Hba_30,Input!V$50&lt;&gt;""),Input!$B$50&amp;";","")),"")</f>
        <v/>
      </c>
      <c r="BX7" s="25" t="str">
        <f>IFERROR(CONCATENATE(IF(AND($G7&lt;Hta_1,$G7&gt;=Hba_1,Input!W$21&lt;&gt;""),Input!$B$21&amp;";",""),IF(AND($G7&lt;Hta_2,$G7&gt;=Hba_2,Input!W$22&lt;&gt;""),Input!$B$22&amp;";",""),IF(AND($G7&lt;Hta_3,$G7&gt;=Hba_3,Input!W$23&lt;&gt;""),Input!$B$23&amp;";",""),IF(AND($G7&lt;Hta_4,$G7&gt;=Hba_4,Input!W$24&lt;&gt;""),Input!$B$24&amp;";",""),IF(AND($G7&lt;Hta_5,$G7&gt;=Hba_5,Input!W$25&lt;&gt;""),Input!$B$25&amp;";",""),IF(AND($G7&lt;Hta_6,$G7&gt;=Hba_6,Input!W$26&lt;&gt;""),Input!$B$26&amp;";",""),IF(AND($G7&lt;Hta_7,$G7&gt;=Hba_7,Input!W$27&lt;&gt;""),Input!$B$27&amp;";",""),IF(AND($G7&lt;Hta_8,$G7&gt;=Hba_8,Input!W$28&lt;&gt;""),Input!$B$28&amp;";",""),IF(AND($G7&lt;Hta_9,$G7&gt;=Hba_9,Input!W$29&lt;&gt;""),Input!$B$29&amp;";",""),IF(AND($G7&lt;Hta_10,$G7&gt;=Hba_10,Input!W$30&lt;&gt;""),Input!$B$30&amp;";",""),IF(AND($G7&lt;Hta_11,$G7&gt;=Hba_11,Input!W$31&lt;&gt;""),Input!$B$31&amp;";",""),IF(AND($G7&lt;Hta_12,$G7&gt;=Hba_12,Input!W$32&lt;&gt;""),Input!$B$32&amp;";",""),IF(AND($G7&lt;Hta_13,$G7&gt;=Hba_13,Input!W$33&lt;&gt;""),Input!$B$33&amp;";",""),IF(AND($G7&lt;Hta_14,$G7&gt;=Hba_14,Input!W$34&lt;&gt;""),Input!$B$34&amp;";",""),IF(AND($G7&lt;Hta_15,$G7&gt;=Hba_15,Input!W$35&lt;&gt;""),Input!$B$35&amp;";",""),IF(AND($G7&lt;Hta_16,$G7&gt;=Hba_16,Input!W$36&lt;&gt;""),Input!$B$36&amp;";",""),IF(AND($G7&lt;Hta_17,$G7&gt;=Hba_17,Input!W$37&lt;&gt;""),Input!$B$37&amp;";",""),IF(AND($G7&lt;Hta_18,$G7&gt;=Hba_18,Input!W$38&lt;&gt;""),Input!$B$38&amp;";",""),IF(AND($G7&lt;Hta_19,$G7&gt;=Hba_19,Input!W$39&lt;&gt;""),Input!$B$39&amp;";",""),IF(AND($G7&lt;Hta_20,$G7&gt;=Hba_20,Input!W$40&lt;&gt;""),Input!$B$40&amp;";",""),IF(AND($G7&lt;Hta_21,$G7&gt;=Hba_21,Input!W$41&lt;&gt;""),Input!$B$41&amp;";",""),IF(AND($G7&lt;Hta_22,$G7&gt;=Hba_22,Input!W$42&lt;&gt;""),Input!$B$42&amp;";",""),IF(AND($G7&lt;Hta_23,$G7&gt;=Hba_23,Input!W$43&lt;&gt;""),Input!$B$43&amp;";",""),IF(AND($G7&lt;Hta_24,$G7&gt;=Hba_24,Input!W$44&lt;&gt;""),Input!$B$44&amp;";",""),IF(AND($G7&lt;Hta_25,$G7&gt;=Hba_25,Input!W$45&lt;&gt;""),Input!$B$45&amp;";",""),IF(AND($G7&lt;Hta_26,$G7&gt;=Hba_26,Input!W$46&lt;&gt;""),Input!$B$46&amp;";",""),IF(AND($G7&lt;Hta_27,$G7&gt;=Hba_27,Input!W$47&lt;&gt;""),Input!$B$47&amp;";",""),IF(AND($G7&lt;Hta_28,$G7&gt;=Hba_28,Input!W$48&lt;&gt;""),Input!$B$48&amp;";",""),IF(AND($G7&lt;Hta_29,$G7&gt;=Hba_29,Input!W$49&lt;&gt;""),Input!$B$49&amp;";",""),IF(AND($G7&lt;Hta_30,$G7&gt;=Hba_30,Input!W$50&lt;&gt;""),Input!$B$50&amp;";","")),"")</f>
        <v/>
      </c>
      <c r="BY7" s="25" t="str">
        <f>IFERROR(CONCATENATE(IF(AND($G7&lt;Hta_1,$G7&gt;=Hba_1,Input!X$21&lt;&gt;""),Input!$B$21&amp;";",""),IF(AND($G7&lt;Hta_2,$G7&gt;=Hba_2,Input!X$22&lt;&gt;""),Input!$B$22&amp;";",""),IF(AND($G7&lt;Hta_3,$G7&gt;=Hba_3,Input!X$23&lt;&gt;""),Input!$B$23&amp;";",""),IF(AND($G7&lt;Hta_4,$G7&gt;=Hba_4,Input!X$24&lt;&gt;""),Input!$B$24&amp;";",""),IF(AND($G7&lt;Hta_5,$G7&gt;=Hba_5,Input!X$25&lt;&gt;""),Input!$B$25&amp;";",""),IF(AND($G7&lt;Hta_6,$G7&gt;=Hba_6,Input!X$26&lt;&gt;""),Input!$B$26&amp;";",""),IF(AND($G7&lt;Hta_7,$G7&gt;=Hba_7,Input!X$27&lt;&gt;""),Input!$B$27&amp;";",""),IF(AND($G7&lt;Hta_8,$G7&gt;=Hba_8,Input!X$28&lt;&gt;""),Input!$B$28&amp;";",""),IF(AND($G7&lt;Hta_9,$G7&gt;=Hba_9,Input!X$29&lt;&gt;""),Input!$B$29&amp;";",""),IF(AND($G7&lt;Hta_10,$G7&gt;=Hba_10,Input!X$30&lt;&gt;""),Input!$B$30&amp;";",""),IF(AND($G7&lt;Hta_11,$G7&gt;=Hba_11,Input!X$31&lt;&gt;""),Input!$B$31&amp;";",""),IF(AND($G7&lt;Hta_12,$G7&gt;=Hba_12,Input!X$32&lt;&gt;""),Input!$B$32&amp;";",""),IF(AND($G7&lt;Hta_13,$G7&gt;=Hba_13,Input!X$33&lt;&gt;""),Input!$B$33&amp;";",""),IF(AND($G7&lt;Hta_14,$G7&gt;=Hba_14,Input!X$34&lt;&gt;""),Input!$B$34&amp;";",""),IF(AND($G7&lt;Hta_15,$G7&gt;=Hba_15,Input!X$35&lt;&gt;""),Input!$B$35&amp;";",""),IF(AND($G7&lt;Hta_16,$G7&gt;=Hba_16,Input!X$36&lt;&gt;""),Input!$B$36&amp;";",""),IF(AND($G7&lt;Hta_17,$G7&gt;=Hba_17,Input!X$37&lt;&gt;""),Input!$B$37&amp;";",""),IF(AND($G7&lt;Hta_18,$G7&gt;=Hba_18,Input!X$38&lt;&gt;""),Input!$B$38&amp;";",""),IF(AND($G7&lt;Hta_19,$G7&gt;=Hba_19,Input!X$39&lt;&gt;""),Input!$B$39&amp;";",""),IF(AND($G7&lt;Hta_20,$G7&gt;=Hba_20,Input!X$40&lt;&gt;""),Input!$B$40&amp;";",""),IF(AND($G7&lt;Hta_21,$G7&gt;=Hba_21,Input!X$41&lt;&gt;""),Input!$B$41&amp;";",""),IF(AND($G7&lt;Hta_22,$G7&gt;=Hba_22,Input!X$42&lt;&gt;""),Input!$B$42&amp;";",""),IF(AND($G7&lt;Hta_23,$G7&gt;=Hba_23,Input!X$43&lt;&gt;""),Input!$B$43&amp;";",""),IF(AND($G7&lt;Hta_24,$G7&gt;=Hba_24,Input!X$44&lt;&gt;""),Input!$B$44&amp;";",""),IF(AND($G7&lt;Hta_25,$G7&gt;=Hba_25,Input!X$45&lt;&gt;""),Input!$B$45&amp;";",""),IF(AND($G7&lt;Hta_26,$G7&gt;=Hba_26,Input!X$46&lt;&gt;""),Input!$B$46&amp;";",""),IF(AND($G7&lt;Hta_27,$G7&gt;=Hba_27,Input!X$47&lt;&gt;""),Input!$B$47&amp;";",""),IF(AND($G7&lt;Hta_28,$G7&gt;=Hba_28,Input!X$48&lt;&gt;""),Input!$B$48&amp;";",""),IF(AND($G7&lt;Hta_29,$G7&gt;=Hba_29,Input!X$49&lt;&gt;""),Input!$B$49&amp;";",""),IF(AND($G7&lt;Hta_30,$G7&gt;=Hba_30,Input!X$50&lt;&gt;""),Input!$B$50&amp;";","")),"")</f>
        <v/>
      </c>
      <c r="BZ7" s="25" t="str">
        <f>IFERROR(CONCATENATE(IF(AND($G7&lt;Hta_1,$G7&gt;=Hba_1,Input!Y$21&lt;&gt;""),Input!$B$21&amp;";",""),IF(AND($G7&lt;Hta_2,$G7&gt;=Hba_2,Input!Y$22&lt;&gt;""),Input!$B$22&amp;";",""),IF(AND($G7&lt;Hta_3,$G7&gt;=Hba_3,Input!Y$23&lt;&gt;""),Input!$B$23&amp;";",""),IF(AND($G7&lt;Hta_4,$G7&gt;=Hba_4,Input!Y$24&lt;&gt;""),Input!$B$24&amp;";",""),IF(AND($G7&lt;Hta_5,$G7&gt;=Hba_5,Input!Y$25&lt;&gt;""),Input!$B$25&amp;";",""),IF(AND($G7&lt;Hta_6,$G7&gt;=Hba_6,Input!Y$26&lt;&gt;""),Input!$B$26&amp;";",""),IF(AND($G7&lt;Hta_7,$G7&gt;=Hba_7,Input!Y$27&lt;&gt;""),Input!$B$27&amp;";",""),IF(AND($G7&lt;Hta_8,$G7&gt;=Hba_8,Input!Y$28&lt;&gt;""),Input!$B$28&amp;";",""),IF(AND($G7&lt;Hta_9,$G7&gt;=Hba_9,Input!Y$29&lt;&gt;""),Input!$B$29&amp;";",""),IF(AND($G7&lt;Hta_10,$G7&gt;=Hba_10,Input!Y$30&lt;&gt;""),Input!$B$30&amp;";",""),IF(AND($G7&lt;Hta_11,$G7&gt;=Hba_11,Input!Y$31&lt;&gt;""),Input!$B$31&amp;";",""),IF(AND($G7&lt;Hta_12,$G7&gt;=Hba_12,Input!Y$32&lt;&gt;""),Input!$B$32&amp;";",""),IF(AND($G7&lt;Hta_13,$G7&gt;=Hba_13,Input!Y$33&lt;&gt;""),Input!$B$33&amp;";",""),IF(AND($G7&lt;Hta_14,$G7&gt;=Hba_14,Input!Y$34&lt;&gt;""),Input!$B$34&amp;";",""),IF(AND($G7&lt;Hta_15,$G7&gt;=Hba_15,Input!Y$35&lt;&gt;""),Input!$B$35&amp;";",""),IF(AND($G7&lt;Hta_16,$G7&gt;=Hba_16,Input!Y$36&lt;&gt;""),Input!$B$36&amp;";",""),IF(AND($G7&lt;Hta_17,$G7&gt;=Hba_17,Input!Y$37&lt;&gt;""),Input!$B$37&amp;";",""),IF(AND($G7&lt;Hta_18,$G7&gt;=Hba_18,Input!Y$38&lt;&gt;""),Input!$B$38&amp;";",""),IF(AND($G7&lt;Hta_19,$G7&gt;=Hba_19,Input!Y$39&lt;&gt;""),Input!$B$39&amp;";",""),IF(AND($G7&lt;Hta_20,$G7&gt;=Hba_20,Input!Y$40&lt;&gt;""),Input!$B$40&amp;";",""),IF(AND($G7&lt;Hta_21,$G7&gt;=Hba_21,Input!Y$41&lt;&gt;""),Input!$B$41&amp;";",""),IF(AND($G7&lt;Hta_22,$G7&gt;=Hba_22,Input!Y$42&lt;&gt;""),Input!$B$42&amp;";",""),IF(AND($G7&lt;Hta_23,$G7&gt;=Hba_23,Input!Y$43&lt;&gt;""),Input!$B$43&amp;";",""),IF(AND($G7&lt;Hta_24,$G7&gt;=Hba_24,Input!Y$44&lt;&gt;""),Input!$B$44&amp;";",""),IF(AND($G7&lt;Hta_25,$G7&gt;=Hba_25,Input!Y$45&lt;&gt;""),Input!$B$45&amp;";",""),IF(AND($G7&lt;Hta_26,$G7&gt;=Hba_26,Input!Y$46&lt;&gt;""),Input!$B$46&amp;";",""),IF(AND($G7&lt;Hta_27,$G7&gt;=Hba_27,Input!Y$47&lt;&gt;""),Input!$B$47&amp;";",""),IF(AND($G7&lt;Hta_28,$G7&gt;=Hba_28,Input!Y$48&lt;&gt;""),Input!$B$48&amp;";",""),IF(AND($G7&lt;Hta_29,$G7&gt;=Hba_29,Input!Y$49&lt;&gt;""),Input!$B$49&amp;";",""),IF(AND($G7&lt;Hta_30,$G7&gt;=Hba_30,Input!Y$50&lt;&gt;""),Input!$B$50&amp;";","")),"")</f>
        <v/>
      </c>
      <c r="CA7" s="25" t="str">
        <f>IFERROR(CONCATENATE(IF(AND($G7&lt;Hta_1,$G7&gt;=Hba_1,Input!Z$21&lt;&gt;""),Input!$B$21&amp;";",""),IF(AND($G7&lt;Hta_2,$G7&gt;=Hba_2,Input!Z$22&lt;&gt;""),Input!$B$22&amp;";",""),IF(AND($G7&lt;Hta_3,$G7&gt;=Hba_3,Input!Z$23&lt;&gt;""),Input!$B$23&amp;";",""),IF(AND($G7&lt;Hta_4,$G7&gt;=Hba_4,Input!Z$24&lt;&gt;""),Input!$B$24&amp;";",""),IF(AND($G7&lt;Hta_5,$G7&gt;=Hba_5,Input!Z$25&lt;&gt;""),Input!$B$25&amp;";",""),IF(AND($G7&lt;Hta_6,$G7&gt;=Hba_6,Input!Z$26&lt;&gt;""),Input!$B$26&amp;";",""),IF(AND($G7&lt;Hta_7,$G7&gt;=Hba_7,Input!Z$27&lt;&gt;""),Input!$B$27&amp;";",""),IF(AND($G7&lt;Hta_8,$G7&gt;=Hba_8,Input!Z$28&lt;&gt;""),Input!$B$28&amp;";",""),IF(AND($G7&lt;Hta_9,$G7&gt;=Hba_9,Input!Z$29&lt;&gt;""),Input!$B$29&amp;";",""),IF(AND($G7&lt;Hta_10,$G7&gt;=Hba_10,Input!Z$30&lt;&gt;""),Input!$B$30&amp;";",""),IF(AND($G7&lt;Hta_11,$G7&gt;=Hba_11,Input!Z$31&lt;&gt;""),Input!$B$31&amp;";",""),IF(AND($G7&lt;Hta_12,$G7&gt;=Hba_12,Input!Z$32&lt;&gt;""),Input!$B$32&amp;";",""),IF(AND($G7&lt;Hta_13,$G7&gt;=Hba_13,Input!Z$33&lt;&gt;""),Input!$B$33&amp;";",""),IF(AND($G7&lt;Hta_14,$G7&gt;=Hba_14,Input!Z$34&lt;&gt;""),Input!$B$34&amp;";",""),IF(AND($G7&lt;Hta_15,$G7&gt;=Hba_15,Input!Z$35&lt;&gt;""),Input!$B$35&amp;";",""),IF(AND($G7&lt;Hta_16,$G7&gt;=Hba_16,Input!Z$36&lt;&gt;""),Input!$B$36&amp;";",""),IF(AND($G7&lt;Hta_17,$G7&gt;=Hba_17,Input!Z$37&lt;&gt;""),Input!$B$37&amp;";",""),IF(AND($G7&lt;Hta_18,$G7&gt;=Hba_18,Input!Z$38&lt;&gt;""),Input!$B$38&amp;";",""),IF(AND($G7&lt;Hta_19,$G7&gt;=Hba_19,Input!Z$39&lt;&gt;""),Input!$B$39&amp;";",""),IF(AND($G7&lt;Hta_20,$G7&gt;=Hba_20,Input!Z$40&lt;&gt;""),Input!$B$40&amp;";",""),IF(AND($G7&lt;Hta_21,$G7&gt;=Hba_21,Input!Z$41&lt;&gt;""),Input!$B$41&amp;";",""),IF(AND($G7&lt;Hta_22,$G7&gt;=Hba_22,Input!Z$42&lt;&gt;""),Input!$B$42&amp;";",""),IF(AND($G7&lt;Hta_23,$G7&gt;=Hba_23,Input!Z$43&lt;&gt;""),Input!$B$43&amp;";",""),IF(AND($G7&lt;Hta_24,$G7&gt;=Hba_24,Input!Z$44&lt;&gt;""),Input!$B$44&amp;";",""),IF(AND($G7&lt;Hta_25,$G7&gt;=Hba_25,Input!Z$45&lt;&gt;""),Input!$B$45&amp;";",""),IF(AND($G7&lt;Hta_26,$G7&gt;=Hba_26,Input!Z$46&lt;&gt;""),Input!$B$46&amp;";",""),IF(AND($G7&lt;Hta_27,$G7&gt;=Hba_27,Input!Z$47&lt;&gt;""),Input!$B$47&amp;";",""),IF(AND($G7&lt;Hta_28,$G7&gt;=Hba_28,Input!Z$48&lt;&gt;""),Input!$B$48&amp;";",""),IF(AND($G7&lt;Hta_29,$G7&gt;=Hba_29,Input!Z$49&lt;&gt;""),Input!$B$49&amp;";",""),IF(AND($G7&lt;Hta_30,$G7&gt;=Hba_30,Input!Z$50&lt;&gt;""),Input!$B$50&amp;";","")),"")</f>
        <v/>
      </c>
      <c r="CB7" s="25" t="str">
        <f>IFERROR(CONCATENATE(IF(AND($G7&lt;Hta_1,$G7&gt;=Hba_1,Input!AA$21&lt;&gt;""),Input!$B$21&amp;";",""),IF(AND($G7&lt;Hta_2,$G7&gt;=Hba_2,Input!AA$22&lt;&gt;""),Input!$B$22&amp;";",""),IF(AND($G7&lt;Hta_3,$G7&gt;=Hba_3,Input!AA$23&lt;&gt;""),Input!$B$23&amp;";",""),IF(AND($G7&lt;Hta_4,$G7&gt;=Hba_4,Input!AA$24&lt;&gt;""),Input!$B$24&amp;";",""),IF(AND($G7&lt;Hta_5,$G7&gt;=Hba_5,Input!AA$25&lt;&gt;""),Input!$B$25&amp;";",""),IF(AND($G7&lt;Hta_6,$G7&gt;=Hba_6,Input!AA$26&lt;&gt;""),Input!$B$26&amp;";",""),IF(AND($G7&lt;Hta_7,$G7&gt;=Hba_7,Input!AA$27&lt;&gt;""),Input!$B$27&amp;";",""),IF(AND($G7&lt;Hta_8,$G7&gt;=Hba_8,Input!AA$28&lt;&gt;""),Input!$B$28&amp;";",""),IF(AND($G7&lt;Hta_9,$G7&gt;=Hba_9,Input!AA$29&lt;&gt;""),Input!$B$29&amp;";",""),IF(AND($G7&lt;Hta_10,$G7&gt;=Hba_10,Input!AA$30&lt;&gt;""),Input!$B$30&amp;";",""),IF(AND($G7&lt;Hta_11,$G7&gt;=Hba_11,Input!AA$31&lt;&gt;""),Input!$B$31&amp;";",""),IF(AND($G7&lt;Hta_12,$G7&gt;=Hba_12,Input!AA$32&lt;&gt;""),Input!$B$32&amp;";",""),IF(AND($G7&lt;Hta_13,$G7&gt;=Hba_13,Input!AA$33&lt;&gt;""),Input!$B$33&amp;";",""),IF(AND($G7&lt;Hta_14,$G7&gt;=Hba_14,Input!AA$34&lt;&gt;""),Input!$B$34&amp;";",""),IF(AND($G7&lt;Hta_15,$G7&gt;=Hba_15,Input!AA$35&lt;&gt;""),Input!$B$35&amp;";",""),IF(AND($G7&lt;Hta_16,$G7&gt;=Hba_16,Input!AA$36&lt;&gt;""),Input!$B$36&amp;";",""),IF(AND($G7&lt;Hta_17,$G7&gt;=Hba_17,Input!AA$37&lt;&gt;""),Input!$B$37&amp;";",""),IF(AND($G7&lt;Hta_18,$G7&gt;=Hba_18,Input!AA$38&lt;&gt;""),Input!$B$38&amp;";",""),IF(AND($G7&lt;Hta_19,$G7&gt;=Hba_19,Input!AA$39&lt;&gt;""),Input!$B$39&amp;";",""),IF(AND($G7&lt;Hta_20,$G7&gt;=Hba_20,Input!AA$40&lt;&gt;""),Input!$B$40&amp;";",""),IF(AND($G7&lt;Hta_21,$G7&gt;=Hba_21,Input!AA$41&lt;&gt;""),Input!$B$41&amp;";",""),IF(AND($G7&lt;Hta_22,$G7&gt;=Hba_22,Input!AA$42&lt;&gt;""),Input!$B$42&amp;";",""),IF(AND($G7&lt;Hta_23,$G7&gt;=Hba_23,Input!AA$43&lt;&gt;""),Input!$B$43&amp;";",""),IF(AND($G7&lt;Hta_24,$G7&gt;=Hba_24,Input!AA$44&lt;&gt;""),Input!$B$44&amp;";",""),IF(AND($G7&lt;Hta_25,$G7&gt;=Hba_25,Input!AA$45&lt;&gt;""),Input!$B$45&amp;";",""),IF(AND($G7&lt;Hta_26,$G7&gt;=Hba_26,Input!AA$46&lt;&gt;""),Input!$B$46&amp;";",""),IF(AND($G7&lt;Hta_27,$G7&gt;=Hba_27,Input!AA$47&lt;&gt;""),Input!$B$47&amp;";",""),IF(AND($G7&lt;Hta_28,$G7&gt;=Hba_28,Input!AA$48&lt;&gt;""),Input!$B$48&amp;";",""),IF(AND($G7&lt;Hta_29,$G7&gt;=Hba_29,Input!AA$49&lt;&gt;""),Input!$B$49&amp;";",""),IF(AND($G7&lt;Hta_30,$G7&gt;=Hba_30,Input!AA$50&lt;&gt;""),Input!$B$50&amp;";","")),"")</f>
        <v/>
      </c>
      <c r="CC7" s="25" t="str">
        <f>IFERROR(CONCATENATE(IF(AND($G7&lt;Hta_1,$G7&gt;=Hba_1,Input!AB$21&lt;&gt;""),Input!$B$21&amp;";",""),IF(AND($G7&lt;Hta_2,$G7&gt;=Hba_2,Input!AB$22&lt;&gt;""),Input!$B$22&amp;";",""),IF(AND($G7&lt;Hta_3,$G7&gt;=Hba_3,Input!AB$23&lt;&gt;""),Input!$B$23&amp;";",""),IF(AND($G7&lt;Hta_4,$G7&gt;=Hba_4,Input!AB$24&lt;&gt;""),Input!$B$24&amp;";",""),IF(AND($G7&lt;Hta_5,$G7&gt;=Hba_5,Input!AB$25&lt;&gt;""),Input!$B$25&amp;";",""),IF(AND($G7&lt;Hta_6,$G7&gt;=Hba_6,Input!AB$26&lt;&gt;""),Input!$B$26&amp;";",""),IF(AND($G7&lt;Hta_7,$G7&gt;=Hba_7,Input!AB$27&lt;&gt;""),Input!$B$27&amp;";",""),IF(AND($G7&lt;Hta_8,$G7&gt;=Hba_8,Input!AB$28&lt;&gt;""),Input!$B$28&amp;";",""),IF(AND($G7&lt;Hta_9,$G7&gt;=Hba_9,Input!AB$29&lt;&gt;""),Input!$B$29&amp;";",""),IF(AND($G7&lt;Hta_10,$G7&gt;=Hba_10,Input!AB$30&lt;&gt;""),Input!$B$30&amp;";",""),IF(AND($G7&lt;Hta_11,$G7&gt;=Hba_11,Input!AB$31&lt;&gt;""),Input!$B$31&amp;";",""),IF(AND($G7&lt;Hta_12,$G7&gt;=Hba_12,Input!AB$32&lt;&gt;""),Input!$B$32&amp;";",""),IF(AND($G7&lt;Hta_13,$G7&gt;=Hba_13,Input!AB$33&lt;&gt;""),Input!$B$33&amp;";",""),IF(AND($G7&lt;Hta_14,$G7&gt;=Hba_14,Input!AB$34&lt;&gt;""),Input!$B$34&amp;";",""),IF(AND($G7&lt;Hta_15,$G7&gt;=Hba_15,Input!AB$35&lt;&gt;""),Input!$B$35&amp;";",""),IF(AND($G7&lt;Hta_16,$G7&gt;=Hba_16,Input!AB$36&lt;&gt;""),Input!$B$36&amp;";",""),IF(AND($G7&lt;Hta_17,$G7&gt;=Hba_17,Input!AB$37&lt;&gt;""),Input!$B$37&amp;";",""),IF(AND($G7&lt;Hta_18,$G7&gt;=Hba_18,Input!AB$38&lt;&gt;""),Input!$B$38&amp;";",""),IF(AND($G7&lt;Hta_19,$G7&gt;=Hba_19,Input!AB$39&lt;&gt;""),Input!$B$39&amp;";",""),IF(AND($G7&lt;Hta_20,$G7&gt;=Hba_20,Input!AB$40&lt;&gt;""),Input!$B$40&amp;";",""),IF(AND($G7&lt;Hta_21,$G7&gt;=Hba_21,Input!AB$41&lt;&gt;""),Input!$B$41&amp;";",""),IF(AND($G7&lt;Hta_22,$G7&gt;=Hba_22,Input!AB$42&lt;&gt;""),Input!$B$42&amp;";",""),IF(AND($G7&lt;Hta_23,$G7&gt;=Hba_23,Input!AB$43&lt;&gt;""),Input!$B$43&amp;";",""),IF(AND($G7&lt;Hta_24,$G7&gt;=Hba_24,Input!AB$44&lt;&gt;""),Input!$B$44&amp;";",""),IF(AND($G7&lt;Hta_25,$G7&gt;=Hba_25,Input!AB$45&lt;&gt;""),Input!$B$45&amp;";",""),IF(AND($G7&lt;Hta_26,$G7&gt;=Hba_26,Input!AB$46&lt;&gt;""),Input!$B$46&amp;";",""),IF(AND($G7&lt;Hta_27,$G7&gt;=Hba_27,Input!AB$47&lt;&gt;""),Input!$B$47&amp;";",""),IF(AND($G7&lt;Hta_28,$G7&gt;=Hba_28,Input!AB$48&lt;&gt;""),Input!$B$48&amp;";",""),IF(AND($G7&lt;Hta_29,$G7&gt;=Hba_29,Input!AB$49&lt;&gt;""),Input!$B$49&amp;";",""),IF(AND($G7&lt;Hta_30,$G7&gt;=Hba_30,Input!AB$50&lt;&gt;""),Input!$B$50&amp;";","")),"")</f>
        <v/>
      </c>
      <c r="CD7" s="25" t="str">
        <f>IFERROR(CONCATENATE(IF(AND($G7&lt;Hta_1,$G7&gt;=Hba_1,Input!AC$21&lt;&gt;""),Input!$B$21&amp;";",""),IF(AND($G7&lt;Hta_2,$G7&gt;=Hba_2,Input!AC$22&lt;&gt;""),Input!$B$22&amp;";",""),IF(AND($G7&lt;Hta_3,$G7&gt;=Hba_3,Input!AC$23&lt;&gt;""),Input!$B$23&amp;";",""),IF(AND($G7&lt;Hta_4,$G7&gt;=Hba_4,Input!AC$24&lt;&gt;""),Input!$B$24&amp;";",""),IF(AND($G7&lt;Hta_5,$G7&gt;=Hba_5,Input!AC$25&lt;&gt;""),Input!$B$25&amp;";",""),IF(AND($G7&lt;Hta_6,$G7&gt;=Hba_6,Input!AC$26&lt;&gt;""),Input!$B$26&amp;";",""),IF(AND($G7&lt;Hta_7,$G7&gt;=Hba_7,Input!AC$27&lt;&gt;""),Input!$B$27&amp;";",""),IF(AND($G7&lt;Hta_8,$G7&gt;=Hba_8,Input!AC$28&lt;&gt;""),Input!$B$28&amp;";",""),IF(AND($G7&lt;Hta_9,$G7&gt;=Hba_9,Input!AC$29&lt;&gt;""),Input!$B$29&amp;";",""),IF(AND($G7&lt;Hta_10,$G7&gt;=Hba_10,Input!AC$30&lt;&gt;""),Input!$B$30&amp;";",""),IF(AND($G7&lt;Hta_11,$G7&gt;=Hba_11,Input!AC$31&lt;&gt;""),Input!$B$31&amp;";",""),IF(AND($G7&lt;Hta_12,$G7&gt;=Hba_12,Input!AC$32&lt;&gt;""),Input!$B$32&amp;";",""),IF(AND($G7&lt;Hta_13,$G7&gt;=Hba_13,Input!AC$33&lt;&gt;""),Input!$B$33&amp;";",""),IF(AND($G7&lt;Hta_14,$G7&gt;=Hba_14,Input!AC$34&lt;&gt;""),Input!$B$34&amp;";",""),IF(AND($G7&lt;Hta_15,$G7&gt;=Hba_15,Input!AC$35&lt;&gt;""),Input!$B$35&amp;";",""),IF(AND($G7&lt;Hta_16,$G7&gt;=Hba_16,Input!AC$36&lt;&gt;""),Input!$B$36&amp;";",""),IF(AND($G7&lt;Hta_17,$G7&gt;=Hba_17,Input!AC$37&lt;&gt;""),Input!$B$37&amp;";",""),IF(AND($G7&lt;Hta_18,$G7&gt;=Hba_18,Input!AC$38&lt;&gt;""),Input!$B$38&amp;";",""),IF(AND($G7&lt;Hta_19,$G7&gt;=Hba_19,Input!AC$39&lt;&gt;""),Input!$B$39&amp;";",""),IF(AND($G7&lt;Hta_20,$G7&gt;=Hba_20,Input!AC$40&lt;&gt;""),Input!$B$40&amp;";",""),IF(AND($G7&lt;Hta_21,$G7&gt;=Hba_21,Input!AC$41&lt;&gt;""),Input!$B$41&amp;";",""),IF(AND($G7&lt;Hta_22,$G7&gt;=Hba_22,Input!AC$42&lt;&gt;""),Input!$B$42&amp;";",""),IF(AND($G7&lt;Hta_23,$G7&gt;=Hba_23,Input!AC$43&lt;&gt;""),Input!$B$43&amp;";",""),IF(AND($G7&lt;Hta_24,$G7&gt;=Hba_24,Input!AC$44&lt;&gt;""),Input!$B$44&amp;";",""),IF(AND($G7&lt;Hta_25,$G7&gt;=Hba_25,Input!AC$45&lt;&gt;""),Input!$B$45&amp;";",""),IF(AND($G7&lt;Hta_26,$G7&gt;=Hba_26,Input!AC$46&lt;&gt;""),Input!$B$46&amp;";",""),IF(AND($G7&lt;Hta_27,$G7&gt;=Hba_27,Input!AC$47&lt;&gt;""),Input!$B$47&amp;";",""),IF(AND($G7&lt;Hta_28,$G7&gt;=Hba_28,Input!AC$48&lt;&gt;""),Input!$B$48&amp;";",""),IF(AND($G7&lt;Hta_29,$G7&gt;=Hba_29,Input!AC$49&lt;&gt;""),Input!$B$49&amp;";",""),IF(AND($G7&lt;Hta_30,$G7&gt;=Hba_30,Input!AC$50&lt;&gt;""),Input!$B$50&amp;";","")),"")</f>
        <v/>
      </c>
      <c r="CE7" s="25" t="str">
        <f>IFERROR(CONCATENATE(IF(AND($G7&lt;Hta_1,$G7&gt;=Hba_1,Input!AD$21&lt;&gt;""),Input!$B$21&amp;";",""),IF(AND($G7&lt;Hta_2,$G7&gt;=Hba_2,Input!AD$22&lt;&gt;""),Input!$B$22&amp;";",""),IF(AND($G7&lt;Hta_3,$G7&gt;=Hba_3,Input!AD$23&lt;&gt;""),Input!$B$23&amp;";",""),IF(AND($G7&lt;Hta_4,$G7&gt;=Hba_4,Input!AD$24&lt;&gt;""),Input!$B$24&amp;";",""),IF(AND($G7&lt;Hta_5,$G7&gt;=Hba_5,Input!AD$25&lt;&gt;""),Input!$B$25&amp;";",""),IF(AND($G7&lt;Hta_6,$G7&gt;=Hba_6,Input!AD$26&lt;&gt;""),Input!$B$26&amp;";",""),IF(AND($G7&lt;Hta_7,$G7&gt;=Hba_7,Input!AD$27&lt;&gt;""),Input!$B$27&amp;";",""),IF(AND($G7&lt;Hta_8,$G7&gt;=Hba_8,Input!AD$28&lt;&gt;""),Input!$B$28&amp;";",""),IF(AND($G7&lt;Hta_9,$G7&gt;=Hba_9,Input!AD$29&lt;&gt;""),Input!$B$29&amp;";",""),IF(AND($G7&lt;Hta_10,$G7&gt;=Hba_10,Input!AD$30&lt;&gt;""),Input!$B$30&amp;";",""),IF(AND($G7&lt;Hta_11,$G7&gt;=Hba_11,Input!AD$31&lt;&gt;""),Input!$B$31&amp;";",""),IF(AND($G7&lt;Hta_12,$G7&gt;=Hba_12,Input!AD$32&lt;&gt;""),Input!$B$32&amp;";",""),IF(AND($G7&lt;Hta_13,$G7&gt;=Hba_13,Input!AD$33&lt;&gt;""),Input!$B$33&amp;";",""),IF(AND($G7&lt;Hta_14,$G7&gt;=Hba_14,Input!AD$34&lt;&gt;""),Input!$B$34&amp;";",""),IF(AND($G7&lt;Hta_15,$G7&gt;=Hba_15,Input!AD$35&lt;&gt;""),Input!$B$35&amp;";",""),IF(AND($G7&lt;Hta_16,$G7&gt;=Hba_16,Input!AD$36&lt;&gt;""),Input!$B$36&amp;";",""),IF(AND($G7&lt;Hta_17,$G7&gt;=Hba_17,Input!AD$37&lt;&gt;""),Input!$B$37&amp;";",""),IF(AND($G7&lt;Hta_18,$G7&gt;=Hba_18,Input!AD$38&lt;&gt;""),Input!$B$38&amp;";",""),IF(AND($G7&lt;Hta_19,$G7&gt;=Hba_19,Input!AD$39&lt;&gt;""),Input!$B$39&amp;";",""),IF(AND($G7&lt;Hta_20,$G7&gt;=Hba_20,Input!AD$40&lt;&gt;""),Input!$B$40&amp;";",""),IF(AND($G7&lt;Hta_21,$G7&gt;=Hba_21,Input!AD$41&lt;&gt;""),Input!$B$41&amp;";",""),IF(AND($G7&lt;Hta_22,$G7&gt;=Hba_22,Input!AD$42&lt;&gt;""),Input!$B$42&amp;";",""),IF(AND($G7&lt;Hta_23,$G7&gt;=Hba_23,Input!AD$43&lt;&gt;""),Input!$B$43&amp;";",""),IF(AND($G7&lt;Hta_24,$G7&gt;=Hba_24,Input!AD$44&lt;&gt;""),Input!$B$44&amp;";",""),IF(AND($G7&lt;Hta_25,$G7&gt;=Hba_25,Input!AD$45&lt;&gt;""),Input!$B$45&amp;";",""),IF(AND($G7&lt;Hta_26,$G7&gt;=Hba_26,Input!AD$46&lt;&gt;""),Input!$B$46&amp;";",""),IF(AND($G7&lt;Hta_27,$G7&gt;=Hba_27,Input!AD$47&lt;&gt;""),Input!$B$47&amp;";",""),IF(AND($G7&lt;Hta_28,$G7&gt;=Hba_28,Input!AD$48&lt;&gt;""),Input!$B$48&amp;";",""),IF(AND($G7&lt;Hta_29,$G7&gt;=Hba_29,Input!AD$49&lt;&gt;""),Input!$B$49&amp;";",""),IF(AND($G7&lt;Hta_30,$G7&gt;=Hba_30,Input!AD$50&lt;&gt;""),Input!$B$50&amp;";","")),"")</f>
        <v/>
      </c>
      <c r="CF7" s="25" t="str">
        <f>IFERROR(CONCATENATE(IF(AND($G7&lt;Hta_1,$G7&gt;=Hba_1,Input!AE$21&lt;&gt;""),Input!$B$21&amp;";",""),IF(AND($G7&lt;Hta_2,$G7&gt;=Hba_2,Input!AE$22&lt;&gt;""),Input!$B$22&amp;";",""),IF(AND($G7&lt;Hta_3,$G7&gt;=Hba_3,Input!AE$23&lt;&gt;""),Input!$B$23&amp;";",""),IF(AND($G7&lt;Hta_4,$G7&gt;=Hba_4,Input!AE$24&lt;&gt;""),Input!$B$24&amp;";",""),IF(AND($G7&lt;Hta_5,$G7&gt;=Hba_5,Input!AE$25&lt;&gt;""),Input!$B$25&amp;";",""),IF(AND($G7&lt;Hta_6,$G7&gt;=Hba_6,Input!AE$26&lt;&gt;""),Input!$B$26&amp;";",""),IF(AND($G7&lt;Hta_7,$G7&gt;=Hba_7,Input!AE$27&lt;&gt;""),Input!$B$27&amp;";",""),IF(AND($G7&lt;Hta_8,$G7&gt;=Hba_8,Input!AE$28&lt;&gt;""),Input!$B$28&amp;";",""),IF(AND($G7&lt;Hta_9,$G7&gt;=Hba_9,Input!AE$29&lt;&gt;""),Input!$B$29&amp;";",""),IF(AND($G7&lt;Hta_10,$G7&gt;=Hba_10,Input!AE$30&lt;&gt;""),Input!$B$30&amp;";",""),IF(AND($G7&lt;Hta_11,$G7&gt;=Hba_11,Input!AE$31&lt;&gt;""),Input!$B$31&amp;";",""),IF(AND($G7&lt;Hta_12,$G7&gt;=Hba_12,Input!AE$32&lt;&gt;""),Input!$B$32&amp;";",""),IF(AND($G7&lt;Hta_13,$G7&gt;=Hba_13,Input!AE$33&lt;&gt;""),Input!$B$33&amp;";",""),IF(AND($G7&lt;Hta_14,$G7&gt;=Hba_14,Input!AE$34&lt;&gt;""),Input!$B$34&amp;";",""),IF(AND($G7&lt;Hta_15,$G7&gt;=Hba_15,Input!AE$35&lt;&gt;""),Input!$B$35&amp;";",""),IF(AND($G7&lt;Hta_16,$G7&gt;=Hba_16,Input!AE$36&lt;&gt;""),Input!$B$36&amp;";",""),IF(AND($G7&lt;Hta_17,$G7&gt;=Hba_17,Input!AE$37&lt;&gt;""),Input!$B$37&amp;";",""),IF(AND($G7&lt;Hta_18,$G7&gt;=Hba_18,Input!AE$38&lt;&gt;""),Input!$B$38&amp;";",""),IF(AND($G7&lt;Hta_19,$G7&gt;=Hba_19,Input!AE$39&lt;&gt;""),Input!$B$39&amp;";",""),IF(AND($G7&lt;Hta_20,$G7&gt;=Hba_20,Input!AE$40&lt;&gt;""),Input!$B$40&amp;";",""),IF(AND($G7&lt;Hta_21,$G7&gt;=Hba_21,Input!AE$41&lt;&gt;""),Input!$B$41&amp;";",""),IF(AND($G7&lt;Hta_22,$G7&gt;=Hba_22,Input!AE$42&lt;&gt;""),Input!$B$42&amp;";",""),IF(AND($G7&lt;Hta_23,$G7&gt;=Hba_23,Input!AE$43&lt;&gt;""),Input!$B$43&amp;";",""),IF(AND($G7&lt;Hta_24,$G7&gt;=Hba_24,Input!AE$44&lt;&gt;""),Input!$B$44&amp;";",""),IF(AND($G7&lt;Hta_25,$G7&gt;=Hba_25,Input!AE$45&lt;&gt;""),Input!$B$45&amp;";",""),IF(AND($G7&lt;Hta_26,$G7&gt;=Hba_26,Input!AE$46&lt;&gt;""),Input!$B$46&amp;";",""),IF(AND($G7&lt;Hta_27,$G7&gt;=Hba_27,Input!AE$47&lt;&gt;""),Input!$B$47&amp;";",""),IF(AND($G7&lt;Hta_28,$G7&gt;=Hba_28,Input!AE$48&lt;&gt;""),Input!$B$48&amp;";",""),IF(AND($G7&lt;Hta_29,$G7&gt;=Hba_29,Input!AE$49&lt;&gt;""),Input!$B$49&amp;";",""),IF(AND($G7&lt;Hta_30,$G7&gt;=Hba_30,Input!AE$50&lt;&gt;""),Input!$B$50&amp;";","")),"")</f>
        <v/>
      </c>
      <c r="CG7" s="25" t="str">
        <f>IFERROR(CONCATENATE(IF(AND($G7&lt;Hta_1,$G7&gt;=Hba_1,Input!AF$21&lt;&gt;""),Input!$B$21&amp;";",""),IF(AND($G7&lt;Hta_2,$G7&gt;=Hba_2,Input!AF$22&lt;&gt;""),Input!$B$22&amp;";",""),IF(AND($G7&lt;Hta_3,$G7&gt;=Hba_3,Input!AF$23&lt;&gt;""),Input!$B$23&amp;";",""),IF(AND($G7&lt;Hta_4,$G7&gt;=Hba_4,Input!AF$24&lt;&gt;""),Input!$B$24&amp;";",""),IF(AND($G7&lt;Hta_5,$G7&gt;=Hba_5,Input!AF$25&lt;&gt;""),Input!$B$25&amp;";",""),IF(AND($G7&lt;Hta_6,$G7&gt;=Hba_6,Input!AF$26&lt;&gt;""),Input!$B$26&amp;";",""),IF(AND($G7&lt;Hta_7,$G7&gt;=Hba_7,Input!AF$27&lt;&gt;""),Input!$B$27&amp;";",""),IF(AND($G7&lt;Hta_8,$G7&gt;=Hba_8,Input!AF$28&lt;&gt;""),Input!$B$28&amp;";",""),IF(AND($G7&lt;Hta_9,$G7&gt;=Hba_9,Input!AF$29&lt;&gt;""),Input!$B$29&amp;";",""),IF(AND($G7&lt;Hta_10,$G7&gt;=Hba_10,Input!AF$30&lt;&gt;""),Input!$B$30&amp;";",""),IF(AND($G7&lt;Hta_11,$G7&gt;=Hba_11,Input!AF$31&lt;&gt;""),Input!$B$31&amp;";",""),IF(AND($G7&lt;Hta_12,$G7&gt;=Hba_12,Input!AF$32&lt;&gt;""),Input!$B$32&amp;";",""),IF(AND($G7&lt;Hta_13,$G7&gt;=Hba_13,Input!AF$33&lt;&gt;""),Input!$B$33&amp;";",""),IF(AND($G7&lt;Hta_14,$G7&gt;=Hba_14,Input!AF$34&lt;&gt;""),Input!$B$34&amp;";",""),IF(AND($G7&lt;Hta_15,$G7&gt;=Hba_15,Input!AF$35&lt;&gt;""),Input!$B$35&amp;";",""),IF(AND($G7&lt;Hta_16,$G7&gt;=Hba_16,Input!AF$36&lt;&gt;""),Input!$B$36&amp;";",""),IF(AND($G7&lt;Hta_17,$G7&gt;=Hba_17,Input!AF$37&lt;&gt;""),Input!$B$37&amp;";",""),IF(AND($G7&lt;Hta_18,$G7&gt;=Hba_18,Input!AF$38&lt;&gt;""),Input!$B$38&amp;";",""),IF(AND($G7&lt;Hta_19,$G7&gt;=Hba_19,Input!AF$39&lt;&gt;""),Input!$B$39&amp;";",""),IF(AND($G7&lt;Hta_20,$G7&gt;=Hba_20,Input!AF$40&lt;&gt;""),Input!$B$40&amp;";",""),IF(AND($G7&lt;Hta_21,$G7&gt;=Hba_21,Input!AF$41&lt;&gt;""),Input!$B$41&amp;";",""),IF(AND($G7&lt;Hta_22,$G7&gt;=Hba_22,Input!AF$42&lt;&gt;""),Input!$B$42&amp;";",""),IF(AND($G7&lt;Hta_23,$G7&gt;=Hba_23,Input!AF$43&lt;&gt;""),Input!$B$43&amp;";",""),IF(AND($G7&lt;Hta_24,$G7&gt;=Hba_24,Input!AF$44&lt;&gt;""),Input!$B$44&amp;";",""),IF(AND($G7&lt;Hta_25,$G7&gt;=Hba_25,Input!AF$45&lt;&gt;""),Input!$B$45&amp;";",""),IF(AND($G7&lt;Hta_26,$G7&gt;=Hba_26,Input!AF$46&lt;&gt;""),Input!$B$46&amp;";",""),IF(AND($G7&lt;Hta_27,$G7&gt;=Hba_27,Input!AF$47&lt;&gt;""),Input!$B$47&amp;";",""),IF(AND($G7&lt;Hta_28,$G7&gt;=Hba_28,Input!AF$48&lt;&gt;""),Input!$B$48&amp;";",""),IF(AND($G7&lt;Hta_29,$G7&gt;=Hba_29,Input!AF$49&lt;&gt;""),Input!$B$49&amp;";",""),IF(AND($G7&lt;Hta_30,$G7&gt;=Hba_30,Input!AF$50&lt;&gt;""),Input!$B$50&amp;";","")),"")</f>
        <v/>
      </c>
      <c r="CH7" s="25" t="str">
        <f>IFERROR(CONCATENATE(IF(AND($G7&lt;Hta_1,$G7&gt;=Hba_1,Input!AG$21&lt;&gt;""),Input!$B$21&amp;";",""),IF(AND($G7&lt;Hta_2,$G7&gt;=Hba_2,Input!AG$22&lt;&gt;""),Input!$B$22&amp;";",""),IF(AND($G7&lt;Hta_3,$G7&gt;=Hba_3,Input!AG$23&lt;&gt;""),Input!$B$23&amp;";",""),IF(AND($G7&lt;Hta_4,$G7&gt;=Hba_4,Input!AG$24&lt;&gt;""),Input!$B$24&amp;";",""),IF(AND($G7&lt;Hta_5,$G7&gt;=Hba_5,Input!AG$25&lt;&gt;""),Input!$B$25&amp;";",""),IF(AND($G7&lt;Hta_6,$G7&gt;=Hba_6,Input!AG$26&lt;&gt;""),Input!$B$26&amp;";",""),IF(AND($G7&lt;Hta_7,$G7&gt;=Hba_7,Input!AG$27&lt;&gt;""),Input!$B$27&amp;";",""),IF(AND($G7&lt;Hta_8,$G7&gt;=Hba_8,Input!AG$28&lt;&gt;""),Input!$B$28&amp;";",""),IF(AND($G7&lt;Hta_9,$G7&gt;=Hba_9,Input!AG$29&lt;&gt;""),Input!$B$29&amp;";",""),IF(AND($G7&lt;Hta_10,$G7&gt;=Hba_10,Input!AG$30&lt;&gt;""),Input!$B$30&amp;";",""),IF(AND($G7&lt;Hta_11,$G7&gt;=Hba_11,Input!AG$31&lt;&gt;""),Input!$B$31&amp;";",""),IF(AND($G7&lt;Hta_12,$G7&gt;=Hba_12,Input!AG$32&lt;&gt;""),Input!$B$32&amp;";",""),IF(AND($G7&lt;Hta_13,$G7&gt;=Hba_13,Input!AG$33&lt;&gt;""),Input!$B$33&amp;";",""),IF(AND($G7&lt;Hta_14,$G7&gt;=Hba_14,Input!AG$34&lt;&gt;""),Input!$B$34&amp;";",""),IF(AND($G7&lt;Hta_15,$G7&gt;=Hba_15,Input!AG$35&lt;&gt;""),Input!$B$35&amp;";",""),IF(AND($G7&lt;Hta_16,$G7&gt;=Hba_16,Input!AG$36&lt;&gt;""),Input!$B$36&amp;";",""),IF(AND($G7&lt;Hta_17,$G7&gt;=Hba_17,Input!AG$37&lt;&gt;""),Input!$B$37&amp;";",""),IF(AND($G7&lt;Hta_18,$G7&gt;=Hba_18,Input!AG$38&lt;&gt;""),Input!$B$38&amp;";",""),IF(AND($G7&lt;Hta_19,$G7&gt;=Hba_19,Input!AG$39&lt;&gt;""),Input!$B$39&amp;";",""),IF(AND($G7&lt;Hta_20,$G7&gt;=Hba_20,Input!AG$40&lt;&gt;""),Input!$B$40&amp;";",""),IF(AND($G7&lt;Hta_21,$G7&gt;=Hba_21,Input!AG$41&lt;&gt;""),Input!$B$41&amp;";",""),IF(AND($G7&lt;Hta_22,$G7&gt;=Hba_22,Input!AG$42&lt;&gt;""),Input!$B$42&amp;";",""),IF(AND($G7&lt;Hta_23,$G7&gt;=Hba_23,Input!AG$43&lt;&gt;""),Input!$B$43&amp;";",""),IF(AND($G7&lt;Hta_24,$G7&gt;=Hba_24,Input!AG$44&lt;&gt;""),Input!$B$44&amp;";",""),IF(AND($G7&lt;Hta_25,$G7&gt;=Hba_25,Input!AG$45&lt;&gt;""),Input!$B$45&amp;";",""),IF(AND($G7&lt;Hta_26,$G7&gt;=Hba_26,Input!AG$46&lt;&gt;""),Input!$B$46&amp;";",""),IF(AND($G7&lt;Hta_27,$G7&gt;=Hba_27,Input!AG$47&lt;&gt;""),Input!$B$47&amp;";",""),IF(AND($G7&lt;Hta_28,$G7&gt;=Hba_28,Input!AG$48&lt;&gt;""),Input!$B$48&amp;";",""),IF(AND($G7&lt;Hta_29,$G7&gt;=Hba_29,Input!AG$49&lt;&gt;""),Input!$B$49&amp;";",""),IF(AND($G7&lt;Hta_30,$G7&gt;=Hba_30,Input!AG$50&lt;&gt;""),Input!$B$50&amp;";","")),"")</f>
        <v/>
      </c>
      <c r="CI7" s="25" t="str">
        <f>IFERROR(CONCATENATE(IF(AND($G7&lt;Hta_1,$G7&gt;=Hba_1,Input!AH$21&lt;&gt;""),Input!$B$21&amp;";",""),IF(AND($G7&lt;Hta_2,$G7&gt;=Hba_2,Input!AH$22&lt;&gt;""),Input!$B$22&amp;";",""),IF(AND($G7&lt;Hta_3,$G7&gt;=Hba_3,Input!AH$23&lt;&gt;""),Input!$B$23&amp;";",""),IF(AND($G7&lt;Hta_4,$G7&gt;=Hba_4,Input!AH$24&lt;&gt;""),Input!$B$24&amp;";",""),IF(AND($G7&lt;Hta_5,$G7&gt;=Hba_5,Input!AH$25&lt;&gt;""),Input!$B$25&amp;";",""),IF(AND($G7&lt;Hta_6,$G7&gt;=Hba_6,Input!AH$26&lt;&gt;""),Input!$B$26&amp;";",""),IF(AND($G7&lt;Hta_7,$G7&gt;=Hba_7,Input!AH$27&lt;&gt;""),Input!$B$27&amp;";",""),IF(AND($G7&lt;Hta_8,$G7&gt;=Hba_8,Input!AH$28&lt;&gt;""),Input!$B$28&amp;";",""),IF(AND($G7&lt;Hta_9,$G7&gt;=Hba_9,Input!AH$29&lt;&gt;""),Input!$B$29&amp;";",""),IF(AND($G7&lt;Hta_10,$G7&gt;=Hba_10,Input!AH$30&lt;&gt;""),Input!$B$30&amp;";",""),IF(AND($G7&lt;Hta_11,$G7&gt;=Hba_11,Input!AH$31&lt;&gt;""),Input!$B$31&amp;";",""),IF(AND($G7&lt;Hta_12,$G7&gt;=Hba_12,Input!AH$32&lt;&gt;""),Input!$B$32&amp;";",""),IF(AND($G7&lt;Hta_13,$G7&gt;=Hba_13,Input!AH$33&lt;&gt;""),Input!$B$33&amp;";",""),IF(AND($G7&lt;Hta_14,$G7&gt;=Hba_14,Input!AH$34&lt;&gt;""),Input!$B$34&amp;";",""),IF(AND($G7&lt;Hta_15,$G7&gt;=Hba_15,Input!AH$35&lt;&gt;""),Input!$B$35&amp;";",""),IF(AND($G7&lt;Hta_16,$G7&gt;=Hba_16,Input!AH$36&lt;&gt;""),Input!$B$36&amp;";",""),IF(AND($G7&lt;Hta_17,$G7&gt;=Hba_17,Input!AH$37&lt;&gt;""),Input!$B$37&amp;";",""),IF(AND($G7&lt;Hta_18,$G7&gt;=Hba_18,Input!AH$38&lt;&gt;""),Input!$B$38&amp;";",""),IF(AND($G7&lt;Hta_19,$G7&gt;=Hba_19,Input!AH$39&lt;&gt;""),Input!$B$39&amp;";",""),IF(AND($G7&lt;Hta_20,$G7&gt;=Hba_20,Input!AH$40&lt;&gt;""),Input!$B$40&amp;";",""),IF(AND($G7&lt;Hta_21,$G7&gt;=Hba_21,Input!AH$41&lt;&gt;""),Input!$B$41&amp;";",""),IF(AND($G7&lt;Hta_22,$G7&gt;=Hba_22,Input!AH$42&lt;&gt;""),Input!$B$42&amp;";",""),IF(AND($G7&lt;Hta_23,$G7&gt;=Hba_23,Input!AH$43&lt;&gt;""),Input!$B$43&amp;";",""),IF(AND($G7&lt;Hta_24,$G7&gt;=Hba_24,Input!AH$44&lt;&gt;""),Input!$B$44&amp;";",""),IF(AND($G7&lt;Hta_25,$G7&gt;=Hba_25,Input!AH$45&lt;&gt;""),Input!$B$45&amp;";",""),IF(AND($G7&lt;Hta_26,$G7&gt;=Hba_26,Input!AH$46&lt;&gt;""),Input!$B$46&amp;";",""),IF(AND($G7&lt;Hta_27,$G7&gt;=Hba_27,Input!AH$47&lt;&gt;""),Input!$B$47&amp;";",""),IF(AND($G7&lt;Hta_28,$G7&gt;=Hba_28,Input!AH$48&lt;&gt;""),Input!$B$48&amp;";",""),IF(AND($G7&lt;Hta_29,$G7&gt;=Hba_29,Input!AH$49&lt;&gt;""),Input!$B$49&amp;";",""),IF(AND($G7&lt;Hta_30,$G7&gt;=Hba_30,Input!AH$50&lt;&gt;""),Input!$B$50&amp;";","")),"")</f>
        <v/>
      </c>
      <c r="CJ7" s="25" t="str">
        <f>IFERROR(CONCATENATE(IF(AND($G7&lt;Hta_1,$G7&gt;=Hba_1,Input!AI$21&lt;&gt;""),Input!$B$21&amp;";",""),IF(AND($G7&lt;Hta_2,$G7&gt;=Hba_2,Input!AI$22&lt;&gt;""),Input!$B$22&amp;";",""),IF(AND($G7&lt;Hta_3,$G7&gt;=Hba_3,Input!AI$23&lt;&gt;""),Input!$B$23&amp;";",""),IF(AND($G7&lt;Hta_4,$G7&gt;=Hba_4,Input!AI$24&lt;&gt;""),Input!$B$24&amp;";",""),IF(AND($G7&lt;Hta_5,$G7&gt;=Hba_5,Input!AI$25&lt;&gt;""),Input!$B$25&amp;";",""),IF(AND($G7&lt;Hta_6,$G7&gt;=Hba_6,Input!AI$26&lt;&gt;""),Input!$B$26&amp;";",""),IF(AND($G7&lt;Hta_7,$G7&gt;=Hba_7,Input!AI$27&lt;&gt;""),Input!$B$27&amp;";",""),IF(AND($G7&lt;Hta_8,$G7&gt;=Hba_8,Input!AI$28&lt;&gt;""),Input!$B$28&amp;";",""),IF(AND($G7&lt;Hta_9,$G7&gt;=Hba_9,Input!AI$29&lt;&gt;""),Input!$B$29&amp;";",""),IF(AND($G7&lt;Hta_10,$G7&gt;=Hba_10,Input!AI$30&lt;&gt;""),Input!$B$30&amp;";",""),IF(AND($G7&lt;Hta_11,$G7&gt;=Hba_11,Input!AI$31&lt;&gt;""),Input!$B$31&amp;";",""),IF(AND($G7&lt;Hta_12,$G7&gt;=Hba_12,Input!AI$32&lt;&gt;""),Input!$B$32&amp;";",""),IF(AND($G7&lt;Hta_13,$G7&gt;=Hba_13,Input!AI$33&lt;&gt;""),Input!$B$33&amp;";",""),IF(AND($G7&lt;Hta_14,$G7&gt;=Hba_14,Input!AI$34&lt;&gt;""),Input!$B$34&amp;";",""),IF(AND($G7&lt;Hta_15,$G7&gt;=Hba_15,Input!AI$35&lt;&gt;""),Input!$B$35&amp;";",""),IF(AND($G7&lt;Hta_16,$G7&gt;=Hba_16,Input!AI$36&lt;&gt;""),Input!$B$36&amp;";",""),IF(AND($G7&lt;Hta_17,$G7&gt;=Hba_17,Input!AI$37&lt;&gt;""),Input!$B$37&amp;";",""),IF(AND($G7&lt;Hta_18,$G7&gt;=Hba_18,Input!AI$38&lt;&gt;""),Input!$B$38&amp;";",""),IF(AND($G7&lt;Hta_19,$G7&gt;=Hba_19,Input!AI$39&lt;&gt;""),Input!$B$39&amp;";",""),IF(AND($G7&lt;Hta_20,$G7&gt;=Hba_20,Input!AI$40&lt;&gt;""),Input!$B$40&amp;";",""),IF(AND($G7&lt;Hta_21,$G7&gt;=Hba_21,Input!AI$41&lt;&gt;""),Input!$B$41&amp;";",""),IF(AND($G7&lt;Hta_22,$G7&gt;=Hba_22,Input!AI$42&lt;&gt;""),Input!$B$42&amp;";",""),IF(AND($G7&lt;Hta_23,$G7&gt;=Hba_23,Input!AI$43&lt;&gt;""),Input!$B$43&amp;";",""),IF(AND($G7&lt;Hta_24,$G7&gt;=Hba_24,Input!AI$44&lt;&gt;""),Input!$B$44&amp;";",""),IF(AND($G7&lt;Hta_25,$G7&gt;=Hba_25,Input!AI$45&lt;&gt;""),Input!$B$45&amp;";",""),IF(AND($G7&lt;Hta_26,$G7&gt;=Hba_26,Input!AI$46&lt;&gt;""),Input!$B$46&amp;";",""),IF(AND($G7&lt;Hta_27,$G7&gt;=Hba_27,Input!AI$47&lt;&gt;""),Input!$B$47&amp;";",""),IF(AND($G7&lt;Hta_28,$G7&gt;=Hba_28,Input!AI$48&lt;&gt;""),Input!$B$48&amp;";",""),IF(AND($G7&lt;Hta_29,$G7&gt;=Hba_29,Input!AI$49&lt;&gt;""),Input!$B$49&amp;";",""),IF(AND($G7&lt;Hta_30,$G7&gt;=Hba_30,Input!AI$50&lt;&gt;""),Input!$B$50&amp;";","")),"")</f>
        <v/>
      </c>
      <c r="CK7" s="25" t="str">
        <f>IFERROR(CONCATENATE(IF(AND($G7&lt;Hta_1,$G7&gt;=Hba_1,Input!AJ$21&lt;&gt;""),Input!$B$21&amp;";",""),IF(AND($G7&lt;Hta_2,$G7&gt;=Hba_2,Input!AJ$22&lt;&gt;""),Input!$B$22&amp;";",""),IF(AND($G7&lt;Hta_3,$G7&gt;=Hba_3,Input!AJ$23&lt;&gt;""),Input!$B$23&amp;";",""),IF(AND($G7&lt;Hta_4,$G7&gt;=Hba_4,Input!AJ$24&lt;&gt;""),Input!$B$24&amp;";",""),IF(AND($G7&lt;Hta_5,$G7&gt;=Hba_5,Input!AJ$25&lt;&gt;""),Input!$B$25&amp;";",""),IF(AND($G7&lt;Hta_6,$G7&gt;=Hba_6,Input!AJ$26&lt;&gt;""),Input!$B$26&amp;";",""),IF(AND($G7&lt;Hta_7,$G7&gt;=Hba_7,Input!AJ$27&lt;&gt;""),Input!$B$27&amp;";",""),IF(AND($G7&lt;Hta_8,$G7&gt;=Hba_8,Input!AJ$28&lt;&gt;""),Input!$B$28&amp;";",""),IF(AND($G7&lt;Hta_9,$G7&gt;=Hba_9,Input!AJ$29&lt;&gt;""),Input!$B$29&amp;";",""),IF(AND($G7&lt;Hta_10,$G7&gt;=Hba_10,Input!AJ$30&lt;&gt;""),Input!$B$30&amp;";",""),IF(AND($G7&lt;Hta_11,$G7&gt;=Hba_11,Input!AJ$31&lt;&gt;""),Input!$B$31&amp;";",""),IF(AND($G7&lt;Hta_12,$G7&gt;=Hba_12,Input!AJ$32&lt;&gt;""),Input!$B$32&amp;";",""),IF(AND($G7&lt;Hta_13,$G7&gt;=Hba_13,Input!AJ$33&lt;&gt;""),Input!$B$33&amp;";",""),IF(AND($G7&lt;Hta_14,$G7&gt;=Hba_14,Input!AJ$34&lt;&gt;""),Input!$B$34&amp;";",""),IF(AND($G7&lt;Hta_15,$G7&gt;=Hba_15,Input!AJ$35&lt;&gt;""),Input!$B$35&amp;";",""),IF(AND($G7&lt;Hta_16,$G7&gt;=Hba_16,Input!AJ$36&lt;&gt;""),Input!$B$36&amp;";",""),IF(AND($G7&lt;Hta_17,$G7&gt;=Hba_17,Input!AJ$37&lt;&gt;""),Input!$B$37&amp;";",""),IF(AND($G7&lt;Hta_18,$G7&gt;=Hba_18,Input!AJ$38&lt;&gt;""),Input!$B$38&amp;";",""),IF(AND($G7&lt;Hta_19,$G7&gt;=Hba_19,Input!AJ$39&lt;&gt;""),Input!$B$39&amp;";",""),IF(AND($G7&lt;Hta_20,$G7&gt;=Hba_20,Input!AJ$40&lt;&gt;""),Input!$B$40&amp;";",""),IF(AND($G7&lt;Hta_21,$G7&gt;=Hba_21,Input!AJ$41&lt;&gt;""),Input!$B$41&amp;";",""),IF(AND($G7&lt;Hta_22,$G7&gt;=Hba_22,Input!AJ$42&lt;&gt;""),Input!$B$42&amp;";",""),IF(AND($G7&lt;Hta_23,$G7&gt;=Hba_23,Input!AJ$43&lt;&gt;""),Input!$B$43&amp;";",""),IF(AND($G7&lt;Hta_24,$G7&gt;=Hba_24,Input!AJ$44&lt;&gt;""),Input!$B$44&amp;";",""),IF(AND($G7&lt;Hta_25,$G7&gt;=Hba_25,Input!AJ$45&lt;&gt;""),Input!$B$45&amp;";",""),IF(AND($G7&lt;Hta_26,$G7&gt;=Hba_26,Input!AJ$46&lt;&gt;""),Input!$B$46&amp;";",""),IF(AND($G7&lt;Hta_27,$G7&gt;=Hba_27,Input!AJ$47&lt;&gt;""),Input!$B$47&amp;";",""),IF(AND($G7&lt;Hta_28,$G7&gt;=Hba_28,Input!AJ$48&lt;&gt;""),Input!$B$48&amp;";",""),IF(AND($G7&lt;Hta_29,$G7&gt;=Hba_29,Input!AJ$49&lt;&gt;""),Input!$B$49&amp;";",""),IF(AND($G7&lt;Hta_30,$G7&gt;=Hba_30,Input!AJ$50&lt;&gt;""),Input!$B$50&amp;";","")),"")</f>
        <v/>
      </c>
      <c r="CL7" s="25" t="str">
        <f>IFERROR(CONCATENATE(IF(AND($G7&lt;Hta_1,$G7&gt;=Hba_1,Input!AK$21&lt;&gt;""),Input!$B$21&amp;";",""),IF(AND($G7&lt;Hta_2,$G7&gt;=Hba_2,Input!AK$22&lt;&gt;""),Input!$B$22&amp;";",""),IF(AND($G7&lt;Hta_3,$G7&gt;=Hba_3,Input!AK$23&lt;&gt;""),Input!$B$23&amp;";",""),IF(AND($G7&lt;Hta_4,$G7&gt;=Hba_4,Input!AK$24&lt;&gt;""),Input!$B$24&amp;";",""),IF(AND($G7&lt;Hta_5,$G7&gt;=Hba_5,Input!AK$25&lt;&gt;""),Input!$B$25&amp;";",""),IF(AND($G7&lt;Hta_6,$G7&gt;=Hba_6,Input!AK$26&lt;&gt;""),Input!$B$26&amp;";",""),IF(AND($G7&lt;Hta_7,$G7&gt;=Hba_7,Input!AK$27&lt;&gt;""),Input!$B$27&amp;";",""),IF(AND($G7&lt;Hta_8,$G7&gt;=Hba_8,Input!AK$28&lt;&gt;""),Input!$B$28&amp;";",""),IF(AND($G7&lt;Hta_9,$G7&gt;=Hba_9,Input!AK$29&lt;&gt;""),Input!$B$29&amp;";",""),IF(AND($G7&lt;Hta_10,$G7&gt;=Hba_10,Input!AK$30&lt;&gt;""),Input!$B$30&amp;";",""),IF(AND($G7&lt;Hta_11,$G7&gt;=Hba_11,Input!AK$31&lt;&gt;""),Input!$B$31&amp;";",""),IF(AND($G7&lt;Hta_12,$G7&gt;=Hba_12,Input!AK$32&lt;&gt;""),Input!$B$32&amp;";",""),IF(AND($G7&lt;Hta_13,$G7&gt;=Hba_13,Input!AK$33&lt;&gt;""),Input!$B$33&amp;";",""),IF(AND($G7&lt;Hta_14,$G7&gt;=Hba_14,Input!AK$34&lt;&gt;""),Input!$B$34&amp;";",""),IF(AND($G7&lt;Hta_15,$G7&gt;=Hba_15,Input!AK$35&lt;&gt;""),Input!$B$35&amp;";",""),IF(AND($G7&lt;Hta_16,$G7&gt;=Hba_16,Input!AK$36&lt;&gt;""),Input!$B$36&amp;";",""),IF(AND($G7&lt;Hta_17,$G7&gt;=Hba_17,Input!AK$37&lt;&gt;""),Input!$B$37&amp;";",""),IF(AND($G7&lt;Hta_18,$G7&gt;=Hba_18,Input!AK$38&lt;&gt;""),Input!$B$38&amp;";",""),IF(AND($G7&lt;Hta_19,$G7&gt;=Hba_19,Input!AK$39&lt;&gt;""),Input!$B$39&amp;";",""),IF(AND($G7&lt;Hta_20,$G7&gt;=Hba_20,Input!AK$40&lt;&gt;""),Input!$B$40&amp;";",""),IF(AND($G7&lt;Hta_21,$G7&gt;=Hba_21,Input!AK$41&lt;&gt;""),Input!$B$41&amp;";",""),IF(AND($G7&lt;Hta_22,$G7&gt;=Hba_22,Input!AK$42&lt;&gt;""),Input!$B$42&amp;";",""),IF(AND($G7&lt;Hta_23,$G7&gt;=Hba_23,Input!AK$43&lt;&gt;""),Input!$B$43&amp;";",""),IF(AND($G7&lt;Hta_24,$G7&gt;=Hba_24,Input!AK$44&lt;&gt;""),Input!$B$44&amp;";",""),IF(AND($G7&lt;Hta_25,$G7&gt;=Hba_25,Input!AK$45&lt;&gt;""),Input!$B$45&amp;";",""),IF(AND($G7&lt;Hta_26,$G7&gt;=Hba_26,Input!AK$46&lt;&gt;""),Input!$B$46&amp;";",""),IF(AND($G7&lt;Hta_27,$G7&gt;=Hba_27,Input!AK$47&lt;&gt;""),Input!$B$47&amp;";",""),IF(AND($G7&lt;Hta_28,$G7&gt;=Hba_28,Input!AK$48&lt;&gt;""),Input!$B$48&amp;";",""),IF(AND($G7&lt;Hta_29,$G7&gt;=Hba_29,Input!AK$49&lt;&gt;""),Input!$B$49&amp;";",""),IF(AND($G7&lt;Hta_30,$G7&gt;=Hba_30,Input!AK$50&lt;&gt;""),Input!$B$50&amp;";","")),"")</f>
        <v/>
      </c>
      <c r="CM7" s="25" t="str">
        <f>IFERROR(CONCATENATE(IF(AND($G7&lt;Hta_1,$G7&gt;=Hba_1,Input!AL$21&lt;&gt;""),Input!$B$21&amp;";",""),IF(AND($G7&lt;Hta_2,$G7&gt;=Hba_2,Input!AL$22&lt;&gt;""),Input!$B$22&amp;";",""),IF(AND($G7&lt;Hta_3,$G7&gt;=Hba_3,Input!AL$23&lt;&gt;""),Input!$B$23&amp;";",""),IF(AND($G7&lt;Hta_4,$G7&gt;=Hba_4,Input!AL$24&lt;&gt;""),Input!$B$24&amp;";",""),IF(AND($G7&lt;Hta_5,$G7&gt;=Hba_5,Input!AL$25&lt;&gt;""),Input!$B$25&amp;";",""),IF(AND($G7&lt;Hta_6,$G7&gt;=Hba_6,Input!AL$26&lt;&gt;""),Input!$B$26&amp;";",""),IF(AND($G7&lt;Hta_7,$G7&gt;=Hba_7,Input!AL$27&lt;&gt;""),Input!$B$27&amp;";",""),IF(AND($G7&lt;Hta_8,$G7&gt;=Hba_8,Input!AL$28&lt;&gt;""),Input!$B$28&amp;";",""),IF(AND($G7&lt;Hta_9,$G7&gt;=Hba_9,Input!AL$29&lt;&gt;""),Input!$B$29&amp;";",""),IF(AND($G7&lt;Hta_10,$G7&gt;=Hba_10,Input!AL$30&lt;&gt;""),Input!$B$30&amp;";",""),IF(AND($G7&lt;Hta_11,$G7&gt;=Hba_11,Input!AL$31&lt;&gt;""),Input!$B$31&amp;";",""),IF(AND($G7&lt;Hta_12,$G7&gt;=Hba_12,Input!AL$32&lt;&gt;""),Input!$B$32&amp;";",""),IF(AND($G7&lt;Hta_13,$G7&gt;=Hba_13,Input!AL$33&lt;&gt;""),Input!$B$33&amp;";",""),IF(AND($G7&lt;Hta_14,$G7&gt;=Hba_14,Input!AL$34&lt;&gt;""),Input!$B$34&amp;";",""),IF(AND($G7&lt;Hta_15,$G7&gt;=Hba_15,Input!AL$35&lt;&gt;""),Input!$B$35&amp;";",""),IF(AND($G7&lt;Hta_16,$G7&gt;=Hba_16,Input!AL$36&lt;&gt;""),Input!$B$36&amp;";",""),IF(AND($G7&lt;Hta_17,$G7&gt;=Hba_17,Input!AL$37&lt;&gt;""),Input!$B$37&amp;";",""),IF(AND($G7&lt;Hta_18,$G7&gt;=Hba_18,Input!AL$38&lt;&gt;""),Input!$B$38&amp;";",""),IF(AND($G7&lt;Hta_19,$G7&gt;=Hba_19,Input!AL$39&lt;&gt;""),Input!$B$39&amp;";",""),IF(AND($G7&lt;Hta_20,$G7&gt;=Hba_20,Input!AL$40&lt;&gt;""),Input!$B$40&amp;";",""),IF(AND($G7&lt;Hta_21,$G7&gt;=Hba_21,Input!AL$41&lt;&gt;""),Input!$B$41&amp;";",""),IF(AND($G7&lt;Hta_22,$G7&gt;=Hba_22,Input!AL$42&lt;&gt;""),Input!$B$42&amp;";",""),IF(AND($G7&lt;Hta_23,$G7&gt;=Hba_23,Input!AL$43&lt;&gt;""),Input!$B$43&amp;";",""),IF(AND($G7&lt;Hta_24,$G7&gt;=Hba_24,Input!AL$44&lt;&gt;""),Input!$B$44&amp;";",""),IF(AND($G7&lt;Hta_25,$G7&gt;=Hba_25,Input!AL$45&lt;&gt;""),Input!$B$45&amp;";",""),IF(AND($G7&lt;Hta_26,$G7&gt;=Hba_26,Input!AL$46&lt;&gt;""),Input!$B$46&amp;";",""),IF(AND($G7&lt;Hta_27,$G7&gt;=Hba_27,Input!AL$47&lt;&gt;""),Input!$B$47&amp;";",""),IF(AND($G7&lt;Hta_28,$G7&gt;=Hba_28,Input!AL$48&lt;&gt;""),Input!$B$48&amp;";",""),IF(AND($G7&lt;Hta_29,$G7&gt;=Hba_29,Input!AL$49&lt;&gt;""),Input!$B$49&amp;";",""),IF(AND($G7&lt;Hta_30,$G7&gt;=Hba_30,Input!AL$50&lt;&gt;""),Input!$B$50&amp;";","")),"")</f>
        <v/>
      </c>
      <c r="CN7" s="60" t="str">
        <f t="shared" ref="CN7:CN70" si="6">AZ7</f>
        <v/>
      </c>
      <c r="CO7" s="798"/>
      <c r="CP7" s="799"/>
      <c r="CQ7" s="800"/>
      <c r="CR7" s="798"/>
      <c r="CS7" s="799"/>
      <c r="CT7" s="800"/>
      <c r="CU7" s="801" t="str">
        <f t="shared" ref="CU7:CU70" si="7">IF(CO7="","",IF(CR7="n/a",CO7,CO7+CR7))</f>
        <v/>
      </c>
      <c r="CV7" s="802"/>
      <c r="CW7" s="802"/>
      <c r="CX7" s="803"/>
      <c r="CY7" s="803"/>
      <c r="CZ7" s="804"/>
      <c r="DA7" s="726"/>
      <c r="DB7" s="727"/>
      <c r="DC7" s="732"/>
      <c r="DD7" s="726" t="str">
        <f t="shared" ref="DD7:DD70" si="8">IF(CX7="","",IF(DA7="n/a",CX7,CX7+DA7))</f>
        <v/>
      </c>
      <c r="DE7" s="727"/>
      <c r="DF7" s="728"/>
      <c r="DG7" s="53"/>
      <c r="DH7" s="54"/>
      <c r="DI7" s="54"/>
      <c r="DJ7" s="54"/>
      <c r="DK7" s="54"/>
      <c r="DL7" s="54"/>
      <c r="DM7" s="54"/>
      <c r="DN7" s="54"/>
      <c r="DO7" s="54"/>
      <c r="DP7" s="54"/>
      <c r="DQ7" s="57"/>
      <c r="DR7" s="57"/>
      <c r="DS7" s="57"/>
      <c r="DT7" s="57"/>
      <c r="DU7" s="57"/>
      <c r="DV7" s="57"/>
      <c r="DW7" s="57"/>
      <c r="DX7" s="57"/>
      <c r="DY7" s="57"/>
      <c r="DZ7" s="57"/>
      <c r="EA7" s="57"/>
      <c r="EB7" s="57"/>
      <c r="EC7" s="57"/>
      <c r="ED7" s="57"/>
      <c r="EE7" s="57"/>
      <c r="EF7" s="57"/>
      <c r="EG7" s="57"/>
      <c r="EH7" s="57"/>
      <c r="EI7" s="57"/>
      <c r="EJ7" s="57"/>
      <c r="EK7" s="57"/>
      <c r="EL7" s="133"/>
      <c r="EM7" s="133"/>
      <c r="EN7" s="133"/>
      <c r="EO7" s="133"/>
      <c r="EP7" s="133"/>
      <c r="EQ7" s="133"/>
      <c r="ER7" s="133"/>
      <c r="ES7" s="133"/>
      <c r="ET7" s="133"/>
      <c r="EU7" s="133"/>
      <c r="EV7" s="133"/>
      <c r="EW7" s="133"/>
      <c r="EX7" s="133"/>
      <c r="EY7" s="133"/>
      <c r="EZ7" s="133"/>
      <c r="FA7" s="133"/>
      <c r="FB7" s="133"/>
      <c r="FC7" s="133"/>
      <c r="FD7" s="133"/>
      <c r="FE7" s="133"/>
      <c r="FF7" s="133"/>
      <c r="FG7" s="133"/>
      <c r="FH7" s="133"/>
      <c r="FI7" s="133"/>
      <c r="FJ7" s="133"/>
      <c r="FK7" s="133"/>
      <c r="FL7" s="133"/>
      <c r="FM7" s="133"/>
      <c r="FN7" s="133"/>
      <c r="FO7" s="133"/>
      <c r="FP7" s="65"/>
      <c r="FQ7" s="125"/>
      <c r="FR7" s="123"/>
      <c r="FS7" s="121"/>
      <c r="FT7" s="119"/>
    </row>
    <row r="8" spans="2:177" ht="15.75" hidden="1" thickBot="1" x14ac:dyDescent="0.3">
      <c r="B8" s="62" t="b">
        <f>IF(OR(AND(G8&gt;='Geometry 2'!$AK$5,G8&lt;'Geometry 2'!$AL$5),AND(G8&gt;='Geometry 2'!$AK$6,G8&lt;'Geometry 2'!$AL$6),AND(G8&gt;='Geometry 2'!$AK$7,G8&lt;'Geometry 2'!$AL$7),AND(G8&gt;='Geometry 2'!$AK$8,G8&lt;'Geometry 2'!$AL$8),AND(G8&gt;='Geometry 2'!$AK$9,G8&lt;'Geometry 2'!$AL$9),AND(G8&gt;='Geometry 2'!$AK$10,G8&lt;'Geometry 2'!$AL$10),AND(G8&gt;='Geometry 2'!$AK$11,G8&lt;'Geometry 2'!$AL$11),AND(G8&gt;='Geometry 2'!$AK$12,G8&lt;'Geometry 2'!$AL$12),AND(G8&gt;='Geometry 2'!$AK$13,G8&lt;'Geometry 2'!$AL$13),AND(G8&gt;='Geometry 2'!$AK$14,G8&lt;'Geometry 2'!$AL$14)),TRUE,FALSE)</f>
        <v>0</v>
      </c>
      <c r="C8" s="4" t="str">
        <f t="shared" si="3"/>
        <v/>
      </c>
      <c r="D8" s="766" t="str">
        <f t="shared" si="4"/>
        <v/>
      </c>
      <c r="E8" s="767"/>
      <c r="F8" s="17" t="str">
        <f t="shared" si="2"/>
        <v/>
      </c>
      <c r="G8" s="768" t="str">
        <f>IF(D8="","",MAX(0,G7-IF(inc="n/a",999,inc),MAX(IF(G7&lt;=Hta_1,0,Hta_1),IF(G7&lt;=Hta_2,0,Hta_2),IF(G7&lt;=Hta_3,0,Hta_3),IF(G7&lt;=Hta_4,0,Hta_4),IF(G7&lt;=Hta_5,0,Hta_5),IF(G7&lt;=Hta_6,0,Hta_6),IF(G7&lt;=Hta_7,0,Hta_7),IF(G7&lt;=Hta_8,0,Hta_8),IF(G7&lt;=Hta_9,0,Hta_9),IF(G7&lt;=Hta_10,0,Hta_10),IF(G7&lt;=Hta_11,0,Hta_11),IF(G7&lt;=Hta_12,0,Hta_12),IF(G7&lt;=Hta_13,0,Hta_13),IF(G7&lt;=Hta_14,0,Hta_14),IF(G7&lt;=Hta_15,0,Hta_15),IF(G7&lt;=Hta_16,0,Hta_16),IF(G7&lt;=Hta_17,0,Hta_17),IF(G7&lt;=Hta_18,0,Hta_18),IF(G7&lt;=Hta_19,0,Hta_19),IF(G7&lt;=Hta_20,0,Hta_20),IF(G7&lt;=Hta_21,0,Hta_21),IF(G7&lt;=Hta_22,0,Hta_22),IF(G7&lt;=Hta_23,0,Hta_23),IF(G7&lt;=Hta_24,0,Hta_24),IF(G7&lt;=Hta_25,0,Hta_25),IF(G7&lt;=Hta_26,0,Hta_26),IF(G7&lt;=Hta_27,0,Hta_27),IF(G7&lt;=Hta_28,0,Hta_28),IF(G7&lt;=Hta_29,0,Hta_29),IF(G7&lt;=Hta_30,0,Hta_30)),MAX(IF(G7&lt;=Hta_1-0.25,0,Hta_1-0.25),IF(G7&lt;=Hta_2-0.25,0,Hta_2-0.25),IF(G7&lt;=Hta_3-0.25,0,Hta_3-0.25),IF(G7&lt;=Hta_4-0.25,0,Hta_4-0.25),IF(G7&lt;=Hta_5-0.25,0,Hta_5-0.25),IF(G7&lt;=Hta_6-0.25,0,Hta_6-0.25),IF(G7&lt;=Hta_7-0.25,0,Hta_7-0.25),IF(G7&lt;=Hta_8-0.25,0,Hta_8-0.25),IF(G7&lt;=Hta_9-0.25,0,Hta_9-0.25),IF(G7&lt;=Hta_10-0.25,0,Hta_10-0.25),IF(G7&lt;=Hta_11-0.25,0,Hta_11-0.25),IF(G7&lt;=Hta_12-0.25,0,Hta_12-0.25),IF(G7&lt;=Hta_13-0.25,0,Hta_13-0.25),IF(G7&lt;=Hta_14-0.25,0,Hta_14-0.25),IF(G7&lt;=Hta_15-0.25,0,Hta_15-0.25),IF(G7&lt;=Hta_16-0.25,0,Hta_16-0.25),IF(G7&lt;=Hta_17-0.25,0,Hta_17-0.25),IF(G7&lt;=Hta_18-0.25,0,Hta_18-0.25),IF(G7&lt;=Hta_19-0.25,0,Hta_19-0.25),IF(G7&lt;=Hta_20-0.25,0,Hta_20-0.25),IF(G7&lt;=Hta_21-0.25,0,Hta_21-0.25),IF(G7&lt;=Hta_22-0.25,0,Hta_22-0.25),IF(G7&lt;=Hta_23-0.25,0,Hta_23-0.25),IF(G7&lt;=Hta_24-0.25,0,Hta_24-0.25),IF(G7&lt;=Hta_25-0.25,0,Hta_25-0.25),IF(G7&lt;=Hta_26-0.25,0,Hta_26-0.25),IF(G7&lt;=Hta_27-0.25,0,Hta_27-0.25),IF(G7&lt;=Hta_28-0.25,0,Hta_28-0.25),IF(G7&lt;=Hta_29-0.25,0,Hta_29-0.25),IF(G7&lt;=Hta_30-0.25,0,Hta_30-0.25)),MAX(IF(G7&lt;=Hba_1,0,Hba_1),IF(G7&lt;=Hba_2,0,Hba_2),IF(G7&lt;=Hba_3,0,Hba_3),IF(G7&lt;=Hba_4,0,Hba_4),IF(G7&lt;=Hba_5,0,Hba_5),IF(G7&lt;=Hba_6,0,Hba_6),IF(G7&lt;=Hba_7,0,Hba_7),IF(G7&lt;=Hba_8,0,Hba_8),IF(G7&lt;=Hba_9,0,Hba_9),IF(G7&lt;=Hba_10,0,Hba_10),IF(G7&lt;=Hba_11,0,Hba_11),IF(G7&lt;=Hba_12,0,Hba_12),IF(G7&lt;=Hba_13,0,Hba_13),IF(G7&lt;=Hba_14,0,Hba_14),IF(G7&lt;=Hba_15,0,Hba_15),IF(G7&lt;=Hba_16,0,Hba_16),IF(G7&lt;=Hba_17,0,Hba_17),IF(G7&lt;=Hba_18,0,Hba_18),IF(G7&lt;=Hba_19,0,Hba_19),IF(G7&lt;=Hba_20,0,Hba_20),IF(G7&lt;=Hba_21,0,Hba_21),IF(G7&lt;=Hba_22,0,Hba_22),IF(G7&lt;=Hba_23,0,Hba_23),IF(G7&lt;=Hba_24,0,Hba_24),IF(G7&lt;=Hba_25,0,Hba_25),IF(G7&lt;=Hba_26,0,Hba_26),IF(G7&lt;=Hba_27,0,Hba_27),IF(G7&lt;=Hba_28,0,Hba_28),IF(G7&lt;=Hba_29,0,Hba_29),IF(G7&lt;=Hba_30,0,Hba_30)),MAX(IF(G7&lt;=Input!$C$8,0,Input!$C$8),IF(G7&lt;=Input!$C$9,0,Input!$C$9),IF(G7&lt;=Input!$C$10,0,Input!$C$10),IF(G7&lt;=Input!$C$11,0,Input!$C$11),IF(G7&lt;=Input!$C$12,0,Input!$C$12),IF(G7&lt;=Input!$C$13,0,Input!$C$13),IF(G7&lt;=Input!$C$14,0,Input!$C$14),IF(G7&lt;=Input!$C$15,0,Input!$C$15),IF(G7&lt;=Input!$C$16,0,Input!$C$16)),MAX(IF(G7&lt;=Hba_1-0.25,0,Hba_1-0.25),IF(G7&lt;=Hba_2-0.25,0,Hba_2-0.25),IF(G7&lt;=Hba_3-0.25,0,Hba_3-0.25),IF(G7&lt;=Hba_4-0.25,0,Hba_4-0.25),IF(G7&lt;=Hba_5-0.25,0,Hba_5-0.25),IF(G7&lt;=Hba_6-0.25,0,Hba_6-0.25),IF(G7&lt;=Hba_7-0.25,0,Hba_7-0.25),IF(G7&lt;=Hba_8-0.25,0,Hba_8-0.25),IF(G7&lt;=Hba_9-0.25,0,Hba_9-0.25),IF(G7&lt;=Hba_10-0.25,0,Hba_10-0.25),IF(G7&lt;=Hba_11-0.25,0,Hba_11-0.25),IF(G7&lt;=Hba_12-0.25,0,Hba_12-0.25),IF(G7&lt;=Hba_13-0.25,0,Hba_13-0.25),IF(G7&lt;=Hba_14-0.25,0,Hba_14-0.25),IF(G7&lt;=Hba_15-0.25,0,Hba_15-0.25),IF(G7&lt;=Hba_16-0.25,0,Hba_16-0.25),IF(G7&lt;=Hba_17-0.25,0,Hba_17-0.25),IF(G7&lt;=Hba_18-0.25,0,Hba_18-0.25),IF(G7&lt;=Hba_19-0.25,0,Hba_19-0.25),IF(G7&lt;=Hba_20-0.25,0,Hba_20-0.25),IF(G7&lt;=Hba_21-0.25,0,Hba_21-0.25),IF(G7&lt;=Hba_22-0.25,0,Hba_22-0.25),IF(G7&lt;=Hba_23-0.25,0,Hba_23-0.25),IF(G7&lt;=Hba_24-0.25,0,Hba_24-0.25),IF(G7&lt;=Hba_25-0.25,0,Hba_25-0.25),IF(G7&lt;=Hba_26-0.25,0,Hba_26-0.25),IF(G7&lt;=Hba_27-0.25,0,Hba_27-0.25),IF(G7&lt;=Hba_28-0.25,0,Hba_28-0.25),IF(G7&lt;=Hba_29-0.25,0,Hba_29-0.25),IF(G7&lt;=Hba_30-0.25,0,Hba_30-0.25)),IF(G7&lt;='Macro References'!$A$38,0,'Macro References'!$A$38)))</f>
        <v/>
      </c>
      <c r="H8" s="769"/>
      <c r="I8" s="228"/>
      <c r="J8" s="228"/>
      <c r="K8" s="228"/>
      <c r="L8" s="717" t="str">
        <f t="shared" si="0"/>
        <v/>
      </c>
      <c r="M8" s="717"/>
      <c r="N8" s="717"/>
      <c r="O8" s="717"/>
      <c r="P8" s="717" t="str">
        <f>IF(OR(G8=0,G8=""),"",IF(VLOOKUP(G8,'Geometry 2'!$C$4:$AI$14,1,TRUE)=VLOOKUP(G9,'Geometry 2'!$C$4:$AI$14,1,TRUE),"",IF(VLOOKUP(G8,'Geometry 2'!$C$4:$AI$14,33,TRUE)&lt;&gt;"n/a",MIN(G8,VLOOKUP(G8,'Geometry 2'!$C$4:$AI$14,1,TRUE))-VLOOKUP(G8,'Geometry 2'!$C$4:$AI$14,33,TRUE),"check")))</f>
        <v/>
      </c>
      <c r="Q8" s="717"/>
      <c r="R8" s="717"/>
      <c r="S8" s="717"/>
      <c r="T8" s="717" t="str">
        <f>IF($G8="","",VLOOKUP($G8,'Geometry 2'!$E$4:$AH$14,11,TRUE))</f>
        <v/>
      </c>
      <c r="U8" s="717"/>
      <c r="V8" s="717"/>
      <c r="W8" s="717"/>
      <c r="X8" s="716" t="str">
        <f>IF($G8="","",VLOOKUP($G8,'Geometry 2'!$E$4:$AJ$14,19,TRUE)-12*VLOOKUP($G8,'Geometry 2'!$E$4:$AJ$14,32,TRUE)*($D8-VLOOKUP($G8,'Geometry 2'!$E$5:$AH$14,1,TRUE)))</f>
        <v/>
      </c>
      <c r="Y8" s="716"/>
      <c r="Z8" s="716"/>
      <c r="AA8" s="716"/>
      <c r="AB8" s="757" t="str">
        <f>IF($G8="","",VLOOKUP($G8,'Geometry 2'!$E$4:$AJ$14,19,TRUE)-12*VLOOKUP($G8,'Geometry 2'!$E$4:$AJ$14,32,TRUE)*($G8-VLOOKUP($G8,'Geometry 2'!$E$5:$AH$14,1,TRUE)))</f>
        <v/>
      </c>
      <c r="AC8" s="758"/>
      <c r="AD8" s="758"/>
      <c r="AE8" s="759"/>
      <c r="AF8" s="716" t="str">
        <f>IF($G8="","",VLOOKUP($G8,'Geometry 2'!$E$4:$AJ$14,19,TRUE)-12*VLOOKUP($G8,'Geometry 2'!$E$4:$AJ$14,32,TRUE)*($G8-IF($P8="",0,$P8)-VLOOKUP($G8,'Geometry 2'!$E$5:$AH$14,1,TRUE)))</f>
        <v/>
      </c>
      <c r="AG8" s="716"/>
      <c r="AH8" s="716"/>
      <c r="AI8" s="716"/>
      <c r="AJ8" s="746" t="str">
        <f>IF($G8="","",VLOOKUP($G8,'Geometry 2'!$E$4:$AH$14,23,TRUE))</f>
        <v/>
      </c>
      <c r="AK8" s="747"/>
      <c r="AL8" s="747"/>
      <c r="AM8" s="748"/>
      <c r="AN8" s="717"/>
      <c r="AO8" s="717"/>
      <c r="AP8" s="717"/>
      <c r="AQ8" s="717"/>
      <c r="AR8" s="717" t="str">
        <f>IF($G8="","",VLOOKUP($G8,'Geometry 2'!$E$4:$AH$14,27,TRUE))</f>
        <v/>
      </c>
      <c r="AS8" s="717"/>
      <c r="AT8" s="717"/>
      <c r="AU8" s="718"/>
      <c r="AV8" s="715"/>
      <c r="AW8" s="716"/>
      <c r="AX8" s="716"/>
      <c r="AZ8" s="722" t="str">
        <f t="shared" si="5"/>
        <v/>
      </c>
      <c r="BA8" s="723"/>
      <c r="BB8" s="723"/>
      <c r="BC8" s="724"/>
      <c r="BD8" s="722"/>
      <c r="BE8" s="723"/>
      <c r="BF8" s="723"/>
      <c r="BG8" s="722" t="str">
        <f t="shared" si="1"/>
        <v/>
      </c>
      <c r="BH8" s="723"/>
      <c r="BI8" s="723"/>
      <c r="BJ8" s="723"/>
      <c r="BK8" s="724"/>
      <c r="BL8" s="722"/>
      <c r="BM8" s="723"/>
      <c r="BN8" s="723"/>
      <c r="BO8" s="723"/>
      <c r="BP8" s="725"/>
      <c r="BQ8" s="725"/>
      <c r="BR8" s="722" t="str">
        <f>IF(BP8="","",IF(OR(AND(Rev="H",Calculations!$F$27=TRUE),AND(Rev&lt;&gt;"H",Calculations!$F$30=TRUE)),IF(BP8&lt;=1,"Pass","Fail"),IF(BP8&lt;=1.05,"Pass","Fail")))</f>
        <v/>
      </c>
      <c r="BS8" s="723"/>
      <c r="BT8" s="724"/>
      <c r="BU8" s="49"/>
      <c r="BV8" s="25" t="str">
        <f>IFERROR(CONCATENATE(IF(AND($G8&lt;Hta_1,$G8&gt;=Hba_1,Input!U$21&lt;&gt;""),Input!$B$21&amp;";",""),IF(AND($G8&lt;Hta_2,$G8&gt;=Hba_2,Input!U$22&lt;&gt;""),Input!$B$22&amp;";",""),IF(AND($G8&lt;Hta_3,$G8&gt;=Hba_3,Input!U$23&lt;&gt;""),Input!$B$23&amp;";",""),IF(AND($G8&lt;Hta_4,$G8&gt;=Hba_4,Input!U$24&lt;&gt;""),Input!$B$24&amp;";",""),IF(AND($G8&lt;Hta_5,$G8&gt;=Hba_5,Input!U$25&lt;&gt;""),Input!$B$25&amp;";",""),IF(AND($G8&lt;Hta_6,$G8&gt;=Hba_6,Input!U$26&lt;&gt;""),Input!$B$26&amp;";",""),IF(AND($G8&lt;Hta_7,$G8&gt;=Hba_7,Input!U$27&lt;&gt;""),Input!$B$27&amp;";",""),IF(AND($G8&lt;Hta_8,$G8&gt;=Hba_8,Input!U$28&lt;&gt;""),Input!$B$28&amp;";",""),IF(AND($G8&lt;Hta_9,$G8&gt;=Hba_9,Input!U$29&lt;&gt;""),Input!$B$29&amp;";",""),IF(AND($G8&lt;Hta_10,$G8&gt;=Hba_10,Input!U$30&lt;&gt;""),Input!$B$30&amp;";",""),IF(AND($G8&lt;Hta_11,$G8&gt;=Hba_11,Input!U$31&lt;&gt;""),Input!$B$31&amp;";",""),IF(AND($G8&lt;Hta_12,$G8&gt;=Hba_12,Input!U$32&lt;&gt;""),Input!$B$32&amp;";",""),IF(AND($G8&lt;Hta_13,$G8&gt;=Hba_13,Input!U$33&lt;&gt;""),Input!$B$33&amp;";",""),IF(AND($G8&lt;Hta_14,$G8&gt;=Hba_14,Input!U$34&lt;&gt;""),Input!$B$34&amp;";",""),IF(AND($G8&lt;Hta_15,$G8&gt;=Hba_15,Input!U$35&lt;&gt;""),Input!$B$35&amp;";",""),IF(AND($G8&lt;Hta_16,$G8&gt;=Hba_16,Input!U$36&lt;&gt;""),Input!$B$36&amp;";",""),IF(AND($G8&lt;Hta_17,$G8&gt;=Hba_17,Input!U$37&lt;&gt;""),Input!$B$37&amp;";",""),IF(AND($G8&lt;Hta_18,$G8&gt;=Hba_18,Input!U$38&lt;&gt;""),Input!$B$38&amp;";",""),IF(AND($G8&lt;Hta_19,$G8&gt;=Hba_19,Input!U$39&lt;&gt;""),Input!$B$39&amp;";",""),IF(AND($G8&lt;Hta_20,$G8&gt;=Hba_20,Input!U$40&lt;&gt;""),Input!$B$40&amp;";",""),IF(AND($G8&lt;Hta_21,$G8&gt;=Hba_21,Input!U$41&lt;&gt;""),Input!$B$41&amp;";",""),IF(AND($G8&lt;Hta_22,$G8&gt;=Hba_22,Input!U$42&lt;&gt;""),Input!$B$42&amp;";",""),IF(AND($G8&lt;Hta_23,$G8&gt;=Hba_23,Input!U$43&lt;&gt;""),Input!$B$43&amp;";",""),IF(AND($G8&lt;Hta_24,$G8&gt;=Hba_24,Input!U$44&lt;&gt;""),Input!$B$44&amp;";",""),IF(AND($G8&lt;Hta_25,$G8&gt;=Hba_25,Input!U$45&lt;&gt;""),Input!$B$45&amp;";",""),IF(AND($G8&lt;Hta_26,$G8&gt;=Hba_26,Input!U$46&lt;&gt;""),Input!$B$46&amp;";",""),IF(AND($G8&lt;Hta_27,$G8&gt;=Hba_27,Input!U$47&lt;&gt;""),Input!$B$47&amp;";",""),IF(AND($G8&lt;Hta_28,$G8&gt;=Hba_28,Input!U$48&lt;&gt;""),Input!$B$48&amp;";",""),IF(AND($G8&lt;Hta_29,$G8&gt;=Hba_29,Input!U$49&lt;&gt;""),Input!$B$49&amp;";",""),IF(AND($G8&lt;Hta_30,$G8&gt;=Hba_30,Input!U$50&lt;&gt;""),Input!$B$50&amp;";","")),"")</f>
        <v/>
      </c>
      <c r="BW8" s="25" t="str">
        <f>IFERROR(CONCATENATE(IF(AND($G8&lt;Hta_1,$G8&gt;=Hba_1,Input!V$21&lt;&gt;""),Input!$B$21&amp;";",""),IF(AND($G8&lt;Hta_2,$G8&gt;=Hba_2,Input!V$22&lt;&gt;""),Input!$B$22&amp;";",""),IF(AND($G8&lt;Hta_3,$G8&gt;=Hba_3,Input!V$23&lt;&gt;""),Input!$B$23&amp;";",""),IF(AND($G8&lt;Hta_4,$G8&gt;=Hba_4,Input!V$24&lt;&gt;""),Input!$B$24&amp;";",""),IF(AND($G8&lt;Hta_5,$G8&gt;=Hba_5,Input!V$25&lt;&gt;""),Input!$B$25&amp;";",""),IF(AND($G8&lt;Hta_6,$G8&gt;=Hba_6,Input!V$26&lt;&gt;""),Input!$B$26&amp;";",""),IF(AND($G8&lt;Hta_7,$G8&gt;=Hba_7,Input!V$27&lt;&gt;""),Input!$B$27&amp;";",""),IF(AND($G8&lt;Hta_8,$G8&gt;=Hba_8,Input!V$28&lt;&gt;""),Input!$B$28&amp;";",""),IF(AND($G8&lt;Hta_9,$G8&gt;=Hba_9,Input!V$29&lt;&gt;""),Input!$B$29&amp;";",""),IF(AND($G8&lt;Hta_10,$G8&gt;=Hba_10,Input!V$30&lt;&gt;""),Input!$B$30&amp;";",""),IF(AND($G8&lt;Hta_11,$G8&gt;=Hba_11,Input!V$31&lt;&gt;""),Input!$B$31&amp;";",""),IF(AND($G8&lt;Hta_12,$G8&gt;=Hba_12,Input!V$32&lt;&gt;""),Input!$B$32&amp;";",""),IF(AND($G8&lt;Hta_13,$G8&gt;=Hba_13,Input!V$33&lt;&gt;""),Input!$B$33&amp;";",""),IF(AND($G8&lt;Hta_14,$G8&gt;=Hba_14,Input!V$34&lt;&gt;""),Input!$B$34&amp;";",""),IF(AND($G8&lt;Hta_15,$G8&gt;=Hba_15,Input!V$35&lt;&gt;""),Input!$B$35&amp;";",""),IF(AND($G8&lt;Hta_16,$G8&gt;=Hba_16,Input!V$36&lt;&gt;""),Input!$B$36&amp;";",""),IF(AND($G8&lt;Hta_17,$G8&gt;=Hba_17,Input!V$37&lt;&gt;""),Input!$B$37&amp;";",""),IF(AND($G8&lt;Hta_18,$G8&gt;=Hba_18,Input!V$38&lt;&gt;""),Input!$B$38&amp;";",""),IF(AND($G8&lt;Hta_19,$G8&gt;=Hba_19,Input!V$39&lt;&gt;""),Input!$B$39&amp;";",""),IF(AND($G8&lt;Hta_20,$G8&gt;=Hba_20,Input!V$40&lt;&gt;""),Input!$B$40&amp;";",""),IF(AND($G8&lt;Hta_21,$G8&gt;=Hba_21,Input!V$41&lt;&gt;""),Input!$B$41&amp;";",""),IF(AND($G8&lt;Hta_22,$G8&gt;=Hba_22,Input!V$42&lt;&gt;""),Input!$B$42&amp;";",""),IF(AND($G8&lt;Hta_23,$G8&gt;=Hba_23,Input!V$43&lt;&gt;""),Input!$B$43&amp;";",""),IF(AND($G8&lt;Hta_24,$G8&gt;=Hba_24,Input!V$44&lt;&gt;""),Input!$B$44&amp;";",""),IF(AND($G8&lt;Hta_25,$G8&gt;=Hba_25,Input!V$45&lt;&gt;""),Input!$B$45&amp;";",""),IF(AND($G8&lt;Hta_26,$G8&gt;=Hba_26,Input!V$46&lt;&gt;""),Input!$B$46&amp;";",""),IF(AND($G8&lt;Hta_27,$G8&gt;=Hba_27,Input!V$47&lt;&gt;""),Input!$B$47&amp;";",""),IF(AND($G8&lt;Hta_28,$G8&gt;=Hba_28,Input!V$48&lt;&gt;""),Input!$B$48&amp;";",""),IF(AND($G8&lt;Hta_29,$G8&gt;=Hba_29,Input!V$49&lt;&gt;""),Input!$B$49&amp;";",""),IF(AND($G8&lt;Hta_30,$G8&gt;=Hba_30,Input!V$50&lt;&gt;""),Input!$B$50&amp;";","")),"")</f>
        <v/>
      </c>
      <c r="BX8" s="25" t="str">
        <f>IFERROR(CONCATENATE(IF(AND($G8&lt;Hta_1,$G8&gt;=Hba_1,Input!W$21&lt;&gt;""),Input!$B$21&amp;";",""),IF(AND($G8&lt;Hta_2,$G8&gt;=Hba_2,Input!W$22&lt;&gt;""),Input!$B$22&amp;";",""),IF(AND($G8&lt;Hta_3,$G8&gt;=Hba_3,Input!W$23&lt;&gt;""),Input!$B$23&amp;";",""),IF(AND($G8&lt;Hta_4,$G8&gt;=Hba_4,Input!W$24&lt;&gt;""),Input!$B$24&amp;";",""),IF(AND($G8&lt;Hta_5,$G8&gt;=Hba_5,Input!W$25&lt;&gt;""),Input!$B$25&amp;";",""),IF(AND($G8&lt;Hta_6,$G8&gt;=Hba_6,Input!W$26&lt;&gt;""),Input!$B$26&amp;";",""),IF(AND($G8&lt;Hta_7,$G8&gt;=Hba_7,Input!W$27&lt;&gt;""),Input!$B$27&amp;";",""),IF(AND($G8&lt;Hta_8,$G8&gt;=Hba_8,Input!W$28&lt;&gt;""),Input!$B$28&amp;";",""),IF(AND($G8&lt;Hta_9,$G8&gt;=Hba_9,Input!W$29&lt;&gt;""),Input!$B$29&amp;";",""),IF(AND($G8&lt;Hta_10,$G8&gt;=Hba_10,Input!W$30&lt;&gt;""),Input!$B$30&amp;";",""),IF(AND($G8&lt;Hta_11,$G8&gt;=Hba_11,Input!W$31&lt;&gt;""),Input!$B$31&amp;";",""),IF(AND($G8&lt;Hta_12,$G8&gt;=Hba_12,Input!W$32&lt;&gt;""),Input!$B$32&amp;";",""),IF(AND($G8&lt;Hta_13,$G8&gt;=Hba_13,Input!W$33&lt;&gt;""),Input!$B$33&amp;";",""),IF(AND($G8&lt;Hta_14,$G8&gt;=Hba_14,Input!W$34&lt;&gt;""),Input!$B$34&amp;";",""),IF(AND($G8&lt;Hta_15,$G8&gt;=Hba_15,Input!W$35&lt;&gt;""),Input!$B$35&amp;";",""),IF(AND($G8&lt;Hta_16,$G8&gt;=Hba_16,Input!W$36&lt;&gt;""),Input!$B$36&amp;";",""),IF(AND($G8&lt;Hta_17,$G8&gt;=Hba_17,Input!W$37&lt;&gt;""),Input!$B$37&amp;";",""),IF(AND($G8&lt;Hta_18,$G8&gt;=Hba_18,Input!W$38&lt;&gt;""),Input!$B$38&amp;";",""),IF(AND($G8&lt;Hta_19,$G8&gt;=Hba_19,Input!W$39&lt;&gt;""),Input!$B$39&amp;";",""),IF(AND($G8&lt;Hta_20,$G8&gt;=Hba_20,Input!W$40&lt;&gt;""),Input!$B$40&amp;";",""),IF(AND($G8&lt;Hta_21,$G8&gt;=Hba_21,Input!W$41&lt;&gt;""),Input!$B$41&amp;";",""),IF(AND($G8&lt;Hta_22,$G8&gt;=Hba_22,Input!W$42&lt;&gt;""),Input!$B$42&amp;";",""),IF(AND($G8&lt;Hta_23,$G8&gt;=Hba_23,Input!W$43&lt;&gt;""),Input!$B$43&amp;";",""),IF(AND($G8&lt;Hta_24,$G8&gt;=Hba_24,Input!W$44&lt;&gt;""),Input!$B$44&amp;";",""),IF(AND($G8&lt;Hta_25,$G8&gt;=Hba_25,Input!W$45&lt;&gt;""),Input!$B$45&amp;";",""),IF(AND($G8&lt;Hta_26,$G8&gt;=Hba_26,Input!W$46&lt;&gt;""),Input!$B$46&amp;";",""),IF(AND($G8&lt;Hta_27,$G8&gt;=Hba_27,Input!W$47&lt;&gt;""),Input!$B$47&amp;";",""),IF(AND($G8&lt;Hta_28,$G8&gt;=Hba_28,Input!W$48&lt;&gt;""),Input!$B$48&amp;";",""),IF(AND($G8&lt;Hta_29,$G8&gt;=Hba_29,Input!W$49&lt;&gt;""),Input!$B$49&amp;";",""),IF(AND($G8&lt;Hta_30,$G8&gt;=Hba_30,Input!W$50&lt;&gt;""),Input!$B$50&amp;";","")),"")</f>
        <v/>
      </c>
      <c r="BY8" s="25" t="str">
        <f>IFERROR(CONCATENATE(IF(AND($G8&lt;Hta_1,$G8&gt;=Hba_1,Input!X$21&lt;&gt;""),Input!$B$21&amp;";",""),IF(AND($G8&lt;Hta_2,$G8&gt;=Hba_2,Input!X$22&lt;&gt;""),Input!$B$22&amp;";",""),IF(AND($G8&lt;Hta_3,$G8&gt;=Hba_3,Input!X$23&lt;&gt;""),Input!$B$23&amp;";",""),IF(AND($G8&lt;Hta_4,$G8&gt;=Hba_4,Input!X$24&lt;&gt;""),Input!$B$24&amp;";",""),IF(AND($G8&lt;Hta_5,$G8&gt;=Hba_5,Input!X$25&lt;&gt;""),Input!$B$25&amp;";",""),IF(AND($G8&lt;Hta_6,$G8&gt;=Hba_6,Input!X$26&lt;&gt;""),Input!$B$26&amp;";",""),IF(AND($G8&lt;Hta_7,$G8&gt;=Hba_7,Input!X$27&lt;&gt;""),Input!$B$27&amp;";",""),IF(AND($G8&lt;Hta_8,$G8&gt;=Hba_8,Input!X$28&lt;&gt;""),Input!$B$28&amp;";",""),IF(AND($G8&lt;Hta_9,$G8&gt;=Hba_9,Input!X$29&lt;&gt;""),Input!$B$29&amp;";",""),IF(AND($G8&lt;Hta_10,$G8&gt;=Hba_10,Input!X$30&lt;&gt;""),Input!$B$30&amp;";",""),IF(AND($G8&lt;Hta_11,$G8&gt;=Hba_11,Input!X$31&lt;&gt;""),Input!$B$31&amp;";",""),IF(AND($G8&lt;Hta_12,$G8&gt;=Hba_12,Input!X$32&lt;&gt;""),Input!$B$32&amp;";",""),IF(AND($G8&lt;Hta_13,$G8&gt;=Hba_13,Input!X$33&lt;&gt;""),Input!$B$33&amp;";",""),IF(AND($G8&lt;Hta_14,$G8&gt;=Hba_14,Input!X$34&lt;&gt;""),Input!$B$34&amp;";",""),IF(AND($G8&lt;Hta_15,$G8&gt;=Hba_15,Input!X$35&lt;&gt;""),Input!$B$35&amp;";",""),IF(AND($G8&lt;Hta_16,$G8&gt;=Hba_16,Input!X$36&lt;&gt;""),Input!$B$36&amp;";",""),IF(AND($G8&lt;Hta_17,$G8&gt;=Hba_17,Input!X$37&lt;&gt;""),Input!$B$37&amp;";",""),IF(AND($G8&lt;Hta_18,$G8&gt;=Hba_18,Input!X$38&lt;&gt;""),Input!$B$38&amp;";",""),IF(AND($G8&lt;Hta_19,$G8&gt;=Hba_19,Input!X$39&lt;&gt;""),Input!$B$39&amp;";",""),IF(AND($G8&lt;Hta_20,$G8&gt;=Hba_20,Input!X$40&lt;&gt;""),Input!$B$40&amp;";",""),IF(AND($G8&lt;Hta_21,$G8&gt;=Hba_21,Input!X$41&lt;&gt;""),Input!$B$41&amp;";",""),IF(AND($G8&lt;Hta_22,$G8&gt;=Hba_22,Input!X$42&lt;&gt;""),Input!$B$42&amp;";",""),IF(AND($G8&lt;Hta_23,$G8&gt;=Hba_23,Input!X$43&lt;&gt;""),Input!$B$43&amp;";",""),IF(AND($G8&lt;Hta_24,$G8&gt;=Hba_24,Input!X$44&lt;&gt;""),Input!$B$44&amp;";",""),IF(AND($G8&lt;Hta_25,$G8&gt;=Hba_25,Input!X$45&lt;&gt;""),Input!$B$45&amp;";",""),IF(AND($G8&lt;Hta_26,$G8&gt;=Hba_26,Input!X$46&lt;&gt;""),Input!$B$46&amp;";",""),IF(AND($G8&lt;Hta_27,$G8&gt;=Hba_27,Input!X$47&lt;&gt;""),Input!$B$47&amp;";",""),IF(AND($G8&lt;Hta_28,$G8&gt;=Hba_28,Input!X$48&lt;&gt;""),Input!$B$48&amp;";",""),IF(AND($G8&lt;Hta_29,$G8&gt;=Hba_29,Input!X$49&lt;&gt;""),Input!$B$49&amp;";",""),IF(AND($G8&lt;Hta_30,$G8&gt;=Hba_30,Input!X$50&lt;&gt;""),Input!$B$50&amp;";","")),"")</f>
        <v/>
      </c>
      <c r="BZ8" s="25" t="str">
        <f>IFERROR(CONCATENATE(IF(AND($G8&lt;Hta_1,$G8&gt;=Hba_1,Input!Y$21&lt;&gt;""),Input!$B$21&amp;";",""),IF(AND($G8&lt;Hta_2,$G8&gt;=Hba_2,Input!Y$22&lt;&gt;""),Input!$B$22&amp;";",""),IF(AND($G8&lt;Hta_3,$G8&gt;=Hba_3,Input!Y$23&lt;&gt;""),Input!$B$23&amp;";",""),IF(AND($G8&lt;Hta_4,$G8&gt;=Hba_4,Input!Y$24&lt;&gt;""),Input!$B$24&amp;";",""),IF(AND($G8&lt;Hta_5,$G8&gt;=Hba_5,Input!Y$25&lt;&gt;""),Input!$B$25&amp;";",""),IF(AND($G8&lt;Hta_6,$G8&gt;=Hba_6,Input!Y$26&lt;&gt;""),Input!$B$26&amp;";",""),IF(AND($G8&lt;Hta_7,$G8&gt;=Hba_7,Input!Y$27&lt;&gt;""),Input!$B$27&amp;";",""),IF(AND($G8&lt;Hta_8,$G8&gt;=Hba_8,Input!Y$28&lt;&gt;""),Input!$B$28&amp;";",""),IF(AND($G8&lt;Hta_9,$G8&gt;=Hba_9,Input!Y$29&lt;&gt;""),Input!$B$29&amp;";",""),IF(AND($G8&lt;Hta_10,$G8&gt;=Hba_10,Input!Y$30&lt;&gt;""),Input!$B$30&amp;";",""),IF(AND($G8&lt;Hta_11,$G8&gt;=Hba_11,Input!Y$31&lt;&gt;""),Input!$B$31&amp;";",""),IF(AND($G8&lt;Hta_12,$G8&gt;=Hba_12,Input!Y$32&lt;&gt;""),Input!$B$32&amp;";",""),IF(AND($G8&lt;Hta_13,$G8&gt;=Hba_13,Input!Y$33&lt;&gt;""),Input!$B$33&amp;";",""),IF(AND($G8&lt;Hta_14,$G8&gt;=Hba_14,Input!Y$34&lt;&gt;""),Input!$B$34&amp;";",""),IF(AND($G8&lt;Hta_15,$G8&gt;=Hba_15,Input!Y$35&lt;&gt;""),Input!$B$35&amp;";",""),IF(AND($G8&lt;Hta_16,$G8&gt;=Hba_16,Input!Y$36&lt;&gt;""),Input!$B$36&amp;";",""),IF(AND($G8&lt;Hta_17,$G8&gt;=Hba_17,Input!Y$37&lt;&gt;""),Input!$B$37&amp;";",""),IF(AND($G8&lt;Hta_18,$G8&gt;=Hba_18,Input!Y$38&lt;&gt;""),Input!$B$38&amp;";",""),IF(AND($G8&lt;Hta_19,$G8&gt;=Hba_19,Input!Y$39&lt;&gt;""),Input!$B$39&amp;";",""),IF(AND($G8&lt;Hta_20,$G8&gt;=Hba_20,Input!Y$40&lt;&gt;""),Input!$B$40&amp;";",""),IF(AND($G8&lt;Hta_21,$G8&gt;=Hba_21,Input!Y$41&lt;&gt;""),Input!$B$41&amp;";",""),IF(AND($G8&lt;Hta_22,$G8&gt;=Hba_22,Input!Y$42&lt;&gt;""),Input!$B$42&amp;";",""),IF(AND($G8&lt;Hta_23,$G8&gt;=Hba_23,Input!Y$43&lt;&gt;""),Input!$B$43&amp;";",""),IF(AND($G8&lt;Hta_24,$G8&gt;=Hba_24,Input!Y$44&lt;&gt;""),Input!$B$44&amp;";",""),IF(AND($G8&lt;Hta_25,$G8&gt;=Hba_25,Input!Y$45&lt;&gt;""),Input!$B$45&amp;";",""),IF(AND($G8&lt;Hta_26,$G8&gt;=Hba_26,Input!Y$46&lt;&gt;""),Input!$B$46&amp;";",""),IF(AND($G8&lt;Hta_27,$G8&gt;=Hba_27,Input!Y$47&lt;&gt;""),Input!$B$47&amp;";",""),IF(AND($G8&lt;Hta_28,$G8&gt;=Hba_28,Input!Y$48&lt;&gt;""),Input!$B$48&amp;";",""),IF(AND($G8&lt;Hta_29,$G8&gt;=Hba_29,Input!Y$49&lt;&gt;""),Input!$B$49&amp;";",""),IF(AND($G8&lt;Hta_30,$G8&gt;=Hba_30,Input!Y$50&lt;&gt;""),Input!$B$50&amp;";","")),"")</f>
        <v/>
      </c>
      <c r="CA8" s="25" t="str">
        <f>IFERROR(CONCATENATE(IF(AND($G8&lt;Hta_1,$G8&gt;=Hba_1,Input!Z$21&lt;&gt;""),Input!$B$21&amp;";",""),IF(AND($G8&lt;Hta_2,$G8&gt;=Hba_2,Input!Z$22&lt;&gt;""),Input!$B$22&amp;";",""),IF(AND($G8&lt;Hta_3,$G8&gt;=Hba_3,Input!Z$23&lt;&gt;""),Input!$B$23&amp;";",""),IF(AND($G8&lt;Hta_4,$G8&gt;=Hba_4,Input!Z$24&lt;&gt;""),Input!$B$24&amp;";",""),IF(AND($G8&lt;Hta_5,$G8&gt;=Hba_5,Input!Z$25&lt;&gt;""),Input!$B$25&amp;";",""),IF(AND($G8&lt;Hta_6,$G8&gt;=Hba_6,Input!Z$26&lt;&gt;""),Input!$B$26&amp;";",""),IF(AND($G8&lt;Hta_7,$G8&gt;=Hba_7,Input!Z$27&lt;&gt;""),Input!$B$27&amp;";",""),IF(AND($G8&lt;Hta_8,$G8&gt;=Hba_8,Input!Z$28&lt;&gt;""),Input!$B$28&amp;";",""),IF(AND($G8&lt;Hta_9,$G8&gt;=Hba_9,Input!Z$29&lt;&gt;""),Input!$B$29&amp;";",""),IF(AND($G8&lt;Hta_10,$G8&gt;=Hba_10,Input!Z$30&lt;&gt;""),Input!$B$30&amp;";",""),IF(AND($G8&lt;Hta_11,$G8&gt;=Hba_11,Input!Z$31&lt;&gt;""),Input!$B$31&amp;";",""),IF(AND($G8&lt;Hta_12,$G8&gt;=Hba_12,Input!Z$32&lt;&gt;""),Input!$B$32&amp;";",""),IF(AND($G8&lt;Hta_13,$G8&gt;=Hba_13,Input!Z$33&lt;&gt;""),Input!$B$33&amp;";",""),IF(AND($G8&lt;Hta_14,$G8&gt;=Hba_14,Input!Z$34&lt;&gt;""),Input!$B$34&amp;";",""),IF(AND($G8&lt;Hta_15,$G8&gt;=Hba_15,Input!Z$35&lt;&gt;""),Input!$B$35&amp;";",""),IF(AND($G8&lt;Hta_16,$G8&gt;=Hba_16,Input!Z$36&lt;&gt;""),Input!$B$36&amp;";",""),IF(AND($G8&lt;Hta_17,$G8&gt;=Hba_17,Input!Z$37&lt;&gt;""),Input!$B$37&amp;";",""),IF(AND($G8&lt;Hta_18,$G8&gt;=Hba_18,Input!Z$38&lt;&gt;""),Input!$B$38&amp;";",""),IF(AND($G8&lt;Hta_19,$G8&gt;=Hba_19,Input!Z$39&lt;&gt;""),Input!$B$39&amp;";",""),IF(AND($G8&lt;Hta_20,$G8&gt;=Hba_20,Input!Z$40&lt;&gt;""),Input!$B$40&amp;";",""),IF(AND($G8&lt;Hta_21,$G8&gt;=Hba_21,Input!Z$41&lt;&gt;""),Input!$B$41&amp;";",""),IF(AND($G8&lt;Hta_22,$G8&gt;=Hba_22,Input!Z$42&lt;&gt;""),Input!$B$42&amp;";",""),IF(AND($G8&lt;Hta_23,$G8&gt;=Hba_23,Input!Z$43&lt;&gt;""),Input!$B$43&amp;";",""),IF(AND($G8&lt;Hta_24,$G8&gt;=Hba_24,Input!Z$44&lt;&gt;""),Input!$B$44&amp;";",""),IF(AND($G8&lt;Hta_25,$G8&gt;=Hba_25,Input!Z$45&lt;&gt;""),Input!$B$45&amp;";",""),IF(AND($G8&lt;Hta_26,$G8&gt;=Hba_26,Input!Z$46&lt;&gt;""),Input!$B$46&amp;";",""),IF(AND($G8&lt;Hta_27,$G8&gt;=Hba_27,Input!Z$47&lt;&gt;""),Input!$B$47&amp;";",""),IF(AND($G8&lt;Hta_28,$G8&gt;=Hba_28,Input!Z$48&lt;&gt;""),Input!$B$48&amp;";",""),IF(AND($G8&lt;Hta_29,$G8&gt;=Hba_29,Input!Z$49&lt;&gt;""),Input!$B$49&amp;";",""),IF(AND($G8&lt;Hta_30,$G8&gt;=Hba_30,Input!Z$50&lt;&gt;""),Input!$B$50&amp;";","")),"")</f>
        <v/>
      </c>
      <c r="CB8" s="25" t="str">
        <f>IFERROR(CONCATENATE(IF(AND($G8&lt;Hta_1,$G8&gt;=Hba_1,Input!AA$21&lt;&gt;""),Input!$B$21&amp;";",""),IF(AND($G8&lt;Hta_2,$G8&gt;=Hba_2,Input!AA$22&lt;&gt;""),Input!$B$22&amp;";",""),IF(AND($G8&lt;Hta_3,$G8&gt;=Hba_3,Input!AA$23&lt;&gt;""),Input!$B$23&amp;";",""),IF(AND($G8&lt;Hta_4,$G8&gt;=Hba_4,Input!AA$24&lt;&gt;""),Input!$B$24&amp;";",""),IF(AND($G8&lt;Hta_5,$G8&gt;=Hba_5,Input!AA$25&lt;&gt;""),Input!$B$25&amp;";",""),IF(AND($G8&lt;Hta_6,$G8&gt;=Hba_6,Input!AA$26&lt;&gt;""),Input!$B$26&amp;";",""),IF(AND($G8&lt;Hta_7,$G8&gt;=Hba_7,Input!AA$27&lt;&gt;""),Input!$B$27&amp;";",""),IF(AND($G8&lt;Hta_8,$G8&gt;=Hba_8,Input!AA$28&lt;&gt;""),Input!$B$28&amp;";",""),IF(AND($G8&lt;Hta_9,$G8&gt;=Hba_9,Input!AA$29&lt;&gt;""),Input!$B$29&amp;";",""),IF(AND($G8&lt;Hta_10,$G8&gt;=Hba_10,Input!AA$30&lt;&gt;""),Input!$B$30&amp;";",""),IF(AND($G8&lt;Hta_11,$G8&gt;=Hba_11,Input!AA$31&lt;&gt;""),Input!$B$31&amp;";",""),IF(AND($G8&lt;Hta_12,$G8&gt;=Hba_12,Input!AA$32&lt;&gt;""),Input!$B$32&amp;";",""),IF(AND($G8&lt;Hta_13,$G8&gt;=Hba_13,Input!AA$33&lt;&gt;""),Input!$B$33&amp;";",""),IF(AND($G8&lt;Hta_14,$G8&gt;=Hba_14,Input!AA$34&lt;&gt;""),Input!$B$34&amp;";",""),IF(AND($G8&lt;Hta_15,$G8&gt;=Hba_15,Input!AA$35&lt;&gt;""),Input!$B$35&amp;";",""),IF(AND($G8&lt;Hta_16,$G8&gt;=Hba_16,Input!AA$36&lt;&gt;""),Input!$B$36&amp;";",""),IF(AND($G8&lt;Hta_17,$G8&gt;=Hba_17,Input!AA$37&lt;&gt;""),Input!$B$37&amp;";",""),IF(AND($G8&lt;Hta_18,$G8&gt;=Hba_18,Input!AA$38&lt;&gt;""),Input!$B$38&amp;";",""),IF(AND($G8&lt;Hta_19,$G8&gt;=Hba_19,Input!AA$39&lt;&gt;""),Input!$B$39&amp;";",""),IF(AND($G8&lt;Hta_20,$G8&gt;=Hba_20,Input!AA$40&lt;&gt;""),Input!$B$40&amp;";",""),IF(AND($G8&lt;Hta_21,$G8&gt;=Hba_21,Input!AA$41&lt;&gt;""),Input!$B$41&amp;";",""),IF(AND($G8&lt;Hta_22,$G8&gt;=Hba_22,Input!AA$42&lt;&gt;""),Input!$B$42&amp;";",""),IF(AND($G8&lt;Hta_23,$G8&gt;=Hba_23,Input!AA$43&lt;&gt;""),Input!$B$43&amp;";",""),IF(AND($G8&lt;Hta_24,$G8&gt;=Hba_24,Input!AA$44&lt;&gt;""),Input!$B$44&amp;";",""),IF(AND($G8&lt;Hta_25,$G8&gt;=Hba_25,Input!AA$45&lt;&gt;""),Input!$B$45&amp;";",""),IF(AND($G8&lt;Hta_26,$G8&gt;=Hba_26,Input!AA$46&lt;&gt;""),Input!$B$46&amp;";",""),IF(AND($G8&lt;Hta_27,$G8&gt;=Hba_27,Input!AA$47&lt;&gt;""),Input!$B$47&amp;";",""),IF(AND($G8&lt;Hta_28,$G8&gt;=Hba_28,Input!AA$48&lt;&gt;""),Input!$B$48&amp;";",""),IF(AND($G8&lt;Hta_29,$G8&gt;=Hba_29,Input!AA$49&lt;&gt;""),Input!$B$49&amp;";",""),IF(AND($G8&lt;Hta_30,$G8&gt;=Hba_30,Input!AA$50&lt;&gt;""),Input!$B$50&amp;";","")),"")</f>
        <v/>
      </c>
      <c r="CC8" s="25" t="str">
        <f>IFERROR(CONCATENATE(IF(AND($G8&lt;Hta_1,$G8&gt;=Hba_1,Input!AB$21&lt;&gt;""),Input!$B$21&amp;";",""),IF(AND($G8&lt;Hta_2,$G8&gt;=Hba_2,Input!AB$22&lt;&gt;""),Input!$B$22&amp;";",""),IF(AND($G8&lt;Hta_3,$G8&gt;=Hba_3,Input!AB$23&lt;&gt;""),Input!$B$23&amp;";",""),IF(AND($G8&lt;Hta_4,$G8&gt;=Hba_4,Input!AB$24&lt;&gt;""),Input!$B$24&amp;";",""),IF(AND($G8&lt;Hta_5,$G8&gt;=Hba_5,Input!AB$25&lt;&gt;""),Input!$B$25&amp;";",""),IF(AND($G8&lt;Hta_6,$G8&gt;=Hba_6,Input!AB$26&lt;&gt;""),Input!$B$26&amp;";",""),IF(AND($G8&lt;Hta_7,$G8&gt;=Hba_7,Input!AB$27&lt;&gt;""),Input!$B$27&amp;";",""),IF(AND($G8&lt;Hta_8,$G8&gt;=Hba_8,Input!AB$28&lt;&gt;""),Input!$B$28&amp;";",""),IF(AND($G8&lt;Hta_9,$G8&gt;=Hba_9,Input!AB$29&lt;&gt;""),Input!$B$29&amp;";",""),IF(AND($G8&lt;Hta_10,$G8&gt;=Hba_10,Input!AB$30&lt;&gt;""),Input!$B$30&amp;";",""),IF(AND($G8&lt;Hta_11,$G8&gt;=Hba_11,Input!AB$31&lt;&gt;""),Input!$B$31&amp;";",""),IF(AND($G8&lt;Hta_12,$G8&gt;=Hba_12,Input!AB$32&lt;&gt;""),Input!$B$32&amp;";",""),IF(AND($G8&lt;Hta_13,$G8&gt;=Hba_13,Input!AB$33&lt;&gt;""),Input!$B$33&amp;";",""),IF(AND($G8&lt;Hta_14,$G8&gt;=Hba_14,Input!AB$34&lt;&gt;""),Input!$B$34&amp;";",""),IF(AND($G8&lt;Hta_15,$G8&gt;=Hba_15,Input!AB$35&lt;&gt;""),Input!$B$35&amp;";",""),IF(AND($G8&lt;Hta_16,$G8&gt;=Hba_16,Input!AB$36&lt;&gt;""),Input!$B$36&amp;";",""),IF(AND($G8&lt;Hta_17,$G8&gt;=Hba_17,Input!AB$37&lt;&gt;""),Input!$B$37&amp;";",""),IF(AND($G8&lt;Hta_18,$G8&gt;=Hba_18,Input!AB$38&lt;&gt;""),Input!$B$38&amp;";",""),IF(AND($G8&lt;Hta_19,$G8&gt;=Hba_19,Input!AB$39&lt;&gt;""),Input!$B$39&amp;";",""),IF(AND($G8&lt;Hta_20,$G8&gt;=Hba_20,Input!AB$40&lt;&gt;""),Input!$B$40&amp;";",""),IF(AND($G8&lt;Hta_21,$G8&gt;=Hba_21,Input!AB$41&lt;&gt;""),Input!$B$41&amp;";",""),IF(AND($G8&lt;Hta_22,$G8&gt;=Hba_22,Input!AB$42&lt;&gt;""),Input!$B$42&amp;";",""),IF(AND($G8&lt;Hta_23,$G8&gt;=Hba_23,Input!AB$43&lt;&gt;""),Input!$B$43&amp;";",""),IF(AND($G8&lt;Hta_24,$G8&gt;=Hba_24,Input!AB$44&lt;&gt;""),Input!$B$44&amp;";",""),IF(AND($G8&lt;Hta_25,$G8&gt;=Hba_25,Input!AB$45&lt;&gt;""),Input!$B$45&amp;";",""),IF(AND($G8&lt;Hta_26,$G8&gt;=Hba_26,Input!AB$46&lt;&gt;""),Input!$B$46&amp;";",""),IF(AND($G8&lt;Hta_27,$G8&gt;=Hba_27,Input!AB$47&lt;&gt;""),Input!$B$47&amp;";",""),IF(AND($G8&lt;Hta_28,$G8&gt;=Hba_28,Input!AB$48&lt;&gt;""),Input!$B$48&amp;";",""),IF(AND($G8&lt;Hta_29,$G8&gt;=Hba_29,Input!AB$49&lt;&gt;""),Input!$B$49&amp;";",""),IF(AND($G8&lt;Hta_30,$G8&gt;=Hba_30,Input!AB$50&lt;&gt;""),Input!$B$50&amp;";","")),"")</f>
        <v/>
      </c>
      <c r="CD8" s="25" t="str">
        <f>IFERROR(CONCATENATE(IF(AND($G8&lt;Hta_1,$G8&gt;=Hba_1,Input!AC$21&lt;&gt;""),Input!$B$21&amp;";",""),IF(AND($G8&lt;Hta_2,$G8&gt;=Hba_2,Input!AC$22&lt;&gt;""),Input!$B$22&amp;";",""),IF(AND($G8&lt;Hta_3,$G8&gt;=Hba_3,Input!AC$23&lt;&gt;""),Input!$B$23&amp;";",""),IF(AND($G8&lt;Hta_4,$G8&gt;=Hba_4,Input!AC$24&lt;&gt;""),Input!$B$24&amp;";",""),IF(AND($G8&lt;Hta_5,$G8&gt;=Hba_5,Input!AC$25&lt;&gt;""),Input!$B$25&amp;";",""),IF(AND($G8&lt;Hta_6,$G8&gt;=Hba_6,Input!AC$26&lt;&gt;""),Input!$B$26&amp;";",""),IF(AND($G8&lt;Hta_7,$G8&gt;=Hba_7,Input!AC$27&lt;&gt;""),Input!$B$27&amp;";",""),IF(AND($G8&lt;Hta_8,$G8&gt;=Hba_8,Input!AC$28&lt;&gt;""),Input!$B$28&amp;";",""),IF(AND($G8&lt;Hta_9,$G8&gt;=Hba_9,Input!AC$29&lt;&gt;""),Input!$B$29&amp;";",""),IF(AND($G8&lt;Hta_10,$G8&gt;=Hba_10,Input!AC$30&lt;&gt;""),Input!$B$30&amp;";",""),IF(AND($G8&lt;Hta_11,$G8&gt;=Hba_11,Input!AC$31&lt;&gt;""),Input!$B$31&amp;";",""),IF(AND($G8&lt;Hta_12,$G8&gt;=Hba_12,Input!AC$32&lt;&gt;""),Input!$B$32&amp;";",""),IF(AND($G8&lt;Hta_13,$G8&gt;=Hba_13,Input!AC$33&lt;&gt;""),Input!$B$33&amp;";",""),IF(AND($G8&lt;Hta_14,$G8&gt;=Hba_14,Input!AC$34&lt;&gt;""),Input!$B$34&amp;";",""),IF(AND($G8&lt;Hta_15,$G8&gt;=Hba_15,Input!AC$35&lt;&gt;""),Input!$B$35&amp;";",""),IF(AND($G8&lt;Hta_16,$G8&gt;=Hba_16,Input!AC$36&lt;&gt;""),Input!$B$36&amp;";",""),IF(AND($G8&lt;Hta_17,$G8&gt;=Hba_17,Input!AC$37&lt;&gt;""),Input!$B$37&amp;";",""),IF(AND($G8&lt;Hta_18,$G8&gt;=Hba_18,Input!AC$38&lt;&gt;""),Input!$B$38&amp;";",""),IF(AND($G8&lt;Hta_19,$G8&gt;=Hba_19,Input!AC$39&lt;&gt;""),Input!$B$39&amp;";",""),IF(AND($G8&lt;Hta_20,$G8&gt;=Hba_20,Input!AC$40&lt;&gt;""),Input!$B$40&amp;";",""),IF(AND($G8&lt;Hta_21,$G8&gt;=Hba_21,Input!AC$41&lt;&gt;""),Input!$B$41&amp;";",""),IF(AND($G8&lt;Hta_22,$G8&gt;=Hba_22,Input!AC$42&lt;&gt;""),Input!$B$42&amp;";",""),IF(AND($G8&lt;Hta_23,$G8&gt;=Hba_23,Input!AC$43&lt;&gt;""),Input!$B$43&amp;";",""),IF(AND($G8&lt;Hta_24,$G8&gt;=Hba_24,Input!AC$44&lt;&gt;""),Input!$B$44&amp;";",""),IF(AND($G8&lt;Hta_25,$G8&gt;=Hba_25,Input!AC$45&lt;&gt;""),Input!$B$45&amp;";",""),IF(AND($G8&lt;Hta_26,$G8&gt;=Hba_26,Input!AC$46&lt;&gt;""),Input!$B$46&amp;";",""),IF(AND($G8&lt;Hta_27,$G8&gt;=Hba_27,Input!AC$47&lt;&gt;""),Input!$B$47&amp;";",""),IF(AND($G8&lt;Hta_28,$G8&gt;=Hba_28,Input!AC$48&lt;&gt;""),Input!$B$48&amp;";",""),IF(AND($G8&lt;Hta_29,$G8&gt;=Hba_29,Input!AC$49&lt;&gt;""),Input!$B$49&amp;";",""),IF(AND($G8&lt;Hta_30,$G8&gt;=Hba_30,Input!AC$50&lt;&gt;""),Input!$B$50&amp;";","")),"")</f>
        <v/>
      </c>
      <c r="CE8" s="25" t="str">
        <f>IFERROR(CONCATENATE(IF(AND($G8&lt;Hta_1,$G8&gt;=Hba_1,Input!AD$21&lt;&gt;""),Input!$B$21&amp;";",""),IF(AND($G8&lt;Hta_2,$G8&gt;=Hba_2,Input!AD$22&lt;&gt;""),Input!$B$22&amp;";",""),IF(AND($G8&lt;Hta_3,$G8&gt;=Hba_3,Input!AD$23&lt;&gt;""),Input!$B$23&amp;";",""),IF(AND($G8&lt;Hta_4,$G8&gt;=Hba_4,Input!AD$24&lt;&gt;""),Input!$B$24&amp;";",""),IF(AND($G8&lt;Hta_5,$G8&gt;=Hba_5,Input!AD$25&lt;&gt;""),Input!$B$25&amp;";",""),IF(AND($G8&lt;Hta_6,$G8&gt;=Hba_6,Input!AD$26&lt;&gt;""),Input!$B$26&amp;";",""),IF(AND($G8&lt;Hta_7,$G8&gt;=Hba_7,Input!AD$27&lt;&gt;""),Input!$B$27&amp;";",""),IF(AND($G8&lt;Hta_8,$G8&gt;=Hba_8,Input!AD$28&lt;&gt;""),Input!$B$28&amp;";",""),IF(AND($G8&lt;Hta_9,$G8&gt;=Hba_9,Input!AD$29&lt;&gt;""),Input!$B$29&amp;";",""),IF(AND($G8&lt;Hta_10,$G8&gt;=Hba_10,Input!AD$30&lt;&gt;""),Input!$B$30&amp;";",""),IF(AND($G8&lt;Hta_11,$G8&gt;=Hba_11,Input!AD$31&lt;&gt;""),Input!$B$31&amp;";",""),IF(AND($G8&lt;Hta_12,$G8&gt;=Hba_12,Input!AD$32&lt;&gt;""),Input!$B$32&amp;";",""),IF(AND($G8&lt;Hta_13,$G8&gt;=Hba_13,Input!AD$33&lt;&gt;""),Input!$B$33&amp;";",""),IF(AND($G8&lt;Hta_14,$G8&gt;=Hba_14,Input!AD$34&lt;&gt;""),Input!$B$34&amp;";",""),IF(AND($G8&lt;Hta_15,$G8&gt;=Hba_15,Input!AD$35&lt;&gt;""),Input!$B$35&amp;";",""),IF(AND($G8&lt;Hta_16,$G8&gt;=Hba_16,Input!AD$36&lt;&gt;""),Input!$B$36&amp;";",""),IF(AND($G8&lt;Hta_17,$G8&gt;=Hba_17,Input!AD$37&lt;&gt;""),Input!$B$37&amp;";",""),IF(AND($G8&lt;Hta_18,$G8&gt;=Hba_18,Input!AD$38&lt;&gt;""),Input!$B$38&amp;";",""),IF(AND($G8&lt;Hta_19,$G8&gt;=Hba_19,Input!AD$39&lt;&gt;""),Input!$B$39&amp;";",""),IF(AND($G8&lt;Hta_20,$G8&gt;=Hba_20,Input!AD$40&lt;&gt;""),Input!$B$40&amp;";",""),IF(AND($G8&lt;Hta_21,$G8&gt;=Hba_21,Input!AD$41&lt;&gt;""),Input!$B$41&amp;";",""),IF(AND($G8&lt;Hta_22,$G8&gt;=Hba_22,Input!AD$42&lt;&gt;""),Input!$B$42&amp;";",""),IF(AND($G8&lt;Hta_23,$G8&gt;=Hba_23,Input!AD$43&lt;&gt;""),Input!$B$43&amp;";",""),IF(AND($G8&lt;Hta_24,$G8&gt;=Hba_24,Input!AD$44&lt;&gt;""),Input!$B$44&amp;";",""),IF(AND($G8&lt;Hta_25,$G8&gt;=Hba_25,Input!AD$45&lt;&gt;""),Input!$B$45&amp;";",""),IF(AND($G8&lt;Hta_26,$G8&gt;=Hba_26,Input!AD$46&lt;&gt;""),Input!$B$46&amp;";",""),IF(AND($G8&lt;Hta_27,$G8&gt;=Hba_27,Input!AD$47&lt;&gt;""),Input!$B$47&amp;";",""),IF(AND($G8&lt;Hta_28,$G8&gt;=Hba_28,Input!AD$48&lt;&gt;""),Input!$B$48&amp;";",""),IF(AND($G8&lt;Hta_29,$G8&gt;=Hba_29,Input!AD$49&lt;&gt;""),Input!$B$49&amp;";",""),IF(AND($G8&lt;Hta_30,$G8&gt;=Hba_30,Input!AD$50&lt;&gt;""),Input!$B$50&amp;";","")),"")</f>
        <v/>
      </c>
      <c r="CF8" s="25" t="str">
        <f>IFERROR(CONCATENATE(IF(AND($G8&lt;Hta_1,$G8&gt;=Hba_1,Input!AE$21&lt;&gt;""),Input!$B$21&amp;";",""),IF(AND($G8&lt;Hta_2,$G8&gt;=Hba_2,Input!AE$22&lt;&gt;""),Input!$B$22&amp;";",""),IF(AND($G8&lt;Hta_3,$G8&gt;=Hba_3,Input!AE$23&lt;&gt;""),Input!$B$23&amp;";",""),IF(AND($G8&lt;Hta_4,$G8&gt;=Hba_4,Input!AE$24&lt;&gt;""),Input!$B$24&amp;";",""),IF(AND($G8&lt;Hta_5,$G8&gt;=Hba_5,Input!AE$25&lt;&gt;""),Input!$B$25&amp;";",""),IF(AND($G8&lt;Hta_6,$G8&gt;=Hba_6,Input!AE$26&lt;&gt;""),Input!$B$26&amp;";",""),IF(AND($G8&lt;Hta_7,$G8&gt;=Hba_7,Input!AE$27&lt;&gt;""),Input!$B$27&amp;";",""),IF(AND($G8&lt;Hta_8,$G8&gt;=Hba_8,Input!AE$28&lt;&gt;""),Input!$B$28&amp;";",""),IF(AND($G8&lt;Hta_9,$G8&gt;=Hba_9,Input!AE$29&lt;&gt;""),Input!$B$29&amp;";",""),IF(AND($G8&lt;Hta_10,$G8&gt;=Hba_10,Input!AE$30&lt;&gt;""),Input!$B$30&amp;";",""),IF(AND($G8&lt;Hta_11,$G8&gt;=Hba_11,Input!AE$31&lt;&gt;""),Input!$B$31&amp;";",""),IF(AND($G8&lt;Hta_12,$G8&gt;=Hba_12,Input!AE$32&lt;&gt;""),Input!$B$32&amp;";",""),IF(AND($G8&lt;Hta_13,$G8&gt;=Hba_13,Input!AE$33&lt;&gt;""),Input!$B$33&amp;";",""),IF(AND($G8&lt;Hta_14,$G8&gt;=Hba_14,Input!AE$34&lt;&gt;""),Input!$B$34&amp;";",""),IF(AND($G8&lt;Hta_15,$G8&gt;=Hba_15,Input!AE$35&lt;&gt;""),Input!$B$35&amp;";",""),IF(AND($G8&lt;Hta_16,$G8&gt;=Hba_16,Input!AE$36&lt;&gt;""),Input!$B$36&amp;";",""),IF(AND($G8&lt;Hta_17,$G8&gt;=Hba_17,Input!AE$37&lt;&gt;""),Input!$B$37&amp;";",""),IF(AND($G8&lt;Hta_18,$G8&gt;=Hba_18,Input!AE$38&lt;&gt;""),Input!$B$38&amp;";",""),IF(AND($G8&lt;Hta_19,$G8&gt;=Hba_19,Input!AE$39&lt;&gt;""),Input!$B$39&amp;";",""),IF(AND($G8&lt;Hta_20,$G8&gt;=Hba_20,Input!AE$40&lt;&gt;""),Input!$B$40&amp;";",""),IF(AND($G8&lt;Hta_21,$G8&gt;=Hba_21,Input!AE$41&lt;&gt;""),Input!$B$41&amp;";",""),IF(AND($G8&lt;Hta_22,$G8&gt;=Hba_22,Input!AE$42&lt;&gt;""),Input!$B$42&amp;";",""),IF(AND($G8&lt;Hta_23,$G8&gt;=Hba_23,Input!AE$43&lt;&gt;""),Input!$B$43&amp;";",""),IF(AND($G8&lt;Hta_24,$G8&gt;=Hba_24,Input!AE$44&lt;&gt;""),Input!$B$44&amp;";",""),IF(AND($G8&lt;Hta_25,$G8&gt;=Hba_25,Input!AE$45&lt;&gt;""),Input!$B$45&amp;";",""),IF(AND($G8&lt;Hta_26,$G8&gt;=Hba_26,Input!AE$46&lt;&gt;""),Input!$B$46&amp;";",""),IF(AND($G8&lt;Hta_27,$G8&gt;=Hba_27,Input!AE$47&lt;&gt;""),Input!$B$47&amp;";",""),IF(AND($G8&lt;Hta_28,$G8&gt;=Hba_28,Input!AE$48&lt;&gt;""),Input!$B$48&amp;";",""),IF(AND($G8&lt;Hta_29,$G8&gt;=Hba_29,Input!AE$49&lt;&gt;""),Input!$B$49&amp;";",""),IF(AND($G8&lt;Hta_30,$G8&gt;=Hba_30,Input!AE$50&lt;&gt;""),Input!$B$50&amp;";","")),"")</f>
        <v/>
      </c>
      <c r="CG8" s="25" t="str">
        <f>IFERROR(CONCATENATE(IF(AND($G8&lt;Hta_1,$G8&gt;=Hba_1,Input!AF$21&lt;&gt;""),Input!$B$21&amp;";",""),IF(AND($G8&lt;Hta_2,$G8&gt;=Hba_2,Input!AF$22&lt;&gt;""),Input!$B$22&amp;";",""),IF(AND($G8&lt;Hta_3,$G8&gt;=Hba_3,Input!AF$23&lt;&gt;""),Input!$B$23&amp;";",""),IF(AND($G8&lt;Hta_4,$G8&gt;=Hba_4,Input!AF$24&lt;&gt;""),Input!$B$24&amp;";",""),IF(AND($G8&lt;Hta_5,$G8&gt;=Hba_5,Input!AF$25&lt;&gt;""),Input!$B$25&amp;";",""),IF(AND($G8&lt;Hta_6,$G8&gt;=Hba_6,Input!AF$26&lt;&gt;""),Input!$B$26&amp;";",""),IF(AND($G8&lt;Hta_7,$G8&gt;=Hba_7,Input!AF$27&lt;&gt;""),Input!$B$27&amp;";",""),IF(AND($G8&lt;Hta_8,$G8&gt;=Hba_8,Input!AF$28&lt;&gt;""),Input!$B$28&amp;";",""),IF(AND($G8&lt;Hta_9,$G8&gt;=Hba_9,Input!AF$29&lt;&gt;""),Input!$B$29&amp;";",""),IF(AND($G8&lt;Hta_10,$G8&gt;=Hba_10,Input!AF$30&lt;&gt;""),Input!$B$30&amp;";",""),IF(AND($G8&lt;Hta_11,$G8&gt;=Hba_11,Input!AF$31&lt;&gt;""),Input!$B$31&amp;";",""),IF(AND($G8&lt;Hta_12,$G8&gt;=Hba_12,Input!AF$32&lt;&gt;""),Input!$B$32&amp;";",""),IF(AND($G8&lt;Hta_13,$G8&gt;=Hba_13,Input!AF$33&lt;&gt;""),Input!$B$33&amp;";",""),IF(AND($G8&lt;Hta_14,$G8&gt;=Hba_14,Input!AF$34&lt;&gt;""),Input!$B$34&amp;";",""),IF(AND($G8&lt;Hta_15,$G8&gt;=Hba_15,Input!AF$35&lt;&gt;""),Input!$B$35&amp;";",""),IF(AND($G8&lt;Hta_16,$G8&gt;=Hba_16,Input!AF$36&lt;&gt;""),Input!$B$36&amp;";",""),IF(AND($G8&lt;Hta_17,$G8&gt;=Hba_17,Input!AF$37&lt;&gt;""),Input!$B$37&amp;";",""),IF(AND($G8&lt;Hta_18,$G8&gt;=Hba_18,Input!AF$38&lt;&gt;""),Input!$B$38&amp;";",""),IF(AND($G8&lt;Hta_19,$G8&gt;=Hba_19,Input!AF$39&lt;&gt;""),Input!$B$39&amp;";",""),IF(AND($G8&lt;Hta_20,$G8&gt;=Hba_20,Input!AF$40&lt;&gt;""),Input!$B$40&amp;";",""),IF(AND($G8&lt;Hta_21,$G8&gt;=Hba_21,Input!AF$41&lt;&gt;""),Input!$B$41&amp;";",""),IF(AND($G8&lt;Hta_22,$G8&gt;=Hba_22,Input!AF$42&lt;&gt;""),Input!$B$42&amp;";",""),IF(AND($G8&lt;Hta_23,$G8&gt;=Hba_23,Input!AF$43&lt;&gt;""),Input!$B$43&amp;";",""),IF(AND($G8&lt;Hta_24,$G8&gt;=Hba_24,Input!AF$44&lt;&gt;""),Input!$B$44&amp;";",""),IF(AND($G8&lt;Hta_25,$G8&gt;=Hba_25,Input!AF$45&lt;&gt;""),Input!$B$45&amp;";",""),IF(AND($G8&lt;Hta_26,$G8&gt;=Hba_26,Input!AF$46&lt;&gt;""),Input!$B$46&amp;";",""),IF(AND($G8&lt;Hta_27,$G8&gt;=Hba_27,Input!AF$47&lt;&gt;""),Input!$B$47&amp;";",""),IF(AND($G8&lt;Hta_28,$G8&gt;=Hba_28,Input!AF$48&lt;&gt;""),Input!$B$48&amp;";",""),IF(AND($G8&lt;Hta_29,$G8&gt;=Hba_29,Input!AF$49&lt;&gt;""),Input!$B$49&amp;";",""),IF(AND($G8&lt;Hta_30,$G8&gt;=Hba_30,Input!AF$50&lt;&gt;""),Input!$B$50&amp;";","")),"")</f>
        <v/>
      </c>
      <c r="CH8" s="25" t="str">
        <f>IFERROR(CONCATENATE(IF(AND($G8&lt;Hta_1,$G8&gt;=Hba_1,Input!AG$21&lt;&gt;""),Input!$B$21&amp;";",""),IF(AND($G8&lt;Hta_2,$G8&gt;=Hba_2,Input!AG$22&lt;&gt;""),Input!$B$22&amp;";",""),IF(AND($G8&lt;Hta_3,$G8&gt;=Hba_3,Input!AG$23&lt;&gt;""),Input!$B$23&amp;";",""),IF(AND($G8&lt;Hta_4,$G8&gt;=Hba_4,Input!AG$24&lt;&gt;""),Input!$B$24&amp;";",""),IF(AND($G8&lt;Hta_5,$G8&gt;=Hba_5,Input!AG$25&lt;&gt;""),Input!$B$25&amp;";",""),IF(AND($G8&lt;Hta_6,$G8&gt;=Hba_6,Input!AG$26&lt;&gt;""),Input!$B$26&amp;";",""),IF(AND($G8&lt;Hta_7,$G8&gt;=Hba_7,Input!AG$27&lt;&gt;""),Input!$B$27&amp;";",""),IF(AND($G8&lt;Hta_8,$G8&gt;=Hba_8,Input!AG$28&lt;&gt;""),Input!$B$28&amp;";",""),IF(AND($G8&lt;Hta_9,$G8&gt;=Hba_9,Input!AG$29&lt;&gt;""),Input!$B$29&amp;";",""),IF(AND($G8&lt;Hta_10,$G8&gt;=Hba_10,Input!AG$30&lt;&gt;""),Input!$B$30&amp;";",""),IF(AND($G8&lt;Hta_11,$G8&gt;=Hba_11,Input!AG$31&lt;&gt;""),Input!$B$31&amp;";",""),IF(AND($G8&lt;Hta_12,$G8&gt;=Hba_12,Input!AG$32&lt;&gt;""),Input!$B$32&amp;";",""),IF(AND($G8&lt;Hta_13,$G8&gt;=Hba_13,Input!AG$33&lt;&gt;""),Input!$B$33&amp;";",""),IF(AND($G8&lt;Hta_14,$G8&gt;=Hba_14,Input!AG$34&lt;&gt;""),Input!$B$34&amp;";",""),IF(AND($G8&lt;Hta_15,$G8&gt;=Hba_15,Input!AG$35&lt;&gt;""),Input!$B$35&amp;";",""),IF(AND($G8&lt;Hta_16,$G8&gt;=Hba_16,Input!AG$36&lt;&gt;""),Input!$B$36&amp;";",""),IF(AND($G8&lt;Hta_17,$G8&gt;=Hba_17,Input!AG$37&lt;&gt;""),Input!$B$37&amp;";",""),IF(AND($G8&lt;Hta_18,$G8&gt;=Hba_18,Input!AG$38&lt;&gt;""),Input!$B$38&amp;";",""),IF(AND($G8&lt;Hta_19,$G8&gt;=Hba_19,Input!AG$39&lt;&gt;""),Input!$B$39&amp;";",""),IF(AND($G8&lt;Hta_20,$G8&gt;=Hba_20,Input!AG$40&lt;&gt;""),Input!$B$40&amp;";",""),IF(AND($G8&lt;Hta_21,$G8&gt;=Hba_21,Input!AG$41&lt;&gt;""),Input!$B$41&amp;";",""),IF(AND($G8&lt;Hta_22,$G8&gt;=Hba_22,Input!AG$42&lt;&gt;""),Input!$B$42&amp;";",""),IF(AND($G8&lt;Hta_23,$G8&gt;=Hba_23,Input!AG$43&lt;&gt;""),Input!$B$43&amp;";",""),IF(AND($G8&lt;Hta_24,$G8&gt;=Hba_24,Input!AG$44&lt;&gt;""),Input!$B$44&amp;";",""),IF(AND($G8&lt;Hta_25,$G8&gt;=Hba_25,Input!AG$45&lt;&gt;""),Input!$B$45&amp;";",""),IF(AND($G8&lt;Hta_26,$G8&gt;=Hba_26,Input!AG$46&lt;&gt;""),Input!$B$46&amp;";",""),IF(AND($G8&lt;Hta_27,$G8&gt;=Hba_27,Input!AG$47&lt;&gt;""),Input!$B$47&amp;";",""),IF(AND($G8&lt;Hta_28,$G8&gt;=Hba_28,Input!AG$48&lt;&gt;""),Input!$B$48&amp;";",""),IF(AND($G8&lt;Hta_29,$G8&gt;=Hba_29,Input!AG$49&lt;&gt;""),Input!$B$49&amp;";",""),IF(AND($G8&lt;Hta_30,$G8&gt;=Hba_30,Input!AG$50&lt;&gt;""),Input!$B$50&amp;";","")),"")</f>
        <v/>
      </c>
      <c r="CI8" s="25" t="str">
        <f>IFERROR(CONCATENATE(IF(AND($G8&lt;Hta_1,$G8&gt;=Hba_1,Input!AH$21&lt;&gt;""),Input!$B$21&amp;";",""),IF(AND($G8&lt;Hta_2,$G8&gt;=Hba_2,Input!AH$22&lt;&gt;""),Input!$B$22&amp;";",""),IF(AND($G8&lt;Hta_3,$G8&gt;=Hba_3,Input!AH$23&lt;&gt;""),Input!$B$23&amp;";",""),IF(AND($G8&lt;Hta_4,$G8&gt;=Hba_4,Input!AH$24&lt;&gt;""),Input!$B$24&amp;";",""),IF(AND($G8&lt;Hta_5,$G8&gt;=Hba_5,Input!AH$25&lt;&gt;""),Input!$B$25&amp;";",""),IF(AND($G8&lt;Hta_6,$G8&gt;=Hba_6,Input!AH$26&lt;&gt;""),Input!$B$26&amp;";",""),IF(AND($G8&lt;Hta_7,$G8&gt;=Hba_7,Input!AH$27&lt;&gt;""),Input!$B$27&amp;";",""),IF(AND($G8&lt;Hta_8,$G8&gt;=Hba_8,Input!AH$28&lt;&gt;""),Input!$B$28&amp;";",""),IF(AND($G8&lt;Hta_9,$G8&gt;=Hba_9,Input!AH$29&lt;&gt;""),Input!$B$29&amp;";",""),IF(AND($G8&lt;Hta_10,$G8&gt;=Hba_10,Input!AH$30&lt;&gt;""),Input!$B$30&amp;";",""),IF(AND($G8&lt;Hta_11,$G8&gt;=Hba_11,Input!AH$31&lt;&gt;""),Input!$B$31&amp;";",""),IF(AND($G8&lt;Hta_12,$G8&gt;=Hba_12,Input!AH$32&lt;&gt;""),Input!$B$32&amp;";",""),IF(AND($G8&lt;Hta_13,$G8&gt;=Hba_13,Input!AH$33&lt;&gt;""),Input!$B$33&amp;";",""),IF(AND($G8&lt;Hta_14,$G8&gt;=Hba_14,Input!AH$34&lt;&gt;""),Input!$B$34&amp;";",""),IF(AND($G8&lt;Hta_15,$G8&gt;=Hba_15,Input!AH$35&lt;&gt;""),Input!$B$35&amp;";",""),IF(AND($G8&lt;Hta_16,$G8&gt;=Hba_16,Input!AH$36&lt;&gt;""),Input!$B$36&amp;";",""),IF(AND($G8&lt;Hta_17,$G8&gt;=Hba_17,Input!AH$37&lt;&gt;""),Input!$B$37&amp;";",""),IF(AND($G8&lt;Hta_18,$G8&gt;=Hba_18,Input!AH$38&lt;&gt;""),Input!$B$38&amp;";",""),IF(AND($G8&lt;Hta_19,$G8&gt;=Hba_19,Input!AH$39&lt;&gt;""),Input!$B$39&amp;";",""),IF(AND($G8&lt;Hta_20,$G8&gt;=Hba_20,Input!AH$40&lt;&gt;""),Input!$B$40&amp;";",""),IF(AND($G8&lt;Hta_21,$G8&gt;=Hba_21,Input!AH$41&lt;&gt;""),Input!$B$41&amp;";",""),IF(AND($G8&lt;Hta_22,$G8&gt;=Hba_22,Input!AH$42&lt;&gt;""),Input!$B$42&amp;";",""),IF(AND($G8&lt;Hta_23,$G8&gt;=Hba_23,Input!AH$43&lt;&gt;""),Input!$B$43&amp;";",""),IF(AND($G8&lt;Hta_24,$G8&gt;=Hba_24,Input!AH$44&lt;&gt;""),Input!$B$44&amp;";",""),IF(AND($G8&lt;Hta_25,$G8&gt;=Hba_25,Input!AH$45&lt;&gt;""),Input!$B$45&amp;";",""),IF(AND($G8&lt;Hta_26,$G8&gt;=Hba_26,Input!AH$46&lt;&gt;""),Input!$B$46&amp;";",""),IF(AND($G8&lt;Hta_27,$G8&gt;=Hba_27,Input!AH$47&lt;&gt;""),Input!$B$47&amp;";",""),IF(AND($G8&lt;Hta_28,$G8&gt;=Hba_28,Input!AH$48&lt;&gt;""),Input!$B$48&amp;";",""),IF(AND($G8&lt;Hta_29,$G8&gt;=Hba_29,Input!AH$49&lt;&gt;""),Input!$B$49&amp;";",""),IF(AND($G8&lt;Hta_30,$G8&gt;=Hba_30,Input!AH$50&lt;&gt;""),Input!$B$50&amp;";","")),"")</f>
        <v/>
      </c>
      <c r="CJ8" s="25" t="str">
        <f>IFERROR(CONCATENATE(IF(AND($G8&lt;Hta_1,$G8&gt;=Hba_1,Input!AI$21&lt;&gt;""),Input!$B$21&amp;";",""),IF(AND($G8&lt;Hta_2,$G8&gt;=Hba_2,Input!AI$22&lt;&gt;""),Input!$B$22&amp;";",""),IF(AND($G8&lt;Hta_3,$G8&gt;=Hba_3,Input!AI$23&lt;&gt;""),Input!$B$23&amp;";",""),IF(AND($G8&lt;Hta_4,$G8&gt;=Hba_4,Input!AI$24&lt;&gt;""),Input!$B$24&amp;";",""),IF(AND($G8&lt;Hta_5,$G8&gt;=Hba_5,Input!AI$25&lt;&gt;""),Input!$B$25&amp;";",""),IF(AND($G8&lt;Hta_6,$G8&gt;=Hba_6,Input!AI$26&lt;&gt;""),Input!$B$26&amp;";",""),IF(AND($G8&lt;Hta_7,$G8&gt;=Hba_7,Input!AI$27&lt;&gt;""),Input!$B$27&amp;";",""),IF(AND($G8&lt;Hta_8,$G8&gt;=Hba_8,Input!AI$28&lt;&gt;""),Input!$B$28&amp;";",""),IF(AND($G8&lt;Hta_9,$G8&gt;=Hba_9,Input!AI$29&lt;&gt;""),Input!$B$29&amp;";",""),IF(AND($G8&lt;Hta_10,$G8&gt;=Hba_10,Input!AI$30&lt;&gt;""),Input!$B$30&amp;";",""),IF(AND($G8&lt;Hta_11,$G8&gt;=Hba_11,Input!AI$31&lt;&gt;""),Input!$B$31&amp;";",""),IF(AND($G8&lt;Hta_12,$G8&gt;=Hba_12,Input!AI$32&lt;&gt;""),Input!$B$32&amp;";",""),IF(AND($G8&lt;Hta_13,$G8&gt;=Hba_13,Input!AI$33&lt;&gt;""),Input!$B$33&amp;";",""),IF(AND($G8&lt;Hta_14,$G8&gt;=Hba_14,Input!AI$34&lt;&gt;""),Input!$B$34&amp;";",""),IF(AND($G8&lt;Hta_15,$G8&gt;=Hba_15,Input!AI$35&lt;&gt;""),Input!$B$35&amp;";",""),IF(AND($G8&lt;Hta_16,$G8&gt;=Hba_16,Input!AI$36&lt;&gt;""),Input!$B$36&amp;";",""),IF(AND($G8&lt;Hta_17,$G8&gt;=Hba_17,Input!AI$37&lt;&gt;""),Input!$B$37&amp;";",""),IF(AND($G8&lt;Hta_18,$G8&gt;=Hba_18,Input!AI$38&lt;&gt;""),Input!$B$38&amp;";",""),IF(AND($G8&lt;Hta_19,$G8&gt;=Hba_19,Input!AI$39&lt;&gt;""),Input!$B$39&amp;";",""),IF(AND($G8&lt;Hta_20,$G8&gt;=Hba_20,Input!AI$40&lt;&gt;""),Input!$B$40&amp;";",""),IF(AND($G8&lt;Hta_21,$G8&gt;=Hba_21,Input!AI$41&lt;&gt;""),Input!$B$41&amp;";",""),IF(AND($G8&lt;Hta_22,$G8&gt;=Hba_22,Input!AI$42&lt;&gt;""),Input!$B$42&amp;";",""),IF(AND($G8&lt;Hta_23,$G8&gt;=Hba_23,Input!AI$43&lt;&gt;""),Input!$B$43&amp;";",""),IF(AND($G8&lt;Hta_24,$G8&gt;=Hba_24,Input!AI$44&lt;&gt;""),Input!$B$44&amp;";",""),IF(AND($G8&lt;Hta_25,$G8&gt;=Hba_25,Input!AI$45&lt;&gt;""),Input!$B$45&amp;";",""),IF(AND($G8&lt;Hta_26,$G8&gt;=Hba_26,Input!AI$46&lt;&gt;""),Input!$B$46&amp;";",""),IF(AND($G8&lt;Hta_27,$G8&gt;=Hba_27,Input!AI$47&lt;&gt;""),Input!$B$47&amp;";",""),IF(AND($G8&lt;Hta_28,$G8&gt;=Hba_28,Input!AI$48&lt;&gt;""),Input!$B$48&amp;";",""),IF(AND($G8&lt;Hta_29,$G8&gt;=Hba_29,Input!AI$49&lt;&gt;""),Input!$B$49&amp;";",""),IF(AND($G8&lt;Hta_30,$G8&gt;=Hba_30,Input!AI$50&lt;&gt;""),Input!$B$50&amp;";","")),"")</f>
        <v/>
      </c>
      <c r="CK8" s="25" t="str">
        <f>IFERROR(CONCATENATE(IF(AND($G8&lt;Hta_1,$G8&gt;=Hba_1,Input!AJ$21&lt;&gt;""),Input!$B$21&amp;";",""),IF(AND($G8&lt;Hta_2,$G8&gt;=Hba_2,Input!AJ$22&lt;&gt;""),Input!$B$22&amp;";",""),IF(AND($G8&lt;Hta_3,$G8&gt;=Hba_3,Input!AJ$23&lt;&gt;""),Input!$B$23&amp;";",""),IF(AND($G8&lt;Hta_4,$G8&gt;=Hba_4,Input!AJ$24&lt;&gt;""),Input!$B$24&amp;";",""),IF(AND($G8&lt;Hta_5,$G8&gt;=Hba_5,Input!AJ$25&lt;&gt;""),Input!$B$25&amp;";",""),IF(AND($G8&lt;Hta_6,$G8&gt;=Hba_6,Input!AJ$26&lt;&gt;""),Input!$B$26&amp;";",""),IF(AND($G8&lt;Hta_7,$G8&gt;=Hba_7,Input!AJ$27&lt;&gt;""),Input!$B$27&amp;";",""),IF(AND($G8&lt;Hta_8,$G8&gt;=Hba_8,Input!AJ$28&lt;&gt;""),Input!$B$28&amp;";",""),IF(AND($G8&lt;Hta_9,$G8&gt;=Hba_9,Input!AJ$29&lt;&gt;""),Input!$B$29&amp;";",""),IF(AND($G8&lt;Hta_10,$G8&gt;=Hba_10,Input!AJ$30&lt;&gt;""),Input!$B$30&amp;";",""),IF(AND($G8&lt;Hta_11,$G8&gt;=Hba_11,Input!AJ$31&lt;&gt;""),Input!$B$31&amp;";",""),IF(AND($G8&lt;Hta_12,$G8&gt;=Hba_12,Input!AJ$32&lt;&gt;""),Input!$B$32&amp;";",""),IF(AND($G8&lt;Hta_13,$G8&gt;=Hba_13,Input!AJ$33&lt;&gt;""),Input!$B$33&amp;";",""),IF(AND($G8&lt;Hta_14,$G8&gt;=Hba_14,Input!AJ$34&lt;&gt;""),Input!$B$34&amp;";",""),IF(AND($G8&lt;Hta_15,$G8&gt;=Hba_15,Input!AJ$35&lt;&gt;""),Input!$B$35&amp;";",""),IF(AND($G8&lt;Hta_16,$G8&gt;=Hba_16,Input!AJ$36&lt;&gt;""),Input!$B$36&amp;";",""),IF(AND($G8&lt;Hta_17,$G8&gt;=Hba_17,Input!AJ$37&lt;&gt;""),Input!$B$37&amp;";",""),IF(AND($G8&lt;Hta_18,$G8&gt;=Hba_18,Input!AJ$38&lt;&gt;""),Input!$B$38&amp;";",""),IF(AND($G8&lt;Hta_19,$G8&gt;=Hba_19,Input!AJ$39&lt;&gt;""),Input!$B$39&amp;";",""),IF(AND($G8&lt;Hta_20,$G8&gt;=Hba_20,Input!AJ$40&lt;&gt;""),Input!$B$40&amp;";",""),IF(AND($G8&lt;Hta_21,$G8&gt;=Hba_21,Input!AJ$41&lt;&gt;""),Input!$B$41&amp;";",""),IF(AND($G8&lt;Hta_22,$G8&gt;=Hba_22,Input!AJ$42&lt;&gt;""),Input!$B$42&amp;";",""),IF(AND($G8&lt;Hta_23,$G8&gt;=Hba_23,Input!AJ$43&lt;&gt;""),Input!$B$43&amp;";",""),IF(AND($G8&lt;Hta_24,$G8&gt;=Hba_24,Input!AJ$44&lt;&gt;""),Input!$B$44&amp;";",""),IF(AND($G8&lt;Hta_25,$G8&gt;=Hba_25,Input!AJ$45&lt;&gt;""),Input!$B$45&amp;";",""),IF(AND($G8&lt;Hta_26,$G8&gt;=Hba_26,Input!AJ$46&lt;&gt;""),Input!$B$46&amp;";",""),IF(AND($G8&lt;Hta_27,$G8&gt;=Hba_27,Input!AJ$47&lt;&gt;""),Input!$B$47&amp;";",""),IF(AND($G8&lt;Hta_28,$G8&gt;=Hba_28,Input!AJ$48&lt;&gt;""),Input!$B$48&amp;";",""),IF(AND($G8&lt;Hta_29,$G8&gt;=Hba_29,Input!AJ$49&lt;&gt;""),Input!$B$49&amp;";",""),IF(AND($G8&lt;Hta_30,$G8&gt;=Hba_30,Input!AJ$50&lt;&gt;""),Input!$B$50&amp;";","")),"")</f>
        <v/>
      </c>
      <c r="CL8" s="25" t="str">
        <f>IFERROR(CONCATENATE(IF(AND($G8&lt;Hta_1,$G8&gt;=Hba_1,Input!AK$21&lt;&gt;""),Input!$B$21&amp;";",""),IF(AND($G8&lt;Hta_2,$G8&gt;=Hba_2,Input!AK$22&lt;&gt;""),Input!$B$22&amp;";",""),IF(AND($G8&lt;Hta_3,$G8&gt;=Hba_3,Input!AK$23&lt;&gt;""),Input!$B$23&amp;";",""),IF(AND($G8&lt;Hta_4,$G8&gt;=Hba_4,Input!AK$24&lt;&gt;""),Input!$B$24&amp;";",""),IF(AND($G8&lt;Hta_5,$G8&gt;=Hba_5,Input!AK$25&lt;&gt;""),Input!$B$25&amp;";",""),IF(AND($G8&lt;Hta_6,$G8&gt;=Hba_6,Input!AK$26&lt;&gt;""),Input!$B$26&amp;";",""),IF(AND($G8&lt;Hta_7,$G8&gt;=Hba_7,Input!AK$27&lt;&gt;""),Input!$B$27&amp;";",""),IF(AND($G8&lt;Hta_8,$G8&gt;=Hba_8,Input!AK$28&lt;&gt;""),Input!$B$28&amp;";",""),IF(AND($G8&lt;Hta_9,$G8&gt;=Hba_9,Input!AK$29&lt;&gt;""),Input!$B$29&amp;";",""),IF(AND($G8&lt;Hta_10,$G8&gt;=Hba_10,Input!AK$30&lt;&gt;""),Input!$B$30&amp;";",""),IF(AND($G8&lt;Hta_11,$G8&gt;=Hba_11,Input!AK$31&lt;&gt;""),Input!$B$31&amp;";",""),IF(AND($G8&lt;Hta_12,$G8&gt;=Hba_12,Input!AK$32&lt;&gt;""),Input!$B$32&amp;";",""),IF(AND($G8&lt;Hta_13,$G8&gt;=Hba_13,Input!AK$33&lt;&gt;""),Input!$B$33&amp;";",""),IF(AND($G8&lt;Hta_14,$G8&gt;=Hba_14,Input!AK$34&lt;&gt;""),Input!$B$34&amp;";",""),IF(AND($G8&lt;Hta_15,$G8&gt;=Hba_15,Input!AK$35&lt;&gt;""),Input!$B$35&amp;";",""),IF(AND($G8&lt;Hta_16,$G8&gt;=Hba_16,Input!AK$36&lt;&gt;""),Input!$B$36&amp;";",""),IF(AND($G8&lt;Hta_17,$G8&gt;=Hba_17,Input!AK$37&lt;&gt;""),Input!$B$37&amp;";",""),IF(AND($G8&lt;Hta_18,$G8&gt;=Hba_18,Input!AK$38&lt;&gt;""),Input!$B$38&amp;";",""),IF(AND($G8&lt;Hta_19,$G8&gt;=Hba_19,Input!AK$39&lt;&gt;""),Input!$B$39&amp;";",""),IF(AND($G8&lt;Hta_20,$G8&gt;=Hba_20,Input!AK$40&lt;&gt;""),Input!$B$40&amp;";",""),IF(AND($G8&lt;Hta_21,$G8&gt;=Hba_21,Input!AK$41&lt;&gt;""),Input!$B$41&amp;";",""),IF(AND($G8&lt;Hta_22,$G8&gt;=Hba_22,Input!AK$42&lt;&gt;""),Input!$B$42&amp;";",""),IF(AND($G8&lt;Hta_23,$G8&gt;=Hba_23,Input!AK$43&lt;&gt;""),Input!$B$43&amp;";",""),IF(AND($G8&lt;Hta_24,$G8&gt;=Hba_24,Input!AK$44&lt;&gt;""),Input!$B$44&amp;";",""),IF(AND($G8&lt;Hta_25,$G8&gt;=Hba_25,Input!AK$45&lt;&gt;""),Input!$B$45&amp;";",""),IF(AND($G8&lt;Hta_26,$G8&gt;=Hba_26,Input!AK$46&lt;&gt;""),Input!$B$46&amp;";",""),IF(AND($G8&lt;Hta_27,$G8&gt;=Hba_27,Input!AK$47&lt;&gt;""),Input!$B$47&amp;";",""),IF(AND($G8&lt;Hta_28,$G8&gt;=Hba_28,Input!AK$48&lt;&gt;""),Input!$B$48&amp;";",""),IF(AND($G8&lt;Hta_29,$G8&gt;=Hba_29,Input!AK$49&lt;&gt;""),Input!$B$49&amp;";",""),IF(AND($G8&lt;Hta_30,$G8&gt;=Hba_30,Input!AK$50&lt;&gt;""),Input!$B$50&amp;";","")),"")</f>
        <v/>
      </c>
      <c r="CM8" s="25" t="str">
        <f>IFERROR(CONCATENATE(IF(AND($G8&lt;Hta_1,$G8&gt;=Hba_1,Input!AL$21&lt;&gt;""),Input!$B$21&amp;";",""),IF(AND($G8&lt;Hta_2,$G8&gt;=Hba_2,Input!AL$22&lt;&gt;""),Input!$B$22&amp;";",""),IF(AND($G8&lt;Hta_3,$G8&gt;=Hba_3,Input!AL$23&lt;&gt;""),Input!$B$23&amp;";",""),IF(AND($G8&lt;Hta_4,$G8&gt;=Hba_4,Input!AL$24&lt;&gt;""),Input!$B$24&amp;";",""),IF(AND($G8&lt;Hta_5,$G8&gt;=Hba_5,Input!AL$25&lt;&gt;""),Input!$B$25&amp;";",""),IF(AND($G8&lt;Hta_6,$G8&gt;=Hba_6,Input!AL$26&lt;&gt;""),Input!$B$26&amp;";",""),IF(AND($G8&lt;Hta_7,$G8&gt;=Hba_7,Input!AL$27&lt;&gt;""),Input!$B$27&amp;";",""),IF(AND($G8&lt;Hta_8,$G8&gt;=Hba_8,Input!AL$28&lt;&gt;""),Input!$B$28&amp;";",""),IF(AND($G8&lt;Hta_9,$G8&gt;=Hba_9,Input!AL$29&lt;&gt;""),Input!$B$29&amp;";",""),IF(AND($G8&lt;Hta_10,$G8&gt;=Hba_10,Input!AL$30&lt;&gt;""),Input!$B$30&amp;";",""),IF(AND($G8&lt;Hta_11,$G8&gt;=Hba_11,Input!AL$31&lt;&gt;""),Input!$B$31&amp;";",""),IF(AND($G8&lt;Hta_12,$G8&gt;=Hba_12,Input!AL$32&lt;&gt;""),Input!$B$32&amp;";",""),IF(AND($G8&lt;Hta_13,$G8&gt;=Hba_13,Input!AL$33&lt;&gt;""),Input!$B$33&amp;";",""),IF(AND($G8&lt;Hta_14,$G8&gt;=Hba_14,Input!AL$34&lt;&gt;""),Input!$B$34&amp;";",""),IF(AND($G8&lt;Hta_15,$G8&gt;=Hba_15,Input!AL$35&lt;&gt;""),Input!$B$35&amp;";",""),IF(AND($G8&lt;Hta_16,$G8&gt;=Hba_16,Input!AL$36&lt;&gt;""),Input!$B$36&amp;";",""),IF(AND($G8&lt;Hta_17,$G8&gt;=Hba_17,Input!AL$37&lt;&gt;""),Input!$B$37&amp;";",""),IF(AND($G8&lt;Hta_18,$G8&gt;=Hba_18,Input!AL$38&lt;&gt;""),Input!$B$38&amp;";",""),IF(AND($G8&lt;Hta_19,$G8&gt;=Hba_19,Input!AL$39&lt;&gt;""),Input!$B$39&amp;";",""),IF(AND($G8&lt;Hta_20,$G8&gt;=Hba_20,Input!AL$40&lt;&gt;""),Input!$B$40&amp;";",""),IF(AND($G8&lt;Hta_21,$G8&gt;=Hba_21,Input!AL$41&lt;&gt;""),Input!$B$41&amp;";",""),IF(AND($G8&lt;Hta_22,$G8&gt;=Hba_22,Input!AL$42&lt;&gt;""),Input!$B$42&amp;";",""),IF(AND($G8&lt;Hta_23,$G8&gt;=Hba_23,Input!AL$43&lt;&gt;""),Input!$B$43&amp;";",""),IF(AND($G8&lt;Hta_24,$G8&gt;=Hba_24,Input!AL$44&lt;&gt;""),Input!$B$44&amp;";",""),IF(AND($G8&lt;Hta_25,$G8&gt;=Hba_25,Input!AL$45&lt;&gt;""),Input!$B$45&amp;";",""),IF(AND($G8&lt;Hta_26,$G8&gt;=Hba_26,Input!AL$46&lt;&gt;""),Input!$B$46&amp;";",""),IF(AND($G8&lt;Hta_27,$G8&gt;=Hba_27,Input!AL$47&lt;&gt;""),Input!$B$47&amp;";",""),IF(AND($G8&lt;Hta_28,$G8&gt;=Hba_28,Input!AL$48&lt;&gt;""),Input!$B$48&amp;";",""),IF(AND($G8&lt;Hta_29,$G8&gt;=Hba_29,Input!AL$49&lt;&gt;""),Input!$B$49&amp;";",""),IF(AND($G8&lt;Hta_30,$G8&gt;=Hba_30,Input!AL$50&lt;&gt;""),Input!$B$50&amp;";","")),"")</f>
        <v/>
      </c>
      <c r="CN8" s="59" t="str">
        <f t="shared" si="6"/>
        <v/>
      </c>
      <c r="CO8" s="791"/>
      <c r="CP8" s="792"/>
      <c r="CQ8" s="793"/>
      <c r="CR8" s="791"/>
      <c r="CS8" s="792"/>
      <c r="CT8" s="793"/>
      <c r="CU8" s="794" t="str">
        <f t="shared" si="7"/>
        <v/>
      </c>
      <c r="CV8" s="795"/>
      <c r="CW8" s="795"/>
      <c r="CX8" s="796"/>
      <c r="CY8" s="796"/>
      <c r="CZ8" s="797"/>
      <c r="DA8" s="733"/>
      <c r="DB8" s="734"/>
      <c r="DC8" s="735"/>
      <c r="DD8" s="729" t="str">
        <f t="shared" si="8"/>
        <v/>
      </c>
      <c r="DE8" s="730"/>
      <c r="DF8" s="731"/>
      <c r="DG8" s="55"/>
      <c r="DH8" s="56"/>
      <c r="DI8" s="56"/>
      <c r="DJ8" s="56"/>
      <c r="DK8" s="56"/>
      <c r="DL8" s="56"/>
      <c r="DM8" s="56"/>
      <c r="DN8" s="56"/>
      <c r="DO8" s="56"/>
      <c r="DP8" s="56"/>
      <c r="DQ8" s="58"/>
      <c r="DR8" s="58"/>
      <c r="DS8" s="58"/>
      <c r="DT8" s="58"/>
      <c r="DU8" s="58"/>
      <c r="DV8" s="58"/>
      <c r="DW8" s="58"/>
      <c r="DX8" s="58"/>
      <c r="DY8" s="58"/>
      <c r="DZ8" s="58"/>
      <c r="EA8" s="58"/>
      <c r="EB8" s="58"/>
      <c r="EC8" s="58"/>
      <c r="ED8" s="58"/>
      <c r="EE8" s="58"/>
      <c r="EF8" s="58"/>
      <c r="EG8" s="58"/>
      <c r="EH8" s="58"/>
      <c r="EI8" s="58"/>
      <c r="EJ8" s="58"/>
      <c r="EK8" s="58"/>
      <c r="EL8" s="134"/>
      <c r="EM8" s="134"/>
      <c r="EN8" s="134"/>
      <c r="EO8" s="134"/>
      <c r="EP8" s="134"/>
      <c r="EQ8" s="134"/>
      <c r="ER8" s="134"/>
      <c r="ES8" s="134"/>
      <c r="ET8" s="134"/>
      <c r="EU8" s="134"/>
      <c r="EV8" s="134"/>
      <c r="EW8" s="134"/>
      <c r="EX8" s="134"/>
      <c r="EY8" s="134"/>
      <c r="EZ8" s="134"/>
      <c r="FA8" s="134"/>
      <c r="FB8" s="134"/>
      <c r="FC8" s="134"/>
      <c r="FD8" s="134"/>
      <c r="FE8" s="134"/>
      <c r="FF8" s="134"/>
      <c r="FG8" s="134"/>
      <c r="FH8" s="134"/>
      <c r="FI8" s="134"/>
      <c r="FJ8" s="134"/>
      <c r="FK8" s="134"/>
      <c r="FL8" s="134"/>
      <c r="FM8" s="134"/>
      <c r="FN8" s="134"/>
      <c r="FO8" s="134"/>
      <c r="FP8" s="65"/>
      <c r="FQ8" s="124"/>
      <c r="FR8" s="122"/>
      <c r="FS8" s="120"/>
      <c r="FT8" s="119"/>
    </row>
    <row r="9" spans="2:177" ht="15.75" hidden="1" thickBot="1" x14ac:dyDescent="0.3">
      <c r="B9" s="62" t="b">
        <f>IF(OR(AND(G9&gt;='Geometry 2'!$AK$5,G9&lt;'Geometry 2'!$AL$5),AND(G9&gt;='Geometry 2'!$AK$6,G9&lt;'Geometry 2'!$AL$6),AND(G9&gt;='Geometry 2'!$AK$7,G9&lt;'Geometry 2'!$AL$7),AND(G9&gt;='Geometry 2'!$AK$8,G9&lt;'Geometry 2'!$AL$8),AND(G9&gt;='Geometry 2'!$AK$9,G9&lt;'Geometry 2'!$AL$9),AND(G9&gt;='Geometry 2'!$AK$10,G9&lt;'Geometry 2'!$AL$10),AND(G9&gt;='Geometry 2'!$AK$11,G9&lt;'Geometry 2'!$AL$11),AND(G9&gt;='Geometry 2'!$AK$12,G9&lt;'Geometry 2'!$AL$12),AND(G9&gt;='Geometry 2'!$AK$13,G9&lt;'Geometry 2'!$AL$13),AND(G9&gt;='Geometry 2'!$AK$14,G9&lt;'Geometry 2'!$AL$14)),TRUE,FALSE)</f>
        <v>0</v>
      </c>
      <c r="C9" s="4" t="str">
        <f t="shared" si="3"/>
        <v/>
      </c>
      <c r="D9" s="766" t="str">
        <f t="shared" si="4"/>
        <v/>
      </c>
      <c r="E9" s="767"/>
      <c r="F9" s="17" t="str">
        <f t="shared" si="2"/>
        <v/>
      </c>
      <c r="G9" s="768" t="str">
        <f>IF(D9="","",MAX(0,G8-IF(inc="n/a",999,inc),MAX(IF(G8&lt;=Hta_1,0,Hta_1),IF(G8&lt;=Hta_2,0,Hta_2),IF(G8&lt;=Hta_3,0,Hta_3),IF(G8&lt;=Hta_4,0,Hta_4),IF(G8&lt;=Hta_5,0,Hta_5),IF(G8&lt;=Hta_6,0,Hta_6),IF(G8&lt;=Hta_7,0,Hta_7),IF(G8&lt;=Hta_8,0,Hta_8),IF(G8&lt;=Hta_9,0,Hta_9),IF(G8&lt;=Hta_10,0,Hta_10),IF(G8&lt;=Hta_11,0,Hta_11),IF(G8&lt;=Hta_12,0,Hta_12),IF(G8&lt;=Hta_13,0,Hta_13),IF(G8&lt;=Hta_14,0,Hta_14),IF(G8&lt;=Hta_15,0,Hta_15),IF(G8&lt;=Hta_16,0,Hta_16),IF(G8&lt;=Hta_17,0,Hta_17),IF(G8&lt;=Hta_18,0,Hta_18),IF(G8&lt;=Hta_19,0,Hta_19),IF(G8&lt;=Hta_20,0,Hta_20),IF(G8&lt;=Hta_21,0,Hta_21),IF(G8&lt;=Hta_22,0,Hta_22),IF(G8&lt;=Hta_23,0,Hta_23),IF(G8&lt;=Hta_24,0,Hta_24),IF(G8&lt;=Hta_25,0,Hta_25),IF(G8&lt;=Hta_26,0,Hta_26),IF(G8&lt;=Hta_27,0,Hta_27),IF(G8&lt;=Hta_28,0,Hta_28),IF(G8&lt;=Hta_29,0,Hta_29),IF(G8&lt;=Hta_30,0,Hta_30)),MAX(IF(G8&lt;=Hta_1-0.25,0,Hta_1-0.25),IF(G8&lt;=Hta_2-0.25,0,Hta_2-0.25),IF(G8&lt;=Hta_3-0.25,0,Hta_3-0.25),IF(G8&lt;=Hta_4-0.25,0,Hta_4-0.25),IF(G8&lt;=Hta_5-0.25,0,Hta_5-0.25),IF(G8&lt;=Hta_6-0.25,0,Hta_6-0.25),IF(G8&lt;=Hta_7-0.25,0,Hta_7-0.25),IF(G8&lt;=Hta_8-0.25,0,Hta_8-0.25),IF(G8&lt;=Hta_9-0.25,0,Hta_9-0.25),IF(G8&lt;=Hta_10-0.25,0,Hta_10-0.25),IF(G8&lt;=Hta_11-0.25,0,Hta_11-0.25),IF(G8&lt;=Hta_12-0.25,0,Hta_12-0.25),IF(G8&lt;=Hta_13-0.25,0,Hta_13-0.25),IF(G8&lt;=Hta_14-0.25,0,Hta_14-0.25),IF(G8&lt;=Hta_15-0.25,0,Hta_15-0.25),IF(G8&lt;=Hta_16-0.25,0,Hta_16-0.25),IF(G8&lt;=Hta_17-0.25,0,Hta_17-0.25),IF(G8&lt;=Hta_18-0.25,0,Hta_18-0.25),IF(G8&lt;=Hta_19-0.25,0,Hta_19-0.25),IF(G8&lt;=Hta_20-0.25,0,Hta_20-0.25),IF(G8&lt;=Hta_21-0.25,0,Hta_21-0.25),IF(G8&lt;=Hta_22-0.25,0,Hta_22-0.25),IF(G8&lt;=Hta_23-0.25,0,Hta_23-0.25),IF(G8&lt;=Hta_24-0.25,0,Hta_24-0.25),IF(G8&lt;=Hta_25-0.25,0,Hta_25-0.25),IF(G8&lt;=Hta_26-0.25,0,Hta_26-0.25),IF(G8&lt;=Hta_27-0.25,0,Hta_27-0.25),IF(G8&lt;=Hta_28-0.25,0,Hta_28-0.25),IF(G8&lt;=Hta_29-0.25,0,Hta_29-0.25),IF(G8&lt;=Hta_30-0.25,0,Hta_30-0.25)),MAX(IF(G8&lt;=Hba_1,0,Hba_1),IF(G8&lt;=Hba_2,0,Hba_2),IF(G8&lt;=Hba_3,0,Hba_3),IF(G8&lt;=Hba_4,0,Hba_4),IF(G8&lt;=Hba_5,0,Hba_5),IF(G8&lt;=Hba_6,0,Hba_6),IF(G8&lt;=Hba_7,0,Hba_7),IF(G8&lt;=Hba_8,0,Hba_8),IF(G8&lt;=Hba_9,0,Hba_9),IF(G8&lt;=Hba_10,0,Hba_10),IF(G8&lt;=Hba_11,0,Hba_11),IF(G8&lt;=Hba_12,0,Hba_12),IF(G8&lt;=Hba_13,0,Hba_13),IF(G8&lt;=Hba_14,0,Hba_14),IF(G8&lt;=Hba_15,0,Hba_15),IF(G8&lt;=Hba_16,0,Hba_16),IF(G8&lt;=Hba_17,0,Hba_17),IF(G8&lt;=Hba_18,0,Hba_18),IF(G8&lt;=Hba_19,0,Hba_19),IF(G8&lt;=Hba_20,0,Hba_20),IF(G8&lt;=Hba_21,0,Hba_21),IF(G8&lt;=Hba_22,0,Hba_22),IF(G8&lt;=Hba_23,0,Hba_23),IF(G8&lt;=Hba_24,0,Hba_24),IF(G8&lt;=Hba_25,0,Hba_25),IF(G8&lt;=Hba_26,0,Hba_26),IF(G8&lt;=Hba_27,0,Hba_27),IF(G8&lt;=Hba_28,0,Hba_28),IF(G8&lt;=Hba_29,0,Hba_29),IF(G8&lt;=Hba_30,0,Hba_30)),MAX(IF(G8&lt;=Input!$C$8,0,Input!$C$8),IF(G8&lt;=Input!$C$9,0,Input!$C$9),IF(G8&lt;=Input!$C$10,0,Input!$C$10),IF(G8&lt;=Input!$C$11,0,Input!$C$11),IF(G8&lt;=Input!$C$12,0,Input!$C$12),IF(G8&lt;=Input!$C$13,0,Input!$C$13),IF(G8&lt;=Input!$C$14,0,Input!$C$14),IF(G8&lt;=Input!$C$15,0,Input!$C$15),IF(G8&lt;=Input!$C$16,0,Input!$C$16)),MAX(IF(G8&lt;=Hba_1-0.25,0,Hba_1-0.25),IF(G8&lt;=Hba_2-0.25,0,Hba_2-0.25),IF(G8&lt;=Hba_3-0.25,0,Hba_3-0.25),IF(G8&lt;=Hba_4-0.25,0,Hba_4-0.25),IF(G8&lt;=Hba_5-0.25,0,Hba_5-0.25),IF(G8&lt;=Hba_6-0.25,0,Hba_6-0.25),IF(G8&lt;=Hba_7-0.25,0,Hba_7-0.25),IF(G8&lt;=Hba_8-0.25,0,Hba_8-0.25),IF(G8&lt;=Hba_9-0.25,0,Hba_9-0.25),IF(G8&lt;=Hba_10-0.25,0,Hba_10-0.25),IF(G8&lt;=Hba_11-0.25,0,Hba_11-0.25),IF(G8&lt;=Hba_12-0.25,0,Hba_12-0.25),IF(G8&lt;=Hba_13-0.25,0,Hba_13-0.25),IF(G8&lt;=Hba_14-0.25,0,Hba_14-0.25),IF(G8&lt;=Hba_15-0.25,0,Hba_15-0.25),IF(G8&lt;=Hba_16-0.25,0,Hba_16-0.25),IF(G8&lt;=Hba_17-0.25,0,Hba_17-0.25),IF(G8&lt;=Hba_18-0.25,0,Hba_18-0.25),IF(G8&lt;=Hba_19-0.25,0,Hba_19-0.25),IF(G8&lt;=Hba_20-0.25,0,Hba_20-0.25),IF(G8&lt;=Hba_21-0.25,0,Hba_21-0.25),IF(G8&lt;=Hba_22-0.25,0,Hba_22-0.25),IF(G8&lt;=Hba_23-0.25,0,Hba_23-0.25),IF(G8&lt;=Hba_24-0.25,0,Hba_24-0.25),IF(G8&lt;=Hba_25-0.25,0,Hba_25-0.25),IF(G8&lt;=Hba_26-0.25,0,Hba_26-0.25),IF(G8&lt;=Hba_27-0.25,0,Hba_27-0.25),IF(G8&lt;=Hba_28-0.25,0,Hba_28-0.25),IF(G8&lt;=Hba_29-0.25,0,Hba_29-0.25),IF(G8&lt;=Hba_30-0.25,0,Hba_30-0.25)),IF(G8&lt;='Macro References'!$A$38,0,'Macro References'!$A$38)))</f>
        <v/>
      </c>
      <c r="H9" s="769"/>
      <c r="I9" s="228"/>
      <c r="J9" s="228"/>
      <c r="K9" s="228"/>
      <c r="L9" s="717" t="str">
        <f t="shared" si="0"/>
        <v/>
      </c>
      <c r="M9" s="717"/>
      <c r="N9" s="717"/>
      <c r="O9" s="717"/>
      <c r="P9" s="717" t="str">
        <f>IF(OR(G9=0,G9=""),"",IF(VLOOKUP(G9,'Geometry 2'!$C$4:$AI$14,1,TRUE)=VLOOKUP(G10,'Geometry 2'!$C$4:$AI$14,1,TRUE),"",IF(VLOOKUP(G9,'Geometry 2'!$C$4:$AI$14,33,TRUE)&lt;&gt;"n/a",MIN(G9,VLOOKUP(G9,'Geometry 2'!$C$4:$AI$14,1,TRUE))-VLOOKUP(G9,'Geometry 2'!$C$4:$AI$14,33,TRUE),"check")))</f>
        <v/>
      </c>
      <c r="Q9" s="717"/>
      <c r="R9" s="717"/>
      <c r="S9" s="717"/>
      <c r="T9" s="717" t="str">
        <f>IF($G9="","",VLOOKUP($G9,'Geometry 2'!$E$4:$AH$14,11,TRUE))</f>
        <v/>
      </c>
      <c r="U9" s="717"/>
      <c r="V9" s="717"/>
      <c r="W9" s="717"/>
      <c r="X9" s="716" t="str">
        <f>IF($G9="","",VLOOKUP($G9,'Geometry 2'!$E$4:$AJ$14,19,TRUE)-12*VLOOKUP($G9,'Geometry 2'!$E$4:$AJ$14,32,TRUE)*($D9-VLOOKUP($G9,'Geometry 2'!$E$5:$AH$14,1,TRUE)))</f>
        <v/>
      </c>
      <c r="Y9" s="716"/>
      <c r="Z9" s="716"/>
      <c r="AA9" s="716"/>
      <c r="AB9" s="757" t="str">
        <f>IF($G9="","",VLOOKUP($G9,'Geometry 2'!$E$4:$AJ$14,19,TRUE)-12*VLOOKUP($G9,'Geometry 2'!$E$4:$AJ$14,32,TRUE)*($G9-VLOOKUP($G9,'Geometry 2'!$E$5:$AH$14,1,TRUE)))</f>
        <v/>
      </c>
      <c r="AC9" s="758"/>
      <c r="AD9" s="758"/>
      <c r="AE9" s="759"/>
      <c r="AF9" s="716" t="str">
        <f>IF($G9="","",VLOOKUP($G9,'Geometry 2'!$E$4:$AJ$14,19,TRUE)-12*VLOOKUP($G9,'Geometry 2'!$E$4:$AJ$14,32,TRUE)*($G9-IF($P9="",0,$P9)-VLOOKUP($G9,'Geometry 2'!$E$5:$AH$14,1,TRUE)))</f>
        <v/>
      </c>
      <c r="AG9" s="716"/>
      <c r="AH9" s="716"/>
      <c r="AI9" s="716"/>
      <c r="AJ9" s="746" t="str">
        <f>IF($G9="","",VLOOKUP($G9,'Geometry 2'!$E$4:$AH$14,23,TRUE))</f>
        <v/>
      </c>
      <c r="AK9" s="747"/>
      <c r="AL9" s="747"/>
      <c r="AM9" s="748"/>
      <c r="AN9" s="717"/>
      <c r="AO9" s="717"/>
      <c r="AP9" s="717"/>
      <c r="AQ9" s="717"/>
      <c r="AR9" s="717" t="str">
        <f>IF($G9="","",VLOOKUP($G9,'Geometry 2'!$E$4:$AH$14,27,TRUE))</f>
        <v/>
      </c>
      <c r="AS9" s="717"/>
      <c r="AT9" s="717"/>
      <c r="AU9" s="718"/>
      <c r="AV9" s="715"/>
      <c r="AW9" s="716"/>
      <c r="AX9" s="716"/>
      <c r="AZ9" s="722" t="str">
        <f t="shared" si="5"/>
        <v/>
      </c>
      <c r="BA9" s="723"/>
      <c r="BB9" s="723"/>
      <c r="BC9" s="724"/>
      <c r="BD9" s="722"/>
      <c r="BE9" s="723"/>
      <c r="BF9" s="723"/>
      <c r="BG9" s="722" t="str">
        <f t="shared" si="1"/>
        <v/>
      </c>
      <c r="BH9" s="723"/>
      <c r="BI9" s="723"/>
      <c r="BJ9" s="723"/>
      <c r="BK9" s="724"/>
      <c r="BL9" s="722"/>
      <c r="BM9" s="723"/>
      <c r="BN9" s="723"/>
      <c r="BO9" s="723"/>
      <c r="BP9" s="725"/>
      <c r="BQ9" s="725"/>
      <c r="BR9" s="722" t="str">
        <f>IF(BP9="","",IF(OR(AND(Rev="H",Calculations!$F$27=TRUE),AND(Rev&lt;&gt;"H",Calculations!$F$30=TRUE)),IF(BP9&lt;=1,"Pass","Fail"),IF(BP9&lt;=1.05,"Pass","Fail")))</f>
        <v/>
      </c>
      <c r="BS9" s="723"/>
      <c r="BT9" s="724"/>
      <c r="BU9" s="49"/>
      <c r="BV9" s="25" t="str">
        <f>IFERROR(CONCATENATE(IF(AND($G9&lt;Hta_1,$G9&gt;=Hba_1,Input!U$21&lt;&gt;""),Input!$B$21&amp;";",""),IF(AND($G9&lt;Hta_2,$G9&gt;=Hba_2,Input!U$22&lt;&gt;""),Input!$B$22&amp;";",""),IF(AND($G9&lt;Hta_3,$G9&gt;=Hba_3,Input!U$23&lt;&gt;""),Input!$B$23&amp;";",""),IF(AND($G9&lt;Hta_4,$G9&gt;=Hba_4,Input!U$24&lt;&gt;""),Input!$B$24&amp;";",""),IF(AND($G9&lt;Hta_5,$G9&gt;=Hba_5,Input!U$25&lt;&gt;""),Input!$B$25&amp;";",""),IF(AND($G9&lt;Hta_6,$G9&gt;=Hba_6,Input!U$26&lt;&gt;""),Input!$B$26&amp;";",""),IF(AND($G9&lt;Hta_7,$G9&gt;=Hba_7,Input!U$27&lt;&gt;""),Input!$B$27&amp;";",""),IF(AND($G9&lt;Hta_8,$G9&gt;=Hba_8,Input!U$28&lt;&gt;""),Input!$B$28&amp;";",""),IF(AND($G9&lt;Hta_9,$G9&gt;=Hba_9,Input!U$29&lt;&gt;""),Input!$B$29&amp;";",""),IF(AND($G9&lt;Hta_10,$G9&gt;=Hba_10,Input!U$30&lt;&gt;""),Input!$B$30&amp;";",""),IF(AND($G9&lt;Hta_11,$G9&gt;=Hba_11,Input!U$31&lt;&gt;""),Input!$B$31&amp;";",""),IF(AND($G9&lt;Hta_12,$G9&gt;=Hba_12,Input!U$32&lt;&gt;""),Input!$B$32&amp;";",""),IF(AND($G9&lt;Hta_13,$G9&gt;=Hba_13,Input!U$33&lt;&gt;""),Input!$B$33&amp;";",""),IF(AND($G9&lt;Hta_14,$G9&gt;=Hba_14,Input!U$34&lt;&gt;""),Input!$B$34&amp;";",""),IF(AND($G9&lt;Hta_15,$G9&gt;=Hba_15,Input!U$35&lt;&gt;""),Input!$B$35&amp;";",""),IF(AND($G9&lt;Hta_16,$G9&gt;=Hba_16,Input!U$36&lt;&gt;""),Input!$B$36&amp;";",""),IF(AND($G9&lt;Hta_17,$G9&gt;=Hba_17,Input!U$37&lt;&gt;""),Input!$B$37&amp;";",""),IF(AND($G9&lt;Hta_18,$G9&gt;=Hba_18,Input!U$38&lt;&gt;""),Input!$B$38&amp;";",""),IF(AND($G9&lt;Hta_19,$G9&gt;=Hba_19,Input!U$39&lt;&gt;""),Input!$B$39&amp;";",""),IF(AND($G9&lt;Hta_20,$G9&gt;=Hba_20,Input!U$40&lt;&gt;""),Input!$B$40&amp;";",""),IF(AND($G9&lt;Hta_21,$G9&gt;=Hba_21,Input!U$41&lt;&gt;""),Input!$B$41&amp;";",""),IF(AND($G9&lt;Hta_22,$G9&gt;=Hba_22,Input!U$42&lt;&gt;""),Input!$B$42&amp;";",""),IF(AND($G9&lt;Hta_23,$G9&gt;=Hba_23,Input!U$43&lt;&gt;""),Input!$B$43&amp;";",""),IF(AND($G9&lt;Hta_24,$G9&gt;=Hba_24,Input!U$44&lt;&gt;""),Input!$B$44&amp;";",""),IF(AND($G9&lt;Hta_25,$G9&gt;=Hba_25,Input!U$45&lt;&gt;""),Input!$B$45&amp;";",""),IF(AND($G9&lt;Hta_26,$G9&gt;=Hba_26,Input!U$46&lt;&gt;""),Input!$B$46&amp;";",""),IF(AND($G9&lt;Hta_27,$G9&gt;=Hba_27,Input!U$47&lt;&gt;""),Input!$B$47&amp;";",""),IF(AND($G9&lt;Hta_28,$G9&gt;=Hba_28,Input!U$48&lt;&gt;""),Input!$B$48&amp;";",""),IF(AND($G9&lt;Hta_29,$G9&gt;=Hba_29,Input!U$49&lt;&gt;""),Input!$B$49&amp;";",""),IF(AND($G9&lt;Hta_30,$G9&gt;=Hba_30,Input!U$50&lt;&gt;""),Input!$B$50&amp;";","")),"")</f>
        <v/>
      </c>
      <c r="BW9" s="25" t="str">
        <f>IFERROR(CONCATENATE(IF(AND($G9&lt;Hta_1,$G9&gt;=Hba_1,Input!V$21&lt;&gt;""),Input!$B$21&amp;";",""),IF(AND($G9&lt;Hta_2,$G9&gt;=Hba_2,Input!V$22&lt;&gt;""),Input!$B$22&amp;";",""),IF(AND($G9&lt;Hta_3,$G9&gt;=Hba_3,Input!V$23&lt;&gt;""),Input!$B$23&amp;";",""),IF(AND($G9&lt;Hta_4,$G9&gt;=Hba_4,Input!V$24&lt;&gt;""),Input!$B$24&amp;";",""),IF(AND($G9&lt;Hta_5,$G9&gt;=Hba_5,Input!V$25&lt;&gt;""),Input!$B$25&amp;";",""),IF(AND($G9&lt;Hta_6,$G9&gt;=Hba_6,Input!V$26&lt;&gt;""),Input!$B$26&amp;";",""),IF(AND($G9&lt;Hta_7,$G9&gt;=Hba_7,Input!V$27&lt;&gt;""),Input!$B$27&amp;";",""),IF(AND($G9&lt;Hta_8,$G9&gt;=Hba_8,Input!V$28&lt;&gt;""),Input!$B$28&amp;";",""),IF(AND($G9&lt;Hta_9,$G9&gt;=Hba_9,Input!V$29&lt;&gt;""),Input!$B$29&amp;";",""),IF(AND($G9&lt;Hta_10,$G9&gt;=Hba_10,Input!V$30&lt;&gt;""),Input!$B$30&amp;";",""),IF(AND($G9&lt;Hta_11,$G9&gt;=Hba_11,Input!V$31&lt;&gt;""),Input!$B$31&amp;";",""),IF(AND($G9&lt;Hta_12,$G9&gt;=Hba_12,Input!V$32&lt;&gt;""),Input!$B$32&amp;";",""),IF(AND($G9&lt;Hta_13,$G9&gt;=Hba_13,Input!V$33&lt;&gt;""),Input!$B$33&amp;";",""),IF(AND($G9&lt;Hta_14,$G9&gt;=Hba_14,Input!V$34&lt;&gt;""),Input!$B$34&amp;";",""),IF(AND($G9&lt;Hta_15,$G9&gt;=Hba_15,Input!V$35&lt;&gt;""),Input!$B$35&amp;";",""),IF(AND($G9&lt;Hta_16,$G9&gt;=Hba_16,Input!V$36&lt;&gt;""),Input!$B$36&amp;";",""),IF(AND($G9&lt;Hta_17,$G9&gt;=Hba_17,Input!V$37&lt;&gt;""),Input!$B$37&amp;";",""),IF(AND($G9&lt;Hta_18,$G9&gt;=Hba_18,Input!V$38&lt;&gt;""),Input!$B$38&amp;";",""),IF(AND($G9&lt;Hta_19,$G9&gt;=Hba_19,Input!V$39&lt;&gt;""),Input!$B$39&amp;";",""),IF(AND($G9&lt;Hta_20,$G9&gt;=Hba_20,Input!V$40&lt;&gt;""),Input!$B$40&amp;";",""),IF(AND($G9&lt;Hta_21,$G9&gt;=Hba_21,Input!V$41&lt;&gt;""),Input!$B$41&amp;";",""),IF(AND($G9&lt;Hta_22,$G9&gt;=Hba_22,Input!V$42&lt;&gt;""),Input!$B$42&amp;";",""),IF(AND($G9&lt;Hta_23,$G9&gt;=Hba_23,Input!V$43&lt;&gt;""),Input!$B$43&amp;";",""),IF(AND($G9&lt;Hta_24,$G9&gt;=Hba_24,Input!V$44&lt;&gt;""),Input!$B$44&amp;";",""),IF(AND($G9&lt;Hta_25,$G9&gt;=Hba_25,Input!V$45&lt;&gt;""),Input!$B$45&amp;";",""),IF(AND($G9&lt;Hta_26,$G9&gt;=Hba_26,Input!V$46&lt;&gt;""),Input!$B$46&amp;";",""),IF(AND($G9&lt;Hta_27,$G9&gt;=Hba_27,Input!V$47&lt;&gt;""),Input!$B$47&amp;";",""),IF(AND($G9&lt;Hta_28,$G9&gt;=Hba_28,Input!V$48&lt;&gt;""),Input!$B$48&amp;";",""),IF(AND($G9&lt;Hta_29,$G9&gt;=Hba_29,Input!V$49&lt;&gt;""),Input!$B$49&amp;";",""),IF(AND($G9&lt;Hta_30,$G9&gt;=Hba_30,Input!V$50&lt;&gt;""),Input!$B$50&amp;";","")),"")</f>
        <v/>
      </c>
      <c r="BX9" s="25" t="str">
        <f>IFERROR(CONCATENATE(IF(AND($G9&lt;Hta_1,$G9&gt;=Hba_1,Input!W$21&lt;&gt;""),Input!$B$21&amp;";",""),IF(AND($G9&lt;Hta_2,$G9&gt;=Hba_2,Input!W$22&lt;&gt;""),Input!$B$22&amp;";",""),IF(AND($G9&lt;Hta_3,$G9&gt;=Hba_3,Input!W$23&lt;&gt;""),Input!$B$23&amp;";",""),IF(AND($G9&lt;Hta_4,$G9&gt;=Hba_4,Input!W$24&lt;&gt;""),Input!$B$24&amp;";",""),IF(AND($G9&lt;Hta_5,$G9&gt;=Hba_5,Input!W$25&lt;&gt;""),Input!$B$25&amp;";",""),IF(AND($G9&lt;Hta_6,$G9&gt;=Hba_6,Input!W$26&lt;&gt;""),Input!$B$26&amp;";",""),IF(AND($G9&lt;Hta_7,$G9&gt;=Hba_7,Input!W$27&lt;&gt;""),Input!$B$27&amp;";",""),IF(AND($G9&lt;Hta_8,$G9&gt;=Hba_8,Input!W$28&lt;&gt;""),Input!$B$28&amp;";",""),IF(AND($G9&lt;Hta_9,$G9&gt;=Hba_9,Input!W$29&lt;&gt;""),Input!$B$29&amp;";",""),IF(AND($G9&lt;Hta_10,$G9&gt;=Hba_10,Input!W$30&lt;&gt;""),Input!$B$30&amp;";",""),IF(AND($G9&lt;Hta_11,$G9&gt;=Hba_11,Input!W$31&lt;&gt;""),Input!$B$31&amp;";",""),IF(AND($G9&lt;Hta_12,$G9&gt;=Hba_12,Input!W$32&lt;&gt;""),Input!$B$32&amp;";",""),IF(AND($G9&lt;Hta_13,$G9&gt;=Hba_13,Input!W$33&lt;&gt;""),Input!$B$33&amp;";",""),IF(AND($G9&lt;Hta_14,$G9&gt;=Hba_14,Input!W$34&lt;&gt;""),Input!$B$34&amp;";",""),IF(AND($G9&lt;Hta_15,$G9&gt;=Hba_15,Input!W$35&lt;&gt;""),Input!$B$35&amp;";",""),IF(AND($G9&lt;Hta_16,$G9&gt;=Hba_16,Input!W$36&lt;&gt;""),Input!$B$36&amp;";",""),IF(AND($G9&lt;Hta_17,$G9&gt;=Hba_17,Input!W$37&lt;&gt;""),Input!$B$37&amp;";",""),IF(AND($G9&lt;Hta_18,$G9&gt;=Hba_18,Input!W$38&lt;&gt;""),Input!$B$38&amp;";",""),IF(AND($G9&lt;Hta_19,$G9&gt;=Hba_19,Input!W$39&lt;&gt;""),Input!$B$39&amp;";",""),IF(AND($G9&lt;Hta_20,$G9&gt;=Hba_20,Input!W$40&lt;&gt;""),Input!$B$40&amp;";",""),IF(AND($G9&lt;Hta_21,$G9&gt;=Hba_21,Input!W$41&lt;&gt;""),Input!$B$41&amp;";",""),IF(AND($G9&lt;Hta_22,$G9&gt;=Hba_22,Input!W$42&lt;&gt;""),Input!$B$42&amp;";",""),IF(AND($G9&lt;Hta_23,$G9&gt;=Hba_23,Input!W$43&lt;&gt;""),Input!$B$43&amp;";",""),IF(AND($G9&lt;Hta_24,$G9&gt;=Hba_24,Input!W$44&lt;&gt;""),Input!$B$44&amp;";",""),IF(AND($G9&lt;Hta_25,$G9&gt;=Hba_25,Input!W$45&lt;&gt;""),Input!$B$45&amp;";",""),IF(AND($G9&lt;Hta_26,$G9&gt;=Hba_26,Input!W$46&lt;&gt;""),Input!$B$46&amp;";",""),IF(AND($G9&lt;Hta_27,$G9&gt;=Hba_27,Input!W$47&lt;&gt;""),Input!$B$47&amp;";",""),IF(AND($G9&lt;Hta_28,$G9&gt;=Hba_28,Input!W$48&lt;&gt;""),Input!$B$48&amp;";",""),IF(AND($G9&lt;Hta_29,$G9&gt;=Hba_29,Input!W$49&lt;&gt;""),Input!$B$49&amp;";",""),IF(AND($G9&lt;Hta_30,$G9&gt;=Hba_30,Input!W$50&lt;&gt;""),Input!$B$50&amp;";","")),"")</f>
        <v/>
      </c>
      <c r="BY9" s="25" t="str">
        <f>IFERROR(CONCATENATE(IF(AND($G9&lt;Hta_1,$G9&gt;=Hba_1,Input!X$21&lt;&gt;""),Input!$B$21&amp;";",""),IF(AND($G9&lt;Hta_2,$G9&gt;=Hba_2,Input!X$22&lt;&gt;""),Input!$B$22&amp;";",""),IF(AND($G9&lt;Hta_3,$G9&gt;=Hba_3,Input!X$23&lt;&gt;""),Input!$B$23&amp;";",""),IF(AND($G9&lt;Hta_4,$G9&gt;=Hba_4,Input!X$24&lt;&gt;""),Input!$B$24&amp;";",""),IF(AND($G9&lt;Hta_5,$G9&gt;=Hba_5,Input!X$25&lt;&gt;""),Input!$B$25&amp;";",""),IF(AND($G9&lt;Hta_6,$G9&gt;=Hba_6,Input!X$26&lt;&gt;""),Input!$B$26&amp;";",""),IF(AND($G9&lt;Hta_7,$G9&gt;=Hba_7,Input!X$27&lt;&gt;""),Input!$B$27&amp;";",""),IF(AND($G9&lt;Hta_8,$G9&gt;=Hba_8,Input!X$28&lt;&gt;""),Input!$B$28&amp;";",""),IF(AND($G9&lt;Hta_9,$G9&gt;=Hba_9,Input!X$29&lt;&gt;""),Input!$B$29&amp;";",""),IF(AND($G9&lt;Hta_10,$G9&gt;=Hba_10,Input!X$30&lt;&gt;""),Input!$B$30&amp;";",""),IF(AND($G9&lt;Hta_11,$G9&gt;=Hba_11,Input!X$31&lt;&gt;""),Input!$B$31&amp;";",""),IF(AND($G9&lt;Hta_12,$G9&gt;=Hba_12,Input!X$32&lt;&gt;""),Input!$B$32&amp;";",""),IF(AND($G9&lt;Hta_13,$G9&gt;=Hba_13,Input!X$33&lt;&gt;""),Input!$B$33&amp;";",""),IF(AND($G9&lt;Hta_14,$G9&gt;=Hba_14,Input!X$34&lt;&gt;""),Input!$B$34&amp;";",""),IF(AND($G9&lt;Hta_15,$G9&gt;=Hba_15,Input!X$35&lt;&gt;""),Input!$B$35&amp;";",""),IF(AND($G9&lt;Hta_16,$G9&gt;=Hba_16,Input!X$36&lt;&gt;""),Input!$B$36&amp;";",""),IF(AND($G9&lt;Hta_17,$G9&gt;=Hba_17,Input!X$37&lt;&gt;""),Input!$B$37&amp;";",""),IF(AND($G9&lt;Hta_18,$G9&gt;=Hba_18,Input!X$38&lt;&gt;""),Input!$B$38&amp;";",""),IF(AND($G9&lt;Hta_19,$G9&gt;=Hba_19,Input!X$39&lt;&gt;""),Input!$B$39&amp;";",""),IF(AND($G9&lt;Hta_20,$G9&gt;=Hba_20,Input!X$40&lt;&gt;""),Input!$B$40&amp;";",""),IF(AND($G9&lt;Hta_21,$G9&gt;=Hba_21,Input!X$41&lt;&gt;""),Input!$B$41&amp;";",""),IF(AND($G9&lt;Hta_22,$G9&gt;=Hba_22,Input!X$42&lt;&gt;""),Input!$B$42&amp;";",""),IF(AND($G9&lt;Hta_23,$G9&gt;=Hba_23,Input!X$43&lt;&gt;""),Input!$B$43&amp;";",""),IF(AND($G9&lt;Hta_24,$G9&gt;=Hba_24,Input!X$44&lt;&gt;""),Input!$B$44&amp;";",""),IF(AND($G9&lt;Hta_25,$G9&gt;=Hba_25,Input!X$45&lt;&gt;""),Input!$B$45&amp;";",""),IF(AND($G9&lt;Hta_26,$G9&gt;=Hba_26,Input!X$46&lt;&gt;""),Input!$B$46&amp;";",""),IF(AND($G9&lt;Hta_27,$G9&gt;=Hba_27,Input!X$47&lt;&gt;""),Input!$B$47&amp;";",""),IF(AND($G9&lt;Hta_28,$G9&gt;=Hba_28,Input!X$48&lt;&gt;""),Input!$B$48&amp;";",""),IF(AND($G9&lt;Hta_29,$G9&gt;=Hba_29,Input!X$49&lt;&gt;""),Input!$B$49&amp;";",""),IF(AND($G9&lt;Hta_30,$G9&gt;=Hba_30,Input!X$50&lt;&gt;""),Input!$B$50&amp;";","")),"")</f>
        <v/>
      </c>
      <c r="BZ9" s="25" t="str">
        <f>IFERROR(CONCATENATE(IF(AND($G9&lt;Hta_1,$G9&gt;=Hba_1,Input!Y$21&lt;&gt;""),Input!$B$21&amp;";",""),IF(AND($G9&lt;Hta_2,$G9&gt;=Hba_2,Input!Y$22&lt;&gt;""),Input!$B$22&amp;";",""),IF(AND($G9&lt;Hta_3,$G9&gt;=Hba_3,Input!Y$23&lt;&gt;""),Input!$B$23&amp;";",""),IF(AND($G9&lt;Hta_4,$G9&gt;=Hba_4,Input!Y$24&lt;&gt;""),Input!$B$24&amp;";",""),IF(AND($G9&lt;Hta_5,$G9&gt;=Hba_5,Input!Y$25&lt;&gt;""),Input!$B$25&amp;";",""),IF(AND($G9&lt;Hta_6,$G9&gt;=Hba_6,Input!Y$26&lt;&gt;""),Input!$B$26&amp;";",""),IF(AND($G9&lt;Hta_7,$G9&gt;=Hba_7,Input!Y$27&lt;&gt;""),Input!$B$27&amp;";",""),IF(AND($G9&lt;Hta_8,$G9&gt;=Hba_8,Input!Y$28&lt;&gt;""),Input!$B$28&amp;";",""),IF(AND($G9&lt;Hta_9,$G9&gt;=Hba_9,Input!Y$29&lt;&gt;""),Input!$B$29&amp;";",""),IF(AND($G9&lt;Hta_10,$G9&gt;=Hba_10,Input!Y$30&lt;&gt;""),Input!$B$30&amp;";",""),IF(AND($G9&lt;Hta_11,$G9&gt;=Hba_11,Input!Y$31&lt;&gt;""),Input!$B$31&amp;";",""),IF(AND($G9&lt;Hta_12,$G9&gt;=Hba_12,Input!Y$32&lt;&gt;""),Input!$B$32&amp;";",""),IF(AND($G9&lt;Hta_13,$G9&gt;=Hba_13,Input!Y$33&lt;&gt;""),Input!$B$33&amp;";",""),IF(AND($G9&lt;Hta_14,$G9&gt;=Hba_14,Input!Y$34&lt;&gt;""),Input!$B$34&amp;";",""),IF(AND($G9&lt;Hta_15,$G9&gt;=Hba_15,Input!Y$35&lt;&gt;""),Input!$B$35&amp;";",""),IF(AND($G9&lt;Hta_16,$G9&gt;=Hba_16,Input!Y$36&lt;&gt;""),Input!$B$36&amp;";",""),IF(AND($G9&lt;Hta_17,$G9&gt;=Hba_17,Input!Y$37&lt;&gt;""),Input!$B$37&amp;";",""),IF(AND($G9&lt;Hta_18,$G9&gt;=Hba_18,Input!Y$38&lt;&gt;""),Input!$B$38&amp;";",""),IF(AND($G9&lt;Hta_19,$G9&gt;=Hba_19,Input!Y$39&lt;&gt;""),Input!$B$39&amp;";",""),IF(AND($G9&lt;Hta_20,$G9&gt;=Hba_20,Input!Y$40&lt;&gt;""),Input!$B$40&amp;";",""),IF(AND($G9&lt;Hta_21,$G9&gt;=Hba_21,Input!Y$41&lt;&gt;""),Input!$B$41&amp;";",""),IF(AND($G9&lt;Hta_22,$G9&gt;=Hba_22,Input!Y$42&lt;&gt;""),Input!$B$42&amp;";",""),IF(AND($G9&lt;Hta_23,$G9&gt;=Hba_23,Input!Y$43&lt;&gt;""),Input!$B$43&amp;";",""),IF(AND($G9&lt;Hta_24,$G9&gt;=Hba_24,Input!Y$44&lt;&gt;""),Input!$B$44&amp;";",""),IF(AND($G9&lt;Hta_25,$G9&gt;=Hba_25,Input!Y$45&lt;&gt;""),Input!$B$45&amp;";",""),IF(AND($G9&lt;Hta_26,$G9&gt;=Hba_26,Input!Y$46&lt;&gt;""),Input!$B$46&amp;";",""),IF(AND($G9&lt;Hta_27,$G9&gt;=Hba_27,Input!Y$47&lt;&gt;""),Input!$B$47&amp;";",""),IF(AND($G9&lt;Hta_28,$G9&gt;=Hba_28,Input!Y$48&lt;&gt;""),Input!$B$48&amp;";",""),IF(AND($G9&lt;Hta_29,$G9&gt;=Hba_29,Input!Y$49&lt;&gt;""),Input!$B$49&amp;";",""),IF(AND($G9&lt;Hta_30,$G9&gt;=Hba_30,Input!Y$50&lt;&gt;""),Input!$B$50&amp;";","")),"")</f>
        <v/>
      </c>
      <c r="CA9" s="25" t="str">
        <f>IFERROR(CONCATENATE(IF(AND($G9&lt;Hta_1,$G9&gt;=Hba_1,Input!Z$21&lt;&gt;""),Input!$B$21&amp;";",""),IF(AND($G9&lt;Hta_2,$G9&gt;=Hba_2,Input!Z$22&lt;&gt;""),Input!$B$22&amp;";",""),IF(AND($G9&lt;Hta_3,$G9&gt;=Hba_3,Input!Z$23&lt;&gt;""),Input!$B$23&amp;";",""),IF(AND($G9&lt;Hta_4,$G9&gt;=Hba_4,Input!Z$24&lt;&gt;""),Input!$B$24&amp;";",""),IF(AND($G9&lt;Hta_5,$G9&gt;=Hba_5,Input!Z$25&lt;&gt;""),Input!$B$25&amp;";",""),IF(AND($G9&lt;Hta_6,$G9&gt;=Hba_6,Input!Z$26&lt;&gt;""),Input!$B$26&amp;";",""),IF(AND($G9&lt;Hta_7,$G9&gt;=Hba_7,Input!Z$27&lt;&gt;""),Input!$B$27&amp;";",""),IF(AND($G9&lt;Hta_8,$G9&gt;=Hba_8,Input!Z$28&lt;&gt;""),Input!$B$28&amp;";",""),IF(AND($G9&lt;Hta_9,$G9&gt;=Hba_9,Input!Z$29&lt;&gt;""),Input!$B$29&amp;";",""),IF(AND($G9&lt;Hta_10,$G9&gt;=Hba_10,Input!Z$30&lt;&gt;""),Input!$B$30&amp;";",""),IF(AND($G9&lt;Hta_11,$G9&gt;=Hba_11,Input!Z$31&lt;&gt;""),Input!$B$31&amp;";",""),IF(AND($G9&lt;Hta_12,$G9&gt;=Hba_12,Input!Z$32&lt;&gt;""),Input!$B$32&amp;";",""),IF(AND($G9&lt;Hta_13,$G9&gt;=Hba_13,Input!Z$33&lt;&gt;""),Input!$B$33&amp;";",""),IF(AND($G9&lt;Hta_14,$G9&gt;=Hba_14,Input!Z$34&lt;&gt;""),Input!$B$34&amp;";",""),IF(AND($G9&lt;Hta_15,$G9&gt;=Hba_15,Input!Z$35&lt;&gt;""),Input!$B$35&amp;";",""),IF(AND($G9&lt;Hta_16,$G9&gt;=Hba_16,Input!Z$36&lt;&gt;""),Input!$B$36&amp;";",""),IF(AND($G9&lt;Hta_17,$G9&gt;=Hba_17,Input!Z$37&lt;&gt;""),Input!$B$37&amp;";",""),IF(AND($G9&lt;Hta_18,$G9&gt;=Hba_18,Input!Z$38&lt;&gt;""),Input!$B$38&amp;";",""),IF(AND($G9&lt;Hta_19,$G9&gt;=Hba_19,Input!Z$39&lt;&gt;""),Input!$B$39&amp;";",""),IF(AND($G9&lt;Hta_20,$G9&gt;=Hba_20,Input!Z$40&lt;&gt;""),Input!$B$40&amp;";",""),IF(AND($G9&lt;Hta_21,$G9&gt;=Hba_21,Input!Z$41&lt;&gt;""),Input!$B$41&amp;";",""),IF(AND($G9&lt;Hta_22,$G9&gt;=Hba_22,Input!Z$42&lt;&gt;""),Input!$B$42&amp;";",""),IF(AND($G9&lt;Hta_23,$G9&gt;=Hba_23,Input!Z$43&lt;&gt;""),Input!$B$43&amp;";",""),IF(AND($G9&lt;Hta_24,$G9&gt;=Hba_24,Input!Z$44&lt;&gt;""),Input!$B$44&amp;";",""),IF(AND($G9&lt;Hta_25,$G9&gt;=Hba_25,Input!Z$45&lt;&gt;""),Input!$B$45&amp;";",""),IF(AND($G9&lt;Hta_26,$G9&gt;=Hba_26,Input!Z$46&lt;&gt;""),Input!$B$46&amp;";",""),IF(AND($G9&lt;Hta_27,$G9&gt;=Hba_27,Input!Z$47&lt;&gt;""),Input!$B$47&amp;";",""),IF(AND($G9&lt;Hta_28,$G9&gt;=Hba_28,Input!Z$48&lt;&gt;""),Input!$B$48&amp;";",""),IF(AND($G9&lt;Hta_29,$G9&gt;=Hba_29,Input!Z$49&lt;&gt;""),Input!$B$49&amp;";",""),IF(AND($G9&lt;Hta_30,$G9&gt;=Hba_30,Input!Z$50&lt;&gt;""),Input!$B$50&amp;";","")),"")</f>
        <v/>
      </c>
      <c r="CB9" s="25" t="str">
        <f>IFERROR(CONCATENATE(IF(AND($G9&lt;Hta_1,$G9&gt;=Hba_1,Input!AA$21&lt;&gt;""),Input!$B$21&amp;";",""),IF(AND($G9&lt;Hta_2,$G9&gt;=Hba_2,Input!AA$22&lt;&gt;""),Input!$B$22&amp;";",""),IF(AND($G9&lt;Hta_3,$G9&gt;=Hba_3,Input!AA$23&lt;&gt;""),Input!$B$23&amp;";",""),IF(AND($G9&lt;Hta_4,$G9&gt;=Hba_4,Input!AA$24&lt;&gt;""),Input!$B$24&amp;";",""),IF(AND($G9&lt;Hta_5,$G9&gt;=Hba_5,Input!AA$25&lt;&gt;""),Input!$B$25&amp;";",""),IF(AND($G9&lt;Hta_6,$G9&gt;=Hba_6,Input!AA$26&lt;&gt;""),Input!$B$26&amp;";",""),IF(AND($G9&lt;Hta_7,$G9&gt;=Hba_7,Input!AA$27&lt;&gt;""),Input!$B$27&amp;";",""),IF(AND($G9&lt;Hta_8,$G9&gt;=Hba_8,Input!AA$28&lt;&gt;""),Input!$B$28&amp;";",""),IF(AND($G9&lt;Hta_9,$G9&gt;=Hba_9,Input!AA$29&lt;&gt;""),Input!$B$29&amp;";",""),IF(AND($G9&lt;Hta_10,$G9&gt;=Hba_10,Input!AA$30&lt;&gt;""),Input!$B$30&amp;";",""),IF(AND($G9&lt;Hta_11,$G9&gt;=Hba_11,Input!AA$31&lt;&gt;""),Input!$B$31&amp;";",""),IF(AND($G9&lt;Hta_12,$G9&gt;=Hba_12,Input!AA$32&lt;&gt;""),Input!$B$32&amp;";",""),IF(AND($G9&lt;Hta_13,$G9&gt;=Hba_13,Input!AA$33&lt;&gt;""),Input!$B$33&amp;";",""),IF(AND($G9&lt;Hta_14,$G9&gt;=Hba_14,Input!AA$34&lt;&gt;""),Input!$B$34&amp;";",""),IF(AND($G9&lt;Hta_15,$G9&gt;=Hba_15,Input!AA$35&lt;&gt;""),Input!$B$35&amp;";",""),IF(AND($G9&lt;Hta_16,$G9&gt;=Hba_16,Input!AA$36&lt;&gt;""),Input!$B$36&amp;";",""),IF(AND($G9&lt;Hta_17,$G9&gt;=Hba_17,Input!AA$37&lt;&gt;""),Input!$B$37&amp;";",""),IF(AND($G9&lt;Hta_18,$G9&gt;=Hba_18,Input!AA$38&lt;&gt;""),Input!$B$38&amp;";",""),IF(AND($G9&lt;Hta_19,$G9&gt;=Hba_19,Input!AA$39&lt;&gt;""),Input!$B$39&amp;";",""),IF(AND($G9&lt;Hta_20,$G9&gt;=Hba_20,Input!AA$40&lt;&gt;""),Input!$B$40&amp;";",""),IF(AND($G9&lt;Hta_21,$G9&gt;=Hba_21,Input!AA$41&lt;&gt;""),Input!$B$41&amp;";",""),IF(AND($G9&lt;Hta_22,$G9&gt;=Hba_22,Input!AA$42&lt;&gt;""),Input!$B$42&amp;";",""),IF(AND($G9&lt;Hta_23,$G9&gt;=Hba_23,Input!AA$43&lt;&gt;""),Input!$B$43&amp;";",""),IF(AND($G9&lt;Hta_24,$G9&gt;=Hba_24,Input!AA$44&lt;&gt;""),Input!$B$44&amp;";",""),IF(AND($G9&lt;Hta_25,$G9&gt;=Hba_25,Input!AA$45&lt;&gt;""),Input!$B$45&amp;";",""),IF(AND($G9&lt;Hta_26,$G9&gt;=Hba_26,Input!AA$46&lt;&gt;""),Input!$B$46&amp;";",""),IF(AND($G9&lt;Hta_27,$G9&gt;=Hba_27,Input!AA$47&lt;&gt;""),Input!$B$47&amp;";",""),IF(AND($G9&lt;Hta_28,$G9&gt;=Hba_28,Input!AA$48&lt;&gt;""),Input!$B$48&amp;";",""),IF(AND($G9&lt;Hta_29,$G9&gt;=Hba_29,Input!AA$49&lt;&gt;""),Input!$B$49&amp;";",""),IF(AND($G9&lt;Hta_30,$G9&gt;=Hba_30,Input!AA$50&lt;&gt;""),Input!$B$50&amp;";","")),"")</f>
        <v/>
      </c>
      <c r="CC9" s="25" t="str">
        <f>IFERROR(CONCATENATE(IF(AND($G9&lt;Hta_1,$G9&gt;=Hba_1,Input!AB$21&lt;&gt;""),Input!$B$21&amp;";",""),IF(AND($G9&lt;Hta_2,$G9&gt;=Hba_2,Input!AB$22&lt;&gt;""),Input!$B$22&amp;";",""),IF(AND($G9&lt;Hta_3,$G9&gt;=Hba_3,Input!AB$23&lt;&gt;""),Input!$B$23&amp;";",""),IF(AND($G9&lt;Hta_4,$G9&gt;=Hba_4,Input!AB$24&lt;&gt;""),Input!$B$24&amp;";",""),IF(AND($G9&lt;Hta_5,$G9&gt;=Hba_5,Input!AB$25&lt;&gt;""),Input!$B$25&amp;";",""),IF(AND($G9&lt;Hta_6,$G9&gt;=Hba_6,Input!AB$26&lt;&gt;""),Input!$B$26&amp;";",""),IF(AND($G9&lt;Hta_7,$G9&gt;=Hba_7,Input!AB$27&lt;&gt;""),Input!$B$27&amp;";",""),IF(AND($G9&lt;Hta_8,$G9&gt;=Hba_8,Input!AB$28&lt;&gt;""),Input!$B$28&amp;";",""),IF(AND($G9&lt;Hta_9,$G9&gt;=Hba_9,Input!AB$29&lt;&gt;""),Input!$B$29&amp;";",""),IF(AND($G9&lt;Hta_10,$G9&gt;=Hba_10,Input!AB$30&lt;&gt;""),Input!$B$30&amp;";",""),IF(AND($G9&lt;Hta_11,$G9&gt;=Hba_11,Input!AB$31&lt;&gt;""),Input!$B$31&amp;";",""),IF(AND($G9&lt;Hta_12,$G9&gt;=Hba_12,Input!AB$32&lt;&gt;""),Input!$B$32&amp;";",""),IF(AND($G9&lt;Hta_13,$G9&gt;=Hba_13,Input!AB$33&lt;&gt;""),Input!$B$33&amp;";",""),IF(AND($G9&lt;Hta_14,$G9&gt;=Hba_14,Input!AB$34&lt;&gt;""),Input!$B$34&amp;";",""),IF(AND($G9&lt;Hta_15,$G9&gt;=Hba_15,Input!AB$35&lt;&gt;""),Input!$B$35&amp;";",""),IF(AND($G9&lt;Hta_16,$G9&gt;=Hba_16,Input!AB$36&lt;&gt;""),Input!$B$36&amp;";",""),IF(AND($G9&lt;Hta_17,$G9&gt;=Hba_17,Input!AB$37&lt;&gt;""),Input!$B$37&amp;";",""),IF(AND($G9&lt;Hta_18,$G9&gt;=Hba_18,Input!AB$38&lt;&gt;""),Input!$B$38&amp;";",""),IF(AND($G9&lt;Hta_19,$G9&gt;=Hba_19,Input!AB$39&lt;&gt;""),Input!$B$39&amp;";",""),IF(AND($G9&lt;Hta_20,$G9&gt;=Hba_20,Input!AB$40&lt;&gt;""),Input!$B$40&amp;";",""),IF(AND($G9&lt;Hta_21,$G9&gt;=Hba_21,Input!AB$41&lt;&gt;""),Input!$B$41&amp;";",""),IF(AND($G9&lt;Hta_22,$G9&gt;=Hba_22,Input!AB$42&lt;&gt;""),Input!$B$42&amp;";",""),IF(AND($G9&lt;Hta_23,$G9&gt;=Hba_23,Input!AB$43&lt;&gt;""),Input!$B$43&amp;";",""),IF(AND($G9&lt;Hta_24,$G9&gt;=Hba_24,Input!AB$44&lt;&gt;""),Input!$B$44&amp;";",""),IF(AND($G9&lt;Hta_25,$G9&gt;=Hba_25,Input!AB$45&lt;&gt;""),Input!$B$45&amp;";",""),IF(AND($G9&lt;Hta_26,$G9&gt;=Hba_26,Input!AB$46&lt;&gt;""),Input!$B$46&amp;";",""),IF(AND($G9&lt;Hta_27,$G9&gt;=Hba_27,Input!AB$47&lt;&gt;""),Input!$B$47&amp;";",""),IF(AND($G9&lt;Hta_28,$G9&gt;=Hba_28,Input!AB$48&lt;&gt;""),Input!$B$48&amp;";",""),IF(AND($G9&lt;Hta_29,$G9&gt;=Hba_29,Input!AB$49&lt;&gt;""),Input!$B$49&amp;";",""),IF(AND($G9&lt;Hta_30,$G9&gt;=Hba_30,Input!AB$50&lt;&gt;""),Input!$B$50&amp;";","")),"")</f>
        <v/>
      </c>
      <c r="CD9" s="25" t="str">
        <f>IFERROR(CONCATENATE(IF(AND($G9&lt;Hta_1,$G9&gt;=Hba_1,Input!AC$21&lt;&gt;""),Input!$B$21&amp;";",""),IF(AND($G9&lt;Hta_2,$G9&gt;=Hba_2,Input!AC$22&lt;&gt;""),Input!$B$22&amp;";",""),IF(AND($G9&lt;Hta_3,$G9&gt;=Hba_3,Input!AC$23&lt;&gt;""),Input!$B$23&amp;";",""),IF(AND($G9&lt;Hta_4,$G9&gt;=Hba_4,Input!AC$24&lt;&gt;""),Input!$B$24&amp;";",""),IF(AND($G9&lt;Hta_5,$G9&gt;=Hba_5,Input!AC$25&lt;&gt;""),Input!$B$25&amp;";",""),IF(AND($G9&lt;Hta_6,$G9&gt;=Hba_6,Input!AC$26&lt;&gt;""),Input!$B$26&amp;";",""),IF(AND($G9&lt;Hta_7,$G9&gt;=Hba_7,Input!AC$27&lt;&gt;""),Input!$B$27&amp;";",""),IF(AND($G9&lt;Hta_8,$G9&gt;=Hba_8,Input!AC$28&lt;&gt;""),Input!$B$28&amp;";",""),IF(AND($G9&lt;Hta_9,$G9&gt;=Hba_9,Input!AC$29&lt;&gt;""),Input!$B$29&amp;";",""),IF(AND($G9&lt;Hta_10,$G9&gt;=Hba_10,Input!AC$30&lt;&gt;""),Input!$B$30&amp;";",""),IF(AND($G9&lt;Hta_11,$G9&gt;=Hba_11,Input!AC$31&lt;&gt;""),Input!$B$31&amp;";",""),IF(AND($G9&lt;Hta_12,$G9&gt;=Hba_12,Input!AC$32&lt;&gt;""),Input!$B$32&amp;";",""),IF(AND($G9&lt;Hta_13,$G9&gt;=Hba_13,Input!AC$33&lt;&gt;""),Input!$B$33&amp;";",""),IF(AND($G9&lt;Hta_14,$G9&gt;=Hba_14,Input!AC$34&lt;&gt;""),Input!$B$34&amp;";",""),IF(AND($G9&lt;Hta_15,$G9&gt;=Hba_15,Input!AC$35&lt;&gt;""),Input!$B$35&amp;";",""),IF(AND($G9&lt;Hta_16,$G9&gt;=Hba_16,Input!AC$36&lt;&gt;""),Input!$B$36&amp;";",""),IF(AND($G9&lt;Hta_17,$G9&gt;=Hba_17,Input!AC$37&lt;&gt;""),Input!$B$37&amp;";",""),IF(AND($G9&lt;Hta_18,$G9&gt;=Hba_18,Input!AC$38&lt;&gt;""),Input!$B$38&amp;";",""),IF(AND($G9&lt;Hta_19,$G9&gt;=Hba_19,Input!AC$39&lt;&gt;""),Input!$B$39&amp;";",""),IF(AND($G9&lt;Hta_20,$G9&gt;=Hba_20,Input!AC$40&lt;&gt;""),Input!$B$40&amp;";",""),IF(AND($G9&lt;Hta_21,$G9&gt;=Hba_21,Input!AC$41&lt;&gt;""),Input!$B$41&amp;";",""),IF(AND($G9&lt;Hta_22,$G9&gt;=Hba_22,Input!AC$42&lt;&gt;""),Input!$B$42&amp;";",""),IF(AND($G9&lt;Hta_23,$G9&gt;=Hba_23,Input!AC$43&lt;&gt;""),Input!$B$43&amp;";",""),IF(AND($G9&lt;Hta_24,$G9&gt;=Hba_24,Input!AC$44&lt;&gt;""),Input!$B$44&amp;";",""),IF(AND($G9&lt;Hta_25,$G9&gt;=Hba_25,Input!AC$45&lt;&gt;""),Input!$B$45&amp;";",""),IF(AND($G9&lt;Hta_26,$G9&gt;=Hba_26,Input!AC$46&lt;&gt;""),Input!$B$46&amp;";",""),IF(AND($G9&lt;Hta_27,$G9&gt;=Hba_27,Input!AC$47&lt;&gt;""),Input!$B$47&amp;";",""),IF(AND($G9&lt;Hta_28,$G9&gt;=Hba_28,Input!AC$48&lt;&gt;""),Input!$B$48&amp;";",""),IF(AND($G9&lt;Hta_29,$G9&gt;=Hba_29,Input!AC$49&lt;&gt;""),Input!$B$49&amp;";",""),IF(AND($G9&lt;Hta_30,$G9&gt;=Hba_30,Input!AC$50&lt;&gt;""),Input!$B$50&amp;";","")),"")</f>
        <v/>
      </c>
      <c r="CE9" s="25" t="str">
        <f>IFERROR(CONCATENATE(IF(AND($G9&lt;Hta_1,$G9&gt;=Hba_1,Input!AD$21&lt;&gt;""),Input!$B$21&amp;";",""),IF(AND($G9&lt;Hta_2,$G9&gt;=Hba_2,Input!AD$22&lt;&gt;""),Input!$B$22&amp;";",""),IF(AND($G9&lt;Hta_3,$G9&gt;=Hba_3,Input!AD$23&lt;&gt;""),Input!$B$23&amp;";",""),IF(AND($G9&lt;Hta_4,$G9&gt;=Hba_4,Input!AD$24&lt;&gt;""),Input!$B$24&amp;";",""),IF(AND($G9&lt;Hta_5,$G9&gt;=Hba_5,Input!AD$25&lt;&gt;""),Input!$B$25&amp;";",""),IF(AND($G9&lt;Hta_6,$G9&gt;=Hba_6,Input!AD$26&lt;&gt;""),Input!$B$26&amp;";",""),IF(AND($G9&lt;Hta_7,$G9&gt;=Hba_7,Input!AD$27&lt;&gt;""),Input!$B$27&amp;";",""),IF(AND($G9&lt;Hta_8,$G9&gt;=Hba_8,Input!AD$28&lt;&gt;""),Input!$B$28&amp;";",""),IF(AND($G9&lt;Hta_9,$G9&gt;=Hba_9,Input!AD$29&lt;&gt;""),Input!$B$29&amp;";",""),IF(AND($G9&lt;Hta_10,$G9&gt;=Hba_10,Input!AD$30&lt;&gt;""),Input!$B$30&amp;";",""),IF(AND($G9&lt;Hta_11,$G9&gt;=Hba_11,Input!AD$31&lt;&gt;""),Input!$B$31&amp;";",""),IF(AND($G9&lt;Hta_12,$G9&gt;=Hba_12,Input!AD$32&lt;&gt;""),Input!$B$32&amp;";",""),IF(AND($G9&lt;Hta_13,$G9&gt;=Hba_13,Input!AD$33&lt;&gt;""),Input!$B$33&amp;";",""),IF(AND($G9&lt;Hta_14,$G9&gt;=Hba_14,Input!AD$34&lt;&gt;""),Input!$B$34&amp;";",""),IF(AND($G9&lt;Hta_15,$G9&gt;=Hba_15,Input!AD$35&lt;&gt;""),Input!$B$35&amp;";",""),IF(AND($G9&lt;Hta_16,$G9&gt;=Hba_16,Input!AD$36&lt;&gt;""),Input!$B$36&amp;";",""),IF(AND($G9&lt;Hta_17,$G9&gt;=Hba_17,Input!AD$37&lt;&gt;""),Input!$B$37&amp;";",""),IF(AND($G9&lt;Hta_18,$G9&gt;=Hba_18,Input!AD$38&lt;&gt;""),Input!$B$38&amp;";",""),IF(AND($G9&lt;Hta_19,$G9&gt;=Hba_19,Input!AD$39&lt;&gt;""),Input!$B$39&amp;";",""),IF(AND($G9&lt;Hta_20,$G9&gt;=Hba_20,Input!AD$40&lt;&gt;""),Input!$B$40&amp;";",""),IF(AND($G9&lt;Hta_21,$G9&gt;=Hba_21,Input!AD$41&lt;&gt;""),Input!$B$41&amp;";",""),IF(AND($G9&lt;Hta_22,$G9&gt;=Hba_22,Input!AD$42&lt;&gt;""),Input!$B$42&amp;";",""),IF(AND($G9&lt;Hta_23,$G9&gt;=Hba_23,Input!AD$43&lt;&gt;""),Input!$B$43&amp;";",""),IF(AND($G9&lt;Hta_24,$G9&gt;=Hba_24,Input!AD$44&lt;&gt;""),Input!$B$44&amp;";",""),IF(AND($G9&lt;Hta_25,$G9&gt;=Hba_25,Input!AD$45&lt;&gt;""),Input!$B$45&amp;";",""),IF(AND($G9&lt;Hta_26,$G9&gt;=Hba_26,Input!AD$46&lt;&gt;""),Input!$B$46&amp;";",""),IF(AND($G9&lt;Hta_27,$G9&gt;=Hba_27,Input!AD$47&lt;&gt;""),Input!$B$47&amp;";",""),IF(AND($G9&lt;Hta_28,$G9&gt;=Hba_28,Input!AD$48&lt;&gt;""),Input!$B$48&amp;";",""),IF(AND($G9&lt;Hta_29,$G9&gt;=Hba_29,Input!AD$49&lt;&gt;""),Input!$B$49&amp;";",""),IF(AND($G9&lt;Hta_30,$G9&gt;=Hba_30,Input!AD$50&lt;&gt;""),Input!$B$50&amp;";","")),"")</f>
        <v/>
      </c>
      <c r="CF9" s="25" t="str">
        <f>IFERROR(CONCATENATE(IF(AND($G9&lt;Hta_1,$G9&gt;=Hba_1,Input!AE$21&lt;&gt;""),Input!$B$21&amp;";",""),IF(AND($G9&lt;Hta_2,$G9&gt;=Hba_2,Input!AE$22&lt;&gt;""),Input!$B$22&amp;";",""),IF(AND($G9&lt;Hta_3,$G9&gt;=Hba_3,Input!AE$23&lt;&gt;""),Input!$B$23&amp;";",""),IF(AND($G9&lt;Hta_4,$G9&gt;=Hba_4,Input!AE$24&lt;&gt;""),Input!$B$24&amp;";",""),IF(AND($G9&lt;Hta_5,$G9&gt;=Hba_5,Input!AE$25&lt;&gt;""),Input!$B$25&amp;";",""),IF(AND($G9&lt;Hta_6,$G9&gt;=Hba_6,Input!AE$26&lt;&gt;""),Input!$B$26&amp;";",""),IF(AND($G9&lt;Hta_7,$G9&gt;=Hba_7,Input!AE$27&lt;&gt;""),Input!$B$27&amp;";",""),IF(AND($G9&lt;Hta_8,$G9&gt;=Hba_8,Input!AE$28&lt;&gt;""),Input!$B$28&amp;";",""),IF(AND($G9&lt;Hta_9,$G9&gt;=Hba_9,Input!AE$29&lt;&gt;""),Input!$B$29&amp;";",""),IF(AND($G9&lt;Hta_10,$G9&gt;=Hba_10,Input!AE$30&lt;&gt;""),Input!$B$30&amp;";",""),IF(AND($G9&lt;Hta_11,$G9&gt;=Hba_11,Input!AE$31&lt;&gt;""),Input!$B$31&amp;";",""),IF(AND($G9&lt;Hta_12,$G9&gt;=Hba_12,Input!AE$32&lt;&gt;""),Input!$B$32&amp;";",""),IF(AND($G9&lt;Hta_13,$G9&gt;=Hba_13,Input!AE$33&lt;&gt;""),Input!$B$33&amp;";",""),IF(AND($G9&lt;Hta_14,$G9&gt;=Hba_14,Input!AE$34&lt;&gt;""),Input!$B$34&amp;";",""),IF(AND($G9&lt;Hta_15,$G9&gt;=Hba_15,Input!AE$35&lt;&gt;""),Input!$B$35&amp;";",""),IF(AND($G9&lt;Hta_16,$G9&gt;=Hba_16,Input!AE$36&lt;&gt;""),Input!$B$36&amp;";",""),IF(AND($G9&lt;Hta_17,$G9&gt;=Hba_17,Input!AE$37&lt;&gt;""),Input!$B$37&amp;";",""),IF(AND($G9&lt;Hta_18,$G9&gt;=Hba_18,Input!AE$38&lt;&gt;""),Input!$B$38&amp;";",""),IF(AND($G9&lt;Hta_19,$G9&gt;=Hba_19,Input!AE$39&lt;&gt;""),Input!$B$39&amp;";",""),IF(AND($G9&lt;Hta_20,$G9&gt;=Hba_20,Input!AE$40&lt;&gt;""),Input!$B$40&amp;";",""),IF(AND($G9&lt;Hta_21,$G9&gt;=Hba_21,Input!AE$41&lt;&gt;""),Input!$B$41&amp;";",""),IF(AND($G9&lt;Hta_22,$G9&gt;=Hba_22,Input!AE$42&lt;&gt;""),Input!$B$42&amp;";",""),IF(AND($G9&lt;Hta_23,$G9&gt;=Hba_23,Input!AE$43&lt;&gt;""),Input!$B$43&amp;";",""),IF(AND($G9&lt;Hta_24,$G9&gt;=Hba_24,Input!AE$44&lt;&gt;""),Input!$B$44&amp;";",""),IF(AND($G9&lt;Hta_25,$G9&gt;=Hba_25,Input!AE$45&lt;&gt;""),Input!$B$45&amp;";",""),IF(AND($G9&lt;Hta_26,$G9&gt;=Hba_26,Input!AE$46&lt;&gt;""),Input!$B$46&amp;";",""),IF(AND($G9&lt;Hta_27,$G9&gt;=Hba_27,Input!AE$47&lt;&gt;""),Input!$B$47&amp;";",""),IF(AND($G9&lt;Hta_28,$G9&gt;=Hba_28,Input!AE$48&lt;&gt;""),Input!$B$48&amp;";",""),IF(AND($G9&lt;Hta_29,$G9&gt;=Hba_29,Input!AE$49&lt;&gt;""),Input!$B$49&amp;";",""),IF(AND($G9&lt;Hta_30,$G9&gt;=Hba_30,Input!AE$50&lt;&gt;""),Input!$B$50&amp;";","")),"")</f>
        <v/>
      </c>
      <c r="CG9" s="25" t="str">
        <f>IFERROR(CONCATENATE(IF(AND($G9&lt;Hta_1,$G9&gt;=Hba_1,Input!AF$21&lt;&gt;""),Input!$B$21&amp;";",""),IF(AND($G9&lt;Hta_2,$G9&gt;=Hba_2,Input!AF$22&lt;&gt;""),Input!$B$22&amp;";",""),IF(AND($G9&lt;Hta_3,$G9&gt;=Hba_3,Input!AF$23&lt;&gt;""),Input!$B$23&amp;";",""),IF(AND($G9&lt;Hta_4,$G9&gt;=Hba_4,Input!AF$24&lt;&gt;""),Input!$B$24&amp;";",""),IF(AND($G9&lt;Hta_5,$G9&gt;=Hba_5,Input!AF$25&lt;&gt;""),Input!$B$25&amp;";",""),IF(AND($G9&lt;Hta_6,$G9&gt;=Hba_6,Input!AF$26&lt;&gt;""),Input!$B$26&amp;";",""),IF(AND($G9&lt;Hta_7,$G9&gt;=Hba_7,Input!AF$27&lt;&gt;""),Input!$B$27&amp;";",""),IF(AND($G9&lt;Hta_8,$G9&gt;=Hba_8,Input!AF$28&lt;&gt;""),Input!$B$28&amp;";",""),IF(AND($G9&lt;Hta_9,$G9&gt;=Hba_9,Input!AF$29&lt;&gt;""),Input!$B$29&amp;";",""),IF(AND($G9&lt;Hta_10,$G9&gt;=Hba_10,Input!AF$30&lt;&gt;""),Input!$B$30&amp;";",""),IF(AND($G9&lt;Hta_11,$G9&gt;=Hba_11,Input!AF$31&lt;&gt;""),Input!$B$31&amp;";",""),IF(AND($G9&lt;Hta_12,$G9&gt;=Hba_12,Input!AF$32&lt;&gt;""),Input!$B$32&amp;";",""),IF(AND($G9&lt;Hta_13,$G9&gt;=Hba_13,Input!AF$33&lt;&gt;""),Input!$B$33&amp;";",""),IF(AND($G9&lt;Hta_14,$G9&gt;=Hba_14,Input!AF$34&lt;&gt;""),Input!$B$34&amp;";",""),IF(AND($G9&lt;Hta_15,$G9&gt;=Hba_15,Input!AF$35&lt;&gt;""),Input!$B$35&amp;";",""),IF(AND($G9&lt;Hta_16,$G9&gt;=Hba_16,Input!AF$36&lt;&gt;""),Input!$B$36&amp;";",""),IF(AND($G9&lt;Hta_17,$G9&gt;=Hba_17,Input!AF$37&lt;&gt;""),Input!$B$37&amp;";",""),IF(AND($G9&lt;Hta_18,$G9&gt;=Hba_18,Input!AF$38&lt;&gt;""),Input!$B$38&amp;";",""),IF(AND($G9&lt;Hta_19,$G9&gt;=Hba_19,Input!AF$39&lt;&gt;""),Input!$B$39&amp;";",""),IF(AND($G9&lt;Hta_20,$G9&gt;=Hba_20,Input!AF$40&lt;&gt;""),Input!$B$40&amp;";",""),IF(AND($G9&lt;Hta_21,$G9&gt;=Hba_21,Input!AF$41&lt;&gt;""),Input!$B$41&amp;";",""),IF(AND($G9&lt;Hta_22,$G9&gt;=Hba_22,Input!AF$42&lt;&gt;""),Input!$B$42&amp;";",""),IF(AND($G9&lt;Hta_23,$G9&gt;=Hba_23,Input!AF$43&lt;&gt;""),Input!$B$43&amp;";",""),IF(AND($G9&lt;Hta_24,$G9&gt;=Hba_24,Input!AF$44&lt;&gt;""),Input!$B$44&amp;";",""),IF(AND($G9&lt;Hta_25,$G9&gt;=Hba_25,Input!AF$45&lt;&gt;""),Input!$B$45&amp;";",""),IF(AND($G9&lt;Hta_26,$G9&gt;=Hba_26,Input!AF$46&lt;&gt;""),Input!$B$46&amp;";",""),IF(AND($G9&lt;Hta_27,$G9&gt;=Hba_27,Input!AF$47&lt;&gt;""),Input!$B$47&amp;";",""),IF(AND($G9&lt;Hta_28,$G9&gt;=Hba_28,Input!AF$48&lt;&gt;""),Input!$B$48&amp;";",""),IF(AND($G9&lt;Hta_29,$G9&gt;=Hba_29,Input!AF$49&lt;&gt;""),Input!$B$49&amp;";",""),IF(AND($G9&lt;Hta_30,$G9&gt;=Hba_30,Input!AF$50&lt;&gt;""),Input!$B$50&amp;";","")),"")</f>
        <v/>
      </c>
      <c r="CH9" s="25" t="str">
        <f>IFERROR(CONCATENATE(IF(AND($G9&lt;Hta_1,$G9&gt;=Hba_1,Input!AG$21&lt;&gt;""),Input!$B$21&amp;";",""),IF(AND($G9&lt;Hta_2,$G9&gt;=Hba_2,Input!AG$22&lt;&gt;""),Input!$B$22&amp;";",""),IF(AND($G9&lt;Hta_3,$G9&gt;=Hba_3,Input!AG$23&lt;&gt;""),Input!$B$23&amp;";",""),IF(AND($G9&lt;Hta_4,$G9&gt;=Hba_4,Input!AG$24&lt;&gt;""),Input!$B$24&amp;";",""),IF(AND($G9&lt;Hta_5,$G9&gt;=Hba_5,Input!AG$25&lt;&gt;""),Input!$B$25&amp;";",""),IF(AND($G9&lt;Hta_6,$G9&gt;=Hba_6,Input!AG$26&lt;&gt;""),Input!$B$26&amp;";",""),IF(AND($G9&lt;Hta_7,$G9&gt;=Hba_7,Input!AG$27&lt;&gt;""),Input!$B$27&amp;";",""),IF(AND($G9&lt;Hta_8,$G9&gt;=Hba_8,Input!AG$28&lt;&gt;""),Input!$B$28&amp;";",""),IF(AND($G9&lt;Hta_9,$G9&gt;=Hba_9,Input!AG$29&lt;&gt;""),Input!$B$29&amp;";",""),IF(AND($G9&lt;Hta_10,$G9&gt;=Hba_10,Input!AG$30&lt;&gt;""),Input!$B$30&amp;";",""),IF(AND($G9&lt;Hta_11,$G9&gt;=Hba_11,Input!AG$31&lt;&gt;""),Input!$B$31&amp;";",""),IF(AND($G9&lt;Hta_12,$G9&gt;=Hba_12,Input!AG$32&lt;&gt;""),Input!$B$32&amp;";",""),IF(AND($G9&lt;Hta_13,$G9&gt;=Hba_13,Input!AG$33&lt;&gt;""),Input!$B$33&amp;";",""),IF(AND($G9&lt;Hta_14,$G9&gt;=Hba_14,Input!AG$34&lt;&gt;""),Input!$B$34&amp;";",""),IF(AND($G9&lt;Hta_15,$G9&gt;=Hba_15,Input!AG$35&lt;&gt;""),Input!$B$35&amp;";",""),IF(AND($G9&lt;Hta_16,$G9&gt;=Hba_16,Input!AG$36&lt;&gt;""),Input!$B$36&amp;";",""),IF(AND($G9&lt;Hta_17,$G9&gt;=Hba_17,Input!AG$37&lt;&gt;""),Input!$B$37&amp;";",""),IF(AND($G9&lt;Hta_18,$G9&gt;=Hba_18,Input!AG$38&lt;&gt;""),Input!$B$38&amp;";",""),IF(AND($G9&lt;Hta_19,$G9&gt;=Hba_19,Input!AG$39&lt;&gt;""),Input!$B$39&amp;";",""),IF(AND($G9&lt;Hta_20,$G9&gt;=Hba_20,Input!AG$40&lt;&gt;""),Input!$B$40&amp;";",""),IF(AND($G9&lt;Hta_21,$G9&gt;=Hba_21,Input!AG$41&lt;&gt;""),Input!$B$41&amp;";",""),IF(AND($G9&lt;Hta_22,$G9&gt;=Hba_22,Input!AG$42&lt;&gt;""),Input!$B$42&amp;";",""),IF(AND($G9&lt;Hta_23,$G9&gt;=Hba_23,Input!AG$43&lt;&gt;""),Input!$B$43&amp;";",""),IF(AND($G9&lt;Hta_24,$G9&gt;=Hba_24,Input!AG$44&lt;&gt;""),Input!$B$44&amp;";",""),IF(AND($G9&lt;Hta_25,$G9&gt;=Hba_25,Input!AG$45&lt;&gt;""),Input!$B$45&amp;";",""),IF(AND($G9&lt;Hta_26,$G9&gt;=Hba_26,Input!AG$46&lt;&gt;""),Input!$B$46&amp;";",""),IF(AND($G9&lt;Hta_27,$G9&gt;=Hba_27,Input!AG$47&lt;&gt;""),Input!$B$47&amp;";",""),IF(AND($G9&lt;Hta_28,$G9&gt;=Hba_28,Input!AG$48&lt;&gt;""),Input!$B$48&amp;";",""),IF(AND($G9&lt;Hta_29,$G9&gt;=Hba_29,Input!AG$49&lt;&gt;""),Input!$B$49&amp;";",""),IF(AND($G9&lt;Hta_30,$G9&gt;=Hba_30,Input!AG$50&lt;&gt;""),Input!$B$50&amp;";","")),"")</f>
        <v/>
      </c>
      <c r="CI9" s="25" t="str">
        <f>IFERROR(CONCATENATE(IF(AND($G9&lt;Hta_1,$G9&gt;=Hba_1,Input!AH$21&lt;&gt;""),Input!$B$21&amp;";",""),IF(AND($G9&lt;Hta_2,$G9&gt;=Hba_2,Input!AH$22&lt;&gt;""),Input!$B$22&amp;";",""),IF(AND($G9&lt;Hta_3,$G9&gt;=Hba_3,Input!AH$23&lt;&gt;""),Input!$B$23&amp;";",""),IF(AND($G9&lt;Hta_4,$G9&gt;=Hba_4,Input!AH$24&lt;&gt;""),Input!$B$24&amp;";",""),IF(AND($G9&lt;Hta_5,$G9&gt;=Hba_5,Input!AH$25&lt;&gt;""),Input!$B$25&amp;";",""),IF(AND($G9&lt;Hta_6,$G9&gt;=Hba_6,Input!AH$26&lt;&gt;""),Input!$B$26&amp;";",""),IF(AND($G9&lt;Hta_7,$G9&gt;=Hba_7,Input!AH$27&lt;&gt;""),Input!$B$27&amp;";",""),IF(AND($G9&lt;Hta_8,$G9&gt;=Hba_8,Input!AH$28&lt;&gt;""),Input!$B$28&amp;";",""),IF(AND($G9&lt;Hta_9,$G9&gt;=Hba_9,Input!AH$29&lt;&gt;""),Input!$B$29&amp;";",""),IF(AND($G9&lt;Hta_10,$G9&gt;=Hba_10,Input!AH$30&lt;&gt;""),Input!$B$30&amp;";",""),IF(AND($G9&lt;Hta_11,$G9&gt;=Hba_11,Input!AH$31&lt;&gt;""),Input!$B$31&amp;";",""),IF(AND($G9&lt;Hta_12,$G9&gt;=Hba_12,Input!AH$32&lt;&gt;""),Input!$B$32&amp;";",""),IF(AND($G9&lt;Hta_13,$G9&gt;=Hba_13,Input!AH$33&lt;&gt;""),Input!$B$33&amp;";",""),IF(AND($G9&lt;Hta_14,$G9&gt;=Hba_14,Input!AH$34&lt;&gt;""),Input!$B$34&amp;";",""),IF(AND($G9&lt;Hta_15,$G9&gt;=Hba_15,Input!AH$35&lt;&gt;""),Input!$B$35&amp;";",""),IF(AND($G9&lt;Hta_16,$G9&gt;=Hba_16,Input!AH$36&lt;&gt;""),Input!$B$36&amp;";",""),IF(AND($G9&lt;Hta_17,$G9&gt;=Hba_17,Input!AH$37&lt;&gt;""),Input!$B$37&amp;";",""),IF(AND($G9&lt;Hta_18,$G9&gt;=Hba_18,Input!AH$38&lt;&gt;""),Input!$B$38&amp;";",""),IF(AND($G9&lt;Hta_19,$G9&gt;=Hba_19,Input!AH$39&lt;&gt;""),Input!$B$39&amp;";",""),IF(AND($G9&lt;Hta_20,$G9&gt;=Hba_20,Input!AH$40&lt;&gt;""),Input!$B$40&amp;";",""),IF(AND($G9&lt;Hta_21,$G9&gt;=Hba_21,Input!AH$41&lt;&gt;""),Input!$B$41&amp;";",""),IF(AND($G9&lt;Hta_22,$G9&gt;=Hba_22,Input!AH$42&lt;&gt;""),Input!$B$42&amp;";",""),IF(AND($G9&lt;Hta_23,$G9&gt;=Hba_23,Input!AH$43&lt;&gt;""),Input!$B$43&amp;";",""),IF(AND($G9&lt;Hta_24,$G9&gt;=Hba_24,Input!AH$44&lt;&gt;""),Input!$B$44&amp;";",""),IF(AND($G9&lt;Hta_25,$G9&gt;=Hba_25,Input!AH$45&lt;&gt;""),Input!$B$45&amp;";",""),IF(AND($G9&lt;Hta_26,$G9&gt;=Hba_26,Input!AH$46&lt;&gt;""),Input!$B$46&amp;";",""),IF(AND($G9&lt;Hta_27,$G9&gt;=Hba_27,Input!AH$47&lt;&gt;""),Input!$B$47&amp;";",""),IF(AND($G9&lt;Hta_28,$G9&gt;=Hba_28,Input!AH$48&lt;&gt;""),Input!$B$48&amp;";",""),IF(AND($G9&lt;Hta_29,$G9&gt;=Hba_29,Input!AH$49&lt;&gt;""),Input!$B$49&amp;";",""),IF(AND($G9&lt;Hta_30,$G9&gt;=Hba_30,Input!AH$50&lt;&gt;""),Input!$B$50&amp;";","")),"")</f>
        <v/>
      </c>
      <c r="CJ9" s="25" t="str">
        <f>IFERROR(CONCATENATE(IF(AND($G9&lt;Hta_1,$G9&gt;=Hba_1,Input!AI$21&lt;&gt;""),Input!$B$21&amp;";",""),IF(AND($G9&lt;Hta_2,$G9&gt;=Hba_2,Input!AI$22&lt;&gt;""),Input!$B$22&amp;";",""),IF(AND($G9&lt;Hta_3,$G9&gt;=Hba_3,Input!AI$23&lt;&gt;""),Input!$B$23&amp;";",""),IF(AND($G9&lt;Hta_4,$G9&gt;=Hba_4,Input!AI$24&lt;&gt;""),Input!$B$24&amp;";",""),IF(AND($G9&lt;Hta_5,$G9&gt;=Hba_5,Input!AI$25&lt;&gt;""),Input!$B$25&amp;";",""),IF(AND($G9&lt;Hta_6,$G9&gt;=Hba_6,Input!AI$26&lt;&gt;""),Input!$B$26&amp;";",""),IF(AND($G9&lt;Hta_7,$G9&gt;=Hba_7,Input!AI$27&lt;&gt;""),Input!$B$27&amp;";",""),IF(AND($G9&lt;Hta_8,$G9&gt;=Hba_8,Input!AI$28&lt;&gt;""),Input!$B$28&amp;";",""),IF(AND($G9&lt;Hta_9,$G9&gt;=Hba_9,Input!AI$29&lt;&gt;""),Input!$B$29&amp;";",""),IF(AND($G9&lt;Hta_10,$G9&gt;=Hba_10,Input!AI$30&lt;&gt;""),Input!$B$30&amp;";",""),IF(AND($G9&lt;Hta_11,$G9&gt;=Hba_11,Input!AI$31&lt;&gt;""),Input!$B$31&amp;";",""),IF(AND($G9&lt;Hta_12,$G9&gt;=Hba_12,Input!AI$32&lt;&gt;""),Input!$B$32&amp;";",""),IF(AND($G9&lt;Hta_13,$G9&gt;=Hba_13,Input!AI$33&lt;&gt;""),Input!$B$33&amp;";",""),IF(AND($G9&lt;Hta_14,$G9&gt;=Hba_14,Input!AI$34&lt;&gt;""),Input!$B$34&amp;";",""),IF(AND($G9&lt;Hta_15,$G9&gt;=Hba_15,Input!AI$35&lt;&gt;""),Input!$B$35&amp;";",""),IF(AND($G9&lt;Hta_16,$G9&gt;=Hba_16,Input!AI$36&lt;&gt;""),Input!$B$36&amp;";",""),IF(AND($G9&lt;Hta_17,$G9&gt;=Hba_17,Input!AI$37&lt;&gt;""),Input!$B$37&amp;";",""),IF(AND($G9&lt;Hta_18,$G9&gt;=Hba_18,Input!AI$38&lt;&gt;""),Input!$B$38&amp;";",""),IF(AND($G9&lt;Hta_19,$G9&gt;=Hba_19,Input!AI$39&lt;&gt;""),Input!$B$39&amp;";",""),IF(AND($G9&lt;Hta_20,$G9&gt;=Hba_20,Input!AI$40&lt;&gt;""),Input!$B$40&amp;";",""),IF(AND($G9&lt;Hta_21,$G9&gt;=Hba_21,Input!AI$41&lt;&gt;""),Input!$B$41&amp;";",""),IF(AND($G9&lt;Hta_22,$G9&gt;=Hba_22,Input!AI$42&lt;&gt;""),Input!$B$42&amp;";",""),IF(AND($G9&lt;Hta_23,$G9&gt;=Hba_23,Input!AI$43&lt;&gt;""),Input!$B$43&amp;";",""),IF(AND($G9&lt;Hta_24,$G9&gt;=Hba_24,Input!AI$44&lt;&gt;""),Input!$B$44&amp;";",""),IF(AND($G9&lt;Hta_25,$G9&gt;=Hba_25,Input!AI$45&lt;&gt;""),Input!$B$45&amp;";",""),IF(AND($G9&lt;Hta_26,$G9&gt;=Hba_26,Input!AI$46&lt;&gt;""),Input!$B$46&amp;";",""),IF(AND($G9&lt;Hta_27,$G9&gt;=Hba_27,Input!AI$47&lt;&gt;""),Input!$B$47&amp;";",""),IF(AND($G9&lt;Hta_28,$G9&gt;=Hba_28,Input!AI$48&lt;&gt;""),Input!$B$48&amp;";",""),IF(AND($G9&lt;Hta_29,$G9&gt;=Hba_29,Input!AI$49&lt;&gt;""),Input!$B$49&amp;";",""),IF(AND($G9&lt;Hta_30,$G9&gt;=Hba_30,Input!AI$50&lt;&gt;""),Input!$B$50&amp;";","")),"")</f>
        <v/>
      </c>
      <c r="CK9" s="25" t="str">
        <f>IFERROR(CONCATENATE(IF(AND($G9&lt;Hta_1,$G9&gt;=Hba_1,Input!AJ$21&lt;&gt;""),Input!$B$21&amp;";",""),IF(AND($G9&lt;Hta_2,$G9&gt;=Hba_2,Input!AJ$22&lt;&gt;""),Input!$B$22&amp;";",""),IF(AND($G9&lt;Hta_3,$G9&gt;=Hba_3,Input!AJ$23&lt;&gt;""),Input!$B$23&amp;";",""),IF(AND($G9&lt;Hta_4,$G9&gt;=Hba_4,Input!AJ$24&lt;&gt;""),Input!$B$24&amp;";",""),IF(AND($G9&lt;Hta_5,$G9&gt;=Hba_5,Input!AJ$25&lt;&gt;""),Input!$B$25&amp;";",""),IF(AND($G9&lt;Hta_6,$G9&gt;=Hba_6,Input!AJ$26&lt;&gt;""),Input!$B$26&amp;";",""),IF(AND($G9&lt;Hta_7,$G9&gt;=Hba_7,Input!AJ$27&lt;&gt;""),Input!$B$27&amp;";",""),IF(AND($G9&lt;Hta_8,$G9&gt;=Hba_8,Input!AJ$28&lt;&gt;""),Input!$B$28&amp;";",""),IF(AND($G9&lt;Hta_9,$G9&gt;=Hba_9,Input!AJ$29&lt;&gt;""),Input!$B$29&amp;";",""),IF(AND($G9&lt;Hta_10,$G9&gt;=Hba_10,Input!AJ$30&lt;&gt;""),Input!$B$30&amp;";",""),IF(AND($G9&lt;Hta_11,$G9&gt;=Hba_11,Input!AJ$31&lt;&gt;""),Input!$B$31&amp;";",""),IF(AND($G9&lt;Hta_12,$G9&gt;=Hba_12,Input!AJ$32&lt;&gt;""),Input!$B$32&amp;";",""),IF(AND($G9&lt;Hta_13,$G9&gt;=Hba_13,Input!AJ$33&lt;&gt;""),Input!$B$33&amp;";",""),IF(AND($G9&lt;Hta_14,$G9&gt;=Hba_14,Input!AJ$34&lt;&gt;""),Input!$B$34&amp;";",""),IF(AND($G9&lt;Hta_15,$G9&gt;=Hba_15,Input!AJ$35&lt;&gt;""),Input!$B$35&amp;";",""),IF(AND($G9&lt;Hta_16,$G9&gt;=Hba_16,Input!AJ$36&lt;&gt;""),Input!$B$36&amp;";",""),IF(AND($G9&lt;Hta_17,$G9&gt;=Hba_17,Input!AJ$37&lt;&gt;""),Input!$B$37&amp;";",""),IF(AND($G9&lt;Hta_18,$G9&gt;=Hba_18,Input!AJ$38&lt;&gt;""),Input!$B$38&amp;";",""),IF(AND($G9&lt;Hta_19,$G9&gt;=Hba_19,Input!AJ$39&lt;&gt;""),Input!$B$39&amp;";",""),IF(AND($G9&lt;Hta_20,$G9&gt;=Hba_20,Input!AJ$40&lt;&gt;""),Input!$B$40&amp;";",""),IF(AND($G9&lt;Hta_21,$G9&gt;=Hba_21,Input!AJ$41&lt;&gt;""),Input!$B$41&amp;";",""),IF(AND($G9&lt;Hta_22,$G9&gt;=Hba_22,Input!AJ$42&lt;&gt;""),Input!$B$42&amp;";",""),IF(AND($G9&lt;Hta_23,$G9&gt;=Hba_23,Input!AJ$43&lt;&gt;""),Input!$B$43&amp;";",""),IF(AND($G9&lt;Hta_24,$G9&gt;=Hba_24,Input!AJ$44&lt;&gt;""),Input!$B$44&amp;";",""),IF(AND($G9&lt;Hta_25,$G9&gt;=Hba_25,Input!AJ$45&lt;&gt;""),Input!$B$45&amp;";",""),IF(AND($G9&lt;Hta_26,$G9&gt;=Hba_26,Input!AJ$46&lt;&gt;""),Input!$B$46&amp;";",""),IF(AND($G9&lt;Hta_27,$G9&gt;=Hba_27,Input!AJ$47&lt;&gt;""),Input!$B$47&amp;";",""),IF(AND($G9&lt;Hta_28,$G9&gt;=Hba_28,Input!AJ$48&lt;&gt;""),Input!$B$48&amp;";",""),IF(AND($G9&lt;Hta_29,$G9&gt;=Hba_29,Input!AJ$49&lt;&gt;""),Input!$B$49&amp;";",""),IF(AND($G9&lt;Hta_30,$G9&gt;=Hba_30,Input!AJ$50&lt;&gt;""),Input!$B$50&amp;";","")),"")</f>
        <v/>
      </c>
      <c r="CL9" s="25" t="str">
        <f>IFERROR(CONCATENATE(IF(AND($G9&lt;Hta_1,$G9&gt;=Hba_1,Input!AK$21&lt;&gt;""),Input!$B$21&amp;";",""),IF(AND($G9&lt;Hta_2,$G9&gt;=Hba_2,Input!AK$22&lt;&gt;""),Input!$B$22&amp;";",""),IF(AND($G9&lt;Hta_3,$G9&gt;=Hba_3,Input!AK$23&lt;&gt;""),Input!$B$23&amp;";",""),IF(AND($G9&lt;Hta_4,$G9&gt;=Hba_4,Input!AK$24&lt;&gt;""),Input!$B$24&amp;";",""),IF(AND($G9&lt;Hta_5,$G9&gt;=Hba_5,Input!AK$25&lt;&gt;""),Input!$B$25&amp;";",""),IF(AND($G9&lt;Hta_6,$G9&gt;=Hba_6,Input!AK$26&lt;&gt;""),Input!$B$26&amp;";",""),IF(AND($G9&lt;Hta_7,$G9&gt;=Hba_7,Input!AK$27&lt;&gt;""),Input!$B$27&amp;";",""),IF(AND($G9&lt;Hta_8,$G9&gt;=Hba_8,Input!AK$28&lt;&gt;""),Input!$B$28&amp;";",""),IF(AND($G9&lt;Hta_9,$G9&gt;=Hba_9,Input!AK$29&lt;&gt;""),Input!$B$29&amp;";",""),IF(AND($G9&lt;Hta_10,$G9&gt;=Hba_10,Input!AK$30&lt;&gt;""),Input!$B$30&amp;";",""),IF(AND($G9&lt;Hta_11,$G9&gt;=Hba_11,Input!AK$31&lt;&gt;""),Input!$B$31&amp;";",""),IF(AND($G9&lt;Hta_12,$G9&gt;=Hba_12,Input!AK$32&lt;&gt;""),Input!$B$32&amp;";",""),IF(AND($G9&lt;Hta_13,$G9&gt;=Hba_13,Input!AK$33&lt;&gt;""),Input!$B$33&amp;";",""),IF(AND($G9&lt;Hta_14,$G9&gt;=Hba_14,Input!AK$34&lt;&gt;""),Input!$B$34&amp;";",""),IF(AND($G9&lt;Hta_15,$G9&gt;=Hba_15,Input!AK$35&lt;&gt;""),Input!$B$35&amp;";",""),IF(AND($G9&lt;Hta_16,$G9&gt;=Hba_16,Input!AK$36&lt;&gt;""),Input!$B$36&amp;";",""),IF(AND($G9&lt;Hta_17,$G9&gt;=Hba_17,Input!AK$37&lt;&gt;""),Input!$B$37&amp;";",""),IF(AND($G9&lt;Hta_18,$G9&gt;=Hba_18,Input!AK$38&lt;&gt;""),Input!$B$38&amp;";",""),IF(AND($G9&lt;Hta_19,$G9&gt;=Hba_19,Input!AK$39&lt;&gt;""),Input!$B$39&amp;";",""),IF(AND($G9&lt;Hta_20,$G9&gt;=Hba_20,Input!AK$40&lt;&gt;""),Input!$B$40&amp;";",""),IF(AND($G9&lt;Hta_21,$G9&gt;=Hba_21,Input!AK$41&lt;&gt;""),Input!$B$41&amp;";",""),IF(AND($G9&lt;Hta_22,$G9&gt;=Hba_22,Input!AK$42&lt;&gt;""),Input!$B$42&amp;";",""),IF(AND($G9&lt;Hta_23,$G9&gt;=Hba_23,Input!AK$43&lt;&gt;""),Input!$B$43&amp;";",""),IF(AND($G9&lt;Hta_24,$G9&gt;=Hba_24,Input!AK$44&lt;&gt;""),Input!$B$44&amp;";",""),IF(AND($G9&lt;Hta_25,$G9&gt;=Hba_25,Input!AK$45&lt;&gt;""),Input!$B$45&amp;";",""),IF(AND($G9&lt;Hta_26,$G9&gt;=Hba_26,Input!AK$46&lt;&gt;""),Input!$B$46&amp;";",""),IF(AND($G9&lt;Hta_27,$G9&gt;=Hba_27,Input!AK$47&lt;&gt;""),Input!$B$47&amp;";",""),IF(AND($G9&lt;Hta_28,$G9&gt;=Hba_28,Input!AK$48&lt;&gt;""),Input!$B$48&amp;";",""),IF(AND($G9&lt;Hta_29,$G9&gt;=Hba_29,Input!AK$49&lt;&gt;""),Input!$B$49&amp;";",""),IF(AND($G9&lt;Hta_30,$G9&gt;=Hba_30,Input!AK$50&lt;&gt;""),Input!$B$50&amp;";","")),"")</f>
        <v/>
      </c>
      <c r="CM9" s="25" t="str">
        <f>IFERROR(CONCATENATE(IF(AND($G9&lt;Hta_1,$G9&gt;=Hba_1,Input!AL$21&lt;&gt;""),Input!$B$21&amp;";",""),IF(AND($G9&lt;Hta_2,$G9&gt;=Hba_2,Input!AL$22&lt;&gt;""),Input!$B$22&amp;";",""),IF(AND($G9&lt;Hta_3,$G9&gt;=Hba_3,Input!AL$23&lt;&gt;""),Input!$B$23&amp;";",""),IF(AND($G9&lt;Hta_4,$G9&gt;=Hba_4,Input!AL$24&lt;&gt;""),Input!$B$24&amp;";",""),IF(AND($G9&lt;Hta_5,$G9&gt;=Hba_5,Input!AL$25&lt;&gt;""),Input!$B$25&amp;";",""),IF(AND($G9&lt;Hta_6,$G9&gt;=Hba_6,Input!AL$26&lt;&gt;""),Input!$B$26&amp;";",""),IF(AND($G9&lt;Hta_7,$G9&gt;=Hba_7,Input!AL$27&lt;&gt;""),Input!$B$27&amp;";",""),IF(AND($G9&lt;Hta_8,$G9&gt;=Hba_8,Input!AL$28&lt;&gt;""),Input!$B$28&amp;";",""),IF(AND($G9&lt;Hta_9,$G9&gt;=Hba_9,Input!AL$29&lt;&gt;""),Input!$B$29&amp;";",""),IF(AND($G9&lt;Hta_10,$G9&gt;=Hba_10,Input!AL$30&lt;&gt;""),Input!$B$30&amp;";",""),IF(AND($G9&lt;Hta_11,$G9&gt;=Hba_11,Input!AL$31&lt;&gt;""),Input!$B$31&amp;";",""),IF(AND($G9&lt;Hta_12,$G9&gt;=Hba_12,Input!AL$32&lt;&gt;""),Input!$B$32&amp;";",""),IF(AND($G9&lt;Hta_13,$G9&gt;=Hba_13,Input!AL$33&lt;&gt;""),Input!$B$33&amp;";",""),IF(AND($G9&lt;Hta_14,$G9&gt;=Hba_14,Input!AL$34&lt;&gt;""),Input!$B$34&amp;";",""),IF(AND($G9&lt;Hta_15,$G9&gt;=Hba_15,Input!AL$35&lt;&gt;""),Input!$B$35&amp;";",""),IF(AND($G9&lt;Hta_16,$G9&gt;=Hba_16,Input!AL$36&lt;&gt;""),Input!$B$36&amp;";",""),IF(AND($G9&lt;Hta_17,$G9&gt;=Hba_17,Input!AL$37&lt;&gt;""),Input!$B$37&amp;";",""),IF(AND($G9&lt;Hta_18,$G9&gt;=Hba_18,Input!AL$38&lt;&gt;""),Input!$B$38&amp;";",""),IF(AND($G9&lt;Hta_19,$G9&gt;=Hba_19,Input!AL$39&lt;&gt;""),Input!$B$39&amp;";",""),IF(AND($G9&lt;Hta_20,$G9&gt;=Hba_20,Input!AL$40&lt;&gt;""),Input!$B$40&amp;";",""),IF(AND($G9&lt;Hta_21,$G9&gt;=Hba_21,Input!AL$41&lt;&gt;""),Input!$B$41&amp;";",""),IF(AND($G9&lt;Hta_22,$G9&gt;=Hba_22,Input!AL$42&lt;&gt;""),Input!$B$42&amp;";",""),IF(AND($G9&lt;Hta_23,$G9&gt;=Hba_23,Input!AL$43&lt;&gt;""),Input!$B$43&amp;";",""),IF(AND($G9&lt;Hta_24,$G9&gt;=Hba_24,Input!AL$44&lt;&gt;""),Input!$B$44&amp;";",""),IF(AND($G9&lt;Hta_25,$G9&gt;=Hba_25,Input!AL$45&lt;&gt;""),Input!$B$45&amp;";",""),IF(AND($G9&lt;Hta_26,$G9&gt;=Hba_26,Input!AL$46&lt;&gt;""),Input!$B$46&amp;";",""),IF(AND($G9&lt;Hta_27,$G9&gt;=Hba_27,Input!AL$47&lt;&gt;""),Input!$B$47&amp;";",""),IF(AND($G9&lt;Hta_28,$G9&gt;=Hba_28,Input!AL$48&lt;&gt;""),Input!$B$48&amp;";",""),IF(AND($G9&lt;Hta_29,$G9&gt;=Hba_29,Input!AL$49&lt;&gt;""),Input!$B$49&amp;";",""),IF(AND($G9&lt;Hta_30,$G9&gt;=Hba_30,Input!AL$50&lt;&gt;""),Input!$B$50&amp;";","")),"")</f>
        <v/>
      </c>
      <c r="CN9" s="60" t="str">
        <f t="shared" si="6"/>
        <v/>
      </c>
      <c r="CO9" s="798"/>
      <c r="CP9" s="799"/>
      <c r="CQ9" s="800"/>
      <c r="CR9" s="798"/>
      <c r="CS9" s="799"/>
      <c r="CT9" s="800"/>
      <c r="CU9" s="801" t="str">
        <f t="shared" si="7"/>
        <v/>
      </c>
      <c r="CV9" s="802"/>
      <c r="CW9" s="802"/>
      <c r="CX9" s="803"/>
      <c r="CY9" s="803"/>
      <c r="CZ9" s="804"/>
      <c r="DA9" s="726"/>
      <c r="DB9" s="727"/>
      <c r="DC9" s="732"/>
      <c r="DD9" s="726" t="str">
        <f t="shared" si="8"/>
        <v/>
      </c>
      <c r="DE9" s="727"/>
      <c r="DF9" s="728"/>
      <c r="DG9" s="53"/>
      <c r="DH9" s="54"/>
      <c r="DI9" s="54"/>
      <c r="DJ9" s="54"/>
      <c r="DK9" s="54"/>
      <c r="DL9" s="54"/>
      <c r="DM9" s="54"/>
      <c r="DN9" s="54"/>
      <c r="DO9" s="54"/>
      <c r="DP9" s="54"/>
      <c r="DQ9" s="57"/>
      <c r="DR9" s="57"/>
      <c r="DS9" s="57"/>
      <c r="DT9" s="57"/>
      <c r="DU9" s="57"/>
      <c r="DV9" s="57"/>
      <c r="DW9" s="57"/>
      <c r="DX9" s="57"/>
      <c r="DY9" s="57"/>
      <c r="DZ9" s="57"/>
      <c r="EA9" s="57"/>
      <c r="EB9" s="57"/>
      <c r="EC9" s="57"/>
      <c r="ED9" s="57"/>
      <c r="EE9" s="57"/>
      <c r="EF9" s="57"/>
      <c r="EG9" s="57"/>
      <c r="EH9" s="57"/>
      <c r="EI9" s="57"/>
      <c r="EJ9" s="57"/>
      <c r="EK9" s="57"/>
      <c r="EL9" s="133"/>
      <c r="EM9" s="133"/>
      <c r="EN9" s="133"/>
      <c r="EO9" s="133"/>
      <c r="EP9" s="133"/>
      <c r="EQ9" s="133"/>
      <c r="ER9" s="133"/>
      <c r="ES9" s="133"/>
      <c r="ET9" s="133"/>
      <c r="EU9" s="133"/>
      <c r="EV9" s="133"/>
      <c r="EW9" s="133"/>
      <c r="EX9" s="133"/>
      <c r="EY9" s="133"/>
      <c r="EZ9" s="133"/>
      <c r="FA9" s="133"/>
      <c r="FB9" s="133"/>
      <c r="FC9" s="133"/>
      <c r="FD9" s="133"/>
      <c r="FE9" s="133"/>
      <c r="FF9" s="133"/>
      <c r="FG9" s="133"/>
      <c r="FH9" s="133"/>
      <c r="FI9" s="133"/>
      <c r="FJ9" s="133"/>
      <c r="FK9" s="133"/>
      <c r="FL9" s="133"/>
      <c r="FM9" s="133"/>
      <c r="FN9" s="133"/>
      <c r="FO9" s="133"/>
      <c r="FP9" s="65"/>
      <c r="FQ9" s="125"/>
      <c r="FR9" s="123"/>
      <c r="FS9" s="121"/>
      <c r="FT9" s="119"/>
    </row>
    <row r="10" spans="2:177" ht="15.75" hidden="1" customHeight="1" thickBot="1" x14ac:dyDescent="0.3">
      <c r="B10" s="62" t="b">
        <f>IF(OR(AND(G10&gt;='Geometry 2'!$AK$5,G10&lt;'Geometry 2'!$AL$5),AND(G10&gt;='Geometry 2'!$AK$6,G10&lt;'Geometry 2'!$AL$6),AND(G10&gt;='Geometry 2'!$AK$7,G10&lt;'Geometry 2'!$AL$7),AND(G10&gt;='Geometry 2'!$AK$8,G10&lt;'Geometry 2'!$AL$8),AND(G10&gt;='Geometry 2'!$AK$9,G10&lt;'Geometry 2'!$AL$9),AND(G10&gt;='Geometry 2'!$AK$10,G10&lt;'Geometry 2'!$AL$10),AND(G10&gt;='Geometry 2'!$AK$11,G10&lt;'Geometry 2'!$AL$11),AND(G10&gt;='Geometry 2'!$AK$12,G10&lt;'Geometry 2'!$AL$12),AND(G10&gt;='Geometry 2'!$AK$13,G10&lt;'Geometry 2'!$AL$13),AND(G10&gt;='Geometry 2'!$AK$14,G10&lt;'Geometry 2'!$AL$14)),TRUE,FALSE)</f>
        <v>0</v>
      </c>
      <c r="C10" s="4" t="str">
        <f t="shared" si="3"/>
        <v/>
      </c>
      <c r="D10" s="766" t="str">
        <f>IF(OR(G9=0,G9=""),"",G9)</f>
        <v/>
      </c>
      <c r="E10" s="767"/>
      <c r="F10" s="17" t="str">
        <f t="shared" si="2"/>
        <v/>
      </c>
      <c r="G10" s="768" t="str">
        <f>IF(D10="","",MAX(0,G9-IF(inc="n/a",999,inc),MAX(IF(G9&lt;=Hta_1,0,Hta_1),IF(G9&lt;=Hta_2,0,Hta_2),IF(G9&lt;=Hta_3,0,Hta_3),IF(G9&lt;=Hta_4,0,Hta_4),IF(G9&lt;=Hta_5,0,Hta_5),IF(G9&lt;=Hta_6,0,Hta_6),IF(G9&lt;=Hta_7,0,Hta_7),IF(G9&lt;=Hta_8,0,Hta_8),IF(G9&lt;=Hta_9,0,Hta_9),IF(G9&lt;=Hta_10,0,Hta_10),IF(G9&lt;=Hta_11,0,Hta_11),IF(G9&lt;=Hta_12,0,Hta_12),IF(G9&lt;=Hta_13,0,Hta_13),IF(G9&lt;=Hta_14,0,Hta_14),IF(G9&lt;=Hta_15,0,Hta_15),IF(G9&lt;=Hta_16,0,Hta_16),IF(G9&lt;=Hta_17,0,Hta_17),IF(G9&lt;=Hta_18,0,Hta_18),IF(G9&lt;=Hta_19,0,Hta_19),IF(G9&lt;=Hta_20,0,Hta_20),IF(G9&lt;=Hta_21,0,Hta_21),IF(G9&lt;=Hta_22,0,Hta_22),IF(G9&lt;=Hta_23,0,Hta_23),IF(G9&lt;=Hta_24,0,Hta_24),IF(G9&lt;=Hta_25,0,Hta_25),IF(G9&lt;=Hta_26,0,Hta_26),IF(G9&lt;=Hta_27,0,Hta_27),IF(G9&lt;=Hta_28,0,Hta_28),IF(G9&lt;=Hta_29,0,Hta_29),IF(G9&lt;=Hta_30,0,Hta_30)),MAX(IF(G9&lt;=Hta_1-0.25,0,Hta_1-0.25),IF(G9&lt;=Hta_2-0.25,0,Hta_2-0.25),IF(G9&lt;=Hta_3-0.25,0,Hta_3-0.25),IF(G9&lt;=Hta_4-0.25,0,Hta_4-0.25),IF(G9&lt;=Hta_5-0.25,0,Hta_5-0.25),IF(G9&lt;=Hta_6-0.25,0,Hta_6-0.25),IF(G9&lt;=Hta_7-0.25,0,Hta_7-0.25),IF(G9&lt;=Hta_8-0.25,0,Hta_8-0.25),IF(G9&lt;=Hta_9-0.25,0,Hta_9-0.25),IF(G9&lt;=Hta_10-0.25,0,Hta_10-0.25),IF(G9&lt;=Hta_11-0.25,0,Hta_11-0.25),IF(G9&lt;=Hta_12-0.25,0,Hta_12-0.25),IF(G9&lt;=Hta_13-0.25,0,Hta_13-0.25),IF(G9&lt;=Hta_14-0.25,0,Hta_14-0.25),IF(G9&lt;=Hta_15-0.25,0,Hta_15-0.25),IF(G9&lt;=Hta_16-0.25,0,Hta_16-0.25),IF(G9&lt;=Hta_17-0.25,0,Hta_17-0.25),IF(G9&lt;=Hta_18-0.25,0,Hta_18-0.25),IF(G9&lt;=Hta_19-0.25,0,Hta_19-0.25),IF(G9&lt;=Hta_20-0.25,0,Hta_20-0.25),IF(G9&lt;=Hta_21-0.25,0,Hta_21-0.25),IF(G9&lt;=Hta_22-0.25,0,Hta_22-0.25),IF(G9&lt;=Hta_23-0.25,0,Hta_23-0.25),IF(G9&lt;=Hta_24-0.25,0,Hta_24-0.25),IF(G9&lt;=Hta_25-0.25,0,Hta_25-0.25),IF(G9&lt;=Hta_26-0.25,0,Hta_26-0.25),IF(G9&lt;=Hta_27-0.25,0,Hta_27-0.25),IF(G9&lt;=Hta_28-0.25,0,Hta_28-0.25),IF(G9&lt;=Hta_29-0.25,0,Hta_29-0.25),IF(G9&lt;=Hta_30-0.25,0,Hta_30-0.25)),MAX(IF(G9&lt;=Hba_1,0,Hba_1),IF(G9&lt;=Hba_2,0,Hba_2),IF(G9&lt;=Hba_3,0,Hba_3),IF(G9&lt;=Hba_4,0,Hba_4),IF(G9&lt;=Hba_5,0,Hba_5),IF(G9&lt;=Hba_6,0,Hba_6),IF(G9&lt;=Hba_7,0,Hba_7),IF(G9&lt;=Hba_8,0,Hba_8),IF(G9&lt;=Hba_9,0,Hba_9),IF(G9&lt;=Hba_10,0,Hba_10),IF(G9&lt;=Hba_11,0,Hba_11),IF(G9&lt;=Hba_12,0,Hba_12),IF(G9&lt;=Hba_13,0,Hba_13),IF(G9&lt;=Hba_14,0,Hba_14),IF(G9&lt;=Hba_15,0,Hba_15),IF(G9&lt;=Hba_16,0,Hba_16),IF(G9&lt;=Hba_17,0,Hba_17),IF(G9&lt;=Hba_18,0,Hba_18),IF(G9&lt;=Hba_19,0,Hba_19),IF(G9&lt;=Hba_20,0,Hba_20),IF(G9&lt;=Hba_21,0,Hba_21),IF(G9&lt;=Hba_22,0,Hba_22),IF(G9&lt;=Hba_23,0,Hba_23),IF(G9&lt;=Hba_24,0,Hba_24),IF(G9&lt;=Hba_25,0,Hba_25),IF(G9&lt;=Hba_26,0,Hba_26),IF(G9&lt;=Hba_27,0,Hba_27),IF(G9&lt;=Hba_28,0,Hba_28),IF(G9&lt;=Hba_29,0,Hba_29),IF(G9&lt;=Hba_30,0,Hba_30)),MAX(IF(G9&lt;=Input!$C$8,0,Input!$C$8),IF(G9&lt;=Input!$C$9,0,Input!$C$9),IF(G9&lt;=Input!$C$10,0,Input!$C$10),IF(G9&lt;=Input!$C$11,0,Input!$C$11),IF(G9&lt;=Input!$C$12,0,Input!$C$12),IF(G9&lt;=Input!$C$13,0,Input!$C$13),IF(G9&lt;=Input!$C$14,0,Input!$C$14),IF(G9&lt;=Input!$C$15,0,Input!$C$15),IF(G9&lt;=Input!$C$16,0,Input!$C$16)),MAX(IF(G9&lt;=Hba_1-0.25,0,Hba_1-0.25),IF(G9&lt;=Hba_2-0.25,0,Hba_2-0.25),IF(G9&lt;=Hba_3-0.25,0,Hba_3-0.25),IF(G9&lt;=Hba_4-0.25,0,Hba_4-0.25),IF(G9&lt;=Hba_5-0.25,0,Hba_5-0.25),IF(G9&lt;=Hba_6-0.25,0,Hba_6-0.25),IF(G9&lt;=Hba_7-0.25,0,Hba_7-0.25),IF(G9&lt;=Hba_8-0.25,0,Hba_8-0.25),IF(G9&lt;=Hba_9-0.25,0,Hba_9-0.25),IF(G9&lt;=Hba_10-0.25,0,Hba_10-0.25),IF(G9&lt;=Hba_11-0.25,0,Hba_11-0.25),IF(G9&lt;=Hba_12-0.25,0,Hba_12-0.25),IF(G9&lt;=Hba_13-0.25,0,Hba_13-0.25),IF(G9&lt;=Hba_14-0.25,0,Hba_14-0.25),IF(G9&lt;=Hba_15-0.25,0,Hba_15-0.25),IF(G9&lt;=Hba_16-0.25,0,Hba_16-0.25),IF(G9&lt;=Hba_17-0.25,0,Hba_17-0.25),IF(G9&lt;=Hba_18-0.25,0,Hba_18-0.25),IF(G9&lt;=Hba_19-0.25,0,Hba_19-0.25),IF(G9&lt;=Hba_20-0.25,0,Hba_20-0.25),IF(G9&lt;=Hba_21-0.25,0,Hba_21-0.25),IF(G9&lt;=Hba_22-0.25,0,Hba_22-0.25),IF(G9&lt;=Hba_23-0.25,0,Hba_23-0.25),IF(G9&lt;=Hba_24-0.25,0,Hba_24-0.25),IF(G9&lt;=Hba_25-0.25,0,Hba_25-0.25),IF(G9&lt;=Hba_26-0.25,0,Hba_26-0.25),IF(G9&lt;=Hba_27-0.25,0,Hba_27-0.25),IF(G9&lt;=Hba_28-0.25,0,Hba_28-0.25),IF(G9&lt;=Hba_29-0.25,0,Hba_29-0.25),IF(G9&lt;=Hba_30-0.25,0,Hba_30-0.25)),IF(G9&lt;='Macro References'!$A$38,0,'Macro References'!$A$38)))</f>
        <v/>
      </c>
      <c r="H10" s="769"/>
      <c r="I10" s="228"/>
      <c r="J10" s="228"/>
      <c r="K10" s="228"/>
      <c r="L10" s="717" t="str">
        <f t="shared" si="0"/>
        <v/>
      </c>
      <c r="M10" s="717"/>
      <c r="N10" s="717"/>
      <c r="O10" s="717"/>
      <c r="P10" s="717" t="str">
        <f>IF(OR(G10=0,G10=""),"",IF(VLOOKUP(G10,'Geometry 2'!$C$4:$AI$14,1,TRUE)=VLOOKUP(G11,'Geometry 2'!$C$4:$AI$14,1,TRUE),"",IF(VLOOKUP(G10,'Geometry 2'!$C$4:$AI$14,33,TRUE)&lt;&gt;"n/a",MIN(G10,VLOOKUP(G10,'Geometry 2'!$C$4:$AI$14,1,TRUE))-VLOOKUP(G10,'Geometry 2'!$C$4:$AI$14,33,TRUE),"check")))</f>
        <v/>
      </c>
      <c r="Q10" s="717"/>
      <c r="R10" s="717"/>
      <c r="S10" s="717"/>
      <c r="T10" s="717" t="str">
        <f>IF($G10="","",VLOOKUP($G10,'Geometry 2'!$E$4:$AH$14,11,TRUE))</f>
        <v/>
      </c>
      <c r="U10" s="717"/>
      <c r="V10" s="717"/>
      <c r="W10" s="717"/>
      <c r="X10" s="716" t="str">
        <f>IF($G10="","",VLOOKUP($G10,'Geometry 2'!$E$4:$AJ$14,19,TRUE)-12*VLOOKUP($G10,'Geometry 2'!$E$4:$AJ$14,32,TRUE)*($D10-VLOOKUP($G10,'Geometry 2'!$E$5:$AH$14,1,TRUE)))</f>
        <v/>
      </c>
      <c r="Y10" s="716"/>
      <c r="Z10" s="716"/>
      <c r="AA10" s="716"/>
      <c r="AB10" s="757" t="str">
        <f>IF($G10="","",VLOOKUP($G10,'Geometry 2'!$E$4:$AJ$14,19,TRUE)-12*VLOOKUP($G10,'Geometry 2'!$E$4:$AJ$14,32,TRUE)*($G10-VLOOKUP($G10,'Geometry 2'!$E$5:$AH$14,1,TRUE)))</f>
        <v/>
      </c>
      <c r="AC10" s="758"/>
      <c r="AD10" s="758"/>
      <c r="AE10" s="759"/>
      <c r="AF10" s="716" t="str">
        <f>IF($G10="","",VLOOKUP($G10,'Geometry 2'!$E$4:$AJ$14,19,TRUE)-12*VLOOKUP($G10,'Geometry 2'!$E$4:$AJ$14,32,TRUE)*($G10-IF($P10="",0,$P10)-VLOOKUP($G10,'Geometry 2'!$E$5:$AH$14,1,TRUE)))</f>
        <v/>
      </c>
      <c r="AG10" s="716"/>
      <c r="AH10" s="716"/>
      <c r="AI10" s="716"/>
      <c r="AJ10" s="746" t="str">
        <f>IF($G10="","",VLOOKUP($G10,'Geometry 2'!$E$4:$AH$14,23,TRUE))</f>
        <v/>
      </c>
      <c r="AK10" s="747"/>
      <c r="AL10" s="747"/>
      <c r="AM10" s="748"/>
      <c r="AN10" s="717"/>
      <c r="AO10" s="717"/>
      <c r="AP10" s="717"/>
      <c r="AQ10" s="717"/>
      <c r="AR10" s="717" t="str">
        <f>IF($G10="","",VLOOKUP($G10,'Geometry 2'!$E$4:$AH$14,27,TRUE))</f>
        <v/>
      </c>
      <c r="AS10" s="717"/>
      <c r="AT10" s="717"/>
      <c r="AU10" s="718"/>
      <c r="AV10" s="715"/>
      <c r="AW10" s="716"/>
      <c r="AX10" s="716"/>
      <c r="AZ10" s="722" t="str">
        <f t="shared" si="5"/>
        <v/>
      </c>
      <c r="BA10" s="723"/>
      <c r="BB10" s="723"/>
      <c r="BC10" s="724"/>
      <c r="BD10" s="722"/>
      <c r="BE10" s="723"/>
      <c r="BF10" s="723"/>
      <c r="BG10" s="722" t="str">
        <f t="shared" si="1"/>
        <v/>
      </c>
      <c r="BH10" s="723"/>
      <c r="BI10" s="723"/>
      <c r="BJ10" s="723"/>
      <c r="BK10" s="724"/>
      <c r="BL10" s="722"/>
      <c r="BM10" s="723"/>
      <c r="BN10" s="723"/>
      <c r="BO10" s="723"/>
      <c r="BP10" s="725"/>
      <c r="BQ10" s="725"/>
      <c r="BR10" s="722" t="str">
        <f>IF(BP10="","",IF(OR(AND(Rev="H",Calculations!$F$27=TRUE),AND(Rev&lt;&gt;"H",Calculations!$F$30=TRUE)),IF(BP10&lt;=1,"Pass","Fail"),IF(BP10&lt;=1.05,"Pass","Fail")))</f>
        <v/>
      </c>
      <c r="BS10" s="723"/>
      <c r="BT10" s="724"/>
      <c r="BU10" s="49"/>
      <c r="BV10" s="25" t="str">
        <f>IFERROR(CONCATENATE(IF(AND($G10&lt;Hta_1,$G10&gt;=Hba_1,Input!U$21&lt;&gt;""),Input!$B$21&amp;";",""),IF(AND($G10&lt;Hta_2,$G10&gt;=Hba_2,Input!U$22&lt;&gt;""),Input!$B$22&amp;";",""),IF(AND($G10&lt;Hta_3,$G10&gt;=Hba_3,Input!U$23&lt;&gt;""),Input!$B$23&amp;";",""),IF(AND($G10&lt;Hta_4,$G10&gt;=Hba_4,Input!U$24&lt;&gt;""),Input!$B$24&amp;";",""),IF(AND($G10&lt;Hta_5,$G10&gt;=Hba_5,Input!U$25&lt;&gt;""),Input!$B$25&amp;";",""),IF(AND($G10&lt;Hta_6,$G10&gt;=Hba_6,Input!U$26&lt;&gt;""),Input!$B$26&amp;";",""),IF(AND($G10&lt;Hta_7,$G10&gt;=Hba_7,Input!U$27&lt;&gt;""),Input!$B$27&amp;";",""),IF(AND($G10&lt;Hta_8,$G10&gt;=Hba_8,Input!U$28&lt;&gt;""),Input!$B$28&amp;";",""),IF(AND($G10&lt;Hta_9,$G10&gt;=Hba_9,Input!U$29&lt;&gt;""),Input!$B$29&amp;";",""),IF(AND($G10&lt;Hta_10,$G10&gt;=Hba_10,Input!U$30&lt;&gt;""),Input!$B$30&amp;";",""),IF(AND($G10&lt;Hta_11,$G10&gt;=Hba_11,Input!U$31&lt;&gt;""),Input!$B$31&amp;";",""),IF(AND($G10&lt;Hta_12,$G10&gt;=Hba_12,Input!U$32&lt;&gt;""),Input!$B$32&amp;";",""),IF(AND($G10&lt;Hta_13,$G10&gt;=Hba_13,Input!U$33&lt;&gt;""),Input!$B$33&amp;";",""),IF(AND($G10&lt;Hta_14,$G10&gt;=Hba_14,Input!U$34&lt;&gt;""),Input!$B$34&amp;";",""),IF(AND($G10&lt;Hta_15,$G10&gt;=Hba_15,Input!U$35&lt;&gt;""),Input!$B$35&amp;";",""),IF(AND($G10&lt;Hta_16,$G10&gt;=Hba_16,Input!U$36&lt;&gt;""),Input!$B$36&amp;";",""),IF(AND($G10&lt;Hta_17,$G10&gt;=Hba_17,Input!U$37&lt;&gt;""),Input!$B$37&amp;";",""),IF(AND($G10&lt;Hta_18,$G10&gt;=Hba_18,Input!U$38&lt;&gt;""),Input!$B$38&amp;";",""),IF(AND($G10&lt;Hta_19,$G10&gt;=Hba_19,Input!U$39&lt;&gt;""),Input!$B$39&amp;";",""),IF(AND($G10&lt;Hta_20,$G10&gt;=Hba_20,Input!U$40&lt;&gt;""),Input!$B$40&amp;";",""),IF(AND($G10&lt;Hta_21,$G10&gt;=Hba_21,Input!U$41&lt;&gt;""),Input!$B$41&amp;";",""),IF(AND($G10&lt;Hta_22,$G10&gt;=Hba_22,Input!U$42&lt;&gt;""),Input!$B$42&amp;";",""),IF(AND($G10&lt;Hta_23,$G10&gt;=Hba_23,Input!U$43&lt;&gt;""),Input!$B$43&amp;";",""),IF(AND($G10&lt;Hta_24,$G10&gt;=Hba_24,Input!U$44&lt;&gt;""),Input!$B$44&amp;";",""),IF(AND($G10&lt;Hta_25,$G10&gt;=Hba_25,Input!U$45&lt;&gt;""),Input!$B$45&amp;";",""),IF(AND($G10&lt;Hta_26,$G10&gt;=Hba_26,Input!U$46&lt;&gt;""),Input!$B$46&amp;";",""),IF(AND($G10&lt;Hta_27,$G10&gt;=Hba_27,Input!U$47&lt;&gt;""),Input!$B$47&amp;";",""),IF(AND($G10&lt;Hta_28,$G10&gt;=Hba_28,Input!U$48&lt;&gt;""),Input!$B$48&amp;";",""),IF(AND($G10&lt;Hta_29,$G10&gt;=Hba_29,Input!U$49&lt;&gt;""),Input!$B$49&amp;";",""),IF(AND($G10&lt;Hta_30,$G10&gt;=Hba_30,Input!U$50&lt;&gt;""),Input!$B$50&amp;";","")),"")</f>
        <v/>
      </c>
      <c r="BW10" s="25" t="str">
        <f>IFERROR(CONCATENATE(IF(AND($G10&lt;Hta_1,$G10&gt;=Hba_1,Input!V$21&lt;&gt;""),Input!$B$21&amp;";",""),IF(AND($G10&lt;Hta_2,$G10&gt;=Hba_2,Input!V$22&lt;&gt;""),Input!$B$22&amp;";",""),IF(AND($G10&lt;Hta_3,$G10&gt;=Hba_3,Input!V$23&lt;&gt;""),Input!$B$23&amp;";",""),IF(AND($G10&lt;Hta_4,$G10&gt;=Hba_4,Input!V$24&lt;&gt;""),Input!$B$24&amp;";",""),IF(AND($G10&lt;Hta_5,$G10&gt;=Hba_5,Input!V$25&lt;&gt;""),Input!$B$25&amp;";",""),IF(AND($G10&lt;Hta_6,$G10&gt;=Hba_6,Input!V$26&lt;&gt;""),Input!$B$26&amp;";",""),IF(AND($G10&lt;Hta_7,$G10&gt;=Hba_7,Input!V$27&lt;&gt;""),Input!$B$27&amp;";",""),IF(AND($G10&lt;Hta_8,$G10&gt;=Hba_8,Input!V$28&lt;&gt;""),Input!$B$28&amp;";",""),IF(AND($G10&lt;Hta_9,$G10&gt;=Hba_9,Input!V$29&lt;&gt;""),Input!$B$29&amp;";",""),IF(AND($G10&lt;Hta_10,$G10&gt;=Hba_10,Input!V$30&lt;&gt;""),Input!$B$30&amp;";",""),IF(AND($G10&lt;Hta_11,$G10&gt;=Hba_11,Input!V$31&lt;&gt;""),Input!$B$31&amp;";",""),IF(AND($G10&lt;Hta_12,$G10&gt;=Hba_12,Input!V$32&lt;&gt;""),Input!$B$32&amp;";",""),IF(AND($G10&lt;Hta_13,$G10&gt;=Hba_13,Input!V$33&lt;&gt;""),Input!$B$33&amp;";",""),IF(AND($G10&lt;Hta_14,$G10&gt;=Hba_14,Input!V$34&lt;&gt;""),Input!$B$34&amp;";",""),IF(AND($G10&lt;Hta_15,$G10&gt;=Hba_15,Input!V$35&lt;&gt;""),Input!$B$35&amp;";",""),IF(AND($G10&lt;Hta_16,$G10&gt;=Hba_16,Input!V$36&lt;&gt;""),Input!$B$36&amp;";",""),IF(AND($G10&lt;Hta_17,$G10&gt;=Hba_17,Input!V$37&lt;&gt;""),Input!$B$37&amp;";",""),IF(AND($G10&lt;Hta_18,$G10&gt;=Hba_18,Input!V$38&lt;&gt;""),Input!$B$38&amp;";",""),IF(AND($G10&lt;Hta_19,$G10&gt;=Hba_19,Input!V$39&lt;&gt;""),Input!$B$39&amp;";",""),IF(AND($G10&lt;Hta_20,$G10&gt;=Hba_20,Input!V$40&lt;&gt;""),Input!$B$40&amp;";",""),IF(AND($G10&lt;Hta_21,$G10&gt;=Hba_21,Input!V$41&lt;&gt;""),Input!$B$41&amp;";",""),IF(AND($G10&lt;Hta_22,$G10&gt;=Hba_22,Input!V$42&lt;&gt;""),Input!$B$42&amp;";",""),IF(AND($G10&lt;Hta_23,$G10&gt;=Hba_23,Input!V$43&lt;&gt;""),Input!$B$43&amp;";",""),IF(AND($G10&lt;Hta_24,$G10&gt;=Hba_24,Input!V$44&lt;&gt;""),Input!$B$44&amp;";",""),IF(AND($G10&lt;Hta_25,$G10&gt;=Hba_25,Input!V$45&lt;&gt;""),Input!$B$45&amp;";",""),IF(AND($G10&lt;Hta_26,$G10&gt;=Hba_26,Input!V$46&lt;&gt;""),Input!$B$46&amp;";",""),IF(AND($G10&lt;Hta_27,$G10&gt;=Hba_27,Input!V$47&lt;&gt;""),Input!$B$47&amp;";",""),IF(AND($G10&lt;Hta_28,$G10&gt;=Hba_28,Input!V$48&lt;&gt;""),Input!$B$48&amp;";",""),IF(AND($G10&lt;Hta_29,$G10&gt;=Hba_29,Input!V$49&lt;&gt;""),Input!$B$49&amp;";",""),IF(AND($G10&lt;Hta_30,$G10&gt;=Hba_30,Input!V$50&lt;&gt;""),Input!$B$50&amp;";","")),"")</f>
        <v/>
      </c>
      <c r="BX10" s="25" t="str">
        <f>IFERROR(CONCATENATE(IF(AND($G10&lt;Hta_1,$G10&gt;=Hba_1,Input!W$21&lt;&gt;""),Input!$B$21&amp;";",""),IF(AND($G10&lt;Hta_2,$G10&gt;=Hba_2,Input!W$22&lt;&gt;""),Input!$B$22&amp;";",""),IF(AND($G10&lt;Hta_3,$G10&gt;=Hba_3,Input!W$23&lt;&gt;""),Input!$B$23&amp;";",""),IF(AND($G10&lt;Hta_4,$G10&gt;=Hba_4,Input!W$24&lt;&gt;""),Input!$B$24&amp;";",""),IF(AND($G10&lt;Hta_5,$G10&gt;=Hba_5,Input!W$25&lt;&gt;""),Input!$B$25&amp;";",""),IF(AND($G10&lt;Hta_6,$G10&gt;=Hba_6,Input!W$26&lt;&gt;""),Input!$B$26&amp;";",""),IF(AND($G10&lt;Hta_7,$G10&gt;=Hba_7,Input!W$27&lt;&gt;""),Input!$B$27&amp;";",""),IF(AND($G10&lt;Hta_8,$G10&gt;=Hba_8,Input!W$28&lt;&gt;""),Input!$B$28&amp;";",""),IF(AND($G10&lt;Hta_9,$G10&gt;=Hba_9,Input!W$29&lt;&gt;""),Input!$B$29&amp;";",""),IF(AND($G10&lt;Hta_10,$G10&gt;=Hba_10,Input!W$30&lt;&gt;""),Input!$B$30&amp;";",""),IF(AND($G10&lt;Hta_11,$G10&gt;=Hba_11,Input!W$31&lt;&gt;""),Input!$B$31&amp;";",""),IF(AND($G10&lt;Hta_12,$G10&gt;=Hba_12,Input!W$32&lt;&gt;""),Input!$B$32&amp;";",""),IF(AND($G10&lt;Hta_13,$G10&gt;=Hba_13,Input!W$33&lt;&gt;""),Input!$B$33&amp;";",""),IF(AND($G10&lt;Hta_14,$G10&gt;=Hba_14,Input!W$34&lt;&gt;""),Input!$B$34&amp;";",""),IF(AND($G10&lt;Hta_15,$G10&gt;=Hba_15,Input!W$35&lt;&gt;""),Input!$B$35&amp;";",""),IF(AND($G10&lt;Hta_16,$G10&gt;=Hba_16,Input!W$36&lt;&gt;""),Input!$B$36&amp;";",""),IF(AND($G10&lt;Hta_17,$G10&gt;=Hba_17,Input!W$37&lt;&gt;""),Input!$B$37&amp;";",""),IF(AND($G10&lt;Hta_18,$G10&gt;=Hba_18,Input!W$38&lt;&gt;""),Input!$B$38&amp;";",""),IF(AND($G10&lt;Hta_19,$G10&gt;=Hba_19,Input!W$39&lt;&gt;""),Input!$B$39&amp;";",""),IF(AND($G10&lt;Hta_20,$G10&gt;=Hba_20,Input!W$40&lt;&gt;""),Input!$B$40&amp;";",""),IF(AND($G10&lt;Hta_21,$G10&gt;=Hba_21,Input!W$41&lt;&gt;""),Input!$B$41&amp;";",""),IF(AND($G10&lt;Hta_22,$G10&gt;=Hba_22,Input!W$42&lt;&gt;""),Input!$B$42&amp;";",""),IF(AND($G10&lt;Hta_23,$G10&gt;=Hba_23,Input!W$43&lt;&gt;""),Input!$B$43&amp;";",""),IF(AND($G10&lt;Hta_24,$G10&gt;=Hba_24,Input!W$44&lt;&gt;""),Input!$B$44&amp;";",""),IF(AND($G10&lt;Hta_25,$G10&gt;=Hba_25,Input!W$45&lt;&gt;""),Input!$B$45&amp;";",""),IF(AND($G10&lt;Hta_26,$G10&gt;=Hba_26,Input!W$46&lt;&gt;""),Input!$B$46&amp;";",""),IF(AND($G10&lt;Hta_27,$G10&gt;=Hba_27,Input!W$47&lt;&gt;""),Input!$B$47&amp;";",""),IF(AND($G10&lt;Hta_28,$G10&gt;=Hba_28,Input!W$48&lt;&gt;""),Input!$B$48&amp;";",""),IF(AND($G10&lt;Hta_29,$G10&gt;=Hba_29,Input!W$49&lt;&gt;""),Input!$B$49&amp;";",""),IF(AND($G10&lt;Hta_30,$G10&gt;=Hba_30,Input!W$50&lt;&gt;""),Input!$B$50&amp;";","")),"")</f>
        <v/>
      </c>
      <c r="BY10" s="25" t="str">
        <f>IFERROR(CONCATENATE(IF(AND($G10&lt;Hta_1,$G10&gt;=Hba_1,Input!X$21&lt;&gt;""),Input!$B$21&amp;";",""),IF(AND($G10&lt;Hta_2,$G10&gt;=Hba_2,Input!X$22&lt;&gt;""),Input!$B$22&amp;";",""),IF(AND($G10&lt;Hta_3,$G10&gt;=Hba_3,Input!X$23&lt;&gt;""),Input!$B$23&amp;";",""),IF(AND($G10&lt;Hta_4,$G10&gt;=Hba_4,Input!X$24&lt;&gt;""),Input!$B$24&amp;";",""),IF(AND($G10&lt;Hta_5,$G10&gt;=Hba_5,Input!X$25&lt;&gt;""),Input!$B$25&amp;";",""),IF(AND($G10&lt;Hta_6,$G10&gt;=Hba_6,Input!X$26&lt;&gt;""),Input!$B$26&amp;";",""),IF(AND($G10&lt;Hta_7,$G10&gt;=Hba_7,Input!X$27&lt;&gt;""),Input!$B$27&amp;";",""),IF(AND($G10&lt;Hta_8,$G10&gt;=Hba_8,Input!X$28&lt;&gt;""),Input!$B$28&amp;";",""),IF(AND($G10&lt;Hta_9,$G10&gt;=Hba_9,Input!X$29&lt;&gt;""),Input!$B$29&amp;";",""),IF(AND($G10&lt;Hta_10,$G10&gt;=Hba_10,Input!X$30&lt;&gt;""),Input!$B$30&amp;";",""),IF(AND($G10&lt;Hta_11,$G10&gt;=Hba_11,Input!X$31&lt;&gt;""),Input!$B$31&amp;";",""),IF(AND($G10&lt;Hta_12,$G10&gt;=Hba_12,Input!X$32&lt;&gt;""),Input!$B$32&amp;";",""),IF(AND($G10&lt;Hta_13,$G10&gt;=Hba_13,Input!X$33&lt;&gt;""),Input!$B$33&amp;";",""),IF(AND($G10&lt;Hta_14,$G10&gt;=Hba_14,Input!X$34&lt;&gt;""),Input!$B$34&amp;";",""),IF(AND($G10&lt;Hta_15,$G10&gt;=Hba_15,Input!X$35&lt;&gt;""),Input!$B$35&amp;";",""),IF(AND($G10&lt;Hta_16,$G10&gt;=Hba_16,Input!X$36&lt;&gt;""),Input!$B$36&amp;";",""),IF(AND($G10&lt;Hta_17,$G10&gt;=Hba_17,Input!X$37&lt;&gt;""),Input!$B$37&amp;";",""),IF(AND($G10&lt;Hta_18,$G10&gt;=Hba_18,Input!X$38&lt;&gt;""),Input!$B$38&amp;";",""),IF(AND($G10&lt;Hta_19,$G10&gt;=Hba_19,Input!X$39&lt;&gt;""),Input!$B$39&amp;";",""),IF(AND($G10&lt;Hta_20,$G10&gt;=Hba_20,Input!X$40&lt;&gt;""),Input!$B$40&amp;";",""),IF(AND($G10&lt;Hta_21,$G10&gt;=Hba_21,Input!X$41&lt;&gt;""),Input!$B$41&amp;";",""),IF(AND($G10&lt;Hta_22,$G10&gt;=Hba_22,Input!X$42&lt;&gt;""),Input!$B$42&amp;";",""),IF(AND($G10&lt;Hta_23,$G10&gt;=Hba_23,Input!X$43&lt;&gt;""),Input!$B$43&amp;";",""),IF(AND($G10&lt;Hta_24,$G10&gt;=Hba_24,Input!X$44&lt;&gt;""),Input!$B$44&amp;";",""),IF(AND($G10&lt;Hta_25,$G10&gt;=Hba_25,Input!X$45&lt;&gt;""),Input!$B$45&amp;";",""),IF(AND($G10&lt;Hta_26,$G10&gt;=Hba_26,Input!X$46&lt;&gt;""),Input!$B$46&amp;";",""),IF(AND($G10&lt;Hta_27,$G10&gt;=Hba_27,Input!X$47&lt;&gt;""),Input!$B$47&amp;";",""),IF(AND($G10&lt;Hta_28,$G10&gt;=Hba_28,Input!X$48&lt;&gt;""),Input!$B$48&amp;";",""),IF(AND($G10&lt;Hta_29,$G10&gt;=Hba_29,Input!X$49&lt;&gt;""),Input!$B$49&amp;";",""),IF(AND($G10&lt;Hta_30,$G10&gt;=Hba_30,Input!X$50&lt;&gt;""),Input!$B$50&amp;";","")),"")</f>
        <v/>
      </c>
      <c r="BZ10" s="25" t="str">
        <f>IFERROR(CONCATENATE(IF(AND($G10&lt;Hta_1,$G10&gt;=Hba_1,Input!Y$21&lt;&gt;""),Input!$B$21&amp;";",""),IF(AND($G10&lt;Hta_2,$G10&gt;=Hba_2,Input!Y$22&lt;&gt;""),Input!$B$22&amp;";",""),IF(AND($G10&lt;Hta_3,$G10&gt;=Hba_3,Input!Y$23&lt;&gt;""),Input!$B$23&amp;";",""),IF(AND($G10&lt;Hta_4,$G10&gt;=Hba_4,Input!Y$24&lt;&gt;""),Input!$B$24&amp;";",""),IF(AND($G10&lt;Hta_5,$G10&gt;=Hba_5,Input!Y$25&lt;&gt;""),Input!$B$25&amp;";",""),IF(AND($G10&lt;Hta_6,$G10&gt;=Hba_6,Input!Y$26&lt;&gt;""),Input!$B$26&amp;";",""),IF(AND($G10&lt;Hta_7,$G10&gt;=Hba_7,Input!Y$27&lt;&gt;""),Input!$B$27&amp;";",""),IF(AND($G10&lt;Hta_8,$G10&gt;=Hba_8,Input!Y$28&lt;&gt;""),Input!$B$28&amp;";",""),IF(AND($G10&lt;Hta_9,$G10&gt;=Hba_9,Input!Y$29&lt;&gt;""),Input!$B$29&amp;";",""),IF(AND($G10&lt;Hta_10,$G10&gt;=Hba_10,Input!Y$30&lt;&gt;""),Input!$B$30&amp;";",""),IF(AND($G10&lt;Hta_11,$G10&gt;=Hba_11,Input!Y$31&lt;&gt;""),Input!$B$31&amp;";",""),IF(AND($G10&lt;Hta_12,$G10&gt;=Hba_12,Input!Y$32&lt;&gt;""),Input!$B$32&amp;";",""),IF(AND($G10&lt;Hta_13,$G10&gt;=Hba_13,Input!Y$33&lt;&gt;""),Input!$B$33&amp;";",""),IF(AND($G10&lt;Hta_14,$G10&gt;=Hba_14,Input!Y$34&lt;&gt;""),Input!$B$34&amp;";",""),IF(AND($G10&lt;Hta_15,$G10&gt;=Hba_15,Input!Y$35&lt;&gt;""),Input!$B$35&amp;";",""),IF(AND($G10&lt;Hta_16,$G10&gt;=Hba_16,Input!Y$36&lt;&gt;""),Input!$B$36&amp;";",""),IF(AND($G10&lt;Hta_17,$G10&gt;=Hba_17,Input!Y$37&lt;&gt;""),Input!$B$37&amp;";",""),IF(AND($G10&lt;Hta_18,$G10&gt;=Hba_18,Input!Y$38&lt;&gt;""),Input!$B$38&amp;";",""),IF(AND($G10&lt;Hta_19,$G10&gt;=Hba_19,Input!Y$39&lt;&gt;""),Input!$B$39&amp;";",""),IF(AND($G10&lt;Hta_20,$G10&gt;=Hba_20,Input!Y$40&lt;&gt;""),Input!$B$40&amp;";",""),IF(AND($G10&lt;Hta_21,$G10&gt;=Hba_21,Input!Y$41&lt;&gt;""),Input!$B$41&amp;";",""),IF(AND($G10&lt;Hta_22,$G10&gt;=Hba_22,Input!Y$42&lt;&gt;""),Input!$B$42&amp;";",""),IF(AND($G10&lt;Hta_23,$G10&gt;=Hba_23,Input!Y$43&lt;&gt;""),Input!$B$43&amp;";",""),IF(AND($G10&lt;Hta_24,$G10&gt;=Hba_24,Input!Y$44&lt;&gt;""),Input!$B$44&amp;";",""),IF(AND($G10&lt;Hta_25,$G10&gt;=Hba_25,Input!Y$45&lt;&gt;""),Input!$B$45&amp;";",""),IF(AND($G10&lt;Hta_26,$G10&gt;=Hba_26,Input!Y$46&lt;&gt;""),Input!$B$46&amp;";",""),IF(AND($G10&lt;Hta_27,$G10&gt;=Hba_27,Input!Y$47&lt;&gt;""),Input!$B$47&amp;";",""),IF(AND($G10&lt;Hta_28,$G10&gt;=Hba_28,Input!Y$48&lt;&gt;""),Input!$B$48&amp;";",""),IF(AND($G10&lt;Hta_29,$G10&gt;=Hba_29,Input!Y$49&lt;&gt;""),Input!$B$49&amp;";",""),IF(AND($G10&lt;Hta_30,$G10&gt;=Hba_30,Input!Y$50&lt;&gt;""),Input!$B$50&amp;";","")),"")</f>
        <v/>
      </c>
      <c r="CA10" s="25" t="str">
        <f>IFERROR(CONCATENATE(IF(AND($G10&lt;Hta_1,$G10&gt;=Hba_1,Input!Z$21&lt;&gt;""),Input!$B$21&amp;";",""),IF(AND($G10&lt;Hta_2,$G10&gt;=Hba_2,Input!Z$22&lt;&gt;""),Input!$B$22&amp;";",""),IF(AND($G10&lt;Hta_3,$G10&gt;=Hba_3,Input!Z$23&lt;&gt;""),Input!$B$23&amp;";",""),IF(AND($G10&lt;Hta_4,$G10&gt;=Hba_4,Input!Z$24&lt;&gt;""),Input!$B$24&amp;";",""),IF(AND($G10&lt;Hta_5,$G10&gt;=Hba_5,Input!Z$25&lt;&gt;""),Input!$B$25&amp;";",""),IF(AND($G10&lt;Hta_6,$G10&gt;=Hba_6,Input!Z$26&lt;&gt;""),Input!$B$26&amp;";",""),IF(AND($G10&lt;Hta_7,$G10&gt;=Hba_7,Input!Z$27&lt;&gt;""),Input!$B$27&amp;";",""),IF(AND($G10&lt;Hta_8,$G10&gt;=Hba_8,Input!Z$28&lt;&gt;""),Input!$B$28&amp;";",""),IF(AND($G10&lt;Hta_9,$G10&gt;=Hba_9,Input!Z$29&lt;&gt;""),Input!$B$29&amp;";",""),IF(AND($G10&lt;Hta_10,$G10&gt;=Hba_10,Input!Z$30&lt;&gt;""),Input!$B$30&amp;";",""),IF(AND($G10&lt;Hta_11,$G10&gt;=Hba_11,Input!Z$31&lt;&gt;""),Input!$B$31&amp;";",""),IF(AND($G10&lt;Hta_12,$G10&gt;=Hba_12,Input!Z$32&lt;&gt;""),Input!$B$32&amp;";",""),IF(AND($G10&lt;Hta_13,$G10&gt;=Hba_13,Input!Z$33&lt;&gt;""),Input!$B$33&amp;";",""),IF(AND($G10&lt;Hta_14,$G10&gt;=Hba_14,Input!Z$34&lt;&gt;""),Input!$B$34&amp;";",""),IF(AND($G10&lt;Hta_15,$G10&gt;=Hba_15,Input!Z$35&lt;&gt;""),Input!$B$35&amp;";",""),IF(AND($G10&lt;Hta_16,$G10&gt;=Hba_16,Input!Z$36&lt;&gt;""),Input!$B$36&amp;";",""),IF(AND($G10&lt;Hta_17,$G10&gt;=Hba_17,Input!Z$37&lt;&gt;""),Input!$B$37&amp;";",""),IF(AND($G10&lt;Hta_18,$G10&gt;=Hba_18,Input!Z$38&lt;&gt;""),Input!$B$38&amp;";",""),IF(AND($G10&lt;Hta_19,$G10&gt;=Hba_19,Input!Z$39&lt;&gt;""),Input!$B$39&amp;";",""),IF(AND($G10&lt;Hta_20,$G10&gt;=Hba_20,Input!Z$40&lt;&gt;""),Input!$B$40&amp;";",""),IF(AND($G10&lt;Hta_21,$G10&gt;=Hba_21,Input!Z$41&lt;&gt;""),Input!$B$41&amp;";",""),IF(AND($G10&lt;Hta_22,$G10&gt;=Hba_22,Input!Z$42&lt;&gt;""),Input!$B$42&amp;";",""),IF(AND($G10&lt;Hta_23,$G10&gt;=Hba_23,Input!Z$43&lt;&gt;""),Input!$B$43&amp;";",""),IF(AND($G10&lt;Hta_24,$G10&gt;=Hba_24,Input!Z$44&lt;&gt;""),Input!$B$44&amp;";",""),IF(AND($G10&lt;Hta_25,$G10&gt;=Hba_25,Input!Z$45&lt;&gt;""),Input!$B$45&amp;";",""),IF(AND($G10&lt;Hta_26,$G10&gt;=Hba_26,Input!Z$46&lt;&gt;""),Input!$B$46&amp;";",""),IF(AND($G10&lt;Hta_27,$G10&gt;=Hba_27,Input!Z$47&lt;&gt;""),Input!$B$47&amp;";",""),IF(AND($G10&lt;Hta_28,$G10&gt;=Hba_28,Input!Z$48&lt;&gt;""),Input!$B$48&amp;";",""),IF(AND($G10&lt;Hta_29,$G10&gt;=Hba_29,Input!Z$49&lt;&gt;""),Input!$B$49&amp;";",""),IF(AND($G10&lt;Hta_30,$G10&gt;=Hba_30,Input!Z$50&lt;&gt;""),Input!$B$50&amp;";","")),"")</f>
        <v/>
      </c>
      <c r="CB10" s="25" t="str">
        <f>IFERROR(CONCATENATE(IF(AND($G10&lt;Hta_1,$G10&gt;=Hba_1,Input!AA$21&lt;&gt;""),Input!$B$21&amp;";",""),IF(AND($G10&lt;Hta_2,$G10&gt;=Hba_2,Input!AA$22&lt;&gt;""),Input!$B$22&amp;";",""),IF(AND($G10&lt;Hta_3,$G10&gt;=Hba_3,Input!AA$23&lt;&gt;""),Input!$B$23&amp;";",""),IF(AND($G10&lt;Hta_4,$G10&gt;=Hba_4,Input!AA$24&lt;&gt;""),Input!$B$24&amp;";",""),IF(AND($G10&lt;Hta_5,$G10&gt;=Hba_5,Input!AA$25&lt;&gt;""),Input!$B$25&amp;";",""),IF(AND($G10&lt;Hta_6,$G10&gt;=Hba_6,Input!AA$26&lt;&gt;""),Input!$B$26&amp;";",""),IF(AND($G10&lt;Hta_7,$G10&gt;=Hba_7,Input!AA$27&lt;&gt;""),Input!$B$27&amp;";",""),IF(AND($G10&lt;Hta_8,$G10&gt;=Hba_8,Input!AA$28&lt;&gt;""),Input!$B$28&amp;";",""),IF(AND($G10&lt;Hta_9,$G10&gt;=Hba_9,Input!AA$29&lt;&gt;""),Input!$B$29&amp;";",""),IF(AND($G10&lt;Hta_10,$G10&gt;=Hba_10,Input!AA$30&lt;&gt;""),Input!$B$30&amp;";",""),IF(AND($G10&lt;Hta_11,$G10&gt;=Hba_11,Input!AA$31&lt;&gt;""),Input!$B$31&amp;";",""),IF(AND($G10&lt;Hta_12,$G10&gt;=Hba_12,Input!AA$32&lt;&gt;""),Input!$B$32&amp;";",""),IF(AND($G10&lt;Hta_13,$G10&gt;=Hba_13,Input!AA$33&lt;&gt;""),Input!$B$33&amp;";",""),IF(AND($G10&lt;Hta_14,$G10&gt;=Hba_14,Input!AA$34&lt;&gt;""),Input!$B$34&amp;";",""),IF(AND($G10&lt;Hta_15,$G10&gt;=Hba_15,Input!AA$35&lt;&gt;""),Input!$B$35&amp;";",""),IF(AND($G10&lt;Hta_16,$G10&gt;=Hba_16,Input!AA$36&lt;&gt;""),Input!$B$36&amp;";",""),IF(AND($G10&lt;Hta_17,$G10&gt;=Hba_17,Input!AA$37&lt;&gt;""),Input!$B$37&amp;";",""),IF(AND($G10&lt;Hta_18,$G10&gt;=Hba_18,Input!AA$38&lt;&gt;""),Input!$B$38&amp;";",""),IF(AND($G10&lt;Hta_19,$G10&gt;=Hba_19,Input!AA$39&lt;&gt;""),Input!$B$39&amp;";",""),IF(AND($G10&lt;Hta_20,$G10&gt;=Hba_20,Input!AA$40&lt;&gt;""),Input!$B$40&amp;";",""),IF(AND($G10&lt;Hta_21,$G10&gt;=Hba_21,Input!AA$41&lt;&gt;""),Input!$B$41&amp;";",""),IF(AND($G10&lt;Hta_22,$G10&gt;=Hba_22,Input!AA$42&lt;&gt;""),Input!$B$42&amp;";",""),IF(AND($G10&lt;Hta_23,$G10&gt;=Hba_23,Input!AA$43&lt;&gt;""),Input!$B$43&amp;";",""),IF(AND($G10&lt;Hta_24,$G10&gt;=Hba_24,Input!AA$44&lt;&gt;""),Input!$B$44&amp;";",""),IF(AND($G10&lt;Hta_25,$G10&gt;=Hba_25,Input!AA$45&lt;&gt;""),Input!$B$45&amp;";",""),IF(AND($G10&lt;Hta_26,$G10&gt;=Hba_26,Input!AA$46&lt;&gt;""),Input!$B$46&amp;";",""),IF(AND($G10&lt;Hta_27,$G10&gt;=Hba_27,Input!AA$47&lt;&gt;""),Input!$B$47&amp;";",""),IF(AND($G10&lt;Hta_28,$G10&gt;=Hba_28,Input!AA$48&lt;&gt;""),Input!$B$48&amp;";",""),IF(AND($G10&lt;Hta_29,$G10&gt;=Hba_29,Input!AA$49&lt;&gt;""),Input!$B$49&amp;";",""),IF(AND($G10&lt;Hta_30,$G10&gt;=Hba_30,Input!AA$50&lt;&gt;""),Input!$B$50&amp;";","")),"")</f>
        <v/>
      </c>
      <c r="CC10" s="25" t="str">
        <f>IFERROR(CONCATENATE(IF(AND($G10&lt;Hta_1,$G10&gt;=Hba_1,Input!AB$21&lt;&gt;""),Input!$B$21&amp;";",""),IF(AND($G10&lt;Hta_2,$G10&gt;=Hba_2,Input!AB$22&lt;&gt;""),Input!$B$22&amp;";",""),IF(AND($G10&lt;Hta_3,$G10&gt;=Hba_3,Input!AB$23&lt;&gt;""),Input!$B$23&amp;";",""),IF(AND($G10&lt;Hta_4,$G10&gt;=Hba_4,Input!AB$24&lt;&gt;""),Input!$B$24&amp;";",""),IF(AND($G10&lt;Hta_5,$G10&gt;=Hba_5,Input!AB$25&lt;&gt;""),Input!$B$25&amp;";",""),IF(AND($G10&lt;Hta_6,$G10&gt;=Hba_6,Input!AB$26&lt;&gt;""),Input!$B$26&amp;";",""),IF(AND($G10&lt;Hta_7,$G10&gt;=Hba_7,Input!AB$27&lt;&gt;""),Input!$B$27&amp;";",""),IF(AND($G10&lt;Hta_8,$G10&gt;=Hba_8,Input!AB$28&lt;&gt;""),Input!$B$28&amp;";",""),IF(AND($G10&lt;Hta_9,$G10&gt;=Hba_9,Input!AB$29&lt;&gt;""),Input!$B$29&amp;";",""),IF(AND($G10&lt;Hta_10,$G10&gt;=Hba_10,Input!AB$30&lt;&gt;""),Input!$B$30&amp;";",""),IF(AND($G10&lt;Hta_11,$G10&gt;=Hba_11,Input!AB$31&lt;&gt;""),Input!$B$31&amp;";",""),IF(AND($G10&lt;Hta_12,$G10&gt;=Hba_12,Input!AB$32&lt;&gt;""),Input!$B$32&amp;";",""),IF(AND($G10&lt;Hta_13,$G10&gt;=Hba_13,Input!AB$33&lt;&gt;""),Input!$B$33&amp;";",""),IF(AND($G10&lt;Hta_14,$G10&gt;=Hba_14,Input!AB$34&lt;&gt;""),Input!$B$34&amp;";",""),IF(AND($G10&lt;Hta_15,$G10&gt;=Hba_15,Input!AB$35&lt;&gt;""),Input!$B$35&amp;";",""),IF(AND($G10&lt;Hta_16,$G10&gt;=Hba_16,Input!AB$36&lt;&gt;""),Input!$B$36&amp;";",""),IF(AND($G10&lt;Hta_17,$G10&gt;=Hba_17,Input!AB$37&lt;&gt;""),Input!$B$37&amp;";",""),IF(AND($G10&lt;Hta_18,$G10&gt;=Hba_18,Input!AB$38&lt;&gt;""),Input!$B$38&amp;";",""),IF(AND($G10&lt;Hta_19,$G10&gt;=Hba_19,Input!AB$39&lt;&gt;""),Input!$B$39&amp;";",""),IF(AND($G10&lt;Hta_20,$G10&gt;=Hba_20,Input!AB$40&lt;&gt;""),Input!$B$40&amp;";",""),IF(AND($G10&lt;Hta_21,$G10&gt;=Hba_21,Input!AB$41&lt;&gt;""),Input!$B$41&amp;";",""),IF(AND($G10&lt;Hta_22,$G10&gt;=Hba_22,Input!AB$42&lt;&gt;""),Input!$B$42&amp;";",""),IF(AND($G10&lt;Hta_23,$G10&gt;=Hba_23,Input!AB$43&lt;&gt;""),Input!$B$43&amp;";",""),IF(AND($G10&lt;Hta_24,$G10&gt;=Hba_24,Input!AB$44&lt;&gt;""),Input!$B$44&amp;";",""),IF(AND($G10&lt;Hta_25,$G10&gt;=Hba_25,Input!AB$45&lt;&gt;""),Input!$B$45&amp;";",""),IF(AND($G10&lt;Hta_26,$G10&gt;=Hba_26,Input!AB$46&lt;&gt;""),Input!$B$46&amp;";",""),IF(AND($G10&lt;Hta_27,$G10&gt;=Hba_27,Input!AB$47&lt;&gt;""),Input!$B$47&amp;";",""),IF(AND($G10&lt;Hta_28,$G10&gt;=Hba_28,Input!AB$48&lt;&gt;""),Input!$B$48&amp;";",""),IF(AND($G10&lt;Hta_29,$G10&gt;=Hba_29,Input!AB$49&lt;&gt;""),Input!$B$49&amp;";",""),IF(AND($G10&lt;Hta_30,$G10&gt;=Hba_30,Input!AB$50&lt;&gt;""),Input!$B$50&amp;";","")),"")</f>
        <v/>
      </c>
      <c r="CD10" s="25" t="str">
        <f>IFERROR(CONCATENATE(IF(AND($G10&lt;Hta_1,$G10&gt;=Hba_1,Input!AC$21&lt;&gt;""),Input!$B$21&amp;";",""),IF(AND($G10&lt;Hta_2,$G10&gt;=Hba_2,Input!AC$22&lt;&gt;""),Input!$B$22&amp;";",""),IF(AND($G10&lt;Hta_3,$G10&gt;=Hba_3,Input!AC$23&lt;&gt;""),Input!$B$23&amp;";",""),IF(AND($G10&lt;Hta_4,$G10&gt;=Hba_4,Input!AC$24&lt;&gt;""),Input!$B$24&amp;";",""),IF(AND($G10&lt;Hta_5,$G10&gt;=Hba_5,Input!AC$25&lt;&gt;""),Input!$B$25&amp;";",""),IF(AND($G10&lt;Hta_6,$G10&gt;=Hba_6,Input!AC$26&lt;&gt;""),Input!$B$26&amp;";",""),IF(AND($G10&lt;Hta_7,$G10&gt;=Hba_7,Input!AC$27&lt;&gt;""),Input!$B$27&amp;";",""),IF(AND($G10&lt;Hta_8,$G10&gt;=Hba_8,Input!AC$28&lt;&gt;""),Input!$B$28&amp;";",""),IF(AND($G10&lt;Hta_9,$G10&gt;=Hba_9,Input!AC$29&lt;&gt;""),Input!$B$29&amp;";",""),IF(AND($G10&lt;Hta_10,$G10&gt;=Hba_10,Input!AC$30&lt;&gt;""),Input!$B$30&amp;";",""),IF(AND($G10&lt;Hta_11,$G10&gt;=Hba_11,Input!AC$31&lt;&gt;""),Input!$B$31&amp;";",""),IF(AND($G10&lt;Hta_12,$G10&gt;=Hba_12,Input!AC$32&lt;&gt;""),Input!$B$32&amp;";",""),IF(AND($G10&lt;Hta_13,$G10&gt;=Hba_13,Input!AC$33&lt;&gt;""),Input!$B$33&amp;";",""),IF(AND($G10&lt;Hta_14,$G10&gt;=Hba_14,Input!AC$34&lt;&gt;""),Input!$B$34&amp;";",""),IF(AND($G10&lt;Hta_15,$G10&gt;=Hba_15,Input!AC$35&lt;&gt;""),Input!$B$35&amp;";",""),IF(AND($G10&lt;Hta_16,$G10&gt;=Hba_16,Input!AC$36&lt;&gt;""),Input!$B$36&amp;";",""),IF(AND($G10&lt;Hta_17,$G10&gt;=Hba_17,Input!AC$37&lt;&gt;""),Input!$B$37&amp;";",""),IF(AND($G10&lt;Hta_18,$G10&gt;=Hba_18,Input!AC$38&lt;&gt;""),Input!$B$38&amp;";",""),IF(AND($G10&lt;Hta_19,$G10&gt;=Hba_19,Input!AC$39&lt;&gt;""),Input!$B$39&amp;";",""),IF(AND($G10&lt;Hta_20,$G10&gt;=Hba_20,Input!AC$40&lt;&gt;""),Input!$B$40&amp;";",""),IF(AND($G10&lt;Hta_21,$G10&gt;=Hba_21,Input!AC$41&lt;&gt;""),Input!$B$41&amp;";",""),IF(AND($G10&lt;Hta_22,$G10&gt;=Hba_22,Input!AC$42&lt;&gt;""),Input!$B$42&amp;";",""),IF(AND($G10&lt;Hta_23,$G10&gt;=Hba_23,Input!AC$43&lt;&gt;""),Input!$B$43&amp;";",""),IF(AND($G10&lt;Hta_24,$G10&gt;=Hba_24,Input!AC$44&lt;&gt;""),Input!$B$44&amp;";",""),IF(AND($G10&lt;Hta_25,$G10&gt;=Hba_25,Input!AC$45&lt;&gt;""),Input!$B$45&amp;";",""),IF(AND($G10&lt;Hta_26,$G10&gt;=Hba_26,Input!AC$46&lt;&gt;""),Input!$B$46&amp;";",""),IF(AND($G10&lt;Hta_27,$G10&gt;=Hba_27,Input!AC$47&lt;&gt;""),Input!$B$47&amp;";",""),IF(AND($G10&lt;Hta_28,$G10&gt;=Hba_28,Input!AC$48&lt;&gt;""),Input!$B$48&amp;";",""),IF(AND($G10&lt;Hta_29,$G10&gt;=Hba_29,Input!AC$49&lt;&gt;""),Input!$B$49&amp;";",""),IF(AND($G10&lt;Hta_30,$G10&gt;=Hba_30,Input!AC$50&lt;&gt;""),Input!$B$50&amp;";","")),"")</f>
        <v/>
      </c>
      <c r="CE10" s="25" t="str">
        <f>IFERROR(CONCATENATE(IF(AND($G10&lt;Hta_1,$G10&gt;=Hba_1,Input!AD$21&lt;&gt;""),Input!$B$21&amp;";",""),IF(AND($G10&lt;Hta_2,$G10&gt;=Hba_2,Input!AD$22&lt;&gt;""),Input!$B$22&amp;";",""),IF(AND($G10&lt;Hta_3,$G10&gt;=Hba_3,Input!AD$23&lt;&gt;""),Input!$B$23&amp;";",""),IF(AND($G10&lt;Hta_4,$G10&gt;=Hba_4,Input!AD$24&lt;&gt;""),Input!$B$24&amp;";",""),IF(AND($G10&lt;Hta_5,$G10&gt;=Hba_5,Input!AD$25&lt;&gt;""),Input!$B$25&amp;";",""),IF(AND($G10&lt;Hta_6,$G10&gt;=Hba_6,Input!AD$26&lt;&gt;""),Input!$B$26&amp;";",""),IF(AND($G10&lt;Hta_7,$G10&gt;=Hba_7,Input!AD$27&lt;&gt;""),Input!$B$27&amp;";",""),IF(AND($G10&lt;Hta_8,$G10&gt;=Hba_8,Input!AD$28&lt;&gt;""),Input!$B$28&amp;";",""),IF(AND($G10&lt;Hta_9,$G10&gt;=Hba_9,Input!AD$29&lt;&gt;""),Input!$B$29&amp;";",""),IF(AND($G10&lt;Hta_10,$G10&gt;=Hba_10,Input!AD$30&lt;&gt;""),Input!$B$30&amp;";",""),IF(AND($G10&lt;Hta_11,$G10&gt;=Hba_11,Input!AD$31&lt;&gt;""),Input!$B$31&amp;";",""),IF(AND($G10&lt;Hta_12,$G10&gt;=Hba_12,Input!AD$32&lt;&gt;""),Input!$B$32&amp;";",""),IF(AND($G10&lt;Hta_13,$G10&gt;=Hba_13,Input!AD$33&lt;&gt;""),Input!$B$33&amp;";",""),IF(AND($G10&lt;Hta_14,$G10&gt;=Hba_14,Input!AD$34&lt;&gt;""),Input!$B$34&amp;";",""),IF(AND($G10&lt;Hta_15,$G10&gt;=Hba_15,Input!AD$35&lt;&gt;""),Input!$B$35&amp;";",""),IF(AND($G10&lt;Hta_16,$G10&gt;=Hba_16,Input!AD$36&lt;&gt;""),Input!$B$36&amp;";",""),IF(AND($G10&lt;Hta_17,$G10&gt;=Hba_17,Input!AD$37&lt;&gt;""),Input!$B$37&amp;";",""),IF(AND($G10&lt;Hta_18,$G10&gt;=Hba_18,Input!AD$38&lt;&gt;""),Input!$B$38&amp;";",""),IF(AND($G10&lt;Hta_19,$G10&gt;=Hba_19,Input!AD$39&lt;&gt;""),Input!$B$39&amp;";",""),IF(AND($G10&lt;Hta_20,$G10&gt;=Hba_20,Input!AD$40&lt;&gt;""),Input!$B$40&amp;";",""),IF(AND($G10&lt;Hta_21,$G10&gt;=Hba_21,Input!AD$41&lt;&gt;""),Input!$B$41&amp;";",""),IF(AND($G10&lt;Hta_22,$G10&gt;=Hba_22,Input!AD$42&lt;&gt;""),Input!$B$42&amp;";",""),IF(AND($G10&lt;Hta_23,$G10&gt;=Hba_23,Input!AD$43&lt;&gt;""),Input!$B$43&amp;";",""),IF(AND($G10&lt;Hta_24,$G10&gt;=Hba_24,Input!AD$44&lt;&gt;""),Input!$B$44&amp;";",""),IF(AND($G10&lt;Hta_25,$G10&gt;=Hba_25,Input!AD$45&lt;&gt;""),Input!$B$45&amp;";",""),IF(AND($G10&lt;Hta_26,$G10&gt;=Hba_26,Input!AD$46&lt;&gt;""),Input!$B$46&amp;";",""),IF(AND($G10&lt;Hta_27,$G10&gt;=Hba_27,Input!AD$47&lt;&gt;""),Input!$B$47&amp;";",""),IF(AND($G10&lt;Hta_28,$G10&gt;=Hba_28,Input!AD$48&lt;&gt;""),Input!$B$48&amp;";",""),IF(AND($G10&lt;Hta_29,$G10&gt;=Hba_29,Input!AD$49&lt;&gt;""),Input!$B$49&amp;";",""),IF(AND($G10&lt;Hta_30,$G10&gt;=Hba_30,Input!AD$50&lt;&gt;""),Input!$B$50&amp;";","")),"")</f>
        <v/>
      </c>
      <c r="CF10" s="25" t="str">
        <f>IFERROR(CONCATENATE(IF(AND($G10&lt;Hta_1,$G10&gt;=Hba_1,Input!AE$21&lt;&gt;""),Input!$B$21&amp;";",""),IF(AND($G10&lt;Hta_2,$G10&gt;=Hba_2,Input!AE$22&lt;&gt;""),Input!$B$22&amp;";",""),IF(AND($G10&lt;Hta_3,$G10&gt;=Hba_3,Input!AE$23&lt;&gt;""),Input!$B$23&amp;";",""),IF(AND($G10&lt;Hta_4,$G10&gt;=Hba_4,Input!AE$24&lt;&gt;""),Input!$B$24&amp;";",""),IF(AND($G10&lt;Hta_5,$G10&gt;=Hba_5,Input!AE$25&lt;&gt;""),Input!$B$25&amp;";",""),IF(AND($G10&lt;Hta_6,$G10&gt;=Hba_6,Input!AE$26&lt;&gt;""),Input!$B$26&amp;";",""),IF(AND($G10&lt;Hta_7,$G10&gt;=Hba_7,Input!AE$27&lt;&gt;""),Input!$B$27&amp;";",""),IF(AND($G10&lt;Hta_8,$G10&gt;=Hba_8,Input!AE$28&lt;&gt;""),Input!$B$28&amp;";",""),IF(AND($G10&lt;Hta_9,$G10&gt;=Hba_9,Input!AE$29&lt;&gt;""),Input!$B$29&amp;";",""),IF(AND($G10&lt;Hta_10,$G10&gt;=Hba_10,Input!AE$30&lt;&gt;""),Input!$B$30&amp;";",""),IF(AND($G10&lt;Hta_11,$G10&gt;=Hba_11,Input!AE$31&lt;&gt;""),Input!$B$31&amp;";",""),IF(AND($G10&lt;Hta_12,$G10&gt;=Hba_12,Input!AE$32&lt;&gt;""),Input!$B$32&amp;";",""),IF(AND($G10&lt;Hta_13,$G10&gt;=Hba_13,Input!AE$33&lt;&gt;""),Input!$B$33&amp;";",""),IF(AND($G10&lt;Hta_14,$G10&gt;=Hba_14,Input!AE$34&lt;&gt;""),Input!$B$34&amp;";",""),IF(AND($G10&lt;Hta_15,$G10&gt;=Hba_15,Input!AE$35&lt;&gt;""),Input!$B$35&amp;";",""),IF(AND($G10&lt;Hta_16,$G10&gt;=Hba_16,Input!AE$36&lt;&gt;""),Input!$B$36&amp;";",""),IF(AND($G10&lt;Hta_17,$G10&gt;=Hba_17,Input!AE$37&lt;&gt;""),Input!$B$37&amp;";",""),IF(AND($G10&lt;Hta_18,$G10&gt;=Hba_18,Input!AE$38&lt;&gt;""),Input!$B$38&amp;";",""),IF(AND($G10&lt;Hta_19,$G10&gt;=Hba_19,Input!AE$39&lt;&gt;""),Input!$B$39&amp;";",""),IF(AND($G10&lt;Hta_20,$G10&gt;=Hba_20,Input!AE$40&lt;&gt;""),Input!$B$40&amp;";",""),IF(AND($G10&lt;Hta_21,$G10&gt;=Hba_21,Input!AE$41&lt;&gt;""),Input!$B$41&amp;";",""),IF(AND($G10&lt;Hta_22,$G10&gt;=Hba_22,Input!AE$42&lt;&gt;""),Input!$B$42&amp;";",""),IF(AND($G10&lt;Hta_23,$G10&gt;=Hba_23,Input!AE$43&lt;&gt;""),Input!$B$43&amp;";",""),IF(AND($G10&lt;Hta_24,$G10&gt;=Hba_24,Input!AE$44&lt;&gt;""),Input!$B$44&amp;";",""),IF(AND($G10&lt;Hta_25,$G10&gt;=Hba_25,Input!AE$45&lt;&gt;""),Input!$B$45&amp;";",""),IF(AND($G10&lt;Hta_26,$G10&gt;=Hba_26,Input!AE$46&lt;&gt;""),Input!$B$46&amp;";",""),IF(AND($G10&lt;Hta_27,$G10&gt;=Hba_27,Input!AE$47&lt;&gt;""),Input!$B$47&amp;";",""),IF(AND($G10&lt;Hta_28,$G10&gt;=Hba_28,Input!AE$48&lt;&gt;""),Input!$B$48&amp;";",""),IF(AND($G10&lt;Hta_29,$G10&gt;=Hba_29,Input!AE$49&lt;&gt;""),Input!$B$49&amp;";",""),IF(AND($G10&lt;Hta_30,$G10&gt;=Hba_30,Input!AE$50&lt;&gt;""),Input!$B$50&amp;";","")),"")</f>
        <v/>
      </c>
      <c r="CG10" s="25" t="str">
        <f>IFERROR(CONCATENATE(IF(AND($G10&lt;Hta_1,$G10&gt;=Hba_1,Input!AF$21&lt;&gt;""),Input!$B$21&amp;";",""),IF(AND($G10&lt;Hta_2,$G10&gt;=Hba_2,Input!AF$22&lt;&gt;""),Input!$B$22&amp;";",""),IF(AND($G10&lt;Hta_3,$G10&gt;=Hba_3,Input!AF$23&lt;&gt;""),Input!$B$23&amp;";",""),IF(AND($G10&lt;Hta_4,$G10&gt;=Hba_4,Input!AF$24&lt;&gt;""),Input!$B$24&amp;";",""),IF(AND($G10&lt;Hta_5,$G10&gt;=Hba_5,Input!AF$25&lt;&gt;""),Input!$B$25&amp;";",""),IF(AND($G10&lt;Hta_6,$G10&gt;=Hba_6,Input!AF$26&lt;&gt;""),Input!$B$26&amp;";",""),IF(AND($G10&lt;Hta_7,$G10&gt;=Hba_7,Input!AF$27&lt;&gt;""),Input!$B$27&amp;";",""),IF(AND($G10&lt;Hta_8,$G10&gt;=Hba_8,Input!AF$28&lt;&gt;""),Input!$B$28&amp;";",""),IF(AND($G10&lt;Hta_9,$G10&gt;=Hba_9,Input!AF$29&lt;&gt;""),Input!$B$29&amp;";",""),IF(AND($G10&lt;Hta_10,$G10&gt;=Hba_10,Input!AF$30&lt;&gt;""),Input!$B$30&amp;";",""),IF(AND($G10&lt;Hta_11,$G10&gt;=Hba_11,Input!AF$31&lt;&gt;""),Input!$B$31&amp;";",""),IF(AND($G10&lt;Hta_12,$G10&gt;=Hba_12,Input!AF$32&lt;&gt;""),Input!$B$32&amp;";",""),IF(AND($G10&lt;Hta_13,$G10&gt;=Hba_13,Input!AF$33&lt;&gt;""),Input!$B$33&amp;";",""),IF(AND($G10&lt;Hta_14,$G10&gt;=Hba_14,Input!AF$34&lt;&gt;""),Input!$B$34&amp;";",""),IF(AND($G10&lt;Hta_15,$G10&gt;=Hba_15,Input!AF$35&lt;&gt;""),Input!$B$35&amp;";",""),IF(AND($G10&lt;Hta_16,$G10&gt;=Hba_16,Input!AF$36&lt;&gt;""),Input!$B$36&amp;";",""),IF(AND($G10&lt;Hta_17,$G10&gt;=Hba_17,Input!AF$37&lt;&gt;""),Input!$B$37&amp;";",""),IF(AND($G10&lt;Hta_18,$G10&gt;=Hba_18,Input!AF$38&lt;&gt;""),Input!$B$38&amp;";",""),IF(AND($G10&lt;Hta_19,$G10&gt;=Hba_19,Input!AF$39&lt;&gt;""),Input!$B$39&amp;";",""),IF(AND($G10&lt;Hta_20,$G10&gt;=Hba_20,Input!AF$40&lt;&gt;""),Input!$B$40&amp;";",""),IF(AND($G10&lt;Hta_21,$G10&gt;=Hba_21,Input!AF$41&lt;&gt;""),Input!$B$41&amp;";",""),IF(AND($G10&lt;Hta_22,$G10&gt;=Hba_22,Input!AF$42&lt;&gt;""),Input!$B$42&amp;";",""),IF(AND($G10&lt;Hta_23,$G10&gt;=Hba_23,Input!AF$43&lt;&gt;""),Input!$B$43&amp;";",""),IF(AND($G10&lt;Hta_24,$G10&gt;=Hba_24,Input!AF$44&lt;&gt;""),Input!$B$44&amp;";",""),IF(AND($G10&lt;Hta_25,$G10&gt;=Hba_25,Input!AF$45&lt;&gt;""),Input!$B$45&amp;";",""),IF(AND($G10&lt;Hta_26,$G10&gt;=Hba_26,Input!AF$46&lt;&gt;""),Input!$B$46&amp;";",""),IF(AND($G10&lt;Hta_27,$G10&gt;=Hba_27,Input!AF$47&lt;&gt;""),Input!$B$47&amp;";",""),IF(AND($G10&lt;Hta_28,$G10&gt;=Hba_28,Input!AF$48&lt;&gt;""),Input!$B$48&amp;";",""),IF(AND($G10&lt;Hta_29,$G10&gt;=Hba_29,Input!AF$49&lt;&gt;""),Input!$B$49&amp;";",""),IF(AND($G10&lt;Hta_30,$G10&gt;=Hba_30,Input!AF$50&lt;&gt;""),Input!$B$50&amp;";","")),"")</f>
        <v/>
      </c>
      <c r="CH10" s="25" t="str">
        <f>IFERROR(CONCATENATE(IF(AND($G10&lt;Hta_1,$G10&gt;=Hba_1,Input!AG$21&lt;&gt;""),Input!$B$21&amp;";",""),IF(AND($G10&lt;Hta_2,$G10&gt;=Hba_2,Input!AG$22&lt;&gt;""),Input!$B$22&amp;";",""),IF(AND($G10&lt;Hta_3,$G10&gt;=Hba_3,Input!AG$23&lt;&gt;""),Input!$B$23&amp;";",""),IF(AND($G10&lt;Hta_4,$G10&gt;=Hba_4,Input!AG$24&lt;&gt;""),Input!$B$24&amp;";",""),IF(AND($G10&lt;Hta_5,$G10&gt;=Hba_5,Input!AG$25&lt;&gt;""),Input!$B$25&amp;";",""),IF(AND($G10&lt;Hta_6,$G10&gt;=Hba_6,Input!AG$26&lt;&gt;""),Input!$B$26&amp;";",""),IF(AND($G10&lt;Hta_7,$G10&gt;=Hba_7,Input!AG$27&lt;&gt;""),Input!$B$27&amp;";",""),IF(AND($G10&lt;Hta_8,$G10&gt;=Hba_8,Input!AG$28&lt;&gt;""),Input!$B$28&amp;";",""),IF(AND($G10&lt;Hta_9,$G10&gt;=Hba_9,Input!AG$29&lt;&gt;""),Input!$B$29&amp;";",""),IF(AND($G10&lt;Hta_10,$G10&gt;=Hba_10,Input!AG$30&lt;&gt;""),Input!$B$30&amp;";",""),IF(AND($G10&lt;Hta_11,$G10&gt;=Hba_11,Input!AG$31&lt;&gt;""),Input!$B$31&amp;";",""),IF(AND($G10&lt;Hta_12,$G10&gt;=Hba_12,Input!AG$32&lt;&gt;""),Input!$B$32&amp;";",""),IF(AND($G10&lt;Hta_13,$G10&gt;=Hba_13,Input!AG$33&lt;&gt;""),Input!$B$33&amp;";",""),IF(AND($G10&lt;Hta_14,$G10&gt;=Hba_14,Input!AG$34&lt;&gt;""),Input!$B$34&amp;";",""),IF(AND($G10&lt;Hta_15,$G10&gt;=Hba_15,Input!AG$35&lt;&gt;""),Input!$B$35&amp;";",""),IF(AND($G10&lt;Hta_16,$G10&gt;=Hba_16,Input!AG$36&lt;&gt;""),Input!$B$36&amp;";",""),IF(AND($G10&lt;Hta_17,$G10&gt;=Hba_17,Input!AG$37&lt;&gt;""),Input!$B$37&amp;";",""),IF(AND($G10&lt;Hta_18,$G10&gt;=Hba_18,Input!AG$38&lt;&gt;""),Input!$B$38&amp;";",""),IF(AND($G10&lt;Hta_19,$G10&gt;=Hba_19,Input!AG$39&lt;&gt;""),Input!$B$39&amp;";",""),IF(AND($G10&lt;Hta_20,$G10&gt;=Hba_20,Input!AG$40&lt;&gt;""),Input!$B$40&amp;";",""),IF(AND($G10&lt;Hta_21,$G10&gt;=Hba_21,Input!AG$41&lt;&gt;""),Input!$B$41&amp;";",""),IF(AND($G10&lt;Hta_22,$G10&gt;=Hba_22,Input!AG$42&lt;&gt;""),Input!$B$42&amp;";",""),IF(AND($G10&lt;Hta_23,$G10&gt;=Hba_23,Input!AG$43&lt;&gt;""),Input!$B$43&amp;";",""),IF(AND($G10&lt;Hta_24,$G10&gt;=Hba_24,Input!AG$44&lt;&gt;""),Input!$B$44&amp;";",""),IF(AND($G10&lt;Hta_25,$G10&gt;=Hba_25,Input!AG$45&lt;&gt;""),Input!$B$45&amp;";",""),IF(AND($G10&lt;Hta_26,$G10&gt;=Hba_26,Input!AG$46&lt;&gt;""),Input!$B$46&amp;";",""),IF(AND($G10&lt;Hta_27,$G10&gt;=Hba_27,Input!AG$47&lt;&gt;""),Input!$B$47&amp;";",""),IF(AND($G10&lt;Hta_28,$G10&gt;=Hba_28,Input!AG$48&lt;&gt;""),Input!$B$48&amp;";",""),IF(AND($G10&lt;Hta_29,$G10&gt;=Hba_29,Input!AG$49&lt;&gt;""),Input!$B$49&amp;";",""),IF(AND($G10&lt;Hta_30,$G10&gt;=Hba_30,Input!AG$50&lt;&gt;""),Input!$B$50&amp;";","")),"")</f>
        <v/>
      </c>
      <c r="CI10" s="25" t="str">
        <f>IFERROR(CONCATENATE(IF(AND($G10&lt;Hta_1,$G10&gt;=Hba_1,Input!AH$21&lt;&gt;""),Input!$B$21&amp;";",""),IF(AND($G10&lt;Hta_2,$G10&gt;=Hba_2,Input!AH$22&lt;&gt;""),Input!$B$22&amp;";",""),IF(AND($G10&lt;Hta_3,$G10&gt;=Hba_3,Input!AH$23&lt;&gt;""),Input!$B$23&amp;";",""),IF(AND($G10&lt;Hta_4,$G10&gt;=Hba_4,Input!AH$24&lt;&gt;""),Input!$B$24&amp;";",""),IF(AND($G10&lt;Hta_5,$G10&gt;=Hba_5,Input!AH$25&lt;&gt;""),Input!$B$25&amp;";",""),IF(AND($G10&lt;Hta_6,$G10&gt;=Hba_6,Input!AH$26&lt;&gt;""),Input!$B$26&amp;";",""),IF(AND($G10&lt;Hta_7,$G10&gt;=Hba_7,Input!AH$27&lt;&gt;""),Input!$B$27&amp;";",""),IF(AND($G10&lt;Hta_8,$G10&gt;=Hba_8,Input!AH$28&lt;&gt;""),Input!$B$28&amp;";",""),IF(AND($G10&lt;Hta_9,$G10&gt;=Hba_9,Input!AH$29&lt;&gt;""),Input!$B$29&amp;";",""),IF(AND($G10&lt;Hta_10,$G10&gt;=Hba_10,Input!AH$30&lt;&gt;""),Input!$B$30&amp;";",""),IF(AND($G10&lt;Hta_11,$G10&gt;=Hba_11,Input!AH$31&lt;&gt;""),Input!$B$31&amp;";",""),IF(AND($G10&lt;Hta_12,$G10&gt;=Hba_12,Input!AH$32&lt;&gt;""),Input!$B$32&amp;";",""),IF(AND($G10&lt;Hta_13,$G10&gt;=Hba_13,Input!AH$33&lt;&gt;""),Input!$B$33&amp;";",""),IF(AND($G10&lt;Hta_14,$G10&gt;=Hba_14,Input!AH$34&lt;&gt;""),Input!$B$34&amp;";",""),IF(AND($G10&lt;Hta_15,$G10&gt;=Hba_15,Input!AH$35&lt;&gt;""),Input!$B$35&amp;";",""),IF(AND($G10&lt;Hta_16,$G10&gt;=Hba_16,Input!AH$36&lt;&gt;""),Input!$B$36&amp;";",""),IF(AND($G10&lt;Hta_17,$G10&gt;=Hba_17,Input!AH$37&lt;&gt;""),Input!$B$37&amp;";",""),IF(AND($G10&lt;Hta_18,$G10&gt;=Hba_18,Input!AH$38&lt;&gt;""),Input!$B$38&amp;";",""),IF(AND($G10&lt;Hta_19,$G10&gt;=Hba_19,Input!AH$39&lt;&gt;""),Input!$B$39&amp;";",""),IF(AND($G10&lt;Hta_20,$G10&gt;=Hba_20,Input!AH$40&lt;&gt;""),Input!$B$40&amp;";",""),IF(AND($G10&lt;Hta_21,$G10&gt;=Hba_21,Input!AH$41&lt;&gt;""),Input!$B$41&amp;";",""),IF(AND($G10&lt;Hta_22,$G10&gt;=Hba_22,Input!AH$42&lt;&gt;""),Input!$B$42&amp;";",""),IF(AND($G10&lt;Hta_23,$G10&gt;=Hba_23,Input!AH$43&lt;&gt;""),Input!$B$43&amp;";",""),IF(AND($G10&lt;Hta_24,$G10&gt;=Hba_24,Input!AH$44&lt;&gt;""),Input!$B$44&amp;";",""),IF(AND($G10&lt;Hta_25,$G10&gt;=Hba_25,Input!AH$45&lt;&gt;""),Input!$B$45&amp;";",""),IF(AND($G10&lt;Hta_26,$G10&gt;=Hba_26,Input!AH$46&lt;&gt;""),Input!$B$46&amp;";",""),IF(AND($G10&lt;Hta_27,$G10&gt;=Hba_27,Input!AH$47&lt;&gt;""),Input!$B$47&amp;";",""),IF(AND($G10&lt;Hta_28,$G10&gt;=Hba_28,Input!AH$48&lt;&gt;""),Input!$B$48&amp;";",""),IF(AND($G10&lt;Hta_29,$G10&gt;=Hba_29,Input!AH$49&lt;&gt;""),Input!$B$49&amp;";",""),IF(AND($G10&lt;Hta_30,$G10&gt;=Hba_30,Input!AH$50&lt;&gt;""),Input!$B$50&amp;";","")),"")</f>
        <v/>
      </c>
      <c r="CJ10" s="25" t="str">
        <f>IFERROR(CONCATENATE(IF(AND($G10&lt;Hta_1,$G10&gt;=Hba_1,Input!AI$21&lt;&gt;""),Input!$B$21&amp;";",""),IF(AND($G10&lt;Hta_2,$G10&gt;=Hba_2,Input!AI$22&lt;&gt;""),Input!$B$22&amp;";",""),IF(AND($G10&lt;Hta_3,$G10&gt;=Hba_3,Input!AI$23&lt;&gt;""),Input!$B$23&amp;";",""),IF(AND($G10&lt;Hta_4,$G10&gt;=Hba_4,Input!AI$24&lt;&gt;""),Input!$B$24&amp;";",""),IF(AND($G10&lt;Hta_5,$G10&gt;=Hba_5,Input!AI$25&lt;&gt;""),Input!$B$25&amp;";",""),IF(AND($G10&lt;Hta_6,$G10&gt;=Hba_6,Input!AI$26&lt;&gt;""),Input!$B$26&amp;";",""),IF(AND($G10&lt;Hta_7,$G10&gt;=Hba_7,Input!AI$27&lt;&gt;""),Input!$B$27&amp;";",""),IF(AND($G10&lt;Hta_8,$G10&gt;=Hba_8,Input!AI$28&lt;&gt;""),Input!$B$28&amp;";",""),IF(AND($G10&lt;Hta_9,$G10&gt;=Hba_9,Input!AI$29&lt;&gt;""),Input!$B$29&amp;";",""),IF(AND($G10&lt;Hta_10,$G10&gt;=Hba_10,Input!AI$30&lt;&gt;""),Input!$B$30&amp;";",""),IF(AND($G10&lt;Hta_11,$G10&gt;=Hba_11,Input!AI$31&lt;&gt;""),Input!$B$31&amp;";",""),IF(AND($G10&lt;Hta_12,$G10&gt;=Hba_12,Input!AI$32&lt;&gt;""),Input!$B$32&amp;";",""),IF(AND($G10&lt;Hta_13,$G10&gt;=Hba_13,Input!AI$33&lt;&gt;""),Input!$B$33&amp;";",""),IF(AND($G10&lt;Hta_14,$G10&gt;=Hba_14,Input!AI$34&lt;&gt;""),Input!$B$34&amp;";",""),IF(AND($G10&lt;Hta_15,$G10&gt;=Hba_15,Input!AI$35&lt;&gt;""),Input!$B$35&amp;";",""),IF(AND($G10&lt;Hta_16,$G10&gt;=Hba_16,Input!AI$36&lt;&gt;""),Input!$B$36&amp;";",""),IF(AND($G10&lt;Hta_17,$G10&gt;=Hba_17,Input!AI$37&lt;&gt;""),Input!$B$37&amp;";",""),IF(AND($G10&lt;Hta_18,$G10&gt;=Hba_18,Input!AI$38&lt;&gt;""),Input!$B$38&amp;";",""),IF(AND($G10&lt;Hta_19,$G10&gt;=Hba_19,Input!AI$39&lt;&gt;""),Input!$B$39&amp;";",""),IF(AND($G10&lt;Hta_20,$G10&gt;=Hba_20,Input!AI$40&lt;&gt;""),Input!$B$40&amp;";",""),IF(AND($G10&lt;Hta_21,$G10&gt;=Hba_21,Input!AI$41&lt;&gt;""),Input!$B$41&amp;";",""),IF(AND($G10&lt;Hta_22,$G10&gt;=Hba_22,Input!AI$42&lt;&gt;""),Input!$B$42&amp;";",""),IF(AND($G10&lt;Hta_23,$G10&gt;=Hba_23,Input!AI$43&lt;&gt;""),Input!$B$43&amp;";",""),IF(AND($G10&lt;Hta_24,$G10&gt;=Hba_24,Input!AI$44&lt;&gt;""),Input!$B$44&amp;";",""),IF(AND($G10&lt;Hta_25,$G10&gt;=Hba_25,Input!AI$45&lt;&gt;""),Input!$B$45&amp;";",""),IF(AND($G10&lt;Hta_26,$G10&gt;=Hba_26,Input!AI$46&lt;&gt;""),Input!$B$46&amp;";",""),IF(AND($G10&lt;Hta_27,$G10&gt;=Hba_27,Input!AI$47&lt;&gt;""),Input!$B$47&amp;";",""),IF(AND($G10&lt;Hta_28,$G10&gt;=Hba_28,Input!AI$48&lt;&gt;""),Input!$B$48&amp;";",""),IF(AND($G10&lt;Hta_29,$G10&gt;=Hba_29,Input!AI$49&lt;&gt;""),Input!$B$49&amp;";",""),IF(AND($G10&lt;Hta_30,$G10&gt;=Hba_30,Input!AI$50&lt;&gt;""),Input!$B$50&amp;";","")),"")</f>
        <v/>
      </c>
      <c r="CK10" s="25" t="str">
        <f>IFERROR(CONCATENATE(IF(AND($G10&lt;Hta_1,$G10&gt;=Hba_1,Input!AJ$21&lt;&gt;""),Input!$B$21&amp;";",""),IF(AND($G10&lt;Hta_2,$G10&gt;=Hba_2,Input!AJ$22&lt;&gt;""),Input!$B$22&amp;";",""),IF(AND($G10&lt;Hta_3,$G10&gt;=Hba_3,Input!AJ$23&lt;&gt;""),Input!$B$23&amp;";",""),IF(AND($G10&lt;Hta_4,$G10&gt;=Hba_4,Input!AJ$24&lt;&gt;""),Input!$B$24&amp;";",""),IF(AND($G10&lt;Hta_5,$G10&gt;=Hba_5,Input!AJ$25&lt;&gt;""),Input!$B$25&amp;";",""),IF(AND($G10&lt;Hta_6,$G10&gt;=Hba_6,Input!AJ$26&lt;&gt;""),Input!$B$26&amp;";",""),IF(AND($G10&lt;Hta_7,$G10&gt;=Hba_7,Input!AJ$27&lt;&gt;""),Input!$B$27&amp;";",""),IF(AND($G10&lt;Hta_8,$G10&gt;=Hba_8,Input!AJ$28&lt;&gt;""),Input!$B$28&amp;";",""),IF(AND($G10&lt;Hta_9,$G10&gt;=Hba_9,Input!AJ$29&lt;&gt;""),Input!$B$29&amp;";",""),IF(AND($G10&lt;Hta_10,$G10&gt;=Hba_10,Input!AJ$30&lt;&gt;""),Input!$B$30&amp;";",""),IF(AND($G10&lt;Hta_11,$G10&gt;=Hba_11,Input!AJ$31&lt;&gt;""),Input!$B$31&amp;";",""),IF(AND($G10&lt;Hta_12,$G10&gt;=Hba_12,Input!AJ$32&lt;&gt;""),Input!$B$32&amp;";",""),IF(AND($G10&lt;Hta_13,$G10&gt;=Hba_13,Input!AJ$33&lt;&gt;""),Input!$B$33&amp;";",""),IF(AND($G10&lt;Hta_14,$G10&gt;=Hba_14,Input!AJ$34&lt;&gt;""),Input!$B$34&amp;";",""),IF(AND($G10&lt;Hta_15,$G10&gt;=Hba_15,Input!AJ$35&lt;&gt;""),Input!$B$35&amp;";",""),IF(AND($G10&lt;Hta_16,$G10&gt;=Hba_16,Input!AJ$36&lt;&gt;""),Input!$B$36&amp;";",""),IF(AND($G10&lt;Hta_17,$G10&gt;=Hba_17,Input!AJ$37&lt;&gt;""),Input!$B$37&amp;";",""),IF(AND($G10&lt;Hta_18,$G10&gt;=Hba_18,Input!AJ$38&lt;&gt;""),Input!$B$38&amp;";",""),IF(AND($G10&lt;Hta_19,$G10&gt;=Hba_19,Input!AJ$39&lt;&gt;""),Input!$B$39&amp;";",""),IF(AND($G10&lt;Hta_20,$G10&gt;=Hba_20,Input!AJ$40&lt;&gt;""),Input!$B$40&amp;";",""),IF(AND($G10&lt;Hta_21,$G10&gt;=Hba_21,Input!AJ$41&lt;&gt;""),Input!$B$41&amp;";",""),IF(AND($G10&lt;Hta_22,$G10&gt;=Hba_22,Input!AJ$42&lt;&gt;""),Input!$B$42&amp;";",""),IF(AND($G10&lt;Hta_23,$G10&gt;=Hba_23,Input!AJ$43&lt;&gt;""),Input!$B$43&amp;";",""),IF(AND($G10&lt;Hta_24,$G10&gt;=Hba_24,Input!AJ$44&lt;&gt;""),Input!$B$44&amp;";",""),IF(AND($G10&lt;Hta_25,$G10&gt;=Hba_25,Input!AJ$45&lt;&gt;""),Input!$B$45&amp;";",""),IF(AND($G10&lt;Hta_26,$G10&gt;=Hba_26,Input!AJ$46&lt;&gt;""),Input!$B$46&amp;";",""),IF(AND($G10&lt;Hta_27,$G10&gt;=Hba_27,Input!AJ$47&lt;&gt;""),Input!$B$47&amp;";",""),IF(AND($G10&lt;Hta_28,$G10&gt;=Hba_28,Input!AJ$48&lt;&gt;""),Input!$B$48&amp;";",""),IF(AND($G10&lt;Hta_29,$G10&gt;=Hba_29,Input!AJ$49&lt;&gt;""),Input!$B$49&amp;";",""),IF(AND($G10&lt;Hta_30,$G10&gt;=Hba_30,Input!AJ$50&lt;&gt;""),Input!$B$50&amp;";","")),"")</f>
        <v/>
      </c>
      <c r="CL10" s="25" t="str">
        <f>IFERROR(CONCATENATE(IF(AND($G10&lt;Hta_1,$G10&gt;=Hba_1,Input!AK$21&lt;&gt;""),Input!$B$21&amp;";",""),IF(AND($G10&lt;Hta_2,$G10&gt;=Hba_2,Input!AK$22&lt;&gt;""),Input!$B$22&amp;";",""),IF(AND($G10&lt;Hta_3,$G10&gt;=Hba_3,Input!AK$23&lt;&gt;""),Input!$B$23&amp;";",""),IF(AND($G10&lt;Hta_4,$G10&gt;=Hba_4,Input!AK$24&lt;&gt;""),Input!$B$24&amp;";",""),IF(AND($G10&lt;Hta_5,$G10&gt;=Hba_5,Input!AK$25&lt;&gt;""),Input!$B$25&amp;";",""),IF(AND($G10&lt;Hta_6,$G10&gt;=Hba_6,Input!AK$26&lt;&gt;""),Input!$B$26&amp;";",""),IF(AND($G10&lt;Hta_7,$G10&gt;=Hba_7,Input!AK$27&lt;&gt;""),Input!$B$27&amp;";",""),IF(AND($G10&lt;Hta_8,$G10&gt;=Hba_8,Input!AK$28&lt;&gt;""),Input!$B$28&amp;";",""),IF(AND($G10&lt;Hta_9,$G10&gt;=Hba_9,Input!AK$29&lt;&gt;""),Input!$B$29&amp;";",""),IF(AND($G10&lt;Hta_10,$G10&gt;=Hba_10,Input!AK$30&lt;&gt;""),Input!$B$30&amp;";",""),IF(AND($G10&lt;Hta_11,$G10&gt;=Hba_11,Input!AK$31&lt;&gt;""),Input!$B$31&amp;";",""),IF(AND($G10&lt;Hta_12,$G10&gt;=Hba_12,Input!AK$32&lt;&gt;""),Input!$B$32&amp;";",""),IF(AND($G10&lt;Hta_13,$G10&gt;=Hba_13,Input!AK$33&lt;&gt;""),Input!$B$33&amp;";",""),IF(AND($G10&lt;Hta_14,$G10&gt;=Hba_14,Input!AK$34&lt;&gt;""),Input!$B$34&amp;";",""),IF(AND($G10&lt;Hta_15,$G10&gt;=Hba_15,Input!AK$35&lt;&gt;""),Input!$B$35&amp;";",""),IF(AND($G10&lt;Hta_16,$G10&gt;=Hba_16,Input!AK$36&lt;&gt;""),Input!$B$36&amp;";",""),IF(AND($G10&lt;Hta_17,$G10&gt;=Hba_17,Input!AK$37&lt;&gt;""),Input!$B$37&amp;";",""),IF(AND($G10&lt;Hta_18,$G10&gt;=Hba_18,Input!AK$38&lt;&gt;""),Input!$B$38&amp;";",""),IF(AND($G10&lt;Hta_19,$G10&gt;=Hba_19,Input!AK$39&lt;&gt;""),Input!$B$39&amp;";",""),IF(AND($G10&lt;Hta_20,$G10&gt;=Hba_20,Input!AK$40&lt;&gt;""),Input!$B$40&amp;";",""),IF(AND($G10&lt;Hta_21,$G10&gt;=Hba_21,Input!AK$41&lt;&gt;""),Input!$B$41&amp;";",""),IF(AND($G10&lt;Hta_22,$G10&gt;=Hba_22,Input!AK$42&lt;&gt;""),Input!$B$42&amp;";",""),IF(AND($G10&lt;Hta_23,$G10&gt;=Hba_23,Input!AK$43&lt;&gt;""),Input!$B$43&amp;";",""),IF(AND($G10&lt;Hta_24,$G10&gt;=Hba_24,Input!AK$44&lt;&gt;""),Input!$B$44&amp;";",""),IF(AND($G10&lt;Hta_25,$G10&gt;=Hba_25,Input!AK$45&lt;&gt;""),Input!$B$45&amp;";",""),IF(AND($G10&lt;Hta_26,$G10&gt;=Hba_26,Input!AK$46&lt;&gt;""),Input!$B$46&amp;";",""),IF(AND($G10&lt;Hta_27,$G10&gt;=Hba_27,Input!AK$47&lt;&gt;""),Input!$B$47&amp;";",""),IF(AND($G10&lt;Hta_28,$G10&gt;=Hba_28,Input!AK$48&lt;&gt;""),Input!$B$48&amp;";",""),IF(AND($G10&lt;Hta_29,$G10&gt;=Hba_29,Input!AK$49&lt;&gt;""),Input!$B$49&amp;";",""),IF(AND($G10&lt;Hta_30,$G10&gt;=Hba_30,Input!AK$50&lt;&gt;""),Input!$B$50&amp;";","")),"")</f>
        <v/>
      </c>
      <c r="CM10" s="25" t="str">
        <f>IFERROR(CONCATENATE(IF(AND($G10&lt;Hta_1,$G10&gt;=Hba_1,Input!AL$21&lt;&gt;""),Input!$B$21&amp;";",""),IF(AND($G10&lt;Hta_2,$G10&gt;=Hba_2,Input!AL$22&lt;&gt;""),Input!$B$22&amp;";",""),IF(AND($G10&lt;Hta_3,$G10&gt;=Hba_3,Input!AL$23&lt;&gt;""),Input!$B$23&amp;";",""),IF(AND($G10&lt;Hta_4,$G10&gt;=Hba_4,Input!AL$24&lt;&gt;""),Input!$B$24&amp;";",""),IF(AND($G10&lt;Hta_5,$G10&gt;=Hba_5,Input!AL$25&lt;&gt;""),Input!$B$25&amp;";",""),IF(AND($G10&lt;Hta_6,$G10&gt;=Hba_6,Input!AL$26&lt;&gt;""),Input!$B$26&amp;";",""),IF(AND($G10&lt;Hta_7,$G10&gt;=Hba_7,Input!AL$27&lt;&gt;""),Input!$B$27&amp;";",""),IF(AND($G10&lt;Hta_8,$G10&gt;=Hba_8,Input!AL$28&lt;&gt;""),Input!$B$28&amp;";",""),IF(AND($G10&lt;Hta_9,$G10&gt;=Hba_9,Input!AL$29&lt;&gt;""),Input!$B$29&amp;";",""),IF(AND($G10&lt;Hta_10,$G10&gt;=Hba_10,Input!AL$30&lt;&gt;""),Input!$B$30&amp;";",""),IF(AND($G10&lt;Hta_11,$G10&gt;=Hba_11,Input!AL$31&lt;&gt;""),Input!$B$31&amp;";",""),IF(AND($G10&lt;Hta_12,$G10&gt;=Hba_12,Input!AL$32&lt;&gt;""),Input!$B$32&amp;";",""),IF(AND($G10&lt;Hta_13,$G10&gt;=Hba_13,Input!AL$33&lt;&gt;""),Input!$B$33&amp;";",""),IF(AND($G10&lt;Hta_14,$G10&gt;=Hba_14,Input!AL$34&lt;&gt;""),Input!$B$34&amp;";",""),IF(AND($G10&lt;Hta_15,$G10&gt;=Hba_15,Input!AL$35&lt;&gt;""),Input!$B$35&amp;";",""),IF(AND($G10&lt;Hta_16,$G10&gt;=Hba_16,Input!AL$36&lt;&gt;""),Input!$B$36&amp;";",""),IF(AND($G10&lt;Hta_17,$G10&gt;=Hba_17,Input!AL$37&lt;&gt;""),Input!$B$37&amp;";",""),IF(AND($G10&lt;Hta_18,$G10&gt;=Hba_18,Input!AL$38&lt;&gt;""),Input!$B$38&amp;";",""),IF(AND($G10&lt;Hta_19,$G10&gt;=Hba_19,Input!AL$39&lt;&gt;""),Input!$B$39&amp;";",""),IF(AND($G10&lt;Hta_20,$G10&gt;=Hba_20,Input!AL$40&lt;&gt;""),Input!$B$40&amp;";",""),IF(AND($G10&lt;Hta_21,$G10&gt;=Hba_21,Input!AL$41&lt;&gt;""),Input!$B$41&amp;";",""),IF(AND($G10&lt;Hta_22,$G10&gt;=Hba_22,Input!AL$42&lt;&gt;""),Input!$B$42&amp;";",""),IF(AND($G10&lt;Hta_23,$G10&gt;=Hba_23,Input!AL$43&lt;&gt;""),Input!$B$43&amp;";",""),IF(AND($G10&lt;Hta_24,$G10&gt;=Hba_24,Input!AL$44&lt;&gt;""),Input!$B$44&amp;";",""),IF(AND($G10&lt;Hta_25,$G10&gt;=Hba_25,Input!AL$45&lt;&gt;""),Input!$B$45&amp;";",""),IF(AND($G10&lt;Hta_26,$G10&gt;=Hba_26,Input!AL$46&lt;&gt;""),Input!$B$46&amp;";",""),IF(AND($G10&lt;Hta_27,$G10&gt;=Hba_27,Input!AL$47&lt;&gt;""),Input!$B$47&amp;";",""),IF(AND($G10&lt;Hta_28,$G10&gt;=Hba_28,Input!AL$48&lt;&gt;""),Input!$B$48&amp;";",""),IF(AND($G10&lt;Hta_29,$G10&gt;=Hba_29,Input!AL$49&lt;&gt;""),Input!$B$49&amp;";",""),IF(AND($G10&lt;Hta_30,$G10&gt;=Hba_30,Input!AL$50&lt;&gt;""),Input!$B$50&amp;";","")),"")</f>
        <v/>
      </c>
      <c r="CN10" s="59" t="str">
        <f t="shared" si="6"/>
        <v/>
      </c>
      <c r="CO10" s="791"/>
      <c r="CP10" s="792"/>
      <c r="CQ10" s="793"/>
      <c r="CR10" s="791"/>
      <c r="CS10" s="792"/>
      <c r="CT10" s="793"/>
      <c r="CU10" s="794" t="str">
        <f t="shared" si="7"/>
        <v/>
      </c>
      <c r="CV10" s="795"/>
      <c r="CW10" s="795"/>
      <c r="CX10" s="796"/>
      <c r="CY10" s="796"/>
      <c r="CZ10" s="797"/>
      <c r="DA10" s="733"/>
      <c r="DB10" s="734"/>
      <c r="DC10" s="735"/>
      <c r="DD10" s="729" t="str">
        <f t="shared" si="8"/>
        <v/>
      </c>
      <c r="DE10" s="730"/>
      <c r="DF10" s="731"/>
      <c r="DG10" s="55"/>
      <c r="DH10" s="56"/>
      <c r="DI10" s="56"/>
      <c r="DJ10" s="56"/>
      <c r="DK10" s="56"/>
      <c r="DL10" s="56"/>
      <c r="DM10" s="56"/>
      <c r="DN10" s="56"/>
      <c r="DO10" s="56"/>
      <c r="DP10" s="56"/>
      <c r="DQ10" s="58"/>
      <c r="DR10" s="58"/>
      <c r="DS10" s="58"/>
      <c r="DT10" s="58"/>
      <c r="DU10" s="58"/>
      <c r="DV10" s="58"/>
      <c r="DW10" s="58"/>
      <c r="DX10" s="58"/>
      <c r="DY10" s="58"/>
      <c r="DZ10" s="58"/>
      <c r="EA10" s="58"/>
      <c r="EB10" s="58"/>
      <c r="EC10" s="58"/>
      <c r="ED10" s="58"/>
      <c r="EE10" s="58"/>
      <c r="EF10" s="58"/>
      <c r="EG10" s="58"/>
      <c r="EH10" s="58"/>
      <c r="EI10" s="58"/>
      <c r="EJ10" s="58"/>
      <c r="EK10" s="58"/>
      <c r="EL10" s="134"/>
      <c r="EM10" s="134"/>
      <c r="EN10" s="134"/>
      <c r="EO10" s="134"/>
      <c r="EP10" s="134"/>
      <c r="EQ10" s="134"/>
      <c r="ER10" s="134"/>
      <c r="ES10" s="134"/>
      <c r="ET10" s="134"/>
      <c r="EU10" s="134"/>
      <c r="EV10" s="134"/>
      <c r="EW10" s="134"/>
      <c r="EX10" s="134"/>
      <c r="EY10" s="134"/>
      <c r="EZ10" s="134"/>
      <c r="FA10" s="134"/>
      <c r="FB10" s="134"/>
      <c r="FC10" s="134"/>
      <c r="FD10" s="134"/>
      <c r="FE10" s="134"/>
      <c r="FF10" s="134"/>
      <c r="FG10" s="134"/>
      <c r="FH10" s="134"/>
      <c r="FI10" s="134"/>
      <c r="FJ10" s="134"/>
      <c r="FK10" s="134"/>
      <c r="FL10" s="134"/>
      <c r="FM10" s="134"/>
      <c r="FN10" s="134"/>
      <c r="FO10" s="134"/>
      <c r="FP10" s="65"/>
      <c r="FQ10" s="124"/>
      <c r="FR10" s="122"/>
      <c r="FS10" s="120"/>
      <c r="FT10" s="119"/>
    </row>
    <row r="11" spans="2:177" ht="15.75" hidden="1" thickBot="1" x14ac:dyDescent="0.3">
      <c r="B11" s="62" t="b">
        <f>IF(OR(AND(G11&gt;='Geometry 2'!$AK$5,G11&lt;'Geometry 2'!$AL$5),AND(G11&gt;='Geometry 2'!$AK$6,G11&lt;'Geometry 2'!$AL$6),AND(G11&gt;='Geometry 2'!$AK$7,G11&lt;'Geometry 2'!$AL$7),AND(G11&gt;='Geometry 2'!$AK$8,G11&lt;'Geometry 2'!$AL$8),AND(G11&gt;='Geometry 2'!$AK$9,G11&lt;'Geometry 2'!$AL$9),AND(G11&gt;='Geometry 2'!$AK$10,G11&lt;'Geometry 2'!$AL$10),AND(G11&gt;='Geometry 2'!$AK$11,G11&lt;'Geometry 2'!$AL$11),AND(G11&gt;='Geometry 2'!$AK$12,G11&lt;'Geometry 2'!$AL$12),AND(G11&gt;='Geometry 2'!$AK$13,G11&lt;'Geometry 2'!$AL$13),AND(G11&gt;='Geometry 2'!$AK$14,G11&lt;'Geometry 2'!$AL$14)),TRUE,FALSE)</f>
        <v>0</v>
      </c>
      <c r="C11" s="4" t="str">
        <f t="shared" si="3"/>
        <v/>
      </c>
      <c r="D11" s="766" t="str">
        <f>IF(OR(G10=0,G10=""),"",G10)</f>
        <v/>
      </c>
      <c r="E11" s="767"/>
      <c r="F11" s="17" t="str">
        <f t="shared" si="2"/>
        <v/>
      </c>
      <c r="G11" s="768" t="str">
        <f>IF(D11="","",MAX(0,G10-IF(inc="n/a",999,inc),MAX(IF(G10&lt;=Hta_1,0,Hta_1),IF(G10&lt;=Hta_2,0,Hta_2),IF(G10&lt;=Hta_3,0,Hta_3),IF(G10&lt;=Hta_4,0,Hta_4),IF(G10&lt;=Hta_5,0,Hta_5),IF(G10&lt;=Hta_6,0,Hta_6),IF(G10&lt;=Hta_7,0,Hta_7),IF(G10&lt;=Hta_8,0,Hta_8),IF(G10&lt;=Hta_9,0,Hta_9),IF(G10&lt;=Hta_10,0,Hta_10),IF(G10&lt;=Hta_11,0,Hta_11),IF(G10&lt;=Hta_12,0,Hta_12),IF(G10&lt;=Hta_13,0,Hta_13),IF(G10&lt;=Hta_14,0,Hta_14),IF(G10&lt;=Hta_15,0,Hta_15),IF(G10&lt;=Hta_16,0,Hta_16),IF(G10&lt;=Hta_17,0,Hta_17),IF(G10&lt;=Hta_18,0,Hta_18),IF(G10&lt;=Hta_19,0,Hta_19),IF(G10&lt;=Hta_20,0,Hta_20),IF(G10&lt;=Hta_21,0,Hta_21),IF(G10&lt;=Hta_22,0,Hta_22),IF(G10&lt;=Hta_23,0,Hta_23),IF(G10&lt;=Hta_24,0,Hta_24),IF(G10&lt;=Hta_25,0,Hta_25),IF(G10&lt;=Hta_26,0,Hta_26),IF(G10&lt;=Hta_27,0,Hta_27),IF(G10&lt;=Hta_28,0,Hta_28),IF(G10&lt;=Hta_29,0,Hta_29),IF(G10&lt;=Hta_30,0,Hta_30)),MAX(IF(G10&lt;=Hta_1-0.25,0,Hta_1-0.25),IF(G10&lt;=Hta_2-0.25,0,Hta_2-0.25),IF(G10&lt;=Hta_3-0.25,0,Hta_3-0.25),IF(G10&lt;=Hta_4-0.25,0,Hta_4-0.25),IF(G10&lt;=Hta_5-0.25,0,Hta_5-0.25),IF(G10&lt;=Hta_6-0.25,0,Hta_6-0.25),IF(G10&lt;=Hta_7-0.25,0,Hta_7-0.25),IF(G10&lt;=Hta_8-0.25,0,Hta_8-0.25),IF(G10&lt;=Hta_9-0.25,0,Hta_9-0.25),IF(G10&lt;=Hta_10-0.25,0,Hta_10-0.25),IF(G10&lt;=Hta_11-0.25,0,Hta_11-0.25),IF(G10&lt;=Hta_12-0.25,0,Hta_12-0.25),IF(G10&lt;=Hta_13-0.25,0,Hta_13-0.25),IF(G10&lt;=Hta_14-0.25,0,Hta_14-0.25),IF(G10&lt;=Hta_15-0.25,0,Hta_15-0.25),IF(G10&lt;=Hta_16-0.25,0,Hta_16-0.25),IF(G10&lt;=Hta_17-0.25,0,Hta_17-0.25),IF(G10&lt;=Hta_18-0.25,0,Hta_18-0.25),IF(G10&lt;=Hta_19-0.25,0,Hta_19-0.25),IF(G10&lt;=Hta_20-0.25,0,Hta_20-0.25),IF(G10&lt;=Hta_21-0.25,0,Hta_21-0.25),IF(G10&lt;=Hta_22-0.25,0,Hta_22-0.25),IF(G10&lt;=Hta_23-0.25,0,Hta_23-0.25),IF(G10&lt;=Hta_24-0.25,0,Hta_24-0.25),IF(G10&lt;=Hta_25-0.25,0,Hta_25-0.25),IF(G10&lt;=Hta_26-0.25,0,Hta_26-0.25),IF(G10&lt;=Hta_27-0.25,0,Hta_27-0.25),IF(G10&lt;=Hta_28-0.25,0,Hta_28-0.25),IF(G10&lt;=Hta_29-0.25,0,Hta_29-0.25),IF(G10&lt;=Hta_30-0.25,0,Hta_30-0.25)),MAX(IF(G10&lt;=Hba_1,0,Hba_1),IF(G10&lt;=Hba_2,0,Hba_2),IF(G10&lt;=Hba_3,0,Hba_3),IF(G10&lt;=Hba_4,0,Hba_4),IF(G10&lt;=Hba_5,0,Hba_5),IF(G10&lt;=Hba_6,0,Hba_6),IF(G10&lt;=Hba_7,0,Hba_7),IF(G10&lt;=Hba_8,0,Hba_8),IF(G10&lt;=Hba_9,0,Hba_9),IF(G10&lt;=Hba_10,0,Hba_10),IF(G10&lt;=Hba_11,0,Hba_11),IF(G10&lt;=Hba_12,0,Hba_12),IF(G10&lt;=Hba_13,0,Hba_13),IF(G10&lt;=Hba_14,0,Hba_14),IF(G10&lt;=Hba_15,0,Hba_15),IF(G10&lt;=Hba_16,0,Hba_16),IF(G10&lt;=Hba_17,0,Hba_17),IF(G10&lt;=Hba_18,0,Hba_18),IF(G10&lt;=Hba_19,0,Hba_19),IF(G10&lt;=Hba_20,0,Hba_20),IF(G10&lt;=Hba_21,0,Hba_21),IF(G10&lt;=Hba_22,0,Hba_22),IF(G10&lt;=Hba_23,0,Hba_23),IF(G10&lt;=Hba_24,0,Hba_24),IF(G10&lt;=Hba_25,0,Hba_25),IF(G10&lt;=Hba_26,0,Hba_26),IF(G10&lt;=Hba_27,0,Hba_27),IF(G10&lt;=Hba_28,0,Hba_28),IF(G10&lt;=Hba_29,0,Hba_29),IF(G10&lt;=Hba_30,0,Hba_30)),MAX(IF(G10&lt;=Input!$C$8,0,Input!$C$8),IF(G10&lt;=Input!$C$9,0,Input!$C$9),IF(G10&lt;=Input!$C$10,0,Input!$C$10),IF(G10&lt;=Input!$C$11,0,Input!$C$11),IF(G10&lt;=Input!$C$12,0,Input!$C$12),IF(G10&lt;=Input!$C$13,0,Input!$C$13),IF(G10&lt;=Input!$C$14,0,Input!$C$14),IF(G10&lt;=Input!$C$15,0,Input!$C$15),IF(G10&lt;=Input!$C$16,0,Input!$C$16)),MAX(IF(G10&lt;=Hba_1-0.25,0,Hba_1-0.25),IF(G10&lt;=Hba_2-0.25,0,Hba_2-0.25),IF(G10&lt;=Hba_3-0.25,0,Hba_3-0.25),IF(G10&lt;=Hba_4-0.25,0,Hba_4-0.25),IF(G10&lt;=Hba_5-0.25,0,Hba_5-0.25),IF(G10&lt;=Hba_6-0.25,0,Hba_6-0.25),IF(G10&lt;=Hba_7-0.25,0,Hba_7-0.25),IF(G10&lt;=Hba_8-0.25,0,Hba_8-0.25),IF(G10&lt;=Hba_9-0.25,0,Hba_9-0.25),IF(G10&lt;=Hba_10-0.25,0,Hba_10-0.25),IF(G10&lt;=Hba_11-0.25,0,Hba_11-0.25),IF(G10&lt;=Hba_12-0.25,0,Hba_12-0.25),IF(G10&lt;=Hba_13-0.25,0,Hba_13-0.25),IF(G10&lt;=Hba_14-0.25,0,Hba_14-0.25),IF(G10&lt;=Hba_15-0.25,0,Hba_15-0.25),IF(G10&lt;=Hba_16-0.25,0,Hba_16-0.25),IF(G10&lt;=Hba_17-0.25,0,Hba_17-0.25),IF(G10&lt;=Hba_18-0.25,0,Hba_18-0.25),IF(G10&lt;=Hba_19-0.25,0,Hba_19-0.25),IF(G10&lt;=Hba_20-0.25,0,Hba_20-0.25),IF(G10&lt;=Hba_21-0.25,0,Hba_21-0.25),IF(G10&lt;=Hba_22-0.25,0,Hba_22-0.25),IF(G10&lt;=Hba_23-0.25,0,Hba_23-0.25),IF(G10&lt;=Hba_24-0.25,0,Hba_24-0.25),IF(G10&lt;=Hba_25-0.25,0,Hba_25-0.25),IF(G10&lt;=Hba_26-0.25,0,Hba_26-0.25),IF(G10&lt;=Hba_27-0.25,0,Hba_27-0.25),IF(G10&lt;=Hba_28-0.25,0,Hba_28-0.25),IF(G10&lt;=Hba_29-0.25,0,Hba_29-0.25),IF(G10&lt;=Hba_30-0.25,0,Hba_30-0.25)),IF(G10&lt;='Macro References'!$A$38,0,'Macro References'!$A$38)))</f>
        <v/>
      </c>
      <c r="H11" s="769"/>
      <c r="I11" s="228"/>
      <c r="J11" s="228"/>
      <c r="K11" s="228"/>
      <c r="L11" s="717" t="str">
        <f t="shared" si="0"/>
        <v/>
      </c>
      <c r="M11" s="717"/>
      <c r="N11" s="717"/>
      <c r="O11" s="717"/>
      <c r="P11" s="717" t="str">
        <f>IF(OR(G11=0,G11=""),"",IF(VLOOKUP(G11,'Geometry 2'!$C$4:$AI$14,1,TRUE)=VLOOKUP(G12,'Geometry 2'!$C$4:$AI$14,1,TRUE),"",IF(VLOOKUP(G11,'Geometry 2'!$C$4:$AI$14,33,TRUE)&lt;&gt;"n/a",MIN(G11,VLOOKUP(G11,'Geometry 2'!$C$4:$AI$14,1,TRUE))-VLOOKUP(G11,'Geometry 2'!$C$4:$AI$14,33,TRUE),"check")))</f>
        <v/>
      </c>
      <c r="Q11" s="717"/>
      <c r="R11" s="717"/>
      <c r="S11" s="717"/>
      <c r="T11" s="717" t="str">
        <f>IF($G11="","",VLOOKUP($G11,'Geometry 2'!$E$4:$AH$14,11,TRUE))</f>
        <v/>
      </c>
      <c r="U11" s="717"/>
      <c r="V11" s="717"/>
      <c r="W11" s="717"/>
      <c r="X11" s="716" t="str">
        <f>IF($G11="","",VLOOKUP($G11,'Geometry 2'!$E$4:$AJ$14,19,TRUE)-12*VLOOKUP($G11,'Geometry 2'!$E$4:$AJ$14,32,TRUE)*($D11-VLOOKUP($G11,'Geometry 2'!$E$5:$AH$14,1,TRUE)))</f>
        <v/>
      </c>
      <c r="Y11" s="716"/>
      <c r="Z11" s="716"/>
      <c r="AA11" s="716"/>
      <c r="AB11" s="757" t="str">
        <f>IF($G11="","",VLOOKUP($G11,'Geometry 2'!$E$4:$AJ$14,19,TRUE)-12*VLOOKUP($G11,'Geometry 2'!$E$4:$AJ$14,32,TRUE)*($G11-VLOOKUP($G11,'Geometry 2'!$E$5:$AH$14,1,TRUE)))</f>
        <v/>
      </c>
      <c r="AC11" s="758"/>
      <c r="AD11" s="758"/>
      <c r="AE11" s="759"/>
      <c r="AF11" s="716" t="str">
        <f>IF($G11="","",VLOOKUP($G11,'Geometry 2'!$E$4:$AJ$14,19,TRUE)-12*VLOOKUP($G11,'Geometry 2'!$E$4:$AJ$14,32,TRUE)*($G11-IF($P11="",0,$P11)-VLOOKUP($G11,'Geometry 2'!$E$5:$AH$14,1,TRUE)))</f>
        <v/>
      </c>
      <c r="AG11" s="716"/>
      <c r="AH11" s="716"/>
      <c r="AI11" s="716"/>
      <c r="AJ11" s="746" t="str">
        <f>IF($G11="","",VLOOKUP($G11,'Geometry 2'!$E$4:$AH$14,23,TRUE))</f>
        <v/>
      </c>
      <c r="AK11" s="747"/>
      <c r="AL11" s="747"/>
      <c r="AM11" s="748"/>
      <c r="AN11" s="717"/>
      <c r="AO11" s="717"/>
      <c r="AP11" s="717"/>
      <c r="AQ11" s="717"/>
      <c r="AR11" s="717" t="str">
        <f>IF($G11="","",VLOOKUP($G11,'Geometry 2'!$E$4:$AH$14,27,TRUE))</f>
        <v/>
      </c>
      <c r="AS11" s="717"/>
      <c r="AT11" s="717"/>
      <c r="AU11" s="718"/>
      <c r="AV11" s="715"/>
      <c r="AW11" s="716"/>
      <c r="AX11" s="716"/>
      <c r="AZ11" s="722" t="str">
        <f t="shared" si="5"/>
        <v/>
      </c>
      <c r="BA11" s="723"/>
      <c r="BB11" s="723"/>
      <c r="BC11" s="724"/>
      <c r="BD11" s="722"/>
      <c r="BE11" s="723"/>
      <c r="BF11" s="723"/>
      <c r="BG11" s="722" t="str">
        <f t="shared" si="1"/>
        <v/>
      </c>
      <c r="BH11" s="723"/>
      <c r="BI11" s="723"/>
      <c r="BJ11" s="723"/>
      <c r="BK11" s="724"/>
      <c r="BL11" s="722"/>
      <c r="BM11" s="723"/>
      <c r="BN11" s="723"/>
      <c r="BO11" s="723"/>
      <c r="BP11" s="725"/>
      <c r="BQ11" s="725"/>
      <c r="BR11" s="722" t="str">
        <f>IF(BP11="","",IF(OR(AND(Rev="H",Calculations!$F$27=TRUE),AND(Rev&lt;&gt;"H",Calculations!$F$30=TRUE)),IF(BP11&lt;=1,"Pass","Fail"),IF(BP11&lt;=1.05,"Pass","Fail")))</f>
        <v/>
      </c>
      <c r="BS11" s="723"/>
      <c r="BT11" s="724"/>
      <c r="BU11" s="49"/>
      <c r="BV11" s="25" t="str">
        <f>IFERROR(CONCATENATE(IF(AND($G11&lt;Hta_1,$G11&gt;=Hba_1,Input!U$21&lt;&gt;""),Input!$B$21&amp;";",""),IF(AND($G11&lt;Hta_2,$G11&gt;=Hba_2,Input!U$22&lt;&gt;""),Input!$B$22&amp;";",""),IF(AND($G11&lt;Hta_3,$G11&gt;=Hba_3,Input!U$23&lt;&gt;""),Input!$B$23&amp;";",""),IF(AND($G11&lt;Hta_4,$G11&gt;=Hba_4,Input!U$24&lt;&gt;""),Input!$B$24&amp;";",""),IF(AND($G11&lt;Hta_5,$G11&gt;=Hba_5,Input!U$25&lt;&gt;""),Input!$B$25&amp;";",""),IF(AND($G11&lt;Hta_6,$G11&gt;=Hba_6,Input!U$26&lt;&gt;""),Input!$B$26&amp;";",""),IF(AND($G11&lt;Hta_7,$G11&gt;=Hba_7,Input!U$27&lt;&gt;""),Input!$B$27&amp;";",""),IF(AND($G11&lt;Hta_8,$G11&gt;=Hba_8,Input!U$28&lt;&gt;""),Input!$B$28&amp;";",""),IF(AND($G11&lt;Hta_9,$G11&gt;=Hba_9,Input!U$29&lt;&gt;""),Input!$B$29&amp;";",""),IF(AND($G11&lt;Hta_10,$G11&gt;=Hba_10,Input!U$30&lt;&gt;""),Input!$B$30&amp;";",""),IF(AND($G11&lt;Hta_11,$G11&gt;=Hba_11,Input!U$31&lt;&gt;""),Input!$B$31&amp;";",""),IF(AND($G11&lt;Hta_12,$G11&gt;=Hba_12,Input!U$32&lt;&gt;""),Input!$B$32&amp;";",""),IF(AND($G11&lt;Hta_13,$G11&gt;=Hba_13,Input!U$33&lt;&gt;""),Input!$B$33&amp;";",""),IF(AND($G11&lt;Hta_14,$G11&gt;=Hba_14,Input!U$34&lt;&gt;""),Input!$B$34&amp;";",""),IF(AND($G11&lt;Hta_15,$G11&gt;=Hba_15,Input!U$35&lt;&gt;""),Input!$B$35&amp;";",""),IF(AND($G11&lt;Hta_16,$G11&gt;=Hba_16,Input!U$36&lt;&gt;""),Input!$B$36&amp;";",""),IF(AND($G11&lt;Hta_17,$G11&gt;=Hba_17,Input!U$37&lt;&gt;""),Input!$B$37&amp;";",""),IF(AND($G11&lt;Hta_18,$G11&gt;=Hba_18,Input!U$38&lt;&gt;""),Input!$B$38&amp;";",""),IF(AND($G11&lt;Hta_19,$G11&gt;=Hba_19,Input!U$39&lt;&gt;""),Input!$B$39&amp;";",""),IF(AND($G11&lt;Hta_20,$G11&gt;=Hba_20,Input!U$40&lt;&gt;""),Input!$B$40&amp;";",""),IF(AND($G11&lt;Hta_21,$G11&gt;=Hba_21,Input!U$41&lt;&gt;""),Input!$B$41&amp;";",""),IF(AND($G11&lt;Hta_22,$G11&gt;=Hba_22,Input!U$42&lt;&gt;""),Input!$B$42&amp;";",""),IF(AND($G11&lt;Hta_23,$G11&gt;=Hba_23,Input!U$43&lt;&gt;""),Input!$B$43&amp;";",""),IF(AND($G11&lt;Hta_24,$G11&gt;=Hba_24,Input!U$44&lt;&gt;""),Input!$B$44&amp;";",""),IF(AND($G11&lt;Hta_25,$G11&gt;=Hba_25,Input!U$45&lt;&gt;""),Input!$B$45&amp;";",""),IF(AND($G11&lt;Hta_26,$G11&gt;=Hba_26,Input!U$46&lt;&gt;""),Input!$B$46&amp;";",""),IF(AND($G11&lt;Hta_27,$G11&gt;=Hba_27,Input!U$47&lt;&gt;""),Input!$B$47&amp;";",""),IF(AND($G11&lt;Hta_28,$G11&gt;=Hba_28,Input!U$48&lt;&gt;""),Input!$B$48&amp;";",""),IF(AND($G11&lt;Hta_29,$G11&gt;=Hba_29,Input!U$49&lt;&gt;""),Input!$B$49&amp;";",""),IF(AND($G11&lt;Hta_30,$G11&gt;=Hba_30,Input!U$50&lt;&gt;""),Input!$B$50&amp;";","")),"")</f>
        <v/>
      </c>
      <c r="BW11" s="25" t="str">
        <f>IFERROR(CONCATENATE(IF(AND($G11&lt;Hta_1,$G11&gt;=Hba_1,Input!V$21&lt;&gt;""),Input!$B$21&amp;";",""),IF(AND($G11&lt;Hta_2,$G11&gt;=Hba_2,Input!V$22&lt;&gt;""),Input!$B$22&amp;";",""),IF(AND($G11&lt;Hta_3,$G11&gt;=Hba_3,Input!V$23&lt;&gt;""),Input!$B$23&amp;";",""),IF(AND($G11&lt;Hta_4,$G11&gt;=Hba_4,Input!V$24&lt;&gt;""),Input!$B$24&amp;";",""),IF(AND($G11&lt;Hta_5,$G11&gt;=Hba_5,Input!V$25&lt;&gt;""),Input!$B$25&amp;";",""),IF(AND($G11&lt;Hta_6,$G11&gt;=Hba_6,Input!V$26&lt;&gt;""),Input!$B$26&amp;";",""),IF(AND($G11&lt;Hta_7,$G11&gt;=Hba_7,Input!V$27&lt;&gt;""),Input!$B$27&amp;";",""),IF(AND($G11&lt;Hta_8,$G11&gt;=Hba_8,Input!V$28&lt;&gt;""),Input!$B$28&amp;";",""),IF(AND($G11&lt;Hta_9,$G11&gt;=Hba_9,Input!V$29&lt;&gt;""),Input!$B$29&amp;";",""),IF(AND($G11&lt;Hta_10,$G11&gt;=Hba_10,Input!V$30&lt;&gt;""),Input!$B$30&amp;";",""),IF(AND($G11&lt;Hta_11,$G11&gt;=Hba_11,Input!V$31&lt;&gt;""),Input!$B$31&amp;";",""),IF(AND($G11&lt;Hta_12,$G11&gt;=Hba_12,Input!V$32&lt;&gt;""),Input!$B$32&amp;";",""),IF(AND($G11&lt;Hta_13,$G11&gt;=Hba_13,Input!V$33&lt;&gt;""),Input!$B$33&amp;";",""),IF(AND($G11&lt;Hta_14,$G11&gt;=Hba_14,Input!V$34&lt;&gt;""),Input!$B$34&amp;";",""),IF(AND($G11&lt;Hta_15,$G11&gt;=Hba_15,Input!V$35&lt;&gt;""),Input!$B$35&amp;";",""),IF(AND($G11&lt;Hta_16,$G11&gt;=Hba_16,Input!V$36&lt;&gt;""),Input!$B$36&amp;";",""),IF(AND($G11&lt;Hta_17,$G11&gt;=Hba_17,Input!V$37&lt;&gt;""),Input!$B$37&amp;";",""),IF(AND($G11&lt;Hta_18,$G11&gt;=Hba_18,Input!V$38&lt;&gt;""),Input!$B$38&amp;";",""),IF(AND($G11&lt;Hta_19,$G11&gt;=Hba_19,Input!V$39&lt;&gt;""),Input!$B$39&amp;";",""),IF(AND($G11&lt;Hta_20,$G11&gt;=Hba_20,Input!V$40&lt;&gt;""),Input!$B$40&amp;";",""),IF(AND($G11&lt;Hta_21,$G11&gt;=Hba_21,Input!V$41&lt;&gt;""),Input!$B$41&amp;";",""),IF(AND($G11&lt;Hta_22,$G11&gt;=Hba_22,Input!V$42&lt;&gt;""),Input!$B$42&amp;";",""),IF(AND($G11&lt;Hta_23,$G11&gt;=Hba_23,Input!V$43&lt;&gt;""),Input!$B$43&amp;";",""),IF(AND($G11&lt;Hta_24,$G11&gt;=Hba_24,Input!V$44&lt;&gt;""),Input!$B$44&amp;";",""),IF(AND($G11&lt;Hta_25,$G11&gt;=Hba_25,Input!V$45&lt;&gt;""),Input!$B$45&amp;";",""),IF(AND($G11&lt;Hta_26,$G11&gt;=Hba_26,Input!V$46&lt;&gt;""),Input!$B$46&amp;";",""),IF(AND($G11&lt;Hta_27,$G11&gt;=Hba_27,Input!V$47&lt;&gt;""),Input!$B$47&amp;";",""),IF(AND($G11&lt;Hta_28,$G11&gt;=Hba_28,Input!V$48&lt;&gt;""),Input!$B$48&amp;";",""),IF(AND($G11&lt;Hta_29,$G11&gt;=Hba_29,Input!V$49&lt;&gt;""),Input!$B$49&amp;";",""),IF(AND($G11&lt;Hta_30,$G11&gt;=Hba_30,Input!V$50&lt;&gt;""),Input!$B$50&amp;";","")),"")</f>
        <v/>
      </c>
      <c r="BX11" s="25" t="str">
        <f>IFERROR(CONCATENATE(IF(AND($G11&lt;Hta_1,$G11&gt;=Hba_1,Input!W$21&lt;&gt;""),Input!$B$21&amp;";",""),IF(AND($G11&lt;Hta_2,$G11&gt;=Hba_2,Input!W$22&lt;&gt;""),Input!$B$22&amp;";",""),IF(AND($G11&lt;Hta_3,$G11&gt;=Hba_3,Input!W$23&lt;&gt;""),Input!$B$23&amp;";",""),IF(AND($G11&lt;Hta_4,$G11&gt;=Hba_4,Input!W$24&lt;&gt;""),Input!$B$24&amp;";",""),IF(AND($G11&lt;Hta_5,$G11&gt;=Hba_5,Input!W$25&lt;&gt;""),Input!$B$25&amp;";",""),IF(AND($G11&lt;Hta_6,$G11&gt;=Hba_6,Input!W$26&lt;&gt;""),Input!$B$26&amp;";",""),IF(AND($G11&lt;Hta_7,$G11&gt;=Hba_7,Input!W$27&lt;&gt;""),Input!$B$27&amp;";",""),IF(AND($G11&lt;Hta_8,$G11&gt;=Hba_8,Input!W$28&lt;&gt;""),Input!$B$28&amp;";",""),IF(AND($G11&lt;Hta_9,$G11&gt;=Hba_9,Input!W$29&lt;&gt;""),Input!$B$29&amp;";",""),IF(AND($G11&lt;Hta_10,$G11&gt;=Hba_10,Input!W$30&lt;&gt;""),Input!$B$30&amp;";",""),IF(AND($G11&lt;Hta_11,$G11&gt;=Hba_11,Input!W$31&lt;&gt;""),Input!$B$31&amp;";",""),IF(AND($G11&lt;Hta_12,$G11&gt;=Hba_12,Input!W$32&lt;&gt;""),Input!$B$32&amp;";",""),IF(AND($G11&lt;Hta_13,$G11&gt;=Hba_13,Input!W$33&lt;&gt;""),Input!$B$33&amp;";",""),IF(AND($G11&lt;Hta_14,$G11&gt;=Hba_14,Input!W$34&lt;&gt;""),Input!$B$34&amp;";",""),IF(AND($G11&lt;Hta_15,$G11&gt;=Hba_15,Input!W$35&lt;&gt;""),Input!$B$35&amp;";",""),IF(AND($G11&lt;Hta_16,$G11&gt;=Hba_16,Input!W$36&lt;&gt;""),Input!$B$36&amp;";",""),IF(AND($G11&lt;Hta_17,$G11&gt;=Hba_17,Input!W$37&lt;&gt;""),Input!$B$37&amp;";",""),IF(AND($G11&lt;Hta_18,$G11&gt;=Hba_18,Input!W$38&lt;&gt;""),Input!$B$38&amp;";",""),IF(AND($G11&lt;Hta_19,$G11&gt;=Hba_19,Input!W$39&lt;&gt;""),Input!$B$39&amp;";",""),IF(AND($G11&lt;Hta_20,$G11&gt;=Hba_20,Input!W$40&lt;&gt;""),Input!$B$40&amp;";",""),IF(AND($G11&lt;Hta_21,$G11&gt;=Hba_21,Input!W$41&lt;&gt;""),Input!$B$41&amp;";",""),IF(AND($G11&lt;Hta_22,$G11&gt;=Hba_22,Input!W$42&lt;&gt;""),Input!$B$42&amp;";",""),IF(AND($G11&lt;Hta_23,$G11&gt;=Hba_23,Input!W$43&lt;&gt;""),Input!$B$43&amp;";",""),IF(AND($G11&lt;Hta_24,$G11&gt;=Hba_24,Input!W$44&lt;&gt;""),Input!$B$44&amp;";",""),IF(AND($G11&lt;Hta_25,$G11&gt;=Hba_25,Input!W$45&lt;&gt;""),Input!$B$45&amp;";",""),IF(AND($G11&lt;Hta_26,$G11&gt;=Hba_26,Input!W$46&lt;&gt;""),Input!$B$46&amp;";",""),IF(AND($G11&lt;Hta_27,$G11&gt;=Hba_27,Input!W$47&lt;&gt;""),Input!$B$47&amp;";",""),IF(AND($G11&lt;Hta_28,$G11&gt;=Hba_28,Input!W$48&lt;&gt;""),Input!$B$48&amp;";",""),IF(AND($G11&lt;Hta_29,$G11&gt;=Hba_29,Input!W$49&lt;&gt;""),Input!$B$49&amp;";",""),IF(AND($G11&lt;Hta_30,$G11&gt;=Hba_30,Input!W$50&lt;&gt;""),Input!$B$50&amp;";","")),"")</f>
        <v/>
      </c>
      <c r="BY11" s="25" t="str">
        <f>IFERROR(CONCATENATE(IF(AND($G11&lt;Hta_1,$G11&gt;=Hba_1,Input!X$21&lt;&gt;""),Input!$B$21&amp;";",""),IF(AND($G11&lt;Hta_2,$G11&gt;=Hba_2,Input!X$22&lt;&gt;""),Input!$B$22&amp;";",""),IF(AND($G11&lt;Hta_3,$G11&gt;=Hba_3,Input!X$23&lt;&gt;""),Input!$B$23&amp;";",""),IF(AND($G11&lt;Hta_4,$G11&gt;=Hba_4,Input!X$24&lt;&gt;""),Input!$B$24&amp;";",""),IF(AND($G11&lt;Hta_5,$G11&gt;=Hba_5,Input!X$25&lt;&gt;""),Input!$B$25&amp;";",""),IF(AND($G11&lt;Hta_6,$G11&gt;=Hba_6,Input!X$26&lt;&gt;""),Input!$B$26&amp;";",""),IF(AND($G11&lt;Hta_7,$G11&gt;=Hba_7,Input!X$27&lt;&gt;""),Input!$B$27&amp;";",""),IF(AND($G11&lt;Hta_8,$G11&gt;=Hba_8,Input!X$28&lt;&gt;""),Input!$B$28&amp;";",""),IF(AND($G11&lt;Hta_9,$G11&gt;=Hba_9,Input!X$29&lt;&gt;""),Input!$B$29&amp;";",""),IF(AND($G11&lt;Hta_10,$G11&gt;=Hba_10,Input!X$30&lt;&gt;""),Input!$B$30&amp;";",""),IF(AND($G11&lt;Hta_11,$G11&gt;=Hba_11,Input!X$31&lt;&gt;""),Input!$B$31&amp;";",""),IF(AND($G11&lt;Hta_12,$G11&gt;=Hba_12,Input!X$32&lt;&gt;""),Input!$B$32&amp;";",""),IF(AND($G11&lt;Hta_13,$G11&gt;=Hba_13,Input!X$33&lt;&gt;""),Input!$B$33&amp;";",""),IF(AND($G11&lt;Hta_14,$G11&gt;=Hba_14,Input!X$34&lt;&gt;""),Input!$B$34&amp;";",""),IF(AND($G11&lt;Hta_15,$G11&gt;=Hba_15,Input!X$35&lt;&gt;""),Input!$B$35&amp;";",""),IF(AND($G11&lt;Hta_16,$G11&gt;=Hba_16,Input!X$36&lt;&gt;""),Input!$B$36&amp;";",""),IF(AND($G11&lt;Hta_17,$G11&gt;=Hba_17,Input!X$37&lt;&gt;""),Input!$B$37&amp;";",""),IF(AND($G11&lt;Hta_18,$G11&gt;=Hba_18,Input!X$38&lt;&gt;""),Input!$B$38&amp;";",""),IF(AND($G11&lt;Hta_19,$G11&gt;=Hba_19,Input!X$39&lt;&gt;""),Input!$B$39&amp;";",""),IF(AND($G11&lt;Hta_20,$G11&gt;=Hba_20,Input!X$40&lt;&gt;""),Input!$B$40&amp;";",""),IF(AND($G11&lt;Hta_21,$G11&gt;=Hba_21,Input!X$41&lt;&gt;""),Input!$B$41&amp;";",""),IF(AND($G11&lt;Hta_22,$G11&gt;=Hba_22,Input!X$42&lt;&gt;""),Input!$B$42&amp;";",""),IF(AND($G11&lt;Hta_23,$G11&gt;=Hba_23,Input!X$43&lt;&gt;""),Input!$B$43&amp;";",""),IF(AND($G11&lt;Hta_24,$G11&gt;=Hba_24,Input!X$44&lt;&gt;""),Input!$B$44&amp;";",""),IF(AND($G11&lt;Hta_25,$G11&gt;=Hba_25,Input!X$45&lt;&gt;""),Input!$B$45&amp;";",""),IF(AND($G11&lt;Hta_26,$G11&gt;=Hba_26,Input!X$46&lt;&gt;""),Input!$B$46&amp;";",""),IF(AND($G11&lt;Hta_27,$G11&gt;=Hba_27,Input!X$47&lt;&gt;""),Input!$B$47&amp;";",""),IF(AND($G11&lt;Hta_28,$G11&gt;=Hba_28,Input!X$48&lt;&gt;""),Input!$B$48&amp;";",""),IF(AND($G11&lt;Hta_29,$G11&gt;=Hba_29,Input!X$49&lt;&gt;""),Input!$B$49&amp;";",""),IF(AND($G11&lt;Hta_30,$G11&gt;=Hba_30,Input!X$50&lt;&gt;""),Input!$B$50&amp;";","")),"")</f>
        <v/>
      </c>
      <c r="BZ11" s="25" t="str">
        <f>IFERROR(CONCATENATE(IF(AND($G11&lt;Hta_1,$G11&gt;=Hba_1,Input!Y$21&lt;&gt;""),Input!$B$21&amp;";",""),IF(AND($G11&lt;Hta_2,$G11&gt;=Hba_2,Input!Y$22&lt;&gt;""),Input!$B$22&amp;";",""),IF(AND($G11&lt;Hta_3,$G11&gt;=Hba_3,Input!Y$23&lt;&gt;""),Input!$B$23&amp;";",""),IF(AND($G11&lt;Hta_4,$G11&gt;=Hba_4,Input!Y$24&lt;&gt;""),Input!$B$24&amp;";",""),IF(AND($G11&lt;Hta_5,$G11&gt;=Hba_5,Input!Y$25&lt;&gt;""),Input!$B$25&amp;";",""),IF(AND($G11&lt;Hta_6,$G11&gt;=Hba_6,Input!Y$26&lt;&gt;""),Input!$B$26&amp;";",""),IF(AND($G11&lt;Hta_7,$G11&gt;=Hba_7,Input!Y$27&lt;&gt;""),Input!$B$27&amp;";",""),IF(AND($G11&lt;Hta_8,$G11&gt;=Hba_8,Input!Y$28&lt;&gt;""),Input!$B$28&amp;";",""),IF(AND($G11&lt;Hta_9,$G11&gt;=Hba_9,Input!Y$29&lt;&gt;""),Input!$B$29&amp;";",""),IF(AND($G11&lt;Hta_10,$G11&gt;=Hba_10,Input!Y$30&lt;&gt;""),Input!$B$30&amp;";",""),IF(AND($G11&lt;Hta_11,$G11&gt;=Hba_11,Input!Y$31&lt;&gt;""),Input!$B$31&amp;";",""),IF(AND($G11&lt;Hta_12,$G11&gt;=Hba_12,Input!Y$32&lt;&gt;""),Input!$B$32&amp;";",""),IF(AND($G11&lt;Hta_13,$G11&gt;=Hba_13,Input!Y$33&lt;&gt;""),Input!$B$33&amp;";",""),IF(AND($G11&lt;Hta_14,$G11&gt;=Hba_14,Input!Y$34&lt;&gt;""),Input!$B$34&amp;";",""),IF(AND($G11&lt;Hta_15,$G11&gt;=Hba_15,Input!Y$35&lt;&gt;""),Input!$B$35&amp;";",""),IF(AND($G11&lt;Hta_16,$G11&gt;=Hba_16,Input!Y$36&lt;&gt;""),Input!$B$36&amp;";",""),IF(AND($G11&lt;Hta_17,$G11&gt;=Hba_17,Input!Y$37&lt;&gt;""),Input!$B$37&amp;";",""),IF(AND($G11&lt;Hta_18,$G11&gt;=Hba_18,Input!Y$38&lt;&gt;""),Input!$B$38&amp;";",""),IF(AND($G11&lt;Hta_19,$G11&gt;=Hba_19,Input!Y$39&lt;&gt;""),Input!$B$39&amp;";",""),IF(AND($G11&lt;Hta_20,$G11&gt;=Hba_20,Input!Y$40&lt;&gt;""),Input!$B$40&amp;";",""),IF(AND($G11&lt;Hta_21,$G11&gt;=Hba_21,Input!Y$41&lt;&gt;""),Input!$B$41&amp;";",""),IF(AND($G11&lt;Hta_22,$G11&gt;=Hba_22,Input!Y$42&lt;&gt;""),Input!$B$42&amp;";",""),IF(AND($G11&lt;Hta_23,$G11&gt;=Hba_23,Input!Y$43&lt;&gt;""),Input!$B$43&amp;";",""),IF(AND($G11&lt;Hta_24,$G11&gt;=Hba_24,Input!Y$44&lt;&gt;""),Input!$B$44&amp;";",""),IF(AND($G11&lt;Hta_25,$G11&gt;=Hba_25,Input!Y$45&lt;&gt;""),Input!$B$45&amp;";",""),IF(AND($G11&lt;Hta_26,$G11&gt;=Hba_26,Input!Y$46&lt;&gt;""),Input!$B$46&amp;";",""),IF(AND($G11&lt;Hta_27,$G11&gt;=Hba_27,Input!Y$47&lt;&gt;""),Input!$B$47&amp;";",""),IF(AND($G11&lt;Hta_28,$G11&gt;=Hba_28,Input!Y$48&lt;&gt;""),Input!$B$48&amp;";",""),IF(AND($G11&lt;Hta_29,$G11&gt;=Hba_29,Input!Y$49&lt;&gt;""),Input!$B$49&amp;";",""),IF(AND($G11&lt;Hta_30,$G11&gt;=Hba_30,Input!Y$50&lt;&gt;""),Input!$B$50&amp;";","")),"")</f>
        <v/>
      </c>
      <c r="CA11" s="25" t="str">
        <f>IFERROR(CONCATENATE(IF(AND($G11&lt;Hta_1,$G11&gt;=Hba_1,Input!Z$21&lt;&gt;""),Input!$B$21&amp;";",""),IF(AND($G11&lt;Hta_2,$G11&gt;=Hba_2,Input!Z$22&lt;&gt;""),Input!$B$22&amp;";",""),IF(AND($G11&lt;Hta_3,$G11&gt;=Hba_3,Input!Z$23&lt;&gt;""),Input!$B$23&amp;";",""),IF(AND($G11&lt;Hta_4,$G11&gt;=Hba_4,Input!Z$24&lt;&gt;""),Input!$B$24&amp;";",""),IF(AND($G11&lt;Hta_5,$G11&gt;=Hba_5,Input!Z$25&lt;&gt;""),Input!$B$25&amp;";",""),IF(AND($G11&lt;Hta_6,$G11&gt;=Hba_6,Input!Z$26&lt;&gt;""),Input!$B$26&amp;";",""),IF(AND($G11&lt;Hta_7,$G11&gt;=Hba_7,Input!Z$27&lt;&gt;""),Input!$B$27&amp;";",""),IF(AND($G11&lt;Hta_8,$G11&gt;=Hba_8,Input!Z$28&lt;&gt;""),Input!$B$28&amp;";",""),IF(AND($G11&lt;Hta_9,$G11&gt;=Hba_9,Input!Z$29&lt;&gt;""),Input!$B$29&amp;";",""),IF(AND($G11&lt;Hta_10,$G11&gt;=Hba_10,Input!Z$30&lt;&gt;""),Input!$B$30&amp;";",""),IF(AND($G11&lt;Hta_11,$G11&gt;=Hba_11,Input!Z$31&lt;&gt;""),Input!$B$31&amp;";",""),IF(AND($G11&lt;Hta_12,$G11&gt;=Hba_12,Input!Z$32&lt;&gt;""),Input!$B$32&amp;";",""),IF(AND($G11&lt;Hta_13,$G11&gt;=Hba_13,Input!Z$33&lt;&gt;""),Input!$B$33&amp;";",""),IF(AND($G11&lt;Hta_14,$G11&gt;=Hba_14,Input!Z$34&lt;&gt;""),Input!$B$34&amp;";",""),IF(AND($G11&lt;Hta_15,$G11&gt;=Hba_15,Input!Z$35&lt;&gt;""),Input!$B$35&amp;";",""),IF(AND($G11&lt;Hta_16,$G11&gt;=Hba_16,Input!Z$36&lt;&gt;""),Input!$B$36&amp;";",""),IF(AND($G11&lt;Hta_17,$G11&gt;=Hba_17,Input!Z$37&lt;&gt;""),Input!$B$37&amp;";",""),IF(AND($G11&lt;Hta_18,$G11&gt;=Hba_18,Input!Z$38&lt;&gt;""),Input!$B$38&amp;";",""),IF(AND($G11&lt;Hta_19,$G11&gt;=Hba_19,Input!Z$39&lt;&gt;""),Input!$B$39&amp;";",""),IF(AND($G11&lt;Hta_20,$G11&gt;=Hba_20,Input!Z$40&lt;&gt;""),Input!$B$40&amp;";",""),IF(AND($G11&lt;Hta_21,$G11&gt;=Hba_21,Input!Z$41&lt;&gt;""),Input!$B$41&amp;";",""),IF(AND($G11&lt;Hta_22,$G11&gt;=Hba_22,Input!Z$42&lt;&gt;""),Input!$B$42&amp;";",""),IF(AND($G11&lt;Hta_23,$G11&gt;=Hba_23,Input!Z$43&lt;&gt;""),Input!$B$43&amp;";",""),IF(AND($G11&lt;Hta_24,$G11&gt;=Hba_24,Input!Z$44&lt;&gt;""),Input!$B$44&amp;";",""),IF(AND($G11&lt;Hta_25,$G11&gt;=Hba_25,Input!Z$45&lt;&gt;""),Input!$B$45&amp;";",""),IF(AND($G11&lt;Hta_26,$G11&gt;=Hba_26,Input!Z$46&lt;&gt;""),Input!$B$46&amp;";",""),IF(AND($G11&lt;Hta_27,$G11&gt;=Hba_27,Input!Z$47&lt;&gt;""),Input!$B$47&amp;";",""),IF(AND($G11&lt;Hta_28,$G11&gt;=Hba_28,Input!Z$48&lt;&gt;""),Input!$B$48&amp;";",""),IF(AND($G11&lt;Hta_29,$G11&gt;=Hba_29,Input!Z$49&lt;&gt;""),Input!$B$49&amp;";",""),IF(AND($G11&lt;Hta_30,$G11&gt;=Hba_30,Input!Z$50&lt;&gt;""),Input!$B$50&amp;";","")),"")</f>
        <v/>
      </c>
      <c r="CB11" s="25" t="str">
        <f>IFERROR(CONCATENATE(IF(AND($G11&lt;Hta_1,$G11&gt;=Hba_1,Input!AA$21&lt;&gt;""),Input!$B$21&amp;";",""),IF(AND($G11&lt;Hta_2,$G11&gt;=Hba_2,Input!AA$22&lt;&gt;""),Input!$B$22&amp;";",""),IF(AND($G11&lt;Hta_3,$G11&gt;=Hba_3,Input!AA$23&lt;&gt;""),Input!$B$23&amp;";",""),IF(AND($G11&lt;Hta_4,$G11&gt;=Hba_4,Input!AA$24&lt;&gt;""),Input!$B$24&amp;";",""),IF(AND($G11&lt;Hta_5,$G11&gt;=Hba_5,Input!AA$25&lt;&gt;""),Input!$B$25&amp;";",""),IF(AND($G11&lt;Hta_6,$G11&gt;=Hba_6,Input!AA$26&lt;&gt;""),Input!$B$26&amp;";",""),IF(AND($G11&lt;Hta_7,$G11&gt;=Hba_7,Input!AA$27&lt;&gt;""),Input!$B$27&amp;";",""),IF(AND($G11&lt;Hta_8,$G11&gt;=Hba_8,Input!AA$28&lt;&gt;""),Input!$B$28&amp;";",""),IF(AND($G11&lt;Hta_9,$G11&gt;=Hba_9,Input!AA$29&lt;&gt;""),Input!$B$29&amp;";",""),IF(AND($G11&lt;Hta_10,$G11&gt;=Hba_10,Input!AA$30&lt;&gt;""),Input!$B$30&amp;";",""),IF(AND($G11&lt;Hta_11,$G11&gt;=Hba_11,Input!AA$31&lt;&gt;""),Input!$B$31&amp;";",""),IF(AND($G11&lt;Hta_12,$G11&gt;=Hba_12,Input!AA$32&lt;&gt;""),Input!$B$32&amp;";",""),IF(AND($G11&lt;Hta_13,$G11&gt;=Hba_13,Input!AA$33&lt;&gt;""),Input!$B$33&amp;";",""),IF(AND($G11&lt;Hta_14,$G11&gt;=Hba_14,Input!AA$34&lt;&gt;""),Input!$B$34&amp;";",""),IF(AND($G11&lt;Hta_15,$G11&gt;=Hba_15,Input!AA$35&lt;&gt;""),Input!$B$35&amp;";",""),IF(AND($G11&lt;Hta_16,$G11&gt;=Hba_16,Input!AA$36&lt;&gt;""),Input!$B$36&amp;";",""),IF(AND($G11&lt;Hta_17,$G11&gt;=Hba_17,Input!AA$37&lt;&gt;""),Input!$B$37&amp;";",""),IF(AND($G11&lt;Hta_18,$G11&gt;=Hba_18,Input!AA$38&lt;&gt;""),Input!$B$38&amp;";",""),IF(AND($G11&lt;Hta_19,$G11&gt;=Hba_19,Input!AA$39&lt;&gt;""),Input!$B$39&amp;";",""),IF(AND($G11&lt;Hta_20,$G11&gt;=Hba_20,Input!AA$40&lt;&gt;""),Input!$B$40&amp;";",""),IF(AND($G11&lt;Hta_21,$G11&gt;=Hba_21,Input!AA$41&lt;&gt;""),Input!$B$41&amp;";",""),IF(AND($G11&lt;Hta_22,$G11&gt;=Hba_22,Input!AA$42&lt;&gt;""),Input!$B$42&amp;";",""),IF(AND($G11&lt;Hta_23,$G11&gt;=Hba_23,Input!AA$43&lt;&gt;""),Input!$B$43&amp;";",""),IF(AND($G11&lt;Hta_24,$G11&gt;=Hba_24,Input!AA$44&lt;&gt;""),Input!$B$44&amp;";",""),IF(AND($G11&lt;Hta_25,$G11&gt;=Hba_25,Input!AA$45&lt;&gt;""),Input!$B$45&amp;";",""),IF(AND($G11&lt;Hta_26,$G11&gt;=Hba_26,Input!AA$46&lt;&gt;""),Input!$B$46&amp;";",""),IF(AND($G11&lt;Hta_27,$G11&gt;=Hba_27,Input!AA$47&lt;&gt;""),Input!$B$47&amp;";",""),IF(AND($G11&lt;Hta_28,$G11&gt;=Hba_28,Input!AA$48&lt;&gt;""),Input!$B$48&amp;";",""),IF(AND($G11&lt;Hta_29,$G11&gt;=Hba_29,Input!AA$49&lt;&gt;""),Input!$B$49&amp;";",""),IF(AND($G11&lt;Hta_30,$G11&gt;=Hba_30,Input!AA$50&lt;&gt;""),Input!$B$50&amp;";","")),"")</f>
        <v/>
      </c>
      <c r="CC11" s="25" t="str">
        <f>IFERROR(CONCATENATE(IF(AND($G11&lt;Hta_1,$G11&gt;=Hba_1,Input!AB$21&lt;&gt;""),Input!$B$21&amp;";",""),IF(AND($G11&lt;Hta_2,$G11&gt;=Hba_2,Input!AB$22&lt;&gt;""),Input!$B$22&amp;";",""),IF(AND($G11&lt;Hta_3,$G11&gt;=Hba_3,Input!AB$23&lt;&gt;""),Input!$B$23&amp;";",""),IF(AND($G11&lt;Hta_4,$G11&gt;=Hba_4,Input!AB$24&lt;&gt;""),Input!$B$24&amp;";",""),IF(AND($G11&lt;Hta_5,$G11&gt;=Hba_5,Input!AB$25&lt;&gt;""),Input!$B$25&amp;";",""),IF(AND($G11&lt;Hta_6,$G11&gt;=Hba_6,Input!AB$26&lt;&gt;""),Input!$B$26&amp;";",""),IF(AND($G11&lt;Hta_7,$G11&gt;=Hba_7,Input!AB$27&lt;&gt;""),Input!$B$27&amp;";",""),IF(AND($G11&lt;Hta_8,$G11&gt;=Hba_8,Input!AB$28&lt;&gt;""),Input!$B$28&amp;";",""),IF(AND($G11&lt;Hta_9,$G11&gt;=Hba_9,Input!AB$29&lt;&gt;""),Input!$B$29&amp;";",""),IF(AND($G11&lt;Hta_10,$G11&gt;=Hba_10,Input!AB$30&lt;&gt;""),Input!$B$30&amp;";",""),IF(AND($G11&lt;Hta_11,$G11&gt;=Hba_11,Input!AB$31&lt;&gt;""),Input!$B$31&amp;";",""),IF(AND($G11&lt;Hta_12,$G11&gt;=Hba_12,Input!AB$32&lt;&gt;""),Input!$B$32&amp;";",""),IF(AND($G11&lt;Hta_13,$G11&gt;=Hba_13,Input!AB$33&lt;&gt;""),Input!$B$33&amp;";",""),IF(AND($G11&lt;Hta_14,$G11&gt;=Hba_14,Input!AB$34&lt;&gt;""),Input!$B$34&amp;";",""),IF(AND($G11&lt;Hta_15,$G11&gt;=Hba_15,Input!AB$35&lt;&gt;""),Input!$B$35&amp;";",""),IF(AND($G11&lt;Hta_16,$G11&gt;=Hba_16,Input!AB$36&lt;&gt;""),Input!$B$36&amp;";",""),IF(AND($G11&lt;Hta_17,$G11&gt;=Hba_17,Input!AB$37&lt;&gt;""),Input!$B$37&amp;";",""),IF(AND($G11&lt;Hta_18,$G11&gt;=Hba_18,Input!AB$38&lt;&gt;""),Input!$B$38&amp;";",""),IF(AND($G11&lt;Hta_19,$G11&gt;=Hba_19,Input!AB$39&lt;&gt;""),Input!$B$39&amp;";",""),IF(AND($G11&lt;Hta_20,$G11&gt;=Hba_20,Input!AB$40&lt;&gt;""),Input!$B$40&amp;";",""),IF(AND($G11&lt;Hta_21,$G11&gt;=Hba_21,Input!AB$41&lt;&gt;""),Input!$B$41&amp;";",""),IF(AND($G11&lt;Hta_22,$G11&gt;=Hba_22,Input!AB$42&lt;&gt;""),Input!$B$42&amp;";",""),IF(AND($G11&lt;Hta_23,$G11&gt;=Hba_23,Input!AB$43&lt;&gt;""),Input!$B$43&amp;";",""),IF(AND($G11&lt;Hta_24,$G11&gt;=Hba_24,Input!AB$44&lt;&gt;""),Input!$B$44&amp;";",""),IF(AND($G11&lt;Hta_25,$G11&gt;=Hba_25,Input!AB$45&lt;&gt;""),Input!$B$45&amp;";",""),IF(AND($G11&lt;Hta_26,$G11&gt;=Hba_26,Input!AB$46&lt;&gt;""),Input!$B$46&amp;";",""),IF(AND($G11&lt;Hta_27,$G11&gt;=Hba_27,Input!AB$47&lt;&gt;""),Input!$B$47&amp;";",""),IF(AND($G11&lt;Hta_28,$G11&gt;=Hba_28,Input!AB$48&lt;&gt;""),Input!$B$48&amp;";",""),IF(AND($G11&lt;Hta_29,$G11&gt;=Hba_29,Input!AB$49&lt;&gt;""),Input!$B$49&amp;";",""),IF(AND($G11&lt;Hta_30,$G11&gt;=Hba_30,Input!AB$50&lt;&gt;""),Input!$B$50&amp;";","")),"")</f>
        <v/>
      </c>
      <c r="CD11" s="25" t="str">
        <f>IFERROR(CONCATENATE(IF(AND($G11&lt;Hta_1,$G11&gt;=Hba_1,Input!AC$21&lt;&gt;""),Input!$B$21&amp;";",""),IF(AND($G11&lt;Hta_2,$G11&gt;=Hba_2,Input!AC$22&lt;&gt;""),Input!$B$22&amp;";",""),IF(AND($G11&lt;Hta_3,$G11&gt;=Hba_3,Input!AC$23&lt;&gt;""),Input!$B$23&amp;";",""),IF(AND($G11&lt;Hta_4,$G11&gt;=Hba_4,Input!AC$24&lt;&gt;""),Input!$B$24&amp;";",""),IF(AND($G11&lt;Hta_5,$G11&gt;=Hba_5,Input!AC$25&lt;&gt;""),Input!$B$25&amp;";",""),IF(AND($G11&lt;Hta_6,$G11&gt;=Hba_6,Input!AC$26&lt;&gt;""),Input!$B$26&amp;";",""),IF(AND($G11&lt;Hta_7,$G11&gt;=Hba_7,Input!AC$27&lt;&gt;""),Input!$B$27&amp;";",""),IF(AND($G11&lt;Hta_8,$G11&gt;=Hba_8,Input!AC$28&lt;&gt;""),Input!$B$28&amp;";",""),IF(AND($G11&lt;Hta_9,$G11&gt;=Hba_9,Input!AC$29&lt;&gt;""),Input!$B$29&amp;";",""),IF(AND($G11&lt;Hta_10,$G11&gt;=Hba_10,Input!AC$30&lt;&gt;""),Input!$B$30&amp;";",""),IF(AND($G11&lt;Hta_11,$G11&gt;=Hba_11,Input!AC$31&lt;&gt;""),Input!$B$31&amp;";",""),IF(AND($G11&lt;Hta_12,$G11&gt;=Hba_12,Input!AC$32&lt;&gt;""),Input!$B$32&amp;";",""),IF(AND($G11&lt;Hta_13,$G11&gt;=Hba_13,Input!AC$33&lt;&gt;""),Input!$B$33&amp;";",""),IF(AND($G11&lt;Hta_14,$G11&gt;=Hba_14,Input!AC$34&lt;&gt;""),Input!$B$34&amp;";",""),IF(AND($G11&lt;Hta_15,$G11&gt;=Hba_15,Input!AC$35&lt;&gt;""),Input!$B$35&amp;";",""),IF(AND($G11&lt;Hta_16,$G11&gt;=Hba_16,Input!AC$36&lt;&gt;""),Input!$B$36&amp;";",""),IF(AND($G11&lt;Hta_17,$G11&gt;=Hba_17,Input!AC$37&lt;&gt;""),Input!$B$37&amp;";",""),IF(AND($G11&lt;Hta_18,$G11&gt;=Hba_18,Input!AC$38&lt;&gt;""),Input!$B$38&amp;";",""),IF(AND($G11&lt;Hta_19,$G11&gt;=Hba_19,Input!AC$39&lt;&gt;""),Input!$B$39&amp;";",""),IF(AND($G11&lt;Hta_20,$G11&gt;=Hba_20,Input!AC$40&lt;&gt;""),Input!$B$40&amp;";",""),IF(AND($G11&lt;Hta_21,$G11&gt;=Hba_21,Input!AC$41&lt;&gt;""),Input!$B$41&amp;";",""),IF(AND($G11&lt;Hta_22,$G11&gt;=Hba_22,Input!AC$42&lt;&gt;""),Input!$B$42&amp;";",""),IF(AND($G11&lt;Hta_23,$G11&gt;=Hba_23,Input!AC$43&lt;&gt;""),Input!$B$43&amp;";",""),IF(AND($G11&lt;Hta_24,$G11&gt;=Hba_24,Input!AC$44&lt;&gt;""),Input!$B$44&amp;";",""),IF(AND($G11&lt;Hta_25,$G11&gt;=Hba_25,Input!AC$45&lt;&gt;""),Input!$B$45&amp;";",""),IF(AND($G11&lt;Hta_26,$G11&gt;=Hba_26,Input!AC$46&lt;&gt;""),Input!$B$46&amp;";",""),IF(AND($G11&lt;Hta_27,$G11&gt;=Hba_27,Input!AC$47&lt;&gt;""),Input!$B$47&amp;";",""),IF(AND($G11&lt;Hta_28,$G11&gt;=Hba_28,Input!AC$48&lt;&gt;""),Input!$B$48&amp;";",""),IF(AND($G11&lt;Hta_29,$G11&gt;=Hba_29,Input!AC$49&lt;&gt;""),Input!$B$49&amp;";",""),IF(AND($G11&lt;Hta_30,$G11&gt;=Hba_30,Input!AC$50&lt;&gt;""),Input!$B$50&amp;";","")),"")</f>
        <v/>
      </c>
      <c r="CE11" s="25" t="str">
        <f>IFERROR(CONCATENATE(IF(AND($G11&lt;Hta_1,$G11&gt;=Hba_1,Input!AD$21&lt;&gt;""),Input!$B$21&amp;";",""),IF(AND($G11&lt;Hta_2,$G11&gt;=Hba_2,Input!AD$22&lt;&gt;""),Input!$B$22&amp;";",""),IF(AND($G11&lt;Hta_3,$G11&gt;=Hba_3,Input!AD$23&lt;&gt;""),Input!$B$23&amp;";",""),IF(AND($G11&lt;Hta_4,$G11&gt;=Hba_4,Input!AD$24&lt;&gt;""),Input!$B$24&amp;";",""),IF(AND($G11&lt;Hta_5,$G11&gt;=Hba_5,Input!AD$25&lt;&gt;""),Input!$B$25&amp;";",""),IF(AND($G11&lt;Hta_6,$G11&gt;=Hba_6,Input!AD$26&lt;&gt;""),Input!$B$26&amp;";",""),IF(AND($G11&lt;Hta_7,$G11&gt;=Hba_7,Input!AD$27&lt;&gt;""),Input!$B$27&amp;";",""),IF(AND($G11&lt;Hta_8,$G11&gt;=Hba_8,Input!AD$28&lt;&gt;""),Input!$B$28&amp;";",""),IF(AND($G11&lt;Hta_9,$G11&gt;=Hba_9,Input!AD$29&lt;&gt;""),Input!$B$29&amp;";",""),IF(AND($G11&lt;Hta_10,$G11&gt;=Hba_10,Input!AD$30&lt;&gt;""),Input!$B$30&amp;";",""),IF(AND($G11&lt;Hta_11,$G11&gt;=Hba_11,Input!AD$31&lt;&gt;""),Input!$B$31&amp;";",""),IF(AND($G11&lt;Hta_12,$G11&gt;=Hba_12,Input!AD$32&lt;&gt;""),Input!$B$32&amp;";",""),IF(AND($G11&lt;Hta_13,$G11&gt;=Hba_13,Input!AD$33&lt;&gt;""),Input!$B$33&amp;";",""),IF(AND($G11&lt;Hta_14,$G11&gt;=Hba_14,Input!AD$34&lt;&gt;""),Input!$B$34&amp;";",""),IF(AND($G11&lt;Hta_15,$G11&gt;=Hba_15,Input!AD$35&lt;&gt;""),Input!$B$35&amp;";",""),IF(AND($G11&lt;Hta_16,$G11&gt;=Hba_16,Input!AD$36&lt;&gt;""),Input!$B$36&amp;";",""),IF(AND($G11&lt;Hta_17,$G11&gt;=Hba_17,Input!AD$37&lt;&gt;""),Input!$B$37&amp;";",""),IF(AND($G11&lt;Hta_18,$G11&gt;=Hba_18,Input!AD$38&lt;&gt;""),Input!$B$38&amp;";",""),IF(AND($G11&lt;Hta_19,$G11&gt;=Hba_19,Input!AD$39&lt;&gt;""),Input!$B$39&amp;";",""),IF(AND($G11&lt;Hta_20,$G11&gt;=Hba_20,Input!AD$40&lt;&gt;""),Input!$B$40&amp;";",""),IF(AND($G11&lt;Hta_21,$G11&gt;=Hba_21,Input!AD$41&lt;&gt;""),Input!$B$41&amp;";",""),IF(AND($G11&lt;Hta_22,$G11&gt;=Hba_22,Input!AD$42&lt;&gt;""),Input!$B$42&amp;";",""),IF(AND($G11&lt;Hta_23,$G11&gt;=Hba_23,Input!AD$43&lt;&gt;""),Input!$B$43&amp;";",""),IF(AND($G11&lt;Hta_24,$G11&gt;=Hba_24,Input!AD$44&lt;&gt;""),Input!$B$44&amp;";",""),IF(AND($G11&lt;Hta_25,$G11&gt;=Hba_25,Input!AD$45&lt;&gt;""),Input!$B$45&amp;";",""),IF(AND($G11&lt;Hta_26,$G11&gt;=Hba_26,Input!AD$46&lt;&gt;""),Input!$B$46&amp;";",""),IF(AND($G11&lt;Hta_27,$G11&gt;=Hba_27,Input!AD$47&lt;&gt;""),Input!$B$47&amp;";",""),IF(AND($G11&lt;Hta_28,$G11&gt;=Hba_28,Input!AD$48&lt;&gt;""),Input!$B$48&amp;";",""),IF(AND($G11&lt;Hta_29,$G11&gt;=Hba_29,Input!AD$49&lt;&gt;""),Input!$B$49&amp;";",""),IF(AND($G11&lt;Hta_30,$G11&gt;=Hba_30,Input!AD$50&lt;&gt;""),Input!$B$50&amp;";","")),"")</f>
        <v/>
      </c>
      <c r="CF11" s="25" t="str">
        <f>IFERROR(CONCATENATE(IF(AND($G11&lt;Hta_1,$G11&gt;=Hba_1,Input!AE$21&lt;&gt;""),Input!$B$21&amp;";",""),IF(AND($G11&lt;Hta_2,$G11&gt;=Hba_2,Input!AE$22&lt;&gt;""),Input!$B$22&amp;";",""),IF(AND($G11&lt;Hta_3,$G11&gt;=Hba_3,Input!AE$23&lt;&gt;""),Input!$B$23&amp;";",""),IF(AND($G11&lt;Hta_4,$G11&gt;=Hba_4,Input!AE$24&lt;&gt;""),Input!$B$24&amp;";",""),IF(AND($G11&lt;Hta_5,$G11&gt;=Hba_5,Input!AE$25&lt;&gt;""),Input!$B$25&amp;";",""),IF(AND($G11&lt;Hta_6,$G11&gt;=Hba_6,Input!AE$26&lt;&gt;""),Input!$B$26&amp;";",""),IF(AND($G11&lt;Hta_7,$G11&gt;=Hba_7,Input!AE$27&lt;&gt;""),Input!$B$27&amp;";",""),IF(AND($G11&lt;Hta_8,$G11&gt;=Hba_8,Input!AE$28&lt;&gt;""),Input!$B$28&amp;";",""),IF(AND($G11&lt;Hta_9,$G11&gt;=Hba_9,Input!AE$29&lt;&gt;""),Input!$B$29&amp;";",""),IF(AND($G11&lt;Hta_10,$G11&gt;=Hba_10,Input!AE$30&lt;&gt;""),Input!$B$30&amp;";",""),IF(AND($G11&lt;Hta_11,$G11&gt;=Hba_11,Input!AE$31&lt;&gt;""),Input!$B$31&amp;";",""),IF(AND($G11&lt;Hta_12,$G11&gt;=Hba_12,Input!AE$32&lt;&gt;""),Input!$B$32&amp;";",""),IF(AND($G11&lt;Hta_13,$G11&gt;=Hba_13,Input!AE$33&lt;&gt;""),Input!$B$33&amp;";",""),IF(AND($G11&lt;Hta_14,$G11&gt;=Hba_14,Input!AE$34&lt;&gt;""),Input!$B$34&amp;";",""),IF(AND($G11&lt;Hta_15,$G11&gt;=Hba_15,Input!AE$35&lt;&gt;""),Input!$B$35&amp;";",""),IF(AND($G11&lt;Hta_16,$G11&gt;=Hba_16,Input!AE$36&lt;&gt;""),Input!$B$36&amp;";",""),IF(AND($G11&lt;Hta_17,$G11&gt;=Hba_17,Input!AE$37&lt;&gt;""),Input!$B$37&amp;";",""),IF(AND($G11&lt;Hta_18,$G11&gt;=Hba_18,Input!AE$38&lt;&gt;""),Input!$B$38&amp;";",""),IF(AND($G11&lt;Hta_19,$G11&gt;=Hba_19,Input!AE$39&lt;&gt;""),Input!$B$39&amp;";",""),IF(AND($G11&lt;Hta_20,$G11&gt;=Hba_20,Input!AE$40&lt;&gt;""),Input!$B$40&amp;";",""),IF(AND($G11&lt;Hta_21,$G11&gt;=Hba_21,Input!AE$41&lt;&gt;""),Input!$B$41&amp;";",""),IF(AND($G11&lt;Hta_22,$G11&gt;=Hba_22,Input!AE$42&lt;&gt;""),Input!$B$42&amp;";",""),IF(AND($G11&lt;Hta_23,$G11&gt;=Hba_23,Input!AE$43&lt;&gt;""),Input!$B$43&amp;";",""),IF(AND($G11&lt;Hta_24,$G11&gt;=Hba_24,Input!AE$44&lt;&gt;""),Input!$B$44&amp;";",""),IF(AND($G11&lt;Hta_25,$G11&gt;=Hba_25,Input!AE$45&lt;&gt;""),Input!$B$45&amp;";",""),IF(AND($G11&lt;Hta_26,$G11&gt;=Hba_26,Input!AE$46&lt;&gt;""),Input!$B$46&amp;";",""),IF(AND($G11&lt;Hta_27,$G11&gt;=Hba_27,Input!AE$47&lt;&gt;""),Input!$B$47&amp;";",""),IF(AND($G11&lt;Hta_28,$G11&gt;=Hba_28,Input!AE$48&lt;&gt;""),Input!$B$48&amp;";",""),IF(AND($G11&lt;Hta_29,$G11&gt;=Hba_29,Input!AE$49&lt;&gt;""),Input!$B$49&amp;";",""),IF(AND($G11&lt;Hta_30,$G11&gt;=Hba_30,Input!AE$50&lt;&gt;""),Input!$B$50&amp;";","")),"")</f>
        <v/>
      </c>
      <c r="CG11" s="25" t="str">
        <f>IFERROR(CONCATENATE(IF(AND($G11&lt;Hta_1,$G11&gt;=Hba_1,Input!AF$21&lt;&gt;""),Input!$B$21&amp;";",""),IF(AND($G11&lt;Hta_2,$G11&gt;=Hba_2,Input!AF$22&lt;&gt;""),Input!$B$22&amp;";",""),IF(AND($G11&lt;Hta_3,$G11&gt;=Hba_3,Input!AF$23&lt;&gt;""),Input!$B$23&amp;";",""),IF(AND($G11&lt;Hta_4,$G11&gt;=Hba_4,Input!AF$24&lt;&gt;""),Input!$B$24&amp;";",""),IF(AND($G11&lt;Hta_5,$G11&gt;=Hba_5,Input!AF$25&lt;&gt;""),Input!$B$25&amp;";",""),IF(AND($G11&lt;Hta_6,$G11&gt;=Hba_6,Input!AF$26&lt;&gt;""),Input!$B$26&amp;";",""),IF(AND($G11&lt;Hta_7,$G11&gt;=Hba_7,Input!AF$27&lt;&gt;""),Input!$B$27&amp;";",""),IF(AND($G11&lt;Hta_8,$G11&gt;=Hba_8,Input!AF$28&lt;&gt;""),Input!$B$28&amp;";",""),IF(AND($G11&lt;Hta_9,$G11&gt;=Hba_9,Input!AF$29&lt;&gt;""),Input!$B$29&amp;";",""),IF(AND($G11&lt;Hta_10,$G11&gt;=Hba_10,Input!AF$30&lt;&gt;""),Input!$B$30&amp;";",""),IF(AND($G11&lt;Hta_11,$G11&gt;=Hba_11,Input!AF$31&lt;&gt;""),Input!$B$31&amp;";",""),IF(AND($G11&lt;Hta_12,$G11&gt;=Hba_12,Input!AF$32&lt;&gt;""),Input!$B$32&amp;";",""),IF(AND($G11&lt;Hta_13,$G11&gt;=Hba_13,Input!AF$33&lt;&gt;""),Input!$B$33&amp;";",""),IF(AND($G11&lt;Hta_14,$G11&gt;=Hba_14,Input!AF$34&lt;&gt;""),Input!$B$34&amp;";",""),IF(AND($G11&lt;Hta_15,$G11&gt;=Hba_15,Input!AF$35&lt;&gt;""),Input!$B$35&amp;";",""),IF(AND($G11&lt;Hta_16,$G11&gt;=Hba_16,Input!AF$36&lt;&gt;""),Input!$B$36&amp;";",""),IF(AND($G11&lt;Hta_17,$G11&gt;=Hba_17,Input!AF$37&lt;&gt;""),Input!$B$37&amp;";",""),IF(AND($G11&lt;Hta_18,$G11&gt;=Hba_18,Input!AF$38&lt;&gt;""),Input!$B$38&amp;";",""),IF(AND($G11&lt;Hta_19,$G11&gt;=Hba_19,Input!AF$39&lt;&gt;""),Input!$B$39&amp;";",""),IF(AND($G11&lt;Hta_20,$G11&gt;=Hba_20,Input!AF$40&lt;&gt;""),Input!$B$40&amp;";",""),IF(AND($G11&lt;Hta_21,$G11&gt;=Hba_21,Input!AF$41&lt;&gt;""),Input!$B$41&amp;";",""),IF(AND($G11&lt;Hta_22,$G11&gt;=Hba_22,Input!AF$42&lt;&gt;""),Input!$B$42&amp;";",""),IF(AND($G11&lt;Hta_23,$G11&gt;=Hba_23,Input!AF$43&lt;&gt;""),Input!$B$43&amp;";",""),IF(AND($G11&lt;Hta_24,$G11&gt;=Hba_24,Input!AF$44&lt;&gt;""),Input!$B$44&amp;";",""),IF(AND($G11&lt;Hta_25,$G11&gt;=Hba_25,Input!AF$45&lt;&gt;""),Input!$B$45&amp;";",""),IF(AND($G11&lt;Hta_26,$G11&gt;=Hba_26,Input!AF$46&lt;&gt;""),Input!$B$46&amp;";",""),IF(AND($G11&lt;Hta_27,$G11&gt;=Hba_27,Input!AF$47&lt;&gt;""),Input!$B$47&amp;";",""),IF(AND($G11&lt;Hta_28,$G11&gt;=Hba_28,Input!AF$48&lt;&gt;""),Input!$B$48&amp;";",""),IF(AND($G11&lt;Hta_29,$G11&gt;=Hba_29,Input!AF$49&lt;&gt;""),Input!$B$49&amp;";",""),IF(AND($G11&lt;Hta_30,$G11&gt;=Hba_30,Input!AF$50&lt;&gt;""),Input!$B$50&amp;";","")),"")</f>
        <v/>
      </c>
      <c r="CH11" s="25" t="str">
        <f>IFERROR(CONCATENATE(IF(AND($G11&lt;Hta_1,$G11&gt;=Hba_1,Input!AG$21&lt;&gt;""),Input!$B$21&amp;";",""),IF(AND($G11&lt;Hta_2,$G11&gt;=Hba_2,Input!AG$22&lt;&gt;""),Input!$B$22&amp;";",""),IF(AND($G11&lt;Hta_3,$G11&gt;=Hba_3,Input!AG$23&lt;&gt;""),Input!$B$23&amp;";",""),IF(AND($G11&lt;Hta_4,$G11&gt;=Hba_4,Input!AG$24&lt;&gt;""),Input!$B$24&amp;";",""),IF(AND($G11&lt;Hta_5,$G11&gt;=Hba_5,Input!AG$25&lt;&gt;""),Input!$B$25&amp;";",""),IF(AND($G11&lt;Hta_6,$G11&gt;=Hba_6,Input!AG$26&lt;&gt;""),Input!$B$26&amp;";",""),IF(AND($G11&lt;Hta_7,$G11&gt;=Hba_7,Input!AG$27&lt;&gt;""),Input!$B$27&amp;";",""),IF(AND($G11&lt;Hta_8,$G11&gt;=Hba_8,Input!AG$28&lt;&gt;""),Input!$B$28&amp;";",""),IF(AND($G11&lt;Hta_9,$G11&gt;=Hba_9,Input!AG$29&lt;&gt;""),Input!$B$29&amp;";",""),IF(AND($G11&lt;Hta_10,$G11&gt;=Hba_10,Input!AG$30&lt;&gt;""),Input!$B$30&amp;";",""),IF(AND($G11&lt;Hta_11,$G11&gt;=Hba_11,Input!AG$31&lt;&gt;""),Input!$B$31&amp;";",""),IF(AND($G11&lt;Hta_12,$G11&gt;=Hba_12,Input!AG$32&lt;&gt;""),Input!$B$32&amp;";",""),IF(AND($G11&lt;Hta_13,$G11&gt;=Hba_13,Input!AG$33&lt;&gt;""),Input!$B$33&amp;";",""),IF(AND($G11&lt;Hta_14,$G11&gt;=Hba_14,Input!AG$34&lt;&gt;""),Input!$B$34&amp;";",""),IF(AND($G11&lt;Hta_15,$G11&gt;=Hba_15,Input!AG$35&lt;&gt;""),Input!$B$35&amp;";",""),IF(AND($G11&lt;Hta_16,$G11&gt;=Hba_16,Input!AG$36&lt;&gt;""),Input!$B$36&amp;";",""),IF(AND($G11&lt;Hta_17,$G11&gt;=Hba_17,Input!AG$37&lt;&gt;""),Input!$B$37&amp;";",""),IF(AND($G11&lt;Hta_18,$G11&gt;=Hba_18,Input!AG$38&lt;&gt;""),Input!$B$38&amp;";",""),IF(AND($G11&lt;Hta_19,$G11&gt;=Hba_19,Input!AG$39&lt;&gt;""),Input!$B$39&amp;";",""),IF(AND($G11&lt;Hta_20,$G11&gt;=Hba_20,Input!AG$40&lt;&gt;""),Input!$B$40&amp;";",""),IF(AND($G11&lt;Hta_21,$G11&gt;=Hba_21,Input!AG$41&lt;&gt;""),Input!$B$41&amp;";",""),IF(AND($G11&lt;Hta_22,$G11&gt;=Hba_22,Input!AG$42&lt;&gt;""),Input!$B$42&amp;";",""),IF(AND($G11&lt;Hta_23,$G11&gt;=Hba_23,Input!AG$43&lt;&gt;""),Input!$B$43&amp;";",""),IF(AND($G11&lt;Hta_24,$G11&gt;=Hba_24,Input!AG$44&lt;&gt;""),Input!$B$44&amp;";",""),IF(AND($G11&lt;Hta_25,$G11&gt;=Hba_25,Input!AG$45&lt;&gt;""),Input!$B$45&amp;";",""),IF(AND($G11&lt;Hta_26,$G11&gt;=Hba_26,Input!AG$46&lt;&gt;""),Input!$B$46&amp;";",""),IF(AND($G11&lt;Hta_27,$G11&gt;=Hba_27,Input!AG$47&lt;&gt;""),Input!$B$47&amp;";",""),IF(AND($G11&lt;Hta_28,$G11&gt;=Hba_28,Input!AG$48&lt;&gt;""),Input!$B$48&amp;";",""),IF(AND($G11&lt;Hta_29,$G11&gt;=Hba_29,Input!AG$49&lt;&gt;""),Input!$B$49&amp;";",""),IF(AND($G11&lt;Hta_30,$G11&gt;=Hba_30,Input!AG$50&lt;&gt;""),Input!$B$50&amp;";","")),"")</f>
        <v/>
      </c>
      <c r="CI11" s="25" t="str">
        <f>IFERROR(CONCATENATE(IF(AND($G11&lt;Hta_1,$G11&gt;=Hba_1,Input!AH$21&lt;&gt;""),Input!$B$21&amp;";",""),IF(AND($G11&lt;Hta_2,$G11&gt;=Hba_2,Input!AH$22&lt;&gt;""),Input!$B$22&amp;";",""),IF(AND($G11&lt;Hta_3,$G11&gt;=Hba_3,Input!AH$23&lt;&gt;""),Input!$B$23&amp;";",""),IF(AND($G11&lt;Hta_4,$G11&gt;=Hba_4,Input!AH$24&lt;&gt;""),Input!$B$24&amp;";",""),IF(AND($G11&lt;Hta_5,$G11&gt;=Hba_5,Input!AH$25&lt;&gt;""),Input!$B$25&amp;";",""),IF(AND($G11&lt;Hta_6,$G11&gt;=Hba_6,Input!AH$26&lt;&gt;""),Input!$B$26&amp;";",""),IF(AND($G11&lt;Hta_7,$G11&gt;=Hba_7,Input!AH$27&lt;&gt;""),Input!$B$27&amp;";",""),IF(AND($G11&lt;Hta_8,$G11&gt;=Hba_8,Input!AH$28&lt;&gt;""),Input!$B$28&amp;";",""),IF(AND($G11&lt;Hta_9,$G11&gt;=Hba_9,Input!AH$29&lt;&gt;""),Input!$B$29&amp;";",""),IF(AND($G11&lt;Hta_10,$G11&gt;=Hba_10,Input!AH$30&lt;&gt;""),Input!$B$30&amp;";",""),IF(AND($G11&lt;Hta_11,$G11&gt;=Hba_11,Input!AH$31&lt;&gt;""),Input!$B$31&amp;";",""),IF(AND($G11&lt;Hta_12,$G11&gt;=Hba_12,Input!AH$32&lt;&gt;""),Input!$B$32&amp;";",""),IF(AND($G11&lt;Hta_13,$G11&gt;=Hba_13,Input!AH$33&lt;&gt;""),Input!$B$33&amp;";",""),IF(AND($G11&lt;Hta_14,$G11&gt;=Hba_14,Input!AH$34&lt;&gt;""),Input!$B$34&amp;";",""),IF(AND($G11&lt;Hta_15,$G11&gt;=Hba_15,Input!AH$35&lt;&gt;""),Input!$B$35&amp;";",""),IF(AND($G11&lt;Hta_16,$G11&gt;=Hba_16,Input!AH$36&lt;&gt;""),Input!$B$36&amp;";",""),IF(AND($G11&lt;Hta_17,$G11&gt;=Hba_17,Input!AH$37&lt;&gt;""),Input!$B$37&amp;";",""),IF(AND($G11&lt;Hta_18,$G11&gt;=Hba_18,Input!AH$38&lt;&gt;""),Input!$B$38&amp;";",""),IF(AND($G11&lt;Hta_19,$G11&gt;=Hba_19,Input!AH$39&lt;&gt;""),Input!$B$39&amp;";",""),IF(AND($G11&lt;Hta_20,$G11&gt;=Hba_20,Input!AH$40&lt;&gt;""),Input!$B$40&amp;";",""),IF(AND($G11&lt;Hta_21,$G11&gt;=Hba_21,Input!AH$41&lt;&gt;""),Input!$B$41&amp;";",""),IF(AND($G11&lt;Hta_22,$G11&gt;=Hba_22,Input!AH$42&lt;&gt;""),Input!$B$42&amp;";",""),IF(AND($G11&lt;Hta_23,$G11&gt;=Hba_23,Input!AH$43&lt;&gt;""),Input!$B$43&amp;";",""),IF(AND($G11&lt;Hta_24,$G11&gt;=Hba_24,Input!AH$44&lt;&gt;""),Input!$B$44&amp;";",""),IF(AND($G11&lt;Hta_25,$G11&gt;=Hba_25,Input!AH$45&lt;&gt;""),Input!$B$45&amp;";",""),IF(AND($G11&lt;Hta_26,$G11&gt;=Hba_26,Input!AH$46&lt;&gt;""),Input!$B$46&amp;";",""),IF(AND($G11&lt;Hta_27,$G11&gt;=Hba_27,Input!AH$47&lt;&gt;""),Input!$B$47&amp;";",""),IF(AND($G11&lt;Hta_28,$G11&gt;=Hba_28,Input!AH$48&lt;&gt;""),Input!$B$48&amp;";",""),IF(AND($G11&lt;Hta_29,$G11&gt;=Hba_29,Input!AH$49&lt;&gt;""),Input!$B$49&amp;";",""),IF(AND($G11&lt;Hta_30,$G11&gt;=Hba_30,Input!AH$50&lt;&gt;""),Input!$B$50&amp;";","")),"")</f>
        <v/>
      </c>
      <c r="CJ11" s="25" t="str">
        <f>IFERROR(CONCATENATE(IF(AND($G11&lt;Hta_1,$G11&gt;=Hba_1,Input!AI$21&lt;&gt;""),Input!$B$21&amp;";",""),IF(AND($G11&lt;Hta_2,$G11&gt;=Hba_2,Input!AI$22&lt;&gt;""),Input!$B$22&amp;";",""),IF(AND($G11&lt;Hta_3,$G11&gt;=Hba_3,Input!AI$23&lt;&gt;""),Input!$B$23&amp;";",""),IF(AND($G11&lt;Hta_4,$G11&gt;=Hba_4,Input!AI$24&lt;&gt;""),Input!$B$24&amp;";",""),IF(AND($G11&lt;Hta_5,$G11&gt;=Hba_5,Input!AI$25&lt;&gt;""),Input!$B$25&amp;";",""),IF(AND($G11&lt;Hta_6,$G11&gt;=Hba_6,Input!AI$26&lt;&gt;""),Input!$B$26&amp;";",""),IF(AND($G11&lt;Hta_7,$G11&gt;=Hba_7,Input!AI$27&lt;&gt;""),Input!$B$27&amp;";",""),IF(AND($G11&lt;Hta_8,$G11&gt;=Hba_8,Input!AI$28&lt;&gt;""),Input!$B$28&amp;";",""),IF(AND($G11&lt;Hta_9,$G11&gt;=Hba_9,Input!AI$29&lt;&gt;""),Input!$B$29&amp;";",""),IF(AND($G11&lt;Hta_10,$G11&gt;=Hba_10,Input!AI$30&lt;&gt;""),Input!$B$30&amp;";",""),IF(AND($G11&lt;Hta_11,$G11&gt;=Hba_11,Input!AI$31&lt;&gt;""),Input!$B$31&amp;";",""),IF(AND($G11&lt;Hta_12,$G11&gt;=Hba_12,Input!AI$32&lt;&gt;""),Input!$B$32&amp;";",""),IF(AND($G11&lt;Hta_13,$G11&gt;=Hba_13,Input!AI$33&lt;&gt;""),Input!$B$33&amp;";",""),IF(AND($G11&lt;Hta_14,$G11&gt;=Hba_14,Input!AI$34&lt;&gt;""),Input!$B$34&amp;";",""),IF(AND($G11&lt;Hta_15,$G11&gt;=Hba_15,Input!AI$35&lt;&gt;""),Input!$B$35&amp;";",""),IF(AND($G11&lt;Hta_16,$G11&gt;=Hba_16,Input!AI$36&lt;&gt;""),Input!$B$36&amp;";",""),IF(AND($G11&lt;Hta_17,$G11&gt;=Hba_17,Input!AI$37&lt;&gt;""),Input!$B$37&amp;";",""),IF(AND($G11&lt;Hta_18,$G11&gt;=Hba_18,Input!AI$38&lt;&gt;""),Input!$B$38&amp;";",""),IF(AND($G11&lt;Hta_19,$G11&gt;=Hba_19,Input!AI$39&lt;&gt;""),Input!$B$39&amp;";",""),IF(AND($G11&lt;Hta_20,$G11&gt;=Hba_20,Input!AI$40&lt;&gt;""),Input!$B$40&amp;";",""),IF(AND($G11&lt;Hta_21,$G11&gt;=Hba_21,Input!AI$41&lt;&gt;""),Input!$B$41&amp;";",""),IF(AND($G11&lt;Hta_22,$G11&gt;=Hba_22,Input!AI$42&lt;&gt;""),Input!$B$42&amp;";",""),IF(AND($G11&lt;Hta_23,$G11&gt;=Hba_23,Input!AI$43&lt;&gt;""),Input!$B$43&amp;";",""),IF(AND($G11&lt;Hta_24,$G11&gt;=Hba_24,Input!AI$44&lt;&gt;""),Input!$B$44&amp;";",""),IF(AND($G11&lt;Hta_25,$G11&gt;=Hba_25,Input!AI$45&lt;&gt;""),Input!$B$45&amp;";",""),IF(AND($G11&lt;Hta_26,$G11&gt;=Hba_26,Input!AI$46&lt;&gt;""),Input!$B$46&amp;";",""),IF(AND($G11&lt;Hta_27,$G11&gt;=Hba_27,Input!AI$47&lt;&gt;""),Input!$B$47&amp;";",""),IF(AND($G11&lt;Hta_28,$G11&gt;=Hba_28,Input!AI$48&lt;&gt;""),Input!$B$48&amp;";",""),IF(AND($G11&lt;Hta_29,$G11&gt;=Hba_29,Input!AI$49&lt;&gt;""),Input!$B$49&amp;";",""),IF(AND($G11&lt;Hta_30,$G11&gt;=Hba_30,Input!AI$50&lt;&gt;""),Input!$B$50&amp;";","")),"")</f>
        <v/>
      </c>
      <c r="CK11" s="25" t="str">
        <f>IFERROR(CONCATENATE(IF(AND($G11&lt;Hta_1,$G11&gt;=Hba_1,Input!AJ$21&lt;&gt;""),Input!$B$21&amp;";",""),IF(AND($G11&lt;Hta_2,$G11&gt;=Hba_2,Input!AJ$22&lt;&gt;""),Input!$B$22&amp;";",""),IF(AND($G11&lt;Hta_3,$G11&gt;=Hba_3,Input!AJ$23&lt;&gt;""),Input!$B$23&amp;";",""),IF(AND($G11&lt;Hta_4,$G11&gt;=Hba_4,Input!AJ$24&lt;&gt;""),Input!$B$24&amp;";",""),IF(AND($G11&lt;Hta_5,$G11&gt;=Hba_5,Input!AJ$25&lt;&gt;""),Input!$B$25&amp;";",""),IF(AND($G11&lt;Hta_6,$G11&gt;=Hba_6,Input!AJ$26&lt;&gt;""),Input!$B$26&amp;";",""),IF(AND($G11&lt;Hta_7,$G11&gt;=Hba_7,Input!AJ$27&lt;&gt;""),Input!$B$27&amp;";",""),IF(AND($G11&lt;Hta_8,$G11&gt;=Hba_8,Input!AJ$28&lt;&gt;""),Input!$B$28&amp;";",""),IF(AND($G11&lt;Hta_9,$G11&gt;=Hba_9,Input!AJ$29&lt;&gt;""),Input!$B$29&amp;";",""),IF(AND($G11&lt;Hta_10,$G11&gt;=Hba_10,Input!AJ$30&lt;&gt;""),Input!$B$30&amp;";",""),IF(AND($G11&lt;Hta_11,$G11&gt;=Hba_11,Input!AJ$31&lt;&gt;""),Input!$B$31&amp;";",""),IF(AND($G11&lt;Hta_12,$G11&gt;=Hba_12,Input!AJ$32&lt;&gt;""),Input!$B$32&amp;";",""),IF(AND($G11&lt;Hta_13,$G11&gt;=Hba_13,Input!AJ$33&lt;&gt;""),Input!$B$33&amp;";",""),IF(AND($G11&lt;Hta_14,$G11&gt;=Hba_14,Input!AJ$34&lt;&gt;""),Input!$B$34&amp;";",""),IF(AND($G11&lt;Hta_15,$G11&gt;=Hba_15,Input!AJ$35&lt;&gt;""),Input!$B$35&amp;";",""),IF(AND($G11&lt;Hta_16,$G11&gt;=Hba_16,Input!AJ$36&lt;&gt;""),Input!$B$36&amp;";",""),IF(AND($G11&lt;Hta_17,$G11&gt;=Hba_17,Input!AJ$37&lt;&gt;""),Input!$B$37&amp;";",""),IF(AND($G11&lt;Hta_18,$G11&gt;=Hba_18,Input!AJ$38&lt;&gt;""),Input!$B$38&amp;";",""),IF(AND($G11&lt;Hta_19,$G11&gt;=Hba_19,Input!AJ$39&lt;&gt;""),Input!$B$39&amp;";",""),IF(AND($G11&lt;Hta_20,$G11&gt;=Hba_20,Input!AJ$40&lt;&gt;""),Input!$B$40&amp;";",""),IF(AND($G11&lt;Hta_21,$G11&gt;=Hba_21,Input!AJ$41&lt;&gt;""),Input!$B$41&amp;";",""),IF(AND($G11&lt;Hta_22,$G11&gt;=Hba_22,Input!AJ$42&lt;&gt;""),Input!$B$42&amp;";",""),IF(AND($G11&lt;Hta_23,$G11&gt;=Hba_23,Input!AJ$43&lt;&gt;""),Input!$B$43&amp;";",""),IF(AND($G11&lt;Hta_24,$G11&gt;=Hba_24,Input!AJ$44&lt;&gt;""),Input!$B$44&amp;";",""),IF(AND($G11&lt;Hta_25,$G11&gt;=Hba_25,Input!AJ$45&lt;&gt;""),Input!$B$45&amp;";",""),IF(AND($G11&lt;Hta_26,$G11&gt;=Hba_26,Input!AJ$46&lt;&gt;""),Input!$B$46&amp;";",""),IF(AND($G11&lt;Hta_27,$G11&gt;=Hba_27,Input!AJ$47&lt;&gt;""),Input!$B$47&amp;";",""),IF(AND($G11&lt;Hta_28,$G11&gt;=Hba_28,Input!AJ$48&lt;&gt;""),Input!$B$48&amp;";",""),IF(AND($G11&lt;Hta_29,$G11&gt;=Hba_29,Input!AJ$49&lt;&gt;""),Input!$B$49&amp;";",""),IF(AND($G11&lt;Hta_30,$G11&gt;=Hba_30,Input!AJ$50&lt;&gt;""),Input!$B$50&amp;";","")),"")</f>
        <v/>
      </c>
      <c r="CL11" s="25" t="str">
        <f>IFERROR(CONCATENATE(IF(AND($G11&lt;Hta_1,$G11&gt;=Hba_1,Input!AK$21&lt;&gt;""),Input!$B$21&amp;";",""),IF(AND($G11&lt;Hta_2,$G11&gt;=Hba_2,Input!AK$22&lt;&gt;""),Input!$B$22&amp;";",""),IF(AND($G11&lt;Hta_3,$G11&gt;=Hba_3,Input!AK$23&lt;&gt;""),Input!$B$23&amp;";",""),IF(AND($G11&lt;Hta_4,$G11&gt;=Hba_4,Input!AK$24&lt;&gt;""),Input!$B$24&amp;";",""),IF(AND($G11&lt;Hta_5,$G11&gt;=Hba_5,Input!AK$25&lt;&gt;""),Input!$B$25&amp;";",""),IF(AND($G11&lt;Hta_6,$G11&gt;=Hba_6,Input!AK$26&lt;&gt;""),Input!$B$26&amp;";",""),IF(AND($G11&lt;Hta_7,$G11&gt;=Hba_7,Input!AK$27&lt;&gt;""),Input!$B$27&amp;";",""),IF(AND($G11&lt;Hta_8,$G11&gt;=Hba_8,Input!AK$28&lt;&gt;""),Input!$B$28&amp;";",""),IF(AND($G11&lt;Hta_9,$G11&gt;=Hba_9,Input!AK$29&lt;&gt;""),Input!$B$29&amp;";",""),IF(AND($G11&lt;Hta_10,$G11&gt;=Hba_10,Input!AK$30&lt;&gt;""),Input!$B$30&amp;";",""),IF(AND($G11&lt;Hta_11,$G11&gt;=Hba_11,Input!AK$31&lt;&gt;""),Input!$B$31&amp;";",""),IF(AND($G11&lt;Hta_12,$G11&gt;=Hba_12,Input!AK$32&lt;&gt;""),Input!$B$32&amp;";",""),IF(AND($G11&lt;Hta_13,$G11&gt;=Hba_13,Input!AK$33&lt;&gt;""),Input!$B$33&amp;";",""),IF(AND($G11&lt;Hta_14,$G11&gt;=Hba_14,Input!AK$34&lt;&gt;""),Input!$B$34&amp;";",""),IF(AND($G11&lt;Hta_15,$G11&gt;=Hba_15,Input!AK$35&lt;&gt;""),Input!$B$35&amp;";",""),IF(AND($G11&lt;Hta_16,$G11&gt;=Hba_16,Input!AK$36&lt;&gt;""),Input!$B$36&amp;";",""),IF(AND($G11&lt;Hta_17,$G11&gt;=Hba_17,Input!AK$37&lt;&gt;""),Input!$B$37&amp;";",""),IF(AND($G11&lt;Hta_18,$G11&gt;=Hba_18,Input!AK$38&lt;&gt;""),Input!$B$38&amp;";",""),IF(AND($G11&lt;Hta_19,$G11&gt;=Hba_19,Input!AK$39&lt;&gt;""),Input!$B$39&amp;";",""),IF(AND($G11&lt;Hta_20,$G11&gt;=Hba_20,Input!AK$40&lt;&gt;""),Input!$B$40&amp;";",""),IF(AND($G11&lt;Hta_21,$G11&gt;=Hba_21,Input!AK$41&lt;&gt;""),Input!$B$41&amp;";",""),IF(AND($G11&lt;Hta_22,$G11&gt;=Hba_22,Input!AK$42&lt;&gt;""),Input!$B$42&amp;";",""),IF(AND($G11&lt;Hta_23,$G11&gt;=Hba_23,Input!AK$43&lt;&gt;""),Input!$B$43&amp;";",""),IF(AND($G11&lt;Hta_24,$G11&gt;=Hba_24,Input!AK$44&lt;&gt;""),Input!$B$44&amp;";",""),IF(AND($G11&lt;Hta_25,$G11&gt;=Hba_25,Input!AK$45&lt;&gt;""),Input!$B$45&amp;";",""),IF(AND($G11&lt;Hta_26,$G11&gt;=Hba_26,Input!AK$46&lt;&gt;""),Input!$B$46&amp;";",""),IF(AND($G11&lt;Hta_27,$G11&gt;=Hba_27,Input!AK$47&lt;&gt;""),Input!$B$47&amp;";",""),IF(AND($G11&lt;Hta_28,$G11&gt;=Hba_28,Input!AK$48&lt;&gt;""),Input!$B$48&amp;";",""),IF(AND($G11&lt;Hta_29,$G11&gt;=Hba_29,Input!AK$49&lt;&gt;""),Input!$B$49&amp;";",""),IF(AND($G11&lt;Hta_30,$G11&gt;=Hba_30,Input!AK$50&lt;&gt;""),Input!$B$50&amp;";","")),"")</f>
        <v/>
      </c>
      <c r="CM11" s="25" t="str">
        <f>IFERROR(CONCATENATE(IF(AND($G11&lt;Hta_1,$G11&gt;=Hba_1,Input!AL$21&lt;&gt;""),Input!$B$21&amp;";",""),IF(AND($G11&lt;Hta_2,$G11&gt;=Hba_2,Input!AL$22&lt;&gt;""),Input!$B$22&amp;";",""),IF(AND($G11&lt;Hta_3,$G11&gt;=Hba_3,Input!AL$23&lt;&gt;""),Input!$B$23&amp;";",""),IF(AND($G11&lt;Hta_4,$G11&gt;=Hba_4,Input!AL$24&lt;&gt;""),Input!$B$24&amp;";",""),IF(AND($G11&lt;Hta_5,$G11&gt;=Hba_5,Input!AL$25&lt;&gt;""),Input!$B$25&amp;";",""),IF(AND($G11&lt;Hta_6,$G11&gt;=Hba_6,Input!AL$26&lt;&gt;""),Input!$B$26&amp;";",""),IF(AND($G11&lt;Hta_7,$G11&gt;=Hba_7,Input!AL$27&lt;&gt;""),Input!$B$27&amp;";",""),IF(AND($G11&lt;Hta_8,$G11&gt;=Hba_8,Input!AL$28&lt;&gt;""),Input!$B$28&amp;";",""),IF(AND($G11&lt;Hta_9,$G11&gt;=Hba_9,Input!AL$29&lt;&gt;""),Input!$B$29&amp;";",""),IF(AND($G11&lt;Hta_10,$G11&gt;=Hba_10,Input!AL$30&lt;&gt;""),Input!$B$30&amp;";",""),IF(AND($G11&lt;Hta_11,$G11&gt;=Hba_11,Input!AL$31&lt;&gt;""),Input!$B$31&amp;";",""),IF(AND($G11&lt;Hta_12,$G11&gt;=Hba_12,Input!AL$32&lt;&gt;""),Input!$B$32&amp;";",""),IF(AND($G11&lt;Hta_13,$G11&gt;=Hba_13,Input!AL$33&lt;&gt;""),Input!$B$33&amp;";",""),IF(AND($G11&lt;Hta_14,$G11&gt;=Hba_14,Input!AL$34&lt;&gt;""),Input!$B$34&amp;";",""),IF(AND($G11&lt;Hta_15,$G11&gt;=Hba_15,Input!AL$35&lt;&gt;""),Input!$B$35&amp;";",""),IF(AND($G11&lt;Hta_16,$G11&gt;=Hba_16,Input!AL$36&lt;&gt;""),Input!$B$36&amp;";",""),IF(AND($G11&lt;Hta_17,$G11&gt;=Hba_17,Input!AL$37&lt;&gt;""),Input!$B$37&amp;";",""),IF(AND($G11&lt;Hta_18,$G11&gt;=Hba_18,Input!AL$38&lt;&gt;""),Input!$B$38&amp;";",""),IF(AND($G11&lt;Hta_19,$G11&gt;=Hba_19,Input!AL$39&lt;&gt;""),Input!$B$39&amp;";",""),IF(AND($G11&lt;Hta_20,$G11&gt;=Hba_20,Input!AL$40&lt;&gt;""),Input!$B$40&amp;";",""),IF(AND($G11&lt;Hta_21,$G11&gt;=Hba_21,Input!AL$41&lt;&gt;""),Input!$B$41&amp;";",""),IF(AND($G11&lt;Hta_22,$G11&gt;=Hba_22,Input!AL$42&lt;&gt;""),Input!$B$42&amp;";",""),IF(AND($G11&lt;Hta_23,$G11&gt;=Hba_23,Input!AL$43&lt;&gt;""),Input!$B$43&amp;";",""),IF(AND($G11&lt;Hta_24,$G11&gt;=Hba_24,Input!AL$44&lt;&gt;""),Input!$B$44&amp;";",""),IF(AND($G11&lt;Hta_25,$G11&gt;=Hba_25,Input!AL$45&lt;&gt;""),Input!$B$45&amp;";",""),IF(AND($G11&lt;Hta_26,$G11&gt;=Hba_26,Input!AL$46&lt;&gt;""),Input!$B$46&amp;";",""),IF(AND($G11&lt;Hta_27,$G11&gt;=Hba_27,Input!AL$47&lt;&gt;""),Input!$B$47&amp;";",""),IF(AND($G11&lt;Hta_28,$G11&gt;=Hba_28,Input!AL$48&lt;&gt;""),Input!$B$48&amp;";",""),IF(AND($G11&lt;Hta_29,$G11&gt;=Hba_29,Input!AL$49&lt;&gt;""),Input!$B$49&amp;";",""),IF(AND($G11&lt;Hta_30,$G11&gt;=Hba_30,Input!AL$50&lt;&gt;""),Input!$B$50&amp;";","")),"")</f>
        <v/>
      </c>
      <c r="CN11" s="60" t="str">
        <f t="shared" si="6"/>
        <v/>
      </c>
      <c r="CO11" s="798"/>
      <c r="CP11" s="799"/>
      <c r="CQ11" s="800"/>
      <c r="CR11" s="798"/>
      <c r="CS11" s="799"/>
      <c r="CT11" s="800"/>
      <c r="CU11" s="801" t="str">
        <f t="shared" si="7"/>
        <v/>
      </c>
      <c r="CV11" s="802"/>
      <c r="CW11" s="802"/>
      <c r="CX11" s="803"/>
      <c r="CY11" s="803"/>
      <c r="CZ11" s="804"/>
      <c r="DA11" s="726"/>
      <c r="DB11" s="727"/>
      <c r="DC11" s="732"/>
      <c r="DD11" s="726" t="str">
        <f t="shared" si="8"/>
        <v/>
      </c>
      <c r="DE11" s="727"/>
      <c r="DF11" s="728"/>
      <c r="DG11" s="53"/>
      <c r="DH11" s="54"/>
      <c r="DI11" s="54"/>
      <c r="DJ11" s="54"/>
      <c r="DK11" s="54"/>
      <c r="DL11" s="54"/>
      <c r="DM11" s="54"/>
      <c r="DN11" s="54"/>
      <c r="DO11" s="54"/>
      <c r="DP11" s="54"/>
      <c r="DQ11" s="57"/>
      <c r="DR11" s="57"/>
      <c r="DS11" s="57"/>
      <c r="DT11" s="57"/>
      <c r="DU11" s="57"/>
      <c r="DV11" s="57"/>
      <c r="DW11" s="57"/>
      <c r="DX11" s="57"/>
      <c r="DY11" s="57"/>
      <c r="DZ11" s="57"/>
      <c r="EA11" s="57"/>
      <c r="EB11" s="57"/>
      <c r="EC11" s="57"/>
      <c r="ED11" s="57"/>
      <c r="EE11" s="57"/>
      <c r="EF11" s="57"/>
      <c r="EG11" s="57"/>
      <c r="EH11" s="57"/>
      <c r="EI11" s="57"/>
      <c r="EJ11" s="57"/>
      <c r="EK11" s="57"/>
      <c r="EL11" s="133"/>
      <c r="EM11" s="133"/>
      <c r="EN11" s="133"/>
      <c r="EO11" s="133"/>
      <c r="EP11" s="133"/>
      <c r="EQ11" s="133"/>
      <c r="ER11" s="133"/>
      <c r="ES11" s="133"/>
      <c r="ET11" s="133"/>
      <c r="EU11" s="133"/>
      <c r="EV11" s="133"/>
      <c r="EW11" s="133"/>
      <c r="EX11" s="133"/>
      <c r="EY11" s="133"/>
      <c r="EZ11" s="133"/>
      <c r="FA11" s="133"/>
      <c r="FB11" s="133"/>
      <c r="FC11" s="133"/>
      <c r="FD11" s="133"/>
      <c r="FE11" s="133"/>
      <c r="FF11" s="133"/>
      <c r="FG11" s="133"/>
      <c r="FH11" s="133"/>
      <c r="FI11" s="133"/>
      <c r="FJ11" s="133"/>
      <c r="FK11" s="133"/>
      <c r="FL11" s="133"/>
      <c r="FM11" s="133"/>
      <c r="FN11" s="133"/>
      <c r="FO11" s="133"/>
      <c r="FP11" s="65"/>
      <c r="FQ11" s="125"/>
      <c r="FR11" s="123"/>
      <c r="FS11" s="121"/>
      <c r="FT11" s="119"/>
    </row>
    <row r="12" spans="2:177" ht="15.75" hidden="1" thickBot="1" x14ac:dyDescent="0.3">
      <c r="B12" s="62" t="b">
        <f>IF(OR(AND(G12&gt;='Geometry 2'!$AK$5,G12&lt;'Geometry 2'!$AL$5),AND(G12&gt;='Geometry 2'!$AK$6,G12&lt;'Geometry 2'!$AL$6),AND(G12&gt;='Geometry 2'!$AK$7,G12&lt;'Geometry 2'!$AL$7),AND(G12&gt;='Geometry 2'!$AK$8,G12&lt;'Geometry 2'!$AL$8),AND(G12&gt;='Geometry 2'!$AK$9,G12&lt;'Geometry 2'!$AL$9),AND(G12&gt;='Geometry 2'!$AK$10,G12&lt;'Geometry 2'!$AL$10),AND(G12&gt;='Geometry 2'!$AK$11,G12&lt;'Geometry 2'!$AL$11),AND(G12&gt;='Geometry 2'!$AK$12,G12&lt;'Geometry 2'!$AL$12),AND(G12&gt;='Geometry 2'!$AK$13,G12&lt;'Geometry 2'!$AL$13),AND(G12&gt;='Geometry 2'!$AK$14,G12&lt;'Geometry 2'!$AL$14)),TRUE,FALSE)</f>
        <v>0</v>
      </c>
      <c r="C12" s="4" t="str">
        <f t="shared" si="3"/>
        <v/>
      </c>
      <c r="D12" s="766" t="str">
        <f>IF(OR(G11=0,G11=""),"",G11)</f>
        <v/>
      </c>
      <c r="E12" s="767"/>
      <c r="F12" s="17" t="str">
        <f t="shared" si="2"/>
        <v/>
      </c>
      <c r="G12" s="768" t="str">
        <f>IF(D12="","",MAX(0,G11-IF(inc="n/a",999,inc),MAX(IF(G11&lt;=Hta_1,0,Hta_1),IF(G11&lt;=Hta_2,0,Hta_2),IF(G11&lt;=Hta_3,0,Hta_3),IF(G11&lt;=Hta_4,0,Hta_4),IF(G11&lt;=Hta_5,0,Hta_5),IF(G11&lt;=Hta_6,0,Hta_6),IF(G11&lt;=Hta_7,0,Hta_7),IF(G11&lt;=Hta_8,0,Hta_8),IF(G11&lt;=Hta_9,0,Hta_9),IF(G11&lt;=Hta_10,0,Hta_10),IF(G11&lt;=Hta_11,0,Hta_11),IF(G11&lt;=Hta_12,0,Hta_12),IF(G11&lt;=Hta_13,0,Hta_13),IF(G11&lt;=Hta_14,0,Hta_14),IF(G11&lt;=Hta_15,0,Hta_15),IF(G11&lt;=Hta_16,0,Hta_16),IF(G11&lt;=Hta_17,0,Hta_17),IF(G11&lt;=Hta_18,0,Hta_18),IF(G11&lt;=Hta_19,0,Hta_19),IF(G11&lt;=Hta_20,0,Hta_20),IF(G11&lt;=Hta_21,0,Hta_21),IF(G11&lt;=Hta_22,0,Hta_22),IF(G11&lt;=Hta_23,0,Hta_23),IF(G11&lt;=Hta_24,0,Hta_24),IF(G11&lt;=Hta_25,0,Hta_25),IF(G11&lt;=Hta_26,0,Hta_26),IF(G11&lt;=Hta_27,0,Hta_27),IF(G11&lt;=Hta_28,0,Hta_28),IF(G11&lt;=Hta_29,0,Hta_29),IF(G11&lt;=Hta_30,0,Hta_30)),MAX(IF(G11&lt;=Hta_1-0.25,0,Hta_1-0.25),IF(G11&lt;=Hta_2-0.25,0,Hta_2-0.25),IF(G11&lt;=Hta_3-0.25,0,Hta_3-0.25),IF(G11&lt;=Hta_4-0.25,0,Hta_4-0.25),IF(G11&lt;=Hta_5-0.25,0,Hta_5-0.25),IF(G11&lt;=Hta_6-0.25,0,Hta_6-0.25),IF(G11&lt;=Hta_7-0.25,0,Hta_7-0.25),IF(G11&lt;=Hta_8-0.25,0,Hta_8-0.25),IF(G11&lt;=Hta_9-0.25,0,Hta_9-0.25),IF(G11&lt;=Hta_10-0.25,0,Hta_10-0.25),IF(G11&lt;=Hta_11-0.25,0,Hta_11-0.25),IF(G11&lt;=Hta_12-0.25,0,Hta_12-0.25),IF(G11&lt;=Hta_13-0.25,0,Hta_13-0.25),IF(G11&lt;=Hta_14-0.25,0,Hta_14-0.25),IF(G11&lt;=Hta_15-0.25,0,Hta_15-0.25),IF(G11&lt;=Hta_16-0.25,0,Hta_16-0.25),IF(G11&lt;=Hta_17-0.25,0,Hta_17-0.25),IF(G11&lt;=Hta_18-0.25,0,Hta_18-0.25),IF(G11&lt;=Hta_19-0.25,0,Hta_19-0.25),IF(G11&lt;=Hta_20-0.25,0,Hta_20-0.25),IF(G11&lt;=Hta_21-0.25,0,Hta_21-0.25),IF(G11&lt;=Hta_22-0.25,0,Hta_22-0.25),IF(G11&lt;=Hta_23-0.25,0,Hta_23-0.25),IF(G11&lt;=Hta_24-0.25,0,Hta_24-0.25),IF(G11&lt;=Hta_25-0.25,0,Hta_25-0.25),IF(G11&lt;=Hta_26-0.25,0,Hta_26-0.25),IF(G11&lt;=Hta_27-0.25,0,Hta_27-0.25),IF(G11&lt;=Hta_28-0.25,0,Hta_28-0.25),IF(G11&lt;=Hta_29-0.25,0,Hta_29-0.25),IF(G11&lt;=Hta_30-0.25,0,Hta_30-0.25)),MAX(IF(G11&lt;=Hba_1,0,Hba_1),IF(G11&lt;=Hba_2,0,Hba_2),IF(G11&lt;=Hba_3,0,Hba_3),IF(G11&lt;=Hba_4,0,Hba_4),IF(G11&lt;=Hba_5,0,Hba_5),IF(G11&lt;=Hba_6,0,Hba_6),IF(G11&lt;=Hba_7,0,Hba_7),IF(G11&lt;=Hba_8,0,Hba_8),IF(G11&lt;=Hba_9,0,Hba_9),IF(G11&lt;=Hba_10,0,Hba_10),IF(G11&lt;=Hba_11,0,Hba_11),IF(G11&lt;=Hba_12,0,Hba_12),IF(G11&lt;=Hba_13,0,Hba_13),IF(G11&lt;=Hba_14,0,Hba_14),IF(G11&lt;=Hba_15,0,Hba_15),IF(G11&lt;=Hba_16,0,Hba_16),IF(G11&lt;=Hba_17,0,Hba_17),IF(G11&lt;=Hba_18,0,Hba_18),IF(G11&lt;=Hba_19,0,Hba_19),IF(G11&lt;=Hba_20,0,Hba_20),IF(G11&lt;=Hba_21,0,Hba_21),IF(G11&lt;=Hba_22,0,Hba_22),IF(G11&lt;=Hba_23,0,Hba_23),IF(G11&lt;=Hba_24,0,Hba_24),IF(G11&lt;=Hba_25,0,Hba_25),IF(G11&lt;=Hba_26,0,Hba_26),IF(G11&lt;=Hba_27,0,Hba_27),IF(G11&lt;=Hba_28,0,Hba_28),IF(G11&lt;=Hba_29,0,Hba_29),IF(G11&lt;=Hba_30,0,Hba_30)),MAX(IF(G11&lt;=Input!$C$8,0,Input!$C$8),IF(G11&lt;=Input!$C$9,0,Input!$C$9),IF(G11&lt;=Input!$C$10,0,Input!$C$10),IF(G11&lt;=Input!$C$11,0,Input!$C$11),IF(G11&lt;=Input!$C$12,0,Input!$C$12),IF(G11&lt;=Input!$C$13,0,Input!$C$13),IF(G11&lt;=Input!$C$14,0,Input!$C$14),IF(G11&lt;=Input!$C$15,0,Input!$C$15),IF(G11&lt;=Input!$C$16,0,Input!$C$16)),MAX(IF(G11&lt;=Hba_1-0.25,0,Hba_1-0.25),IF(G11&lt;=Hba_2-0.25,0,Hba_2-0.25),IF(G11&lt;=Hba_3-0.25,0,Hba_3-0.25),IF(G11&lt;=Hba_4-0.25,0,Hba_4-0.25),IF(G11&lt;=Hba_5-0.25,0,Hba_5-0.25),IF(G11&lt;=Hba_6-0.25,0,Hba_6-0.25),IF(G11&lt;=Hba_7-0.25,0,Hba_7-0.25),IF(G11&lt;=Hba_8-0.25,0,Hba_8-0.25),IF(G11&lt;=Hba_9-0.25,0,Hba_9-0.25),IF(G11&lt;=Hba_10-0.25,0,Hba_10-0.25),IF(G11&lt;=Hba_11-0.25,0,Hba_11-0.25),IF(G11&lt;=Hba_12-0.25,0,Hba_12-0.25),IF(G11&lt;=Hba_13-0.25,0,Hba_13-0.25),IF(G11&lt;=Hba_14-0.25,0,Hba_14-0.25),IF(G11&lt;=Hba_15-0.25,0,Hba_15-0.25),IF(G11&lt;=Hba_16-0.25,0,Hba_16-0.25),IF(G11&lt;=Hba_17-0.25,0,Hba_17-0.25),IF(G11&lt;=Hba_18-0.25,0,Hba_18-0.25),IF(G11&lt;=Hba_19-0.25,0,Hba_19-0.25),IF(G11&lt;=Hba_20-0.25,0,Hba_20-0.25),IF(G11&lt;=Hba_21-0.25,0,Hba_21-0.25),IF(G11&lt;=Hba_22-0.25,0,Hba_22-0.25),IF(G11&lt;=Hba_23-0.25,0,Hba_23-0.25),IF(G11&lt;=Hba_24-0.25,0,Hba_24-0.25),IF(G11&lt;=Hba_25-0.25,0,Hba_25-0.25),IF(G11&lt;=Hba_26-0.25,0,Hba_26-0.25),IF(G11&lt;=Hba_27-0.25,0,Hba_27-0.25),IF(G11&lt;=Hba_28-0.25,0,Hba_28-0.25),IF(G11&lt;=Hba_29-0.25,0,Hba_29-0.25),IF(G11&lt;=Hba_30-0.25,0,Hba_30-0.25)),IF(G11&lt;='Macro References'!$A$38,0,'Macro References'!$A$38)))</f>
        <v/>
      </c>
      <c r="H12" s="769"/>
      <c r="I12" s="228"/>
      <c r="J12" s="228"/>
      <c r="K12" s="228"/>
      <c r="L12" s="717" t="str">
        <f t="shared" si="0"/>
        <v/>
      </c>
      <c r="M12" s="717"/>
      <c r="N12" s="717"/>
      <c r="O12" s="717"/>
      <c r="P12" s="717" t="str">
        <f>IF(OR(G12=0,G12=""),"",IF(VLOOKUP(G12,'Geometry 2'!$C$4:$AI$14,1,TRUE)=VLOOKUP(G13,'Geometry 2'!$C$4:$AI$14,1,TRUE),"",IF(VLOOKUP(G12,'Geometry 2'!$C$4:$AI$14,33,TRUE)&lt;&gt;"n/a",MIN(G12,VLOOKUP(G12,'Geometry 2'!$C$4:$AI$14,1,TRUE))-VLOOKUP(G12,'Geometry 2'!$C$4:$AI$14,33,TRUE),"check")))</f>
        <v/>
      </c>
      <c r="Q12" s="717"/>
      <c r="R12" s="717"/>
      <c r="S12" s="717"/>
      <c r="T12" s="717" t="str">
        <f>IF($G12="","",VLOOKUP($G12,'Geometry 2'!$E$4:$AH$14,11,TRUE))</f>
        <v/>
      </c>
      <c r="U12" s="717"/>
      <c r="V12" s="717"/>
      <c r="W12" s="717"/>
      <c r="X12" s="716" t="str">
        <f>IF($G12="","",VLOOKUP($G12,'Geometry 2'!$E$4:$AJ$14,19,TRUE)-12*VLOOKUP($G12,'Geometry 2'!$E$4:$AJ$14,32,TRUE)*($D12-VLOOKUP($G12,'Geometry 2'!$E$5:$AH$14,1,TRUE)))</f>
        <v/>
      </c>
      <c r="Y12" s="716"/>
      <c r="Z12" s="716"/>
      <c r="AA12" s="716"/>
      <c r="AB12" s="757" t="str">
        <f>IF($G12="","",VLOOKUP($G12,'Geometry 2'!$E$4:$AJ$14,19,TRUE)-12*VLOOKUP($G12,'Geometry 2'!$E$4:$AJ$14,32,TRUE)*($G12-VLOOKUP($G12,'Geometry 2'!$E$5:$AH$14,1,TRUE)))</f>
        <v/>
      </c>
      <c r="AC12" s="758"/>
      <c r="AD12" s="758"/>
      <c r="AE12" s="759"/>
      <c r="AF12" s="716" t="str">
        <f>IF($G12="","",VLOOKUP($G12,'Geometry 2'!$E$4:$AJ$14,19,TRUE)-12*VLOOKUP($G12,'Geometry 2'!$E$4:$AJ$14,32,TRUE)*($G12-IF($P12="",0,$P12)-VLOOKUP($G12,'Geometry 2'!$E$5:$AH$14,1,TRUE)))</f>
        <v/>
      </c>
      <c r="AG12" s="716"/>
      <c r="AH12" s="716"/>
      <c r="AI12" s="716"/>
      <c r="AJ12" s="746" t="str">
        <f>IF($G12="","",VLOOKUP($G12,'Geometry 2'!$E$4:$AH$14,23,TRUE))</f>
        <v/>
      </c>
      <c r="AK12" s="747"/>
      <c r="AL12" s="747"/>
      <c r="AM12" s="748"/>
      <c r="AN12" s="717"/>
      <c r="AO12" s="717"/>
      <c r="AP12" s="717"/>
      <c r="AQ12" s="717"/>
      <c r="AR12" s="717" t="str">
        <f>IF($G12="","",VLOOKUP($G12,'Geometry 2'!$E$4:$AH$14,27,TRUE))</f>
        <v/>
      </c>
      <c r="AS12" s="717"/>
      <c r="AT12" s="717"/>
      <c r="AU12" s="718"/>
      <c r="AV12" s="715"/>
      <c r="AW12" s="716"/>
      <c r="AX12" s="716"/>
      <c r="AZ12" s="722" t="str">
        <f t="shared" si="5"/>
        <v/>
      </c>
      <c r="BA12" s="723"/>
      <c r="BB12" s="723"/>
      <c r="BC12" s="724"/>
      <c r="BD12" s="722"/>
      <c r="BE12" s="723"/>
      <c r="BF12" s="723"/>
      <c r="BG12" s="722" t="str">
        <f t="shared" si="1"/>
        <v/>
      </c>
      <c r="BH12" s="723"/>
      <c r="BI12" s="723"/>
      <c r="BJ12" s="723"/>
      <c r="BK12" s="724"/>
      <c r="BL12" s="722"/>
      <c r="BM12" s="723"/>
      <c r="BN12" s="723"/>
      <c r="BO12" s="723"/>
      <c r="BP12" s="725"/>
      <c r="BQ12" s="725"/>
      <c r="BR12" s="722" t="str">
        <f>IF(BP12="","",IF(OR(AND(Rev="H",Calculations!$F$27=TRUE),AND(Rev&lt;&gt;"H",Calculations!$F$30=TRUE)),IF(BP12&lt;=1,"Pass","Fail"),IF(BP12&lt;=1.05,"Pass","Fail")))</f>
        <v/>
      </c>
      <c r="BS12" s="723"/>
      <c r="BT12" s="724"/>
      <c r="BU12" s="49"/>
      <c r="BV12" s="25" t="str">
        <f>IFERROR(CONCATENATE(IF(AND($G12&lt;Hta_1,$G12&gt;=Hba_1,Input!U$21&lt;&gt;""),Input!$B$21&amp;";",""),IF(AND($G12&lt;Hta_2,$G12&gt;=Hba_2,Input!U$22&lt;&gt;""),Input!$B$22&amp;";",""),IF(AND($G12&lt;Hta_3,$G12&gt;=Hba_3,Input!U$23&lt;&gt;""),Input!$B$23&amp;";",""),IF(AND($G12&lt;Hta_4,$G12&gt;=Hba_4,Input!U$24&lt;&gt;""),Input!$B$24&amp;";",""),IF(AND($G12&lt;Hta_5,$G12&gt;=Hba_5,Input!U$25&lt;&gt;""),Input!$B$25&amp;";",""),IF(AND($G12&lt;Hta_6,$G12&gt;=Hba_6,Input!U$26&lt;&gt;""),Input!$B$26&amp;";",""),IF(AND($G12&lt;Hta_7,$G12&gt;=Hba_7,Input!U$27&lt;&gt;""),Input!$B$27&amp;";",""),IF(AND($G12&lt;Hta_8,$G12&gt;=Hba_8,Input!U$28&lt;&gt;""),Input!$B$28&amp;";",""),IF(AND($G12&lt;Hta_9,$G12&gt;=Hba_9,Input!U$29&lt;&gt;""),Input!$B$29&amp;";",""),IF(AND($G12&lt;Hta_10,$G12&gt;=Hba_10,Input!U$30&lt;&gt;""),Input!$B$30&amp;";",""),IF(AND($G12&lt;Hta_11,$G12&gt;=Hba_11,Input!U$31&lt;&gt;""),Input!$B$31&amp;";",""),IF(AND($G12&lt;Hta_12,$G12&gt;=Hba_12,Input!U$32&lt;&gt;""),Input!$B$32&amp;";",""),IF(AND($G12&lt;Hta_13,$G12&gt;=Hba_13,Input!U$33&lt;&gt;""),Input!$B$33&amp;";",""),IF(AND($G12&lt;Hta_14,$G12&gt;=Hba_14,Input!U$34&lt;&gt;""),Input!$B$34&amp;";",""),IF(AND($G12&lt;Hta_15,$G12&gt;=Hba_15,Input!U$35&lt;&gt;""),Input!$B$35&amp;";",""),IF(AND($G12&lt;Hta_16,$G12&gt;=Hba_16,Input!U$36&lt;&gt;""),Input!$B$36&amp;";",""),IF(AND($G12&lt;Hta_17,$G12&gt;=Hba_17,Input!U$37&lt;&gt;""),Input!$B$37&amp;";",""),IF(AND($G12&lt;Hta_18,$G12&gt;=Hba_18,Input!U$38&lt;&gt;""),Input!$B$38&amp;";",""),IF(AND($G12&lt;Hta_19,$G12&gt;=Hba_19,Input!U$39&lt;&gt;""),Input!$B$39&amp;";",""),IF(AND($G12&lt;Hta_20,$G12&gt;=Hba_20,Input!U$40&lt;&gt;""),Input!$B$40&amp;";",""),IF(AND($G12&lt;Hta_21,$G12&gt;=Hba_21,Input!U$41&lt;&gt;""),Input!$B$41&amp;";",""),IF(AND($G12&lt;Hta_22,$G12&gt;=Hba_22,Input!U$42&lt;&gt;""),Input!$B$42&amp;";",""),IF(AND($G12&lt;Hta_23,$G12&gt;=Hba_23,Input!U$43&lt;&gt;""),Input!$B$43&amp;";",""),IF(AND($G12&lt;Hta_24,$G12&gt;=Hba_24,Input!U$44&lt;&gt;""),Input!$B$44&amp;";",""),IF(AND($G12&lt;Hta_25,$G12&gt;=Hba_25,Input!U$45&lt;&gt;""),Input!$B$45&amp;";",""),IF(AND($G12&lt;Hta_26,$G12&gt;=Hba_26,Input!U$46&lt;&gt;""),Input!$B$46&amp;";",""),IF(AND($G12&lt;Hta_27,$G12&gt;=Hba_27,Input!U$47&lt;&gt;""),Input!$B$47&amp;";",""),IF(AND($G12&lt;Hta_28,$G12&gt;=Hba_28,Input!U$48&lt;&gt;""),Input!$B$48&amp;";",""),IF(AND($G12&lt;Hta_29,$G12&gt;=Hba_29,Input!U$49&lt;&gt;""),Input!$B$49&amp;";",""),IF(AND($G12&lt;Hta_30,$G12&gt;=Hba_30,Input!U$50&lt;&gt;""),Input!$B$50&amp;";","")),"")</f>
        <v/>
      </c>
      <c r="BW12" s="25" t="str">
        <f>IFERROR(CONCATENATE(IF(AND($G12&lt;Hta_1,$G12&gt;=Hba_1,Input!V$21&lt;&gt;""),Input!$B$21&amp;";",""),IF(AND($G12&lt;Hta_2,$G12&gt;=Hba_2,Input!V$22&lt;&gt;""),Input!$B$22&amp;";",""),IF(AND($G12&lt;Hta_3,$G12&gt;=Hba_3,Input!V$23&lt;&gt;""),Input!$B$23&amp;";",""),IF(AND($G12&lt;Hta_4,$G12&gt;=Hba_4,Input!V$24&lt;&gt;""),Input!$B$24&amp;";",""),IF(AND($G12&lt;Hta_5,$G12&gt;=Hba_5,Input!V$25&lt;&gt;""),Input!$B$25&amp;";",""),IF(AND($G12&lt;Hta_6,$G12&gt;=Hba_6,Input!V$26&lt;&gt;""),Input!$B$26&amp;";",""),IF(AND($G12&lt;Hta_7,$G12&gt;=Hba_7,Input!V$27&lt;&gt;""),Input!$B$27&amp;";",""),IF(AND($G12&lt;Hta_8,$G12&gt;=Hba_8,Input!V$28&lt;&gt;""),Input!$B$28&amp;";",""),IF(AND($G12&lt;Hta_9,$G12&gt;=Hba_9,Input!V$29&lt;&gt;""),Input!$B$29&amp;";",""),IF(AND($G12&lt;Hta_10,$G12&gt;=Hba_10,Input!V$30&lt;&gt;""),Input!$B$30&amp;";",""),IF(AND($G12&lt;Hta_11,$G12&gt;=Hba_11,Input!V$31&lt;&gt;""),Input!$B$31&amp;";",""),IF(AND($G12&lt;Hta_12,$G12&gt;=Hba_12,Input!V$32&lt;&gt;""),Input!$B$32&amp;";",""),IF(AND($G12&lt;Hta_13,$G12&gt;=Hba_13,Input!V$33&lt;&gt;""),Input!$B$33&amp;";",""),IF(AND($G12&lt;Hta_14,$G12&gt;=Hba_14,Input!V$34&lt;&gt;""),Input!$B$34&amp;";",""),IF(AND($G12&lt;Hta_15,$G12&gt;=Hba_15,Input!V$35&lt;&gt;""),Input!$B$35&amp;";",""),IF(AND($G12&lt;Hta_16,$G12&gt;=Hba_16,Input!V$36&lt;&gt;""),Input!$B$36&amp;";",""),IF(AND($G12&lt;Hta_17,$G12&gt;=Hba_17,Input!V$37&lt;&gt;""),Input!$B$37&amp;";",""),IF(AND($G12&lt;Hta_18,$G12&gt;=Hba_18,Input!V$38&lt;&gt;""),Input!$B$38&amp;";",""),IF(AND($G12&lt;Hta_19,$G12&gt;=Hba_19,Input!V$39&lt;&gt;""),Input!$B$39&amp;";",""),IF(AND($G12&lt;Hta_20,$G12&gt;=Hba_20,Input!V$40&lt;&gt;""),Input!$B$40&amp;";",""),IF(AND($G12&lt;Hta_21,$G12&gt;=Hba_21,Input!V$41&lt;&gt;""),Input!$B$41&amp;";",""),IF(AND($G12&lt;Hta_22,$G12&gt;=Hba_22,Input!V$42&lt;&gt;""),Input!$B$42&amp;";",""),IF(AND($G12&lt;Hta_23,$G12&gt;=Hba_23,Input!V$43&lt;&gt;""),Input!$B$43&amp;";",""),IF(AND($G12&lt;Hta_24,$G12&gt;=Hba_24,Input!V$44&lt;&gt;""),Input!$B$44&amp;";",""),IF(AND($G12&lt;Hta_25,$G12&gt;=Hba_25,Input!V$45&lt;&gt;""),Input!$B$45&amp;";",""),IF(AND($G12&lt;Hta_26,$G12&gt;=Hba_26,Input!V$46&lt;&gt;""),Input!$B$46&amp;";",""),IF(AND($G12&lt;Hta_27,$G12&gt;=Hba_27,Input!V$47&lt;&gt;""),Input!$B$47&amp;";",""),IF(AND($G12&lt;Hta_28,$G12&gt;=Hba_28,Input!V$48&lt;&gt;""),Input!$B$48&amp;";",""),IF(AND($G12&lt;Hta_29,$G12&gt;=Hba_29,Input!V$49&lt;&gt;""),Input!$B$49&amp;";",""),IF(AND($G12&lt;Hta_30,$G12&gt;=Hba_30,Input!V$50&lt;&gt;""),Input!$B$50&amp;";","")),"")</f>
        <v/>
      </c>
      <c r="BX12" s="25" t="str">
        <f>IFERROR(CONCATENATE(IF(AND($G12&lt;Hta_1,$G12&gt;=Hba_1,Input!W$21&lt;&gt;""),Input!$B$21&amp;";",""),IF(AND($G12&lt;Hta_2,$G12&gt;=Hba_2,Input!W$22&lt;&gt;""),Input!$B$22&amp;";",""),IF(AND($G12&lt;Hta_3,$G12&gt;=Hba_3,Input!W$23&lt;&gt;""),Input!$B$23&amp;";",""),IF(AND($G12&lt;Hta_4,$G12&gt;=Hba_4,Input!W$24&lt;&gt;""),Input!$B$24&amp;";",""),IF(AND($G12&lt;Hta_5,$G12&gt;=Hba_5,Input!W$25&lt;&gt;""),Input!$B$25&amp;";",""),IF(AND($G12&lt;Hta_6,$G12&gt;=Hba_6,Input!W$26&lt;&gt;""),Input!$B$26&amp;";",""),IF(AND($G12&lt;Hta_7,$G12&gt;=Hba_7,Input!W$27&lt;&gt;""),Input!$B$27&amp;";",""),IF(AND($G12&lt;Hta_8,$G12&gt;=Hba_8,Input!W$28&lt;&gt;""),Input!$B$28&amp;";",""),IF(AND($G12&lt;Hta_9,$G12&gt;=Hba_9,Input!W$29&lt;&gt;""),Input!$B$29&amp;";",""),IF(AND($G12&lt;Hta_10,$G12&gt;=Hba_10,Input!W$30&lt;&gt;""),Input!$B$30&amp;";",""),IF(AND($G12&lt;Hta_11,$G12&gt;=Hba_11,Input!W$31&lt;&gt;""),Input!$B$31&amp;";",""),IF(AND($G12&lt;Hta_12,$G12&gt;=Hba_12,Input!W$32&lt;&gt;""),Input!$B$32&amp;";",""),IF(AND($G12&lt;Hta_13,$G12&gt;=Hba_13,Input!W$33&lt;&gt;""),Input!$B$33&amp;";",""),IF(AND($G12&lt;Hta_14,$G12&gt;=Hba_14,Input!W$34&lt;&gt;""),Input!$B$34&amp;";",""),IF(AND($G12&lt;Hta_15,$G12&gt;=Hba_15,Input!W$35&lt;&gt;""),Input!$B$35&amp;";",""),IF(AND($G12&lt;Hta_16,$G12&gt;=Hba_16,Input!W$36&lt;&gt;""),Input!$B$36&amp;";",""),IF(AND($G12&lt;Hta_17,$G12&gt;=Hba_17,Input!W$37&lt;&gt;""),Input!$B$37&amp;";",""),IF(AND($G12&lt;Hta_18,$G12&gt;=Hba_18,Input!W$38&lt;&gt;""),Input!$B$38&amp;";",""),IF(AND($G12&lt;Hta_19,$G12&gt;=Hba_19,Input!W$39&lt;&gt;""),Input!$B$39&amp;";",""),IF(AND($G12&lt;Hta_20,$G12&gt;=Hba_20,Input!W$40&lt;&gt;""),Input!$B$40&amp;";",""),IF(AND($G12&lt;Hta_21,$G12&gt;=Hba_21,Input!W$41&lt;&gt;""),Input!$B$41&amp;";",""),IF(AND($G12&lt;Hta_22,$G12&gt;=Hba_22,Input!W$42&lt;&gt;""),Input!$B$42&amp;";",""),IF(AND($G12&lt;Hta_23,$G12&gt;=Hba_23,Input!W$43&lt;&gt;""),Input!$B$43&amp;";",""),IF(AND($G12&lt;Hta_24,$G12&gt;=Hba_24,Input!W$44&lt;&gt;""),Input!$B$44&amp;";",""),IF(AND($G12&lt;Hta_25,$G12&gt;=Hba_25,Input!W$45&lt;&gt;""),Input!$B$45&amp;";",""),IF(AND($G12&lt;Hta_26,$G12&gt;=Hba_26,Input!W$46&lt;&gt;""),Input!$B$46&amp;";",""),IF(AND($G12&lt;Hta_27,$G12&gt;=Hba_27,Input!W$47&lt;&gt;""),Input!$B$47&amp;";",""),IF(AND($G12&lt;Hta_28,$G12&gt;=Hba_28,Input!W$48&lt;&gt;""),Input!$B$48&amp;";",""),IF(AND($G12&lt;Hta_29,$G12&gt;=Hba_29,Input!W$49&lt;&gt;""),Input!$B$49&amp;";",""),IF(AND($G12&lt;Hta_30,$G12&gt;=Hba_30,Input!W$50&lt;&gt;""),Input!$B$50&amp;";","")),"")</f>
        <v/>
      </c>
      <c r="BY12" s="25" t="str">
        <f>IFERROR(CONCATENATE(IF(AND($G12&lt;Hta_1,$G12&gt;=Hba_1,Input!X$21&lt;&gt;""),Input!$B$21&amp;";",""),IF(AND($G12&lt;Hta_2,$G12&gt;=Hba_2,Input!X$22&lt;&gt;""),Input!$B$22&amp;";",""),IF(AND($G12&lt;Hta_3,$G12&gt;=Hba_3,Input!X$23&lt;&gt;""),Input!$B$23&amp;";",""),IF(AND($G12&lt;Hta_4,$G12&gt;=Hba_4,Input!X$24&lt;&gt;""),Input!$B$24&amp;";",""),IF(AND($G12&lt;Hta_5,$G12&gt;=Hba_5,Input!X$25&lt;&gt;""),Input!$B$25&amp;";",""),IF(AND($G12&lt;Hta_6,$G12&gt;=Hba_6,Input!X$26&lt;&gt;""),Input!$B$26&amp;";",""),IF(AND($G12&lt;Hta_7,$G12&gt;=Hba_7,Input!X$27&lt;&gt;""),Input!$B$27&amp;";",""),IF(AND($G12&lt;Hta_8,$G12&gt;=Hba_8,Input!X$28&lt;&gt;""),Input!$B$28&amp;";",""),IF(AND($G12&lt;Hta_9,$G12&gt;=Hba_9,Input!X$29&lt;&gt;""),Input!$B$29&amp;";",""),IF(AND($G12&lt;Hta_10,$G12&gt;=Hba_10,Input!X$30&lt;&gt;""),Input!$B$30&amp;";",""),IF(AND($G12&lt;Hta_11,$G12&gt;=Hba_11,Input!X$31&lt;&gt;""),Input!$B$31&amp;";",""),IF(AND($G12&lt;Hta_12,$G12&gt;=Hba_12,Input!X$32&lt;&gt;""),Input!$B$32&amp;";",""),IF(AND($G12&lt;Hta_13,$G12&gt;=Hba_13,Input!X$33&lt;&gt;""),Input!$B$33&amp;";",""),IF(AND($G12&lt;Hta_14,$G12&gt;=Hba_14,Input!X$34&lt;&gt;""),Input!$B$34&amp;";",""),IF(AND($G12&lt;Hta_15,$G12&gt;=Hba_15,Input!X$35&lt;&gt;""),Input!$B$35&amp;";",""),IF(AND($G12&lt;Hta_16,$G12&gt;=Hba_16,Input!X$36&lt;&gt;""),Input!$B$36&amp;";",""),IF(AND($G12&lt;Hta_17,$G12&gt;=Hba_17,Input!X$37&lt;&gt;""),Input!$B$37&amp;";",""),IF(AND($G12&lt;Hta_18,$G12&gt;=Hba_18,Input!X$38&lt;&gt;""),Input!$B$38&amp;";",""),IF(AND($G12&lt;Hta_19,$G12&gt;=Hba_19,Input!X$39&lt;&gt;""),Input!$B$39&amp;";",""),IF(AND($G12&lt;Hta_20,$G12&gt;=Hba_20,Input!X$40&lt;&gt;""),Input!$B$40&amp;";",""),IF(AND($G12&lt;Hta_21,$G12&gt;=Hba_21,Input!X$41&lt;&gt;""),Input!$B$41&amp;";",""),IF(AND($G12&lt;Hta_22,$G12&gt;=Hba_22,Input!X$42&lt;&gt;""),Input!$B$42&amp;";",""),IF(AND($G12&lt;Hta_23,$G12&gt;=Hba_23,Input!X$43&lt;&gt;""),Input!$B$43&amp;";",""),IF(AND($G12&lt;Hta_24,$G12&gt;=Hba_24,Input!X$44&lt;&gt;""),Input!$B$44&amp;";",""),IF(AND($G12&lt;Hta_25,$G12&gt;=Hba_25,Input!X$45&lt;&gt;""),Input!$B$45&amp;";",""),IF(AND($G12&lt;Hta_26,$G12&gt;=Hba_26,Input!X$46&lt;&gt;""),Input!$B$46&amp;";",""),IF(AND($G12&lt;Hta_27,$G12&gt;=Hba_27,Input!X$47&lt;&gt;""),Input!$B$47&amp;";",""),IF(AND($G12&lt;Hta_28,$G12&gt;=Hba_28,Input!X$48&lt;&gt;""),Input!$B$48&amp;";",""),IF(AND($G12&lt;Hta_29,$G12&gt;=Hba_29,Input!X$49&lt;&gt;""),Input!$B$49&amp;";",""),IF(AND($G12&lt;Hta_30,$G12&gt;=Hba_30,Input!X$50&lt;&gt;""),Input!$B$50&amp;";","")),"")</f>
        <v/>
      </c>
      <c r="BZ12" s="25" t="str">
        <f>IFERROR(CONCATENATE(IF(AND($G12&lt;Hta_1,$G12&gt;=Hba_1,Input!Y$21&lt;&gt;""),Input!$B$21&amp;";",""),IF(AND($G12&lt;Hta_2,$G12&gt;=Hba_2,Input!Y$22&lt;&gt;""),Input!$B$22&amp;";",""),IF(AND($G12&lt;Hta_3,$G12&gt;=Hba_3,Input!Y$23&lt;&gt;""),Input!$B$23&amp;";",""),IF(AND($G12&lt;Hta_4,$G12&gt;=Hba_4,Input!Y$24&lt;&gt;""),Input!$B$24&amp;";",""),IF(AND($G12&lt;Hta_5,$G12&gt;=Hba_5,Input!Y$25&lt;&gt;""),Input!$B$25&amp;";",""),IF(AND($G12&lt;Hta_6,$G12&gt;=Hba_6,Input!Y$26&lt;&gt;""),Input!$B$26&amp;";",""),IF(AND($G12&lt;Hta_7,$G12&gt;=Hba_7,Input!Y$27&lt;&gt;""),Input!$B$27&amp;";",""),IF(AND($G12&lt;Hta_8,$G12&gt;=Hba_8,Input!Y$28&lt;&gt;""),Input!$B$28&amp;";",""),IF(AND($G12&lt;Hta_9,$G12&gt;=Hba_9,Input!Y$29&lt;&gt;""),Input!$B$29&amp;";",""),IF(AND($G12&lt;Hta_10,$G12&gt;=Hba_10,Input!Y$30&lt;&gt;""),Input!$B$30&amp;";",""),IF(AND($G12&lt;Hta_11,$G12&gt;=Hba_11,Input!Y$31&lt;&gt;""),Input!$B$31&amp;";",""),IF(AND($G12&lt;Hta_12,$G12&gt;=Hba_12,Input!Y$32&lt;&gt;""),Input!$B$32&amp;";",""),IF(AND($G12&lt;Hta_13,$G12&gt;=Hba_13,Input!Y$33&lt;&gt;""),Input!$B$33&amp;";",""),IF(AND($G12&lt;Hta_14,$G12&gt;=Hba_14,Input!Y$34&lt;&gt;""),Input!$B$34&amp;";",""),IF(AND($G12&lt;Hta_15,$G12&gt;=Hba_15,Input!Y$35&lt;&gt;""),Input!$B$35&amp;";",""),IF(AND($G12&lt;Hta_16,$G12&gt;=Hba_16,Input!Y$36&lt;&gt;""),Input!$B$36&amp;";",""),IF(AND($G12&lt;Hta_17,$G12&gt;=Hba_17,Input!Y$37&lt;&gt;""),Input!$B$37&amp;";",""),IF(AND($G12&lt;Hta_18,$G12&gt;=Hba_18,Input!Y$38&lt;&gt;""),Input!$B$38&amp;";",""),IF(AND($G12&lt;Hta_19,$G12&gt;=Hba_19,Input!Y$39&lt;&gt;""),Input!$B$39&amp;";",""),IF(AND($G12&lt;Hta_20,$G12&gt;=Hba_20,Input!Y$40&lt;&gt;""),Input!$B$40&amp;";",""),IF(AND($G12&lt;Hta_21,$G12&gt;=Hba_21,Input!Y$41&lt;&gt;""),Input!$B$41&amp;";",""),IF(AND($G12&lt;Hta_22,$G12&gt;=Hba_22,Input!Y$42&lt;&gt;""),Input!$B$42&amp;";",""),IF(AND($G12&lt;Hta_23,$G12&gt;=Hba_23,Input!Y$43&lt;&gt;""),Input!$B$43&amp;";",""),IF(AND($G12&lt;Hta_24,$G12&gt;=Hba_24,Input!Y$44&lt;&gt;""),Input!$B$44&amp;";",""),IF(AND($G12&lt;Hta_25,$G12&gt;=Hba_25,Input!Y$45&lt;&gt;""),Input!$B$45&amp;";",""),IF(AND($G12&lt;Hta_26,$G12&gt;=Hba_26,Input!Y$46&lt;&gt;""),Input!$B$46&amp;";",""),IF(AND($G12&lt;Hta_27,$G12&gt;=Hba_27,Input!Y$47&lt;&gt;""),Input!$B$47&amp;";",""),IF(AND($G12&lt;Hta_28,$G12&gt;=Hba_28,Input!Y$48&lt;&gt;""),Input!$B$48&amp;";",""),IF(AND($G12&lt;Hta_29,$G12&gt;=Hba_29,Input!Y$49&lt;&gt;""),Input!$B$49&amp;";",""),IF(AND($G12&lt;Hta_30,$G12&gt;=Hba_30,Input!Y$50&lt;&gt;""),Input!$B$50&amp;";","")),"")</f>
        <v/>
      </c>
      <c r="CA12" s="25" t="str">
        <f>IFERROR(CONCATENATE(IF(AND($G12&lt;Hta_1,$G12&gt;=Hba_1,Input!Z$21&lt;&gt;""),Input!$B$21&amp;";",""),IF(AND($G12&lt;Hta_2,$G12&gt;=Hba_2,Input!Z$22&lt;&gt;""),Input!$B$22&amp;";",""),IF(AND($G12&lt;Hta_3,$G12&gt;=Hba_3,Input!Z$23&lt;&gt;""),Input!$B$23&amp;";",""),IF(AND($G12&lt;Hta_4,$G12&gt;=Hba_4,Input!Z$24&lt;&gt;""),Input!$B$24&amp;";",""),IF(AND($G12&lt;Hta_5,$G12&gt;=Hba_5,Input!Z$25&lt;&gt;""),Input!$B$25&amp;";",""),IF(AND($G12&lt;Hta_6,$G12&gt;=Hba_6,Input!Z$26&lt;&gt;""),Input!$B$26&amp;";",""),IF(AND($G12&lt;Hta_7,$G12&gt;=Hba_7,Input!Z$27&lt;&gt;""),Input!$B$27&amp;";",""),IF(AND($G12&lt;Hta_8,$G12&gt;=Hba_8,Input!Z$28&lt;&gt;""),Input!$B$28&amp;";",""),IF(AND($G12&lt;Hta_9,$G12&gt;=Hba_9,Input!Z$29&lt;&gt;""),Input!$B$29&amp;";",""),IF(AND($G12&lt;Hta_10,$G12&gt;=Hba_10,Input!Z$30&lt;&gt;""),Input!$B$30&amp;";",""),IF(AND($G12&lt;Hta_11,$G12&gt;=Hba_11,Input!Z$31&lt;&gt;""),Input!$B$31&amp;";",""),IF(AND($G12&lt;Hta_12,$G12&gt;=Hba_12,Input!Z$32&lt;&gt;""),Input!$B$32&amp;";",""),IF(AND($G12&lt;Hta_13,$G12&gt;=Hba_13,Input!Z$33&lt;&gt;""),Input!$B$33&amp;";",""),IF(AND($G12&lt;Hta_14,$G12&gt;=Hba_14,Input!Z$34&lt;&gt;""),Input!$B$34&amp;";",""),IF(AND($G12&lt;Hta_15,$G12&gt;=Hba_15,Input!Z$35&lt;&gt;""),Input!$B$35&amp;";",""),IF(AND($G12&lt;Hta_16,$G12&gt;=Hba_16,Input!Z$36&lt;&gt;""),Input!$B$36&amp;";",""),IF(AND($G12&lt;Hta_17,$G12&gt;=Hba_17,Input!Z$37&lt;&gt;""),Input!$B$37&amp;";",""),IF(AND($G12&lt;Hta_18,$G12&gt;=Hba_18,Input!Z$38&lt;&gt;""),Input!$B$38&amp;";",""),IF(AND($G12&lt;Hta_19,$G12&gt;=Hba_19,Input!Z$39&lt;&gt;""),Input!$B$39&amp;";",""),IF(AND($G12&lt;Hta_20,$G12&gt;=Hba_20,Input!Z$40&lt;&gt;""),Input!$B$40&amp;";",""),IF(AND($G12&lt;Hta_21,$G12&gt;=Hba_21,Input!Z$41&lt;&gt;""),Input!$B$41&amp;";",""),IF(AND($G12&lt;Hta_22,$G12&gt;=Hba_22,Input!Z$42&lt;&gt;""),Input!$B$42&amp;";",""),IF(AND($G12&lt;Hta_23,$G12&gt;=Hba_23,Input!Z$43&lt;&gt;""),Input!$B$43&amp;";",""),IF(AND($G12&lt;Hta_24,$G12&gt;=Hba_24,Input!Z$44&lt;&gt;""),Input!$B$44&amp;";",""),IF(AND($G12&lt;Hta_25,$G12&gt;=Hba_25,Input!Z$45&lt;&gt;""),Input!$B$45&amp;";",""),IF(AND($G12&lt;Hta_26,$G12&gt;=Hba_26,Input!Z$46&lt;&gt;""),Input!$B$46&amp;";",""),IF(AND($G12&lt;Hta_27,$G12&gt;=Hba_27,Input!Z$47&lt;&gt;""),Input!$B$47&amp;";",""),IF(AND($G12&lt;Hta_28,$G12&gt;=Hba_28,Input!Z$48&lt;&gt;""),Input!$B$48&amp;";",""),IF(AND($G12&lt;Hta_29,$G12&gt;=Hba_29,Input!Z$49&lt;&gt;""),Input!$B$49&amp;";",""),IF(AND($G12&lt;Hta_30,$G12&gt;=Hba_30,Input!Z$50&lt;&gt;""),Input!$B$50&amp;";","")),"")</f>
        <v/>
      </c>
      <c r="CB12" s="25" t="str">
        <f>IFERROR(CONCATENATE(IF(AND($G12&lt;Hta_1,$G12&gt;=Hba_1,Input!AA$21&lt;&gt;""),Input!$B$21&amp;";",""),IF(AND($G12&lt;Hta_2,$G12&gt;=Hba_2,Input!AA$22&lt;&gt;""),Input!$B$22&amp;";",""),IF(AND($G12&lt;Hta_3,$G12&gt;=Hba_3,Input!AA$23&lt;&gt;""),Input!$B$23&amp;";",""),IF(AND($G12&lt;Hta_4,$G12&gt;=Hba_4,Input!AA$24&lt;&gt;""),Input!$B$24&amp;";",""),IF(AND($G12&lt;Hta_5,$G12&gt;=Hba_5,Input!AA$25&lt;&gt;""),Input!$B$25&amp;";",""),IF(AND($G12&lt;Hta_6,$G12&gt;=Hba_6,Input!AA$26&lt;&gt;""),Input!$B$26&amp;";",""),IF(AND($G12&lt;Hta_7,$G12&gt;=Hba_7,Input!AA$27&lt;&gt;""),Input!$B$27&amp;";",""),IF(AND($G12&lt;Hta_8,$G12&gt;=Hba_8,Input!AA$28&lt;&gt;""),Input!$B$28&amp;";",""),IF(AND($G12&lt;Hta_9,$G12&gt;=Hba_9,Input!AA$29&lt;&gt;""),Input!$B$29&amp;";",""),IF(AND($G12&lt;Hta_10,$G12&gt;=Hba_10,Input!AA$30&lt;&gt;""),Input!$B$30&amp;";",""),IF(AND($G12&lt;Hta_11,$G12&gt;=Hba_11,Input!AA$31&lt;&gt;""),Input!$B$31&amp;";",""),IF(AND($G12&lt;Hta_12,$G12&gt;=Hba_12,Input!AA$32&lt;&gt;""),Input!$B$32&amp;";",""),IF(AND($G12&lt;Hta_13,$G12&gt;=Hba_13,Input!AA$33&lt;&gt;""),Input!$B$33&amp;";",""),IF(AND($G12&lt;Hta_14,$G12&gt;=Hba_14,Input!AA$34&lt;&gt;""),Input!$B$34&amp;";",""),IF(AND($G12&lt;Hta_15,$G12&gt;=Hba_15,Input!AA$35&lt;&gt;""),Input!$B$35&amp;";",""),IF(AND($G12&lt;Hta_16,$G12&gt;=Hba_16,Input!AA$36&lt;&gt;""),Input!$B$36&amp;";",""),IF(AND($G12&lt;Hta_17,$G12&gt;=Hba_17,Input!AA$37&lt;&gt;""),Input!$B$37&amp;";",""),IF(AND($G12&lt;Hta_18,$G12&gt;=Hba_18,Input!AA$38&lt;&gt;""),Input!$B$38&amp;";",""),IF(AND($G12&lt;Hta_19,$G12&gt;=Hba_19,Input!AA$39&lt;&gt;""),Input!$B$39&amp;";",""),IF(AND($G12&lt;Hta_20,$G12&gt;=Hba_20,Input!AA$40&lt;&gt;""),Input!$B$40&amp;";",""),IF(AND($G12&lt;Hta_21,$G12&gt;=Hba_21,Input!AA$41&lt;&gt;""),Input!$B$41&amp;";",""),IF(AND($G12&lt;Hta_22,$G12&gt;=Hba_22,Input!AA$42&lt;&gt;""),Input!$B$42&amp;";",""),IF(AND($G12&lt;Hta_23,$G12&gt;=Hba_23,Input!AA$43&lt;&gt;""),Input!$B$43&amp;";",""),IF(AND($G12&lt;Hta_24,$G12&gt;=Hba_24,Input!AA$44&lt;&gt;""),Input!$B$44&amp;";",""),IF(AND($G12&lt;Hta_25,$G12&gt;=Hba_25,Input!AA$45&lt;&gt;""),Input!$B$45&amp;";",""),IF(AND($G12&lt;Hta_26,$G12&gt;=Hba_26,Input!AA$46&lt;&gt;""),Input!$B$46&amp;";",""),IF(AND($G12&lt;Hta_27,$G12&gt;=Hba_27,Input!AA$47&lt;&gt;""),Input!$B$47&amp;";",""),IF(AND($G12&lt;Hta_28,$G12&gt;=Hba_28,Input!AA$48&lt;&gt;""),Input!$B$48&amp;";",""),IF(AND($G12&lt;Hta_29,$G12&gt;=Hba_29,Input!AA$49&lt;&gt;""),Input!$B$49&amp;";",""),IF(AND($G12&lt;Hta_30,$G12&gt;=Hba_30,Input!AA$50&lt;&gt;""),Input!$B$50&amp;";","")),"")</f>
        <v/>
      </c>
      <c r="CC12" s="25" t="str">
        <f>IFERROR(CONCATENATE(IF(AND($G12&lt;Hta_1,$G12&gt;=Hba_1,Input!AB$21&lt;&gt;""),Input!$B$21&amp;";",""),IF(AND($G12&lt;Hta_2,$G12&gt;=Hba_2,Input!AB$22&lt;&gt;""),Input!$B$22&amp;";",""),IF(AND($G12&lt;Hta_3,$G12&gt;=Hba_3,Input!AB$23&lt;&gt;""),Input!$B$23&amp;";",""),IF(AND($G12&lt;Hta_4,$G12&gt;=Hba_4,Input!AB$24&lt;&gt;""),Input!$B$24&amp;";",""),IF(AND($G12&lt;Hta_5,$G12&gt;=Hba_5,Input!AB$25&lt;&gt;""),Input!$B$25&amp;";",""),IF(AND($G12&lt;Hta_6,$G12&gt;=Hba_6,Input!AB$26&lt;&gt;""),Input!$B$26&amp;";",""),IF(AND($G12&lt;Hta_7,$G12&gt;=Hba_7,Input!AB$27&lt;&gt;""),Input!$B$27&amp;";",""),IF(AND($G12&lt;Hta_8,$G12&gt;=Hba_8,Input!AB$28&lt;&gt;""),Input!$B$28&amp;";",""),IF(AND($G12&lt;Hta_9,$G12&gt;=Hba_9,Input!AB$29&lt;&gt;""),Input!$B$29&amp;";",""),IF(AND($G12&lt;Hta_10,$G12&gt;=Hba_10,Input!AB$30&lt;&gt;""),Input!$B$30&amp;";",""),IF(AND($G12&lt;Hta_11,$G12&gt;=Hba_11,Input!AB$31&lt;&gt;""),Input!$B$31&amp;";",""),IF(AND($G12&lt;Hta_12,$G12&gt;=Hba_12,Input!AB$32&lt;&gt;""),Input!$B$32&amp;";",""),IF(AND($G12&lt;Hta_13,$G12&gt;=Hba_13,Input!AB$33&lt;&gt;""),Input!$B$33&amp;";",""),IF(AND($G12&lt;Hta_14,$G12&gt;=Hba_14,Input!AB$34&lt;&gt;""),Input!$B$34&amp;";",""),IF(AND($G12&lt;Hta_15,$G12&gt;=Hba_15,Input!AB$35&lt;&gt;""),Input!$B$35&amp;";",""),IF(AND($G12&lt;Hta_16,$G12&gt;=Hba_16,Input!AB$36&lt;&gt;""),Input!$B$36&amp;";",""),IF(AND($G12&lt;Hta_17,$G12&gt;=Hba_17,Input!AB$37&lt;&gt;""),Input!$B$37&amp;";",""),IF(AND($G12&lt;Hta_18,$G12&gt;=Hba_18,Input!AB$38&lt;&gt;""),Input!$B$38&amp;";",""),IF(AND($G12&lt;Hta_19,$G12&gt;=Hba_19,Input!AB$39&lt;&gt;""),Input!$B$39&amp;";",""),IF(AND($G12&lt;Hta_20,$G12&gt;=Hba_20,Input!AB$40&lt;&gt;""),Input!$B$40&amp;";",""),IF(AND($G12&lt;Hta_21,$G12&gt;=Hba_21,Input!AB$41&lt;&gt;""),Input!$B$41&amp;";",""),IF(AND($G12&lt;Hta_22,$G12&gt;=Hba_22,Input!AB$42&lt;&gt;""),Input!$B$42&amp;";",""),IF(AND($G12&lt;Hta_23,$G12&gt;=Hba_23,Input!AB$43&lt;&gt;""),Input!$B$43&amp;";",""),IF(AND($G12&lt;Hta_24,$G12&gt;=Hba_24,Input!AB$44&lt;&gt;""),Input!$B$44&amp;";",""),IF(AND($G12&lt;Hta_25,$G12&gt;=Hba_25,Input!AB$45&lt;&gt;""),Input!$B$45&amp;";",""),IF(AND($G12&lt;Hta_26,$G12&gt;=Hba_26,Input!AB$46&lt;&gt;""),Input!$B$46&amp;";",""),IF(AND($G12&lt;Hta_27,$G12&gt;=Hba_27,Input!AB$47&lt;&gt;""),Input!$B$47&amp;";",""),IF(AND($G12&lt;Hta_28,$G12&gt;=Hba_28,Input!AB$48&lt;&gt;""),Input!$B$48&amp;";",""),IF(AND($G12&lt;Hta_29,$G12&gt;=Hba_29,Input!AB$49&lt;&gt;""),Input!$B$49&amp;";",""),IF(AND($G12&lt;Hta_30,$G12&gt;=Hba_30,Input!AB$50&lt;&gt;""),Input!$B$50&amp;";","")),"")</f>
        <v/>
      </c>
      <c r="CD12" s="25" t="str">
        <f>IFERROR(CONCATENATE(IF(AND($G12&lt;Hta_1,$G12&gt;=Hba_1,Input!AC$21&lt;&gt;""),Input!$B$21&amp;";",""),IF(AND($G12&lt;Hta_2,$G12&gt;=Hba_2,Input!AC$22&lt;&gt;""),Input!$B$22&amp;";",""),IF(AND($G12&lt;Hta_3,$G12&gt;=Hba_3,Input!AC$23&lt;&gt;""),Input!$B$23&amp;";",""),IF(AND($G12&lt;Hta_4,$G12&gt;=Hba_4,Input!AC$24&lt;&gt;""),Input!$B$24&amp;";",""),IF(AND($G12&lt;Hta_5,$G12&gt;=Hba_5,Input!AC$25&lt;&gt;""),Input!$B$25&amp;";",""),IF(AND($G12&lt;Hta_6,$G12&gt;=Hba_6,Input!AC$26&lt;&gt;""),Input!$B$26&amp;";",""),IF(AND($G12&lt;Hta_7,$G12&gt;=Hba_7,Input!AC$27&lt;&gt;""),Input!$B$27&amp;";",""),IF(AND($G12&lt;Hta_8,$G12&gt;=Hba_8,Input!AC$28&lt;&gt;""),Input!$B$28&amp;";",""),IF(AND($G12&lt;Hta_9,$G12&gt;=Hba_9,Input!AC$29&lt;&gt;""),Input!$B$29&amp;";",""),IF(AND($G12&lt;Hta_10,$G12&gt;=Hba_10,Input!AC$30&lt;&gt;""),Input!$B$30&amp;";",""),IF(AND($G12&lt;Hta_11,$G12&gt;=Hba_11,Input!AC$31&lt;&gt;""),Input!$B$31&amp;";",""),IF(AND($G12&lt;Hta_12,$G12&gt;=Hba_12,Input!AC$32&lt;&gt;""),Input!$B$32&amp;";",""),IF(AND($G12&lt;Hta_13,$G12&gt;=Hba_13,Input!AC$33&lt;&gt;""),Input!$B$33&amp;";",""),IF(AND($G12&lt;Hta_14,$G12&gt;=Hba_14,Input!AC$34&lt;&gt;""),Input!$B$34&amp;";",""),IF(AND($G12&lt;Hta_15,$G12&gt;=Hba_15,Input!AC$35&lt;&gt;""),Input!$B$35&amp;";",""),IF(AND($G12&lt;Hta_16,$G12&gt;=Hba_16,Input!AC$36&lt;&gt;""),Input!$B$36&amp;";",""),IF(AND($G12&lt;Hta_17,$G12&gt;=Hba_17,Input!AC$37&lt;&gt;""),Input!$B$37&amp;";",""),IF(AND($G12&lt;Hta_18,$G12&gt;=Hba_18,Input!AC$38&lt;&gt;""),Input!$B$38&amp;";",""),IF(AND($G12&lt;Hta_19,$G12&gt;=Hba_19,Input!AC$39&lt;&gt;""),Input!$B$39&amp;";",""),IF(AND($G12&lt;Hta_20,$G12&gt;=Hba_20,Input!AC$40&lt;&gt;""),Input!$B$40&amp;";",""),IF(AND($G12&lt;Hta_21,$G12&gt;=Hba_21,Input!AC$41&lt;&gt;""),Input!$B$41&amp;";",""),IF(AND($G12&lt;Hta_22,$G12&gt;=Hba_22,Input!AC$42&lt;&gt;""),Input!$B$42&amp;";",""),IF(AND($G12&lt;Hta_23,$G12&gt;=Hba_23,Input!AC$43&lt;&gt;""),Input!$B$43&amp;";",""),IF(AND($G12&lt;Hta_24,$G12&gt;=Hba_24,Input!AC$44&lt;&gt;""),Input!$B$44&amp;";",""),IF(AND($G12&lt;Hta_25,$G12&gt;=Hba_25,Input!AC$45&lt;&gt;""),Input!$B$45&amp;";",""),IF(AND($G12&lt;Hta_26,$G12&gt;=Hba_26,Input!AC$46&lt;&gt;""),Input!$B$46&amp;";",""),IF(AND($G12&lt;Hta_27,$G12&gt;=Hba_27,Input!AC$47&lt;&gt;""),Input!$B$47&amp;";",""),IF(AND($G12&lt;Hta_28,$G12&gt;=Hba_28,Input!AC$48&lt;&gt;""),Input!$B$48&amp;";",""),IF(AND($G12&lt;Hta_29,$G12&gt;=Hba_29,Input!AC$49&lt;&gt;""),Input!$B$49&amp;";",""),IF(AND($G12&lt;Hta_30,$G12&gt;=Hba_30,Input!AC$50&lt;&gt;""),Input!$B$50&amp;";","")),"")</f>
        <v/>
      </c>
      <c r="CE12" s="25" t="str">
        <f>IFERROR(CONCATENATE(IF(AND($G12&lt;Hta_1,$G12&gt;=Hba_1,Input!AD$21&lt;&gt;""),Input!$B$21&amp;";",""),IF(AND($G12&lt;Hta_2,$G12&gt;=Hba_2,Input!AD$22&lt;&gt;""),Input!$B$22&amp;";",""),IF(AND($G12&lt;Hta_3,$G12&gt;=Hba_3,Input!AD$23&lt;&gt;""),Input!$B$23&amp;";",""),IF(AND($G12&lt;Hta_4,$G12&gt;=Hba_4,Input!AD$24&lt;&gt;""),Input!$B$24&amp;";",""),IF(AND($G12&lt;Hta_5,$G12&gt;=Hba_5,Input!AD$25&lt;&gt;""),Input!$B$25&amp;";",""),IF(AND($G12&lt;Hta_6,$G12&gt;=Hba_6,Input!AD$26&lt;&gt;""),Input!$B$26&amp;";",""),IF(AND($G12&lt;Hta_7,$G12&gt;=Hba_7,Input!AD$27&lt;&gt;""),Input!$B$27&amp;";",""),IF(AND($G12&lt;Hta_8,$G12&gt;=Hba_8,Input!AD$28&lt;&gt;""),Input!$B$28&amp;";",""),IF(AND($G12&lt;Hta_9,$G12&gt;=Hba_9,Input!AD$29&lt;&gt;""),Input!$B$29&amp;";",""),IF(AND($G12&lt;Hta_10,$G12&gt;=Hba_10,Input!AD$30&lt;&gt;""),Input!$B$30&amp;";",""),IF(AND($G12&lt;Hta_11,$G12&gt;=Hba_11,Input!AD$31&lt;&gt;""),Input!$B$31&amp;";",""),IF(AND($G12&lt;Hta_12,$G12&gt;=Hba_12,Input!AD$32&lt;&gt;""),Input!$B$32&amp;";",""),IF(AND($G12&lt;Hta_13,$G12&gt;=Hba_13,Input!AD$33&lt;&gt;""),Input!$B$33&amp;";",""),IF(AND($G12&lt;Hta_14,$G12&gt;=Hba_14,Input!AD$34&lt;&gt;""),Input!$B$34&amp;";",""),IF(AND($G12&lt;Hta_15,$G12&gt;=Hba_15,Input!AD$35&lt;&gt;""),Input!$B$35&amp;";",""),IF(AND($G12&lt;Hta_16,$G12&gt;=Hba_16,Input!AD$36&lt;&gt;""),Input!$B$36&amp;";",""),IF(AND($G12&lt;Hta_17,$G12&gt;=Hba_17,Input!AD$37&lt;&gt;""),Input!$B$37&amp;";",""),IF(AND($G12&lt;Hta_18,$G12&gt;=Hba_18,Input!AD$38&lt;&gt;""),Input!$B$38&amp;";",""),IF(AND($G12&lt;Hta_19,$G12&gt;=Hba_19,Input!AD$39&lt;&gt;""),Input!$B$39&amp;";",""),IF(AND($G12&lt;Hta_20,$G12&gt;=Hba_20,Input!AD$40&lt;&gt;""),Input!$B$40&amp;";",""),IF(AND($G12&lt;Hta_21,$G12&gt;=Hba_21,Input!AD$41&lt;&gt;""),Input!$B$41&amp;";",""),IF(AND($G12&lt;Hta_22,$G12&gt;=Hba_22,Input!AD$42&lt;&gt;""),Input!$B$42&amp;";",""),IF(AND($G12&lt;Hta_23,$G12&gt;=Hba_23,Input!AD$43&lt;&gt;""),Input!$B$43&amp;";",""),IF(AND($G12&lt;Hta_24,$G12&gt;=Hba_24,Input!AD$44&lt;&gt;""),Input!$B$44&amp;";",""),IF(AND($G12&lt;Hta_25,$G12&gt;=Hba_25,Input!AD$45&lt;&gt;""),Input!$B$45&amp;";",""),IF(AND($G12&lt;Hta_26,$G12&gt;=Hba_26,Input!AD$46&lt;&gt;""),Input!$B$46&amp;";",""),IF(AND($G12&lt;Hta_27,$G12&gt;=Hba_27,Input!AD$47&lt;&gt;""),Input!$B$47&amp;";",""),IF(AND($G12&lt;Hta_28,$G12&gt;=Hba_28,Input!AD$48&lt;&gt;""),Input!$B$48&amp;";",""),IF(AND($G12&lt;Hta_29,$G12&gt;=Hba_29,Input!AD$49&lt;&gt;""),Input!$B$49&amp;";",""),IF(AND($G12&lt;Hta_30,$G12&gt;=Hba_30,Input!AD$50&lt;&gt;""),Input!$B$50&amp;";","")),"")</f>
        <v/>
      </c>
      <c r="CF12" s="25" t="str">
        <f>IFERROR(CONCATENATE(IF(AND($G12&lt;Hta_1,$G12&gt;=Hba_1,Input!AE$21&lt;&gt;""),Input!$B$21&amp;";",""),IF(AND($G12&lt;Hta_2,$G12&gt;=Hba_2,Input!AE$22&lt;&gt;""),Input!$B$22&amp;";",""),IF(AND($G12&lt;Hta_3,$G12&gt;=Hba_3,Input!AE$23&lt;&gt;""),Input!$B$23&amp;";",""),IF(AND($G12&lt;Hta_4,$G12&gt;=Hba_4,Input!AE$24&lt;&gt;""),Input!$B$24&amp;";",""),IF(AND($G12&lt;Hta_5,$G12&gt;=Hba_5,Input!AE$25&lt;&gt;""),Input!$B$25&amp;";",""),IF(AND($G12&lt;Hta_6,$G12&gt;=Hba_6,Input!AE$26&lt;&gt;""),Input!$B$26&amp;";",""),IF(AND($G12&lt;Hta_7,$G12&gt;=Hba_7,Input!AE$27&lt;&gt;""),Input!$B$27&amp;";",""),IF(AND($G12&lt;Hta_8,$G12&gt;=Hba_8,Input!AE$28&lt;&gt;""),Input!$B$28&amp;";",""),IF(AND($G12&lt;Hta_9,$G12&gt;=Hba_9,Input!AE$29&lt;&gt;""),Input!$B$29&amp;";",""),IF(AND($G12&lt;Hta_10,$G12&gt;=Hba_10,Input!AE$30&lt;&gt;""),Input!$B$30&amp;";",""),IF(AND($G12&lt;Hta_11,$G12&gt;=Hba_11,Input!AE$31&lt;&gt;""),Input!$B$31&amp;";",""),IF(AND($G12&lt;Hta_12,$G12&gt;=Hba_12,Input!AE$32&lt;&gt;""),Input!$B$32&amp;";",""),IF(AND($G12&lt;Hta_13,$G12&gt;=Hba_13,Input!AE$33&lt;&gt;""),Input!$B$33&amp;";",""),IF(AND($G12&lt;Hta_14,$G12&gt;=Hba_14,Input!AE$34&lt;&gt;""),Input!$B$34&amp;";",""),IF(AND($G12&lt;Hta_15,$G12&gt;=Hba_15,Input!AE$35&lt;&gt;""),Input!$B$35&amp;";",""),IF(AND($G12&lt;Hta_16,$G12&gt;=Hba_16,Input!AE$36&lt;&gt;""),Input!$B$36&amp;";",""),IF(AND($G12&lt;Hta_17,$G12&gt;=Hba_17,Input!AE$37&lt;&gt;""),Input!$B$37&amp;";",""),IF(AND($G12&lt;Hta_18,$G12&gt;=Hba_18,Input!AE$38&lt;&gt;""),Input!$B$38&amp;";",""),IF(AND($G12&lt;Hta_19,$G12&gt;=Hba_19,Input!AE$39&lt;&gt;""),Input!$B$39&amp;";",""),IF(AND($G12&lt;Hta_20,$G12&gt;=Hba_20,Input!AE$40&lt;&gt;""),Input!$B$40&amp;";",""),IF(AND($G12&lt;Hta_21,$G12&gt;=Hba_21,Input!AE$41&lt;&gt;""),Input!$B$41&amp;";",""),IF(AND($G12&lt;Hta_22,$G12&gt;=Hba_22,Input!AE$42&lt;&gt;""),Input!$B$42&amp;";",""),IF(AND($G12&lt;Hta_23,$G12&gt;=Hba_23,Input!AE$43&lt;&gt;""),Input!$B$43&amp;";",""),IF(AND($G12&lt;Hta_24,$G12&gt;=Hba_24,Input!AE$44&lt;&gt;""),Input!$B$44&amp;";",""),IF(AND($G12&lt;Hta_25,$G12&gt;=Hba_25,Input!AE$45&lt;&gt;""),Input!$B$45&amp;";",""),IF(AND($G12&lt;Hta_26,$G12&gt;=Hba_26,Input!AE$46&lt;&gt;""),Input!$B$46&amp;";",""),IF(AND($G12&lt;Hta_27,$G12&gt;=Hba_27,Input!AE$47&lt;&gt;""),Input!$B$47&amp;";",""),IF(AND($G12&lt;Hta_28,$G12&gt;=Hba_28,Input!AE$48&lt;&gt;""),Input!$B$48&amp;";",""),IF(AND($G12&lt;Hta_29,$G12&gt;=Hba_29,Input!AE$49&lt;&gt;""),Input!$B$49&amp;";",""),IF(AND($G12&lt;Hta_30,$G12&gt;=Hba_30,Input!AE$50&lt;&gt;""),Input!$B$50&amp;";","")),"")</f>
        <v/>
      </c>
      <c r="CG12" s="25" t="str">
        <f>IFERROR(CONCATENATE(IF(AND($G12&lt;Hta_1,$G12&gt;=Hba_1,Input!AF$21&lt;&gt;""),Input!$B$21&amp;";",""),IF(AND($G12&lt;Hta_2,$G12&gt;=Hba_2,Input!AF$22&lt;&gt;""),Input!$B$22&amp;";",""),IF(AND($G12&lt;Hta_3,$G12&gt;=Hba_3,Input!AF$23&lt;&gt;""),Input!$B$23&amp;";",""),IF(AND($G12&lt;Hta_4,$G12&gt;=Hba_4,Input!AF$24&lt;&gt;""),Input!$B$24&amp;";",""),IF(AND($G12&lt;Hta_5,$G12&gt;=Hba_5,Input!AF$25&lt;&gt;""),Input!$B$25&amp;";",""),IF(AND($G12&lt;Hta_6,$G12&gt;=Hba_6,Input!AF$26&lt;&gt;""),Input!$B$26&amp;";",""),IF(AND($G12&lt;Hta_7,$G12&gt;=Hba_7,Input!AF$27&lt;&gt;""),Input!$B$27&amp;";",""),IF(AND($G12&lt;Hta_8,$G12&gt;=Hba_8,Input!AF$28&lt;&gt;""),Input!$B$28&amp;";",""),IF(AND($G12&lt;Hta_9,$G12&gt;=Hba_9,Input!AF$29&lt;&gt;""),Input!$B$29&amp;";",""),IF(AND($G12&lt;Hta_10,$G12&gt;=Hba_10,Input!AF$30&lt;&gt;""),Input!$B$30&amp;";",""),IF(AND($G12&lt;Hta_11,$G12&gt;=Hba_11,Input!AF$31&lt;&gt;""),Input!$B$31&amp;";",""),IF(AND($G12&lt;Hta_12,$G12&gt;=Hba_12,Input!AF$32&lt;&gt;""),Input!$B$32&amp;";",""),IF(AND($G12&lt;Hta_13,$G12&gt;=Hba_13,Input!AF$33&lt;&gt;""),Input!$B$33&amp;";",""),IF(AND($G12&lt;Hta_14,$G12&gt;=Hba_14,Input!AF$34&lt;&gt;""),Input!$B$34&amp;";",""),IF(AND($G12&lt;Hta_15,$G12&gt;=Hba_15,Input!AF$35&lt;&gt;""),Input!$B$35&amp;";",""),IF(AND($G12&lt;Hta_16,$G12&gt;=Hba_16,Input!AF$36&lt;&gt;""),Input!$B$36&amp;";",""),IF(AND($G12&lt;Hta_17,$G12&gt;=Hba_17,Input!AF$37&lt;&gt;""),Input!$B$37&amp;";",""),IF(AND($G12&lt;Hta_18,$G12&gt;=Hba_18,Input!AF$38&lt;&gt;""),Input!$B$38&amp;";",""),IF(AND($G12&lt;Hta_19,$G12&gt;=Hba_19,Input!AF$39&lt;&gt;""),Input!$B$39&amp;";",""),IF(AND($G12&lt;Hta_20,$G12&gt;=Hba_20,Input!AF$40&lt;&gt;""),Input!$B$40&amp;";",""),IF(AND($G12&lt;Hta_21,$G12&gt;=Hba_21,Input!AF$41&lt;&gt;""),Input!$B$41&amp;";",""),IF(AND($G12&lt;Hta_22,$G12&gt;=Hba_22,Input!AF$42&lt;&gt;""),Input!$B$42&amp;";",""),IF(AND($G12&lt;Hta_23,$G12&gt;=Hba_23,Input!AF$43&lt;&gt;""),Input!$B$43&amp;";",""),IF(AND($G12&lt;Hta_24,$G12&gt;=Hba_24,Input!AF$44&lt;&gt;""),Input!$B$44&amp;";",""),IF(AND($G12&lt;Hta_25,$G12&gt;=Hba_25,Input!AF$45&lt;&gt;""),Input!$B$45&amp;";",""),IF(AND($G12&lt;Hta_26,$G12&gt;=Hba_26,Input!AF$46&lt;&gt;""),Input!$B$46&amp;";",""),IF(AND($G12&lt;Hta_27,$G12&gt;=Hba_27,Input!AF$47&lt;&gt;""),Input!$B$47&amp;";",""),IF(AND($G12&lt;Hta_28,$G12&gt;=Hba_28,Input!AF$48&lt;&gt;""),Input!$B$48&amp;";",""),IF(AND($G12&lt;Hta_29,$G12&gt;=Hba_29,Input!AF$49&lt;&gt;""),Input!$B$49&amp;";",""),IF(AND($G12&lt;Hta_30,$G12&gt;=Hba_30,Input!AF$50&lt;&gt;""),Input!$B$50&amp;";","")),"")</f>
        <v/>
      </c>
      <c r="CH12" s="25" t="str">
        <f>IFERROR(CONCATENATE(IF(AND($G12&lt;Hta_1,$G12&gt;=Hba_1,Input!AG$21&lt;&gt;""),Input!$B$21&amp;";",""),IF(AND($G12&lt;Hta_2,$G12&gt;=Hba_2,Input!AG$22&lt;&gt;""),Input!$B$22&amp;";",""),IF(AND($G12&lt;Hta_3,$G12&gt;=Hba_3,Input!AG$23&lt;&gt;""),Input!$B$23&amp;";",""),IF(AND($G12&lt;Hta_4,$G12&gt;=Hba_4,Input!AG$24&lt;&gt;""),Input!$B$24&amp;";",""),IF(AND($G12&lt;Hta_5,$G12&gt;=Hba_5,Input!AG$25&lt;&gt;""),Input!$B$25&amp;";",""),IF(AND($G12&lt;Hta_6,$G12&gt;=Hba_6,Input!AG$26&lt;&gt;""),Input!$B$26&amp;";",""),IF(AND($G12&lt;Hta_7,$G12&gt;=Hba_7,Input!AG$27&lt;&gt;""),Input!$B$27&amp;";",""),IF(AND($G12&lt;Hta_8,$G12&gt;=Hba_8,Input!AG$28&lt;&gt;""),Input!$B$28&amp;";",""),IF(AND($G12&lt;Hta_9,$G12&gt;=Hba_9,Input!AG$29&lt;&gt;""),Input!$B$29&amp;";",""),IF(AND($G12&lt;Hta_10,$G12&gt;=Hba_10,Input!AG$30&lt;&gt;""),Input!$B$30&amp;";",""),IF(AND($G12&lt;Hta_11,$G12&gt;=Hba_11,Input!AG$31&lt;&gt;""),Input!$B$31&amp;";",""),IF(AND($G12&lt;Hta_12,$G12&gt;=Hba_12,Input!AG$32&lt;&gt;""),Input!$B$32&amp;";",""),IF(AND($G12&lt;Hta_13,$G12&gt;=Hba_13,Input!AG$33&lt;&gt;""),Input!$B$33&amp;";",""),IF(AND($G12&lt;Hta_14,$G12&gt;=Hba_14,Input!AG$34&lt;&gt;""),Input!$B$34&amp;";",""),IF(AND($G12&lt;Hta_15,$G12&gt;=Hba_15,Input!AG$35&lt;&gt;""),Input!$B$35&amp;";",""),IF(AND($G12&lt;Hta_16,$G12&gt;=Hba_16,Input!AG$36&lt;&gt;""),Input!$B$36&amp;";",""),IF(AND($G12&lt;Hta_17,$G12&gt;=Hba_17,Input!AG$37&lt;&gt;""),Input!$B$37&amp;";",""),IF(AND($G12&lt;Hta_18,$G12&gt;=Hba_18,Input!AG$38&lt;&gt;""),Input!$B$38&amp;";",""),IF(AND($G12&lt;Hta_19,$G12&gt;=Hba_19,Input!AG$39&lt;&gt;""),Input!$B$39&amp;";",""),IF(AND($G12&lt;Hta_20,$G12&gt;=Hba_20,Input!AG$40&lt;&gt;""),Input!$B$40&amp;";",""),IF(AND($G12&lt;Hta_21,$G12&gt;=Hba_21,Input!AG$41&lt;&gt;""),Input!$B$41&amp;";",""),IF(AND($G12&lt;Hta_22,$G12&gt;=Hba_22,Input!AG$42&lt;&gt;""),Input!$B$42&amp;";",""),IF(AND($G12&lt;Hta_23,$G12&gt;=Hba_23,Input!AG$43&lt;&gt;""),Input!$B$43&amp;";",""),IF(AND($G12&lt;Hta_24,$G12&gt;=Hba_24,Input!AG$44&lt;&gt;""),Input!$B$44&amp;";",""),IF(AND($G12&lt;Hta_25,$G12&gt;=Hba_25,Input!AG$45&lt;&gt;""),Input!$B$45&amp;";",""),IF(AND($G12&lt;Hta_26,$G12&gt;=Hba_26,Input!AG$46&lt;&gt;""),Input!$B$46&amp;";",""),IF(AND($G12&lt;Hta_27,$G12&gt;=Hba_27,Input!AG$47&lt;&gt;""),Input!$B$47&amp;";",""),IF(AND($G12&lt;Hta_28,$G12&gt;=Hba_28,Input!AG$48&lt;&gt;""),Input!$B$48&amp;";",""),IF(AND($G12&lt;Hta_29,$G12&gt;=Hba_29,Input!AG$49&lt;&gt;""),Input!$B$49&amp;";",""),IF(AND($G12&lt;Hta_30,$G12&gt;=Hba_30,Input!AG$50&lt;&gt;""),Input!$B$50&amp;";","")),"")</f>
        <v/>
      </c>
      <c r="CI12" s="25" t="str">
        <f>IFERROR(CONCATENATE(IF(AND($G12&lt;Hta_1,$G12&gt;=Hba_1,Input!AH$21&lt;&gt;""),Input!$B$21&amp;";",""),IF(AND($G12&lt;Hta_2,$G12&gt;=Hba_2,Input!AH$22&lt;&gt;""),Input!$B$22&amp;";",""),IF(AND($G12&lt;Hta_3,$G12&gt;=Hba_3,Input!AH$23&lt;&gt;""),Input!$B$23&amp;";",""),IF(AND($G12&lt;Hta_4,$G12&gt;=Hba_4,Input!AH$24&lt;&gt;""),Input!$B$24&amp;";",""),IF(AND($G12&lt;Hta_5,$G12&gt;=Hba_5,Input!AH$25&lt;&gt;""),Input!$B$25&amp;";",""),IF(AND($G12&lt;Hta_6,$G12&gt;=Hba_6,Input!AH$26&lt;&gt;""),Input!$B$26&amp;";",""),IF(AND($G12&lt;Hta_7,$G12&gt;=Hba_7,Input!AH$27&lt;&gt;""),Input!$B$27&amp;";",""),IF(AND($G12&lt;Hta_8,$G12&gt;=Hba_8,Input!AH$28&lt;&gt;""),Input!$B$28&amp;";",""),IF(AND($G12&lt;Hta_9,$G12&gt;=Hba_9,Input!AH$29&lt;&gt;""),Input!$B$29&amp;";",""),IF(AND($G12&lt;Hta_10,$G12&gt;=Hba_10,Input!AH$30&lt;&gt;""),Input!$B$30&amp;";",""),IF(AND($G12&lt;Hta_11,$G12&gt;=Hba_11,Input!AH$31&lt;&gt;""),Input!$B$31&amp;";",""),IF(AND($G12&lt;Hta_12,$G12&gt;=Hba_12,Input!AH$32&lt;&gt;""),Input!$B$32&amp;";",""),IF(AND($G12&lt;Hta_13,$G12&gt;=Hba_13,Input!AH$33&lt;&gt;""),Input!$B$33&amp;";",""),IF(AND($G12&lt;Hta_14,$G12&gt;=Hba_14,Input!AH$34&lt;&gt;""),Input!$B$34&amp;";",""),IF(AND($G12&lt;Hta_15,$G12&gt;=Hba_15,Input!AH$35&lt;&gt;""),Input!$B$35&amp;";",""),IF(AND($G12&lt;Hta_16,$G12&gt;=Hba_16,Input!AH$36&lt;&gt;""),Input!$B$36&amp;";",""),IF(AND($G12&lt;Hta_17,$G12&gt;=Hba_17,Input!AH$37&lt;&gt;""),Input!$B$37&amp;";",""),IF(AND($G12&lt;Hta_18,$G12&gt;=Hba_18,Input!AH$38&lt;&gt;""),Input!$B$38&amp;";",""),IF(AND($G12&lt;Hta_19,$G12&gt;=Hba_19,Input!AH$39&lt;&gt;""),Input!$B$39&amp;";",""),IF(AND($G12&lt;Hta_20,$G12&gt;=Hba_20,Input!AH$40&lt;&gt;""),Input!$B$40&amp;";",""),IF(AND($G12&lt;Hta_21,$G12&gt;=Hba_21,Input!AH$41&lt;&gt;""),Input!$B$41&amp;";",""),IF(AND($G12&lt;Hta_22,$G12&gt;=Hba_22,Input!AH$42&lt;&gt;""),Input!$B$42&amp;";",""),IF(AND($G12&lt;Hta_23,$G12&gt;=Hba_23,Input!AH$43&lt;&gt;""),Input!$B$43&amp;";",""),IF(AND($G12&lt;Hta_24,$G12&gt;=Hba_24,Input!AH$44&lt;&gt;""),Input!$B$44&amp;";",""),IF(AND($G12&lt;Hta_25,$G12&gt;=Hba_25,Input!AH$45&lt;&gt;""),Input!$B$45&amp;";",""),IF(AND($G12&lt;Hta_26,$G12&gt;=Hba_26,Input!AH$46&lt;&gt;""),Input!$B$46&amp;";",""),IF(AND($G12&lt;Hta_27,$G12&gt;=Hba_27,Input!AH$47&lt;&gt;""),Input!$B$47&amp;";",""),IF(AND($G12&lt;Hta_28,$G12&gt;=Hba_28,Input!AH$48&lt;&gt;""),Input!$B$48&amp;";",""),IF(AND($G12&lt;Hta_29,$G12&gt;=Hba_29,Input!AH$49&lt;&gt;""),Input!$B$49&amp;";",""),IF(AND($G12&lt;Hta_30,$G12&gt;=Hba_30,Input!AH$50&lt;&gt;""),Input!$B$50&amp;";","")),"")</f>
        <v/>
      </c>
      <c r="CJ12" s="25" t="str">
        <f>IFERROR(CONCATENATE(IF(AND($G12&lt;Hta_1,$G12&gt;=Hba_1,Input!AI$21&lt;&gt;""),Input!$B$21&amp;";",""),IF(AND($G12&lt;Hta_2,$G12&gt;=Hba_2,Input!AI$22&lt;&gt;""),Input!$B$22&amp;";",""),IF(AND($G12&lt;Hta_3,$G12&gt;=Hba_3,Input!AI$23&lt;&gt;""),Input!$B$23&amp;";",""),IF(AND($G12&lt;Hta_4,$G12&gt;=Hba_4,Input!AI$24&lt;&gt;""),Input!$B$24&amp;";",""),IF(AND($G12&lt;Hta_5,$G12&gt;=Hba_5,Input!AI$25&lt;&gt;""),Input!$B$25&amp;";",""),IF(AND($G12&lt;Hta_6,$G12&gt;=Hba_6,Input!AI$26&lt;&gt;""),Input!$B$26&amp;";",""),IF(AND($G12&lt;Hta_7,$G12&gt;=Hba_7,Input!AI$27&lt;&gt;""),Input!$B$27&amp;";",""),IF(AND($G12&lt;Hta_8,$G12&gt;=Hba_8,Input!AI$28&lt;&gt;""),Input!$B$28&amp;";",""),IF(AND($G12&lt;Hta_9,$G12&gt;=Hba_9,Input!AI$29&lt;&gt;""),Input!$B$29&amp;";",""),IF(AND($G12&lt;Hta_10,$G12&gt;=Hba_10,Input!AI$30&lt;&gt;""),Input!$B$30&amp;";",""),IF(AND($G12&lt;Hta_11,$G12&gt;=Hba_11,Input!AI$31&lt;&gt;""),Input!$B$31&amp;";",""),IF(AND($G12&lt;Hta_12,$G12&gt;=Hba_12,Input!AI$32&lt;&gt;""),Input!$B$32&amp;";",""),IF(AND($G12&lt;Hta_13,$G12&gt;=Hba_13,Input!AI$33&lt;&gt;""),Input!$B$33&amp;";",""),IF(AND($G12&lt;Hta_14,$G12&gt;=Hba_14,Input!AI$34&lt;&gt;""),Input!$B$34&amp;";",""),IF(AND($G12&lt;Hta_15,$G12&gt;=Hba_15,Input!AI$35&lt;&gt;""),Input!$B$35&amp;";",""),IF(AND($G12&lt;Hta_16,$G12&gt;=Hba_16,Input!AI$36&lt;&gt;""),Input!$B$36&amp;";",""),IF(AND($G12&lt;Hta_17,$G12&gt;=Hba_17,Input!AI$37&lt;&gt;""),Input!$B$37&amp;";",""),IF(AND($G12&lt;Hta_18,$G12&gt;=Hba_18,Input!AI$38&lt;&gt;""),Input!$B$38&amp;";",""),IF(AND($G12&lt;Hta_19,$G12&gt;=Hba_19,Input!AI$39&lt;&gt;""),Input!$B$39&amp;";",""),IF(AND($G12&lt;Hta_20,$G12&gt;=Hba_20,Input!AI$40&lt;&gt;""),Input!$B$40&amp;";",""),IF(AND($G12&lt;Hta_21,$G12&gt;=Hba_21,Input!AI$41&lt;&gt;""),Input!$B$41&amp;";",""),IF(AND($G12&lt;Hta_22,$G12&gt;=Hba_22,Input!AI$42&lt;&gt;""),Input!$B$42&amp;";",""),IF(AND($G12&lt;Hta_23,$G12&gt;=Hba_23,Input!AI$43&lt;&gt;""),Input!$B$43&amp;";",""),IF(AND($G12&lt;Hta_24,$G12&gt;=Hba_24,Input!AI$44&lt;&gt;""),Input!$B$44&amp;";",""),IF(AND($G12&lt;Hta_25,$G12&gt;=Hba_25,Input!AI$45&lt;&gt;""),Input!$B$45&amp;";",""),IF(AND($G12&lt;Hta_26,$G12&gt;=Hba_26,Input!AI$46&lt;&gt;""),Input!$B$46&amp;";",""),IF(AND($G12&lt;Hta_27,$G12&gt;=Hba_27,Input!AI$47&lt;&gt;""),Input!$B$47&amp;";",""),IF(AND($G12&lt;Hta_28,$G12&gt;=Hba_28,Input!AI$48&lt;&gt;""),Input!$B$48&amp;";",""),IF(AND($G12&lt;Hta_29,$G12&gt;=Hba_29,Input!AI$49&lt;&gt;""),Input!$B$49&amp;";",""),IF(AND($G12&lt;Hta_30,$G12&gt;=Hba_30,Input!AI$50&lt;&gt;""),Input!$B$50&amp;";","")),"")</f>
        <v/>
      </c>
      <c r="CK12" s="25" t="str">
        <f>IFERROR(CONCATENATE(IF(AND($G12&lt;Hta_1,$G12&gt;=Hba_1,Input!AJ$21&lt;&gt;""),Input!$B$21&amp;";",""),IF(AND($G12&lt;Hta_2,$G12&gt;=Hba_2,Input!AJ$22&lt;&gt;""),Input!$B$22&amp;";",""),IF(AND($G12&lt;Hta_3,$G12&gt;=Hba_3,Input!AJ$23&lt;&gt;""),Input!$B$23&amp;";",""),IF(AND($G12&lt;Hta_4,$G12&gt;=Hba_4,Input!AJ$24&lt;&gt;""),Input!$B$24&amp;";",""),IF(AND($G12&lt;Hta_5,$G12&gt;=Hba_5,Input!AJ$25&lt;&gt;""),Input!$B$25&amp;";",""),IF(AND($G12&lt;Hta_6,$G12&gt;=Hba_6,Input!AJ$26&lt;&gt;""),Input!$B$26&amp;";",""),IF(AND($G12&lt;Hta_7,$G12&gt;=Hba_7,Input!AJ$27&lt;&gt;""),Input!$B$27&amp;";",""),IF(AND($G12&lt;Hta_8,$G12&gt;=Hba_8,Input!AJ$28&lt;&gt;""),Input!$B$28&amp;";",""),IF(AND($G12&lt;Hta_9,$G12&gt;=Hba_9,Input!AJ$29&lt;&gt;""),Input!$B$29&amp;";",""),IF(AND($G12&lt;Hta_10,$G12&gt;=Hba_10,Input!AJ$30&lt;&gt;""),Input!$B$30&amp;";",""),IF(AND($G12&lt;Hta_11,$G12&gt;=Hba_11,Input!AJ$31&lt;&gt;""),Input!$B$31&amp;";",""),IF(AND($G12&lt;Hta_12,$G12&gt;=Hba_12,Input!AJ$32&lt;&gt;""),Input!$B$32&amp;";",""),IF(AND($G12&lt;Hta_13,$G12&gt;=Hba_13,Input!AJ$33&lt;&gt;""),Input!$B$33&amp;";",""),IF(AND($G12&lt;Hta_14,$G12&gt;=Hba_14,Input!AJ$34&lt;&gt;""),Input!$B$34&amp;";",""),IF(AND($G12&lt;Hta_15,$G12&gt;=Hba_15,Input!AJ$35&lt;&gt;""),Input!$B$35&amp;";",""),IF(AND($G12&lt;Hta_16,$G12&gt;=Hba_16,Input!AJ$36&lt;&gt;""),Input!$B$36&amp;";",""),IF(AND($G12&lt;Hta_17,$G12&gt;=Hba_17,Input!AJ$37&lt;&gt;""),Input!$B$37&amp;";",""),IF(AND($G12&lt;Hta_18,$G12&gt;=Hba_18,Input!AJ$38&lt;&gt;""),Input!$B$38&amp;";",""),IF(AND($G12&lt;Hta_19,$G12&gt;=Hba_19,Input!AJ$39&lt;&gt;""),Input!$B$39&amp;";",""),IF(AND($G12&lt;Hta_20,$G12&gt;=Hba_20,Input!AJ$40&lt;&gt;""),Input!$B$40&amp;";",""),IF(AND($G12&lt;Hta_21,$G12&gt;=Hba_21,Input!AJ$41&lt;&gt;""),Input!$B$41&amp;";",""),IF(AND($G12&lt;Hta_22,$G12&gt;=Hba_22,Input!AJ$42&lt;&gt;""),Input!$B$42&amp;";",""),IF(AND($G12&lt;Hta_23,$G12&gt;=Hba_23,Input!AJ$43&lt;&gt;""),Input!$B$43&amp;";",""),IF(AND($G12&lt;Hta_24,$G12&gt;=Hba_24,Input!AJ$44&lt;&gt;""),Input!$B$44&amp;";",""),IF(AND($G12&lt;Hta_25,$G12&gt;=Hba_25,Input!AJ$45&lt;&gt;""),Input!$B$45&amp;";",""),IF(AND($G12&lt;Hta_26,$G12&gt;=Hba_26,Input!AJ$46&lt;&gt;""),Input!$B$46&amp;";",""),IF(AND($G12&lt;Hta_27,$G12&gt;=Hba_27,Input!AJ$47&lt;&gt;""),Input!$B$47&amp;";",""),IF(AND($G12&lt;Hta_28,$G12&gt;=Hba_28,Input!AJ$48&lt;&gt;""),Input!$B$48&amp;";",""),IF(AND($G12&lt;Hta_29,$G12&gt;=Hba_29,Input!AJ$49&lt;&gt;""),Input!$B$49&amp;";",""),IF(AND($G12&lt;Hta_30,$G12&gt;=Hba_30,Input!AJ$50&lt;&gt;""),Input!$B$50&amp;";","")),"")</f>
        <v/>
      </c>
      <c r="CL12" s="25" t="str">
        <f>IFERROR(CONCATENATE(IF(AND($G12&lt;Hta_1,$G12&gt;=Hba_1,Input!AK$21&lt;&gt;""),Input!$B$21&amp;";",""),IF(AND($G12&lt;Hta_2,$G12&gt;=Hba_2,Input!AK$22&lt;&gt;""),Input!$B$22&amp;";",""),IF(AND($G12&lt;Hta_3,$G12&gt;=Hba_3,Input!AK$23&lt;&gt;""),Input!$B$23&amp;";",""),IF(AND($G12&lt;Hta_4,$G12&gt;=Hba_4,Input!AK$24&lt;&gt;""),Input!$B$24&amp;";",""),IF(AND($G12&lt;Hta_5,$G12&gt;=Hba_5,Input!AK$25&lt;&gt;""),Input!$B$25&amp;";",""),IF(AND($G12&lt;Hta_6,$G12&gt;=Hba_6,Input!AK$26&lt;&gt;""),Input!$B$26&amp;";",""),IF(AND($G12&lt;Hta_7,$G12&gt;=Hba_7,Input!AK$27&lt;&gt;""),Input!$B$27&amp;";",""),IF(AND($G12&lt;Hta_8,$G12&gt;=Hba_8,Input!AK$28&lt;&gt;""),Input!$B$28&amp;";",""),IF(AND($G12&lt;Hta_9,$G12&gt;=Hba_9,Input!AK$29&lt;&gt;""),Input!$B$29&amp;";",""),IF(AND($G12&lt;Hta_10,$G12&gt;=Hba_10,Input!AK$30&lt;&gt;""),Input!$B$30&amp;";",""),IF(AND($G12&lt;Hta_11,$G12&gt;=Hba_11,Input!AK$31&lt;&gt;""),Input!$B$31&amp;";",""),IF(AND($G12&lt;Hta_12,$G12&gt;=Hba_12,Input!AK$32&lt;&gt;""),Input!$B$32&amp;";",""),IF(AND($G12&lt;Hta_13,$G12&gt;=Hba_13,Input!AK$33&lt;&gt;""),Input!$B$33&amp;";",""),IF(AND($G12&lt;Hta_14,$G12&gt;=Hba_14,Input!AK$34&lt;&gt;""),Input!$B$34&amp;";",""),IF(AND($G12&lt;Hta_15,$G12&gt;=Hba_15,Input!AK$35&lt;&gt;""),Input!$B$35&amp;";",""),IF(AND($G12&lt;Hta_16,$G12&gt;=Hba_16,Input!AK$36&lt;&gt;""),Input!$B$36&amp;";",""),IF(AND($G12&lt;Hta_17,$G12&gt;=Hba_17,Input!AK$37&lt;&gt;""),Input!$B$37&amp;";",""),IF(AND($G12&lt;Hta_18,$G12&gt;=Hba_18,Input!AK$38&lt;&gt;""),Input!$B$38&amp;";",""),IF(AND($G12&lt;Hta_19,$G12&gt;=Hba_19,Input!AK$39&lt;&gt;""),Input!$B$39&amp;";",""),IF(AND($G12&lt;Hta_20,$G12&gt;=Hba_20,Input!AK$40&lt;&gt;""),Input!$B$40&amp;";",""),IF(AND($G12&lt;Hta_21,$G12&gt;=Hba_21,Input!AK$41&lt;&gt;""),Input!$B$41&amp;";",""),IF(AND($G12&lt;Hta_22,$G12&gt;=Hba_22,Input!AK$42&lt;&gt;""),Input!$B$42&amp;";",""),IF(AND($G12&lt;Hta_23,$G12&gt;=Hba_23,Input!AK$43&lt;&gt;""),Input!$B$43&amp;";",""),IF(AND($G12&lt;Hta_24,$G12&gt;=Hba_24,Input!AK$44&lt;&gt;""),Input!$B$44&amp;";",""),IF(AND($G12&lt;Hta_25,$G12&gt;=Hba_25,Input!AK$45&lt;&gt;""),Input!$B$45&amp;";",""),IF(AND($G12&lt;Hta_26,$G12&gt;=Hba_26,Input!AK$46&lt;&gt;""),Input!$B$46&amp;";",""),IF(AND($G12&lt;Hta_27,$G12&gt;=Hba_27,Input!AK$47&lt;&gt;""),Input!$B$47&amp;";",""),IF(AND($G12&lt;Hta_28,$G12&gt;=Hba_28,Input!AK$48&lt;&gt;""),Input!$B$48&amp;";",""),IF(AND($G12&lt;Hta_29,$G12&gt;=Hba_29,Input!AK$49&lt;&gt;""),Input!$B$49&amp;";",""),IF(AND($G12&lt;Hta_30,$G12&gt;=Hba_30,Input!AK$50&lt;&gt;""),Input!$B$50&amp;";","")),"")</f>
        <v/>
      </c>
      <c r="CM12" s="25" t="str">
        <f>IFERROR(CONCATENATE(IF(AND($G12&lt;Hta_1,$G12&gt;=Hba_1,Input!AL$21&lt;&gt;""),Input!$B$21&amp;";",""),IF(AND($G12&lt;Hta_2,$G12&gt;=Hba_2,Input!AL$22&lt;&gt;""),Input!$B$22&amp;";",""),IF(AND($G12&lt;Hta_3,$G12&gt;=Hba_3,Input!AL$23&lt;&gt;""),Input!$B$23&amp;";",""),IF(AND($G12&lt;Hta_4,$G12&gt;=Hba_4,Input!AL$24&lt;&gt;""),Input!$B$24&amp;";",""),IF(AND($G12&lt;Hta_5,$G12&gt;=Hba_5,Input!AL$25&lt;&gt;""),Input!$B$25&amp;";",""),IF(AND($G12&lt;Hta_6,$G12&gt;=Hba_6,Input!AL$26&lt;&gt;""),Input!$B$26&amp;";",""),IF(AND($G12&lt;Hta_7,$G12&gt;=Hba_7,Input!AL$27&lt;&gt;""),Input!$B$27&amp;";",""),IF(AND($G12&lt;Hta_8,$G12&gt;=Hba_8,Input!AL$28&lt;&gt;""),Input!$B$28&amp;";",""),IF(AND($G12&lt;Hta_9,$G12&gt;=Hba_9,Input!AL$29&lt;&gt;""),Input!$B$29&amp;";",""),IF(AND($G12&lt;Hta_10,$G12&gt;=Hba_10,Input!AL$30&lt;&gt;""),Input!$B$30&amp;";",""),IF(AND($G12&lt;Hta_11,$G12&gt;=Hba_11,Input!AL$31&lt;&gt;""),Input!$B$31&amp;";",""),IF(AND($G12&lt;Hta_12,$G12&gt;=Hba_12,Input!AL$32&lt;&gt;""),Input!$B$32&amp;";",""),IF(AND($G12&lt;Hta_13,$G12&gt;=Hba_13,Input!AL$33&lt;&gt;""),Input!$B$33&amp;";",""),IF(AND($G12&lt;Hta_14,$G12&gt;=Hba_14,Input!AL$34&lt;&gt;""),Input!$B$34&amp;";",""),IF(AND($G12&lt;Hta_15,$G12&gt;=Hba_15,Input!AL$35&lt;&gt;""),Input!$B$35&amp;";",""),IF(AND($G12&lt;Hta_16,$G12&gt;=Hba_16,Input!AL$36&lt;&gt;""),Input!$B$36&amp;";",""),IF(AND($G12&lt;Hta_17,$G12&gt;=Hba_17,Input!AL$37&lt;&gt;""),Input!$B$37&amp;";",""),IF(AND($G12&lt;Hta_18,$G12&gt;=Hba_18,Input!AL$38&lt;&gt;""),Input!$B$38&amp;";",""),IF(AND($G12&lt;Hta_19,$G12&gt;=Hba_19,Input!AL$39&lt;&gt;""),Input!$B$39&amp;";",""),IF(AND($G12&lt;Hta_20,$G12&gt;=Hba_20,Input!AL$40&lt;&gt;""),Input!$B$40&amp;";",""),IF(AND($G12&lt;Hta_21,$G12&gt;=Hba_21,Input!AL$41&lt;&gt;""),Input!$B$41&amp;";",""),IF(AND($G12&lt;Hta_22,$G12&gt;=Hba_22,Input!AL$42&lt;&gt;""),Input!$B$42&amp;";",""),IF(AND($G12&lt;Hta_23,$G12&gt;=Hba_23,Input!AL$43&lt;&gt;""),Input!$B$43&amp;";",""),IF(AND($G12&lt;Hta_24,$G12&gt;=Hba_24,Input!AL$44&lt;&gt;""),Input!$B$44&amp;";",""),IF(AND($G12&lt;Hta_25,$G12&gt;=Hba_25,Input!AL$45&lt;&gt;""),Input!$B$45&amp;";",""),IF(AND($G12&lt;Hta_26,$G12&gt;=Hba_26,Input!AL$46&lt;&gt;""),Input!$B$46&amp;";",""),IF(AND($G12&lt;Hta_27,$G12&gt;=Hba_27,Input!AL$47&lt;&gt;""),Input!$B$47&amp;";",""),IF(AND($G12&lt;Hta_28,$G12&gt;=Hba_28,Input!AL$48&lt;&gt;""),Input!$B$48&amp;";",""),IF(AND($G12&lt;Hta_29,$G12&gt;=Hba_29,Input!AL$49&lt;&gt;""),Input!$B$49&amp;";",""),IF(AND($G12&lt;Hta_30,$G12&gt;=Hba_30,Input!AL$50&lt;&gt;""),Input!$B$50&amp;";","")),"")</f>
        <v/>
      </c>
      <c r="CN12" s="59" t="str">
        <f t="shared" si="6"/>
        <v/>
      </c>
      <c r="CO12" s="791"/>
      <c r="CP12" s="792"/>
      <c r="CQ12" s="793"/>
      <c r="CR12" s="791"/>
      <c r="CS12" s="792"/>
      <c r="CT12" s="793"/>
      <c r="CU12" s="794" t="str">
        <f t="shared" si="7"/>
        <v/>
      </c>
      <c r="CV12" s="795"/>
      <c r="CW12" s="795"/>
      <c r="CX12" s="796"/>
      <c r="CY12" s="796"/>
      <c r="CZ12" s="797"/>
      <c r="DA12" s="733"/>
      <c r="DB12" s="734"/>
      <c r="DC12" s="735"/>
      <c r="DD12" s="729" t="str">
        <f t="shared" si="8"/>
        <v/>
      </c>
      <c r="DE12" s="730"/>
      <c r="DF12" s="731"/>
      <c r="DG12" s="55"/>
      <c r="DH12" s="56"/>
      <c r="DI12" s="56"/>
      <c r="DJ12" s="56"/>
      <c r="DK12" s="56"/>
      <c r="DL12" s="56"/>
      <c r="DM12" s="56"/>
      <c r="DN12" s="56"/>
      <c r="DO12" s="56"/>
      <c r="DP12" s="56"/>
      <c r="DQ12" s="58"/>
      <c r="DR12" s="58"/>
      <c r="DS12" s="58"/>
      <c r="DT12" s="58"/>
      <c r="DU12" s="58"/>
      <c r="DV12" s="58"/>
      <c r="DW12" s="58"/>
      <c r="DX12" s="58"/>
      <c r="DY12" s="58"/>
      <c r="DZ12" s="58"/>
      <c r="EA12" s="58"/>
      <c r="EB12" s="58"/>
      <c r="EC12" s="58"/>
      <c r="ED12" s="58"/>
      <c r="EE12" s="58"/>
      <c r="EF12" s="58"/>
      <c r="EG12" s="58"/>
      <c r="EH12" s="58"/>
      <c r="EI12" s="58"/>
      <c r="EJ12" s="58"/>
      <c r="EK12" s="58"/>
      <c r="EL12" s="134"/>
      <c r="EM12" s="134"/>
      <c r="EN12" s="134"/>
      <c r="EO12" s="134"/>
      <c r="EP12" s="134"/>
      <c r="EQ12" s="134"/>
      <c r="ER12" s="134"/>
      <c r="ES12" s="134"/>
      <c r="ET12" s="134"/>
      <c r="EU12" s="134"/>
      <c r="EV12" s="134"/>
      <c r="EW12" s="134"/>
      <c r="EX12" s="134"/>
      <c r="EY12" s="134"/>
      <c r="EZ12" s="134"/>
      <c r="FA12" s="134"/>
      <c r="FB12" s="134"/>
      <c r="FC12" s="134"/>
      <c r="FD12" s="134"/>
      <c r="FE12" s="134"/>
      <c r="FF12" s="134"/>
      <c r="FG12" s="134"/>
      <c r="FH12" s="134"/>
      <c r="FI12" s="134"/>
      <c r="FJ12" s="134"/>
      <c r="FK12" s="134"/>
      <c r="FL12" s="134"/>
      <c r="FM12" s="134"/>
      <c r="FN12" s="134"/>
      <c r="FO12" s="134"/>
      <c r="FP12" s="65"/>
      <c r="FQ12" s="124"/>
      <c r="FR12" s="122"/>
      <c r="FS12" s="120"/>
      <c r="FT12" s="119"/>
    </row>
    <row r="13" spans="2:177" ht="15.75" hidden="1" thickBot="1" x14ac:dyDescent="0.3">
      <c r="B13" s="62" t="b">
        <f>IF(OR(AND(G13&gt;='Geometry 2'!$AK$5,G13&lt;'Geometry 2'!$AL$5),AND(G13&gt;='Geometry 2'!$AK$6,G13&lt;'Geometry 2'!$AL$6),AND(G13&gt;='Geometry 2'!$AK$7,G13&lt;'Geometry 2'!$AL$7),AND(G13&gt;='Geometry 2'!$AK$8,G13&lt;'Geometry 2'!$AL$8),AND(G13&gt;='Geometry 2'!$AK$9,G13&lt;'Geometry 2'!$AL$9),AND(G13&gt;='Geometry 2'!$AK$10,G13&lt;'Geometry 2'!$AL$10),AND(G13&gt;='Geometry 2'!$AK$11,G13&lt;'Geometry 2'!$AL$11),AND(G13&gt;='Geometry 2'!$AK$12,G13&lt;'Geometry 2'!$AL$12),AND(G13&gt;='Geometry 2'!$AK$13,G13&lt;'Geometry 2'!$AL$13),AND(G13&gt;='Geometry 2'!$AK$14,G13&lt;'Geometry 2'!$AL$14)),TRUE,FALSE)</f>
        <v>0</v>
      </c>
      <c r="C13" s="4" t="str">
        <f t="shared" si="3"/>
        <v/>
      </c>
      <c r="D13" s="766" t="str">
        <f>IF(OR(G12=0,G12=""),"",G12)</f>
        <v/>
      </c>
      <c r="E13" s="767"/>
      <c r="F13" s="17" t="str">
        <f t="shared" si="2"/>
        <v/>
      </c>
      <c r="G13" s="768" t="str">
        <f>IF(D13="","",MAX(0,G12-IF(inc="n/a",999,inc),MAX(IF(G12&lt;=Hta_1,0,Hta_1),IF(G12&lt;=Hta_2,0,Hta_2),IF(G12&lt;=Hta_3,0,Hta_3),IF(G12&lt;=Hta_4,0,Hta_4),IF(G12&lt;=Hta_5,0,Hta_5),IF(G12&lt;=Hta_6,0,Hta_6),IF(G12&lt;=Hta_7,0,Hta_7),IF(G12&lt;=Hta_8,0,Hta_8),IF(G12&lt;=Hta_9,0,Hta_9),IF(G12&lt;=Hta_10,0,Hta_10),IF(G12&lt;=Hta_11,0,Hta_11),IF(G12&lt;=Hta_12,0,Hta_12),IF(G12&lt;=Hta_13,0,Hta_13),IF(G12&lt;=Hta_14,0,Hta_14),IF(G12&lt;=Hta_15,0,Hta_15),IF(G12&lt;=Hta_16,0,Hta_16),IF(G12&lt;=Hta_17,0,Hta_17),IF(G12&lt;=Hta_18,0,Hta_18),IF(G12&lt;=Hta_19,0,Hta_19),IF(G12&lt;=Hta_20,0,Hta_20),IF(G12&lt;=Hta_21,0,Hta_21),IF(G12&lt;=Hta_22,0,Hta_22),IF(G12&lt;=Hta_23,0,Hta_23),IF(G12&lt;=Hta_24,0,Hta_24),IF(G12&lt;=Hta_25,0,Hta_25),IF(G12&lt;=Hta_26,0,Hta_26),IF(G12&lt;=Hta_27,0,Hta_27),IF(G12&lt;=Hta_28,0,Hta_28),IF(G12&lt;=Hta_29,0,Hta_29),IF(G12&lt;=Hta_30,0,Hta_30)),MAX(IF(G12&lt;=Hta_1-0.25,0,Hta_1-0.25),IF(G12&lt;=Hta_2-0.25,0,Hta_2-0.25),IF(G12&lt;=Hta_3-0.25,0,Hta_3-0.25),IF(G12&lt;=Hta_4-0.25,0,Hta_4-0.25),IF(G12&lt;=Hta_5-0.25,0,Hta_5-0.25),IF(G12&lt;=Hta_6-0.25,0,Hta_6-0.25),IF(G12&lt;=Hta_7-0.25,0,Hta_7-0.25),IF(G12&lt;=Hta_8-0.25,0,Hta_8-0.25),IF(G12&lt;=Hta_9-0.25,0,Hta_9-0.25),IF(G12&lt;=Hta_10-0.25,0,Hta_10-0.25),IF(G12&lt;=Hta_11-0.25,0,Hta_11-0.25),IF(G12&lt;=Hta_12-0.25,0,Hta_12-0.25),IF(G12&lt;=Hta_13-0.25,0,Hta_13-0.25),IF(G12&lt;=Hta_14-0.25,0,Hta_14-0.25),IF(G12&lt;=Hta_15-0.25,0,Hta_15-0.25),IF(G12&lt;=Hta_16-0.25,0,Hta_16-0.25),IF(G12&lt;=Hta_17-0.25,0,Hta_17-0.25),IF(G12&lt;=Hta_18-0.25,0,Hta_18-0.25),IF(G12&lt;=Hta_19-0.25,0,Hta_19-0.25),IF(G12&lt;=Hta_20-0.25,0,Hta_20-0.25),IF(G12&lt;=Hta_21-0.25,0,Hta_21-0.25),IF(G12&lt;=Hta_22-0.25,0,Hta_22-0.25),IF(G12&lt;=Hta_23-0.25,0,Hta_23-0.25),IF(G12&lt;=Hta_24-0.25,0,Hta_24-0.25),IF(G12&lt;=Hta_25-0.25,0,Hta_25-0.25),IF(G12&lt;=Hta_26-0.25,0,Hta_26-0.25),IF(G12&lt;=Hta_27-0.25,0,Hta_27-0.25),IF(G12&lt;=Hta_28-0.25,0,Hta_28-0.25),IF(G12&lt;=Hta_29-0.25,0,Hta_29-0.25),IF(G12&lt;=Hta_30-0.25,0,Hta_30-0.25)),MAX(IF(G12&lt;=Hba_1,0,Hba_1),IF(G12&lt;=Hba_2,0,Hba_2),IF(G12&lt;=Hba_3,0,Hba_3),IF(G12&lt;=Hba_4,0,Hba_4),IF(G12&lt;=Hba_5,0,Hba_5),IF(G12&lt;=Hba_6,0,Hba_6),IF(G12&lt;=Hba_7,0,Hba_7),IF(G12&lt;=Hba_8,0,Hba_8),IF(G12&lt;=Hba_9,0,Hba_9),IF(G12&lt;=Hba_10,0,Hba_10),IF(G12&lt;=Hba_11,0,Hba_11),IF(G12&lt;=Hba_12,0,Hba_12),IF(G12&lt;=Hba_13,0,Hba_13),IF(G12&lt;=Hba_14,0,Hba_14),IF(G12&lt;=Hba_15,0,Hba_15),IF(G12&lt;=Hba_16,0,Hba_16),IF(G12&lt;=Hba_17,0,Hba_17),IF(G12&lt;=Hba_18,0,Hba_18),IF(G12&lt;=Hba_19,0,Hba_19),IF(G12&lt;=Hba_20,0,Hba_20),IF(G12&lt;=Hba_21,0,Hba_21),IF(G12&lt;=Hba_22,0,Hba_22),IF(G12&lt;=Hba_23,0,Hba_23),IF(G12&lt;=Hba_24,0,Hba_24),IF(G12&lt;=Hba_25,0,Hba_25),IF(G12&lt;=Hba_26,0,Hba_26),IF(G12&lt;=Hba_27,0,Hba_27),IF(G12&lt;=Hba_28,0,Hba_28),IF(G12&lt;=Hba_29,0,Hba_29),IF(G12&lt;=Hba_30,0,Hba_30)),MAX(IF(G12&lt;=Input!$C$8,0,Input!$C$8),IF(G12&lt;=Input!$C$9,0,Input!$C$9),IF(G12&lt;=Input!$C$10,0,Input!$C$10),IF(G12&lt;=Input!$C$11,0,Input!$C$11),IF(G12&lt;=Input!$C$12,0,Input!$C$12),IF(G12&lt;=Input!$C$13,0,Input!$C$13),IF(G12&lt;=Input!$C$14,0,Input!$C$14),IF(G12&lt;=Input!$C$15,0,Input!$C$15),IF(G12&lt;=Input!$C$16,0,Input!$C$16)),MAX(IF(G12&lt;=Hba_1-0.25,0,Hba_1-0.25),IF(G12&lt;=Hba_2-0.25,0,Hba_2-0.25),IF(G12&lt;=Hba_3-0.25,0,Hba_3-0.25),IF(G12&lt;=Hba_4-0.25,0,Hba_4-0.25),IF(G12&lt;=Hba_5-0.25,0,Hba_5-0.25),IF(G12&lt;=Hba_6-0.25,0,Hba_6-0.25),IF(G12&lt;=Hba_7-0.25,0,Hba_7-0.25),IF(G12&lt;=Hba_8-0.25,0,Hba_8-0.25),IF(G12&lt;=Hba_9-0.25,0,Hba_9-0.25),IF(G12&lt;=Hba_10-0.25,0,Hba_10-0.25),IF(G12&lt;=Hba_11-0.25,0,Hba_11-0.25),IF(G12&lt;=Hba_12-0.25,0,Hba_12-0.25),IF(G12&lt;=Hba_13-0.25,0,Hba_13-0.25),IF(G12&lt;=Hba_14-0.25,0,Hba_14-0.25),IF(G12&lt;=Hba_15-0.25,0,Hba_15-0.25),IF(G12&lt;=Hba_16-0.25,0,Hba_16-0.25),IF(G12&lt;=Hba_17-0.25,0,Hba_17-0.25),IF(G12&lt;=Hba_18-0.25,0,Hba_18-0.25),IF(G12&lt;=Hba_19-0.25,0,Hba_19-0.25),IF(G12&lt;=Hba_20-0.25,0,Hba_20-0.25),IF(G12&lt;=Hba_21-0.25,0,Hba_21-0.25),IF(G12&lt;=Hba_22-0.25,0,Hba_22-0.25),IF(G12&lt;=Hba_23-0.25,0,Hba_23-0.25),IF(G12&lt;=Hba_24-0.25,0,Hba_24-0.25),IF(G12&lt;=Hba_25-0.25,0,Hba_25-0.25),IF(G12&lt;=Hba_26-0.25,0,Hba_26-0.25),IF(G12&lt;=Hba_27-0.25,0,Hba_27-0.25),IF(G12&lt;=Hba_28-0.25,0,Hba_28-0.25),IF(G12&lt;=Hba_29-0.25,0,Hba_29-0.25),IF(G12&lt;=Hba_30-0.25,0,Hba_30-0.25)),IF(G12&lt;='Macro References'!$A$38,0,'Macro References'!$A$38)))</f>
        <v/>
      </c>
      <c r="H13" s="769"/>
      <c r="I13" s="228"/>
      <c r="J13" s="228"/>
      <c r="K13" s="228"/>
      <c r="L13" s="717" t="str">
        <f t="shared" si="0"/>
        <v/>
      </c>
      <c r="M13" s="717"/>
      <c r="N13" s="717"/>
      <c r="O13" s="717"/>
      <c r="P13" s="717" t="str">
        <f>IF(OR(G13=0,G13=""),"",IF(VLOOKUP(G13,'Geometry 2'!$C$4:$AI$14,1,TRUE)=VLOOKUP(G14,'Geometry 2'!$C$4:$AI$14,1,TRUE),"",IF(VLOOKUP(G13,'Geometry 2'!$C$4:$AI$14,33,TRUE)&lt;&gt;"n/a",MIN(G13,VLOOKUP(G13,'Geometry 2'!$C$4:$AI$14,1,TRUE))-VLOOKUP(G13,'Geometry 2'!$C$4:$AI$14,33,TRUE),"check")))</f>
        <v/>
      </c>
      <c r="Q13" s="717"/>
      <c r="R13" s="717"/>
      <c r="S13" s="717"/>
      <c r="T13" s="717" t="str">
        <f>IF($G13="","",VLOOKUP($G13,'Geometry 2'!$E$4:$AH$14,11,TRUE))</f>
        <v/>
      </c>
      <c r="U13" s="717"/>
      <c r="V13" s="717"/>
      <c r="W13" s="717"/>
      <c r="X13" s="716" t="str">
        <f>IF($G13="","",VLOOKUP($G13,'Geometry 2'!$E$4:$AJ$14,19,TRUE)-12*VLOOKUP($G13,'Geometry 2'!$E$4:$AJ$14,32,TRUE)*($D13-VLOOKUP($G13,'Geometry 2'!$E$5:$AH$14,1,TRUE)))</f>
        <v/>
      </c>
      <c r="Y13" s="716"/>
      <c r="Z13" s="716"/>
      <c r="AA13" s="716"/>
      <c r="AB13" s="757" t="str">
        <f>IF($G13="","",VLOOKUP($G13,'Geometry 2'!$E$4:$AJ$14,19,TRUE)-12*VLOOKUP($G13,'Geometry 2'!$E$4:$AJ$14,32,TRUE)*($G13-VLOOKUP($G13,'Geometry 2'!$E$5:$AH$14,1,TRUE)))</f>
        <v/>
      </c>
      <c r="AC13" s="758"/>
      <c r="AD13" s="758"/>
      <c r="AE13" s="759"/>
      <c r="AF13" s="716" t="str">
        <f>IF($G13="","",VLOOKUP($G13,'Geometry 2'!$E$4:$AJ$14,19,TRUE)-12*VLOOKUP($G13,'Geometry 2'!$E$4:$AJ$14,32,TRUE)*($G13-IF($P13="",0,$P13)-VLOOKUP($G13,'Geometry 2'!$E$5:$AH$14,1,TRUE)))</f>
        <v/>
      </c>
      <c r="AG13" s="716"/>
      <c r="AH13" s="716"/>
      <c r="AI13" s="716"/>
      <c r="AJ13" s="746" t="str">
        <f>IF($G13="","",VLOOKUP($G13,'Geometry 2'!$E$4:$AH$14,23,TRUE))</f>
        <v/>
      </c>
      <c r="AK13" s="747"/>
      <c r="AL13" s="747"/>
      <c r="AM13" s="748"/>
      <c r="AN13" s="717"/>
      <c r="AO13" s="717"/>
      <c r="AP13" s="717"/>
      <c r="AQ13" s="717"/>
      <c r="AR13" s="717" t="str">
        <f>IF($G13="","",VLOOKUP($G13,'Geometry 2'!$E$4:$AH$14,27,TRUE))</f>
        <v/>
      </c>
      <c r="AS13" s="717"/>
      <c r="AT13" s="717"/>
      <c r="AU13" s="718"/>
      <c r="AV13" s="715"/>
      <c r="AW13" s="716"/>
      <c r="AX13" s="716"/>
      <c r="AZ13" s="722" t="str">
        <f t="shared" si="5"/>
        <v/>
      </c>
      <c r="BA13" s="723"/>
      <c r="BB13" s="723"/>
      <c r="BC13" s="724"/>
      <c r="BD13" s="722"/>
      <c r="BE13" s="723"/>
      <c r="BF13" s="723"/>
      <c r="BG13" s="722" t="str">
        <f t="shared" si="1"/>
        <v/>
      </c>
      <c r="BH13" s="723"/>
      <c r="BI13" s="723"/>
      <c r="BJ13" s="723"/>
      <c r="BK13" s="724"/>
      <c r="BL13" s="722"/>
      <c r="BM13" s="723"/>
      <c r="BN13" s="723"/>
      <c r="BO13" s="723"/>
      <c r="BP13" s="725"/>
      <c r="BQ13" s="725"/>
      <c r="BR13" s="722" t="str">
        <f>IF(BP13="","",IF(OR(AND(Rev="H",Calculations!$F$27=TRUE),AND(Rev&lt;&gt;"H",Calculations!$F$30=TRUE)),IF(BP13&lt;=1,"Pass","Fail"),IF(BP13&lt;=1.05,"Pass","Fail")))</f>
        <v/>
      </c>
      <c r="BS13" s="723"/>
      <c r="BT13" s="724"/>
      <c r="BU13" s="49"/>
      <c r="BV13" s="25" t="str">
        <f>IFERROR(CONCATENATE(IF(AND($G13&lt;Hta_1,$G13&gt;=Hba_1,Input!U$21&lt;&gt;""),Input!$B$21&amp;";",""),IF(AND($G13&lt;Hta_2,$G13&gt;=Hba_2,Input!U$22&lt;&gt;""),Input!$B$22&amp;";",""),IF(AND($G13&lt;Hta_3,$G13&gt;=Hba_3,Input!U$23&lt;&gt;""),Input!$B$23&amp;";",""),IF(AND($G13&lt;Hta_4,$G13&gt;=Hba_4,Input!U$24&lt;&gt;""),Input!$B$24&amp;";",""),IF(AND($G13&lt;Hta_5,$G13&gt;=Hba_5,Input!U$25&lt;&gt;""),Input!$B$25&amp;";",""),IF(AND($G13&lt;Hta_6,$G13&gt;=Hba_6,Input!U$26&lt;&gt;""),Input!$B$26&amp;";",""),IF(AND($G13&lt;Hta_7,$G13&gt;=Hba_7,Input!U$27&lt;&gt;""),Input!$B$27&amp;";",""),IF(AND($G13&lt;Hta_8,$G13&gt;=Hba_8,Input!U$28&lt;&gt;""),Input!$B$28&amp;";",""),IF(AND($G13&lt;Hta_9,$G13&gt;=Hba_9,Input!U$29&lt;&gt;""),Input!$B$29&amp;";",""),IF(AND($G13&lt;Hta_10,$G13&gt;=Hba_10,Input!U$30&lt;&gt;""),Input!$B$30&amp;";",""),IF(AND($G13&lt;Hta_11,$G13&gt;=Hba_11,Input!U$31&lt;&gt;""),Input!$B$31&amp;";",""),IF(AND($G13&lt;Hta_12,$G13&gt;=Hba_12,Input!U$32&lt;&gt;""),Input!$B$32&amp;";",""),IF(AND($G13&lt;Hta_13,$G13&gt;=Hba_13,Input!U$33&lt;&gt;""),Input!$B$33&amp;";",""),IF(AND($G13&lt;Hta_14,$G13&gt;=Hba_14,Input!U$34&lt;&gt;""),Input!$B$34&amp;";",""),IF(AND($G13&lt;Hta_15,$G13&gt;=Hba_15,Input!U$35&lt;&gt;""),Input!$B$35&amp;";",""),IF(AND($G13&lt;Hta_16,$G13&gt;=Hba_16,Input!U$36&lt;&gt;""),Input!$B$36&amp;";",""),IF(AND($G13&lt;Hta_17,$G13&gt;=Hba_17,Input!U$37&lt;&gt;""),Input!$B$37&amp;";",""),IF(AND($G13&lt;Hta_18,$G13&gt;=Hba_18,Input!U$38&lt;&gt;""),Input!$B$38&amp;";",""),IF(AND($G13&lt;Hta_19,$G13&gt;=Hba_19,Input!U$39&lt;&gt;""),Input!$B$39&amp;";",""),IF(AND($G13&lt;Hta_20,$G13&gt;=Hba_20,Input!U$40&lt;&gt;""),Input!$B$40&amp;";",""),IF(AND($G13&lt;Hta_21,$G13&gt;=Hba_21,Input!U$41&lt;&gt;""),Input!$B$41&amp;";",""),IF(AND($G13&lt;Hta_22,$G13&gt;=Hba_22,Input!U$42&lt;&gt;""),Input!$B$42&amp;";",""),IF(AND($G13&lt;Hta_23,$G13&gt;=Hba_23,Input!U$43&lt;&gt;""),Input!$B$43&amp;";",""),IF(AND($G13&lt;Hta_24,$G13&gt;=Hba_24,Input!U$44&lt;&gt;""),Input!$B$44&amp;";",""),IF(AND($G13&lt;Hta_25,$G13&gt;=Hba_25,Input!U$45&lt;&gt;""),Input!$B$45&amp;";",""),IF(AND($G13&lt;Hta_26,$G13&gt;=Hba_26,Input!U$46&lt;&gt;""),Input!$B$46&amp;";",""),IF(AND($G13&lt;Hta_27,$G13&gt;=Hba_27,Input!U$47&lt;&gt;""),Input!$B$47&amp;";",""),IF(AND($G13&lt;Hta_28,$G13&gt;=Hba_28,Input!U$48&lt;&gt;""),Input!$B$48&amp;";",""),IF(AND($G13&lt;Hta_29,$G13&gt;=Hba_29,Input!U$49&lt;&gt;""),Input!$B$49&amp;";",""),IF(AND($G13&lt;Hta_30,$G13&gt;=Hba_30,Input!U$50&lt;&gt;""),Input!$B$50&amp;";","")),"")</f>
        <v/>
      </c>
      <c r="BW13" s="25" t="str">
        <f>IFERROR(CONCATENATE(IF(AND($G13&lt;Hta_1,$G13&gt;=Hba_1,Input!V$21&lt;&gt;""),Input!$B$21&amp;";",""),IF(AND($G13&lt;Hta_2,$G13&gt;=Hba_2,Input!V$22&lt;&gt;""),Input!$B$22&amp;";",""),IF(AND($G13&lt;Hta_3,$G13&gt;=Hba_3,Input!V$23&lt;&gt;""),Input!$B$23&amp;";",""),IF(AND($G13&lt;Hta_4,$G13&gt;=Hba_4,Input!V$24&lt;&gt;""),Input!$B$24&amp;";",""),IF(AND($G13&lt;Hta_5,$G13&gt;=Hba_5,Input!V$25&lt;&gt;""),Input!$B$25&amp;";",""),IF(AND($G13&lt;Hta_6,$G13&gt;=Hba_6,Input!V$26&lt;&gt;""),Input!$B$26&amp;";",""),IF(AND($G13&lt;Hta_7,$G13&gt;=Hba_7,Input!V$27&lt;&gt;""),Input!$B$27&amp;";",""),IF(AND($G13&lt;Hta_8,$G13&gt;=Hba_8,Input!V$28&lt;&gt;""),Input!$B$28&amp;";",""),IF(AND($G13&lt;Hta_9,$G13&gt;=Hba_9,Input!V$29&lt;&gt;""),Input!$B$29&amp;";",""),IF(AND($G13&lt;Hta_10,$G13&gt;=Hba_10,Input!V$30&lt;&gt;""),Input!$B$30&amp;";",""),IF(AND($G13&lt;Hta_11,$G13&gt;=Hba_11,Input!V$31&lt;&gt;""),Input!$B$31&amp;";",""),IF(AND($G13&lt;Hta_12,$G13&gt;=Hba_12,Input!V$32&lt;&gt;""),Input!$B$32&amp;";",""),IF(AND($G13&lt;Hta_13,$G13&gt;=Hba_13,Input!V$33&lt;&gt;""),Input!$B$33&amp;";",""),IF(AND($G13&lt;Hta_14,$G13&gt;=Hba_14,Input!V$34&lt;&gt;""),Input!$B$34&amp;";",""),IF(AND($G13&lt;Hta_15,$G13&gt;=Hba_15,Input!V$35&lt;&gt;""),Input!$B$35&amp;";",""),IF(AND($G13&lt;Hta_16,$G13&gt;=Hba_16,Input!V$36&lt;&gt;""),Input!$B$36&amp;";",""),IF(AND($G13&lt;Hta_17,$G13&gt;=Hba_17,Input!V$37&lt;&gt;""),Input!$B$37&amp;";",""),IF(AND($G13&lt;Hta_18,$G13&gt;=Hba_18,Input!V$38&lt;&gt;""),Input!$B$38&amp;";",""),IF(AND($G13&lt;Hta_19,$G13&gt;=Hba_19,Input!V$39&lt;&gt;""),Input!$B$39&amp;";",""),IF(AND($G13&lt;Hta_20,$G13&gt;=Hba_20,Input!V$40&lt;&gt;""),Input!$B$40&amp;";",""),IF(AND($G13&lt;Hta_21,$G13&gt;=Hba_21,Input!V$41&lt;&gt;""),Input!$B$41&amp;";",""),IF(AND($G13&lt;Hta_22,$G13&gt;=Hba_22,Input!V$42&lt;&gt;""),Input!$B$42&amp;";",""),IF(AND($G13&lt;Hta_23,$G13&gt;=Hba_23,Input!V$43&lt;&gt;""),Input!$B$43&amp;";",""),IF(AND($G13&lt;Hta_24,$G13&gt;=Hba_24,Input!V$44&lt;&gt;""),Input!$B$44&amp;";",""),IF(AND($G13&lt;Hta_25,$G13&gt;=Hba_25,Input!V$45&lt;&gt;""),Input!$B$45&amp;";",""),IF(AND($G13&lt;Hta_26,$G13&gt;=Hba_26,Input!V$46&lt;&gt;""),Input!$B$46&amp;";",""),IF(AND($G13&lt;Hta_27,$G13&gt;=Hba_27,Input!V$47&lt;&gt;""),Input!$B$47&amp;";",""),IF(AND($G13&lt;Hta_28,$G13&gt;=Hba_28,Input!V$48&lt;&gt;""),Input!$B$48&amp;";",""),IF(AND($G13&lt;Hta_29,$G13&gt;=Hba_29,Input!V$49&lt;&gt;""),Input!$B$49&amp;";",""),IF(AND($G13&lt;Hta_30,$G13&gt;=Hba_30,Input!V$50&lt;&gt;""),Input!$B$50&amp;";","")),"")</f>
        <v/>
      </c>
      <c r="BX13" s="25" t="str">
        <f>IFERROR(CONCATENATE(IF(AND($G13&lt;Hta_1,$G13&gt;=Hba_1,Input!W$21&lt;&gt;""),Input!$B$21&amp;";",""),IF(AND($G13&lt;Hta_2,$G13&gt;=Hba_2,Input!W$22&lt;&gt;""),Input!$B$22&amp;";",""),IF(AND($G13&lt;Hta_3,$G13&gt;=Hba_3,Input!W$23&lt;&gt;""),Input!$B$23&amp;";",""),IF(AND($G13&lt;Hta_4,$G13&gt;=Hba_4,Input!W$24&lt;&gt;""),Input!$B$24&amp;";",""),IF(AND($G13&lt;Hta_5,$G13&gt;=Hba_5,Input!W$25&lt;&gt;""),Input!$B$25&amp;";",""),IF(AND($G13&lt;Hta_6,$G13&gt;=Hba_6,Input!W$26&lt;&gt;""),Input!$B$26&amp;";",""),IF(AND($G13&lt;Hta_7,$G13&gt;=Hba_7,Input!W$27&lt;&gt;""),Input!$B$27&amp;";",""),IF(AND($G13&lt;Hta_8,$G13&gt;=Hba_8,Input!W$28&lt;&gt;""),Input!$B$28&amp;";",""),IF(AND($G13&lt;Hta_9,$G13&gt;=Hba_9,Input!W$29&lt;&gt;""),Input!$B$29&amp;";",""),IF(AND($G13&lt;Hta_10,$G13&gt;=Hba_10,Input!W$30&lt;&gt;""),Input!$B$30&amp;";",""),IF(AND($G13&lt;Hta_11,$G13&gt;=Hba_11,Input!W$31&lt;&gt;""),Input!$B$31&amp;";",""),IF(AND($G13&lt;Hta_12,$G13&gt;=Hba_12,Input!W$32&lt;&gt;""),Input!$B$32&amp;";",""),IF(AND($G13&lt;Hta_13,$G13&gt;=Hba_13,Input!W$33&lt;&gt;""),Input!$B$33&amp;";",""),IF(AND($G13&lt;Hta_14,$G13&gt;=Hba_14,Input!W$34&lt;&gt;""),Input!$B$34&amp;";",""),IF(AND($G13&lt;Hta_15,$G13&gt;=Hba_15,Input!W$35&lt;&gt;""),Input!$B$35&amp;";",""),IF(AND($G13&lt;Hta_16,$G13&gt;=Hba_16,Input!W$36&lt;&gt;""),Input!$B$36&amp;";",""),IF(AND($G13&lt;Hta_17,$G13&gt;=Hba_17,Input!W$37&lt;&gt;""),Input!$B$37&amp;";",""),IF(AND($G13&lt;Hta_18,$G13&gt;=Hba_18,Input!W$38&lt;&gt;""),Input!$B$38&amp;";",""),IF(AND($G13&lt;Hta_19,$G13&gt;=Hba_19,Input!W$39&lt;&gt;""),Input!$B$39&amp;";",""),IF(AND($G13&lt;Hta_20,$G13&gt;=Hba_20,Input!W$40&lt;&gt;""),Input!$B$40&amp;";",""),IF(AND($G13&lt;Hta_21,$G13&gt;=Hba_21,Input!W$41&lt;&gt;""),Input!$B$41&amp;";",""),IF(AND($G13&lt;Hta_22,$G13&gt;=Hba_22,Input!W$42&lt;&gt;""),Input!$B$42&amp;";",""),IF(AND($G13&lt;Hta_23,$G13&gt;=Hba_23,Input!W$43&lt;&gt;""),Input!$B$43&amp;";",""),IF(AND($G13&lt;Hta_24,$G13&gt;=Hba_24,Input!W$44&lt;&gt;""),Input!$B$44&amp;";",""),IF(AND($G13&lt;Hta_25,$G13&gt;=Hba_25,Input!W$45&lt;&gt;""),Input!$B$45&amp;";",""),IF(AND($G13&lt;Hta_26,$G13&gt;=Hba_26,Input!W$46&lt;&gt;""),Input!$B$46&amp;";",""),IF(AND($G13&lt;Hta_27,$G13&gt;=Hba_27,Input!W$47&lt;&gt;""),Input!$B$47&amp;";",""),IF(AND($G13&lt;Hta_28,$G13&gt;=Hba_28,Input!W$48&lt;&gt;""),Input!$B$48&amp;";",""),IF(AND($G13&lt;Hta_29,$G13&gt;=Hba_29,Input!W$49&lt;&gt;""),Input!$B$49&amp;";",""),IF(AND($G13&lt;Hta_30,$G13&gt;=Hba_30,Input!W$50&lt;&gt;""),Input!$B$50&amp;";","")),"")</f>
        <v/>
      </c>
      <c r="BY13" s="25" t="str">
        <f>IFERROR(CONCATENATE(IF(AND($G13&lt;Hta_1,$G13&gt;=Hba_1,Input!X$21&lt;&gt;""),Input!$B$21&amp;";",""),IF(AND($G13&lt;Hta_2,$G13&gt;=Hba_2,Input!X$22&lt;&gt;""),Input!$B$22&amp;";",""),IF(AND($G13&lt;Hta_3,$G13&gt;=Hba_3,Input!X$23&lt;&gt;""),Input!$B$23&amp;";",""),IF(AND($G13&lt;Hta_4,$G13&gt;=Hba_4,Input!X$24&lt;&gt;""),Input!$B$24&amp;";",""),IF(AND($G13&lt;Hta_5,$G13&gt;=Hba_5,Input!X$25&lt;&gt;""),Input!$B$25&amp;";",""),IF(AND($G13&lt;Hta_6,$G13&gt;=Hba_6,Input!X$26&lt;&gt;""),Input!$B$26&amp;";",""),IF(AND($G13&lt;Hta_7,$G13&gt;=Hba_7,Input!X$27&lt;&gt;""),Input!$B$27&amp;";",""),IF(AND($G13&lt;Hta_8,$G13&gt;=Hba_8,Input!X$28&lt;&gt;""),Input!$B$28&amp;";",""),IF(AND($G13&lt;Hta_9,$G13&gt;=Hba_9,Input!X$29&lt;&gt;""),Input!$B$29&amp;";",""),IF(AND($G13&lt;Hta_10,$G13&gt;=Hba_10,Input!X$30&lt;&gt;""),Input!$B$30&amp;";",""),IF(AND($G13&lt;Hta_11,$G13&gt;=Hba_11,Input!X$31&lt;&gt;""),Input!$B$31&amp;";",""),IF(AND($G13&lt;Hta_12,$G13&gt;=Hba_12,Input!X$32&lt;&gt;""),Input!$B$32&amp;";",""),IF(AND($G13&lt;Hta_13,$G13&gt;=Hba_13,Input!X$33&lt;&gt;""),Input!$B$33&amp;";",""),IF(AND($G13&lt;Hta_14,$G13&gt;=Hba_14,Input!X$34&lt;&gt;""),Input!$B$34&amp;";",""),IF(AND($G13&lt;Hta_15,$G13&gt;=Hba_15,Input!X$35&lt;&gt;""),Input!$B$35&amp;";",""),IF(AND($G13&lt;Hta_16,$G13&gt;=Hba_16,Input!X$36&lt;&gt;""),Input!$B$36&amp;";",""),IF(AND($G13&lt;Hta_17,$G13&gt;=Hba_17,Input!X$37&lt;&gt;""),Input!$B$37&amp;";",""),IF(AND($G13&lt;Hta_18,$G13&gt;=Hba_18,Input!X$38&lt;&gt;""),Input!$B$38&amp;";",""),IF(AND($G13&lt;Hta_19,$G13&gt;=Hba_19,Input!X$39&lt;&gt;""),Input!$B$39&amp;";",""),IF(AND($G13&lt;Hta_20,$G13&gt;=Hba_20,Input!X$40&lt;&gt;""),Input!$B$40&amp;";",""),IF(AND($G13&lt;Hta_21,$G13&gt;=Hba_21,Input!X$41&lt;&gt;""),Input!$B$41&amp;";",""),IF(AND($G13&lt;Hta_22,$G13&gt;=Hba_22,Input!X$42&lt;&gt;""),Input!$B$42&amp;";",""),IF(AND($G13&lt;Hta_23,$G13&gt;=Hba_23,Input!X$43&lt;&gt;""),Input!$B$43&amp;";",""),IF(AND($G13&lt;Hta_24,$G13&gt;=Hba_24,Input!X$44&lt;&gt;""),Input!$B$44&amp;";",""),IF(AND($G13&lt;Hta_25,$G13&gt;=Hba_25,Input!X$45&lt;&gt;""),Input!$B$45&amp;";",""),IF(AND($G13&lt;Hta_26,$G13&gt;=Hba_26,Input!X$46&lt;&gt;""),Input!$B$46&amp;";",""),IF(AND($G13&lt;Hta_27,$G13&gt;=Hba_27,Input!X$47&lt;&gt;""),Input!$B$47&amp;";",""),IF(AND($G13&lt;Hta_28,$G13&gt;=Hba_28,Input!X$48&lt;&gt;""),Input!$B$48&amp;";",""),IF(AND($G13&lt;Hta_29,$G13&gt;=Hba_29,Input!X$49&lt;&gt;""),Input!$B$49&amp;";",""),IF(AND($G13&lt;Hta_30,$G13&gt;=Hba_30,Input!X$50&lt;&gt;""),Input!$B$50&amp;";","")),"")</f>
        <v/>
      </c>
      <c r="BZ13" s="25" t="str">
        <f>IFERROR(CONCATENATE(IF(AND($G13&lt;Hta_1,$G13&gt;=Hba_1,Input!Y$21&lt;&gt;""),Input!$B$21&amp;";",""),IF(AND($G13&lt;Hta_2,$G13&gt;=Hba_2,Input!Y$22&lt;&gt;""),Input!$B$22&amp;";",""),IF(AND($G13&lt;Hta_3,$G13&gt;=Hba_3,Input!Y$23&lt;&gt;""),Input!$B$23&amp;";",""),IF(AND($G13&lt;Hta_4,$G13&gt;=Hba_4,Input!Y$24&lt;&gt;""),Input!$B$24&amp;";",""),IF(AND($G13&lt;Hta_5,$G13&gt;=Hba_5,Input!Y$25&lt;&gt;""),Input!$B$25&amp;";",""),IF(AND($G13&lt;Hta_6,$G13&gt;=Hba_6,Input!Y$26&lt;&gt;""),Input!$B$26&amp;";",""),IF(AND($G13&lt;Hta_7,$G13&gt;=Hba_7,Input!Y$27&lt;&gt;""),Input!$B$27&amp;";",""),IF(AND($G13&lt;Hta_8,$G13&gt;=Hba_8,Input!Y$28&lt;&gt;""),Input!$B$28&amp;";",""),IF(AND($G13&lt;Hta_9,$G13&gt;=Hba_9,Input!Y$29&lt;&gt;""),Input!$B$29&amp;";",""),IF(AND($G13&lt;Hta_10,$G13&gt;=Hba_10,Input!Y$30&lt;&gt;""),Input!$B$30&amp;";",""),IF(AND($G13&lt;Hta_11,$G13&gt;=Hba_11,Input!Y$31&lt;&gt;""),Input!$B$31&amp;";",""),IF(AND($G13&lt;Hta_12,$G13&gt;=Hba_12,Input!Y$32&lt;&gt;""),Input!$B$32&amp;";",""),IF(AND($G13&lt;Hta_13,$G13&gt;=Hba_13,Input!Y$33&lt;&gt;""),Input!$B$33&amp;";",""),IF(AND($G13&lt;Hta_14,$G13&gt;=Hba_14,Input!Y$34&lt;&gt;""),Input!$B$34&amp;";",""),IF(AND($G13&lt;Hta_15,$G13&gt;=Hba_15,Input!Y$35&lt;&gt;""),Input!$B$35&amp;";",""),IF(AND($G13&lt;Hta_16,$G13&gt;=Hba_16,Input!Y$36&lt;&gt;""),Input!$B$36&amp;";",""),IF(AND($G13&lt;Hta_17,$G13&gt;=Hba_17,Input!Y$37&lt;&gt;""),Input!$B$37&amp;";",""),IF(AND($G13&lt;Hta_18,$G13&gt;=Hba_18,Input!Y$38&lt;&gt;""),Input!$B$38&amp;";",""),IF(AND($G13&lt;Hta_19,$G13&gt;=Hba_19,Input!Y$39&lt;&gt;""),Input!$B$39&amp;";",""),IF(AND($G13&lt;Hta_20,$G13&gt;=Hba_20,Input!Y$40&lt;&gt;""),Input!$B$40&amp;";",""),IF(AND($G13&lt;Hta_21,$G13&gt;=Hba_21,Input!Y$41&lt;&gt;""),Input!$B$41&amp;";",""),IF(AND($G13&lt;Hta_22,$G13&gt;=Hba_22,Input!Y$42&lt;&gt;""),Input!$B$42&amp;";",""),IF(AND($G13&lt;Hta_23,$G13&gt;=Hba_23,Input!Y$43&lt;&gt;""),Input!$B$43&amp;";",""),IF(AND($G13&lt;Hta_24,$G13&gt;=Hba_24,Input!Y$44&lt;&gt;""),Input!$B$44&amp;";",""),IF(AND($G13&lt;Hta_25,$G13&gt;=Hba_25,Input!Y$45&lt;&gt;""),Input!$B$45&amp;";",""),IF(AND($G13&lt;Hta_26,$G13&gt;=Hba_26,Input!Y$46&lt;&gt;""),Input!$B$46&amp;";",""),IF(AND($G13&lt;Hta_27,$G13&gt;=Hba_27,Input!Y$47&lt;&gt;""),Input!$B$47&amp;";",""),IF(AND($G13&lt;Hta_28,$G13&gt;=Hba_28,Input!Y$48&lt;&gt;""),Input!$B$48&amp;";",""),IF(AND($G13&lt;Hta_29,$G13&gt;=Hba_29,Input!Y$49&lt;&gt;""),Input!$B$49&amp;";",""),IF(AND($G13&lt;Hta_30,$G13&gt;=Hba_30,Input!Y$50&lt;&gt;""),Input!$B$50&amp;";","")),"")</f>
        <v/>
      </c>
      <c r="CA13" s="25" t="str">
        <f>IFERROR(CONCATENATE(IF(AND($G13&lt;Hta_1,$G13&gt;=Hba_1,Input!Z$21&lt;&gt;""),Input!$B$21&amp;";",""),IF(AND($G13&lt;Hta_2,$G13&gt;=Hba_2,Input!Z$22&lt;&gt;""),Input!$B$22&amp;";",""),IF(AND($G13&lt;Hta_3,$G13&gt;=Hba_3,Input!Z$23&lt;&gt;""),Input!$B$23&amp;";",""),IF(AND($G13&lt;Hta_4,$G13&gt;=Hba_4,Input!Z$24&lt;&gt;""),Input!$B$24&amp;";",""),IF(AND($G13&lt;Hta_5,$G13&gt;=Hba_5,Input!Z$25&lt;&gt;""),Input!$B$25&amp;";",""),IF(AND($G13&lt;Hta_6,$G13&gt;=Hba_6,Input!Z$26&lt;&gt;""),Input!$B$26&amp;";",""),IF(AND($G13&lt;Hta_7,$G13&gt;=Hba_7,Input!Z$27&lt;&gt;""),Input!$B$27&amp;";",""),IF(AND($G13&lt;Hta_8,$G13&gt;=Hba_8,Input!Z$28&lt;&gt;""),Input!$B$28&amp;";",""),IF(AND($G13&lt;Hta_9,$G13&gt;=Hba_9,Input!Z$29&lt;&gt;""),Input!$B$29&amp;";",""),IF(AND($G13&lt;Hta_10,$G13&gt;=Hba_10,Input!Z$30&lt;&gt;""),Input!$B$30&amp;";",""),IF(AND($G13&lt;Hta_11,$G13&gt;=Hba_11,Input!Z$31&lt;&gt;""),Input!$B$31&amp;";",""),IF(AND($G13&lt;Hta_12,$G13&gt;=Hba_12,Input!Z$32&lt;&gt;""),Input!$B$32&amp;";",""),IF(AND($G13&lt;Hta_13,$G13&gt;=Hba_13,Input!Z$33&lt;&gt;""),Input!$B$33&amp;";",""),IF(AND($G13&lt;Hta_14,$G13&gt;=Hba_14,Input!Z$34&lt;&gt;""),Input!$B$34&amp;";",""),IF(AND($G13&lt;Hta_15,$G13&gt;=Hba_15,Input!Z$35&lt;&gt;""),Input!$B$35&amp;";",""),IF(AND($G13&lt;Hta_16,$G13&gt;=Hba_16,Input!Z$36&lt;&gt;""),Input!$B$36&amp;";",""),IF(AND($G13&lt;Hta_17,$G13&gt;=Hba_17,Input!Z$37&lt;&gt;""),Input!$B$37&amp;";",""),IF(AND($G13&lt;Hta_18,$G13&gt;=Hba_18,Input!Z$38&lt;&gt;""),Input!$B$38&amp;";",""),IF(AND($G13&lt;Hta_19,$G13&gt;=Hba_19,Input!Z$39&lt;&gt;""),Input!$B$39&amp;";",""),IF(AND($G13&lt;Hta_20,$G13&gt;=Hba_20,Input!Z$40&lt;&gt;""),Input!$B$40&amp;";",""),IF(AND($G13&lt;Hta_21,$G13&gt;=Hba_21,Input!Z$41&lt;&gt;""),Input!$B$41&amp;";",""),IF(AND($G13&lt;Hta_22,$G13&gt;=Hba_22,Input!Z$42&lt;&gt;""),Input!$B$42&amp;";",""),IF(AND($G13&lt;Hta_23,$G13&gt;=Hba_23,Input!Z$43&lt;&gt;""),Input!$B$43&amp;";",""),IF(AND($G13&lt;Hta_24,$G13&gt;=Hba_24,Input!Z$44&lt;&gt;""),Input!$B$44&amp;";",""),IF(AND($G13&lt;Hta_25,$G13&gt;=Hba_25,Input!Z$45&lt;&gt;""),Input!$B$45&amp;";",""),IF(AND($G13&lt;Hta_26,$G13&gt;=Hba_26,Input!Z$46&lt;&gt;""),Input!$B$46&amp;";",""),IF(AND($G13&lt;Hta_27,$G13&gt;=Hba_27,Input!Z$47&lt;&gt;""),Input!$B$47&amp;";",""),IF(AND($G13&lt;Hta_28,$G13&gt;=Hba_28,Input!Z$48&lt;&gt;""),Input!$B$48&amp;";",""),IF(AND($G13&lt;Hta_29,$G13&gt;=Hba_29,Input!Z$49&lt;&gt;""),Input!$B$49&amp;";",""),IF(AND($G13&lt;Hta_30,$G13&gt;=Hba_30,Input!Z$50&lt;&gt;""),Input!$B$50&amp;";","")),"")</f>
        <v/>
      </c>
      <c r="CB13" s="25" t="str">
        <f>IFERROR(CONCATENATE(IF(AND($G13&lt;Hta_1,$G13&gt;=Hba_1,Input!AA$21&lt;&gt;""),Input!$B$21&amp;";",""),IF(AND($G13&lt;Hta_2,$G13&gt;=Hba_2,Input!AA$22&lt;&gt;""),Input!$B$22&amp;";",""),IF(AND($G13&lt;Hta_3,$G13&gt;=Hba_3,Input!AA$23&lt;&gt;""),Input!$B$23&amp;";",""),IF(AND($G13&lt;Hta_4,$G13&gt;=Hba_4,Input!AA$24&lt;&gt;""),Input!$B$24&amp;";",""),IF(AND($G13&lt;Hta_5,$G13&gt;=Hba_5,Input!AA$25&lt;&gt;""),Input!$B$25&amp;";",""),IF(AND($G13&lt;Hta_6,$G13&gt;=Hba_6,Input!AA$26&lt;&gt;""),Input!$B$26&amp;";",""),IF(AND($G13&lt;Hta_7,$G13&gt;=Hba_7,Input!AA$27&lt;&gt;""),Input!$B$27&amp;";",""),IF(AND($G13&lt;Hta_8,$G13&gt;=Hba_8,Input!AA$28&lt;&gt;""),Input!$B$28&amp;";",""),IF(AND($G13&lt;Hta_9,$G13&gt;=Hba_9,Input!AA$29&lt;&gt;""),Input!$B$29&amp;";",""),IF(AND($G13&lt;Hta_10,$G13&gt;=Hba_10,Input!AA$30&lt;&gt;""),Input!$B$30&amp;";",""),IF(AND($G13&lt;Hta_11,$G13&gt;=Hba_11,Input!AA$31&lt;&gt;""),Input!$B$31&amp;";",""),IF(AND($G13&lt;Hta_12,$G13&gt;=Hba_12,Input!AA$32&lt;&gt;""),Input!$B$32&amp;";",""),IF(AND($G13&lt;Hta_13,$G13&gt;=Hba_13,Input!AA$33&lt;&gt;""),Input!$B$33&amp;";",""),IF(AND($G13&lt;Hta_14,$G13&gt;=Hba_14,Input!AA$34&lt;&gt;""),Input!$B$34&amp;";",""),IF(AND($G13&lt;Hta_15,$G13&gt;=Hba_15,Input!AA$35&lt;&gt;""),Input!$B$35&amp;";",""),IF(AND($G13&lt;Hta_16,$G13&gt;=Hba_16,Input!AA$36&lt;&gt;""),Input!$B$36&amp;";",""),IF(AND($G13&lt;Hta_17,$G13&gt;=Hba_17,Input!AA$37&lt;&gt;""),Input!$B$37&amp;";",""),IF(AND($G13&lt;Hta_18,$G13&gt;=Hba_18,Input!AA$38&lt;&gt;""),Input!$B$38&amp;";",""),IF(AND($G13&lt;Hta_19,$G13&gt;=Hba_19,Input!AA$39&lt;&gt;""),Input!$B$39&amp;";",""),IF(AND($G13&lt;Hta_20,$G13&gt;=Hba_20,Input!AA$40&lt;&gt;""),Input!$B$40&amp;";",""),IF(AND($G13&lt;Hta_21,$G13&gt;=Hba_21,Input!AA$41&lt;&gt;""),Input!$B$41&amp;";",""),IF(AND($G13&lt;Hta_22,$G13&gt;=Hba_22,Input!AA$42&lt;&gt;""),Input!$B$42&amp;";",""),IF(AND($G13&lt;Hta_23,$G13&gt;=Hba_23,Input!AA$43&lt;&gt;""),Input!$B$43&amp;";",""),IF(AND($G13&lt;Hta_24,$G13&gt;=Hba_24,Input!AA$44&lt;&gt;""),Input!$B$44&amp;";",""),IF(AND($G13&lt;Hta_25,$G13&gt;=Hba_25,Input!AA$45&lt;&gt;""),Input!$B$45&amp;";",""),IF(AND($G13&lt;Hta_26,$G13&gt;=Hba_26,Input!AA$46&lt;&gt;""),Input!$B$46&amp;";",""),IF(AND($G13&lt;Hta_27,$G13&gt;=Hba_27,Input!AA$47&lt;&gt;""),Input!$B$47&amp;";",""),IF(AND($G13&lt;Hta_28,$G13&gt;=Hba_28,Input!AA$48&lt;&gt;""),Input!$B$48&amp;";",""),IF(AND($G13&lt;Hta_29,$G13&gt;=Hba_29,Input!AA$49&lt;&gt;""),Input!$B$49&amp;";",""),IF(AND($G13&lt;Hta_30,$G13&gt;=Hba_30,Input!AA$50&lt;&gt;""),Input!$B$50&amp;";","")),"")</f>
        <v/>
      </c>
      <c r="CC13" s="25" t="str">
        <f>IFERROR(CONCATENATE(IF(AND($G13&lt;Hta_1,$G13&gt;=Hba_1,Input!AB$21&lt;&gt;""),Input!$B$21&amp;";",""),IF(AND($G13&lt;Hta_2,$G13&gt;=Hba_2,Input!AB$22&lt;&gt;""),Input!$B$22&amp;";",""),IF(AND($G13&lt;Hta_3,$G13&gt;=Hba_3,Input!AB$23&lt;&gt;""),Input!$B$23&amp;";",""),IF(AND($G13&lt;Hta_4,$G13&gt;=Hba_4,Input!AB$24&lt;&gt;""),Input!$B$24&amp;";",""),IF(AND($G13&lt;Hta_5,$G13&gt;=Hba_5,Input!AB$25&lt;&gt;""),Input!$B$25&amp;";",""),IF(AND($G13&lt;Hta_6,$G13&gt;=Hba_6,Input!AB$26&lt;&gt;""),Input!$B$26&amp;";",""),IF(AND($G13&lt;Hta_7,$G13&gt;=Hba_7,Input!AB$27&lt;&gt;""),Input!$B$27&amp;";",""),IF(AND($G13&lt;Hta_8,$G13&gt;=Hba_8,Input!AB$28&lt;&gt;""),Input!$B$28&amp;";",""),IF(AND($G13&lt;Hta_9,$G13&gt;=Hba_9,Input!AB$29&lt;&gt;""),Input!$B$29&amp;";",""),IF(AND($G13&lt;Hta_10,$G13&gt;=Hba_10,Input!AB$30&lt;&gt;""),Input!$B$30&amp;";",""),IF(AND($G13&lt;Hta_11,$G13&gt;=Hba_11,Input!AB$31&lt;&gt;""),Input!$B$31&amp;";",""),IF(AND($G13&lt;Hta_12,$G13&gt;=Hba_12,Input!AB$32&lt;&gt;""),Input!$B$32&amp;";",""),IF(AND($G13&lt;Hta_13,$G13&gt;=Hba_13,Input!AB$33&lt;&gt;""),Input!$B$33&amp;";",""),IF(AND($G13&lt;Hta_14,$G13&gt;=Hba_14,Input!AB$34&lt;&gt;""),Input!$B$34&amp;";",""),IF(AND($G13&lt;Hta_15,$G13&gt;=Hba_15,Input!AB$35&lt;&gt;""),Input!$B$35&amp;";",""),IF(AND($G13&lt;Hta_16,$G13&gt;=Hba_16,Input!AB$36&lt;&gt;""),Input!$B$36&amp;";",""),IF(AND($G13&lt;Hta_17,$G13&gt;=Hba_17,Input!AB$37&lt;&gt;""),Input!$B$37&amp;";",""),IF(AND($G13&lt;Hta_18,$G13&gt;=Hba_18,Input!AB$38&lt;&gt;""),Input!$B$38&amp;";",""),IF(AND($G13&lt;Hta_19,$G13&gt;=Hba_19,Input!AB$39&lt;&gt;""),Input!$B$39&amp;";",""),IF(AND($G13&lt;Hta_20,$G13&gt;=Hba_20,Input!AB$40&lt;&gt;""),Input!$B$40&amp;";",""),IF(AND($G13&lt;Hta_21,$G13&gt;=Hba_21,Input!AB$41&lt;&gt;""),Input!$B$41&amp;";",""),IF(AND($G13&lt;Hta_22,$G13&gt;=Hba_22,Input!AB$42&lt;&gt;""),Input!$B$42&amp;";",""),IF(AND($G13&lt;Hta_23,$G13&gt;=Hba_23,Input!AB$43&lt;&gt;""),Input!$B$43&amp;";",""),IF(AND($G13&lt;Hta_24,$G13&gt;=Hba_24,Input!AB$44&lt;&gt;""),Input!$B$44&amp;";",""),IF(AND($G13&lt;Hta_25,$G13&gt;=Hba_25,Input!AB$45&lt;&gt;""),Input!$B$45&amp;";",""),IF(AND($G13&lt;Hta_26,$G13&gt;=Hba_26,Input!AB$46&lt;&gt;""),Input!$B$46&amp;";",""),IF(AND($G13&lt;Hta_27,$G13&gt;=Hba_27,Input!AB$47&lt;&gt;""),Input!$B$47&amp;";",""),IF(AND($G13&lt;Hta_28,$G13&gt;=Hba_28,Input!AB$48&lt;&gt;""),Input!$B$48&amp;";",""),IF(AND($G13&lt;Hta_29,$G13&gt;=Hba_29,Input!AB$49&lt;&gt;""),Input!$B$49&amp;";",""),IF(AND($G13&lt;Hta_30,$G13&gt;=Hba_30,Input!AB$50&lt;&gt;""),Input!$B$50&amp;";","")),"")</f>
        <v/>
      </c>
      <c r="CD13" s="25" t="str">
        <f>IFERROR(CONCATENATE(IF(AND($G13&lt;Hta_1,$G13&gt;=Hba_1,Input!AC$21&lt;&gt;""),Input!$B$21&amp;";",""),IF(AND($G13&lt;Hta_2,$G13&gt;=Hba_2,Input!AC$22&lt;&gt;""),Input!$B$22&amp;";",""),IF(AND($G13&lt;Hta_3,$G13&gt;=Hba_3,Input!AC$23&lt;&gt;""),Input!$B$23&amp;";",""),IF(AND($G13&lt;Hta_4,$G13&gt;=Hba_4,Input!AC$24&lt;&gt;""),Input!$B$24&amp;";",""),IF(AND($G13&lt;Hta_5,$G13&gt;=Hba_5,Input!AC$25&lt;&gt;""),Input!$B$25&amp;";",""),IF(AND($G13&lt;Hta_6,$G13&gt;=Hba_6,Input!AC$26&lt;&gt;""),Input!$B$26&amp;";",""),IF(AND($G13&lt;Hta_7,$G13&gt;=Hba_7,Input!AC$27&lt;&gt;""),Input!$B$27&amp;";",""),IF(AND($G13&lt;Hta_8,$G13&gt;=Hba_8,Input!AC$28&lt;&gt;""),Input!$B$28&amp;";",""),IF(AND($G13&lt;Hta_9,$G13&gt;=Hba_9,Input!AC$29&lt;&gt;""),Input!$B$29&amp;";",""),IF(AND($G13&lt;Hta_10,$G13&gt;=Hba_10,Input!AC$30&lt;&gt;""),Input!$B$30&amp;";",""),IF(AND($G13&lt;Hta_11,$G13&gt;=Hba_11,Input!AC$31&lt;&gt;""),Input!$B$31&amp;";",""),IF(AND($G13&lt;Hta_12,$G13&gt;=Hba_12,Input!AC$32&lt;&gt;""),Input!$B$32&amp;";",""),IF(AND($G13&lt;Hta_13,$G13&gt;=Hba_13,Input!AC$33&lt;&gt;""),Input!$B$33&amp;";",""),IF(AND($G13&lt;Hta_14,$G13&gt;=Hba_14,Input!AC$34&lt;&gt;""),Input!$B$34&amp;";",""),IF(AND($G13&lt;Hta_15,$G13&gt;=Hba_15,Input!AC$35&lt;&gt;""),Input!$B$35&amp;";",""),IF(AND($G13&lt;Hta_16,$G13&gt;=Hba_16,Input!AC$36&lt;&gt;""),Input!$B$36&amp;";",""),IF(AND($G13&lt;Hta_17,$G13&gt;=Hba_17,Input!AC$37&lt;&gt;""),Input!$B$37&amp;";",""),IF(AND($G13&lt;Hta_18,$G13&gt;=Hba_18,Input!AC$38&lt;&gt;""),Input!$B$38&amp;";",""),IF(AND($G13&lt;Hta_19,$G13&gt;=Hba_19,Input!AC$39&lt;&gt;""),Input!$B$39&amp;";",""),IF(AND($G13&lt;Hta_20,$G13&gt;=Hba_20,Input!AC$40&lt;&gt;""),Input!$B$40&amp;";",""),IF(AND($G13&lt;Hta_21,$G13&gt;=Hba_21,Input!AC$41&lt;&gt;""),Input!$B$41&amp;";",""),IF(AND($G13&lt;Hta_22,$G13&gt;=Hba_22,Input!AC$42&lt;&gt;""),Input!$B$42&amp;";",""),IF(AND($G13&lt;Hta_23,$G13&gt;=Hba_23,Input!AC$43&lt;&gt;""),Input!$B$43&amp;";",""),IF(AND($G13&lt;Hta_24,$G13&gt;=Hba_24,Input!AC$44&lt;&gt;""),Input!$B$44&amp;";",""),IF(AND($G13&lt;Hta_25,$G13&gt;=Hba_25,Input!AC$45&lt;&gt;""),Input!$B$45&amp;";",""),IF(AND($G13&lt;Hta_26,$G13&gt;=Hba_26,Input!AC$46&lt;&gt;""),Input!$B$46&amp;";",""),IF(AND($G13&lt;Hta_27,$G13&gt;=Hba_27,Input!AC$47&lt;&gt;""),Input!$B$47&amp;";",""),IF(AND($G13&lt;Hta_28,$G13&gt;=Hba_28,Input!AC$48&lt;&gt;""),Input!$B$48&amp;";",""),IF(AND($G13&lt;Hta_29,$G13&gt;=Hba_29,Input!AC$49&lt;&gt;""),Input!$B$49&amp;";",""),IF(AND($G13&lt;Hta_30,$G13&gt;=Hba_30,Input!AC$50&lt;&gt;""),Input!$B$50&amp;";","")),"")</f>
        <v/>
      </c>
      <c r="CE13" s="25" t="str">
        <f>IFERROR(CONCATENATE(IF(AND($G13&lt;Hta_1,$G13&gt;=Hba_1,Input!AD$21&lt;&gt;""),Input!$B$21&amp;";",""),IF(AND($G13&lt;Hta_2,$G13&gt;=Hba_2,Input!AD$22&lt;&gt;""),Input!$B$22&amp;";",""),IF(AND($G13&lt;Hta_3,$G13&gt;=Hba_3,Input!AD$23&lt;&gt;""),Input!$B$23&amp;";",""),IF(AND($G13&lt;Hta_4,$G13&gt;=Hba_4,Input!AD$24&lt;&gt;""),Input!$B$24&amp;";",""),IF(AND($G13&lt;Hta_5,$G13&gt;=Hba_5,Input!AD$25&lt;&gt;""),Input!$B$25&amp;";",""),IF(AND($G13&lt;Hta_6,$G13&gt;=Hba_6,Input!AD$26&lt;&gt;""),Input!$B$26&amp;";",""),IF(AND($G13&lt;Hta_7,$G13&gt;=Hba_7,Input!AD$27&lt;&gt;""),Input!$B$27&amp;";",""),IF(AND($G13&lt;Hta_8,$G13&gt;=Hba_8,Input!AD$28&lt;&gt;""),Input!$B$28&amp;";",""),IF(AND($G13&lt;Hta_9,$G13&gt;=Hba_9,Input!AD$29&lt;&gt;""),Input!$B$29&amp;";",""),IF(AND($G13&lt;Hta_10,$G13&gt;=Hba_10,Input!AD$30&lt;&gt;""),Input!$B$30&amp;";",""),IF(AND($G13&lt;Hta_11,$G13&gt;=Hba_11,Input!AD$31&lt;&gt;""),Input!$B$31&amp;";",""),IF(AND($G13&lt;Hta_12,$G13&gt;=Hba_12,Input!AD$32&lt;&gt;""),Input!$B$32&amp;";",""),IF(AND($G13&lt;Hta_13,$G13&gt;=Hba_13,Input!AD$33&lt;&gt;""),Input!$B$33&amp;";",""),IF(AND($G13&lt;Hta_14,$G13&gt;=Hba_14,Input!AD$34&lt;&gt;""),Input!$B$34&amp;";",""),IF(AND($G13&lt;Hta_15,$G13&gt;=Hba_15,Input!AD$35&lt;&gt;""),Input!$B$35&amp;";",""),IF(AND($G13&lt;Hta_16,$G13&gt;=Hba_16,Input!AD$36&lt;&gt;""),Input!$B$36&amp;";",""),IF(AND($G13&lt;Hta_17,$G13&gt;=Hba_17,Input!AD$37&lt;&gt;""),Input!$B$37&amp;";",""),IF(AND($G13&lt;Hta_18,$G13&gt;=Hba_18,Input!AD$38&lt;&gt;""),Input!$B$38&amp;";",""),IF(AND($G13&lt;Hta_19,$G13&gt;=Hba_19,Input!AD$39&lt;&gt;""),Input!$B$39&amp;";",""),IF(AND($G13&lt;Hta_20,$G13&gt;=Hba_20,Input!AD$40&lt;&gt;""),Input!$B$40&amp;";",""),IF(AND($G13&lt;Hta_21,$G13&gt;=Hba_21,Input!AD$41&lt;&gt;""),Input!$B$41&amp;";",""),IF(AND($G13&lt;Hta_22,$G13&gt;=Hba_22,Input!AD$42&lt;&gt;""),Input!$B$42&amp;";",""),IF(AND($G13&lt;Hta_23,$G13&gt;=Hba_23,Input!AD$43&lt;&gt;""),Input!$B$43&amp;";",""),IF(AND($G13&lt;Hta_24,$G13&gt;=Hba_24,Input!AD$44&lt;&gt;""),Input!$B$44&amp;";",""),IF(AND($G13&lt;Hta_25,$G13&gt;=Hba_25,Input!AD$45&lt;&gt;""),Input!$B$45&amp;";",""),IF(AND($G13&lt;Hta_26,$G13&gt;=Hba_26,Input!AD$46&lt;&gt;""),Input!$B$46&amp;";",""),IF(AND($G13&lt;Hta_27,$G13&gt;=Hba_27,Input!AD$47&lt;&gt;""),Input!$B$47&amp;";",""),IF(AND($G13&lt;Hta_28,$G13&gt;=Hba_28,Input!AD$48&lt;&gt;""),Input!$B$48&amp;";",""),IF(AND($G13&lt;Hta_29,$G13&gt;=Hba_29,Input!AD$49&lt;&gt;""),Input!$B$49&amp;";",""),IF(AND($G13&lt;Hta_30,$G13&gt;=Hba_30,Input!AD$50&lt;&gt;""),Input!$B$50&amp;";","")),"")</f>
        <v/>
      </c>
      <c r="CF13" s="25" t="str">
        <f>IFERROR(CONCATENATE(IF(AND($G13&lt;Hta_1,$G13&gt;=Hba_1,Input!AE$21&lt;&gt;""),Input!$B$21&amp;";",""),IF(AND($G13&lt;Hta_2,$G13&gt;=Hba_2,Input!AE$22&lt;&gt;""),Input!$B$22&amp;";",""),IF(AND($G13&lt;Hta_3,$G13&gt;=Hba_3,Input!AE$23&lt;&gt;""),Input!$B$23&amp;";",""),IF(AND($G13&lt;Hta_4,$G13&gt;=Hba_4,Input!AE$24&lt;&gt;""),Input!$B$24&amp;";",""),IF(AND($G13&lt;Hta_5,$G13&gt;=Hba_5,Input!AE$25&lt;&gt;""),Input!$B$25&amp;";",""),IF(AND($G13&lt;Hta_6,$G13&gt;=Hba_6,Input!AE$26&lt;&gt;""),Input!$B$26&amp;";",""),IF(AND($G13&lt;Hta_7,$G13&gt;=Hba_7,Input!AE$27&lt;&gt;""),Input!$B$27&amp;";",""),IF(AND($G13&lt;Hta_8,$G13&gt;=Hba_8,Input!AE$28&lt;&gt;""),Input!$B$28&amp;";",""),IF(AND($G13&lt;Hta_9,$G13&gt;=Hba_9,Input!AE$29&lt;&gt;""),Input!$B$29&amp;";",""),IF(AND($G13&lt;Hta_10,$G13&gt;=Hba_10,Input!AE$30&lt;&gt;""),Input!$B$30&amp;";",""),IF(AND($G13&lt;Hta_11,$G13&gt;=Hba_11,Input!AE$31&lt;&gt;""),Input!$B$31&amp;";",""),IF(AND($G13&lt;Hta_12,$G13&gt;=Hba_12,Input!AE$32&lt;&gt;""),Input!$B$32&amp;";",""),IF(AND($G13&lt;Hta_13,$G13&gt;=Hba_13,Input!AE$33&lt;&gt;""),Input!$B$33&amp;";",""),IF(AND($G13&lt;Hta_14,$G13&gt;=Hba_14,Input!AE$34&lt;&gt;""),Input!$B$34&amp;";",""),IF(AND($G13&lt;Hta_15,$G13&gt;=Hba_15,Input!AE$35&lt;&gt;""),Input!$B$35&amp;";",""),IF(AND($G13&lt;Hta_16,$G13&gt;=Hba_16,Input!AE$36&lt;&gt;""),Input!$B$36&amp;";",""),IF(AND($G13&lt;Hta_17,$G13&gt;=Hba_17,Input!AE$37&lt;&gt;""),Input!$B$37&amp;";",""),IF(AND($G13&lt;Hta_18,$G13&gt;=Hba_18,Input!AE$38&lt;&gt;""),Input!$B$38&amp;";",""),IF(AND($G13&lt;Hta_19,$G13&gt;=Hba_19,Input!AE$39&lt;&gt;""),Input!$B$39&amp;";",""),IF(AND($G13&lt;Hta_20,$G13&gt;=Hba_20,Input!AE$40&lt;&gt;""),Input!$B$40&amp;";",""),IF(AND($G13&lt;Hta_21,$G13&gt;=Hba_21,Input!AE$41&lt;&gt;""),Input!$B$41&amp;";",""),IF(AND($G13&lt;Hta_22,$G13&gt;=Hba_22,Input!AE$42&lt;&gt;""),Input!$B$42&amp;";",""),IF(AND($G13&lt;Hta_23,$G13&gt;=Hba_23,Input!AE$43&lt;&gt;""),Input!$B$43&amp;";",""),IF(AND($G13&lt;Hta_24,$G13&gt;=Hba_24,Input!AE$44&lt;&gt;""),Input!$B$44&amp;";",""),IF(AND($G13&lt;Hta_25,$G13&gt;=Hba_25,Input!AE$45&lt;&gt;""),Input!$B$45&amp;";",""),IF(AND($G13&lt;Hta_26,$G13&gt;=Hba_26,Input!AE$46&lt;&gt;""),Input!$B$46&amp;";",""),IF(AND($G13&lt;Hta_27,$G13&gt;=Hba_27,Input!AE$47&lt;&gt;""),Input!$B$47&amp;";",""),IF(AND($G13&lt;Hta_28,$G13&gt;=Hba_28,Input!AE$48&lt;&gt;""),Input!$B$48&amp;";",""),IF(AND($G13&lt;Hta_29,$G13&gt;=Hba_29,Input!AE$49&lt;&gt;""),Input!$B$49&amp;";",""),IF(AND($G13&lt;Hta_30,$G13&gt;=Hba_30,Input!AE$50&lt;&gt;""),Input!$B$50&amp;";","")),"")</f>
        <v/>
      </c>
      <c r="CG13" s="25" t="str">
        <f>IFERROR(CONCATENATE(IF(AND($G13&lt;Hta_1,$G13&gt;=Hba_1,Input!AF$21&lt;&gt;""),Input!$B$21&amp;";",""),IF(AND($G13&lt;Hta_2,$G13&gt;=Hba_2,Input!AF$22&lt;&gt;""),Input!$B$22&amp;";",""),IF(AND($G13&lt;Hta_3,$G13&gt;=Hba_3,Input!AF$23&lt;&gt;""),Input!$B$23&amp;";",""),IF(AND($G13&lt;Hta_4,$G13&gt;=Hba_4,Input!AF$24&lt;&gt;""),Input!$B$24&amp;";",""),IF(AND($G13&lt;Hta_5,$G13&gt;=Hba_5,Input!AF$25&lt;&gt;""),Input!$B$25&amp;";",""),IF(AND($G13&lt;Hta_6,$G13&gt;=Hba_6,Input!AF$26&lt;&gt;""),Input!$B$26&amp;";",""),IF(AND($G13&lt;Hta_7,$G13&gt;=Hba_7,Input!AF$27&lt;&gt;""),Input!$B$27&amp;";",""),IF(AND($G13&lt;Hta_8,$G13&gt;=Hba_8,Input!AF$28&lt;&gt;""),Input!$B$28&amp;";",""),IF(AND($G13&lt;Hta_9,$G13&gt;=Hba_9,Input!AF$29&lt;&gt;""),Input!$B$29&amp;";",""),IF(AND($G13&lt;Hta_10,$G13&gt;=Hba_10,Input!AF$30&lt;&gt;""),Input!$B$30&amp;";",""),IF(AND($G13&lt;Hta_11,$G13&gt;=Hba_11,Input!AF$31&lt;&gt;""),Input!$B$31&amp;";",""),IF(AND($G13&lt;Hta_12,$G13&gt;=Hba_12,Input!AF$32&lt;&gt;""),Input!$B$32&amp;";",""),IF(AND($G13&lt;Hta_13,$G13&gt;=Hba_13,Input!AF$33&lt;&gt;""),Input!$B$33&amp;";",""),IF(AND($G13&lt;Hta_14,$G13&gt;=Hba_14,Input!AF$34&lt;&gt;""),Input!$B$34&amp;";",""),IF(AND($G13&lt;Hta_15,$G13&gt;=Hba_15,Input!AF$35&lt;&gt;""),Input!$B$35&amp;";",""),IF(AND($G13&lt;Hta_16,$G13&gt;=Hba_16,Input!AF$36&lt;&gt;""),Input!$B$36&amp;";",""),IF(AND($G13&lt;Hta_17,$G13&gt;=Hba_17,Input!AF$37&lt;&gt;""),Input!$B$37&amp;";",""),IF(AND($G13&lt;Hta_18,$G13&gt;=Hba_18,Input!AF$38&lt;&gt;""),Input!$B$38&amp;";",""),IF(AND($G13&lt;Hta_19,$G13&gt;=Hba_19,Input!AF$39&lt;&gt;""),Input!$B$39&amp;";",""),IF(AND($G13&lt;Hta_20,$G13&gt;=Hba_20,Input!AF$40&lt;&gt;""),Input!$B$40&amp;";",""),IF(AND($G13&lt;Hta_21,$G13&gt;=Hba_21,Input!AF$41&lt;&gt;""),Input!$B$41&amp;";",""),IF(AND($G13&lt;Hta_22,$G13&gt;=Hba_22,Input!AF$42&lt;&gt;""),Input!$B$42&amp;";",""),IF(AND($G13&lt;Hta_23,$G13&gt;=Hba_23,Input!AF$43&lt;&gt;""),Input!$B$43&amp;";",""),IF(AND($G13&lt;Hta_24,$G13&gt;=Hba_24,Input!AF$44&lt;&gt;""),Input!$B$44&amp;";",""),IF(AND($G13&lt;Hta_25,$G13&gt;=Hba_25,Input!AF$45&lt;&gt;""),Input!$B$45&amp;";",""),IF(AND($G13&lt;Hta_26,$G13&gt;=Hba_26,Input!AF$46&lt;&gt;""),Input!$B$46&amp;";",""),IF(AND($G13&lt;Hta_27,$G13&gt;=Hba_27,Input!AF$47&lt;&gt;""),Input!$B$47&amp;";",""),IF(AND($G13&lt;Hta_28,$G13&gt;=Hba_28,Input!AF$48&lt;&gt;""),Input!$B$48&amp;";",""),IF(AND($G13&lt;Hta_29,$G13&gt;=Hba_29,Input!AF$49&lt;&gt;""),Input!$B$49&amp;";",""),IF(AND($G13&lt;Hta_30,$G13&gt;=Hba_30,Input!AF$50&lt;&gt;""),Input!$B$50&amp;";","")),"")</f>
        <v/>
      </c>
      <c r="CH13" s="25" t="str">
        <f>IFERROR(CONCATENATE(IF(AND($G13&lt;Hta_1,$G13&gt;=Hba_1,Input!AG$21&lt;&gt;""),Input!$B$21&amp;";",""),IF(AND($G13&lt;Hta_2,$G13&gt;=Hba_2,Input!AG$22&lt;&gt;""),Input!$B$22&amp;";",""),IF(AND($G13&lt;Hta_3,$G13&gt;=Hba_3,Input!AG$23&lt;&gt;""),Input!$B$23&amp;";",""),IF(AND($G13&lt;Hta_4,$G13&gt;=Hba_4,Input!AG$24&lt;&gt;""),Input!$B$24&amp;";",""),IF(AND($G13&lt;Hta_5,$G13&gt;=Hba_5,Input!AG$25&lt;&gt;""),Input!$B$25&amp;";",""),IF(AND($G13&lt;Hta_6,$G13&gt;=Hba_6,Input!AG$26&lt;&gt;""),Input!$B$26&amp;";",""),IF(AND($G13&lt;Hta_7,$G13&gt;=Hba_7,Input!AG$27&lt;&gt;""),Input!$B$27&amp;";",""),IF(AND($G13&lt;Hta_8,$G13&gt;=Hba_8,Input!AG$28&lt;&gt;""),Input!$B$28&amp;";",""),IF(AND($G13&lt;Hta_9,$G13&gt;=Hba_9,Input!AG$29&lt;&gt;""),Input!$B$29&amp;";",""),IF(AND($G13&lt;Hta_10,$G13&gt;=Hba_10,Input!AG$30&lt;&gt;""),Input!$B$30&amp;";",""),IF(AND($G13&lt;Hta_11,$G13&gt;=Hba_11,Input!AG$31&lt;&gt;""),Input!$B$31&amp;";",""),IF(AND($G13&lt;Hta_12,$G13&gt;=Hba_12,Input!AG$32&lt;&gt;""),Input!$B$32&amp;";",""),IF(AND($G13&lt;Hta_13,$G13&gt;=Hba_13,Input!AG$33&lt;&gt;""),Input!$B$33&amp;";",""),IF(AND($G13&lt;Hta_14,$G13&gt;=Hba_14,Input!AG$34&lt;&gt;""),Input!$B$34&amp;";",""),IF(AND($G13&lt;Hta_15,$G13&gt;=Hba_15,Input!AG$35&lt;&gt;""),Input!$B$35&amp;";",""),IF(AND($G13&lt;Hta_16,$G13&gt;=Hba_16,Input!AG$36&lt;&gt;""),Input!$B$36&amp;";",""),IF(AND($G13&lt;Hta_17,$G13&gt;=Hba_17,Input!AG$37&lt;&gt;""),Input!$B$37&amp;";",""),IF(AND($G13&lt;Hta_18,$G13&gt;=Hba_18,Input!AG$38&lt;&gt;""),Input!$B$38&amp;";",""),IF(AND($G13&lt;Hta_19,$G13&gt;=Hba_19,Input!AG$39&lt;&gt;""),Input!$B$39&amp;";",""),IF(AND($G13&lt;Hta_20,$G13&gt;=Hba_20,Input!AG$40&lt;&gt;""),Input!$B$40&amp;";",""),IF(AND($G13&lt;Hta_21,$G13&gt;=Hba_21,Input!AG$41&lt;&gt;""),Input!$B$41&amp;";",""),IF(AND($G13&lt;Hta_22,$G13&gt;=Hba_22,Input!AG$42&lt;&gt;""),Input!$B$42&amp;";",""),IF(AND($G13&lt;Hta_23,$G13&gt;=Hba_23,Input!AG$43&lt;&gt;""),Input!$B$43&amp;";",""),IF(AND($G13&lt;Hta_24,$G13&gt;=Hba_24,Input!AG$44&lt;&gt;""),Input!$B$44&amp;";",""),IF(AND($G13&lt;Hta_25,$G13&gt;=Hba_25,Input!AG$45&lt;&gt;""),Input!$B$45&amp;";",""),IF(AND($G13&lt;Hta_26,$G13&gt;=Hba_26,Input!AG$46&lt;&gt;""),Input!$B$46&amp;";",""),IF(AND($G13&lt;Hta_27,$G13&gt;=Hba_27,Input!AG$47&lt;&gt;""),Input!$B$47&amp;";",""),IF(AND($G13&lt;Hta_28,$G13&gt;=Hba_28,Input!AG$48&lt;&gt;""),Input!$B$48&amp;";",""),IF(AND($G13&lt;Hta_29,$G13&gt;=Hba_29,Input!AG$49&lt;&gt;""),Input!$B$49&amp;";",""),IF(AND($G13&lt;Hta_30,$G13&gt;=Hba_30,Input!AG$50&lt;&gt;""),Input!$B$50&amp;";","")),"")</f>
        <v/>
      </c>
      <c r="CI13" s="25" t="str">
        <f>IFERROR(CONCATENATE(IF(AND($G13&lt;Hta_1,$G13&gt;=Hba_1,Input!AH$21&lt;&gt;""),Input!$B$21&amp;";",""),IF(AND($G13&lt;Hta_2,$G13&gt;=Hba_2,Input!AH$22&lt;&gt;""),Input!$B$22&amp;";",""),IF(AND($G13&lt;Hta_3,$G13&gt;=Hba_3,Input!AH$23&lt;&gt;""),Input!$B$23&amp;";",""),IF(AND($G13&lt;Hta_4,$G13&gt;=Hba_4,Input!AH$24&lt;&gt;""),Input!$B$24&amp;";",""),IF(AND($G13&lt;Hta_5,$G13&gt;=Hba_5,Input!AH$25&lt;&gt;""),Input!$B$25&amp;";",""),IF(AND($G13&lt;Hta_6,$G13&gt;=Hba_6,Input!AH$26&lt;&gt;""),Input!$B$26&amp;";",""),IF(AND($G13&lt;Hta_7,$G13&gt;=Hba_7,Input!AH$27&lt;&gt;""),Input!$B$27&amp;";",""),IF(AND($G13&lt;Hta_8,$G13&gt;=Hba_8,Input!AH$28&lt;&gt;""),Input!$B$28&amp;";",""),IF(AND($G13&lt;Hta_9,$G13&gt;=Hba_9,Input!AH$29&lt;&gt;""),Input!$B$29&amp;";",""),IF(AND($G13&lt;Hta_10,$G13&gt;=Hba_10,Input!AH$30&lt;&gt;""),Input!$B$30&amp;";",""),IF(AND($G13&lt;Hta_11,$G13&gt;=Hba_11,Input!AH$31&lt;&gt;""),Input!$B$31&amp;";",""),IF(AND($G13&lt;Hta_12,$G13&gt;=Hba_12,Input!AH$32&lt;&gt;""),Input!$B$32&amp;";",""),IF(AND($G13&lt;Hta_13,$G13&gt;=Hba_13,Input!AH$33&lt;&gt;""),Input!$B$33&amp;";",""),IF(AND($G13&lt;Hta_14,$G13&gt;=Hba_14,Input!AH$34&lt;&gt;""),Input!$B$34&amp;";",""),IF(AND($G13&lt;Hta_15,$G13&gt;=Hba_15,Input!AH$35&lt;&gt;""),Input!$B$35&amp;";",""),IF(AND($G13&lt;Hta_16,$G13&gt;=Hba_16,Input!AH$36&lt;&gt;""),Input!$B$36&amp;";",""),IF(AND($G13&lt;Hta_17,$G13&gt;=Hba_17,Input!AH$37&lt;&gt;""),Input!$B$37&amp;";",""),IF(AND($G13&lt;Hta_18,$G13&gt;=Hba_18,Input!AH$38&lt;&gt;""),Input!$B$38&amp;";",""),IF(AND($G13&lt;Hta_19,$G13&gt;=Hba_19,Input!AH$39&lt;&gt;""),Input!$B$39&amp;";",""),IF(AND($G13&lt;Hta_20,$G13&gt;=Hba_20,Input!AH$40&lt;&gt;""),Input!$B$40&amp;";",""),IF(AND($G13&lt;Hta_21,$G13&gt;=Hba_21,Input!AH$41&lt;&gt;""),Input!$B$41&amp;";",""),IF(AND($G13&lt;Hta_22,$G13&gt;=Hba_22,Input!AH$42&lt;&gt;""),Input!$B$42&amp;";",""),IF(AND($G13&lt;Hta_23,$G13&gt;=Hba_23,Input!AH$43&lt;&gt;""),Input!$B$43&amp;";",""),IF(AND($G13&lt;Hta_24,$G13&gt;=Hba_24,Input!AH$44&lt;&gt;""),Input!$B$44&amp;";",""),IF(AND($G13&lt;Hta_25,$G13&gt;=Hba_25,Input!AH$45&lt;&gt;""),Input!$B$45&amp;";",""),IF(AND($G13&lt;Hta_26,$G13&gt;=Hba_26,Input!AH$46&lt;&gt;""),Input!$B$46&amp;";",""),IF(AND($G13&lt;Hta_27,$G13&gt;=Hba_27,Input!AH$47&lt;&gt;""),Input!$B$47&amp;";",""),IF(AND($G13&lt;Hta_28,$G13&gt;=Hba_28,Input!AH$48&lt;&gt;""),Input!$B$48&amp;";",""),IF(AND($G13&lt;Hta_29,$G13&gt;=Hba_29,Input!AH$49&lt;&gt;""),Input!$B$49&amp;";",""),IF(AND($G13&lt;Hta_30,$G13&gt;=Hba_30,Input!AH$50&lt;&gt;""),Input!$B$50&amp;";","")),"")</f>
        <v/>
      </c>
      <c r="CJ13" s="25" t="str">
        <f>IFERROR(CONCATENATE(IF(AND($G13&lt;Hta_1,$G13&gt;=Hba_1,Input!AI$21&lt;&gt;""),Input!$B$21&amp;";",""),IF(AND($G13&lt;Hta_2,$G13&gt;=Hba_2,Input!AI$22&lt;&gt;""),Input!$B$22&amp;";",""),IF(AND($G13&lt;Hta_3,$G13&gt;=Hba_3,Input!AI$23&lt;&gt;""),Input!$B$23&amp;";",""),IF(AND($G13&lt;Hta_4,$G13&gt;=Hba_4,Input!AI$24&lt;&gt;""),Input!$B$24&amp;";",""),IF(AND($G13&lt;Hta_5,$G13&gt;=Hba_5,Input!AI$25&lt;&gt;""),Input!$B$25&amp;";",""),IF(AND($G13&lt;Hta_6,$G13&gt;=Hba_6,Input!AI$26&lt;&gt;""),Input!$B$26&amp;";",""),IF(AND($G13&lt;Hta_7,$G13&gt;=Hba_7,Input!AI$27&lt;&gt;""),Input!$B$27&amp;";",""),IF(AND($G13&lt;Hta_8,$G13&gt;=Hba_8,Input!AI$28&lt;&gt;""),Input!$B$28&amp;";",""),IF(AND($G13&lt;Hta_9,$G13&gt;=Hba_9,Input!AI$29&lt;&gt;""),Input!$B$29&amp;";",""),IF(AND($G13&lt;Hta_10,$G13&gt;=Hba_10,Input!AI$30&lt;&gt;""),Input!$B$30&amp;";",""),IF(AND($G13&lt;Hta_11,$G13&gt;=Hba_11,Input!AI$31&lt;&gt;""),Input!$B$31&amp;";",""),IF(AND($G13&lt;Hta_12,$G13&gt;=Hba_12,Input!AI$32&lt;&gt;""),Input!$B$32&amp;";",""),IF(AND($G13&lt;Hta_13,$G13&gt;=Hba_13,Input!AI$33&lt;&gt;""),Input!$B$33&amp;";",""),IF(AND($G13&lt;Hta_14,$G13&gt;=Hba_14,Input!AI$34&lt;&gt;""),Input!$B$34&amp;";",""),IF(AND($G13&lt;Hta_15,$G13&gt;=Hba_15,Input!AI$35&lt;&gt;""),Input!$B$35&amp;";",""),IF(AND($G13&lt;Hta_16,$G13&gt;=Hba_16,Input!AI$36&lt;&gt;""),Input!$B$36&amp;";",""),IF(AND($G13&lt;Hta_17,$G13&gt;=Hba_17,Input!AI$37&lt;&gt;""),Input!$B$37&amp;";",""),IF(AND($G13&lt;Hta_18,$G13&gt;=Hba_18,Input!AI$38&lt;&gt;""),Input!$B$38&amp;";",""),IF(AND($G13&lt;Hta_19,$G13&gt;=Hba_19,Input!AI$39&lt;&gt;""),Input!$B$39&amp;";",""),IF(AND($G13&lt;Hta_20,$G13&gt;=Hba_20,Input!AI$40&lt;&gt;""),Input!$B$40&amp;";",""),IF(AND($G13&lt;Hta_21,$G13&gt;=Hba_21,Input!AI$41&lt;&gt;""),Input!$B$41&amp;";",""),IF(AND($G13&lt;Hta_22,$G13&gt;=Hba_22,Input!AI$42&lt;&gt;""),Input!$B$42&amp;";",""),IF(AND($G13&lt;Hta_23,$G13&gt;=Hba_23,Input!AI$43&lt;&gt;""),Input!$B$43&amp;";",""),IF(AND($G13&lt;Hta_24,$G13&gt;=Hba_24,Input!AI$44&lt;&gt;""),Input!$B$44&amp;";",""),IF(AND($G13&lt;Hta_25,$G13&gt;=Hba_25,Input!AI$45&lt;&gt;""),Input!$B$45&amp;";",""),IF(AND($G13&lt;Hta_26,$G13&gt;=Hba_26,Input!AI$46&lt;&gt;""),Input!$B$46&amp;";",""),IF(AND($G13&lt;Hta_27,$G13&gt;=Hba_27,Input!AI$47&lt;&gt;""),Input!$B$47&amp;";",""),IF(AND($G13&lt;Hta_28,$G13&gt;=Hba_28,Input!AI$48&lt;&gt;""),Input!$B$48&amp;";",""),IF(AND($G13&lt;Hta_29,$G13&gt;=Hba_29,Input!AI$49&lt;&gt;""),Input!$B$49&amp;";",""),IF(AND($G13&lt;Hta_30,$G13&gt;=Hba_30,Input!AI$50&lt;&gt;""),Input!$B$50&amp;";","")),"")</f>
        <v/>
      </c>
      <c r="CK13" s="25" t="str">
        <f>IFERROR(CONCATENATE(IF(AND($G13&lt;Hta_1,$G13&gt;=Hba_1,Input!AJ$21&lt;&gt;""),Input!$B$21&amp;";",""),IF(AND($G13&lt;Hta_2,$G13&gt;=Hba_2,Input!AJ$22&lt;&gt;""),Input!$B$22&amp;";",""),IF(AND($G13&lt;Hta_3,$G13&gt;=Hba_3,Input!AJ$23&lt;&gt;""),Input!$B$23&amp;";",""),IF(AND($G13&lt;Hta_4,$G13&gt;=Hba_4,Input!AJ$24&lt;&gt;""),Input!$B$24&amp;";",""),IF(AND($G13&lt;Hta_5,$G13&gt;=Hba_5,Input!AJ$25&lt;&gt;""),Input!$B$25&amp;";",""),IF(AND($G13&lt;Hta_6,$G13&gt;=Hba_6,Input!AJ$26&lt;&gt;""),Input!$B$26&amp;";",""),IF(AND($G13&lt;Hta_7,$G13&gt;=Hba_7,Input!AJ$27&lt;&gt;""),Input!$B$27&amp;";",""),IF(AND($G13&lt;Hta_8,$G13&gt;=Hba_8,Input!AJ$28&lt;&gt;""),Input!$B$28&amp;";",""),IF(AND($G13&lt;Hta_9,$G13&gt;=Hba_9,Input!AJ$29&lt;&gt;""),Input!$B$29&amp;";",""),IF(AND($G13&lt;Hta_10,$G13&gt;=Hba_10,Input!AJ$30&lt;&gt;""),Input!$B$30&amp;";",""),IF(AND($G13&lt;Hta_11,$G13&gt;=Hba_11,Input!AJ$31&lt;&gt;""),Input!$B$31&amp;";",""),IF(AND($G13&lt;Hta_12,$G13&gt;=Hba_12,Input!AJ$32&lt;&gt;""),Input!$B$32&amp;";",""),IF(AND($G13&lt;Hta_13,$G13&gt;=Hba_13,Input!AJ$33&lt;&gt;""),Input!$B$33&amp;";",""),IF(AND($G13&lt;Hta_14,$G13&gt;=Hba_14,Input!AJ$34&lt;&gt;""),Input!$B$34&amp;";",""),IF(AND($G13&lt;Hta_15,$G13&gt;=Hba_15,Input!AJ$35&lt;&gt;""),Input!$B$35&amp;";",""),IF(AND($G13&lt;Hta_16,$G13&gt;=Hba_16,Input!AJ$36&lt;&gt;""),Input!$B$36&amp;";",""),IF(AND($G13&lt;Hta_17,$G13&gt;=Hba_17,Input!AJ$37&lt;&gt;""),Input!$B$37&amp;";",""),IF(AND($G13&lt;Hta_18,$G13&gt;=Hba_18,Input!AJ$38&lt;&gt;""),Input!$B$38&amp;";",""),IF(AND($G13&lt;Hta_19,$G13&gt;=Hba_19,Input!AJ$39&lt;&gt;""),Input!$B$39&amp;";",""),IF(AND($G13&lt;Hta_20,$G13&gt;=Hba_20,Input!AJ$40&lt;&gt;""),Input!$B$40&amp;";",""),IF(AND($G13&lt;Hta_21,$G13&gt;=Hba_21,Input!AJ$41&lt;&gt;""),Input!$B$41&amp;";",""),IF(AND($G13&lt;Hta_22,$G13&gt;=Hba_22,Input!AJ$42&lt;&gt;""),Input!$B$42&amp;";",""),IF(AND($G13&lt;Hta_23,$G13&gt;=Hba_23,Input!AJ$43&lt;&gt;""),Input!$B$43&amp;";",""),IF(AND($G13&lt;Hta_24,$G13&gt;=Hba_24,Input!AJ$44&lt;&gt;""),Input!$B$44&amp;";",""),IF(AND($G13&lt;Hta_25,$G13&gt;=Hba_25,Input!AJ$45&lt;&gt;""),Input!$B$45&amp;";",""),IF(AND($G13&lt;Hta_26,$G13&gt;=Hba_26,Input!AJ$46&lt;&gt;""),Input!$B$46&amp;";",""),IF(AND($G13&lt;Hta_27,$G13&gt;=Hba_27,Input!AJ$47&lt;&gt;""),Input!$B$47&amp;";",""),IF(AND($G13&lt;Hta_28,$G13&gt;=Hba_28,Input!AJ$48&lt;&gt;""),Input!$B$48&amp;";",""),IF(AND($G13&lt;Hta_29,$G13&gt;=Hba_29,Input!AJ$49&lt;&gt;""),Input!$B$49&amp;";",""),IF(AND($G13&lt;Hta_30,$G13&gt;=Hba_30,Input!AJ$50&lt;&gt;""),Input!$B$50&amp;";","")),"")</f>
        <v/>
      </c>
      <c r="CL13" s="25" t="str">
        <f>IFERROR(CONCATENATE(IF(AND($G13&lt;Hta_1,$G13&gt;=Hba_1,Input!AK$21&lt;&gt;""),Input!$B$21&amp;";",""),IF(AND($G13&lt;Hta_2,$G13&gt;=Hba_2,Input!AK$22&lt;&gt;""),Input!$B$22&amp;";",""),IF(AND($G13&lt;Hta_3,$G13&gt;=Hba_3,Input!AK$23&lt;&gt;""),Input!$B$23&amp;";",""),IF(AND($G13&lt;Hta_4,$G13&gt;=Hba_4,Input!AK$24&lt;&gt;""),Input!$B$24&amp;";",""),IF(AND($G13&lt;Hta_5,$G13&gt;=Hba_5,Input!AK$25&lt;&gt;""),Input!$B$25&amp;";",""),IF(AND($G13&lt;Hta_6,$G13&gt;=Hba_6,Input!AK$26&lt;&gt;""),Input!$B$26&amp;";",""),IF(AND($G13&lt;Hta_7,$G13&gt;=Hba_7,Input!AK$27&lt;&gt;""),Input!$B$27&amp;";",""),IF(AND($G13&lt;Hta_8,$G13&gt;=Hba_8,Input!AK$28&lt;&gt;""),Input!$B$28&amp;";",""),IF(AND($G13&lt;Hta_9,$G13&gt;=Hba_9,Input!AK$29&lt;&gt;""),Input!$B$29&amp;";",""),IF(AND($G13&lt;Hta_10,$G13&gt;=Hba_10,Input!AK$30&lt;&gt;""),Input!$B$30&amp;";",""),IF(AND($G13&lt;Hta_11,$G13&gt;=Hba_11,Input!AK$31&lt;&gt;""),Input!$B$31&amp;";",""),IF(AND($G13&lt;Hta_12,$G13&gt;=Hba_12,Input!AK$32&lt;&gt;""),Input!$B$32&amp;";",""),IF(AND($G13&lt;Hta_13,$G13&gt;=Hba_13,Input!AK$33&lt;&gt;""),Input!$B$33&amp;";",""),IF(AND($G13&lt;Hta_14,$G13&gt;=Hba_14,Input!AK$34&lt;&gt;""),Input!$B$34&amp;";",""),IF(AND($G13&lt;Hta_15,$G13&gt;=Hba_15,Input!AK$35&lt;&gt;""),Input!$B$35&amp;";",""),IF(AND($G13&lt;Hta_16,$G13&gt;=Hba_16,Input!AK$36&lt;&gt;""),Input!$B$36&amp;";",""),IF(AND($G13&lt;Hta_17,$G13&gt;=Hba_17,Input!AK$37&lt;&gt;""),Input!$B$37&amp;";",""),IF(AND($G13&lt;Hta_18,$G13&gt;=Hba_18,Input!AK$38&lt;&gt;""),Input!$B$38&amp;";",""),IF(AND($G13&lt;Hta_19,$G13&gt;=Hba_19,Input!AK$39&lt;&gt;""),Input!$B$39&amp;";",""),IF(AND($G13&lt;Hta_20,$G13&gt;=Hba_20,Input!AK$40&lt;&gt;""),Input!$B$40&amp;";",""),IF(AND($G13&lt;Hta_21,$G13&gt;=Hba_21,Input!AK$41&lt;&gt;""),Input!$B$41&amp;";",""),IF(AND($G13&lt;Hta_22,$G13&gt;=Hba_22,Input!AK$42&lt;&gt;""),Input!$B$42&amp;";",""),IF(AND($G13&lt;Hta_23,$G13&gt;=Hba_23,Input!AK$43&lt;&gt;""),Input!$B$43&amp;";",""),IF(AND($G13&lt;Hta_24,$G13&gt;=Hba_24,Input!AK$44&lt;&gt;""),Input!$B$44&amp;";",""),IF(AND($G13&lt;Hta_25,$G13&gt;=Hba_25,Input!AK$45&lt;&gt;""),Input!$B$45&amp;";",""),IF(AND($G13&lt;Hta_26,$G13&gt;=Hba_26,Input!AK$46&lt;&gt;""),Input!$B$46&amp;";",""),IF(AND($G13&lt;Hta_27,$G13&gt;=Hba_27,Input!AK$47&lt;&gt;""),Input!$B$47&amp;";",""),IF(AND($G13&lt;Hta_28,$G13&gt;=Hba_28,Input!AK$48&lt;&gt;""),Input!$B$48&amp;";",""),IF(AND($G13&lt;Hta_29,$G13&gt;=Hba_29,Input!AK$49&lt;&gt;""),Input!$B$49&amp;";",""),IF(AND($G13&lt;Hta_30,$G13&gt;=Hba_30,Input!AK$50&lt;&gt;""),Input!$B$50&amp;";","")),"")</f>
        <v/>
      </c>
      <c r="CM13" s="25" t="str">
        <f>IFERROR(CONCATENATE(IF(AND($G13&lt;Hta_1,$G13&gt;=Hba_1,Input!AL$21&lt;&gt;""),Input!$B$21&amp;";",""),IF(AND($G13&lt;Hta_2,$G13&gt;=Hba_2,Input!AL$22&lt;&gt;""),Input!$B$22&amp;";",""),IF(AND($G13&lt;Hta_3,$G13&gt;=Hba_3,Input!AL$23&lt;&gt;""),Input!$B$23&amp;";",""),IF(AND($G13&lt;Hta_4,$G13&gt;=Hba_4,Input!AL$24&lt;&gt;""),Input!$B$24&amp;";",""),IF(AND($G13&lt;Hta_5,$G13&gt;=Hba_5,Input!AL$25&lt;&gt;""),Input!$B$25&amp;";",""),IF(AND($G13&lt;Hta_6,$G13&gt;=Hba_6,Input!AL$26&lt;&gt;""),Input!$B$26&amp;";",""),IF(AND($G13&lt;Hta_7,$G13&gt;=Hba_7,Input!AL$27&lt;&gt;""),Input!$B$27&amp;";",""),IF(AND($G13&lt;Hta_8,$G13&gt;=Hba_8,Input!AL$28&lt;&gt;""),Input!$B$28&amp;";",""),IF(AND($G13&lt;Hta_9,$G13&gt;=Hba_9,Input!AL$29&lt;&gt;""),Input!$B$29&amp;";",""),IF(AND($G13&lt;Hta_10,$G13&gt;=Hba_10,Input!AL$30&lt;&gt;""),Input!$B$30&amp;";",""),IF(AND($G13&lt;Hta_11,$G13&gt;=Hba_11,Input!AL$31&lt;&gt;""),Input!$B$31&amp;";",""),IF(AND($G13&lt;Hta_12,$G13&gt;=Hba_12,Input!AL$32&lt;&gt;""),Input!$B$32&amp;";",""),IF(AND($G13&lt;Hta_13,$G13&gt;=Hba_13,Input!AL$33&lt;&gt;""),Input!$B$33&amp;";",""),IF(AND($G13&lt;Hta_14,$G13&gt;=Hba_14,Input!AL$34&lt;&gt;""),Input!$B$34&amp;";",""),IF(AND($G13&lt;Hta_15,$G13&gt;=Hba_15,Input!AL$35&lt;&gt;""),Input!$B$35&amp;";",""),IF(AND($G13&lt;Hta_16,$G13&gt;=Hba_16,Input!AL$36&lt;&gt;""),Input!$B$36&amp;";",""),IF(AND($G13&lt;Hta_17,$G13&gt;=Hba_17,Input!AL$37&lt;&gt;""),Input!$B$37&amp;";",""),IF(AND($G13&lt;Hta_18,$G13&gt;=Hba_18,Input!AL$38&lt;&gt;""),Input!$B$38&amp;";",""),IF(AND($G13&lt;Hta_19,$G13&gt;=Hba_19,Input!AL$39&lt;&gt;""),Input!$B$39&amp;";",""),IF(AND($G13&lt;Hta_20,$G13&gt;=Hba_20,Input!AL$40&lt;&gt;""),Input!$B$40&amp;";",""),IF(AND($G13&lt;Hta_21,$G13&gt;=Hba_21,Input!AL$41&lt;&gt;""),Input!$B$41&amp;";",""),IF(AND($G13&lt;Hta_22,$G13&gt;=Hba_22,Input!AL$42&lt;&gt;""),Input!$B$42&amp;";",""),IF(AND($G13&lt;Hta_23,$G13&gt;=Hba_23,Input!AL$43&lt;&gt;""),Input!$B$43&amp;";",""),IF(AND($G13&lt;Hta_24,$G13&gt;=Hba_24,Input!AL$44&lt;&gt;""),Input!$B$44&amp;";",""),IF(AND($G13&lt;Hta_25,$G13&gt;=Hba_25,Input!AL$45&lt;&gt;""),Input!$B$45&amp;";",""),IF(AND($G13&lt;Hta_26,$G13&gt;=Hba_26,Input!AL$46&lt;&gt;""),Input!$B$46&amp;";",""),IF(AND($G13&lt;Hta_27,$G13&gt;=Hba_27,Input!AL$47&lt;&gt;""),Input!$B$47&amp;";",""),IF(AND($G13&lt;Hta_28,$G13&gt;=Hba_28,Input!AL$48&lt;&gt;""),Input!$B$48&amp;";",""),IF(AND($G13&lt;Hta_29,$G13&gt;=Hba_29,Input!AL$49&lt;&gt;""),Input!$B$49&amp;";",""),IF(AND($G13&lt;Hta_30,$G13&gt;=Hba_30,Input!AL$50&lt;&gt;""),Input!$B$50&amp;";","")),"")</f>
        <v/>
      </c>
      <c r="CN13" s="60" t="str">
        <f t="shared" si="6"/>
        <v/>
      </c>
      <c r="CO13" s="798"/>
      <c r="CP13" s="799"/>
      <c r="CQ13" s="800"/>
      <c r="CR13" s="798"/>
      <c r="CS13" s="799"/>
      <c r="CT13" s="800"/>
      <c r="CU13" s="801" t="str">
        <f t="shared" si="7"/>
        <v/>
      </c>
      <c r="CV13" s="802"/>
      <c r="CW13" s="802"/>
      <c r="CX13" s="803"/>
      <c r="CY13" s="803"/>
      <c r="CZ13" s="804"/>
      <c r="DA13" s="726"/>
      <c r="DB13" s="727"/>
      <c r="DC13" s="732"/>
      <c r="DD13" s="726" t="str">
        <f t="shared" si="8"/>
        <v/>
      </c>
      <c r="DE13" s="727"/>
      <c r="DF13" s="728"/>
      <c r="DG13" s="53"/>
      <c r="DH13" s="54"/>
      <c r="DI13" s="54"/>
      <c r="DJ13" s="54"/>
      <c r="DK13" s="54"/>
      <c r="DL13" s="54"/>
      <c r="DM13" s="54"/>
      <c r="DN13" s="54"/>
      <c r="DO13" s="54"/>
      <c r="DP13" s="54"/>
      <c r="DQ13" s="57"/>
      <c r="DR13" s="57"/>
      <c r="DS13" s="57"/>
      <c r="DT13" s="57"/>
      <c r="DU13" s="57"/>
      <c r="DV13" s="57"/>
      <c r="DW13" s="57"/>
      <c r="DX13" s="57"/>
      <c r="DY13" s="57"/>
      <c r="DZ13" s="57"/>
      <c r="EA13" s="57"/>
      <c r="EB13" s="57"/>
      <c r="EC13" s="57"/>
      <c r="ED13" s="57"/>
      <c r="EE13" s="57"/>
      <c r="EF13" s="57"/>
      <c r="EG13" s="57"/>
      <c r="EH13" s="57"/>
      <c r="EI13" s="57"/>
      <c r="EJ13" s="57"/>
      <c r="EK13" s="57"/>
      <c r="EL13" s="133"/>
      <c r="EM13" s="133"/>
      <c r="EN13" s="133"/>
      <c r="EO13" s="133"/>
      <c r="EP13" s="133"/>
      <c r="EQ13" s="133"/>
      <c r="ER13" s="133"/>
      <c r="ES13" s="133"/>
      <c r="ET13" s="133"/>
      <c r="EU13" s="133"/>
      <c r="EV13" s="133"/>
      <c r="EW13" s="133"/>
      <c r="EX13" s="133"/>
      <c r="EY13" s="133"/>
      <c r="EZ13" s="133"/>
      <c r="FA13" s="133"/>
      <c r="FB13" s="133"/>
      <c r="FC13" s="133"/>
      <c r="FD13" s="133"/>
      <c r="FE13" s="133"/>
      <c r="FF13" s="133"/>
      <c r="FG13" s="133"/>
      <c r="FH13" s="133"/>
      <c r="FI13" s="133"/>
      <c r="FJ13" s="133"/>
      <c r="FK13" s="133"/>
      <c r="FL13" s="133"/>
      <c r="FM13" s="133"/>
      <c r="FN13" s="133"/>
      <c r="FO13" s="133"/>
      <c r="FP13" s="65"/>
      <c r="FQ13" s="125"/>
      <c r="FR13" s="123"/>
      <c r="FS13" s="121"/>
      <c r="FT13" s="119"/>
    </row>
    <row r="14" spans="2:177" ht="15.75" hidden="1" thickBot="1" x14ac:dyDescent="0.3">
      <c r="B14" s="62" t="b">
        <f>IF(OR(AND(G14&gt;='Geometry 2'!$AK$5,G14&lt;'Geometry 2'!$AL$5),AND(G14&gt;='Geometry 2'!$AK$6,G14&lt;'Geometry 2'!$AL$6),AND(G14&gt;='Geometry 2'!$AK$7,G14&lt;'Geometry 2'!$AL$7),AND(G14&gt;='Geometry 2'!$AK$8,G14&lt;'Geometry 2'!$AL$8),AND(G14&gt;='Geometry 2'!$AK$9,G14&lt;'Geometry 2'!$AL$9),AND(G14&gt;='Geometry 2'!$AK$10,G14&lt;'Geometry 2'!$AL$10),AND(G14&gt;='Geometry 2'!$AK$11,G14&lt;'Geometry 2'!$AL$11),AND(G14&gt;='Geometry 2'!$AK$12,G14&lt;'Geometry 2'!$AL$12),AND(G14&gt;='Geometry 2'!$AK$13,G14&lt;'Geometry 2'!$AL$13),AND(G14&gt;='Geometry 2'!$AK$14,G14&lt;'Geometry 2'!$AL$14)),TRUE,FALSE)</f>
        <v>0</v>
      </c>
      <c r="C14" s="4" t="str">
        <f t="shared" si="3"/>
        <v/>
      </c>
      <c r="D14" s="766" t="str">
        <f>IF(OR(G13=0,G13=""),"",G13)</f>
        <v/>
      </c>
      <c r="E14" s="767"/>
      <c r="F14" s="17" t="str">
        <f t="shared" si="2"/>
        <v/>
      </c>
      <c r="G14" s="768" t="str">
        <f>IF(D14="","",MAX(0,G13-IF(inc="n/a",999,inc),MAX(IF(G13&lt;=Hta_1,0,Hta_1),IF(G13&lt;=Hta_2,0,Hta_2),IF(G13&lt;=Hta_3,0,Hta_3),IF(G13&lt;=Hta_4,0,Hta_4),IF(G13&lt;=Hta_5,0,Hta_5),IF(G13&lt;=Hta_6,0,Hta_6),IF(G13&lt;=Hta_7,0,Hta_7),IF(G13&lt;=Hta_8,0,Hta_8),IF(G13&lt;=Hta_9,0,Hta_9),IF(G13&lt;=Hta_10,0,Hta_10),IF(G13&lt;=Hta_11,0,Hta_11),IF(G13&lt;=Hta_12,0,Hta_12),IF(G13&lt;=Hta_13,0,Hta_13),IF(G13&lt;=Hta_14,0,Hta_14),IF(G13&lt;=Hta_15,0,Hta_15),IF(G13&lt;=Hta_16,0,Hta_16),IF(G13&lt;=Hta_17,0,Hta_17),IF(G13&lt;=Hta_18,0,Hta_18),IF(G13&lt;=Hta_19,0,Hta_19),IF(G13&lt;=Hta_20,0,Hta_20),IF(G13&lt;=Hta_21,0,Hta_21),IF(G13&lt;=Hta_22,0,Hta_22),IF(G13&lt;=Hta_23,0,Hta_23),IF(G13&lt;=Hta_24,0,Hta_24),IF(G13&lt;=Hta_25,0,Hta_25),IF(G13&lt;=Hta_26,0,Hta_26),IF(G13&lt;=Hta_27,0,Hta_27),IF(G13&lt;=Hta_28,0,Hta_28),IF(G13&lt;=Hta_29,0,Hta_29),IF(G13&lt;=Hta_30,0,Hta_30)),MAX(IF(G13&lt;=Hta_1-0.25,0,Hta_1-0.25),IF(G13&lt;=Hta_2-0.25,0,Hta_2-0.25),IF(G13&lt;=Hta_3-0.25,0,Hta_3-0.25),IF(G13&lt;=Hta_4-0.25,0,Hta_4-0.25),IF(G13&lt;=Hta_5-0.25,0,Hta_5-0.25),IF(G13&lt;=Hta_6-0.25,0,Hta_6-0.25),IF(G13&lt;=Hta_7-0.25,0,Hta_7-0.25),IF(G13&lt;=Hta_8-0.25,0,Hta_8-0.25),IF(G13&lt;=Hta_9-0.25,0,Hta_9-0.25),IF(G13&lt;=Hta_10-0.25,0,Hta_10-0.25),IF(G13&lt;=Hta_11-0.25,0,Hta_11-0.25),IF(G13&lt;=Hta_12-0.25,0,Hta_12-0.25),IF(G13&lt;=Hta_13-0.25,0,Hta_13-0.25),IF(G13&lt;=Hta_14-0.25,0,Hta_14-0.25),IF(G13&lt;=Hta_15-0.25,0,Hta_15-0.25),IF(G13&lt;=Hta_16-0.25,0,Hta_16-0.25),IF(G13&lt;=Hta_17-0.25,0,Hta_17-0.25),IF(G13&lt;=Hta_18-0.25,0,Hta_18-0.25),IF(G13&lt;=Hta_19-0.25,0,Hta_19-0.25),IF(G13&lt;=Hta_20-0.25,0,Hta_20-0.25),IF(G13&lt;=Hta_21-0.25,0,Hta_21-0.25),IF(G13&lt;=Hta_22-0.25,0,Hta_22-0.25),IF(G13&lt;=Hta_23-0.25,0,Hta_23-0.25),IF(G13&lt;=Hta_24-0.25,0,Hta_24-0.25),IF(G13&lt;=Hta_25-0.25,0,Hta_25-0.25),IF(G13&lt;=Hta_26-0.25,0,Hta_26-0.25),IF(G13&lt;=Hta_27-0.25,0,Hta_27-0.25),IF(G13&lt;=Hta_28-0.25,0,Hta_28-0.25),IF(G13&lt;=Hta_29-0.25,0,Hta_29-0.25),IF(G13&lt;=Hta_30-0.25,0,Hta_30-0.25)),MAX(IF(G13&lt;=Hba_1,0,Hba_1),IF(G13&lt;=Hba_2,0,Hba_2),IF(G13&lt;=Hba_3,0,Hba_3),IF(G13&lt;=Hba_4,0,Hba_4),IF(G13&lt;=Hba_5,0,Hba_5),IF(G13&lt;=Hba_6,0,Hba_6),IF(G13&lt;=Hba_7,0,Hba_7),IF(G13&lt;=Hba_8,0,Hba_8),IF(G13&lt;=Hba_9,0,Hba_9),IF(G13&lt;=Hba_10,0,Hba_10),IF(G13&lt;=Hba_11,0,Hba_11),IF(G13&lt;=Hba_12,0,Hba_12),IF(G13&lt;=Hba_13,0,Hba_13),IF(G13&lt;=Hba_14,0,Hba_14),IF(G13&lt;=Hba_15,0,Hba_15),IF(G13&lt;=Hba_16,0,Hba_16),IF(G13&lt;=Hba_17,0,Hba_17),IF(G13&lt;=Hba_18,0,Hba_18),IF(G13&lt;=Hba_19,0,Hba_19),IF(G13&lt;=Hba_20,0,Hba_20),IF(G13&lt;=Hba_21,0,Hba_21),IF(G13&lt;=Hba_22,0,Hba_22),IF(G13&lt;=Hba_23,0,Hba_23),IF(G13&lt;=Hba_24,0,Hba_24),IF(G13&lt;=Hba_25,0,Hba_25),IF(G13&lt;=Hba_26,0,Hba_26),IF(G13&lt;=Hba_27,0,Hba_27),IF(G13&lt;=Hba_28,0,Hba_28),IF(G13&lt;=Hba_29,0,Hba_29),IF(G13&lt;=Hba_30,0,Hba_30)),MAX(IF(G13&lt;=Input!$C$8,0,Input!$C$8),IF(G13&lt;=Input!$C$9,0,Input!$C$9),IF(G13&lt;=Input!$C$10,0,Input!$C$10),IF(G13&lt;=Input!$C$11,0,Input!$C$11),IF(G13&lt;=Input!$C$12,0,Input!$C$12),IF(G13&lt;=Input!$C$13,0,Input!$C$13),IF(G13&lt;=Input!$C$14,0,Input!$C$14),IF(G13&lt;=Input!$C$15,0,Input!$C$15),IF(G13&lt;=Input!$C$16,0,Input!$C$16)),MAX(IF(G13&lt;=Hba_1-0.25,0,Hba_1-0.25),IF(G13&lt;=Hba_2-0.25,0,Hba_2-0.25),IF(G13&lt;=Hba_3-0.25,0,Hba_3-0.25),IF(G13&lt;=Hba_4-0.25,0,Hba_4-0.25),IF(G13&lt;=Hba_5-0.25,0,Hba_5-0.25),IF(G13&lt;=Hba_6-0.25,0,Hba_6-0.25),IF(G13&lt;=Hba_7-0.25,0,Hba_7-0.25),IF(G13&lt;=Hba_8-0.25,0,Hba_8-0.25),IF(G13&lt;=Hba_9-0.25,0,Hba_9-0.25),IF(G13&lt;=Hba_10-0.25,0,Hba_10-0.25),IF(G13&lt;=Hba_11-0.25,0,Hba_11-0.25),IF(G13&lt;=Hba_12-0.25,0,Hba_12-0.25),IF(G13&lt;=Hba_13-0.25,0,Hba_13-0.25),IF(G13&lt;=Hba_14-0.25,0,Hba_14-0.25),IF(G13&lt;=Hba_15-0.25,0,Hba_15-0.25),IF(G13&lt;=Hba_16-0.25,0,Hba_16-0.25),IF(G13&lt;=Hba_17-0.25,0,Hba_17-0.25),IF(G13&lt;=Hba_18-0.25,0,Hba_18-0.25),IF(G13&lt;=Hba_19-0.25,0,Hba_19-0.25),IF(G13&lt;=Hba_20-0.25,0,Hba_20-0.25),IF(G13&lt;=Hba_21-0.25,0,Hba_21-0.25),IF(G13&lt;=Hba_22-0.25,0,Hba_22-0.25),IF(G13&lt;=Hba_23-0.25,0,Hba_23-0.25),IF(G13&lt;=Hba_24-0.25,0,Hba_24-0.25),IF(G13&lt;=Hba_25-0.25,0,Hba_25-0.25),IF(G13&lt;=Hba_26-0.25,0,Hba_26-0.25),IF(G13&lt;=Hba_27-0.25,0,Hba_27-0.25),IF(G13&lt;=Hba_28-0.25,0,Hba_28-0.25),IF(G13&lt;=Hba_29-0.25,0,Hba_29-0.25),IF(G13&lt;=Hba_30-0.25,0,Hba_30-0.25)),IF(G13&lt;='Macro References'!$A$38,0,'Macro References'!$A$38)))</f>
        <v/>
      </c>
      <c r="H14" s="769"/>
      <c r="I14" s="228"/>
      <c r="J14" s="228"/>
      <c r="K14" s="228"/>
      <c r="L14" s="717" t="str">
        <f t="shared" si="0"/>
        <v/>
      </c>
      <c r="M14" s="717"/>
      <c r="N14" s="717"/>
      <c r="O14" s="717"/>
      <c r="P14" s="717" t="str">
        <f>IF(OR(G14=0,G14=""),"",IF(VLOOKUP(G14,'Geometry 2'!$C$4:$AI$14,1,TRUE)=VLOOKUP(G15,'Geometry 2'!$C$4:$AI$14,1,TRUE),"",IF(VLOOKUP(G14,'Geometry 2'!$C$4:$AI$14,33,TRUE)&lt;&gt;"n/a",MIN(G14,VLOOKUP(G14,'Geometry 2'!$C$4:$AI$14,1,TRUE))-VLOOKUP(G14,'Geometry 2'!$C$4:$AI$14,33,TRUE),"check")))</f>
        <v/>
      </c>
      <c r="Q14" s="717"/>
      <c r="R14" s="717"/>
      <c r="S14" s="717"/>
      <c r="T14" s="717" t="str">
        <f>IF($G14="","",VLOOKUP($G14,'Geometry 2'!$E$4:$AH$14,11,TRUE))</f>
        <v/>
      </c>
      <c r="U14" s="717"/>
      <c r="V14" s="717"/>
      <c r="W14" s="717"/>
      <c r="X14" s="716" t="str">
        <f>IF($G14="","",VLOOKUP($G14,'Geometry 2'!$E$4:$AJ$14,19,TRUE)-12*VLOOKUP($G14,'Geometry 2'!$E$4:$AJ$14,32,TRUE)*($D14-VLOOKUP($G14,'Geometry 2'!$E$5:$AH$14,1,TRUE)))</f>
        <v/>
      </c>
      <c r="Y14" s="716"/>
      <c r="Z14" s="716"/>
      <c r="AA14" s="716"/>
      <c r="AB14" s="757" t="str">
        <f>IF($G14="","",VLOOKUP($G14,'Geometry 2'!$E$4:$AJ$14,19,TRUE)-12*VLOOKUP($G14,'Geometry 2'!$E$4:$AJ$14,32,TRUE)*($G14-VLOOKUP($G14,'Geometry 2'!$E$5:$AH$14,1,TRUE)))</f>
        <v/>
      </c>
      <c r="AC14" s="758"/>
      <c r="AD14" s="758"/>
      <c r="AE14" s="759"/>
      <c r="AF14" s="716" t="str">
        <f>IF($G14="","",VLOOKUP($G14,'Geometry 2'!$E$4:$AJ$14,19,TRUE)-12*VLOOKUP($G14,'Geometry 2'!$E$4:$AJ$14,32,TRUE)*($G14-IF($P14="",0,$P14)-VLOOKUP($G14,'Geometry 2'!$E$5:$AH$14,1,TRUE)))</f>
        <v/>
      </c>
      <c r="AG14" s="716"/>
      <c r="AH14" s="716"/>
      <c r="AI14" s="716"/>
      <c r="AJ14" s="746" t="str">
        <f>IF($G14="","",VLOOKUP($G14,'Geometry 2'!$E$4:$AH$14,23,TRUE))</f>
        <v/>
      </c>
      <c r="AK14" s="747"/>
      <c r="AL14" s="747"/>
      <c r="AM14" s="748"/>
      <c r="AN14" s="717"/>
      <c r="AO14" s="717"/>
      <c r="AP14" s="717"/>
      <c r="AQ14" s="717"/>
      <c r="AR14" s="717" t="str">
        <f>IF($G14="","",VLOOKUP($G14,'Geometry 2'!$E$4:$AH$14,27,TRUE))</f>
        <v/>
      </c>
      <c r="AS14" s="717"/>
      <c r="AT14" s="717"/>
      <c r="AU14" s="718"/>
      <c r="AV14" s="715"/>
      <c r="AW14" s="716"/>
      <c r="AX14" s="716"/>
      <c r="AZ14" s="722" t="str">
        <f t="shared" si="5"/>
        <v/>
      </c>
      <c r="BA14" s="723"/>
      <c r="BB14" s="723"/>
      <c r="BC14" s="724"/>
      <c r="BD14" s="722"/>
      <c r="BE14" s="723"/>
      <c r="BF14" s="723"/>
      <c r="BG14" s="722" t="str">
        <f t="shared" si="1"/>
        <v/>
      </c>
      <c r="BH14" s="723"/>
      <c r="BI14" s="723"/>
      <c r="BJ14" s="723"/>
      <c r="BK14" s="724"/>
      <c r="BL14" s="722"/>
      <c r="BM14" s="723"/>
      <c r="BN14" s="723"/>
      <c r="BO14" s="723"/>
      <c r="BP14" s="725"/>
      <c r="BQ14" s="725"/>
      <c r="BR14" s="722" t="str">
        <f>IF(BP14="","",IF(OR(AND(Rev="H",Calculations!$F$27=TRUE),AND(Rev&lt;&gt;"H",Calculations!$F$30=TRUE)),IF(BP14&lt;=1,"Pass","Fail"),IF(BP14&lt;=1.05,"Pass","Fail")))</f>
        <v/>
      </c>
      <c r="BS14" s="723"/>
      <c r="BT14" s="724"/>
      <c r="BU14" s="49"/>
      <c r="BV14" s="25" t="str">
        <f>IFERROR(CONCATENATE(IF(AND($G14&lt;Hta_1,$G14&gt;=Hba_1,Input!U$21&lt;&gt;""),Input!$B$21&amp;";",""),IF(AND($G14&lt;Hta_2,$G14&gt;=Hba_2,Input!U$22&lt;&gt;""),Input!$B$22&amp;";",""),IF(AND($G14&lt;Hta_3,$G14&gt;=Hba_3,Input!U$23&lt;&gt;""),Input!$B$23&amp;";",""),IF(AND($G14&lt;Hta_4,$G14&gt;=Hba_4,Input!U$24&lt;&gt;""),Input!$B$24&amp;";",""),IF(AND($G14&lt;Hta_5,$G14&gt;=Hba_5,Input!U$25&lt;&gt;""),Input!$B$25&amp;";",""),IF(AND($G14&lt;Hta_6,$G14&gt;=Hba_6,Input!U$26&lt;&gt;""),Input!$B$26&amp;";",""),IF(AND($G14&lt;Hta_7,$G14&gt;=Hba_7,Input!U$27&lt;&gt;""),Input!$B$27&amp;";",""),IF(AND($G14&lt;Hta_8,$G14&gt;=Hba_8,Input!U$28&lt;&gt;""),Input!$B$28&amp;";",""),IF(AND($G14&lt;Hta_9,$G14&gt;=Hba_9,Input!U$29&lt;&gt;""),Input!$B$29&amp;";",""),IF(AND($G14&lt;Hta_10,$G14&gt;=Hba_10,Input!U$30&lt;&gt;""),Input!$B$30&amp;";",""),IF(AND($G14&lt;Hta_11,$G14&gt;=Hba_11,Input!U$31&lt;&gt;""),Input!$B$31&amp;";",""),IF(AND($G14&lt;Hta_12,$G14&gt;=Hba_12,Input!U$32&lt;&gt;""),Input!$B$32&amp;";",""),IF(AND($G14&lt;Hta_13,$G14&gt;=Hba_13,Input!U$33&lt;&gt;""),Input!$B$33&amp;";",""),IF(AND($G14&lt;Hta_14,$G14&gt;=Hba_14,Input!U$34&lt;&gt;""),Input!$B$34&amp;";",""),IF(AND($G14&lt;Hta_15,$G14&gt;=Hba_15,Input!U$35&lt;&gt;""),Input!$B$35&amp;";",""),IF(AND($G14&lt;Hta_16,$G14&gt;=Hba_16,Input!U$36&lt;&gt;""),Input!$B$36&amp;";",""),IF(AND($G14&lt;Hta_17,$G14&gt;=Hba_17,Input!U$37&lt;&gt;""),Input!$B$37&amp;";",""),IF(AND($G14&lt;Hta_18,$G14&gt;=Hba_18,Input!U$38&lt;&gt;""),Input!$B$38&amp;";",""),IF(AND($G14&lt;Hta_19,$G14&gt;=Hba_19,Input!U$39&lt;&gt;""),Input!$B$39&amp;";",""),IF(AND($G14&lt;Hta_20,$G14&gt;=Hba_20,Input!U$40&lt;&gt;""),Input!$B$40&amp;";",""),IF(AND($G14&lt;Hta_21,$G14&gt;=Hba_21,Input!U$41&lt;&gt;""),Input!$B$41&amp;";",""),IF(AND($G14&lt;Hta_22,$G14&gt;=Hba_22,Input!U$42&lt;&gt;""),Input!$B$42&amp;";",""),IF(AND($G14&lt;Hta_23,$G14&gt;=Hba_23,Input!U$43&lt;&gt;""),Input!$B$43&amp;";",""),IF(AND($G14&lt;Hta_24,$G14&gt;=Hba_24,Input!U$44&lt;&gt;""),Input!$B$44&amp;";",""),IF(AND($G14&lt;Hta_25,$G14&gt;=Hba_25,Input!U$45&lt;&gt;""),Input!$B$45&amp;";",""),IF(AND($G14&lt;Hta_26,$G14&gt;=Hba_26,Input!U$46&lt;&gt;""),Input!$B$46&amp;";",""),IF(AND($G14&lt;Hta_27,$G14&gt;=Hba_27,Input!U$47&lt;&gt;""),Input!$B$47&amp;";",""),IF(AND($G14&lt;Hta_28,$G14&gt;=Hba_28,Input!U$48&lt;&gt;""),Input!$B$48&amp;";",""),IF(AND($G14&lt;Hta_29,$G14&gt;=Hba_29,Input!U$49&lt;&gt;""),Input!$B$49&amp;";",""),IF(AND($G14&lt;Hta_30,$G14&gt;=Hba_30,Input!U$50&lt;&gt;""),Input!$B$50&amp;";","")),"")</f>
        <v/>
      </c>
      <c r="BW14" s="25" t="str">
        <f>IFERROR(CONCATENATE(IF(AND($G14&lt;Hta_1,$G14&gt;=Hba_1,Input!V$21&lt;&gt;""),Input!$B$21&amp;";",""),IF(AND($G14&lt;Hta_2,$G14&gt;=Hba_2,Input!V$22&lt;&gt;""),Input!$B$22&amp;";",""),IF(AND($G14&lt;Hta_3,$G14&gt;=Hba_3,Input!V$23&lt;&gt;""),Input!$B$23&amp;";",""),IF(AND($G14&lt;Hta_4,$G14&gt;=Hba_4,Input!V$24&lt;&gt;""),Input!$B$24&amp;";",""),IF(AND($G14&lt;Hta_5,$G14&gt;=Hba_5,Input!V$25&lt;&gt;""),Input!$B$25&amp;";",""),IF(AND($G14&lt;Hta_6,$G14&gt;=Hba_6,Input!V$26&lt;&gt;""),Input!$B$26&amp;";",""),IF(AND($G14&lt;Hta_7,$G14&gt;=Hba_7,Input!V$27&lt;&gt;""),Input!$B$27&amp;";",""),IF(AND($G14&lt;Hta_8,$G14&gt;=Hba_8,Input!V$28&lt;&gt;""),Input!$B$28&amp;";",""),IF(AND($G14&lt;Hta_9,$G14&gt;=Hba_9,Input!V$29&lt;&gt;""),Input!$B$29&amp;";",""),IF(AND($G14&lt;Hta_10,$G14&gt;=Hba_10,Input!V$30&lt;&gt;""),Input!$B$30&amp;";",""),IF(AND($G14&lt;Hta_11,$G14&gt;=Hba_11,Input!V$31&lt;&gt;""),Input!$B$31&amp;";",""),IF(AND($G14&lt;Hta_12,$G14&gt;=Hba_12,Input!V$32&lt;&gt;""),Input!$B$32&amp;";",""),IF(AND($G14&lt;Hta_13,$G14&gt;=Hba_13,Input!V$33&lt;&gt;""),Input!$B$33&amp;";",""),IF(AND($G14&lt;Hta_14,$G14&gt;=Hba_14,Input!V$34&lt;&gt;""),Input!$B$34&amp;";",""),IF(AND($G14&lt;Hta_15,$G14&gt;=Hba_15,Input!V$35&lt;&gt;""),Input!$B$35&amp;";",""),IF(AND($G14&lt;Hta_16,$G14&gt;=Hba_16,Input!V$36&lt;&gt;""),Input!$B$36&amp;";",""),IF(AND($G14&lt;Hta_17,$G14&gt;=Hba_17,Input!V$37&lt;&gt;""),Input!$B$37&amp;";",""),IF(AND($G14&lt;Hta_18,$G14&gt;=Hba_18,Input!V$38&lt;&gt;""),Input!$B$38&amp;";",""),IF(AND($G14&lt;Hta_19,$G14&gt;=Hba_19,Input!V$39&lt;&gt;""),Input!$B$39&amp;";",""),IF(AND($G14&lt;Hta_20,$G14&gt;=Hba_20,Input!V$40&lt;&gt;""),Input!$B$40&amp;";",""),IF(AND($G14&lt;Hta_21,$G14&gt;=Hba_21,Input!V$41&lt;&gt;""),Input!$B$41&amp;";",""),IF(AND($G14&lt;Hta_22,$G14&gt;=Hba_22,Input!V$42&lt;&gt;""),Input!$B$42&amp;";",""),IF(AND($G14&lt;Hta_23,$G14&gt;=Hba_23,Input!V$43&lt;&gt;""),Input!$B$43&amp;";",""),IF(AND($G14&lt;Hta_24,$G14&gt;=Hba_24,Input!V$44&lt;&gt;""),Input!$B$44&amp;";",""),IF(AND($G14&lt;Hta_25,$G14&gt;=Hba_25,Input!V$45&lt;&gt;""),Input!$B$45&amp;";",""),IF(AND($G14&lt;Hta_26,$G14&gt;=Hba_26,Input!V$46&lt;&gt;""),Input!$B$46&amp;";",""),IF(AND($G14&lt;Hta_27,$G14&gt;=Hba_27,Input!V$47&lt;&gt;""),Input!$B$47&amp;";",""),IF(AND($G14&lt;Hta_28,$G14&gt;=Hba_28,Input!V$48&lt;&gt;""),Input!$B$48&amp;";",""),IF(AND($G14&lt;Hta_29,$G14&gt;=Hba_29,Input!V$49&lt;&gt;""),Input!$B$49&amp;";",""),IF(AND($G14&lt;Hta_30,$G14&gt;=Hba_30,Input!V$50&lt;&gt;""),Input!$B$50&amp;";","")),"")</f>
        <v/>
      </c>
      <c r="BX14" s="25" t="str">
        <f>IFERROR(CONCATENATE(IF(AND($G14&lt;Hta_1,$G14&gt;=Hba_1,Input!W$21&lt;&gt;""),Input!$B$21&amp;";",""),IF(AND($G14&lt;Hta_2,$G14&gt;=Hba_2,Input!W$22&lt;&gt;""),Input!$B$22&amp;";",""),IF(AND($G14&lt;Hta_3,$G14&gt;=Hba_3,Input!W$23&lt;&gt;""),Input!$B$23&amp;";",""),IF(AND($G14&lt;Hta_4,$G14&gt;=Hba_4,Input!W$24&lt;&gt;""),Input!$B$24&amp;";",""),IF(AND($G14&lt;Hta_5,$G14&gt;=Hba_5,Input!W$25&lt;&gt;""),Input!$B$25&amp;";",""),IF(AND($G14&lt;Hta_6,$G14&gt;=Hba_6,Input!W$26&lt;&gt;""),Input!$B$26&amp;";",""),IF(AND($G14&lt;Hta_7,$G14&gt;=Hba_7,Input!W$27&lt;&gt;""),Input!$B$27&amp;";",""),IF(AND($G14&lt;Hta_8,$G14&gt;=Hba_8,Input!W$28&lt;&gt;""),Input!$B$28&amp;";",""),IF(AND($G14&lt;Hta_9,$G14&gt;=Hba_9,Input!W$29&lt;&gt;""),Input!$B$29&amp;";",""),IF(AND($G14&lt;Hta_10,$G14&gt;=Hba_10,Input!W$30&lt;&gt;""),Input!$B$30&amp;";",""),IF(AND($G14&lt;Hta_11,$G14&gt;=Hba_11,Input!W$31&lt;&gt;""),Input!$B$31&amp;";",""),IF(AND($G14&lt;Hta_12,$G14&gt;=Hba_12,Input!W$32&lt;&gt;""),Input!$B$32&amp;";",""),IF(AND($G14&lt;Hta_13,$G14&gt;=Hba_13,Input!W$33&lt;&gt;""),Input!$B$33&amp;";",""),IF(AND($G14&lt;Hta_14,$G14&gt;=Hba_14,Input!W$34&lt;&gt;""),Input!$B$34&amp;";",""),IF(AND($G14&lt;Hta_15,$G14&gt;=Hba_15,Input!W$35&lt;&gt;""),Input!$B$35&amp;";",""),IF(AND($G14&lt;Hta_16,$G14&gt;=Hba_16,Input!W$36&lt;&gt;""),Input!$B$36&amp;";",""),IF(AND($G14&lt;Hta_17,$G14&gt;=Hba_17,Input!W$37&lt;&gt;""),Input!$B$37&amp;";",""),IF(AND($G14&lt;Hta_18,$G14&gt;=Hba_18,Input!W$38&lt;&gt;""),Input!$B$38&amp;";",""),IF(AND($G14&lt;Hta_19,$G14&gt;=Hba_19,Input!W$39&lt;&gt;""),Input!$B$39&amp;";",""),IF(AND($G14&lt;Hta_20,$G14&gt;=Hba_20,Input!W$40&lt;&gt;""),Input!$B$40&amp;";",""),IF(AND($G14&lt;Hta_21,$G14&gt;=Hba_21,Input!W$41&lt;&gt;""),Input!$B$41&amp;";",""),IF(AND($G14&lt;Hta_22,$G14&gt;=Hba_22,Input!W$42&lt;&gt;""),Input!$B$42&amp;";",""),IF(AND($G14&lt;Hta_23,$G14&gt;=Hba_23,Input!W$43&lt;&gt;""),Input!$B$43&amp;";",""),IF(AND($G14&lt;Hta_24,$G14&gt;=Hba_24,Input!W$44&lt;&gt;""),Input!$B$44&amp;";",""),IF(AND($G14&lt;Hta_25,$G14&gt;=Hba_25,Input!W$45&lt;&gt;""),Input!$B$45&amp;";",""),IF(AND($G14&lt;Hta_26,$G14&gt;=Hba_26,Input!W$46&lt;&gt;""),Input!$B$46&amp;";",""),IF(AND($G14&lt;Hta_27,$G14&gt;=Hba_27,Input!W$47&lt;&gt;""),Input!$B$47&amp;";",""),IF(AND($G14&lt;Hta_28,$G14&gt;=Hba_28,Input!W$48&lt;&gt;""),Input!$B$48&amp;";",""),IF(AND($G14&lt;Hta_29,$G14&gt;=Hba_29,Input!W$49&lt;&gt;""),Input!$B$49&amp;";",""),IF(AND($G14&lt;Hta_30,$G14&gt;=Hba_30,Input!W$50&lt;&gt;""),Input!$B$50&amp;";","")),"")</f>
        <v/>
      </c>
      <c r="BY14" s="25" t="str">
        <f>IFERROR(CONCATENATE(IF(AND($G14&lt;Hta_1,$G14&gt;=Hba_1,Input!X$21&lt;&gt;""),Input!$B$21&amp;";",""),IF(AND($G14&lt;Hta_2,$G14&gt;=Hba_2,Input!X$22&lt;&gt;""),Input!$B$22&amp;";",""),IF(AND($G14&lt;Hta_3,$G14&gt;=Hba_3,Input!X$23&lt;&gt;""),Input!$B$23&amp;";",""),IF(AND($G14&lt;Hta_4,$G14&gt;=Hba_4,Input!X$24&lt;&gt;""),Input!$B$24&amp;";",""),IF(AND($G14&lt;Hta_5,$G14&gt;=Hba_5,Input!X$25&lt;&gt;""),Input!$B$25&amp;";",""),IF(AND($G14&lt;Hta_6,$G14&gt;=Hba_6,Input!X$26&lt;&gt;""),Input!$B$26&amp;";",""),IF(AND($G14&lt;Hta_7,$G14&gt;=Hba_7,Input!X$27&lt;&gt;""),Input!$B$27&amp;";",""),IF(AND($G14&lt;Hta_8,$G14&gt;=Hba_8,Input!X$28&lt;&gt;""),Input!$B$28&amp;";",""),IF(AND($G14&lt;Hta_9,$G14&gt;=Hba_9,Input!X$29&lt;&gt;""),Input!$B$29&amp;";",""),IF(AND($G14&lt;Hta_10,$G14&gt;=Hba_10,Input!X$30&lt;&gt;""),Input!$B$30&amp;";",""),IF(AND($G14&lt;Hta_11,$G14&gt;=Hba_11,Input!X$31&lt;&gt;""),Input!$B$31&amp;";",""),IF(AND($G14&lt;Hta_12,$G14&gt;=Hba_12,Input!X$32&lt;&gt;""),Input!$B$32&amp;";",""),IF(AND($G14&lt;Hta_13,$G14&gt;=Hba_13,Input!X$33&lt;&gt;""),Input!$B$33&amp;";",""),IF(AND($G14&lt;Hta_14,$G14&gt;=Hba_14,Input!X$34&lt;&gt;""),Input!$B$34&amp;";",""),IF(AND($G14&lt;Hta_15,$G14&gt;=Hba_15,Input!X$35&lt;&gt;""),Input!$B$35&amp;";",""),IF(AND($G14&lt;Hta_16,$G14&gt;=Hba_16,Input!X$36&lt;&gt;""),Input!$B$36&amp;";",""),IF(AND($G14&lt;Hta_17,$G14&gt;=Hba_17,Input!X$37&lt;&gt;""),Input!$B$37&amp;";",""),IF(AND($G14&lt;Hta_18,$G14&gt;=Hba_18,Input!X$38&lt;&gt;""),Input!$B$38&amp;";",""),IF(AND($G14&lt;Hta_19,$G14&gt;=Hba_19,Input!X$39&lt;&gt;""),Input!$B$39&amp;";",""),IF(AND($G14&lt;Hta_20,$G14&gt;=Hba_20,Input!X$40&lt;&gt;""),Input!$B$40&amp;";",""),IF(AND($G14&lt;Hta_21,$G14&gt;=Hba_21,Input!X$41&lt;&gt;""),Input!$B$41&amp;";",""),IF(AND($G14&lt;Hta_22,$G14&gt;=Hba_22,Input!X$42&lt;&gt;""),Input!$B$42&amp;";",""),IF(AND($G14&lt;Hta_23,$G14&gt;=Hba_23,Input!X$43&lt;&gt;""),Input!$B$43&amp;";",""),IF(AND($G14&lt;Hta_24,$G14&gt;=Hba_24,Input!X$44&lt;&gt;""),Input!$B$44&amp;";",""),IF(AND($G14&lt;Hta_25,$G14&gt;=Hba_25,Input!X$45&lt;&gt;""),Input!$B$45&amp;";",""),IF(AND($G14&lt;Hta_26,$G14&gt;=Hba_26,Input!X$46&lt;&gt;""),Input!$B$46&amp;";",""),IF(AND($G14&lt;Hta_27,$G14&gt;=Hba_27,Input!X$47&lt;&gt;""),Input!$B$47&amp;";",""),IF(AND($G14&lt;Hta_28,$G14&gt;=Hba_28,Input!X$48&lt;&gt;""),Input!$B$48&amp;";",""),IF(AND($G14&lt;Hta_29,$G14&gt;=Hba_29,Input!X$49&lt;&gt;""),Input!$B$49&amp;";",""),IF(AND($G14&lt;Hta_30,$G14&gt;=Hba_30,Input!X$50&lt;&gt;""),Input!$B$50&amp;";","")),"")</f>
        <v/>
      </c>
      <c r="BZ14" s="25" t="str">
        <f>IFERROR(CONCATENATE(IF(AND($G14&lt;Hta_1,$G14&gt;=Hba_1,Input!Y$21&lt;&gt;""),Input!$B$21&amp;";",""),IF(AND($G14&lt;Hta_2,$G14&gt;=Hba_2,Input!Y$22&lt;&gt;""),Input!$B$22&amp;";",""),IF(AND($G14&lt;Hta_3,$G14&gt;=Hba_3,Input!Y$23&lt;&gt;""),Input!$B$23&amp;";",""),IF(AND($G14&lt;Hta_4,$G14&gt;=Hba_4,Input!Y$24&lt;&gt;""),Input!$B$24&amp;";",""),IF(AND($G14&lt;Hta_5,$G14&gt;=Hba_5,Input!Y$25&lt;&gt;""),Input!$B$25&amp;";",""),IF(AND($G14&lt;Hta_6,$G14&gt;=Hba_6,Input!Y$26&lt;&gt;""),Input!$B$26&amp;";",""),IF(AND($G14&lt;Hta_7,$G14&gt;=Hba_7,Input!Y$27&lt;&gt;""),Input!$B$27&amp;";",""),IF(AND($G14&lt;Hta_8,$G14&gt;=Hba_8,Input!Y$28&lt;&gt;""),Input!$B$28&amp;";",""),IF(AND($G14&lt;Hta_9,$G14&gt;=Hba_9,Input!Y$29&lt;&gt;""),Input!$B$29&amp;";",""),IF(AND($G14&lt;Hta_10,$G14&gt;=Hba_10,Input!Y$30&lt;&gt;""),Input!$B$30&amp;";",""),IF(AND($G14&lt;Hta_11,$G14&gt;=Hba_11,Input!Y$31&lt;&gt;""),Input!$B$31&amp;";",""),IF(AND($G14&lt;Hta_12,$G14&gt;=Hba_12,Input!Y$32&lt;&gt;""),Input!$B$32&amp;";",""),IF(AND($G14&lt;Hta_13,$G14&gt;=Hba_13,Input!Y$33&lt;&gt;""),Input!$B$33&amp;";",""),IF(AND($G14&lt;Hta_14,$G14&gt;=Hba_14,Input!Y$34&lt;&gt;""),Input!$B$34&amp;";",""),IF(AND($G14&lt;Hta_15,$G14&gt;=Hba_15,Input!Y$35&lt;&gt;""),Input!$B$35&amp;";",""),IF(AND($G14&lt;Hta_16,$G14&gt;=Hba_16,Input!Y$36&lt;&gt;""),Input!$B$36&amp;";",""),IF(AND($G14&lt;Hta_17,$G14&gt;=Hba_17,Input!Y$37&lt;&gt;""),Input!$B$37&amp;";",""),IF(AND($G14&lt;Hta_18,$G14&gt;=Hba_18,Input!Y$38&lt;&gt;""),Input!$B$38&amp;";",""),IF(AND($G14&lt;Hta_19,$G14&gt;=Hba_19,Input!Y$39&lt;&gt;""),Input!$B$39&amp;";",""),IF(AND($G14&lt;Hta_20,$G14&gt;=Hba_20,Input!Y$40&lt;&gt;""),Input!$B$40&amp;";",""),IF(AND($G14&lt;Hta_21,$G14&gt;=Hba_21,Input!Y$41&lt;&gt;""),Input!$B$41&amp;";",""),IF(AND($G14&lt;Hta_22,$G14&gt;=Hba_22,Input!Y$42&lt;&gt;""),Input!$B$42&amp;";",""),IF(AND($G14&lt;Hta_23,$G14&gt;=Hba_23,Input!Y$43&lt;&gt;""),Input!$B$43&amp;";",""),IF(AND($G14&lt;Hta_24,$G14&gt;=Hba_24,Input!Y$44&lt;&gt;""),Input!$B$44&amp;";",""),IF(AND($G14&lt;Hta_25,$G14&gt;=Hba_25,Input!Y$45&lt;&gt;""),Input!$B$45&amp;";",""),IF(AND($G14&lt;Hta_26,$G14&gt;=Hba_26,Input!Y$46&lt;&gt;""),Input!$B$46&amp;";",""),IF(AND($G14&lt;Hta_27,$G14&gt;=Hba_27,Input!Y$47&lt;&gt;""),Input!$B$47&amp;";",""),IF(AND($G14&lt;Hta_28,$G14&gt;=Hba_28,Input!Y$48&lt;&gt;""),Input!$B$48&amp;";",""),IF(AND($G14&lt;Hta_29,$G14&gt;=Hba_29,Input!Y$49&lt;&gt;""),Input!$B$49&amp;";",""),IF(AND($G14&lt;Hta_30,$G14&gt;=Hba_30,Input!Y$50&lt;&gt;""),Input!$B$50&amp;";","")),"")</f>
        <v/>
      </c>
      <c r="CA14" s="25" t="str">
        <f>IFERROR(CONCATENATE(IF(AND($G14&lt;Hta_1,$G14&gt;=Hba_1,Input!Z$21&lt;&gt;""),Input!$B$21&amp;";",""),IF(AND($G14&lt;Hta_2,$G14&gt;=Hba_2,Input!Z$22&lt;&gt;""),Input!$B$22&amp;";",""),IF(AND($G14&lt;Hta_3,$G14&gt;=Hba_3,Input!Z$23&lt;&gt;""),Input!$B$23&amp;";",""),IF(AND($G14&lt;Hta_4,$G14&gt;=Hba_4,Input!Z$24&lt;&gt;""),Input!$B$24&amp;";",""),IF(AND($G14&lt;Hta_5,$G14&gt;=Hba_5,Input!Z$25&lt;&gt;""),Input!$B$25&amp;";",""),IF(AND($G14&lt;Hta_6,$G14&gt;=Hba_6,Input!Z$26&lt;&gt;""),Input!$B$26&amp;";",""),IF(AND($G14&lt;Hta_7,$G14&gt;=Hba_7,Input!Z$27&lt;&gt;""),Input!$B$27&amp;";",""),IF(AND($G14&lt;Hta_8,$G14&gt;=Hba_8,Input!Z$28&lt;&gt;""),Input!$B$28&amp;";",""),IF(AND($G14&lt;Hta_9,$G14&gt;=Hba_9,Input!Z$29&lt;&gt;""),Input!$B$29&amp;";",""),IF(AND($G14&lt;Hta_10,$G14&gt;=Hba_10,Input!Z$30&lt;&gt;""),Input!$B$30&amp;";",""),IF(AND($G14&lt;Hta_11,$G14&gt;=Hba_11,Input!Z$31&lt;&gt;""),Input!$B$31&amp;";",""),IF(AND($G14&lt;Hta_12,$G14&gt;=Hba_12,Input!Z$32&lt;&gt;""),Input!$B$32&amp;";",""),IF(AND($G14&lt;Hta_13,$G14&gt;=Hba_13,Input!Z$33&lt;&gt;""),Input!$B$33&amp;";",""),IF(AND($G14&lt;Hta_14,$G14&gt;=Hba_14,Input!Z$34&lt;&gt;""),Input!$B$34&amp;";",""),IF(AND($G14&lt;Hta_15,$G14&gt;=Hba_15,Input!Z$35&lt;&gt;""),Input!$B$35&amp;";",""),IF(AND($G14&lt;Hta_16,$G14&gt;=Hba_16,Input!Z$36&lt;&gt;""),Input!$B$36&amp;";",""),IF(AND($G14&lt;Hta_17,$G14&gt;=Hba_17,Input!Z$37&lt;&gt;""),Input!$B$37&amp;";",""),IF(AND($G14&lt;Hta_18,$G14&gt;=Hba_18,Input!Z$38&lt;&gt;""),Input!$B$38&amp;";",""),IF(AND($G14&lt;Hta_19,$G14&gt;=Hba_19,Input!Z$39&lt;&gt;""),Input!$B$39&amp;";",""),IF(AND($G14&lt;Hta_20,$G14&gt;=Hba_20,Input!Z$40&lt;&gt;""),Input!$B$40&amp;";",""),IF(AND($G14&lt;Hta_21,$G14&gt;=Hba_21,Input!Z$41&lt;&gt;""),Input!$B$41&amp;";",""),IF(AND($G14&lt;Hta_22,$G14&gt;=Hba_22,Input!Z$42&lt;&gt;""),Input!$B$42&amp;";",""),IF(AND($G14&lt;Hta_23,$G14&gt;=Hba_23,Input!Z$43&lt;&gt;""),Input!$B$43&amp;";",""),IF(AND($G14&lt;Hta_24,$G14&gt;=Hba_24,Input!Z$44&lt;&gt;""),Input!$B$44&amp;";",""),IF(AND($G14&lt;Hta_25,$G14&gt;=Hba_25,Input!Z$45&lt;&gt;""),Input!$B$45&amp;";",""),IF(AND($G14&lt;Hta_26,$G14&gt;=Hba_26,Input!Z$46&lt;&gt;""),Input!$B$46&amp;";",""),IF(AND($G14&lt;Hta_27,$G14&gt;=Hba_27,Input!Z$47&lt;&gt;""),Input!$B$47&amp;";",""),IF(AND($G14&lt;Hta_28,$G14&gt;=Hba_28,Input!Z$48&lt;&gt;""),Input!$B$48&amp;";",""),IF(AND($G14&lt;Hta_29,$G14&gt;=Hba_29,Input!Z$49&lt;&gt;""),Input!$B$49&amp;";",""),IF(AND($G14&lt;Hta_30,$G14&gt;=Hba_30,Input!Z$50&lt;&gt;""),Input!$B$50&amp;";","")),"")</f>
        <v/>
      </c>
      <c r="CB14" s="25" t="str">
        <f>IFERROR(CONCATENATE(IF(AND($G14&lt;Hta_1,$G14&gt;=Hba_1,Input!AA$21&lt;&gt;""),Input!$B$21&amp;";",""),IF(AND($G14&lt;Hta_2,$G14&gt;=Hba_2,Input!AA$22&lt;&gt;""),Input!$B$22&amp;";",""),IF(AND($G14&lt;Hta_3,$G14&gt;=Hba_3,Input!AA$23&lt;&gt;""),Input!$B$23&amp;";",""),IF(AND($G14&lt;Hta_4,$G14&gt;=Hba_4,Input!AA$24&lt;&gt;""),Input!$B$24&amp;";",""),IF(AND($G14&lt;Hta_5,$G14&gt;=Hba_5,Input!AA$25&lt;&gt;""),Input!$B$25&amp;";",""),IF(AND($G14&lt;Hta_6,$G14&gt;=Hba_6,Input!AA$26&lt;&gt;""),Input!$B$26&amp;";",""),IF(AND($G14&lt;Hta_7,$G14&gt;=Hba_7,Input!AA$27&lt;&gt;""),Input!$B$27&amp;";",""),IF(AND($G14&lt;Hta_8,$G14&gt;=Hba_8,Input!AA$28&lt;&gt;""),Input!$B$28&amp;";",""),IF(AND($G14&lt;Hta_9,$G14&gt;=Hba_9,Input!AA$29&lt;&gt;""),Input!$B$29&amp;";",""),IF(AND($G14&lt;Hta_10,$G14&gt;=Hba_10,Input!AA$30&lt;&gt;""),Input!$B$30&amp;";",""),IF(AND($G14&lt;Hta_11,$G14&gt;=Hba_11,Input!AA$31&lt;&gt;""),Input!$B$31&amp;";",""),IF(AND($G14&lt;Hta_12,$G14&gt;=Hba_12,Input!AA$32&lt;&gt;""),Input!$B$32&amp;";",""),IF(AND($G14&lt;Hta_13,$G14&gt;=Hba_13,Input!AA$33&lt;&gt;""),Input!$B$33&amp;";",""),IF(AND($G14&lt;Hta_14,$G14&gt;=Hba_14,Input!AA$34&lt;&gt;""),Input!$B$34&amp;";",""),IF(AND($G14&lt;Hta_15,$G14&gt;=Hba_15,Input!AA$35&lt;&gt;""),Input!$B$35&amp;";",""),IF(AND($G14&lt;Hta_16,$G14&gt;=Hba_16,Input!AA$36&lt;&gt;""),Input!$B$36&amp;";",""),IF(AND($G14&lt;Hta_17,$G14&gt;=Hba_17,Input!AA$37&lt;&gt;""),Input!$B$37&amp;";",""),IF(AND($G14&lt;Hta_18,$G14&gt;=Hba_18,Input!AA$38&lt;&gt;""),Input!$B$38&amp;";",""),IF(AND($G14&lt;Hta_19,$G14&gt;=Hba_19,Input!AA$39&lt;&gt;""),Input!$B$39&amp;";",""),IF(AND($G14&lt;Hta_20,$G14&gt;=Hba_20,Input!AA$40&lt;&gt;""),Input!$B$40&amp;";",""),IF(AND($G14&lt;Hta_21,$G14&gt;=Hba_21,Input!AA$41&lt;&gt;""),Input!$B$41&amp;";",""),IF(AND($G14&lt;Hta_22,$G14&gt;=Hba_22,Input!AA$42&lt;&gt;""),Input!$B$42&amp;";",""),IF(AND($G14&lt;Hta_23,$G14&gt;=Hba_23,Input!AA$43&lt;&gt;""),Input!$B$43&amp;";",""),IF(AND($G14&lt;Hta_24,$G14&gt;=Hba_24,Input!AA$44&lt;&gt;""),Input!$B$44&amp;";",""),IF(AND($G14&lt;Hta_25,$G14&gt;=Hba_25,Input!AA$45&lt;&gt;""),Input!$B$45&amp;";",""),IF(AND($G14&lt;Hta_26,$G14&gt;=Hba_26,Input!AA$46&lt;&gt;""),Input!$B$46&amp;";",""),IF(AND($G14&lt;Hta_27,$G14&gt;=Hba_27,Input!AA$47&lt;&gt;""),Input!$B$47&amp;";",""),IF(AND($G14&lt;Hta_28,$G14&gt;=Hba_28,Input!AA$48&lt;&gt;""),Input!$B$48&amp;";",""),IF(AND($G14&lt;Hta_29,$G14&gt;=Hba_29,Input!AA$49&lt;&gt;""),Input!$B$49&amp;";",""),IF(AND($G14&lt;Hta_30,$G14&gt;=Hba_30,Input!AA$50&lt;&gt;""),Input!$B$50&amp;";","")),"")</f>
        <v/>
      </c>
      <c r="CC14" s="25" t="str">
        <f>IFERROR(CONCATENATE(IF(AND($G14&lt;Hta_1,$G14&gt;=Hba_1,Input!AB$21&lt;&gt;""),Input!$B$21&amp;";",""),IF(AND($G14&lt;Hta_2,$G14&gt;=Hba_2,Input!AB$22&lt;&gt;""),Input!$B$22&amp;";",""),IF(AND($G14&lt;Hta_3,$G14&gt;=Hba_3,Input!AB$23&lt;&gt;""),Input!$B$23&amp;";",""),IF(AND($G14&lt;Hta_4,$G14&gt;=Hba_4,Input!AB$24&lt;&gt;""),Input!$B$24&amp;";",""),IF(AND($G14&lt;Hta_5,$G14&gt;=Hba_5,Input!AB$25&lt;&gt;""),Input!$B$25&amp;";",""),IF(AND($G14&lt;Hta_6,$G14&gt;=Hba_6,Input!AB$26&lt;&gt;""),Input!$B$26&amp;";",""),IF(AND($G14&lt;Hta_7,$G14&gt;=Hba_7,Input!AB$27&lt;&gt;""),Input!$B$27&amp;";",""),IF(AND($G14&lt;Hta_8,$G14&gt;=Hba_8,Input!AB$28&lt;&gt;""),Input!$B$28&amp;";",""),IF(AND($G14&lt;Hta_9,$G14&gt;=Hba_9,Input!AB$29&lt;&gt;""),Input!$B$29&amp;";",""),IF(AND($G14&lt;Hta_10,$G14&gt;=Hba_10,Input!AB$30&lt;&gt;""),Input!$B$30&amp;";",""),IF(AND($G14&lt;Hta_11,$G14&gt;=Hba_11,Input!AB$31&lt;&gt;""),Input!$B$31&amp;";",""),IF(AND($G14&lt;Hta_12,$G14&gt;=Hba_12,Input!AB$32&lt;&gt;""),Input!$B$32&amp;";",""),IF(AND($G14&lt;Hta_13,$G14&gt;=Hba_13,Input!AB$33&lt;&gt;""),Input!$B$33&amp;";",""),IF(AND($G14&lt;Hta_14,$G14&gt;=Hba_14,Input!AB$34&lt;&gt;""),Input!$B$34&amp;";",""),IF(AND($G14&lt;Hta_15,$G14&gt;=Hba_15,Input!AB$35&lt;&gt;""),Input!$B$35&amp;";",""),IF(AND($G14&lt;Hta_16,$G14&gt;=Hba_16,Input!AB$36&lt;&gt;""),Input!$B$36&amp;";",""),IF(AND($G14&lt;Hta_17,$G14&gt;=Hba_17,Input!AB$37&lt;&gt;""),Input!$B$37&amp;";",""),IF(AND($G14&lt;Hta_18,$G14&gt;=Hba_18,Input!AB$38&lt;&gt;""),Input!$B$38&amp;";",""),IF(AND($G14&lt;Hta_19,$G14&gt;=Hba_19,Input!AB$39&lt;&gt;""),Input!$B$39&amp;";",""),IF(AND($G14&lt;Hta_20,$G14&gt;=Hba_20,Input!AB$40&lt;&gt;""),Input!$B$40&amp;";",""),IF(AND($G14&lt;Hta_21,$G14&gt;=Hba_21,Input!AB$41&lt;&gt;""),Input!$B$41&amp;";",""),IF(AND($G14&lt;Hta_22,$G14&gt;=Hba_22,Input!AB$42&lt;&gt;""),Input!$B$42&amp;";",""),IF(AND($G14&lt;Hta_23,$G14&gt;=Hba_23,Input!AB$43&lt;&gt;""),Input!$B$43&amp;";",""),IF(AND($G14&lt;Hta_24,$G14&gt;=Hba_24,Input!AB$44&lt;&gt;""),Input!$B$44&amp;";",""),IF(AND($G14&lt;Hta_25,$G14&gt;=Hba_25,Input!AB$45&lt;&gt;""),Input!$B$45&amp;";",""),IF(AND($G14&lt;Hta_26,$G14&gt;=Hba_26,Input!AB$46&lt;&gt;""),Input!$B$46&amp;";",""),IF(AND($G14&lt;Hta_27,$G14&gt;=Hba_27,Input!AB$47&lt;&gt;""),Input!$B$47&amp;";",""),IF(AND($G14&lt;Hta_28,$G14&gt;=Hba_28,Input!AB$48&lt;&gt;""),Input!$B$48&amp;";",""),IF(AND($G14&lt;Hta_29,$G14&gt;=Hba_29,Input!AB$49&lt;&gt;""),Input!$B$49&amp;";",""),IF(AND($G14&lt;Hta_30,$G14&gt;=Hba_30,Input!AB$50&lt;&gt;""),Input!$B$50&amp;";","")),"")</f>
        <v/>
      </c>
      <c r="CD14" s="25" t="str">
        <f>IFERROR(CONCATENATE(IF(AND($G14&lt;Hta_1,$G14&gt;=Hba_1,Input!AC$21&lt;&gt;""),Input!$B$21&amp;";",""),IF(AND($G14&lt;Hta_2,$G14&gt;=Hba_2,Input!AC$22&lt;&gt;""),Input!$B$22&amp;";",""),IF(AND($G14&lt;Hta_3,$G14&gt;=Hba_3,Input!AC$23&lt;&gt;""),Input!$B$23&amp;";",""),IF(AND($G14&lt;Hta_4,$G14&gt;=Hba_4,Input!AC$24&lt;&gt;""),Input!$B$24&amp;";",""),IF(AND($G14&lt;Hta_5,$G14&gt;=Hba_5,Input!AC$25&lt;&gt;""),Input!$B$25&amp;";",""),IF(AND($G14&lt;Hta_6,$G14&gt;=Hba_6,Input!AC$26&lt;&gt;""),Input!$B$26&amp;";",""),IF(AND($G14&lt;Hta_7,$G14&gt;=Hba_7,Input!AC$27&lt;&gt;""),Input!$B$27&amp;";",""),IF(AND($G14&lt;Hta_8,$G14&gt;=Hba_8,Input!AC$28&lt;&gt;""),Input!$B$28&amp;";",""),IF(AND($G14&lt;Hta_9,$G14&gt;=Hba_9,Input!AC$29&lt;&gt;""),Input!$B$29&amp;";",""),IF(AND($G14&lt;Hta_10,$G14&gt;=Hba_10,Input!AC$30&lt;&gt;""),Input!$B$30&amp;";",""),IF(AND($G14&lt;Hta_11,$G14&gt;=Hba_11,Input!AC$31&lt;&gt;""),Input!$B$31&amp;";",""),IF(AND($G14&lt;Hta_12,$G14&gt;=Hba_12,Input!AC$32&lt;&gt;""),Input!$B$32&amp;";",""),IF(AND($G14&lt;Hta_13,$G14&gt;=Hba_13,Input!AC$33&lt;&gt;""),Input!$B$33&amp;";",""),IF(AND($G14&lt;Hta_14,$G14&gt;=Hba_14,Input!AC$34&lt;&gt;""),Input!$B$34&amp;";",""),IF(AND($G14&lt;Hta_15,$G14&gt;=Hba_15,Input!AC$35&lt;&gt;""),Input!$B$35&amp;";",""),IF(AND($G14&lt;Hta_16,$G14&gt;=Hba_16,Input!AC$36&lt;&gt;""),Input!$B$36&amp;";",""),IF(AND($G14&lt;Hta_17,$G14&gt;=Hba_17,Input!AC$37&lt;&gt;""),Input!$B$37&amp;";",""),IF(AND($G14&lt;Hta_18,$G14&gt;=Hba_18,Input!AC$38&lt;&gt;""),Input!$B$38&amp;";",""),IF(AND($G14&lt;Hta_19,$G14&gt;=Hba_19,Input!AC$39&lt;&gt;""),Input!$B$39&amp;";",""),IF(AND($G14&lt;Hta_20,$G14&gt;=Hba_20,Input!AC$40&lt;&gt;""),Input!$B$40&amp;";",""),IF(AND($G14&lt;Hta_21,$G14&gt;=Hba_21,Input!AC$41&lt;&gt;""),Input!$B$41&amp;";",""),IF(AND($G14&lt;Hta_22,$G14&gt;=Hba_22,Input!AC$42&lt;&gt;""),Input!$B$42&amp;";",""),IF(AND($G14&lt;Hta_23,$G14&gt;=Hba_23,Input!AC$43&lt;&gt;""),Input!$B$43&amp;";",""),IF(AND($G14&lt;Hta_24,$G14&gt;=Hba_24,Input!AC$44&lt;&gt;""),Input!$B$44&amp;";",""),IF(AND($G14&lt;Hta_25,$G14&gt;=Hba_25,Input!AC$45&lt;&gt;""),Input!$B$45&amp;";",""),IF(AND($G14&lt;Hta_26,$G14&gt;=Hba_26,Input!AC$46&lt;&gt;""),Input!$B$46&amp;";",""),IF(AND($G14&lt;Hta_27,$G14&gt;=Hba_27,Input!AC$47&lt;&gt;""),Input!$B$47&amp;";",""),IF(AND($G14&lt;Hta_28,$G14&gt;=Hba_28,Input!AC$48&lt;&gt;""),Input!$B$48&amp;";",""),IF(AND($G14&lt;Hta_29,$G14&gt;=Hba_29,Input!AC$49&lt;&gt;""),Input!$B$49&amp;";",""),IF(AND($G14&lt;Hta_30,$G14&gt;=Hba_30,Input!AC$50&lt;&gt;""),Input!$B$50&amp;";","")),"")</f>
        <v/>
      </c>
      <c r="CE14" s="25" t="str">
        <f>IFERROR(CONCATENATE(IF(AND($G14&lt;Hta_1,$G14&gt;=Hba_1,Input!AD$21&lt;&gt;""),Input!$B$21&amp;";",""),IF(AND($G14&lt;Hta_2,$G14&gt;=Hba_2,Input!AD$22&lt;&gt;""),Input!$B$22&amp;";",""),IF(AND($G14&lt;Hta_3,$G14&gt;=Hba_3,Input!AD$23&lt;&gt;""),Input!$B$23&amp;";",""),IF(AND($G14&lt;Hta_4,$G14&gt;=Hba_4,Input!AD$24&lt;&gt;""),Input!$B$24&amp;";",""),IF(AND($G14&lt;Hta_5,$G14&gt;=Hba_5,Input!AD$25&lt;&gt;""),Input!$B$25&amp;";",""),IF(AND($G14&lt;Hta_6,$G14&gt;=Hba_6,Input!AD$26&lt;&gt;""),Input!$B$26&amp;";",""),IF(AND($G14&lt;Hta_7,$G14&gt;=Hba_7,Input!AD$27&lt;&gt;""),Input!$B$27&amp;";",""),IF(AND($G14&lt;Hta_8,$G14&gt;=Hba_8,Input!AD$28&lt;&gt;""),Input!$B$28&amp;";",""),IF(AND($G14&lt;Hta_9,$G14&gt;=Hba_9,Input!AD$29&lt;&gt;""),Input!$B$29&amp;";",""),IF(AND($G14&lt;Hta_10,$G14&gt;=Hba_10,Input!AD$30&lt;&gt;""),Input!$B$30&amp;";",""),IF(AND($G14&lt;Hta_11,$G14&gt;=Hba_11,Input!AD$31&lt;&gt;""),Input!$B$31&amp;";",""),IF(AND($G14&lt;Hta_12,$G14&gt;=Hba_12,Input!AD$32&lt;&gt;""),Input!$B$32&amp;";",""),IF(AND($G14&lt;Hta_13,$G14&gt;=Hba_13,Input!AD$33&lt;&gt;""),Input!$B$33&amp;";",""),IF(AND($G14&lt;Hta_14,$G14&gt;=Hba_14,Input!AD$34&lt;&gt;""),Input!$B$34&amp;";",""),IF(AND($G14&lt;Hta_15,$G14&gt;=Hba_15,Input!AD$35&lt;&gt;""),Input!$B$35&amp;";",""),IF(AND($G14&lt;Hta_16,$G14&gt;=Hba_16,Input!AD$36&lt;&gt;""),Input!$B$36&amp;";",""),IF(AND($G14&lt;Hta_17,$G14&gt;=Hba_17,Input!AD$37&lt;&gt;""),Input!$B$37&amp;";",""),IF(AND($G14&lt;Hta_18,$G14&gt;=Hba_18,Input!AD$38&lt;&gt;""),Input!$B$38&amp;";",""),IF(AND($G14&lt;Hta_19,$G14&gt;=Hba_19,Input!AD$39&lt;&gt;""),Input!$B$39&amp;";",""),IF(AND($G14&lt;Hta_20,$G14&gt;=Hba_20,Input!AD$40&lt;&gt;""),Input!$B$40&amp;";",""),IF(AND($G14&lt;Hta_21,$G14&gt;=Hba_21,Input!AD$41&lt;&gt;""),Input!$B$41&amp;";",""),IF(AND($G14&lt;Hta_22,$G14&gt;=Hba_22,Input!AD$42&lt;&gt;""),Input!$B$42&amp;";",""),IF(AND($G14&lt;Hta_23,$G14&gt;=Hba_23,Input!AD$43&lt;&gt;""),Input!$B$43&amp;";",""),IF(AND($G14&lt;Hta_24,$G14&gt;=Hba_24,Input!AD$44&lt;&gt;""),Input!$B$44&amp;";",""),IF(AND($G14&lt;Hta_25,$G14&gt;=Hba_25,Input!AD$45&lt;&gt;""),Input!$B$45&amp;";",""),IF(AND($G14&lt;Hta_26,$G14&gt;=Hba_26,Input!AD$46&lt;&gt;""),Input!$B$46&amp;";",""),IF(AND($G14&lt;Hta_27,$G14&gt;=Hba_27,Input!AD$47&lt;&gt;""),Input!$B$47&amp;";",""),IF(AND($G14&lt;Hta_28,$G14&gt;=Hba_28,Input!AD$48&lt;&gt;""),Input!$B$48&amp;";",""),IF(AND($G14&lt;Hta_29,$G14&gt;=Hba_29,Input!AD$49&lt;&gt;""),Input!$B$49&amp;";",""),IF(AND($G14&lt;Hta_30,$G14&gt;=Hba_30,Input!AD$50&lt;&gt;""),Input!$B$50&amp;";","")),"")</f>
        <v/>
      </c>
      <c r="CF14" s="25" t="str">
        <f>IFERROR(CONCATENATE(IF(AND($G14&lt;Hta_1,$G14&gt;=Hba_1,Input!AE$21&lt;&gt;""),Input!$B$21&amp;";",""),IF(AND($G14&lt;Hta_2,$G14&gt;=Hba_2,Input!AE$22&lt;&gt;""),Input!$B$22&amp;";",""),IF(AND($G14&lt;Hta_3,$G14&gt;=Hba_3,Input!AE$23&lt;&gt;""),Input!$B$23&amp;";",""),IF(AND($G14&lt;Hta_4,$G14&gt;=Hba_4,Input!AE$24&lt;&gt;""),Input!$B$24&amp;";",""),IF(AND($G14&lt;Hta_5,$G14&gt;=Hba_5,Input!AE$25&lt;&gt;""),Input!$B$25&amp;";",""),IF(AND($G14&lt;Hta_6,$G14&gt;=Hba_6,Input!AE$26&lt;&gt;""),Input!$B$26&amp;";",""),IF(AND($G14&lt;Hta_7,$G14&gt;=Hba_7,Input!AE$27&lt;&gt;""),Input!$B$27&amp;";",""),IF(AND($G14&lt;Hta_8,$G14&gt;=Hba_8,Input!AE$28&lt;&gt;""),Input!$B$28&amp;";",""),IF(AND($G14&lt;Hta_9,$G14&gt;=Hba_9,Input!AE$29&lt;&gt;""),Input!$B$29&amp;";",""),IF(AND($G14&lt;Hta_10,$G14&gt;=Hba_10,Input!AE$30&lt;&gt;""),Input!$B$30&amp;";",""),IF(AND($G14&lt;Hta_11,$G14&gt;=Hba_11,Input!AE$31&lt;&gt;""),Input!$B$31&amp;";",""),IF(AND($G14&lt;Hta_12,$G14&gt;=Hba_12,Input!AE$32&lt;&gt;""),Input!$B$32&amp;";",""),IF(AND($G14&lt;Hta_13,$G14&gt;=Hba_13,Input!AE$33&lt;&gt;""),Input!$B$33&amp;";",""),IF(AND($G14&lt;Hta_14,$G14&gt;=Hba_14,Input!AE$34&lt;&gt;""),Input!$B$34&amp;";",""),IF(AND($G14&lt;Hta_15,$G14&gt;=Hba_15,Input!AE$35&lt;&gt;""),Input!$B$35&amp;";",""),IF(AND($G14&lt;Hta_16,$G14&gt;=Hba_16,Input!AE$36&lt;&gt;""),Input!$B$36&amp;";",""),IF(AND($G14&lt;Hta_17,$G14&gt;=Hba_17,Input!AE$37&lt;&gt;""),Input!$B$37&amp;";",""),IF(AND($G14&lt;Hta_18,$G14&gt;=Hba_18,Input!AE$38&lt;&gt;""),Input!$B$38&amp;";",""),IF(AND($G14&lt;Hta_19,$G14&gt;=Hba_19,Input!AE$39&lt;&gt;""),Input!$B$39&amp;";",""),IF(AND($G14&lt;Hta_20,$G14&gt;=Hba_20,Input!AE$40&lt;&gt;""),Input!$B$40&amp;";",""),IF(AND($G14&lt;Hta_21,$G14&gt;=Hba_21,Input!AE$41&lt;&gt;""),Input!$B$41&amp;";",""),IF(AND($G14&lt;Hta_22,$G14&gt;=Hba_22,Input!AE$42&lt;&gt;""),Input!$B$42&amp;";",""),IF(AND($G14&lt;Hta_23,$G14&gt;=Hba_23,Input!AE$43&lt;&gt;""),Input!$B$43&amp;";",""),IF(AND($G14&lt;Hta_24,$G14&gt;=Hba_24,Input!AE$44&lt;&gt;""),Input!$B$44&amp;";",""),IF(AND($G14&lt;Hta_25,$G14&gt;=Hba_25,Input!AE$45&lt;&gt;""),Input!$B$45&amp;";",""),IF(AND($G14&lt;Hta_26,$G14&gt;=Hba_26,Input!AE$46&lt;&gt;""),Input!$B$46&amp;";",""),IF(AND($G14&lt;Hta_27,$G14&gt;=Hba_27,Input!AE$47&lt;&gt;""),Input!$B$47&amp;";",""),IF(AND($G14&lt;Hta_28,$G14&gt;=Hba_28,Input!AE$48&lt;&gt;""),Input!$B$48&amp;";",""),IF(AND($G14&lt;Hta_29,$G14&gt;=Hba_29,Input!AE$49&lt;&gt;""),Input!$B$49&amp;";",""),IF(AND($G14&lt;Hta_30,$G14&gt;=Hba_30,Input!AE$50&lt;&gt;""),Input!$B$50&amp;";","")),"")</f>
        <v/>
      </c>
      <c r="CG14" s="25" t="str">
        <f>IFERROR(CONCATENATE(IF(AND($G14&lt;Hta_1,$G14&gt;=Hba_1,Input!AF$21&lt;&gt;""),Input!$B$21&amp;";",""),IF(AND($G14&lt;Hta_2,$G14&gt;=Hba_2,Input!AF$22&lt;&gt;""),Input!$B$22&amp;";",""),IF(AND($G14&lt;Hta_3,$G14&gt;=Hba_3,Input!AF$23&lt;&gt;""),Input!$B$23&amp;";",""),IF(AND($G14&lt;Hta_4,$G14&gt;=Hba_4,Input!AF$24&lt;&gt;""),Input!$B$24&amp;";",""),IF(AND($G14&lt;Hta_5,$G14&gt;=Hba_5,Input!AF$25&lt;&gt;""),Input!$B$25&amp;";",""),IF(AND($G14&lt;Hta_6,$G14&gt;=Hba_6,Input!AF$26&lt;&gt;""),Input!$B$26&amp;";",""),IF(AND($G14&lt;Hta_7,$G14&gt;=Hba_7,Input!AF$27&lt;&gt;""),Input!$B$27&amp;";",""),IF(AND($G14&lt;Hta_8,$G14&gt;=Hba_8,Input!AF$28&lt;&gt;""),Input!$B$28&amp;";",""),IF(AND($G14&lt;Hta_9,$G14&gt;=Hba_9,Input!AF$29&lt;&gt;""),Input!$B$29&amp;";",""),IF(AND($G14&lt;Hta_10,$G14&gt;=Hba_10,Input!AF$30&lt;&gt;""),Input!$B$30&amp;";",""),IF(AND($G14&lt;Hta_11,$G14&gt;=Hba_11,Input!AF$31&lt;&gt;""),Input!$B$31&amp;";",""),IF(AND($G14&lt;Hta_12,$G14&gt;=Hba_12,Input!AF$32&lt;&gt;""),Input!$B$32&amp;";",""),IF(AND($G14&lt;Hta_13,$G14&gt;=Hba_13,Input!AF$33&lt;&gt;""),Input!$B$33&amp;";",""),IF(AND($G14&lt;Hta_14,$G14&gt;=Hba_14,Input!AF$34&lt;&gt;""),Input!$B$34&amp;";",""),IF(AND($G14&lt;Hta_15,$G14&gt;=Hba_15,Input!AF$35&lt;&gt;""),Input!$B$35&amp;";",""),IF(AND($G14&lt;Hta_16,$G14&gt;=Hba_16,Input!AF$36&lt;&gt;""),Input!$B$36&amp;";",""),IF(AND($G14&lt;Hta_17,$G14&gt;=Hba_17,Input!AF$37&lt;&gt;""),Input!$B$37&amp;";",""),IF(AND($G14&lt;Hta_18,$G14&gt;=Hba_18,Input!AF$38&lt;&gt;""),Input!$B$38&amp;";",""),IF(AND($G14&lt;Hta_19,$G14&gt;=Hba_19,Input!AF$39&lt;&gt;""),Input!$B$39&amp;";",""),IF(AND($G14&lt;Hta_20,$G14&gt;=Hba_20,Input!AF$40&lt;&gt;""),Input!$B$40&amp;";",""),IF(AND($G14&lt;Hta_21,$G14&gt;=Hba_21,Input!AF$41&lt;&gt;""),Input!$B$41&amp;";",""),IF(AND($G14&lt;Hta_22,$G14&gt;=Hba_22,Input!AF$42&lt;&gt;""),Input!$B$42&amp;";",""),IF(AND($G14&lt;Hta_23,$G14&gt;=Hba_23,Input!AF$43&lt;&gt;""),Input!$B$43&amp;";",""),IF(AND($G14&lt;Hta_24,$G14&gt;=Hba_24,Input!AF$44&lt;&gt;""),Input!$B$44&amp;";",""),IF(AND($G14&lt;Hta_25,$G14&gt;=Hba_25,Input!AF$45&lt;&gt;""),Input!$B$45&amp;";",""),IF(AND($G14&lt;Hta_26,$G14&gt;=Hba_26,Input!AF$46&lt;&gt;""),Input!$B$46&amp;";",""),IF(AND($G14&lt;Hta_27,$G14&gt;=Hba_27,Input!AF$47&lt;&gt;""),Input!$B$47&amp;";",""),IF(AND($G14&lt;Hta_28,$G14&gt;=Hba_28,Input!AF$48&lt;&gt;""),Input!$B$48&amp;";",""),IF(AND($G14&lt;Hta_29,$G14&gt;=Hba_29,Input!AF$49&lt;&gt;""),Input!$B$49&amp;";",""),IF(AND($G14&lt;Hta_30,$G14&gt;=Hba_30,Input!AF$50&lt;&gt;""),Input!$B$50&amp;";","")),"")</f>
        <v/>
      </c>
      <c r="CH14" s="25" t="str">
        <f>IFERROR(CONCATENATE(IF(AND($G14&lt;Hta_1,$G14&gt;=Hba_1,Input!AG$21&lt;&gt;""),Input!$B$21&amp;";",""),IF(AND($G14&lt;Hta_2,$G14&gt;=Hba_2,Input!AG$22&lt;&gt;""),Input!$B$22&amp;";",""),IF(AND($G14&lt;Hta_3,$G14&gt;=Hba_3,Input!AG$23&lt;&gt;""),Input!$B$23&amp;";",""),IF(AND($G14&lt;Hta_4,$G14&gt;=Hba_4,Input!AG$24&lt;&gt;""),Input!$B$24&amp;";",""),IF(AND($G14&lt;Hta_5,$G14&gt;=Hba_5,Input!AG$25&lt;&gt;""),Input!$B$25&amp;";",""),IF(AND($G14&lt;Hta_6,$G14&gt;=Hba_6,Input!AG$26&lt;&gt;""),Input!$B$26&amp;";",""),IF(AND($G14&lt;Hta_7,$G14&gt;=Hba_7,Input!AG$27&lt;&gt;""),Input!$B$27&amp;";",""),IF(AND($G14&lt;Hta_8,$G14&gt;=Hba_8,Input!AG$28&lt;&gt;""),Input!$B$28&amp;";",""),IF(AND($G14&lt;Hta_9,$G14&gt;=Hba_9,Input!AG$29&lt;&gt;""),Input!$B$29&amp;";",""),IF(AND($G14&lt;Hta_10,$G14&gt;=Hba_10,Input!AG$30&lt;&gt;""),Input!$B$30&amp;";",""),IF(AND($G14&lt;Hta_11,$G14&gt;=Hba_11,Input!AG$31&lt;&gt;""),Input!$B$31&amp;";",""),IF(AND($G14&lt;Hta_12,$G14&gt;=Hba_12,Input!AG$32&lt;&gt;""),Input!$B$32&amp;";",""),IF(AND($G14&lt;Hta_13,$G14&gt;=Hba_13,Input!AG$33&lt;&gt;""),Input!$B$33&amp;";",""),IF(AND($G14&lt;Hta_14,$G14&gt;=Hba_14,Input!AG$34&lt;&gt;""),Input!$B$34&amp;";",""),IF(AND($G14&lt;Hta_15,$G14&gt;=Hba_15,Input!AG$35&lt;&gt;""),Input!$B$35&amp;";",""),IF(AND($G14&lt;Hta_16,$G14&gt;=Hba_16,Input!AG$36&lt;&gt;""),Input!$B$36&amp;";",""),IF(AND($G14&lt;Hta_17,$G14&gt;=Hba_17,Input!AG$37&lt;&gt;""),Input!$B$37&amp;";",""),IF(AND($G14&lt;Hta_18,$G14&gt;=Hba_18,Input!AG$38&lt;&gt;""),Input!$B$38&amp;";",""),IF(AND($G14&lt;Hta_19,$G14&gt;=Hba_19,Input!AG$39&lt;&gt;""),Input!$B$39&amp;";",""),IF(AND($G14&lt;Hta_20,$G14&gt;=Hba_20,Input!AG$40&lt;&gt;""),Input!$B$40&amp;";",""),IF(AND($G14&lt;Hta_21,$G14&gt;=Hba_21,Input!AG$41&lt;&gt;""),Input!$B$41&amp;";",""),IF(AND($G14&lt;Hta_22,$G14&gt;=Hba_22,Input!AG$42&lt;&gt;""),Input!$B$42&amp;";",""),IF(AND($G14&lt;Hta_23,$G14&gt;=Hba_23,Input!AG$43&lt;&gt;""),Input!$B$43&amp;";",""),IF(AND($G14&lt;Hta_24,$G14&gt;=Hba_24,Input!AG$44&lt;&gt;""),Input!$B$44&amp;";",""),IF(AND($G14&lt;Hta_25,$G14&gt;=Hba_25,Input!AG$45&lt;&gt;""),Input!$B$45&amp;";",""),IF(AND($G14&lt;Hta_26,$G14&gt;=Hba_26,Input!AG$46&lt;&gt;""),Input!$B$46&amp;";",""),IF(AND($G14&lt;Hta_27,$G14&gt;=Hba_27,Input!AG$47&lt;&gt;""),Input!$B$47&amp;";",""),IF(AND($G14&lt;Hta_28,$G14&gt;=Hba_28,Input!AG$48&lt;&gt;""),Input!$B$48&amp;";",""),IF(AND($G14&lt;Hta_29,$G14&gt;=Hba_29,Input!AG$49&lt;&gt;""),Input!$B$49&amp;";",""),IF(AND($G14&lt;Hta_30,$G14&gt;=Hba_30,Input!AG$50&lt;&gt;""),Input!$B$50&amp;";","")),"")</f>
        <v/>
      </c>
      <c r="CI14" s="25" t="str">
        <f>IFERROR(CONCATENATE(IF(AND($G14&lt;Hta_1,$G14&gt;=Hba_1,Input!AH$21&lt;&gt;""),Input!$B$21&amp;";",""),IF(AND($G14&lt;Hta_2,$G14&gt;=Hba_2,Input!AH$22&lt;&gt;""),Input!$B$22&amp;";",""),IF(AND($G14&lt;Hta_3,$G14&gt;=Hba_3,Input!AH$23&lt;&gt;""),Input!$B$23&amp;";",""),IF(AND($G14&lt;Hta_4,$G14&gt;=Hba_4,Input!AH$24&lt;&gt;""),Input!$B$24&amp;";",""),IF(AND($G14&lt;Hta_5,$G14&gt;=Hba_5,Input!AH$25&lt;&gt;""),Input!$B$25&amp;";",""),IF(AND($G14&lt;Hta_6,$G14&gt;=Hba_6,Input!AH$26&lt;&gt;""),Input!$B$26&amp;";",""),IF(AND($G14&lt;Hta_7,$G14&gt;=Hba_7,Input!AH$27&lt;&gt;""),Input!$B$27&amp;";",""),IF(AND($G14&lt;Hta_8,$G14&gt;=Hba_8,Input!AH$28&lt;&gt;""),Input!$B$28&amp;";",""),IF(AND($G14&lt;Hta_9,$G14&gt;=Hba_9,Input!AH$29&lt;&gt;""),Input!$B$29&amp;";",""),IF(AND($G14&lt;Hta_10,$G14&gt;=Hba_10,Input!AH$30&lt;&gt;""),Input!$B$30&amp;";",""),IF(AND($G14&lt;Hta_11,$G14&gt;=Hba_11,Input!AH$31&lt;&gt;""),Input!$B$31&amp;";",""),IF(AND($G14&lt;Hta_12,$G14&gt;=Hba_12,Input!AH$32&lt;&gt;""),Input!$B$32&amp;";",""),IF(AND($G14&lt;Hta_13,$G14&gt;=Hba_13,Input!AH$33&lt;&gt;""),Input!$B$33&amp;";",""),IF(AND($G14&lt;Hta_14,$G14&gt;=Hba_14,Input!AH$34&lt;&gt;""),Input!$B$34&amp;";",""),IF(AND($G14&lt;Hta_15,$G14&gt;=Hba_15,Input!AH$35&lt;&gt;""),Input!$B$35&amp;";",""),IF(AND($G14&lt;Hta_16,$G14&gt;=Hba_16,Input!AH$36&lt;&gt;""),Input!$B$36&amp;";",""),IF(AND($G14&lt;Hta_17,$G14&gt;=Hba_17,Input!AH$37&lt;&gt;""),Input!$B$37&amp;";",""),IF(AND($G14&lt;Hta_18,$G14&gt;=Hba_18,Input!AH$38&lt;&gt;""),Input!$B$38&amp;";",""),IF(AND($G14&lt;Hta_19,$G14&gt;=Hba_19,Input!AH$39&lt;&gt;""),Input!$B$39&amp;";",""),IF(AND($G14&lt;Hta_20,$G14&gt;=Hba_20,Input!AH$40&lt;&gt;""),Input!$B$40&amp;";",""),IF(AND($G14&lt;Hta_21,$G14&gt;=Hba_21,Input!AH$41&lt;&gt;""),Input!$B$41&amp;";",""),IF(AND($G14&lt;Hta_22,$G14&gt;=Hba_22,Input!AH$42&lt;&gt;""),Input!$B$42&amp;";",""),IF(AND($G14&lt;Hta_23,$G14&gt;=Hba_23,Input!AH$43&lt;&gt;""),Input!$B$43&amp;";",""),IF(AND($G14&lt;Hta_24,$G14&gt;=Hba_24,Input!AH$44&lt;&gt;""),Input!$B$44&amp;";",""),IF(AND($G14&lt;Hta_25,$G14&gt;=Hba_25,Input!AH$45&lt;&gt;""),Input!$B$45&amp;";",""),IF(AND($G14&lt;Hta_26,$G14&gt;=Hba_26,Input!AH$46&lt;&gt;""),Input!$B$46&amp;";",""),IF(AND($G14&lt;Hta_27,$G14&gt;=Hba_27,Input!AH$47&lt;&gt;""),Input!$B$47&amp;";",""),IF(AND($G14&lt;Hta_28,$G14&gt;=Hba_28,Input!AH$48&lt;&gt;""),Input!$B$48&amp;";",""),IF(AND($G14&lt;Hta_29,$G14&gt;=Hba_29,Input!AH$49&lt;&gt;""),Input!$B$49&amp;";",""),IF(AND($G14&lt;Hta_30,$G14&gt;=Hba_30,Input!AH$50&lt;&gt;""),Input!$B$50&amp;";","")),"")</f>
        <v/>
      </c>
      <c r="CJ14" s="25" t="str">
        <f>IFERROR(CONCATENATE(IF(AND($G14&lt;Hta_1,$G14&gt;=Hba_1,Input!AI$21&lt;&gt;""),Input!$B$21&amp;";",""),IF(AND($G14&lt;Hta_2,$G14&gt;=Hba_2,Input!AI$22&lt;&gt;""),Input!$B$22&amp;";",""),IF(AND($G14&lt;Hta_3,$G14&gt;=Hba_3,Input!AI$23&lt;&gt;""),Input!$B$23&amp;";",""),IF(AND($G14&lt;Hta_4,$G14&gt;=Hba_4,Input!AI$24&lt;&gt;""),Input!$B$24&amp;";",""),IF(AND($G14&lt;Hta_5,$G14&gt;=Hba_5,Input!AI$25&lt;&gt;""),Input!$B$25&amp;";",""),IF(AND($G14&lt;Hta_6,$G14&gt;=Hba_6,Input!AI$26&lt;&gt;""),Input!$B$26&amp;";",""),IF(AND($G14&lt;Hta_7,$G14&gt;=Hba_7,Input!AI$27&lt;&gt;""),Input!$B$27&amp;";",""),IF(AND($G14&lt;Hta_8,$G14&gt;=Hba_8,Input!AI$28&lt;&gt;""),Input!$B$28&amp;";",""),IF(AND($G14&lt;Hta_9,$G14&gt;=Hba_9,Input!AI$29&lt;&gt;""),Input!$B$29&amp;";",""),IF(AND($G14&lt;Hta_10,$G14&gt;=Hba_10,Input!AI$30&lt;&gt;""),Input!$B$30&amp;";",""),IF(AND($G14&lt;Hta_11,$G14&gt;=Hba_11,Input!AI$31&lt;&gt;""),Input!$B$31&amp;";",""),IF(AND($G14&lt;Hta_12,$G14&gt;=Hba_12,Input!AI$32&lt;&gt;""),Input!$B$32&amp;";",""),IF(AND($G14&lt;Hta_13,$G14&gt;=Hba_13,Input!AI$33&lt;&gt;""),Input!$B$33&amp;";",""),IF(AND($G14&lt;Hta_14,$G14&gt;=Hba_14,Input!AI$34&lt;&gt;""),Input!$B$34&amp;";",""),IF(AND($G14&lt;Hta_15,$G14&gt;=Hba_15,Input!AI$35&lt;&gt;""),Input!$B$35&amp;";",""),IF(AND($G14&lt;Hta_16,$G14&gt;=Hba_16,Input!AI$36&lt;&gt;""),Input!$B$36&amp;";",""),IF(AND($G14&lt;Hta_17,$G14&gt;=Hba_17,Input!AI$37&lt;&gt;""),Input!$B$37&amp;";",""),IF(AND($G14&lt;Hta_18,$G14&gt;=Hba_18,Input!AI$38&lt;&gt;""),Input!$B$38&amp;";",""),IF(AND($G14&lt;Hta_19,$G14&gt;=Hba_19,Input!AI$39&lt;&gt;""),Input!$B$39&amp;";",""),IF(AND($G14&lt;Hta_20,$G14&gt;=Hba_20,Input!AI$40&lt;&gt;""),Input!$B$40&amp;";",""),IF(AND($G14&lt;Hta_21,$G14&gt;=Hba_21,Input!AI$41&lt;&gt;""),Input!$B$41&amp;";",""),IF(AND($G14&lt;Hta_22,$G14&gt;=Hba_22,Input!AI$42&lt;&gt;""),Input!$B$42&amp;";",""),IF(AND($G14&lt;Hta_23,$G14&gt;=Hba_23,Input!AI$43&lt;&gt;""),Input!$B$43&amp;";",""),IF(AND($G14&lt;Hta_24,$G14&gt;=Hba_24,Input!AI$44&lt;&gt;""),Input!$B$44&amp;";",""),IF(AND($G14&lt;Hta_25,$G14&gt;=Hba_25,Input!AI$45&lt;&gt;""),Input!$B$45&amp;";",""),IF(AND($G14&lt;Hta_26,$G14&gt;=Hba_26,Input!AI$46&lt;&gt;""),Input!$B$46&amp;";",""),IF(AND($G14&lt;Hta_27,$G14&gt;=Hba_27,Input!AI$47&lt;&gt;""),Input!$B$47&amp;";",""),IF(AND($G14&lt;Hta_28,$G14&gt;=Hba_28,Input!AI$48&lt;&gt;""),Input!$B$48&amp;";",""),IF(AND($G14&lt;Hta_29,$G14&gt;=Hba_29,Input!AI$49&lt;&gt;""),Input!$B$49&amp;";",""),IF(AND($G14&lt;Hta_30,$G14&gt;=Hba_30,Input!AI$50&lt;&gt;""),Input!$B$50&amp;";","")),"")</f>
        <v/>
      </c>
      <c r="CK14" s="25" t="str">
        <f>IFERROR(CONCATENATE(IF(AND($G14&lt;Hta_1,$G14&gt;=Hba_1,Input!AJ$21&lt;&gt;""),Input!$B$21&amp;";",""),IF(AND($G14&lt;Hta_2,$G14&gt;=Hba_2,Input!AJ$22&lt;&gt;""),Input!$B$22&amp;";",""),IF(AND($G14&lt;Hta_3,$G14&gt;=Hba_3,Input!AJ$23&lt;&gt;""),Input!$B$23&amp;";",""),IF(AND($G14&lt;Hta_4,$G14&gt;=Hba_4,Input!AJ$24&lt;&gt;""),Input!$B$24&amp;";",""),IF(AND($G14&lt;Hta_5,$G14&gt;=Hba_5,Input!AJ$25&lt;&gt;""),Input!$B$25&amp;";",""),IF(AND($G14&lt;Hta_6,$G14&gt;=Hba_6,Input!AJ$26&lt;&gt;""),Input!$B$26&amp;";",""),IF(AND($G14&lt;Hta_7,$G14&gt;=Hba_7,Input!AJ$27&lt;&gt;""),Input!$B$27&amp;";",""),IF(AND($G14&lt;Hta_8,$G14&gt;=Hba_8,Input!AJ$28&lt;&gt;""),Input!$B$28&amp;";",""),IF(AND($G14&lt;Hta_9,$G14&gt;=Hba_9,Input!AJ$29&lt;&gt;""),Input!$B$29&amp;";",""),IF(AND($G14&lt;Hta_10,$G14&gt;=Hba_10,Input!AJ$30&lt;&gt;""),Input!$B$30&amp;";",""),IF(AND($G14&lt;Hta_11,$G14&gt;=Hba_11,Input!AJ$31&lt;&gt;""),Input!$B$31&amp;";",""),IF(AND($G14&lt;Hta_12,$G14&gt;=Hba_12,Input!AJ$32&lt;&gt;""),Input!$B$32&amp;";",""),IF(AND($G14&lt;Hta_13,$G14&gt;=Hba_13,Input!AJ$33&lt;&gt;""),Input!$B$33&amp;";",""),IF(AND($G14&lt;Hta_14,$G14&gt;=Hba_14,Input!AJ$34&lt;&gt;""),Input!$B$34&amp;";",""),IF(AND($G14&lt;Hta_15,$G14&gt;=Hba_15,Input!AJ$35&lt;&gt;""),Input!$B$35&amp;";",""),IF(AND($G14&lt;Hta_16,$G14&gt;=Hba_16,Input!AJ$36&lt;&gt;""),Input!$B$36&amp;";",""),IF(AND($G14&lt;Hta_17,$G14&gt;=Hba_17,Input!AJ$37&lt;&gt;""),Input!$B$37&amp;";",""),IF(AND($G14&lt;Hta_18,$G14&gt;=Hba_18,Input!AJ$38&lt;&gt;""),Input!$B$38&amp;";",""),IF(AND($G14&lt;Hta_19,$G14&gt;=Hba_19,Input!AJ$39&lt;&gt;""),Input!$B$39&amp;";",""),IF(AND($G14&lt;Hta_20,$G14&gt;=Hba_20,Input!AJ$40&lt;&gt;""),Input!$B$40&amp;";",""),IF(AND($G14&lt;Hta_21,$G14&gt;=Hba_21,Input!AJ$41&lt;&gt;""),Input!$B$41&amp;";",""),IF(AND($G14&lt;Hta_22,$G14&gt;=Hba_22,Input!AJ$42&lt;&gt;""),Input!$B$42&amp;";",""),IF(AND($G14&lt;Hta_23,$G14&gt;=Hba_23,Input!AJ$43&lt;&gt;""),Input!$B$43&amp;";",""),IF(AND($G14&lt;Hta_24,$G14&gt;=Hba_24,Input!AJ$44&lt;&gt;""),Input!$B$44&amp;";",""),IF(AND($G14&lt;Hta_25,$G14&gt;=Hba_25,Input!AJ$45&lt;&gt;""),Input!$B$45&amp;";",""),IF(AND($G14&lt;Hta_26,$G14&gt;=Hba_26,Input!AJ$46&lt;&gt;""),Input!$B$46&amp;";",""),IF(AND($G14&lt;Hta_27,$G14&gt;=Hba_27,Input!AJ$47&lt;&gt;""),Input!$B$47&amp;";",""),IF(AND($G14&lt;Hta_28,$G14&gt;=Hba_28,Input!AJ$48&lt;&gt;""),Input!$B$48&amp;";",""),IF(AND($G14&lt;Hta_29,$G14&gt;=Hba_29,Input!AJ$49&lt;&gt;""),Input!$B$49&amp;";",""),IF(AND($G14&lt;Hta_30,$G14&gt;=Hba_30,Input!AJ$50&lt;&gt;""),Input!$B$50&amp;";","")),"")</f>
        <v/>
      </c>
      <c r="CL14" s="25" t="str">
        <f>IFERROR(CONCATENATE(IF(AND($G14&lt;Hta_1,$G14&gt;=Hba_1,Input!AK$21&lt;&gt;""),Input!$B$21&amp;";",""),IF(AND($G14&lt;Hta_2,$G14&gt;=Hba_2,Input!AK$22&lt;&gt;""),Input!$B$22&amp;";",""),IF(AND($G14&lt;Hta_3,$G14&gt;=Hba_3,Input!AK$23&lt;&gt;""),Input!$B$23&amp;";",""),IF(AND($G14&lt;Hta_4,$G14&gt;=Hba_4,Input!AK$24&lt;&gt;""),Input!$B$24&amp;";",""),IF(AND($G14&lt;Hta_5,$G14&gt;=Hba_5,Input!AK$25&lt;&gt;""),Input!$B$25&amp;";",""),IF(AND($G14&lt;Hta_6,$G14&gt;=Hba_6,Input!AK$26&lt;&gt;""),Input!$B$26&amp;";",""),IF(AND($G14&lt;Hta_7,$G14&gt;=Hba_7,Input!AK$27&lt;&gt;""),Input!$B$27&amp;";",""),IF(AND($G14&lt;Hta_8,$G14&gt;=Hba_8,Input!AK$28&lt;&gt;""),Input!$B$28&amp;";",""),IF(AND($G14&lt;Hta_9,$G14&gt;=Hba_9,Input!AK$29&lt;&gt;""),Input!$B$29&amp;";",""),IF(AND($G14&lt;Hta_10,$G14&gt;=Hba_10,Input!AK$30&lt;&gt;""),Input!$B$30&amp;";",""),IF(AND($G14&lt;Hta_11,$G14&gt;=Hba_11,Input!AK$31&lt;&gt;""),Input!$B$31&amp;";",""),IF(AND($G14&lt;Hta_12,$G14&gt;=Hba_12,Input!AK$32&lt;&gt;""),Input!$B$32&amp;";",""),IF(AND($G14&lt;Hta_13,$G14&gt;=Hba_13,Input!AK$33&lt;&gt;""),Input!$B$33&amp;";",""),IF(AND($G14&lt;Hta_14,$G14&gt;=Hba_14,Input!AK$34&lt;&gt;""),Input!$B$34&amp;";",""),IF(AND($G14&lt;Hta_15,$G14&gt;=Hba_15,Input!AK$35&lt;&gt;""),Input!$B$35&amp;";",""),IF(AND($G14&lt;Hta_16,$G14&gt;=Hba_16,Input!AK$36&lt;&gt;""),Input!$B$36&amp;";",""),IF(AND($G14&lt;Hta_17,$G14&gt;=Hba_17,Input!AK$37&lt;&gt;""),Input!$B$37&amp;";",""),IF(AND($G14&lt;Hta_18,$G14&gt;=Hba_18,Input!AK$38&lt;&gt;""),Input!$B$38&amp;";",""),IF(AND($G14&lt;Hta_19,$G14&gt;=Hba_19,Input!AK$39&lt;&gt;""),Input!$B$39&amp;";",""),IF(AND($G14&lt;Hta_20,$G14&gt;=Hba_20,Input!AK$40&lt;&gt;""),Input!$B$40&amp;";",""),IF(AND($G14&lt;Hta_21,$G14&gt;=Hba_21,Input!AK$41&lt;&gt;""),Input!$B$41&amp;";",""),IF(AND($G14&lt;Hta_22,$G14&gt;=Hba_22,Input!AK$42&lt;&gt;""),Input!$B$42&amp;";",""),IF(AND($G14&lt;Hta_23,$G14&gt;=Hba_23,Input!AK$43&lt;&gt;""),Input!$B$43&amp;";",""),IF(AND($G14&lt;Hta_24,$G14&gt;=Hba_24,Input!AK$44&lt;&gt;""),Input!$B$44&amp;";",""),IF(AND($G14&lt;Hta_25,$G14&gt;=Hba_25,Input!AK$45&lt;&gt;""),Input!$B$45&amp;";",""),IF(AND($G14&lt;Hta_26,$G14&gt;=Hba_26,Input!AK$46&lt;&gt;""),Input!$B$46&amp;";",""),IF(AND($G14&lt;Hta_27,$G14&gt;=Hba_27,Input!AK$47&lt;&gt;""),Input!$B$47&amp;";",""),IF(AND($G14&lt;Hta_28,$G14&gt;=Hba_28,Input!AK$48&lt;&gt;""),Input!$B$48&amp;";",""),IF(AND($G14&lt;Hta_29,$G14&gt;=Hba_29,Input!AK$49&lt;&gt;""),Input!$B$49&amp;";",""),IF(AND($G14&lt;Hta_30,$G14&gt;=Hba_30,Input!AK$50&lt;&gt;""),Input!$B$50&amp;";","")),"")</f>
        <v/>
      </c>
      <c r="CM14" s="25" t="str">
        <f>IFERROR(CONCATENATE(IF(AND($G14&lt;Hta_1,$G14&gt;=Hba_1,Input!AL$21&lt;&gt;""),Input!$B$21&amp;";",""),IF(AND($G14&lt;Hta_2,$G14&gt;=Hba_2,Input!AL$22&lt;&gt;""),Input!$B$22&amp;";",""),IF(AND($G14&lt;Hta_3,$G14&gt;=Hba_3,Input!AL$23&lt;&gt;""),Input!$B$23&amp;";",""),IF(AND($G14&lt;Hta_4,$G14&gt;=Hba_4,Input!AL$24&lt;&gt;""),Input!$B$24&amp;";",""),IF(AND($G14&lt;Hta_5,$G14&gt;=Hba_5,Input!AL$25&lt;&gt;""),Input!$B$25&amp;";",""),IF(AND($G14&lt;Hta_6,$G14&gt;=Hba_6,Input!AL$26&lt;&gt;""),Input!$B$26&amp;";",""),IF(AND($G14&lt;Hta_7,$G14&gt;=Hba_7,Input!AL$27&lt;&gt;""),Input!$B$27&amp;";",""),IF(AND($G14&lt;Hta_8,$G14&gt;=Hba_8,Input!AL$28&lt;&gt;""),Input!$B$28&amp;";",""),IF(AND($G14&lt;Hta_9,$G14&gt;=Hba_9,Input!AL$29&lt;&gt;""),Input!$B$29&amp;";",""),IF(AND($G14&lt;Hta_10,$G14&gt;=Hba_10,Input!AL$30&lt;&gt;""),Input!$B$30&amp;";",""),IF(AND($G14&lt;Hta_11,$G14&gt;=Hba_11,Input!AL$31&lt;&gt;""),Input!$B$31&amp;";",""),IF(AND($G14&lt;Hta_12,$G14&gt;=Hba_12,Input!AL$32&lt;&gt;""),Input!$B$32&amp;";",""),IF(AND($G14&lt;Hta_13,$G14&gt;=Hba_13,Input!AL$33&lt;&gt;""),Input!$B$33&amp;";",""),IF(AND($G14&lt;Hta_14,$G14&gt;=Hba_14,Input!AL$34&lt;&gt;""),Input!$B$34&amp;";",""),IF(AND($G14&lt;Hta_15,$G14&gt;=Hba_15,Input!AL$35&lt;&gt;""),Input!$B$35&amp;";",""),IF(AND($G14&lt;Hta_16,$G14&gt;=Hba_16,Input!AL$36&lt;&gt;""),Input!$B$36&amp;";",""),IF(AND($G14&lt;Hta_17,$G14&gt;=Hba_17,Input!AL$37&lt;&gt;""),Input!$B$37&amp;";",""),IF(AND($G14&lt;Hta_18,$G14&gt;=Hba_18,Input!AL$38&lt;&gt;""),Input!$B$38&amp;";",""),IF(AND($G14&lt;Hta_19,$G14&gt;=Hba_19,Input!AL$39&lt;&gt;""),Input!$B$39&amp;";",""),IF(AND($G14&lt;Hta_20,$G14&gt;=Hba_20,Input!AL$40&lt;&gt;""),Input!$B$40&amp;";",""),IF(AND($G14&lt;Hta_21,$G14&gt;=Hba_21,Input!AL$41&lt;&gt;""),Input!$B$41&amp;";",""),IF(AND($G14&lt;Hta_22,$G14&gt;=Hba_22,Input!AL$42&lt;&gt;""),Input!$B$42&amp;";",""),IF(AND($G14&lt;Hta_23,$G14&gt;=Hba_23,Input!AL$43&lt;&gt;""),Input!$B$43&amp;";",""),IF(AND($G14&lt;Hta_24,$G14&gt;=Hba_24,Input!AL$44&lt;&gt;""),Input!$B$44&amp;";",""),IF(AND($G14&lt;Hta_25,$G14&gt;=Hba_25,Input!AL$45&lt;&gt;""),Input!$B$45&amp;";",""),IF(AND($G14&lt;Hta_26,$G14&gt;=Hba_26,Input!AL$46&lt;&gt;""),Input!$B$46&amp;";",""),IF(AND($G14&lt;Hta_27,$G14&gt;=Hba_27,Input!AL$47&lt;&gt;""),Input!$B$47&amp;";",""),IF(AND($G14&lt;Hta_28,$G14&gt;=Hba_28,Input!AL$48&lt;&gt;""),Input!$B$48&amp;";",""),IF(AND($G14&lt;Hta_29,$G14&gt;=Hba_29,Input!AL$49&lt;&gt;""),Input!$B$49&amp;";",""),IF(AND($G14&lt;Hta_30,$G14&gt;=Hba_30,Input!AL$50&lt;&gt;""),Input!$B$50&amp;";","")),"")</f>
        <v/>
      </c>
      <c r="CN14" s="59" t="str">
        <f t="shared" si="6"/>
        <v/>
      </c>
      <c r="CO14" s="791"/>
      <c r="CP14" s="792"/>
      <c r="CQ14" s="793"/>
      <c r="CR14" s="791"/>
      <c r="CS14" s="792"/>
      <c r="CT14" s="793"/>
      <c r="CU14" s="794" t="str">
        <f t="shared" si="7"/>
        <v/>
      </c>
      <c r="CV14" s="795"/>
      <c r="CW14" s="795"/>
      <c r="CX14" s="796"/>
      <c r="CY14" s="796"/>
      <c r="CZ14" s="797"/>
      <c r="DA14" s="733"/>
      <c r="DB14" s="734"/>
      <c r="DC14" s="735"/>
      <c r="DD14" s="729" t="str">
        <f t="shared" si="8"/>
        <v/>
      </c>
      <c r="DE14" s="730"/>
      <c r="DF14" s="731"/>
      <c r="DG14" s="55"/>
      <c r="DH14" s="56"/>
      <c r="DI14" s="56"/>
      <c r="DJ14" s="56"/>
      <c r="DK14" s="56"/>
      <c r="DL14" s="56"/>
      <c r="DM14" s="56"/>
      <c r="DN14" s="56"/>
      <c r="DO14" s="56"/>
      <c r="DP14" s="56"/>
      <c r="DQ14" s="58"/>
      <c r="DR14" s="58"/>
      <c r="DS14" s="58"/>
      <c r="DT14" s="58"/>
      <c r="DU14" s="58"/>
      <c r="DV14" s="58"/>
      <c r="DW14" s="58"/>
      <c r="DX14" s="58"/>
      <c r="DY14" s="58"/>
      <c r="DZ14" s="58"/>
      <c r="EA14" s="58"/>
      <c r="EB14" s="58"/>
      <c r="EC14" s="58"/>
      <c r="ED14" s="58"/>
      <c r="EE14" s="58"/>
      <c r="EF14" s="58"/>
      <c r="EG14" s="58"/>
      <c r="EH14" s="58"/>
      <c r="EI14" s="58"/>
      <c r="EJ14" s="58"/>
      <c r="EK14" s="58"/>
      <c r="EL14" s="134"/>
      <c r="EM14" s="134"/>
      <c r="EN14" s="134"/>
      <c r="EO14" s="134"/>
      <c r="EP14" s="134"/>
      <c r="EQ14" s="134"/>
      <c r="ER14" s="134"/>
      <c r="ES14" s="134"/>
      <c r="ET14" s="134"/>
      <c r="EU14" s="134"/>
      <c r="EV14" s="134"/>
      <c r="EW14" s="134"/>
      <c r="EX14" s="134"/>
      <c r="EY14" s="134"/>
      <c r="EZ14" s="134"/>
      <c r="FA14" s="134"/>
      <c r="FB14" s="134"/>
      <c r="FC14" s="134"/>
      <c r="FD14" s="134"/>
      <c r="FE14" s="134"/>
      <c r="FF14" s="134"/>
      <c r="FG14" s="134"/>
      <c r="FH14" s="134"/>
      <c r="FI14" s="134"/>
      <c r="FJ14" s="134"/>
      <c r="FK14" s="134"/>
      <c r="FL14" s="134"/>
      <c r="FM14" s="134"/>
      <c r="FN14" s="134"/>
      <c r="FO14" s="134"/>
      <c r="FP14" s="65"/>
      <c r="FQ14" s="124"/>
      <c r="FR14" s="122"/>
      <c r="FS14" s="120"/>
      <c r="FT14" s="119"/>
    </row>
    <row r="15" spans="2:177" ht="15.75" hidden="1" thickBot="1" x14ac:dyDescent="0.3">
      <c r="B15" s="62" t="b">
        <f>IF(OR(AND(G15&gt;='Geometry 2'!$AK$5,G15&lt;'Geometry 2'!$AL$5),AND(G15&gt;='Geometry 2'!$AK$6,G15&lt;'Geometry 2'!$AL$6),AND(G15&gt;='Geometry 2'!$AK$7,G15&lt;'Geometry 2'!$AL$7),AND(G15&gt;='Geometry 2'!$AK$8,G15&lt;'Geometry 2'!$AL$8),AND(G15&gt;='Geometry 2'!$AK$9,G15&lt;'Geometry 2'!$AL$9),AND(G15&gt;='Geometry 2'!$AK$10,G15&lt;'Geometry 2'!$AL$10),AND(G15&gt;='Geometry 2'!$AK$11,G15&lt;'Geometry 2'!$AL$11),AND(G15&gt;='Geometry 2'!$AK$12,G15&lt;'Geometry 2'!$AL$12),AND(G15&gt;='Geometry 2'!$AK$13,G15&lt;'Geometry 2'!$AL$13),AND(G15&gt;='Geometry 2'!$AK$14,G15&lt;'Geometry 2'!$AL$14)),TRUE,FALSE)</f>
        <v>0</v>
      </c>
      <c r="C15" s="4" t="str">
        <f t="shared" si="3"/>
        <v/>
      </c>
      <c r="D15" s="766" t="str">
        <f t="shared" si="4"/>
        <v/>
      </c>
      <c r="E15" s="767"/>
      <c r="F15" s="17" t="str">
        <f t="shared" si="2"/>
        <v/>
      </c>
      <c r="G15" s="768" t="str">
        <f>IF(D15="","",MAX(0,G14-IF(inc="n/a",999,inc),MAX(IF(G14&lt;=Hta_1,0,Hta_1),IF(G14&lt;=Hta_2,0,Hta_2),IF(G14&lt;=Hta_3,0,Hta_3),IF(G14&lt;=Hta_4,0,Hta_4),IF(G14&lt;=Hta_5,0,Hta_5),IF(G14&lt;=Hta_6,0,Hta_6),IF(G14&lt;=Hta_7,0,Hta_7),IF(G14&lt;=Hta_8,0,Hta_8),IF(G14&lt;=Hta_9,0,Hta_9),IF(G14&lt;=Hta_10,0,Hta_10),IF(G14&lt;=Hta_11,0,Hta_11),IF(G14&lt;=Hta_12,0,Hta_12),IF(G14&lt;=Hta_13,0,Hta_13),IF(G14&lt;=Hta_14,0,Hta_14),IF(G14&lt;=Hta_15,0,Hta_15),IF(G14&lt;=Hta_16,0,Hta_16),IF(G14&lt;=Hta_17,0,Hta_17),IF(G14&lt;=Hta_18,0,Hta_18),IF(G14&lt;=Hta_19,0,Hta_19),IF(G14&lt;=Hta_20,0,Hta_20),IF(G14&lt;=Hta_21,0,Hta_21),IF(G14&lt;=Hta_22,0,Hta_22),IF(G14&lt;=Hta_23,0,Hta_23),IF(G14&lt;=Hta_24,0,Hta_24),IF(G14&lt;=Hta_25,0,Hta_25),IF(G14&lt;=Hta_26,0,Hta_26),IF(G14&lt;=Hta_27,0,Hta_27),IF(G14&lt;=Hta_28,0,Hta_28),IF(G14&lt;=Hta_29,0,Hta_29),IF(G14&lt;=Hta_30,0,Hta_30)),MAX(IF(G14&lt;=Hta_1-0.25,0,Hta_1-0.25),IF(G14&lt;=Hta_2-0.25,0,Hta_2-0.25),IF(G14&lt;=Hta_3-0.25,0,Hta_3-0.25),IF(G14&lt;=Hta_4-0.25,0,Hta_4-0.25),IF(G14&lt;=Hta_5-0.25,0,Hta_5-0.25),IF(G14&lt;=Hta_6-0.25,0,Hta_6-0.25),IF(G14&lt;=Hta_7-0.25,0,Hta_7-0.25),IF(G14&lt;=Hta_8-0.25,0,Hta_8-0.25),IF(G14&lt;=Hta_9-0.25,0,Hta_9-0.25),IF(G14&lt;=Hta_10-0.25,0,Hta_10-0.25),IF(G14&lt;=Hta_11-0.25,0,Hta_11-0.25),IF(G14&lt;=Hta_12-0.25,0,Hta_12-0.25),IF(G14&lt;=Hta_13-0.25,0,Hta_13-0.25),IF(G14&lt;=Hta_14-0.25,0,Hta_14-0.25),IF(G14&lt;=Hta_15-0.25,0,Hta_15-0.25),IF(G14&lt;=Hta_16-0.25,0,Hta_16-0.25),IF(G14&lt;=Hta_17-0.25,0,Hta_17-0.25),IF(G14&lt;=Hta_18-0.25,0,Hta_18-0.25),IF(G14&lt;=Hta_19-0.25,0,Hta_19-0.25),IF(G14&lt;=Hta_20-0.25,0,Hta_20-0.25),IF(G14&lt;=Hta_21-0.25,0,Hta_21-0.25),IF(G14&lt;=Hta_22-0.25,0,Hta_22-0.25),IF(G14&lt;=Hta_23-0.25,0,Hta_23-0.25),IF(G14&lt;=Hta_24-0.25,0,Hta_24-0.25),IF(G14&lt;=Hta_25-0.25,0,Hta_25-0.25),IF(G14&lt;=Hta_26-0.25,0,Hta_26-0.25),IF(G14&lt;=Hta_27-0.25,0,Hta_27-0.25),IF(G14&lt;=Hta_28-0.25,0,Hta_28-0.25),IF(G14&lt;=Hta_29-0.25,0,Hta_29-0.25),IF(G14&lt;=Hta_30-0.25,0,Hta_30-0.25)),MAX(IF(G14&lt;=Hba_1,0,Hba_1),IF(G14&lt;=Hba_2,0,Hba_2),IF(G14&lt;=Hba_3,0,Hba_3),IF(G14&lt;=Hba_4,0,Hba_4),IF(G14&lt;=Hba_5,0,Hba_5),IF(G14&lt;=Hba_6,0,Hba_6),IF(G14&lt;=Hba_7,0,Hba_7),IF(G14&lt;=Hba_8,0,Hba_8),IF(G14&lt;=Hba_9,0,Hba_9),IF(G14&lt;=Hba_10,0,Hba_10),IF(G14&lt;=Hba_11,0,Hba_11),IF(G14&lt;=Hba_12,0,Hba_12),IF(G14&lt;=Hba_13,0,Hba_13),IF(G14&lt;=Hba_14,0,Hba_14),IF(G14&lt;=Hba_15,0,Hba_15),IF(G14&lt;=Hba_16,0,Hba_16),IF(G14&lt;=Hba_17,0,Hba_17),IF(G14&lt;=Hba_18,0,Hba_18),IF(G14&lt;=Hba_19,0,Hba_19),IF(G14&lt;=Hba_20,0,Hba_20),IF(G14&lt;=Hba_21,0,Hba_21),IF(G14&lt;=Hba_22,0,Hba_22),IF(G14&lt;=Hba_23,0,Hba_23),IF(G14&lt;=Hba_24,0,Hba_24),IF(G14&lt;=Hba_25,0,Hba_25),IF(G14&lt;=Hba_26,0,Hba_26),IF(G14&lt;=Hba_27,0,Hba_27),IF(G14&lt;=Hba_28,0,Hba_28),IF(G14&lt;=Hba_29,0,Hba_29),IF(G14&lt;=Hba_30,0,Hba_30)),MAX(IF(G14&lt;=Input!$C$8,0,Input!$C$8),IF(G14&lt;=Input!$C$9,0,Input!$C$9),IF(G14&lt;=Input!$C$10,0,Input!$C$10),IF(G14&lt;=Input!$C$11,0,Input!$C$11),IF(G14&lt;=Input!$C$12,0,Input!$C$12),IF(G14&lt;=Input!$C$13,0,Input!$C$13),IF(G14&lt;=Input!$C$14,0,Input!$C$14),IF(G14&lt;=Input!$C$15,0,Input!$C$15),IF(G14&lt;=Input!$C$16,0,Input!$C$16)),MAX(IF(G14&lt;=Hba_1-0.25,0,Hba_1-0.25),IF(G14&lt;=Hba_2-0.25,0,Hba_2-0.25),IF(G14&lt;=Hba_3-0.25,0,Hba_3-0.25),IF(G14&lt;=Hba_4-0.25,0,Hba_4-0.25),IF(G14&lt;=Hba_5-0.25,0,Hba_5-0.25),IF(G14&lt;=Hba_6-0.25,0,Hba_6-0.25),IF(G14&lt;=Hba_7-0.25,0,Hba_7-0.25),IF(G14&lt;=Hba_8-0.25,0,Hba_8-0.25),IF(G14&lt;=Hba_9-0.25,0,Hba_9-0.25),IF(G14&lt;=Hba_10-0.25,0,Hba_10-0.25),IF(G14&lt;=Hba_11-0.25,0,Hba_11-0.25),IF(G14&lt;=Hba_12-0.25,0,Hba_12-0.25),IF(G14&lt;=Hba_13-0.25,0,Hba_13-0.25),IF(G14&lt;=Hba_14-0.25,0,Hba_14-0.25),IF(G14&lt;=Hba_15-0.25,0,Hba_15-0.25),IF(G14&lt;=Hba_16-0.25,0,Hba_16-0.25),IF(G14&lt;=Hba_17-0.25,0,Hba_17-0.25),IF(G14&lt;=Hba_18-0.25,0,Hba_18-0.25),IF(G14&lt;=Hba_19-0.25,0,Hba_19-0.25),IF(G14&lt;=Hba_20-0.25,0,Hba_20-0.25),IF(G14&lt;=Hba_21-0.25,0,Hba_21-0.25),IF(G14&lt;=Hba_22-0.25,0,Hba_22-0.25),IF(G14&lt;=Hba_23-0.25,0,Hba_23-0.25),IF(G14&lt;=Hba_24-0.25,0,Hba_24-0.25),IF(G14&lt;=Hba_25-0.25,0,Hba_25-0.25),IF(G14&lt;=Hba_26-0.25,0,Hba_26-0.25),IF(G14&lt;=Hba_27-0.25,0,Hba_27-0.25),IF(G14&lt;=Hba_28-0.25,0,Hba_28-0.25),IF(G14&lt;=Hba_29-0.25,0,Hba_29-0.25),IF(G14&lt;=Hba_30-0.25,0,Hba_30-0.25)),IF(G14&lt;='Macro References'!$A$38,0,'Macro References'!$A$38)))</f>
        <v/>
      </c>
      <c r="H15" s="769"/>
      <c r="I15" s="228"/>
      <c r="J15" s="228"/>
      <c r="K15" s="228"/>
      <c r="L15" s="717" t="str">
        <f t="shared" si="0"/>
        <v/>
      </c>
      <c r="M15" s="717"/>
      <c r="N15" s="717"/>
      <c r="O15" s="717"/>
      <c r="P15" s="717" t="str">
        <f>IF(OR(G15=0,G15=""),"",IF(VLOOKUP(G15,'Geometry 2'!$C$4:$AI$14,1,TRUE)=VLOOKUP(G16,'Geometry 2'!$C$4:$AI$14,1,TRUE),"",IF(VLOOKUP(G15,'Geometry 2'!$C$4:$AI$14,33,TRUE)&lt;&gt;"n/a",MIN(G15,VLOOKUP(G15,'Geometry 2'!$C$4:$AI$14,1,TRUE))-VLOOKUP(G15,'Geometry 2'!$C$4:$AI$14,33,TRUE),"check")))</f>
        <v/>
      </c>
      <c r="Q15" s="717"/>
      <c r="R15" s="717"/>
      <c r="S15" s="717"/>
      <c r="T15" s="717" t="str">
        <f>IF($G15="","",VLOOKUP($G15,'Geometry 2'!$E$4:$AH$14,11,TRUE))</f>
        <v/>
      </c>
      <c r="U15" s="717"/>
      <c r="V15" s="717"/>
      <c r="W15" s="717"/>
      <c r="X15" s="716" t="str">
        <f>IF($G15="","",VLOOKUP($G15,'Geometry 2'!$E$4:$AJ$14,19,TRUE)-12*VLOOKUP($G15,'Geometry 2'!$E$4:$AJ$14,32,TRUE)*($D15-VLOOKUP($G15,'Geometry 2'!$E$5:$AH$14,1,TRUE)))</f>
        <v/>
      </c>
      <c r="Y15" s="716"/>
      <c r="Z15" s="716"/>
      <c r="AA15" s="716"/>
      <c r="AB15" s="757" t="str">
        <f>IF($G15="","",VLOOKUP($G15,'Geometry 2'!$E$4:$AJ$14,19,TRUE)-12*VLOOKUP($G15,'Geometry 2'!$E$4:$AJ$14,32,TRUE)*($G15-VLOOKUP($G15,'Geometry 2'!$E$5:$AH$14,1,TRUE)))</f>
        <v/>
      </c>
      <c r="AC15" s="758"/>
      <c r="AD15" s="758"/>
      <c r="AE15" s="759"/>
      <c r="AF15" s="716" t="str">
        <f>IF($G15="","",VLOOKUP($G15,'Geometry 2'!$E$4:$AJ$14,19,TRUE)-12*VLOOKUP($G15,'Geometry 2'!$E$4:$AJ$14,32,TRUE)*($G15-IF($P15="",0,$P15)-VLOOKUP($G15,'Geometry 2'!$E$5:$AH$14,1,TRUE)))</f>
        <v/>
      </c>
      <c r="AG15" s="716"/>
      <c r="AH15" s="716"/>
      <c r="AI15" s="716"/>
      <c r="AJ15" s="746" t="str">
        <f>IF($G15="","",VLOOKUP($G15,'Geometry 2'!$E$4:$AH$14,23,TRUE))</f>
        <v/>
      </c>
      <c r="AK15" s="747"/>
      <c r="AL15" s="747"/>
      <c r="AM15" s="748"/>
      <c r="AN15" s="717"/>
      <c r="AO15" s="717"/>
      <c r="AP15" s="717"/>
      <c r="AQ15" s="717"/>
      <c r="AR15" s="717" t="str">
        <f>IF($G15="","",VLOOKUP($G15,'Geometry 2'!$E$4:$AH$14,27,TRUE))</f>
        <v/>
      </c>
      <c r="AS15" s="717"/>
      <c r="AT15" s="717"/>
      <c r="AU15" s="718"/>
      <c r="AV15" s="715"/>
      <c r="AW15" s="716"/>
      <c r="AX15" s="716"/>
      <c r="AZ15" s="722" t="str">
        <f t="shared" si="5"/>
        <v/>
      </c>
      <c r="BA15" s="723"/>
      <c r="BB15" s="723"/>
      <c r="BC15" s="724"/>
      <c r="BD15" s="722"/>
      <c r="BE15" s="723"/>
      <c r="BF15" s="723"/>
      <c r="BG15" s="722" t="str">
        <f t="shared" si="1"/>
        <v/>
      </c>
      <c r="BH15" s="723"/>
      <c r="BI15" s="723"/>
      <c r="BJ15" s="723"/>
      <c r="BK15" s="724"/>
      <c r="BL15" s="722"/>
      <c r="BM15" s="723"/>
      <c r="BN15" s="723"/>
      <c r="BO15" s="723"/>
      <c r="BP15" s="725"/>
      <c r="BQ15" s="725"/>
      <c r="BR15" s="722" t="str">
        <f>IF(BP15="","",IF(OR(AND(Rev="H",Calculations!$F$27=TRUE),AND(Rev&lt;&gt;"H",Calculations!$F$30=TRUE)),IF(BP15&lt;=1,"Pass","Fail"),IF(BP15&lt;=1.05,"Pass","Fail")))</f>
        <v/>
      </c>
      <c r="BS15" s="723"/>
      <c r="BT15" s="724"/>
      <c r="BU15" s="49"/>
      <c r="BV15" s="25" t="str">
        <f>IFERROR(CONCATENATE(IF(AND($G15&lt;Hta_1,$G15&gt;=Hba_1,Input!U$21&lt;&gt;""),Input!$B$21&amp;";",""),IF(AND($G15&lt;Hta_2,$G15&gt;=Hba_2,Input!U$22&lt;&gt;""),Input!$B$22&amp;";",""),IF(AND($G15&lt;Hta_3,$G15&gt;=Hba_3,Input!U$23&lt;&gt;""),Input!$B$23&amp;";",""),IF(AND($G15&lt;Hta_4,$G15&gt;=Hba_4,Input!U$24&lt;&gt;""),Input!$B$24&amp;";",""),IF(AND($G15&lt;Hta_5,$G15&gt;=Hba_5,Input!U$25&lt;&gt;""),Input!$B$25&amp;";",""),IF(AND($G15&lt;Hta_6,$G15&gt;=Hba_6,Input!U$26&lt;&gt;""),Input!$B$26&amp;";",""),IF(AND($G15&lt;Hta_7,$G15&gt;=Hba_7,Input!U$27&lt;&gt;""),Input!$B$27&amp;";",""),IF(AND($G15&lt;Hta_8,$G15&gt;=Hba_8,Input!U$28&lt;&gt;""),Input!$B$28&amp;";",""),IF(AND($G15&lt;Hta_9,$G15&gt;=Hba_9,Input!U$29&lt;&gt;""),Input!$B$29&amp;";",""),IF(AND($G15&lt;Hta_10,$G15&gt;=Hba_10,Input!U$30&lt;&gt;""),Input!$B$30&amp;";",""),IF(AND($G15&lt;Hta_11,$G15&gt;=Hba_11,Input!U$31&lt;&gt;""),Input!$B$31&amp;";",""),IF(AND($G15&lt;Hta_12,$G15&gt;=Hba_12,Input!U$32&lt;&gt;""),Input!$B$32&amp;";",""),IF(AND($G15&lt;Hta_13,$G15&gt;=Hba_13,Input!U$33&lt;&gt;""),Input!$B$33&amp;";",""),IF(AND($G15&lt;Hta_14,$G15&gt;=Hba_14,Input!U$34&lt;&gt;""),Input!$B$34&amp;";",""),IF(AND($G15&lt;Hta_15,$G15&gt;=Hba_15,Input!U$35&lt;&gt;""),Input!$B$35&amp;";",""),IF(AND($G15&lt;Hta_16,$G15&gt;=Hba_16,Input!U$36&lt;&gt;""),Input!$B$36&amp;";",""),IF(AND($G15&lt;Hta_17,$G15&gt;=Hba_17,Input!U$37&lt;&gt;""),Input!$B$37&amp;";",""),IF(AND($G15&lt;Hta_18,$G15&gt;=Hba_18,Input!U$38&lt;&gt;""),Input!$B$38&amp;";",""),IF(AND($G15&lt;Hta_19,$G15&gt;=Hba_19,Input!U$39&lt;&gt;""),Input!$B$39&amp;";",""),IF(AND($G15&lt;Hta_20,$G15&gt;=Hba_20,Input!U$40&lt;&gt;""),Input!$B$40&amp;";",""),IF(AND($G15&lt;Hta_21,$G15&gt;=Hba_21,Input!U$41&lt;&gt;""),Input!$B$41&amp;";",""),IF(AND($G15&lt;Hta_22,$G15&gt;=Hba_22,Input!U$42&lt;&gt;""),Input!$B$42&amp;";",""),IF(AND($G15&lt;Hta_23,$G15&gt;=Hba_23,Input!U$43&lt;&gt;""),Input!$B$43&amp;";",""),IF(AND($G15&lt;Hta_24,$G15&gt;=Hba_24,Input!U$44&lt;&gt;""),Input!$B$44&amp;";",""),IF(AND($G15&lt;Hta_25,$G15&gt;=Hba_25,Input!U$45&lt;&gt;""),Input!$B$45&amp;";",""),IF(AND($G15&lt;Hta_26,$G15&gt;=Hba_26,Input!U$46&lt;&gt;""),Input!$B$46&amp;";",""),IF(AND($G15&lt;Hta_27,$G15&gt;=Hba_27,Input!U$47&lt;&gt;""),Input!$B$47&amp;";",""),IF(AND($G15&lt;Hta_28,$G15&gt;=Hba_28,Input!U$48&lt;&gt;""),Input!$B$48&amp;";",""),IF(AND($G15&lt;Hta_29,$G15&gt;=Hba_29,Input!U$49&lt;&gt;""),Input!$B$49&amp;";",""),IF(AND($G15&lt;Hta_30,$G15&gt;=Hba_30,Input!U$50&lt;&gt;""),Input!$B$50&amp;";","")),"")</f>
        <v/>
      </c>
      <c r="BW15" s="25" t="str">
        <f>IFERROR(CONCATENATE(IF(AND($G15&lt;Hta_1,$G15&gt;=Hba_1,Input!V$21&lt;&gt;""),Input!$B$21&amp;";",""),IF(AND($G15&lt;Hta_2,$G15&gt;=Hba_2,Input!V$22&lt;&gt;""),Input!$B$22&amp;";",""),IF(AND($G15&lt;Hta_3,$G15&gt;=Hba_3,Input!V$23&lt;&gt;""),Input!$B$23&amp;";",""),IF(AND($G15&lt;Hta_4,$G15&gt;=Hba_4,Input!V$24&lt;&gt;""),Input!$B$24&amp;";",""),IF(AND($G15&lt;Hta_5,$G15&gt;=Hba_5,Input!V$25&lt;&gt;""),Input!$B$25&amp;";",""),IF(AND($G15&lt;Hta_6,$G15&gt;=Hba_6,Input!V$26&lt;&gt;""),Input!$B$26&amp;";",""),IF(AND($G15&lt;Hta_7,$G15&gt;=Hba_7,Input!V$27&lt;&gt;""),Input!$B$27&amp;";",""),IF(AND($G15&lt;Hta_8,$G15&gt;=Hba_8,Input!V$28&lt;&gt;""),Input!$B$28&amp;";",""),IF(AND($G15&lt;Hta_9,$G15&gt;=Hba_9,Input!V$29&lt;&gt;""),Input!$B$29&amp;";",""),IF(AND($G15&lt;Hta_10,$G15&gt;=Hba_10,Input!V$30&lt;&gt;""),Input!$B$30&amp;";",""),IF(AND($G15&lt;Hta_11,$G15&gt;=Hba_11,Input!V$31&lt;&gt;""),Input!$B$31&amp;";",""),IF(AND($G15&lt;Hta_12,$G15&gt;=Hba_12,Input!V$32&lt;&gt;""),Input!$B$32&amp;";",""),IF(AND($G15&lt;Hta_13,$G15&gt;=Hba_13,Input!V$33&lt;&gt;""),Input!$B$33&amp;";",""),IF(AND($G15&lt;Hta_14,$G15&gt;=Hba_14,Input!V$34&lt;&gt;""),Input!$B$34&amp;";",""),IF(AND($G15&lt;Hta_15,$G15&gt;=Hba_15,Input!V$35&lt;&gt;""),Input!$B$35&amp;";",""),IF(AND($G15&lt;Hta_16,$G15&gt;=Hba_16,Input!V$36&lt;&gt;""),Input!$B$36&amp;";",""),IF(AND($G15&lt;Hta_17,$G15&gt;=Hba_17,Input!V$37&lt;&gt;""),Input!$B$37&amp;";",""),IF(AND($G15&lt;Hta_18,$G15&gt;=Hba_18,Input!V$38&lt;&gt;""),Input!$B$38&amp;";",""),IF(AND($G15&lt;Hta_19,$G15&gt;=Hba_19,Input!V$39&lt;&gt;""),Input!$B$39&amp;";",""),IF(AND($G15&lt;Hta_20,$G15&gt;=Hba_20,Input!V$40&lt;&gt;""),Input!$B$40&amp;";",""),IF(AND($G15&lt;Hta_21,$G15&gt;=Hba_21,Input!V$41&lt;&gt;""),Input!$B$41&amp;";",""),IF(AND($G15&lt;Hta_22,$G15&gt;=Hba_22,Input!V$42&lt;&gt;""),Input!$B$42&amp;";",""),IF(AND($G15&lt;Hta_23,$G15&gt;=Hba_23,Input!V$43&lt;&gt;""),Input!$B$43&amp;";",""),IF(AND($G15&lt;Hta_24,$G15&gt;=Hba_24,Input!V$44&lt;&gt;""),Input!$B$44&amp;";",""),IF(AND($G15&lt;Hta_25,$G15&gt;=Hba_25,Input!V$45&lt;&gt;""),Input!$B$45&amp;";",""),IF(AND($G15&lt;Hta_26,$G15&gt;=Hba_26,Input!V$46&lt;&gt;""),Input!$B$46&amp;";",""),IF(AND($G15&lt;Hta_27,$G15&gt;=Hba_27,Input!V$47&lt;&gt;""),Input!$B$47&amp;";",""),IF(AND($G15&lt;Hta_28,$G15&gt;=Hba_28,Input!V$48&lt;&gt;""),Input!$B$48&amp;";",""),IF(AND($G15&lt;Hta_29,$G15&gt;=Hba_29,Input!V$49&lt;&gt;""),Input!$B$49&amp;";",""),IF(AND($G15&lt;Hta_30,$G15&gt;=Hba_30,Input!V$50&lt;&gt;""),Input!$B$50&amp;";","")),"")</f>
        <v/>
      </c>
      <c r="BX15" s="25" t="str">
        <f>IFERROR(CONCATENATE(IF(AND($G15&lt;Hta_1,$G15&gt;=Hba_1,Input!W$21&lt;&gt;""),Input!$B$21&amp;";",""),IF(AND($G15&lt;Hta_2,$G15&gt;=Hba_2,Input!W$22&lt;&gt;""),Input!$B$22&amp;";",""),IF(AND($G15&lt;Hta_3,$G15&gt;=Hba_3,Input!W$23&lt;&gt;""),Input!$B$23&amp;";",""),IF(AND($G15&lt;Hta_4,$G15&gt;=Hba_4,Input!W$24&lt;&gt;""),Input!$B$24&amp;";",""),IF(AND($G15&lt;Hta_5,$G15&gt;=Hba_5,Input!W$25&lt;&gt;""),Input!$B$25&amp;";",""),IF(AND($G15&lt;Hta_6,$G15&gt;=Hba_6,Input!W$26&lt;&gt;""),Input!$B$26&amp;";",""),IF(AND($G15&lt;Hta_7,$G15&gt;=Hba_7,Input!W$27&lt;&gt;""),Input!$B$27&amp;";",""),IF(AND($G15&lt;Hta_8,$G15&gt;=Hba_8,Input!W$28&lt;&gt;""),Input!$B$28&amp;";",""),IF(AND($G15&lt;Hta_9,$G15&gt;=Hba_9,Input!W$29&lt;&gt;""),Input!$B$29&amp;";",""),IF(AND($G15&lt;Hta_10,$G15&gt;=Hba_10,Input!W$30&lt;&gt;""),Input!$B$30&amp;";",""),IF(AND($G15&lt;Hta_11,$G15&gt;=Hba_11,Input!W$31&lt;&gt;""),Input!$B$31&amp;";",""),IF(AND($G15&lt;Hta_12,$G15&gt;=Hba_12,Input!W$32&lt;&gt;""),Input!$B$32&amp;";",""),IF(AND($G15&lt;Hta_13,$G15&gt;=Hba_13,Input!W$33&lt;&gt;""),Input!$B$33&amp;";",""),IF(AND($G15&lt;Hta_14,$G15&gt;=Hba_14,Input!W$34&lt;&gt;""),Input!$B$34&amp;";",""),IF(AND($G15&lt;Hta_15,$G15&gt;=Hba_15,Input!W$35&lt;&gt;""),Input!$B$35&amp;";",""),IF(AND($G15&lt;Hta_16,$G15&gt;=Hba_16,Input!W$36&lt;&gt;""),Input!$B$36&amp;";",""),IF(AND($G15&lt;Hta_17,$G15&gt;=Hba_17,Input!W$37&lt;&gt;""),Input!$B$37&amp;";",""),IF(AND($G15&lt;Hta_18,$G15&gt;=Hba_18,Input!W$38&lt;&gt;""),Input!$B$38&amp;";",""),IF(AND($G15&lt;Hta_19,$G15&gt;=Hba_19,Input!W$39&lt;&gt;""),Input!$B$39&amp;";",""),IF(AND($G15&lt;Hta_20,$G15&gt;=Hba_20,Input!W$40&lt;&gt;""),Input!$B$40&amp;";",""),IF(AND($G15&lt;Hta_21,$G15&gt;=Hba_21,Input!W$41&lt;&gt;""),Input!$B$41&amp;";",""),IF(AND($G15&lt;Hta_22,$G15&gt;=Hba_22,Input!W$42&lt;&gt;""),Input!$B$42&amp;";",""),IF(AND($G15&lt;Hta_23,$G15&gt;=Hba_23,Input!W$43&lt;&gt;""),Input!$B$43&amp;";",""),IF(AND($G15&lt;Hta_24,$G15&gt;=Hba_24,Input!W$44&lt;&gt;""),Input!$B$44&amp;";",""),IF(AND($G15&lt;Hta_25,$G15&gt;=Hba_25,Input!W$45&lt;&gt;""),Input!$B$45&amp;";",""),IF(AND($G15&lt;Hta_26,$G15&gt;=Hba_26,Input!W$46&lt;&gt;""),Input!$B$46&amp;";",""),IF(AND($G15&lt;Hta_27,$G15&gt;=Hba_27,Input!W$47&lt;&gt;""),Input!$B$47&amp;";",""),IF(AND($G15&lt;Hta_28,$G15&gt;=Hba_28,Input!W$48&lt;&gt;""),Input!$B$48&amp;";",""),IF(AND($G15&lt;Hta_29,$G15&gt;=Hba_29,Input!W$49&lt;&gt;""),Input!$B$49&amp;";",""),IF(AND($G15&lt;Hta_30,$G15&gt;=Hba_30,Input!W$50&lt;&gt;""),Input!$B$50&amp;";","")),"")</f>
        <v/>
      </c>
      <c r="BY15" s="25" t="str">
        <f>IFERROR(CONCATENATE(IF(AND($G15&lt;Hta_1,$G15&gt;=Hba_1,Input!X$21&lt;&gt;""),Input!$B$21&amp;";",""),IF(AND($G15&lt;Hta_2,$G15&gt;=Hba_2,Input!X$22&lt;&gt;""),Input!$B$22&amp;";",""),IF(AND($G15&lt;Hta_3,$G15&gt;=Hba_3,Input!X$23&lt;&gt;""),Input!$B$23&amp;";",""),IF(AND($G15&lt;Hta_4,$G15&gt;=Hba_4,Input!X$24&lt;&gt;""),Input!$B$24&amp;";",""),IF(AND($G15&lt;Hta_5,$G15&gt;=Hba_5,Input!X$25&lt;&gt;""),Input!$B$25&amp;";",""),IF(AND($G15&lt;Hta_6,$G15&gt;=Hba_6,Input!X$26&lt;&gt;""),Input!$B$26&amp;";",""),IF(AND($G15&lt;Hta_7,$G15&gt;=Hba_7,Input!X$27&lt;&gt;""),Input!$B$27&amp;";",""),IF(AND($G15&lt;Hta_8,$G15&gt;=Hba_8,Input!X$28&lt;&gt;""),Input!$B$28&amp;";",""),IF(AND($G15&lt;Hta_9,$G15&gt;=Hba_9,Input!X$29&lt;&gt;""),Input!$B$29&amp;";",""),IF(AND($G15&lt;Hta_10,$G15&gt;=Hba_10,Input!X$30&lt;&gt;""),Input!$B$30&amp;";",""),IF(AND($G15&lt;Hta_11,$G15&gt;=Hba_11,Input!X$31&lt;&gt;""),Input!$B$31&amp;";",""),IF(AND($G15&lt;Hta_12,$G15&gt;=Hba_12,Input!X$32&lt;&gt;""),Input!$B$32&amp;";",""),IF(AND($G15&lt;Hta_13,$G15&gt;=Hba_13,Input!X$33&lt;&gt;""),Input!$B$33&amp;";",""),IF(AND($G15&lt;Hta_14,$G15&gt;=Hba_14,Input!X$34&lt;&gt;""),Input!$B$34&amp;";",""),IF(AND($G15&lt;Hta_15,$G15&gt;=Hba_15,Input!X$35&lt;&gt;""),Input!$B$35&amp;";",""),IF(AND($G15&lt;Hta_16,$G15&gt;=Hba_16,Input!X$36&lt;&gt;""),Input!$B$36&amp;";",""),IF(AND($G15&lt;Hta_17,$G15&gt;=Hba_17,Input!X$37&lt;&gt;""),Input!$B$37&amp;";",""),IF(AND($G15&lt;Hta_18,$G15&gt;=Hba_18,Input!X$38&lt;&gt;""),Input!$B$38&amp;";",""),IF(AND($G15&lt;Hta_19,$G15&gt;=Hba_19,Input!X$39&lt;&gt;""),Input!$B$39&amp;";",""),IF(AND($G15&lt;Hta_20,$G15&gt;=Hba_20,Input!X$40&lt;&gt;""),Input!$B$40&amp;";",""),IF(AND($G15&lt;Hta_21,$G15&gt;=Hba_21,Input!X$41&lt;&gt;""),Input!$B$41&amp;";",""),IF(AND($G15&lt;Hta_22,$G15&gt;=Hba_22,Input!X$42&lt;&gt;""),Input!$B$42&amp;";",""),IF(AND($G15&lt;Hta_23,$G15&gt;=Hba_23,Input!X$43&lt;&gt;""),Input!$B$43&amp;";",""),IF(AND($G15&lt;Hta_24,$G15&gt;=Hba_24,Input!X$44&lt;&gt;""),Input!$B$44&amp;";",""),IF(AND($G15&lt;Hta_25,$G15&gt;=Hba_25,Input!X$45&lt;&gt;""),Input!$B$45&amp;";",""),IF(AND($G15&lt;Hta_26,$G15&gt;=Hba_26,Input!X$46&lt;&gt;""),Input!$B$46&amp;";",""),IF(AND($G15&lt;Hta_27,$G15&gt;=Hba_27,Input!X$47&lt;&gt;""),Input!$B$47&amp;";",""),IF(AND($G15&lt;Hta_28,$G15&gt;=Hba_28,Input!X$48&lt;&gt;""),Input!$B$48&amp;";",""),IF(AND($G15&lt;Hta_29,$G15&gt;=Hba_29,Input!X$49&lt;&gt;""),Input!$B$49&amp;";",""),IF(AND($G15&lt;Hta_30,$G15&gt;=Hba_30,Input!X$50&lt;&gt;""),Input!$B$50&amp;";","")),"")</f>
        <v/>
      </c>
      <c r="BZ15" s="25" t="str">
        <f>IFERROR(CONCATENATE(IF(AND($G15&lt;Hta_1,$G15&gt;=Hba_1,Input!Y$21&lt;&gt;""),Input!$B$21&amp;";",""),IF(AND($G15&lt;Hta_2,$G15&gt;=Hba_2,Input!Y$22&lt;&gt;""),Input!$B$22&amp;";",""),IF(AND($G15&lt;Hta_3,$G15&gt;=Hba_3,Input!Y$23&lt;&gt;""),Input!$B$23&amp;";",""),IF(AND($G15&lt;Hta_4,$G15&gt;=Hba_4,Input!Y$24&lt;&gt;""),Input!$B$24&amp;";",""),IF(AND($G15&lt;Hta_5,$G15&gt;=Hba_5,Input!Y$25&lt;&gt;""),Input!$B$25&amp;";",""),IF(AND($G15&lt;Hta_6,$G15&gt;=Hba_6,Input!Y$26&lt;&gt;""),Input!$B$26&amp;";",""),IF(AND($G15&lt;Hta_7,$G15&gt;=Hba_7,Input!Y$27&lt;&gt;""),Input!$B$27&amp;";",""),IF(AND($G15&lt;Hta_8,$G15&gt;=Hba_8,Input!Y$28&lt;&gt;""),Input!$B$28&amp;";",""),IF(AND($G15&lt;Hta_9,$G15&gt;=Hba_9,Input!Y$29&lt;&gt;""),Input!$B$29&amp;";",""),IF(AND($G15&lt;Hta_10,$G15&gt;=Hba_10,Input!Y$30&lt;&gt;""),Input!$B$30&amp;";",""),IF(AND($G15&lt;Hta_11,$G15&gt;=Hba_11,Input!Y$31&lt;&gt;""),Input!$B$31&amp;";",""),IF(AND($G15&lt;Hta_12,$G15&gt;=Hba_12,Input!Y$32&lt;&gt;""),Input!$B$32&amp;";",""),IF(AND($G15&lt;Hta_13,$G15&gt;=Hba_13,Input!Y$33&lt;&gt;""),Input!$B$33&amp;";",""),IF(AND($G15&lt;Hta_14,$G15&gt;=Hba_14,Input!Y$34&lt;&gt;""),Input!$B$34&amp;";",""),IF(AND($G15&lt;Hta_15,$G15&gt;=Hba_15,Input!Y$35&lt;&gt;""),Input!$B$35&amp;";",""),IF(AND($G15&lt;Hta_16,$G15&gt;=Hba_16,Input!Y$36&lt;&gt;""),Input!$B$36&amp;";",""),IF(AND($G15&lt;Hta_17,$G15&gt;=Hba_17,Input!Y$37&lt;&gt;""),Input!$B$37&amp;";",""),IF(AND($G15&lt;Hta_18,$G15&gt;=Hba_18,Input!Y$38&lt;&gt;""),Input!$B$38&amp;";",""),IF(AND($G15&lt;Hta_19,$G15&gt;=Hba_19,Input!Y$39&lt;&gt;""),Input!$B$39&amp;";",""),IF(AND($G15&lt;Hta_20,$G15&gt;=Hba_20,Input!Y$40&lt;&gt;""),Input!$B$40&amp;";",""),IF(AND($G15&lt;Hta_21,$G15&gt;=Hba_21,Input!Y$41&lt;&gt;""),Input!$B$41&amp;";",""),IF(AND($G15&lt;Hta_22,$G15&gt;=Hba_22,Input!Y$42&lt;&gt;""),Input!$B$42&amp;";",""),IF(AND($G15&lt;Hta_23,$G15&gt;=Hba_23,Input!Y$43&lt;&gt;""),Input!$B$43&amp;";",""),IF(AND($G15&lt;Hta_24,$G15&gt;=Hba_24,Input!Y$44&lt;&gt;""),Input!$B$44&amp;";",""),IF(AND($G15&lt;Hta_25,$G15&gt;=Hba_25,Input!Y$45&lt;&gt;""),Input!$B$45&amp;";",""),IF(AND($G15&lt;Hta_26,$G15&gt;=Hba_26,Input!Y$46&lt;&gt;""),Input!$B$46&amp;";",""),IF(AND($G15&lt;Hta_27,$G15&gt;=Hba_27,Input!Y$47&lt;&gt;""),Input!$B$47&amp;";",""),IF(AND($G15&lt;Hta_28,$G15&gt;=Hba_28,Input!Y$48&lt;&gt;""),Input!$B$48&amp;";",""),IF(AND($G15&lt;Hta_29,$G15&gt;=Hba_29,Input!Y$49&lt;&gt;""),Input!$B$49&amp;";",""),IF(AND($G15&lt;Hta_30,$G15&gt;=Hba_30,Input!Y$50&lt;&gt;""),Input!$B$50&amp;";","")),"")</f>
        <v/>
      </c>
      <c r="CA15" s="25" t="str">
        <f>IFERROR(CONCATENATE(IF(AND($G15&lt;Hta_1,$G15&gt;=Hba_1,Input!Z$21&lt;&gt;""),Input!$B$21&amp;";",""),IF(AND($G15&lt;Hta_2,$G15&gt;=Hba_2,Input!Z$22&lt;&gt;""),Input!$B$22&amp;";",""),IF(AND($G15&lt;Hta_3,$G15&gt;=Hba_3,Input!Z$23&lt;&gt;""),Input!$B$23&amp;";",""),IF(AND($G15&lt;Hta_4,$G15&gt;=Hba_4,Input!Z$24&lt;&gt;""),Input!$B$24&amp;";",""),IF(AND($G15&lt;Hta_5,$G15&gt;=Hba_5,Input!Z$25&lt;&gt;""),Input!$B$25&amp;";",""),IF(AND($G15&lt;Hta_6,$G15&gt;=Hba_6,Input!Z$26&lt;&gt;""),Input!$B$26&amp;";",""),IF(AND($G15&lt;Hta_7,$G15&gt;=Hba_7,Input!Z$27&lt;&gt;""),Input!$B$27&amp;";",""),IF(AND($G15&lt;Hta_8,$G15&gt;=Hba_8,Input!Z$28&lt;&gt;""),Input!$B$28&amp;";",""),IF(AND($G15&lt;Hta_9,$G15&gt;=Hba_9,Input!Z$29&lt;&gt;""),Input!$B$29&amp;";",""),IF(AND($G15&lt;Hta_10,$G15&gt;=Hba_10,Input!Z$30&lt;&gt;""),Input!$B$30&amp;";",""),IF(AND($G15&lt;Hta_11,$G15&gt;=Hba_11,Input!Z$31&lt;&gt;""),Input!$B$31&amp;";",""),IF(AND($G15&lt;Hta_12,$G15&gt;=Hba_12,Input!Z$32&lt;&gt;""),Input!$B$32&amp;";",""),IF(AND($G15&lt;Hta_13,$G15&gt;=Hba_13,Input!Z$33&lt;&gt;""),Input!$B$33&amp;";",""),IF(AND($G15&lt;Hta_14,$G15&gt;=Hba_14,Input!Z$34&lt;&gt;""),Input!$B$34&amp;";",""),IF(AND($G15&lt;Hta_15,$G15&gt;=Hba_15,Input!Z$35&lt;&gt;""),Input!$B$35&amp;";",""),IF(AND($G15&lt;Hta_16,$G15&gt;=Hba_16,Input!Z$36&lt;&gt;""),Input!$B$36&amp;";",""),IF(AND($G15&lt;Hta_17,$G15&gt;=Hba_17,Input!Z$37&lt;&gt;""),Input!$B$37&amp;";",""),IF(AND($G15&lt;Hta_18,$G15&gt;=Hba_18,Input!Z$38&lt;&gt;""),Input!$B$38&amp;";",""),IF(AND($G15&lt;Hta_19,$G15&gt;=Hba_19,Input!Z$39&lt;&gt;""),Input!$B$39&amp;";",""),IF(AND($G15&lt;Hta_20,$G15&gt;=Hba_20,Input!Z$40&lt;&gt;""),Input!$B$40&amp;";",""),IF(AND($G15&lt;Hta_21,$G15&gt;=Hba_21,Input!Z$41&lt;&gt;""),Input!$B$41&amp;";",""),IF(AND($G15&lt;Hta_22,$G15&gt;=Hba_22,Input!Z$42&lt;&gt;""),Input!$B$42&amp;";",""),IF(AND($G15&lt;Hta_23,$G15&gt;=Hba_23,Input!Z$43&lt;&gt;""),Input!$B$43&amp;";",""),IF(AND($G15&lt;Hta_24,$G15&gt;=Hba_24,Input!Z$44&lt;&gt;""),Input!$B$44&amp;";",""),IF(AND($G15&lt;Hta_25,$G15&gt;=Hba_25,Input!Z$45&lt;&gt;""),Input!$B$45&amp;";",""),IF(AND($G15&lt;Hta_26,$G15&gt;=Hba_26,Input!Z$46&lt;&gt;""),Input!$B$46&amp;";",""),IF(AND($G15&lt;Hta_27,$G15&gt;=Hba_27,Input!Z$47&lt;&gt;""),Input!$B$47&amp;";",""),IF(AND($G15&lt;Hta_28,$G15&gt;=Hba_28,Input!Z$48&lt;&gt;""),Input!$B$48&amp;";",""),IF(AND($G15&lt;Hta_29,$G15&gt;=Hba_29,Input!Z$49&lt;&gt;""),Input!$B$49&amp;";",""),IF(AND($G15&lt;Hta_30,$G15&gt;=Hba_30,Input!Z$50&lt;&gt;""),Input!$B$50&amp;";","")),"")</f>
        <v/>
      </c>
      <c r="CB15" s="25" t="str">
        <f>IFERROR(CONCATENATE(IF(AND($G15&lt;Hta_1,$G15&gt;=Hba_1,Input!AA$21&lt;&gt;""),Input!$B$21&amp;";",""),IF(AND($G15&lt;Hta_2,$G15&gt;=Hba_2,Input!AA$22&lt;&gt;""),Input!$B$22&amp;";",""),IF(AND($G15&lt;Hta_3,$G15&gt;=Hba_3,Input!AA$23&lt;&gt;""),Input!$B$23&amp;";",""),IF(AND($G15&lt;Hta_4,$G15&gt;=Hba_4,Input!AA$24&lt;&gt;""),Input!$B$24&amp;";",""),IF(AND($G15&lt;Hta_5,$G15&gt;=Hba_5,Input!AA$25&lt;&gt;""),Input!$B$25&amp;";",""),IF(AND($G15&lt;Hta_6,$G15&gt;=Hba_6,Input!AA$26&lt;&gt;""),Input!$B$26&amp;";",""),IF(AND($G15&lt;Hta_7,$G15&gt;=Hba_7,Input!AA$27&lt;&gt;""),Input!$B$27&amp;";",""),IF(AND($G15&lt;Hta_8,$G15&gt;=Hba_8,Input!AA$28&lt;&gt;""),Input!$B$28&amp;";",""),IF(AND($G15&lt;Hta_9,$G15&gt;=Hba_9,Input!AA$29&lt;&gt;""),Input!$B$29&amp;";",""),IF(AND($G15&lt;Hta_10,$G15&gt;=Hba_10,Input!AA$30&lt;&gt;""),Input!$B$30&amp;";",""),IF(AND($G15&lt;Hta_11,$G15&gt;=Hba_11,Input!AA$31&lt;&gt;""),Input!$B$31&amp;";",""),IF(AND($G15&lt;Hta_12,$G15&gt;=Hba_12,Input!AA$32&lt;&gt;""),Input!$B$32&amp;";",""),IF(AND($G15&lt;Hta_13,$G15&gt;=Hba_13,Input!AA$33&lt;&gt;""),Input!$B$33&amp;";",""),IF(AND($G15&lt;Hta_14,$G15&gt;=Hba_14,Input!AA$34&lt;&gt;""),Input!$B$34&amp;";",""),IF(AND($G15&lt;Hta_15,$G15&gt;=Hba_15,Input!AA$35&lt;&gt;""),Input!$B$35&amp;";",""),IF(AND($G15&lt;Hta_16,$G15&gt;=Hba_16,Input!AA$36&lt;&gt;""),Input!$B$36&amp;";",""),IF(AND($G15&lt;Hta_17,$G15&gt;=Hba_17,Input!AA$37&lt;&gt;""),Input!$B$37&amp;";",""),IF(AND($G15&lt;Hta_18,$G15&gt;=Hba_18,Input!AA$38&lt;&gt;""),Input!$B$38&amp;";",""),IF(AND($G15&lt;Hta_19,$G15&gt;=Hba_19,Input!AA$39&lt;&gt;""),Input!$B$39&amp;";",""),IF(AND($G15&lt;Hta_20,$G15&gt;=Hba_20,Input!AA$40&lt;&gt;""),Input!$B$40&amp;";",""),IF(AND($G15&lt;Hta_21,$G15&gt;=Hba_21,Input!AA$41&lt;&gt;""),Input!$B$41&amp;";",""),IF(AND($G15&lt;Hta_22,$G15&gt;=Hba_22,Input!AA$42&lt;&gt;""),Input!$B$42&amp;";",""),IF(AND($G15&lt;Hta_23,$G15&gt;=Hba_23,Input!AA$43&lt;&gt;""),Input!$B$43&amp;";",""),IF(AND($G15&lt;Hta_24,$G15&gt;=Hba_24,Input!AA$44&lt;&gt;""),Input!$B$44&amp;";",""),IF(AND($G15&lt;Hta_25,$G15&gt;=Hba_25,Input!AA$45&lt;&gt;""),Input!$B$45&amp;";",""),IF(AND($G15&lt;Hta_26,$G15&gt;=Hba_26,Input!AA$46&lt;&gt;""),Input!$B$46&amp;";",""),IF(AND($G15&lt;Hta_27,$G15&gt;=Hba_27,Input!AA$47&lt;&gt;""),Input!$B$47&amp;";",""),IF(AND($G15&lt;Hta_28,$G15&gt;=Hba_28,Input!AA$48&lt;&gt;""),Input!$B$48&amp;";",""),IF(AND($G15&lt;Hta_29,$G15&gt;=Hba_29,Input!AA$49&lt;&gt;""),Input!$B$49&amp;";",""),IF(AND($G15&lt;Hta_30,$G15&gt;=Hba_30,Input!AA$50&lt;&gt;""),Input!$B$50&amp;";","")),"")</f>
        <v/>
      </c>
      <c r="CC15" s="25" t="str">
        <f>IFERROR(CONCATENATE(IF(AND($G15&lt;Hta_1,$G15&gt;=Hba_1,Input!AB$21&lt;&gt;""),Input!$B$21&amp;";",""),IF(AND($G15&lt;Hta_2,$G15&gt;=Hba_2,Input!AB$22&lt;&gt;""),Input!$B$22&amp;";",""),IF(AND($G15&lt;Hta_3,$G15&gt;=Hba_3,Input!AB$23&lt;&gt;""),Input!$B$23&amp;";",""),IF(AND($G15&lt;Hta_4,$G15&gt;=Hba_4,Input!AB$24&lt;&gt;""),Input!$B$24&amp;";",""),IF(AND($G15&lt;Hta_5,$G15&gt;=Hba_5,Input!AB$25&lt;&gt;""),Input!$B$25&amp;";",""),IF(AND($G15&lt;Hta_6,$G15&gt;=Hba_6,Input!AB$26&lt;&gt;""),Input!$B$26&amp;";",""),IF(AND($G15&lt;Hta_7,$G15&gt;=Hba_7,Input!AB$27&lt;&gt;""),Input!$B$27&amp;";",""),IF(AND($G15&lt;Hta_8,$G15&gt;=Hba_8,Input!AB$28&lt;&gt;""),Input!$B$28&amp;";",""),IF(AND($G15&lt;Hta_9,$G15&gt;=Hba_9,Input!AB$29&lt;&gt;""),Input!$B$29&amp;";",""),IF(AND($G15&lt;Hta_10,$G15&gt;=Hba_10,Input!AB$30&lt;&gt;""),Input!$B$30&amp;";",""),IF(AND($G15&lt;Hta_11,$G15&gt;=Hba_11,Input!AB$31&lt;&gt;""),Input!$B$31&amp;";",""),IF(AND($G15&lt;Hta_12,$G15&gt;=Hba_12,Input!AB$32&lt;&gt;""),Input!$B$32&amp;";",""),IF(AND($G15&lt;Hta_13,$G15&gt;=Hba_13,Input!AB$33&lt;&gt;""),Input!$B$33&amp;";",""),IF(AND($G15&lt;Hta_14,$G15&gt;=Hba_14,Input!AB$34&lt;&gt;""),Input!$B$34&amp;";",""),IF(AND($G15&lt;Hta_15,$G15&gt;=Hba_15,Input!AB$35&lt;&gt;""),Input!$B$35&amp;";",""),IF(AND($G15&lt;Hta_16,$G15&gt;=Hba_16,Input!AB$36&lt;&gt;""),Input!$B$36&amp;";",""),IF(AND($G15&lt;Hta_17,$G15&gt;=Hba_17,Input!AB$37&lt;&gt;""),Input!$B$37&amp;";",""),IF(AND($G15&lt;Hta_18,$G15&gt;=Hba_18,Input!AB$38&lt;&gt;""),Input!$B$38&amp;";",""),IF(AND($G15&lt;Hta_19,$G15&gt;=Hba_19,Input!AB$39&lt;&gt;""),Input!$B$39&amp;";",""),IF(AND($G15&lt;Hta_20,$G15&gt;=Hba_20,Input!AB$40&lt;&gt;""),Input!$B$40&amp;";",""),IF(AND($G15&lt;Hta_21,$G15&gt;=Hba_21,Input!AB$41&lt;&gt;""),Input!$B$41&amp;";",""),IF(AND($G15&lt;Hta_22,$G15&gt;=Hba_22,Input!AB$42&lt;&gt;""),Input!$B$42&amp;";",""),IF(AND($G15&lt;Hta_23,$G15&gt;=Hba_23,Input!AB$43&lt;&gt;""),Input!$B$43&amp;";",""),IF(AND($G15&lt;Hta_24,$G15&gt;=Hba_24,Input!AB$44&lt;&gt;""),Input!$B$44&amp;";",""),IF(AND($G15&lt;Hta_25,$G15&gt;=Hba_25,Input!AB$45&lt;&gt;""),Input!$B$45&amp;";",""),IF(AND($G15&lt;Hta_26,$G15&gt;=Hba_26,Input!AB$46&lt;&gt;""),Input!$B$46&amp;";",""),IF(AND($G15&lt;Hta_27,$G15&gt;=Hba_27,Input!AB$47&lt;&gt;""),Input!$B$47&amp;";",""),IF(AND($G15&lt;Hta_28,$G15&gt;=Hba_28,Input!AB$48&lt;&gt;""),Input!$B$48&amp;";",""),IF(AND($G15&lt;Hta_29,$G15&gt;=Hba_29,Input!AB$49&lt;&gt;""),Input!$B$49&amp;";",""),IF(AND($G15&lt;Hta_30,$G15&gt;=Hba_30,Input!AB$50&lt;&gt;""),Input!$B$50&amp;";","")),"")</f>
        <v/>
      </c>
      <c r="CD15" s="25" t="str">
        <f>IFERROR(CONCATENATE(IF(AND($G15&lt;Hta_1,$G15&gt;=Hba_1,Input!AC$21&lt;&gt;""),Input!$B$21&amp;";",""),IF(AND($G15&lt;Hta_2,$G15&gt;=Hba_2,Input!AC$22&lt;&gt;""),Input!$B$22&amp;";",""),IF(AND($G15&lt;Hta_3,$G15&gt;=Hba_3,Input!AC$23&lt;&gt;""),Input!$B$23&amp;";",""),IF(AND($G15&lt;Hta_4,$G15&gt;=Hba_4,Input!AC$24&lt;&gt;""),Input!$B$24&amp;";",""),IF(AND($G15&lt;Hta_5,$G15&gt;=Hba_5,Input!AC$25&lt;&gt;""),Input!$B$25&amp;";",""),IF(AND($G15&lt;Hta_6,$G15&gt;=Hba_6,Input!AC$26&lt;&gt;""),Input!$B$26&amp;";",""),IF(AND($G15&lt;Hta_7,$G15&gt;=Hba_7,Input!AC$27&lt;&gt;""),Input!$B$27&amp;";",""),IF(AND($G15&lt;Hta_8,$G15&gt;=Hba_8,Input!AC$28&lt;&gt;""),Input!$B$28&amp;";",""),IF(AND($G15&lt;Hta_9,$G15&gt;=Hba_9,Input!AC$29&lt;&gt;""),Input!$B$29&amp;";",""),IF(AND($G15&lt;Hta_10,$G15&gt;=Hba_10,Input!AC$30&lt;&gt;""),Input!$B$30&amp;";",""),IF(AND($G15&lt;Hta_11,$G15&gt;=Hba_11,Input!AC$31&lt;&gt;""),Input!$B$31&amp;";",""),IF(AND($G15&lt;Hta_12,$G15&gt;=Hba_12,Input!AC$32&lt;&gt;""),Input!$B$32&amp;";",""),IF(AND($G15&lt;Hta_13,$G15&gt;=Hba_13,Input!AC$33&lt;&gt;""),Input!$B$33&amp;";",""),IF(AND($G15&lt;Hta_14,$G15&gt;=Hba_14,Input!AC$34&lt;&gt;""),Input!$B$34&amp;";",""),IF(AND($G15&lt;Hta_15,$G15&gt;=Hba_15,Input!AC$35&lt;&gt;""),Input!$B$35&amp;";",""),IF(AND($G15&lt;Hta_16,$G15&gt;=Hba_16,Input!AC$36&lt;&gt;""),Input!$B$36&amp;";",""),IF(AND($G15&lt;Hta_17,$G15&gt;=Hba_17,Input!AC$37&lt;&gt;""),Input!$B$37&amp;";",""),IF(AND($G15&lt;Hta_18,$G15&gt;=Hba_18,Input!AC$38&lt;&gt;""),Input!$B$38&amp;";",""),IF(AND($G15&lt;Hta_19,$G15&gt;=Hba_19,Input!AC$39&lt;&gt;""),Input!$B$39&amp;";",""),IF(AND($G15&lt;Hta_20,$G15&gt;=Hba_20,Input!AC$40&lt;&gt;""),Input!$B$40&amp;";",""),IF(AND($G15&lt;Hta_21,$G15&gt;=Hba_21,Input!AC$41&lt;&gt;""),Input!$B$41&amp;";",""),IF(AND($G15&lt;Hta_22,$G15&gt;=Hba_22,Input!AC$42&lt;&gt;""),Input!$B$42&amp;";",""),IF(AND($G15&lt;Hta_23,$G15&gt;=Hba_23,Input!AC$43&lt;&gt;""),Input!$B$43&amp;";",""),IF(AND($G15&lt;Hta_24,$G15&gt;=Hba_24,Input!AC$44&lt;&gt;""),Input!$B$44&amp;";",""),IF(AND($G15&lt;Hta_25,$G15&gt;=Hba_25,Input!AC$45&lt;&gt;""),Input!$B$45&amp;";",""),IF(AND($G15&lt;Hta_26,$G15&gt;=Hba_26,Input!AC$46&lt;&gt;""),Input!$B$46&amp;";",""),IF(AND($G15&lt;Hta_27,$G15&gt;=Hba_27,Input!AC$47&lt;&gt;""),Input!$B$47&amp;";",""),IF(AND($G15&lt;Hta_28,$G15&gt;=Hba_28,Input!AC$48&lt;&gt;""),Input!$B$48&amp;";",""),IF(AND($G15&lt;Hta_29,$G15&gt;=Hba_29,Input!AC$49&lt;&gt;""),Input!$B$49&amp;";",""),IF(AND($G15&lt;Hta_30,$G15&gt;=Hba_30,Input!AC$50&lt;&gt;""),Input!$B$50&amp;";","")),"")</f>
        <v/>
      </c>
      <c r="CE15" s="25" t="str">
        <f>IFERROR(CONCATENATE(IF(AND($G15&lt;Hta_1,$G15&gt;=Hba_1,Input!AD$21&lt;&gt;""),Input!$B$21&amp;";",""),IF(AND($G15&lt;Hta_2,$G15&gt;=Hba_2,Input!AD$22&lt;&gt;""),Input!$B$22&amp;";",""),IF(AND($G15&lt;Hta_3,$G15&gt;=Hba_3,Input!AD$23&lt;&gt;""),Input!$B$23&amp;";",""),IF(AND($G15&lt;Hta_4,$G15&gt;=Hba_4,Input!AD$24&lt;&gt;""),Input!$B$24&amp;";",""),IF(AND($G15&lt;Hta_5,$G15&gt;=Hba_5,Input!AD$25&lt;&gt;""),Input!$B$25&amp;";",""),IF(AND($G15&lt;Hta_6,$G15&gt;=Hba_6,Input!AD$26&lt;&gt;""),Input!$B$26&amp;";",""),IF(AND($G15&lt;Hta_7,$G15&gt;=Hba_7,Input!AD$27&lt;&gt;""),Input!$B$27&amp;";",""),IF(AND($G15&lt;Hta_8,$G15&gt;=Hba_8,Input!AD$28&lt;&gt;""),Input!$B$28&amp;";",""),IF(AND($G15&lt;Hta_9,$G15&gt;=Hba_9,Input!AD$29&lt;&gt;""),Input!$B$29&amp;";",""),IF(AND($G15&lt;Hta_10,$G15&gt;=Hba_10,Input!AD$30&lt;&gt;""),Input!$B$30&amp;";",""),IF(AND($G15&lt;Hta_11,$G15&gt;=Hba_11,Input!AD$31&lt;&gt;""),Input!$B$31&amp;";",""),IF(AND($G15&lt;Hta_12,$G15&gt;=Hba_12,Input!AD$32&lt;&gt;""),Input!$B$32&amp;";",""),IF(AND($G15&lt;Hta_13,$G15&gt;=Hba_13,Input!AD$33&lt;&gt;""),Input!$B$33&amp;";",""),IF(AND($G15&lt;Hta_14,$G15&gt;=Hba_14,Input!AD$34&lt;&gt;""),Input!$B$34&amp;";",""),IF(AND($G15&lt;Hta_15,$G15&gt;=Hba_15,Input!AD$35&lt;&gt;""),Input!$B$35&amp;";",""),IF(AND($G15&lt;Hta_16,$G15&gt;=Hba_16,Input!AD$36&lt;&gt;""),Input!$B$36&amp;";",""),IF(AND($G15&lt;Hta_17,$G15&gt;=Hba_17,Input!AD$37&lt;&gt;""),Input!$B$37&amp;";",""),IF(AND($G15&lt;Hta_18,$G15&gt;=Hba_18,Input!AD$38&lt;&gt;""),Input!$B$38&amp;";",""),IF(AND($G15&lt;Hta_19,$G15&gt;=Hba_19,Input!AD$39&lt;&gt;""),Input!$B$39&amp;";",""),IF(AND($G15&lt;Hta_20,$G15&gt;=Hba_20,Input!AD$40&lt;&gt;""),Input!$B$40&amp;";",""),IF(AND($G15&lt;Hta_21,$G15&gt;=Hba_21,Input!AD$41&lt;&gt;""),Input!$B$41&amp;";",""),IF(AND($G15&lt;Hta_22,$G15&gt;=Hba_22,Input!AD$42&lt;&gt;""),Input!$B$42&amp;";",""),IF(AND($G15&lt;Hta_23,$G15&gt;=Hba_23,Input!AD$43&lt;&gt;""),Input!$B$43&amp;";",""),IF(AND($G15&lt;Hta_24,$G15&gt;=Hba_24,Input!AD$44&lt;&gt;""),Input!$B$44&amp;";",""),IF(AND($G15&lt;Hta_25,$G15&gt;=Hba_25,Input!AD$45&lt;&gt;""),Input!$B$45&amp;";",""),IF(AND($G15&lt;Hta_26,$G15&gt;=Hba_26,Input!AD$46&lt;&gt;""),Input!$B$46&amp;";",""),IF(AND($G15&lt;Hta_27,$G15&gt;=Hba_27,Input!AD$47&lt;&gt;""),Input!$B$47&amp;";",""),IF(AND($G15&lt;Hta_28,$G15&gt;=Hba_28,Input!AD$48&lt;&gt;""),Input!$B$48&amp;";",""),IF(AND($G15&lt;Hta_29,$G15&gt;=Hba_29,Input!AD$49&lt;&gt;""),Input!$B$49&amp;";",""),IF(AND($G15&lt;Hta_30,$G15&gt;=Hba_30,Input!AD$50&lt;&gt;""),Input!$B$50&amp;";","")),"")</f>
        <v/>
      </c>
      <c r="CF15" s="25" t="str">
        <f>IFERROR(CONCATENATE(IF(AND($G15&lt;Hta_1,$G15&gt;=Hba_1,Input!AE$21&lt;&gt;""),Input!$B$21&amp;";",""),IF(AND($G15&lt;Hta_2,$G15&gt;=Hba_2,Input!AE$22&lt;&gt;""),Input!$B$22&amp;";",""),IF(AND($G15&lt;Hta_3,$G15&gt;=Hba_3,Input!AE$23&lt;&gt;""),Input!$B$23&amp;";",""),IF(AND($G15&lt;Hta_4,$G15&gt;=Hba_4,Input!AE$24&lt;&gt;""),Input!$B$24&amp;";",""),IF(AND($G15&lt;Hta_5,$G15&gt;=Hba_5,Input!AE$25&lt;&gt;""),Input!$B$25&amp;";",""),IF(AND($G15&lt;Hta_6,$G15&gt;=Hba_6,Input!AE$26&lt;&gt;""),Input!$B$26&amp;";",""),IF(AND($G15&lt;Hta_7,$G15&gt;=Hba_7,Input!AE$27&lt;&gt;""),Input!$B$27&amp;";",""),IF(AND($G15&lt;Hta_8,$G15&gt;=Hba_8,Input!AE$28&lt;&gt;""),Input!$B$28&amp;";",""),IF(AND($G15&lt;Hta_9,$G15&gt;=Hba_9,Input!AE$29&lt;&gt;""),Input!$B$29&amp;";",""),IF(AND($G15&lt;Hta_10,$G15&gt;=Hba_10,Input!AE$30&lt;&gt;""),Input!$B$30&amp;";",""),IF(AND($G15&lt;Hta_11,$G15&gt;=Hba_11,Input!AE$31&lt;&gt;""),Input!$B$31&amp;";",""),IF(AND($G15&lt;Hta_12,$G15&gt;=Hba_12,Input!AE$32&lt;&gt;""),Input!$B$32&amp;";",""),IF(AND($G15&lt;Hta_13,$G15&gt;=Hba_13,Input!AE$33&lt;&gt;""),Input!$B$33&amp;";",""),IF(AND($G15&lt;Hta_14,$G15&gt;=Hba_14,Input!AE$34&lt;&gt;""),Input!$B$34&amp;";",""),IF(AND($G15&lt;Hta_15,$G15&gt;=Hba_15,Input!AE$35&lt;&gt;""),Input!$B$35&amp;";",""),IF(AND($G15&lt;Hta_16,$G15&gt;=Hba_16,Input!AE$36&lt;&gt;""),Input!$B$36&amp;";",""),IF(AND($G15&lt;Hta_17,$G15&gt;=Hba_17,Input!AE$37&lt;&gt;""),Input!$B$37&amp;";",""),IF(AND($G15&lt;Hta_18,$G15&gt;=Hba_18,Input!AE$38&lt;&gt;""),Input!$B$38&amp;";",""),IF(AND($G15&lt;Hta_19,$G15&gt;=Hba_19,Input!AE$39&lt;&gt;""),Input!$B$39&amp;";",""),IF(AND($G15&lt;Hta_20,$G15&gt;=Hba_20,Input!AE$40&lt;&gt;""),Input!$B$40&amp;";",""),IF(AND($G15&lt;Hta_21,$G15&gt;=Hba_21,Input!AE$41&lt;&gt;""),Input!$B$41&amp;";",""),IF(AND($G15&lt;Hta_22,$G15&gt;=Hba_22,Input!AE$42&lt;&gt;""),Input!$B$42&amp;";",""),IF(AND($G15&lt;Hta_23,$G15&gt;=Hba_23,Input!AE$43&lt;&gt;""),Input!$B$43&amp;";",""),IF(AND($G15&lt;Hta_24,$G15&gt;=Hba_24,Input!AE$44&lt;&gt;""),Input!$B$44&amp;";",""),IF(AND($G15&lt;Hta_25,$G15&gt;=Hba_25,Input!AE$45&lt;&gt;""),Input!$B$45&amp;";",""),IF(AND($G15&lt;Hta_26,$G15&gt;=Hba_26,Input!AE$46&lt;&gt;""),Input!$B$46&amp;";",""),IF(AND($G15&lt;Hta_27,$G15&gt;=Hba_27,Input!AE$47&lt;&gt;""),Input!$B$47&amp;";",""),IF(AND($G15&lt;Hta_28,$G15&gt;=Hba_28,Input!AE$48&lt;&gt;""),Input!$B$48&amp;";",""),IF(AND($G15&lt;Hta_29,$G15&gt;=Hba_29,Input!AE$49&lt;&gt;""),Input!$B$49&amp;";",""),IF(AND($G15&lt;Hta_30,$G15&gt;=Hba_30,Input!AE$50&lt;&gt;""),Input!$B$50&amp;";","")),"")</f>
        <v/>
      </c>
      <c r="CG15" s="25" t="str">
        <f>IFERROR(CONCATENATE(IF(AND($G15&lt;Hta_1,$G15&gt;=Hba_1,Input!AF$21&lt;&gt;""),Input!$B$21&amp;";",""),IF(AND($G15&lt;Hta_2,$G15&gt;=Hba_2,Input!AF$22&lt;&gt;""),Input!$B$22&amp;";",""),IF(AND($G15&lt;Hta_3,$G15&gt;=Hba_3,Input!AF$23&lt;&gt;""),Input!$B$23&amp;";",""),IF(AND($G15&lt;Hta_4,$G15&gt;=Hba_4,Input!AF$24&lt;&gt;""),Input!$B$24&amp;";",""),IF(AND($G15&lt;Hta_5,$G15&gt;=Hba_5,Input!AF$25&lt;&gt;""),Input!$B$25&amp;";",""),IF(AND($G15&lt;Hta_6,$G15&gt;=Hba_6,Input!AF$26&lt;&gt;""),Input!$B$26&amp;";",""),IF(AND($G15&lt;Hta_7,$G15&gt;=Hba_7,Input!AF$27&lt;&gt;""),Input!$B$27&amp;";",""),IF(AND($G15&lt;Hta_8,$G15&gt;=Hba_8,Input!AF$28&lt;&gt;""),Input!$B$28&amp;";",""),IF(AND($G15&lt;Hta_9,$G15&gt;=Hba_9,Input!AF$29&lt;&gt;""),Input!$B$29&amp;";",""),IF(AND($G15&lt;Hta_10,$G15&gt;=Hba_10,Input!AF$30&lt;&gt;""),Input!$B$30&amp;";",""),IF(AND($G15&lt;Hta_11,$G15&gt;=Hba_11,Input!AF$31&lt;&gt;""),Input!$B$31&amp;";",""),IF(AND($G15&lt;Hta_12,$G15&gt;=Hba_12,Input!AF$32&lt;&gt;""),Input!$B$32&amp;";",""),IF(AND($G15&lt;Hta_13,$G15&gt;=Hba_13,Input!AF$33&lt;&gt;""),Input!$B$33&amp;";",""),IF(AND($G15&lt;Hta_14,$G15&gt;=Hba_14,Input!AF$34&lt;&gt;""),Input!$B$34&amp;";",""),IF(AND($G15&lt;Hta_15,$G15&gt;=Hba_15,Input!AF$35&lt;&gt;""),Input!$B$35&amp;";",""),IF(AND($G15&lt;Hta_16,$G15&gt;=Hba_16,Input!AF$36&lt;&gt;""),Input!$B$36&amp;";",""),IF(AND($G15&lt;Hta_17,$G15&gt;=Hba_17,Input!AF$37&lt;&gt;""),Input!$B$37&amp;";",""),IF(AND($G15&lt;Hta_18,$G15&gt;=Hba_18,Input!AF$38&lt;&gt;""),Input!$B$38&amp;";",""),IF(AND($G15&lt;Hta_19,$G15&gt;=Hba_19,Input!AF$39&lt;&gt;""),Input!$B$39&amp;";",""),IF(AND($G15&lt;Hta_20,$G15&gt;=Hba_20,Input!AF$40&lt;&gt;""),Input!$B$40&amp;";",""),IF(AND($G15&lt;Hta_21,$G15&gt;=Hba_21,Input!AF$41&lt;&gt;""),Input!$B$41&amp;";",""),IF(AND($G15&lt;Hta_22,$G15&gt;=Hba_22,Input!AF$42&lt;&gt;""),Input!$B$42&amp;";",""),IF(AND($G15&lt;Hta_23,$G15&gt;=Hba_23,Input!AF$43&lt;&gt;""),Input!$B$43&amp;";",""),IF(AND($G15&lt;Hta_24,$G15&gt;=Hba_24,Input!AF$44&lt;&gt;""),Input!$B$44&amp;";",""),IF(AND($G15&lt;Hta_25,$G15&gt;=Hba_25,Input!AF$45&lt;&gt;""),Input!$B$45&amp;";",""),IF(AND($G15&lt;Hta_26,$G15&gt;=Hba_26,Input!AF$46&lt;&gt;""),Input!$B$46&amp;";",""),IF(AND($G15&lt;Hta_27,$G15&gt;=Hba_27,Input!AF$47&lt;&gt;""),Input!$B$47&amp;";",""),IF(AND($G15&lt;Hta_28,$G15&gt;=Hba_28,Input!AF$48&lt;&gt;""),Input!$B$48&amp;";",""),IF(AND($G15&lt;Hta_29,$G15&gt;=Hba_29,Input!AF$49&lt;&gt;""),Input!$B$49&amp;";",""),IF(AND($G15&lt;Hta_30,$G15&gt;=Hba_30,Input!AF$50&lt;&gt;""),Input!$B$50&amp;";","")),"")</f>
        <v/>
      </c>
      <c r="CH15" s="25" t="str">
        <f>IFERROR(CONCATENATE(IF(AND($G15&lt;Hta_1,$G15&gt;=Hba_1,Input!AG$21&lt;&gt;""),Input!$B$21&amp;";",""),IF(AND($G15&lt;Hta_2,$G15&gt;=Hba_2,Input!AG$22&lt;&gt;""),Input!$B$22&amp;";",""),IF(AND($G15&lt;Hta_3,$G15&gt;=Hba_3,Input!AG$23&lt;&gt;""),Input!$B$23&amp;";",""),IF(AND($G15&lt;Hta_4,$G15&gt;=Hba_4,Input!AG$24&lt;&gt;""),Input!$B$24&amp;";",""),IF(AND($G15&lt;Hta_5,$G15&gt;=Hba_5,Input!AG$25&lt;&gt;""),Input!$B$25&amp;";",""),IF(AND($G15&lt;Hta_6,$G15&gt;=Hba_6,Input!AG$26&lt;&gt;""),Input!$B$26&amp;";",""),IF(AND($G15&lt;Hta_7,$G15&gt;=Hba_7,Input!AG$27&lt;&gt;""),Input!$B$27&amp;";",""),IF(AND($G15&lt;Hta_8,$G15&gt;=Hba_8,Input!AG$28&lt;&gt;""),Input!$B$28&amp;";",""),IF(AND($G15&lt;Hta_9,$G15&gt;=Hba_9,Input!AG$29&lt;&gt;""),Input!$B$29&amp;";",""),IF(AND($G15&lt;Hta_10,$G15&gt;=Hba_10,Input!AG$30&lt;&gt;""),Input!$B$30&amp;";",""),IF(AND($G15&lt;Hta_11,$G15&gt;=Hba_11,Input!AG$31&lt;&gt;""),Input!$B$31&amp;";",""),IF(AND($G15&lt;Hta_12,$G15&gt;=Hba_12,Input!AG$32&lt;&gt;""),Input!$B$32&amp;";",""),IF(AND($G15&lt;Hta_13,$G15&gt;=Hba_13,Input!AG$33&lt;&gt;""),Input!$B$33&amp;";",""),IF(AND($G15&lt;Hta_14,$G15&gt;=Hba_14,Input!AG$34&lt;&gt;""),Input!$B$34&amp;";",""),IF(AND($G15&lt;Hta_15,$G15&gt;=Hba_15,Input!AG$35&lt;&gt;""),Input!$B$35&amp;";",""),IF(AND($G15&lt;Hta_16,$G15&gt;=Hba_16,Input!AG$36&lt;&gt;""),Input!$B$36&amp;";",""),IF(AND($G15&lt;Hta_17,$G15&gt;=Hba_17,Input!AG$37&lt;&gt;""),Input!$B$37&amp;";",""),IF(AND($G15&lt;Hta_18,$G15&gt;=Hba_18,Input!AG$38&lt;&gt;""),Input!$B$38&amp;";",""),IF(AND($G15&lt;Hta_19,$G15&gt;=Hba_19,Input!AG$39&lt;&gt;""),Input!$B$39&amp;";",""),IF(AND($G15&lt;Hta_20,$G15&gt;=Hba_20,Input!AG$40&lt;&gt;""),Input!$B$40&amp;";",""),IF(AND($G15&lt;Hta_21,$G15&gt;=Hba_21,Input!AG$41&lt;&gt;""),Input!$B$41&amp;";",""),IF(AND($G15&lt;Hta_22,$G15&gt;=Hba_22,Input!AG$42&lt;&gt;""),Input!$B$42&amp;";",""),IF(AND($G15&lt;Hta_23,$G15&gt;=Hba_23,Input!AG$43&lt;&gt;""),Input!$B$43&amp;";",""),IF(AND($G15&lt;Hta_24,$G15&gt;=Hba_24,Input!AG$44&lt;&gt;""),Input!$B$44&amp;";",""),IF(AND($G15&lt;Hta_25,$G15&gt;=Hba_25,Input!AG$45&lt;&gt;""),Input!$B$45&amp;";",""),IF(AND($G15&lt;Hta_26,$G15&gt;=Hba_26,Input!AG$46&lt;&gt;""),Input!$B$46&amp;";",""),IF(AND($G15&lt;Hta_27,$G15&gt;=Hba_27,Input!AG$47&lt;&gt;""),Input!$B$47&amp;";",""),IF(AND($G15&lt;Hta_28,$G15&gt;=Hba_28,Input!AG$48&lt;&gt;""),Input!$B$48&amp;";",""),IF(AND($G15&lt;Hta_29,$G15&gt;=Hba_29,Input!AG$49&lt;&gt;""),Input!$B$49&amp;";",""),IF(AND($G15&lt;Hta_30,$G15&gt;=Hba_30,Input!AG$50&lt;&gt;""),Input!$B$50&amp;";","")),"")</f>
        <v/>
      </c>
      <c r="CI15" s="25" t="str">
        <f>IFERROR(CONCATENATE(IF(AND($G15&lt;Hta_1,$G15&gt;=Hba_1,Input!AH$21&lt;&gt;""),Input!$B$21&amp;";",""),IF(AND($G15&lt;Hta_2,$G15&gt;=Hba_2,Input!AH$22&lt;&gt;""),Input!$B$22&amp;";",""),IF(AND($G15&lt;Hta_3,$G15&gt;=Hba_3,Input!AH$23&lt;&gt;""),Input!$B$23&amp;";",""),IF(AND($G15&lt;Hta_4,$G15&gt;=Hba_4,Input!AH$24&lt;&gt;""),Input!$B$24&amp;";",""),IF(AND($G15&lt;Hta_5,$G15&gt;=Hba_5,Input!AH$25&lt;&gt;""),Input!$B$25&amp;";",""),IF(AND($G15&lt;Hta_6,$G15&gt;=Hba_6,Input!AH$26&lt;&gt;""),Input!$B$26&amp;";",""),IF(AND($G15&lt;Hta_7,$G15&gt;=Hba_7,Input!AH$27&lt;&gt;""),Input!$B$27&amp;";",""),IF(AND($G15&lt;Hta_8,$G15&gt;=Hba_8,Input!AH$28&lt;&gt;""),Input!$B$28&amp;";",""),IF(AND($G15&lt;Hta_9,$G15&gt;=Hba_9,Input!AH$29&lt;&gt;""),Input!$B$29&amp;";",""),IF(AND($G15&lt;Hta_10,$G15&gt;=Hba_10,Input!AH$30&lt;&gt;""),Input!$B$30&amp;";",""),IF(AND($G15&lt;Hta_11,$G15&gt;=Hba_11,Input!AH$31&lt;&gt;""),Input!$B$31&amp;";",""),IF(AND($G15&lt;Hta_12,$G15&gt;=Hba_12,Input!AH$32&lt;&gt;""),Input!$B$32&amp;";",""),IF(AND($G15&lt;Hta_13,$G15&gt;=Hba_13,Input!AH$33&lt;&gt;""),Input!$B$33&amp;";",""),IF(AND($G15&lt;Hta_14,$G15&gt;=Hba_14,Input!AH$34&lt;&gt;""),Input!$B$34&amp;";",""),IF(AND($G15&lt;Hta_15,$G15&gt;=Hba_15,Input!AH$35&lt;&gt;""),Input!$B$35&amp;";",""),IF(AND($G15&lt;Hta_16,$G15&gt;=Hba_16,Input!AH$36&lt;&gt;""),Input!$B$36&amp;";",""),IF(AND($G15&lt;Hta_17,$G15&gt;=Hba_17,Input!AH$37&lt;&gt;""),Input!$B$37&amp;";",""),IF(AND($G15&lt;Hta_18,$G15&gt;=Hba_18,Input!AH$38&lt;&gt;""),Input!$B$38&amp;";",""),IF(AND($G15&lt;Hta_19,$G15&gt;=Hba_19,Input!AH$39&lt;&gt;""),Input!$B$39&amp;";",""),IF(AND($G15&lt;Hta_20,$G15&gt;=Hba_20,Input!AH$40&lt;&gt;""),Input!$B$40&amp;";",""),IF(AND($G15&lt;Hta_21,$G15&gt;=Hba_21,Input!AH$41&lt;&gt;""),Input!$B$41&amp;";",""),IF(AND($G15&lt;Hta_22,$G15&gt;=Hba_22,Input!AH$42&lt;&gt;""),Input!$B$42&amp;";",""),IF(AND($G15&lt;Hta_23,$G15&gt;=Hba_23,Input!AH$43&lt;&gt;""),Input!$B$43&amp;";",""),IF(AND($G15&lt;Hta_24,$G15&gt;=Hba_24,Input!AH$44&lt;&gt;""),Input!$B$44&amp;";",""),IF(AND($G15&lt;Hta_25,$G15&gt;=Hba_25,Input!AH$45&lt;&gt;""),Input!$B$45&amp;";",""),IF(AND($G15&lt;Hta_26,$G15&gt;=Hba_26,Input!AH$46&lt;&gt;""),Input!$B$46&amp;";",""),IF(AND($G15&lt;Hta_27,$G15&gt;=Hba_27,Input!AH$47&lt;&gt;""),Input!$B$47&amp;";",""),IF(AND($G15&lt;Hta_28,$G15&gt;=Hba_28,Input!AH$48&lt;&gt;""),Input!$B$48&amp;";",""),IF(AND($G15&lt;Hta_29,$G15&gt;=Hba_29,Input!AH$49&lt;&gt;""),Input!$B$49&amp;";",""),IF(AND($G15&lt;Hta_30,$G15&gt;=Hba_30,Input!AH$50&lt;&gt;""),Input!$B$50&amp;";","")),"")</f>
        <v/>
      </c>
      <c r="CJ15" s="25" t="str">
        <f>IFERROR(CONCATENATE(IF(AND($G15&lt;Hta_1,$G15&gt;=Hba_1,Input!AI$21&lt;&gt;""),Input!$B$21&amp;";",""),IF(AND($G15&lt;Hta_2,$G15&gt;=Hba_2,Input!AI$22&lt;&gt;""),Input!$B$22&amp;";",""),IF(AND($G15&lt;Hta_3,$G15&gt;=Hba_3,Input!AI$23&lt;&gt;""),Input!$B$23&amp;";",""),IF(AND($G15&lt;Hta_4,$G15&gt;=Hba_4,Input!AI$24&lt;&gt;""),Input!$B$24&amp;";",""),IF(AND($G15&lt;Hta_5,$G15&gt;=Hba_5,Input!AI$25&lt;&gt;""),Input!$B$25&amp;";",""),IF(AND($G15&lt;Hta_6,$G15&gt;=Hba_6,Input!AI$26&lt;&gt;""),Input!$B$26&amp;";",""),IF(AND($G15&lt;Hta_7,$G15&gt;=Hba_7,Input!AI$27&lt;&gt;""),Input!$B$27&amp;";",""),IF(AND($G15&lt;Hta_8,$G15&gt;=Hba_8,Input!AI$28&lt;&gt;""),Input!$B$28&amp;";",""),IF(AND($G15&lt;Hta_9,$G15&gt;=Hba_9,Input!AI$29&lt;&gt;""),Input!$B$29&amp;";",""),IF(AND($G15&lt;Hta_10,$G15&gt;=Hba_10,Input!AI$30&lt;&gt;""),Input!$B$30&amp;";",""),IF(AND($G15&lt;Hta_11,$G15&gt;=Hba_11,Input!AI$31&lt;&gt;""),Input!$B$31&amp;";",""),IF(AND($G15&lt;Hta_12,$G15&gt;=Hba_12,Input!AI$32&lt;&gt;""),Input!$B$32&amp;";",""),IF(AND($G15&lt;Hta_13,$G15&gt;=Hba_13,Input!AI$33&lt;&gt;""),Input!$B$33&amp;";",""),IF(AND($G15&lt;Hta_14,$G15&gt;=Hba_14,Input!AI$34&lt;&gt;""),Input!$B$34&amp;";",""),IF(AND($G15&lt;Hta_15,$G15&gt;=Hba_15,Input!AI$35&lt;&gt;""),Input!$B$35&amp;";",""),IF(AND($G15&lt;Hta_16,$G15&gt;=Hba_16,Input!AI$36&lt;&gt;""),Input!$B$36&amp;";",""),IF(AND($G15&lt;Hta_17,$G15&gt;=Hba_17,Input!AI$37&lt;&gt;""),Input!$B$37&amp;";",""),IF(AND($G15&lt;Hta_18,$G15&gt;=Hba_18,Input!AI$38&lt;&gt;""),Input!$B$38&amp;";",""),IF(AND($G15&lt;Hta_19,$G15&gt;=Hba_19,Input!AI$39&lt;&gt;""),Input!$B$39&amp;";",""),IF(AND($G15&lt;Hta_20,$G15&gt;=Hba_20,Input!AI$40&lt;&gt;""),Input!$B$40&amp;";",""),IF(AND($G15&lt;Hta_21,$G15&gt;=Hba_21,Input!AI$41&lt;&gt;""),Input!$B$41&amp;";",""),IF(AND($G15&lt;Hta_22,$G15&gt;=Hba_22,Input!AI$42&lt;&gt;""),Input!$B$42&amp;";",""),IF(AND($G15&lt;Hta_23,$G15&gt;=Hba_23,Input!AI$43&lt;&gt;""),Input!$B$43&amp;";",""),IF(AND($G15&lt;Hta_24,$G15&gt;=Hba_24,Input!AI$44&lt;&gt;""),Input!$B$44&amp;";",""),IF(AND($G15&lt;Hta_25,$G15&gt;=Hba_25,Input!AI$45&lt;&gt;""),Input!$B$45&amp;";",""),IF(AND($G15&lt;Hta_26,$G15&gt;=Hba_26,Input!AI$46&lt;&gt;""),Input!$B$46&amp;";",""),IF(AND($G15&lt;Hta_27,$G15&gt;=Hba_27,Input!AI$47&lt;&gt;""),Input!$B$47&amp;";",""),IF(AND($G15&lt;Hta_28,$G15&gt;=Hba_28,Input!AI$48&lt;&gt;""),Input!$B$48&amp;";",""),IF(AND($G15&lt;Hta_29,$G15&gt;=Hba_29,Input!AI$49&lt;&gt;""),Input!$B$49&amp;";",""),IF(AND($G15&lt;Hta_30,$G15&gt;=Hba_30,Input!AI$50&lt;&gt;""),Input!$B$50&amp;";","")),"")</f>
        <v/>
      </c>
      <c r="CK15" s="25" t="str">
        <f>IFERROR(CONCATENATE(IF(AND($G15&lt;Hta_1,$G15&gt;=Hba_1,Input!AJ$21&lt;&gt;""),Input!$B$21&amp;";",""),IF(AND($G15&lt;Hta_2,$G15&gt;=Hba_2,Input!AJ$22&lt;&gt;""),Input!$B$22&amp;";",""),IF(AND($G15&lt;Hta_3,$G15&gt;=Hba_3,Input!AJ$23&lt;&gt;""),Input!$B$23&amp;";",""),IF(AND($G15&lt;Hta_4,$G15&gt;=Hba_4,Input!AJ$24&lt;&gt;""),Input!$B$24&amp;";",""),IF(AND($G15&lt;Hta_5,$G15&gt;=Hba_5,Input!AJ$25&lt;&gt;""),Input!$B$25&amp;";",""),IF(AND($G15&lt;Hta_6,$G15&gt;=Hba_6,Input!AJ$26&lt;&gt;""),Input!$B$26&amp;";",""),IF(AND($G15&lt;Hta_7,$G15&gt;=Hba_7,Input!AJ$27&lt;&gt;""),Input!$B$27&amp;";",""),IF(AND($G15&lt;Hta_8,$G15&gt;=Hba_8,Input!AJ$28&lt;&gt;""),Input!$B$28&amp;";",""),IF(AND($G15&lt;Hta_9,$G15&gt;=Hba_9,Input!AJ$29&lt;&gt;""),Input!$B$29&amp;";",""),IF(AND($G15&lt;Hta_10,$G15&gt;=Hba_10,Input!AJ$30&lt;&gt;""),Input!$B$30&amp;";",""),IF(AND($G15&lt;Hta_11,$G15&gt;=Hba_11,Input!AJ$31&lt;&gt;""),Input!$B$31&amp;";",""),IF(AND($G15&lt;Hta_12,$G15&gt;=Hba_12,Input!AJ$32&lt;&gt;""),Input!$B$32&amp;";",""),IF(AND($G15&lt;Hta_13,$G15&gt;=Hba_13,Input!AJ$33&lt;&gt;""),Input!$B$33&amp;";",""),IF(AND($G15&lt;Hta_14,$G15&gt;=Hba_14,Input!AJ$34&lt;&gt;""),Input!$B$34&amp;";",""),IF(AND($G15&lt;Hta_15,$G15&gt;=Hba_15,Input!AJ$35&lt;&gt;""),Input!$B$35&amp;";",""),IF(AND($G15&lt;Hta_16,$G15&gt;=Hba_16,Input!AJ$36&lt;&gt;""),Input!$B$36&amp;";",""),IF(AND($G15&lt;Hta_17,$G15&gt;=Hba_17,Input!AJ$37&lt;&gt;""),Input!$B$37&amp;";",""),IF(AND($G15&lt;Hta_18,$G15&gt;=Hba_18,Input!AJ$38&lt;&gt;""),Input!$B$38&amp;";",""),IF(AND($G15&lt;Hta_19,$G15&gt;=Hba_19,Input!AJ$39&lt;&gt;""),Input!$B$39&amp;";",""),IF(AND($G15&lt;Hta_20,$G15&gt;=Hba_20,Input!AJ$40&lt;&gt;""),Input!$B$40&amp;";",""),IF(AND($G15&lt;Hta_21,$G15&gt;=Hba_21,Input!AJ$41&lt;&gt;""),Input!$B$41&amp;";",""),IF(AND($G15&lt;Hta_22,$G15&gt;=Hba_22,Input!AJ$42&lt;&gt;""),Input!$B$42&amp;";",""),IF(AND($G15&lt;Hta_23,$G15&gt;=Hba_23,Input!AJ$43&lt;&gt;""),Input!$B$43&amp;";",""),IF(AND($G15&lt;Hta_24,$G15&gt;=Hba_24,Input!AJ$44&lt;&gt;""),Input!$B$44&amp;";",""),IF(AND($G15&lt;Hta_25,$G15&gt;=Hba_25,Input!AJ$45&lt;&gt;""),Input!$B$45&amp;";",""),IF(AND($G15&lt;Hta_26,$G15&gt;=Hba_26,Input!AJ$46&lt;&gt;""),Input!$B$46&amp;";",""),IF(AND($G15&lt;Hta_27,$G15&gt;=Hba_27,Input!AJ$47&lt;&gt;""),Input!$B$47&amp;";",""),IF(AND($G15&lt;Hta_28,$G15&gt;=Hba_28,Input!AJ$48&lt;&gt;""),Input!$B$48&amp;";",""),IF(AND($G15&lt;Hta_29,$G15&gt;=Hba_29,Input!AJ$49&lt;&gt;""),Input!$B$49&amp;";",""),IF(AND($G15&lt;Hta_30,$G15&gt;=Hba_30,Input!AJ$50&lt;&gt;""),Input!$B$50&amp;";","")),"")</f>
        <v/>
      </c>
      <c r="CL15" s="25" t="str">
        <f>IFERROR(CONCATENATE(IF(AND($G15&lt;Hta_1,$G15&gt;=Hba_1,Input!AK$21&lt;&gt;""),Input!$B$21&amp;";",""),IF(AND($G15&lt;Hta_2,$G15&gt;=Hba_2,Input!AK$22&lt;&gt;""),Input!$B$22&amp;";",""),IF(AND($G15&lt;Hta_3,$G15&gt;=Hba_3,Input!AK$23&lt;&gt;""),Input!$B$23&amp;";",""),IF(AND($G15&lt;Hta_4,$G15&gt;=Hba_4,Input!AK$24&lt;&gt;""),Input!$B$24&amp;";",""),IF(AND($G15&lt;Hta_5,$G15&gt;=Hba_5,Input!AK$25&lt;&gt;""),Input!$B$25&amp;";",""),IF(AND($G15&lt;Hta_6,$G15&gt;=Hba_6,Input!AK$26&lt;&gt;""),Input!$B$26&amp;";",""),IF(AND($G15&lt;Hta_7,$G15&gt;=Hba_7,Input!AK$27&lt;&gt;""),Input!$B$27&amp;";",""),IF(AND($G15&lt;Hta_8,$G15&gt;=Hba_8,Input!AK$28&lt;&gt;""),Input!$B$28&amp;";",""),IF(AND($G15&lt;Hta_9,$G15&gt;=Hba_9,Input!AK$29&lt;&gt;""),Input!$B$29&amp;";",""),IF(AND($G15&lt;Hta_10,$G15&gt;=Hba_10,Input!AK$30&lt;&gt;""),Input!$B$30&amp;";",""),IF(AND($G15&lt;Hta_11,$G15&gt;=Hba_11,Input!AK$31&lt;&gt;""),Input!$B$31&amp;";",""),IF(AND($G15&lt;Hta_12,$G15&gt;=Hba_12,Input!AK$32&lt;&gt;""),Input!$B$32&amp;";",""),IF(AND($G15&lt;Hta_13,$G15&gt;=Hba_13,Input!AK$33&lt;&gt;""),Input!$B$33&amp;";",""),IF(AND($G15&lt;Hta_14,$G15&gt;=Hba_14,Input!AK$34&lt;&gt;""),Input!$B$34&amp;";",""),IF(AND($G15&lt;Hta_15,$G15&gt;=Hba_15,Input!AK$35&lt;&gt;""),Input!$B$35&amp;";",""),IF(AND($G15&lt;Hta_16,$G15&gt;=Hba_16,Input!AK$36&lt;&gt;""),Input!$B$36&amp;";",""),IF(AND($G15&lt;Hta_17,$G15&gt;=Hba_17,Input!AK$37&lt;&gt;""),Input!$B$37&amp;";",""),IF(AND($G15&lt;Hta_18,$G15&gt;=Hba_18,Input!AK$38&lt;&gt;""),Input!$B$38&amp;";",""),IF(AND($G15&lt;Hta_19,$G15&gt;=Hba_19,Input!AK$39&lt;&gt;""),Input!$B$39&amp;";",""),IF(AND($G15&lt;Hta_20,$G15&gt;=Hba_20,Input!AK$40&lt;&gt;""),Input!$B$40&amp;";",""),IF(AND($G15&lt;Hta_21,$G15&gt;=Hba_21,Input!AK$41&lt;&gt;""),Input!$B$41&amp;";",""),IF(AND($G15&lt;Hta_22,$G15&gt;=Hba_22,Input!AK$42&lt;&gt;""),Input!$B$42&amp;";",""),IF(AND($G15&lt;Hta_23,$G15&gt;=Hba_23,Input!AK$43&lt;&gt;""),Input!$B$43&amp;";",""),IF(AND($G15&lt;Hta_24,$G15&gt;=Hba_24,Input!AK$44&lt;&gt;""),Input!$B$44&amp;";",""),IF(AND($G15&lt;Hta_25,$G15&gt;=Hba_25,Input!AK$45&lt;&gt;""),Input!$B$45&amp;";",""),IF(AND($G15&lt;Hta_26,$G15&gt;=Hba_26,Input!AK$46&lt;&gt;""),Input!$B$46&amp;";",""),IF(AND($G15&lt;Hta_27,$G15&gt;=Hba_27,Input!AK$47&lt;&gt;""),Input!$B$47&amp;";",""),IF(AND($G15&lt;Hta_28,$G15&gt;=Hba_28,Input!AK$48&lt;&gt;""),Input!$B$48&amp;";",""),IF(AND($G15&lt;Hta_29,$G15&gt;=Hba_29,Input!AK$49&lt;&gt;""),Input!$B$49&amp;";",""),IF(AND($G15&lt;Hta_30,$G15&gt;=Hba_30,Input!AK$50&lt;&gt;""),Input!$B$50&amp;";","")),"")</f>
        <v/>
      </c>
      <c r="CM15" s="25" t="str">
        <f>IFERROR(CONCATENATE(IF(AND($G15&lt;Hta_1,$G15&gt;=Hba_1,Input!AL$21&lt;&gt;""),Input!$B$21&amp;";",""),IF(AND($G15&lt;Hta_2,$G15&gt;=Hba_2,Input!AL$22&lt;&gt;""),Input!$B$22&amp;";",""),IF(AND($G15&lt;Hta_3,$G15&gt;=Hba_3,Input!AL$23&lt;&gt;""),Input!$B$23&amp;";",""),IF(AND($G15&lt;Hta_4,$G15&gt;=Hba_4,Input!AL$24&lt;&gt;""),Input!$B$24&amp;";",""),IF(AND($G15&lt;Hta_5,$G15&gt;=Hba_5,Input!AL$25&lt;&gt;""),Input!$B$25&amp;";",""),IF(AND($G15&lt;Hta_6,$G15&gt;=Hba_6,Input!AL$26&lt;&gt;""),Input!$B$26&amp;";",""),IF(AND($G15&lt;Hta_7,$G15&gt;=Hba_7,Input!AL$27&lt;&gt;""),Input!$B$27&amp;";",""),IF(AND($G15&lt;Hta_8,$G15&gt;=Hba_8,Input!AL$28&lt;&gt;""),Input!$B$28&amp;";",""),IF(AND($G15&lt;Hta_9,$G15&gt;=Hba_9,Input!AL$29&lt;&gt;""),Input!$B$29&amp;";",""),IF(AND($G15&lt;Hta_10,$G15&gt;=Hba_10,Input!AL$30&lt;&gt;""),Input!$B$30&amp;";",""),IF(AND($G15&lt;Hta_11,$G15&gt;=Hba_11,Input!AL$31&lt;&gt;""),Input!$B$31&amp;";",""),IF(AND($G15&lt;Hta_12,$G15&gt;=Hba_12,Input!AL$32&lt;&gt;""),Input!$B$32&amp;";",""),IF(AND($G15&lt;Hta_13,$G15&gt;=Hba_13,Input!AL$33&lt;&gt;""),Input!$B$33&amp;";",""),IF(AND($G15&lt;Hta_14,$G15&gt;=Hba_14,Input!AL$34&lt;&gt;""),Input!$B$34&amp;";",""),IF(AND($G15&lt;Hta_15,$G15&gt;=Hba_15,Input!AL$35&lt;&gt;""),Input!$B$35&amp;";",""),IF(AND($G15&lt;Hta_16,$G15&gt;=Hba_16,Input!AL$36&lt;&gt;""),Input!$B$36&amp;";",""),IF(AND($G15&lt;Hta_17,$G15&gt;=Hba_17,Input!AL$37&lt;&gt;""),Input!$B$37&amp;";",""),IF(AND($G15&lt;Hta_18,$G15&gt;=Hba_18,Input!AL$38&lt;&gt;""),Input!$B$38&amp;";",""),IF(AND($G15&lt;Hta_19,$G15&gt;=Hba_19,Input!AL$39&lt;&gt;""),Input!$B$39&amp;";",""),IF(AND($G15&lt;Hta_20,$G15&gt;=Hba_20,Input!AL$40&lt;&gt;""),Input!$B$40&amp;";",""),IF(AND($G15&lt;Hta_21,$G15&gt;=Hba_21,Input!AL$41&lt;&gt;""),Input!$B$41&amp;";",""),IF(AND($G15&lt;Hta_22,$G15&gt;=Hba_22,Input!AL$42&lt;&gt;""),Input!$B$42&amp;";",""),IF(AND($G15&lt;Hta_23,$G15&gt;=Hba_23,Input!AL$43&lt;&gt;""),Input!$B$43&amp;";",""),IF(AND($G15&lt;Hta_24,$G15&gt;=Hba_24,Input!AL$44&lt;&gt;""),Input!$B$44&amp;";",""),IF(AND($G15&lt;Hta_25,$G15&gt;=Hba_25,Input!AL$45&lt;&gt;""),Input!$B$45&amp;";",""),IF(AND($G15&lt;Hta_26,$G15&gt;=Hba_26,Input!AL$46&lt;&gt;""),Input!$B$46&amp;";",""),IF(AND($G15&lt;Hta_27,$G15&gt;=Hba_27,Input!AL$47&lt;&gt;""),Input!$B$47&amp;";",""),IF(AND($G15&lt;Hta_28,$G15&gt;=Hba_28,Input!AL$48&lt;&gt;""),Input!$B$48&amp;";",""),IF(AND($G15&lt;Hta_29,$G15&gt;=Hba_29,Input!AL$49&lt;&gt;""),Input!$B$49&amp;";",""),IF(AND($G15&lt;Hta_30,$G15&gt;=Hba_30,Input!AL$50&lt;&gt;""),Input!$B$50&amp;";","")),"")</f>
        <v/>
      </c>
      <c r="CN15" s="60" t="str">
        <f t="shared" si="6"/>
        <v/>
      </c>
      <c r="CO15" s="798"/>
      <c r="CP15" s="799"/>
      <c r="CQ15" s="800"/>
      <c r="CR15" s="798"/>
      <c r="CS15" s="799"/>
      <c r="CT15" s="800"/>
      <c r="CU15" s="798" t="str">
        <f t="shared" si="7"/>
        <v/>
      </c>
      <c r="CV15" s="799"/>
      <c r="CW15" s="806"/>
      <c r="CX15" s="726"/>
      <c r="CY15" s="727"/>
      <c r="CZ15" s="732"/>
      <c r="DA15" s="726"/>
      <c r="DB15" s="727"/>
      <c r="DC15" s="732"/>
      <c r="DD15" s="726" t="str">
        <f t="shared" si="8"/>
        <v/>
      </c>
      <c r="DE15" s="727"/>
      <c r="DF15" s="728"/>
      <c r="DG15" s="53"/>
      <c r="DH15" s="54"/>
      <c r="DI15" s="54"/>
      <c r="DJ15" s="54"/>
      <c r="DK15" s="54"/>
      <c r="DL15" s="54"/>
      <c r="DM15" s="54"/>
      <c r="DN15" s="54"/>
      <c r="DO15" s="54"/>
      <c r="DP15" s="54"/>
      <c r="DQ15" s="57"/>
      <c r="DR15" s="57"/>
      <c r="DS15" s="57"/>
      <c r="DT15" s="57"/>
      <c r="DU15" s="57"/>
      <c r="DV15" s="57"/>
      <c r="DW15" s="57"/>
      <c r="DX15" s="57"/>
      <c r="DY15" s="57"/>
      <c r="DZ15" s="57"/>
      <c r="EA15" s="57"/>
      <c r="EB15" s="57"/>
      <c r="EC15" s="57"/>
      <c r="ED15" s="57"/>
      <c r="EE15" s="57"/>
      <c r="EF15" s="57"/>
      <c r="EG15" s="57"/>
      <c r="EH15" s="57"/>
      <c r="EI15" s="57"/>
      <c r="EJ15" s="57"/>
      <c r="EK15" s="57"/>
      <c r="EL15" s="133"/>
      <c r="EM15" s="133"/>
      <c r="EN15" s="133"/>
      <c r="EO15" s="133"/>
      <c r="EP15" s="133"/>
      <c r="EQ15" s="133"/>
      <c r="ER15" s="133"/>
      <c r="ES15" s="133"/>
      <c r="ET15" s="133"/>
      <c r="EU15" s="133"/>
      <c r="EV15" s="133"/>
      <c r="EW15" s="133"/>
      <c r="EX15" s="133"/>
      <c r="EY15" s="133"/>
      <c r="EZ15" s="133"/>
      <c r="FA15" s="133"/>
      <c r="FB15" s="133"/>
      <c r="FC15" s="133"/>
      <c r="FD15" s="133"/>
      <c r="FE15" s="133"/>
      <c r="FF15" s="133"/>
      <c r="FG15" s="133"/>
      <c r="FH15" s="133"/>
      <c r="FI15" s="133"/>
      <c r="FJ15" s="133"/>
      <c r="FK15" s="133"/>
      <c r="FL15" s="133"/>
      <c r="FM15" s="133"/>
      <c r="FN15" s="133"/>
      <c r="FO15" s="133"/>
      <c r="FP15" s="65"/>
      <c r="FQ15" s="125"/>
      <c r="FR15" s="123"/>
      <c r="FS15" s="121"/>
      <c r="FT15" s="119"/>
    </row>
    <row r="16" spans="2:177" ht="15.75" hidden="1" thickBot="1" x14ac:dyDescent="0.3">
      <c r="B16" s="62" t="b">
        <f>IF(OR(AND(G16&gt;='Geometry 2'!$AK$5,G16&lt;'Geometry 2'!$AL$5),AND(G16&gt;='Geometry 2'!$AK$6,G16&lt;'Geometry 2'!$AL$6),AND(G16&gt;='Geometry 2'!$AK$7,G16&lt;'Geometry 2'!$AL$7),AND(G16&gt;='Geometry 2'!$AK$8,G16&lt;'Geometry 2'!$AL$8),AND(G16&gt;='Geometry 2'!$AK$9,G16&lt;'Geometry 2'!$AL$9),AND(G16&gt;='Geometry 2'!$AK$10,G16&lt;'Geometry 2'!$AL$10),AND(G16&gt;='Geometry 2'!$AK$11,G16&lt;'Geometry 2'!$AL$11),AND(G16&gt;='Geometry 2'!$AK$12,G16&lt;'Geometry 2'!$AL$12),AND(G16&gt;='Geometry 2'!$AK$13,G16&lt;'Geometry 2'!$AL$13),AND(G16&gt;='Geometry 2'!$AK$14,G16&lt;'Geometry 2'!$AL$14)),TRUE,FALSE)</f>
        <v>0</v>
      </c>
      <c r="C16" s="4" t="str">
        <f t="shared" si="3"/>
        <v/>
      </c>
      <c r="D16" s="766" t="str">
        <f t="shared" si="4"/>
        <v/>
      </c>
      <c r="E16" s="767"/>
      <c r="F16" s="17" t="str">
        <f t="shared" si="2"/>
        <v/>
      </c>
      <c r="G16" s="768" t="str">
        <f>IF(D16="","",MAX(0,G15-IF(inc="n/a",999,inc),MAX(IF(G15&lt;=Hta_1,0,Hta_1),IF(G15&lt;=Hta_2,0,Hta_2),IF(G15&lt;=Hta_3,0,Hta_3),IF(G15&lt;=Hta_4,0,Hta_4),IF(G15&lt;=Hta_5,0,Hta_5),IF(G15&lt;=Hta_6,0,Hta_6),IF(G15&lt;=Hta_7,0,Hta_7),IF(G15&lt;=Hta_8,0,Hta_8),IF(G15&lt;=Hta_9,0,Hta_9),IF(G15&lt;=Hta_10,0,Hta_10),IF(G15&lt;=Hta_11,0,Hta_11),IF(G15&lt;=Hta_12,0,Hta_12),IF(G15&lt;=Hta_13,0,Hta_13),IF(G15&lt;=Hta_14,0,Hta_14),IF(G15&lt;=Hta_15,0,Hta_15),IF(G15&lt;=Hta_16,0,Hta_16),IF(G15&lt;=Hta_17,0,Hta_17),IF(G15&lt;=Hta_18,0,Hta_18),IF(G15&lt;=Hta_19,0,Hta_19),IF(G15&lt;=Hta_20,0,Hta_20),IF(G15&lt;=Hta_21,0,Hta_21),IF(G15&lt;=Hta_22,0,Hta_22),IF(G15&lt;=Hta_23,0,Hta_23),IF(G15&lt;=Hta_24,0,Hta_24),IF(G15&lt;=Hta_25,0,Hta_25),IF(G15&lt;=Hta_26,0,Hta_26),IF(G15&lt;=Hta_27,0,Hta_27),IF(G15&lt;=Hta_28,0,Hta_28),IF(G15&lt;=Hta_29,0,Hta_29),IF(G15&lt;=Hta_30,0,Hta_30)),MAX(IF(G15&lt;=Hta_1-0.25,0,Hta_1-0.25),IF(G15&lt;=Hta_2-0.25,0,Hta_2-0.25),IF(G15&lt;=Hta_3-0.25,0,Hta_3-0.25),IF(G15&lt;=Hta_4-0.25,0,Hta_4-0.25),IF(G15&lt;=Hta_5-0.25,0,Hta_5-0.25),IF(G15&lt;=Hta_6-0.25,0,Hta_6-0.25),IF(G15&lt;=Hta_7-0.25,0,Hta_7-0.25),IF(G15&lt;=Hta_8-0.25,0,Hta_8-0.25),IF(G15&lt;=Hta_9-0.25,0,Hta_9-0.25),IF(G15&lt;=Hta_10-0.25,0,Hta_10-0.25),IF(G15&lt;=Hta_11-0.25,0,Hta_11-0.25),IF(G15&lt;=Hta_12-0.25,0,Hta_12-0.25),IF(G15&lt;=Hta_13-0.25,0,Hta_13-0.25),IF(G15&lt;=Hta_14-0.25,0,Hta_14-0.25),IF(G15&lt;=Hta_15-0.25,0,Hta_15-0.25),IF(G15&lt;=Hta_16-0.25,0,Hta_16-0.25),IF(G15&lt;=Hta_17-0.25,0,Hta_17-0.25),IF(G15&lt;=Hta_18-0.25,0,Hta_18-0.25),IF(G15&lt;=Hta_19-0.25,0,Hta_19-0.25),IF(G15&lt;=Hta_20-0.25,0,Hta_20-0.25),IF(G15&lt;=Hta_21-0.25,0,Hta_21-0.25),IF(G15&lt;=Hta_22-0.25,0,Hta_22-0.25),IF(G15&lt;=Hta_23-0.25,0,Hta_23-0.25),IF(G15&lt;=Hta_24-0.25,0,Hta_24-0.25),IF(G15&lt;=Hta_25-0.25,0,Hta_25-0.25),IF(G15&lt;=Hta_26-0.25,0,Hta_26-0.25),IF(G15&lt;=Hta_27-0.25,0,Hta_27-0.25),IF(G15&lt;=Hta_28-0.25,0,Hta_28-0.25),IF(G15&lt;=Hta_29-0.25,0,Hta_29-0.25),IF(G15&lt;=Hta_30-0.25,0,Hta_30-0.25)),MAX(IF(G15&lt;=Hba_1,0,Hba_1),IF(G15&lt;=Hba_2,0,Hba_2),IF(G15&lt;=Hba_3,0,Hba_3),IF(G15&lt;=Hba_4,0,Hba_4),IF(G15&lt;=Hba_5,0,Hba_5),IF(G15&lt;=Hba_6,0,Hba_6),IF(G15&lt;=Hba_7,0,Hba_7),IF(G15&lt;=Hba_8,0,Hba_8),IF(G15&lt;=Hba_9,0,Hba_9),IF(G15&lt;=Hba_10,0,Hba_10),IF(G15&lt;=Hba_11,0,Hba_11),IF(G15&lt;=Hba_12,0,Hba_12),IF(G15&lt;=Hba_13,0,Hba_13),IF(G15&lt;=Hba_14,0,Hba_14),IF(G15&lt;=Hba_15,0,Hba_15),IF(G15&lt;=Hba_16,0,Hba_16),IF(G15&lt;=Hba_17,0,Hba_17),IF(G15&lt;=Hba_18,0,Hba_18),IF(G15&lt;=Hba_19,0,Hba_19),IF(G15&lt;=Hba_20,0,Hba_20),IF(G15&lt;=Hba_21,0,Hba_21),IF(G15&lt;=Hba_22,0,Hba_22),IF(G15&lt;=Hba_23,0,Hba_23),IF(G15&lt;=Hba_24,0,Hba_24),IF(G15&lt;=Hba_25,0,Hba_25),IF(G15&lt;=Hba_26,0,Hba_26),IF(G15&lt;=Hba_27,0,Hba_27),IF(G15&lt;=Hba_28,0,Hba_28),IF(G15&lt;=Hba_29,0,Hba_29),IF(G15&lt;=Hba_30,0,Hba_30)),MAX(IF(G15&lt;=Input!$C$8,0,Input!$C$8),IF(G15&lt;=Input!$C$9,0,Input!$C$9),IF(G15&lt;=Input!$C$10,0,Input!$C$10),IF(G15&lt;=Input!$C$11,0,Input!$C$11),IF(G15&lt;=Input!$C$12,0,Input!$C$12),IF(G15&lt;=Input!$C$13,0,Input!$C$13),IF(G15&lt;=Input!$C$14,0,Input!$C$14),IF(G15&lt;=Input!$C$15,0,Input!$C$15),IF(G15&lt;=Input!$C$16,0,Input!$C$16)),MAX(IF(G15&lt;=Hba_1-0.25,0,Hba_1-0.25),IF(G15&lt;=Hba_2-0.25,0,Hba_2-0.25),IF(G15&lt;=Hba_3-0.25,0,Hba_3-0.25),IF(G15&lt;=Hba_4-0.25,0,Hba_4-0.25),IF(G15&lt;=Hba_5-0.25,0,Hba_5-0.25),IF(G15&lt;=Hba_6-0.25,0,Hba_6-0.25),IF(G15&lt;=Hba_7-0.25,0,Hba_7-0.25),IF(G15&lt;=Hba_8-0.25,0,Hba_8-0.25),IF(G15&lt;=Hba_9-0.25,0,Hba_9-0.25),IF(G15&lt;=Hba_10-0.25,0,Hba_10-0.25),IF(G15&lt;=Hba_11-0.25,0,Hba_11-0.25),IF(G15&lt;=Hba_12-0.25,0,Hba_12-0.25),IF(G15&lt;=Hba_13-0.25,0,Hba_13-0.25),IF(G15&lt;=Hba_14-0.25,0,Hba_14-0.25),IF(G15&lt;=Hba_15-0.25,0,Hba_15-0.25),IF(G15&lt;=Hba_16-0.25,0,Hba_16-0.25),IF(G15&lt;=Hba_17-0.25,0,Hba_17-0.25),IF(G15&lt;=Hba_18-0.25,0,Hba_18-0.25),IF(G15&lt;=Hba_19-0.25,0,Hba_19-0.25),IF(G15&lt;=Hba_20-0.25,0,Hba_20-0.25),IF(G15&lt;=Hba_21-0.25,0,Hba_21-0.25),IF(G15&lt;=Hba_22-0.25,0,Hba_22-0.25),IF(G15&lt;=Hba_23-0.25,0,Hba_23-0.25),IF(G15&lt;=Hba_24-0.25,0,Hba_24-0.25),IF(G15&lt;=Hba_25-0.25,0,Hba_25-0.25),IF(G15&lt;=Hba_26-0.25,0,Hba_26-0.25),IF(G15&lt;=Hba_27-0.25,0,Hba_27-0.25),IF(G15&lt;=Hba_28-0.25,0,Hba_28-0.25),IF(G15&lt;=Hba_29-0.25,0,Hba_29-0.25),IF(G15&lt;=Hba_30-0.25,0,Hba_30-0.25)),IF(G15&lt;='Macro References'!$A$38,0,'Macro References'!$A$38)))</f>
        <v/>
      </c>
      <c r="H16" s="769"/>
      <c r="I16" s="228"/>
      <c r="J16" s="228"/>
      <c r="K16" s="228"/>
      <c r="L16" s="717" t="str">
        <f t="shared" si="0"/>
        <v/>
      </c>
      <c r="M16" s="717"/>
      <c r="N16" s="717"/>
      <c r="O16" s="717"/>
      <c r="P16" s="717" t="str">
        <f>IF(OR(G16=0,G16=""),"",IF(VLOOKUP(G16,'Geometry 2'!$C$4:$AI$14,1,TRUE)=VLOOKUP(G17,'Geometry 2'!$C$4:$AI$14,1,TRUE),"",IF(VLOOKUP(G16,'Geometry 2'!$C$4:$AI$14,33,TRUE)&lt;&gt;"n/a",MIN(G16,VLOOKUP(G16,'Geometry 2'!$C$4:$AI$14,1,TRUE))-VLOOKUP(G16,'Geometry 2'!$C$4:$AI$14,33,TRUE),"check")))</f>
        <v/>
      </c>
      <c r="Q16" s="717"/>
      <c r="R16" s="717"/>
      <c r="S16" s="717"/>
      <c r="T16" s="717" t="str">
        <f>IF($G16="","",VLOOKUP($G16,'Geometry 2'!$E$4:$AH$14,11,TRUE))</f>
        <v/>
      </c>
      <c r="U16" s="717"/>
      <c r="V16" s="717"/>
      <c r="W16" s="717"/>
      <c r="X16" s="716" t="str">
        <f>IF($G16="","",VLOOKUP($G16,'Geometry 2'!$E$4:$AJ$14,19,TRUE)-12*VLOOKUP($G16,'Geometry 2'!$E$4:$AJ$14,32,TRUE)*($D16-VLOOKUP($G16,'Geometry 2'!$E$5:$AH$14,1,TRUE)))</f>
        <v/>
      </c>
      <c r="Y16" s="716"/>
      <c r="Z16" s="716"/>
      <c r="AA16" s="716"/>
      <c r="AB16" s="757" t="str">
        <f>IF($G16="","",VLOOKUP($G16,'Geometry 2'!$E$4:$AJ$14,19,TRUE)-12*VLOOKUP($G16,'Geometry 2'!$E$4:$AJ$14,32,TRUE)*($G16-VLOOKUP($G16,'Geometry 2'!$E$5:$AH$14,1,TRUE)))</f>
        <v/>
      </c>
      <c r="AC16" s="758"/>
      <c r="AD16" s="758"/>
      <c r="AE16" s="759"/>
      <c r="AF16" s="716" t="str">
        <f>IF($G16="","",VLOOKUP($G16,'Geometry 2'!$E$4:$AJ$14,19,TRUE)-12*VLOOKUP($G16,'Geometry 2'!$E$4:$AJ$14,32,TRUE)*($G16-IF($P16="",0,$P16)-VLOOKUP($G16,'Geometry 2'!$E$5:$AH$14,1,TRUE)))</f>
        <v/>
      </c>
      <c r="AG16" s="716"/>
      <c r="AH16" s="716"/>
      <c r="AI16" s="716"/>
      <c r="AJ16" s="746" t="str">
        <f>IF($G16="","",VLOOKUP($G16,'Geometry 2'!$E$4:$AH$14,23,TRUE))</f>
        <v/>
      </c>
      <c r="AK16" s="747"/>
      <c r="AL16" s="747"/>
      <c r="AM16" s="748"/>
      <c r="AN16" s="717"/>
      <c r="AO16" s="717"/>
      <c r="AP16" s="717"/>
      <c r="AQ16" s="717"/>
      <c r="AR16" s="717" t="str">
        <f>IF($G16="","",VLOOKUP($G16,'Geometry 2'!$E$4:$AH$14,27,TRUE))</f>
        <v/>
      </c>
      <c r="AS16" s="717"/>
      <c r="AT16" s="717"/>
      <c r="AU16" s="718"/>
      <c r="AV16" s="715"/>
      <c r="AW16" s="716"/>
      <c r="AX16" s="716"/>
      <c r="AZ16" s="722" t="str">
        <f t="shared" si="5"/>
        <v/>
      </c>
      <c r="BA16" s="723"/>
      <c r="BB16" s="723"/>
      <c r="BC16" s="724"/>
      <c r="BD16" s="722"/>
      <c r="BE16" s="723"/>
      <c r="BF16" s="723"/>
      <c r="BG16" s="722" t="str">
        <f t="shared" si="1"/>
        <v/>
      </c>
      <c r="BH16" s="723"/>
      <c r="BI16" s="723"/>
      <c r="BJ16" s="723"/>
      <c r="BK16" s="724"/>
      <c r="BL16" s="722"/>
      <c r="BM16" s="723"/>
      <c r="BN16" s="723"/>
      <c r="BO16" s="723"/>
      <c r="BP16" s="725"/>
      <c r="BQ16" s="725"/>
      <c r="BR16" s="722" t="str">
        <f>IF(BP16="","",IF(OR(AND(Rev="H",Calculations!$F$27=TRUE),AND(Rev&lt;&gt;"H",Calculations!$F$30=TRUE)),IF(BP16&lt;=1,"Pass","Fail"),IF(BP16&lt;=1.05,"Pass","Fail")))</f>
        <v/>
      </c>
      <c r="BS16" s="723"/>
      <c r="BT16" s="724"/>
      <c r="BU16" s="49"/>
      <c r="BV16" s="25" t="str">
        <f>IFERROR(CONCATENATE(IF(AND($G16&lt;Hta_1,$G16&gt;=Hba_1,Input!U$21&lt;&gt;""),Input!$B$21&amp;";",""),IF(AND($G16&lt;Hta_2,$G16&gt;=Hba_2,Input!U$22&lt;&gt;""),Input!$B$22&amp;";",""),IF(AND($G16&lt;Hta_3,$G16&gt;=Hba_3,Input!U$23&lt;&gt;""),Input!$B$23&amp;";",""),IF(AND($G16&lt;Hta_4,$G16&gt;=Hba_4,Input!U$24&lt;&gt;""),Input!$B$24&amp;";",""),IF(AND($G16&lt;Hta_5,$G16&gt;=Hba_5,Input!U$25&lt;&gt;""),Input!$B$25&amp;";",""),IF(AND($G16&lt;Hta_6,$G16&gt;=Hba_6,Input!U$26&lt;&gt;""),Input!$B$26&amp;";",""),IF(AND($G16&lt;Hta_7,$G16&gt;=Hba_7,Input!U$27&lt;&gt;""),Input!$B$27&amp;";",""),IF(AND($G16&lt;Hta_8,$G16&gt;=Hba_8,Input!U$28&lt;&gt;""),Input!$B$28&amp;";",""),IF(AND($G16&lt;Hta_9,$G16&gt;=Hba_9,Input!U$29&lt;&gt;""),Input!$B$29&amp;";",""),IF(AND($G16&lt;Hta_10,$G16&gt;=Hba_10,Input!U$30&lt;&gt;""),Input!$B$30&amp;";",""),IF(AND($G16&lt;Hta_11,$G16&gt;=Hba_11,Input!U$31&lt;&gt;""),Input!$B$31&amp;";",""),IF(AND($G16&lt;Hta_12,$G16&gt;=Hba_12,Input!U$32&lt;&gt;""),Input!$B$32&amp;";",""),IF(AND($G16&lt;Hta_13,$G16&gt;=Hba_13,Input!U$33&lt;&gt;""),Input!$B$33&amp;";",""),IF(AND($G16&lt;Hta_14,$G16&gt;=Hba_14,Input!U$34&lt;&gt;""),Input!$B$34&amp;";",""),IF(AND($G16&lt;Hta_15,$G16&gt;=Hba_15,Input!U$35&lt;&gt;""),Input!$B$35&amp;";",""),IF(AND($G16&lt;Hta_16,$G16&gt;=Hba_16,Input!U$36&lt;&gt;""),Input!$B$36&amp;";",""),IF(AND($G16&lt;Hta_17,$G16&gt;=Hba_17,Input!U$37&lt;&gt;""),Input!$B$37&amp;";",""),IF(AND($G16&lt;Hta_18,$G16&gt;=Hba_18,Input!U$38&lt;&gt;""),Input!$B$38&amp;";",""),IF(AND($G16&lt;Hta_19,$G16&gt;=Hba_19,Input!U$39&lt;&gt;""),Input!$B$39&amp;";",""),IF(AND($G16&lt;Hta_20,$G16&gt;=Hba_20,Input!U$40&lt;&gt;""),Input!$B$40&amp;";",""),IF(AND($G16&lt;Hta_21,$G16&gt;=Hba_21,Input!U$41&lt;&gt;""),Input!$B$41&amp;";",""),IF(AND($G16&lt;Hta_22,$G16&gt;=Hba_22,Input!U$42&lt;&gt;""),Input!$B$42&amp;";",""),IF(AND($G16&lt;Hta_23,$G16&gt;=Hba_23,Input!U$43&lt;&gt;""),Input!$B$43&amp;";",""),IF(AND($G16&lt;Hta_24,$G16&gt;=Hba_24,Input!U$44&lt;&gt;""),Input!$B$44&amp;";",""),IF(AND($G16&lt;Hta_25,$G16&gt;=Hba_25,Input!U$45&lt;&gt;""),Input!$B$45&amp;";",""),IF(AND($G16&lt;Hta_26,$G16&gt;=Hba_26,Input!U$46&lt;&gt;""),Input!$B$46&amp;";",""),IF(AND($G16&lt;Hta_27,$G16&gt;=Hba_27,Input!U$47&lt;&gt;""),Input!$B$47&amp;";",""),IF(AND($G16&lt;Hta_28,$G16&gt;=Hba_28,Input!U$48&lt;&gt;""),Input!$B$48&amp;";",""),IF(AND($G16&lt;Hta_29,$G16&gt;=Hba_29,Input!U$49&lt;&gt;""),Input!$B$49&amp;";",""),IF(AND($G16&lt;Hta_30,$G16&gt;=Hba_30,Input!U$50&lt;&gt;""),Input!$B$50&amp;";","")),"")</f>
        <v/>
      </c>
      <c r="BW16" s="25" t="str">
        <f>IFERROR(CONCATENATE(IF(AND($G16&lt;Hta_1,$G16&gt;=Hba_1,Input!V$21&lt;&gt;""),Input!$B$21&amp;";",""),IF(AND($G16&lt;Hta_2,$G16&gt;=Hba_2,Input!V$22&lt;&gt;""),Input!$B$22&amp;";",""),IF(AND($G16&lt;Hta_3,$G16&gt;=Hba_3,Input!V$23&lt;&gt;""),Input!$B$23&amp;";",""),IF(AND($G16&lt;Hta_4,$G16&gt;=Hba_4,Input!V$24&lt;&gt;""),Input!$B$24&amp;";",""),IF(AND($G16&lt;Hta_5,$G16&gt;=Hba_5,Input!V$25&lt;&gt;""),Input!$B$25&amp;";",""),IF(AND($G16&lt;Hta_6,$G16&gt;=Hba_6,Input!V$26&lt;&gt;""),Input!$B$26&amp;";",""),IF(AND($G16&lt;Hta_7,$G16&gt;=Hba_7,Input!V$27&lt;&gt;""),Input!$B$27&amp;";",""),IF(AND($G16&lt;Hta_8,$G16&gt;=Hba_8,Input!V$28&lt;&gt;""),Input!$B$28&amp;";",""),IF(AND($G16&lt;Hta_9,$G16&gt;=Hba_9,Input!V$29&lt;&gt;""),Input!$B$29&amp;";",""),IF(AND($G16&lt;Hta_10,$G16&gt;=Hba_10,Input!V$30&lt;&gt;""),Input!$B$30&amp;";",""),IF(AND($G16&lt;Hta_11,$G16&gt;=Hba_11,Input!V$31&lt;&gt;""),Input!$B$31&amp;";",""),IF(AND($G16&lt;Hta_12,$G16&gt;=Hba_12,Input!V$32&lt;&gt;""),Input!$B$32&amp;";",""),IF(AND($G16&lt;Hta_13,$G16&gt;=Hba_13,Input!V$33&lt;&gt;""),Input!$B$33&amp;";",""),IF(AND($G16&lt;Hta_14,$G16&gt;=Hba_14,Input!V$34&lt;&gt;""),Input!$B$34&amp;";",""),IF(AND($G16&lt;Hta_15,$G16&gt;=Hba_15,Input!V$35&lt;&gt;""),Input!$B$35&amp;";",""),IF(AND($G16&lt;Hta_16,$G16&gt;=Hba_16,Input!V$36&lt;&gt;""),Input!$B$36&amp;";",""),IF(AND($G16&lt;Hta_17,$G16&gt;=Hba_17,Input!V$37&lt;&gt;""),Input!$B$37&amp;";",""),IF(AND($G16&lt;Hta_18,$G16&gt;=Hba_18,Input!V$38&lt;&gt;""),Input!$B$38&amp;";",""),IF(AND($G16&lt;Hta_19,$G16&gt;=Hba_19,Input!V$39&lt;&gt;""),Input!$B$39&amp;";",""),IF(AND($G16&lt;Hta_20,$G16&gt;=Hba_20,Input!V$40&lt;&gt;""),Input!$B$40&amp;";",""),IF(AND($G16&lt;Hta_21,$G16&gt;=Hba_21,Input!V$41&lt;&gt;""),Input!$B$41&amp;";",""),IF(AND($G16&lt;Hta_22,$G16&gt;=Hba_22,Input!V$42&lt;&gt;""),Input!$B$42&amp;";",""),IF(AND($G16&lt;Hta_23,$G16&gt;=Hba_23,Input!V$43&lt;&gt;""),Input!$B$43&amp;";",""),IF(AND($G16&lt;Hta_24,$G16&gt;=Hba_24,Input!V$44&lt;&gt;""),Input!$B$44&amp;";",""),IF(AND($G16&lt;Hta_25,$G16&gt;=Hba_25,Input!V$45&lt;&gt;""),Input!$B$45&amp;";",""),IF(AND($G16&lt;Hta_26,$G16&gt;=Hba_26,Input!V$46&lt;&gt;""),Input!$B$46&amp;";",""),IF(AND($G16&lt;Hta_27,$G16&gt;=Hba_27,Input!V$47&lt;&gt;""),Input!$B$47&amp;";",""),IF(AND($G16&lt;Hta_28,$G16&gt;=Hba_28,Input!V$48&lt;&gt;""),Input!$B$48&amp;";",""),IF(AND($G16&lt;Hta_29,$G16&gt;=Hba_29,Input!V$49&lt;&gt;""),Input!$B$49&amp;";",""),IF(AND($G16&lt;Hta_30,$G16&gt;=Hba_30,Input!V$50&lt;&gt;""),Input!$B$50&amp;";","")),"")</f>
        <v/>
      </c>
      <c r="BX16" s="25" t="str">
        <f>IFERROR(CONCATENATE(IF(AND($G16&lt;Hta_1,$G16&gt;=Hba_1,Input!W$21&lt;&gt;""),Input!$B$21&amp;";",""),IF(AND($G16&lt;Hta_2,$G16&gt;=Hba_2,Input!W$22&lt;&gt;""),Input!$B$22&amp;";",""),IF(AND($G16&lt;Hta_3,$G16&gt;=Hba_3,Input!W$23&lt;&gt;""),Input!$B$23&amp;";",""),IF(AND($G16&lt;Hta_4,$G16&gt;=Hba_4,Input!W$24&lt;&gt;""),Input!$B$24&amp;";",""),IF(AND($G16&lt;Hta_5,$G16&gt;=Hba_5,Input!W$25&lt;&gt;""),Input!$B$25&amp;";",""),IF(AND($G16&lt;Hta_6,$G16&gt;=Hba_6,Input!W$26&lt;&gt;""),Input!$B$26&amp;";",""),IF(AND($G16&lt;Hta_7,$G16&gt;=Hba_7,Input!W$27&lt;&gt;""),Input!$B$27&amp;";",""),IF(AND($G16&lt;Hta_8,$G16&gt;=Hba_8,Input!W$28&lt;&gt;""),Input!$B$28&amp;";",""),IF(AND($G16&lt;Hta_9,$G16&gt;=Hba_9,Input!W$29&lt;&gt;""),Input!$B$29&amp;";",""),IF(AND($G16&lt;Hta_10,$G16&gt;=Hba_10,Input!W$30&lt;&gt;""),Input!$B$30&amp;";",""),IF(AND($G16&lt;Hta_11,$G16&gt;=Hba_11,Input!W$31&lt;&gt;""),Input!$B$31&amp;";",""),IF(AND($G16&lt;Hta_12,$G16&gt;=Hba_12,Input!W$32&lt;&gt;""),Input!$B$32&amp;";",""),IF(AND($G16&lt;Hta_13,$G16&gt;=Hba_13,Input!W$33&lt;&gt;""),Input!$B$33&amp;";",""),IF(AND($G16&lt;Hta_14,$G16&gt;=Hba_14,Input!W$34&lt;&gt;""),Input!$B$34&amp;";",""),IF(AND($G16&lt;Hta_15,$G16&gt;=Hba_15,Input!W$35&lt;&gt;""),Input!$B$35&amp;";",""),IF(AND($G16&lt;Hta_16,$G16&gt;=Hba_16,Input!W$36&lt;&gt;""),Input!$B$36&amp;";",""),IF(AND($G16&lt;Hta_17,$G16&gt;=Hba_17,Input!W$37&lt;&gt;""),Input!$B$37&amp;";",""),IF(AND($G16&lt;Hta_18,$G16&gt;=Hba_18,Input!W$38&lt;&gt;""),Input!$B$38&amp;";",""),IF(AND($G16&lt;Hta_19,$G16&gt;=Hba_19,Input!W$39&lt;&gt;""),Input!$B$39&amp;";",""),IF(AND($G16&lt;Hta_20,$G16&gt;=Hba_20,Input!W$40&lt;&gt;""),Input!$B$40&amp;";",""),IF(AND($G16&lt;Hta_21,$G16&gt;=Hba_21,Input!W$41&lt;&gt;""),Input!$B$41&amp;";",""),IF(AND($G16&lt;Hta_22,$G16&gt;=Hba_22,Input!W$42&lt;&gt;""),Input!$B$42&amp;";",""),IF(AND($G16&lt;Hta_23,$G16&gt;=Hba_23,Input!W$43&lt;&gt;""),Input!$B$43&amp;";",""),IF(AND($G16&lt;Hta_24,$G16&gt;=Hba_24,Input!W$44&lt;&gt;""),Input!$B$44&amp;";",""),IF(AND($G16&lt;Hta_25,$G16&gt;=Hba_25,Input!W$45&lt;&gt;""),Input!$B$45&amp;";",""),IF(AND($G16&lt;Hta_26,$G16&gt;=Hba_26,Input!W$46&lt;&gt;""),Input!$B$46&amp;";",""),IF(AND($G16&lt;Hta_27,$G16&gt;=Hba_27,Input!W$47&lt;&gt;""),Input!$B$47&amp;";",""),IF(AND($G16&lt;Hta_28,$G16&gt;=Hba_28,Input!W$48&lt;&gt;""),Input!$B$48&amp;";",""),IF(AND($G16&lt;Hta_29,$G16&gt;=Hba_29,Input!W$49&lt;&gt;""),Input!$B$49&amp;";",""),IF(AND($G16&lt;Hta_30,$G16&gt;=Hba_30,Input!W$50&lt;&gt;""),Input!$B$50&amp;";","")),"")</f>
        <v/>
      </c>
      <c r="BY16" s="25" t="str">
        <f>IFERROR(CONCATENATE(IF(AND($G16&lt;Hta_1,$G16&gt;=Hba_1,Input!X$21&lt;&gt;""),Input!$B$21&amp;";",""),IF(AND($G16&lt;Hta_2,$G16&gt;=Hba_2,Input!X$22&lt;&gt;""),Input!$B$22&amp;";",""),IF(AND($G16&lt;Hta_3,$G16&gt;=Hba_3,Input!X$23&lt;&gt;""),Input!$B$23&amp;";",""),IF(AND($G16&lt;Hta_4,$G16&gt;=Hba_4,Input!X$24&lt;&gt;""),Input!$B$24&amp;";",""),IF(AND($G16&lt;Hta_5,$G16&gt;=Hba_5,Input!X$25&lt;&gt;""),Input!$B$25&amp;";",""),IF(AND($G16&lt;Hta_6,$G16&gt;=Hba_6,Input!X$26&lt;&gt;""),Input!$B$26&amp;";",""),IF(AND($G16&lt;Hta_7,$G16&gt;=Hba_7,Input!X$27&lt;&gt;""),Input!$B$27&amp;";",""),IF(AND($G16&lt;Hta_8,$G16&gt;=Hba_8,Input!X$28&lt;&gt;""),Input!$B$28&amp;";",""),IF(AND($G16&lt;Hta_9,$G16&gt;=Hba_9,Input!X$29&lt;&gt;""),Input!$B$29&amp;";",""),IF(AND($G16&lt;Hta_10,$G16&gt;=Hba_10,Input!X$30&lt;&gt;""),Input!$B$30&amp;";",""),IF(AND($G16&lt;Hta_11,$G16&gt;=Hba_11,Input!X$31&lt;&gt;""),Input!$B$31&amp;";",""),IF(AND($G16&lt;Hta_12,$G16&gt;=Hba_12,Input!X$32&lt;&gt;""),Input!$B$32&amp;";",""),IF(AND($G16&lt;Hta_13,$G16&gt;=Hba_13,Input!X$33&lt;&gt;""),Input!$B$33&amp;";",""),IF(AND($G16&lt;Hta_14,$G16&gt;=Hba_14,Input!X$34&lt;&gt;""),Input!$B$34&amp;";",""),IF(AND($G16&lt;Hta_15,$G16&gt;=Hba_15,Input!X$35&lt;&gt;""),Input!$B$35&amp;";",""),IF(AND($G16&lt;Hta_16,$G16&gt;=Hba_16,Input!X$36&lt;&gt;""),Input!$B$36&amp;";",""),IF(AND($G16&lt;Hta_17,$G16&gt;=Hba_17,Input!X$37&lt;&gt;""),Input!$B$37&amp;";",""),IF(AND($G16&lt;Hta_18,$G16&gt;=Hba_18,Input!X$38&lt;&gt;""),Input!$B$38&amp;";",""),IF(AND($G16&lt;Hta_19,$G16&gt;=Hba_19,Input!X$39&lt;&gt;""),Input!$B$39&amp;";",""),IF(AND($G16&lt;Hta_20,$G16&gt;=Hba_20,Input!X$40&lt;&gt;""),Input!$B$40&amp;";",""),IF(AND($G16&lt;Hta_21,$G16&gt;=Hba_21,Input!X$41&lt;&gt;""),Input!$B$41&amp;";",""),IF(AND($G16&lt;Hta_22,$G16&gt;=Hba_22,Input!X$42&lt;&gt;""),Input!$B$42&amp;";",""),IF(AND($G16&lt;Hta_23,$G16&gt;=Hba_23,Input!X$43&lt;&gt;""),Input!$B$43&amp;";",""),IF(AND($G16&lt;Hta_24,$G16&gt;=Hba_24,Input!X$44&lt;&gt;""),Input!$B$44&amp;";",""),IF(AND($G16&lt;Hta_25,$G16&gt;=Hba_25,Input!X$45&lt;&gt;""),Input!$B$45&amp;";",""),IF(AND($G16&lt;Hta_26,$G16&gt;=Hba_26,Input!X$46&lt;&gt;""),Input!$B$46&amp;";",""),IF(AND($G16&lt;Hta_27,$G16&gt;=Hba_27,Input!X$47&lt;&gt;""),Input!$B$47&amp;";",""),IF(AND($G16&lt;Hta_28,$G16&gt;=Hba_28,Input!X$48&lt;&gt;""),Input!$B$48&amp;";",""),IF(AND($G16&lt;Hta_29,$G16&gt;=Hba_29,Input!X$49&lt;&gt;""),Input!$B$49&amp;";",""),IF(AND($G16&lt;Hta_30,$G16&gt;=Hba_30,Input!X$50&lt;&gt;""),Input!$B$50&amp;";","")),"")</f>
        <v/>
      </c>
      <c r="BZ16" s="25" t="str">
        <f>IFERROR(CONCATENATE(IF(AND($G16&lt;Hta_1,$G16&gt;=Hba_1,Input!Y$21&lt;&gt;""),Input!$B$21&amp;";",""),IF(AND($G16&lt;Hta_2,$G16&gt;=Hba_2,Input!Y$22&lt;&gt;""),Input!$B$22&amp;";",""),IF(AND($G16&lt;Hta_3,$G16&gt;=Hba_3,Input!Y$23&lt;&gt;""),Input!$B$23&amp;";",""),IF(AND($G16&lt;Hta_4,$G16&gt;=Hba_4,Input!Y$24&lt;&gt;""),Input!$B$24&amp;";",""),IF(AND($G16&lt;Hta_5,$G16&gt;=Hba_5,Input!Y$25&lt;&gt;""),Input!$B$25&amp;";",""),IF(AND($G16&lt;Hta_6,$G16&gt;=Hba_6,Input!Y$26&lt;&gt;""),Input!$B$26&amp;";",""),IF(AND($G16&lt;Hta_7,$G16&gt;=Hba_7,Input!Y$27&lt;&gt;""),Input!$B$27&amp;";",""),IF(AND($G16&lt;Hta_8,$G16&gt;=Hba_8,Input!Y$28&lt;&gt;""),Input!$B$28&amp;";",""),IF(AND($G16&lt;Hta_9,$G16&gt;=Hba_9,Input!Y$29&lt;&gt;""),Input!$B$29&amp;";",""),IF(AND($G16&lt;Hta_10,$G16&gt;=Hba_10,Input!Y$30&lt;&gt;""),Input!$B$30&amp;";",""),IF(AND($G16&lt;Hta_11,$G16&gt;=Hba_11,Input!Y$31&lt;&gt;""),Input!$B$31&amp;";",""),IF(AND($G16&lt;Hta_12,$G16&gt;=Hba_12,Input!Y$32&lt;&gt;""),Input!$B$32&amp;";",""),IF(AND($G16&lt;Hta_13,$G16&gt;=Hba_13,Input!Y$33&lt;&gt;""),Input!$B$33&amp;";",""),IF(AND($G16&lt;Hta_14,$G16&gt;=Hba_14,Input!Y$34&lt;&gt;""),Input!$B$34&amp;";",""),IF(AND($G16&lt;Hta_15,$G16&gt;=Hba_15,Input!Y$35&lt;&gt;""),Input!$B$35&amp;";",""),IF(AND($G16&lt;Hta_16,$G16&gt;=Hba_16,Input!Y$36&lt;&gt;""),Input!$B$36&amp;";",""),IF(AND($G16&lt;Hta_17,$G16&gt;=Hba_17,Input!Y$37&lt;&gt;""),Input!$B$37&amp;";",""),IF(AND($G16&lt;Hta_18,$G16&gt;=Hba_18,Input!Y$38&lt;&gt;""),Input!$B$38&amp;";",""),IF(AND($G16&lt;Hta_19,$G16&gt;=Hba_19,Input!Y$39&lt;&gt;""),Input!$B$39&amp;";",""),IF(AND($G16&lt;Hta_20,$G16&gt;=Hba_20,Input!Y$40&lt;&gt;""),Input!$B$40&amp;";",""),IF(AND($G16&lt;Hta_21,$G16&gt;=Hba_21,Input!Y$41&lt;&gt;""),Input!$B$41&amp;";",""),IF(AND($G16&lt;Hta_22,$G16&gt;=Hba_22,Input!Y$42&lt;&gt;""),Input!$B$42&amp;";",""),IF(AND($G16&lt;Hta_23,$G16&gt;=Hba_23,Input!Y$43&lt;&gt;""),Input!$B$43&amp;";",""),IF(AND($G16&lt;Hta_24,$G16&gt;=Hba_24,Input!Y$44&lt;&gt;""),Input!$B$44&amp;";",""),IF(AND($G16&lt;Hta_25,$G16&gt;=Hba_25,Input!Y$45&lt;&gt;""),Input!$B$45&amp;";",""),IF(AND($G16&lt;Hta_26,$G16&gt;=Hba_26,Input!Y$46&lt;&gt;""),Input!$B$46&amp;";",""),IF(AND($G16&lt;Hta_27,$G16&gt;=Hba_27,Input!Y$47&lt;&gt;""),Input!$B$47&amp;";",""),IF(AND($G16&lt;Hta_28,$G16&gt;=Hba_28,Input!Y$48&lt;&gt;""),Input!$B$48&amp;";",""),IF(AND($G16&lt;Hta_29,$G16&gt;=Hba_29,Input!Y$49&lt;&gt;""),Input!$B$49&amp;";",""),IF(AND($G16&lt;Hta_30,$G16&gt;=Hba_30,Input!Y$50&lt;&gt;""),Input!$B$50&amp;";","")),"")</f>
        <v/>
      </c>
      <c r="CA16" s="25" t="str">
        <f>IFERROR(CONCATENATE(IF(AND($G16&lt;Hta_1,$G16&gt;=Hba_1,Input!Z$21&lt;&gt;""),Input!$B$21&amp;";",""),IF(AND($G16&lt;Hta_2,$G16&gt;=Hba_2,Input!Z$22&lt;&gt;""),Input!$B$22&amp;";",""),IF(AND($G16&lt;Hta_3,$G16&gt;=Hba_3,Input!Z$23&lt;&gt;""),Input!$B$23&amp;";",""),IF(AND($G16&lt;Hta_4,$G16&gt;=Hba_4,Input!Z$24&lt;&gt;""),Input!$B$24&amp;";",""),IF(AND($G16&lt;Hta_5,$G16&gt;=Hba_5,Input!Z$25&lt;&gt;""),Input!$B$25&amp;";",""),IF(AND($G16&lt;Hta_6,$G16&gt;=Hba_6,Input!Z$26&lt;&gt;""),Input!$B$26&amp;";",""),IF(AND($G16&lt;Hta_7,$G16&gt;=Hba_7,Input!Z$27&lt;&gt;""),Input!$B$27&amp;";",""),IF(AND($G16&lt;Hta_8,$G16&gt;=Hba_8,Input!Z$28&lt;&gt;""),Input!$B$28&amp;";",""),IF(AND($G16&lt;Hta_9,$G16&gt;=Hba_9,Input!Z$29&lt;&gt;""),Input!$B$29&amp;";",""),IF(AND($G16&lt;Hta_10,$G16&gt;=Hba_10,Input!Z$30&lt;&gt;""),Input!$B$30&amp;";",""),IF(AND($G16&lt;Hta_11,$G16&gt;=Hba_11,Input!Z$31&lt;&gt;""),Input!$B$31&amp;";",""),IF(AND($G16&lt;Hta_12,$G16&gt;=Hba_12,Input!Z$32&lt;&gt;""),Input!$B$32&amp;";",""),IF(AND($G16&lt;Hta_13,$G16&gt;=Hba_13,Input!Z$33&lt;&gt;""),Input!$B$33&amp;";",""),IF(AND($G16&lt;Hta_14,$G16&gt;=Hba_14,Input!Z$34&lt;&gt;""),Input!$B$34&amp;";",""),IF(AND($G16&lt;Hta_15,$G16&gt;=Hba_15,Input!Z$35&lt;&gt;""),Input!$B$35&amp;";",""),IF(AND($G16&lt;Hta_16,$G16&gt;=Hba_16,Input!Z$36&lt;&gt;""),Input!$B$36&amp;";",""),IF(AND($G16&lt;Hta_17,$G16&gt;=Hba_17,Input!Z$37&lt;&gt;""),Input!$B$37&amp;";",""),IF(AND($G16&lt;Hta_18,$G16&gt;=Hba_18,Input!Z$38&lt;&gt;""),Input!$B$38&amp;";",""),IF(AND($G16&lt;Hta_19,$G16&gt;=Hba_19,Input!Z$39&lt;&gt;""),Input!$B$39&amp;";",""),IF(AND($G16&lt;Hta_20,$G16&gt;=Hba_20,Input!Z$40&lt;&gt;""),Input!$B$40&amp;";",""),IF(AND($G16&lt;Hta_21,$G16&gt;=Hba_21,Input!Z$41&lt;&gt;""),Input!$B$41&amp;";",""),IF(AND($G16&lt;Hta_22,$G16&gt;=Hba_22,Input!Z$42&lt;&gt;""),Input!$B$42&amp;";",""),IF(AND($G16&lt;Hta_23,$G16&gt;=Hba_23,Input!Z$43&lt;&gt;""),Input!$B$43&amp;";",""),IF(AND($G16&lt;Hta_24,$G16&gt;=Hba_24,Input!Z$44&lt;&gt;""),Input!$B$44&amp;";",""),IF(AND($G16&lt;Hta_25,$G16&gt;=Hba_25,Input!Z$45&lt;&gt;""),Input!$B$45&amp;";",""),IF(AND($G16&lt;Hta_26,$G16&gt;=Hba_26,Input!Z$46&lt;&gt;""),Input!$B$46&amp;";",""),IF(AND($G16&lt;Hta_27,$G16&gt;=Hba_27,Input!Z$47&lt;&gt;""),Input!$B$47&amp;";",""),IF(AND($G16&lt;Hta_28,$G16&gt;=Hba_28,Input!Z$48&lt;&gt;""),Input!$B$48&amp;";",""),IF(AND($G16&lt;Hta_29,$G16&gt;=Hba_29,Input!Z$49&lt;&gt;""),Input!$B$49&amp;";",""),IF(AND($G16&lt;Hta_30,$G16&gt;=Hba_30,Input!Z$50&lt;&gt;""),Input!$B$50&amp;";","")),"")</f>
        <v/>
      </c>
      <c r="CB16" s="25" t="str">
        <f>IFERROR(CONCATENATE(IF(AND($G16&lt;Hta_1,$G16&gt;=Hba_1,Input!AA$21&lt;&gt;""),Input!$B$21&amp;";",""),IF(AND($G16&lt;Hta_2,$G16&gt;=Hba_2,Input!AA$22&lt;&gt;""),Input!$B$22&amp;";",""),IF(AND($G16&lt;Hta_3,$G16&gt;=Hba_3,Input!AA$23&lt;&gt;""),Input!$B$23&amp;";",""),IF(AND($G16&lt;Hta_4,$G16&gt;=Hba_4,Input!AA$24&lt;&gt;""),Input!$B$24&amp;";",""),IF(AND($G16&lt;Hta_5,$G16&gt;=Hba_5,Input!AA$25&lt;&gt;""),Input!$B$25&amp;";",""),IF(AND($G16&lt;Hta_6,$G16&gt;=Hba_6,Input!AA$26&lt;&gt;""),Input!$B$26&amp;";",""),IF(AND($G16&lt;Hta_7,$G16&gt;=Hba_7,Input!AA$27&lt;&gt;""),Input!$B$27&amp;";",""),IF(AND($G16&lt;Hta_8,$G16&gt;=Hba_8,Input!AA$28&lt;&gt;""),Input!$B$28&amp;";",""),IF(AND($G16&lt;Hta_9,$G16&gt;=Hba_9,Input!AA$29&lt;&gt;""),Input!$B$29&amp;";",""),IF(AND($G16&lt;Hta_10,$G16&gt;=Hba_10,Input!AA$30&lt;&gt;""),Input!$B$30&amp;";",""),IF(AND($G16&lt;Hta_11,$G16&gt;=Hba_11,Input!AA$31&lt;&gt;""),Input!$B$31&amp;";",""),IF(AND($G16&lt;Hta_12,$G16&gt;=Hba_12,Input!AA$32&lt;&gt;""),Input!$B$32&amp;";",""),IF(AND($G16&lt;Hta_13,$G16&gt;=Hba_13,Input!AA$33&lt;&gt;""),Input!$B$33&amp;";",""),IF(AND($G16&lt;Hta_14,$G16&gt;=Hba_14,Input!AA$34&lt;&gt;""),Input!$B$34&amp;";",""),IF(AND($G16&lt;Hta_15,$G16&gt;=Hba_15,Input!AA$35&lt;&gt;""),Input!$B$35&amp;";",""),IF(AND($G16&lt;Hta_16,$G16&gt;=Hba_16,Input!AA$36&lt;&gt;""),Input!$B$36&amp;";",""),IF(AND($G16&lt;Hta_17,$G16&gt;=Hba_17,Input!AA$37&lt;&gt;""),Input!$B$37&amp;";",""),IF(AND($G16&lt;Hta_18,$G16&gt;=Hba_18,Input!AA$38&lt;&gt;""),Input!$B$38&amp;";",""),IF(AND($G16&lt;Hta_19,$G16&gt;=Hba_19,Input!AA$39&lt;&gt;""),Input!$B$39&amp;";",""),IF(AND($G16&lt;Hta_20,$G16&gt;=Hba_20,Input!AA$40&lt;&gt;""),Input!$B$40&amp;";",""),IF(AND($G16&lt;Hta_21,$G16&gt;=Hba_21,Input!AA$41&lt;&gt;""),Input!$B$41&amp;";",""),IF(AND($G16&lt;Hta_22,$G16&gt;=Hba_22,Input!AA$42&lt;&gt;""),Input!$B$42&amp;";",""),IF(AND($G16&lt;Hta_23,$G16&gt;=Hba_23,Input!AA$43&lt;&gt;""),Input!$B$43&amp;";",""),IF(AND($G16&lt;Hta_24,$G16&gt;=Hba_24,Input!AA$44&lt;&gt;""),Input!$B$44&amp;";",""),IF(AND($G16&lt;Hta_25,$G16&gt;=Hba_25,Input!AA$45&lt;&gt;""),Input!$B$45&amp;";",""),IF(AND($G16&lt;Hta_26,$G16&gt;=Hba_26,Input!AA$46&lt;&gt;""),Input!$B$46&amp;";",""),IF(AND($G16&lt;Hta_27,$G16&gt;=Hba_27,Input!AA$47&lt;&gt;""),Input!$B$47&amp;";",""),IF(AND($G16&lt;Hta_28,$G16&gt;=Hba_28,Input!AA$48&lt;&gt;""),Input!$B$48&amp;";",""),IF(AND($G16&lt;Hta_29,$G16&gt;=Hba_29,Input!AA$49&lt;&gt;""),Input!$B$49&amp;";",""),IF(AND($G16&lt;Hta_30,$G16&gt;=Hba_30,Input!AA$50&lt;&gt;""),Input!$B$50&amp;";","")),"")</f>
        <v/>
      </c>
      <c r="CC16" s="25" t="str">
        <f>IFERROR(CONCATENATE(IF(AND($G16&lt;Hta_1,$G16&gt;=Hba_1,Input!AB$21&lt;&gt;""),Input!$B$21&amp;";",""),IF(AND($G16&lt;Hta_2,$G16&gt;=Hba_2,Input!AB$22&lt;&gt;""),Input!$B$22&amp;";",""),IF(AND($G16&lt;Hta_3,$G16&gt;=Hba_3,Input!AB$23&lt;&gt;""),Input!$B$23&amp;";",""),IF(AND($G16&lt;Hta_4,$G16&gt;=Hba_4,Input!AB$24&lt;&gt;""),Input!$B$24&amp;";",""),IF(AND($G16&lt;Hta_5,$G16&gt;=Hba_5,Input!AB$25&lt;&gt;""),Input!$B$25&amp;";",""),IF(AND($G16&lt;Hta_6,$G16&gt;=Hba_6,Input!AB$26&lt;&gt;""),Input!$B$26&amp;";",""),IF(AND($G16&lt;Hta_7,$G16&gt;=Hba_7,Input!AB$27&lt;&gt;""),Input!$B$27&amp;";",""),IF(AND($G16&lt;Hta_8,$G16&gt;=Hba_8,Input!AB$28&lt;&gt;""),Input!$B$28&amp;";",""),IF(AND($G16&lt;Hta_9,$G16&gt;=Hba_9,Input!AB$29&lt;&gt;""),Input!$B$29&amp;";",""),IF(AND($G16&lt;Hta_10,$G16&gt;=Hba_10,Input!AB$30&lt;&gt;""),Input!$B$30&amp;";",""),IF(AND($G16&lt;Hta_11,$G16&gt;=Hba_11,Input!AB$31&lt;&gt;""),Input!$B$31&amp;";",""),IF(AND($G16&lt;Hta_12,$G16&gt;=Hba_12,Input!AB$32&lt;&gt;""),Input!$B$32&amp;";",""),IF(AND($G16&lt;Hta_13,$G16&gt;=Hba_13,Input!AB$33&lt;&gt;""),Input!$B$33&amp;";",""),IF(AND($G16&lt;Hta_14,$G16&gt;=Hba_14,Input!AB$34&lt;&gt;""),Input!$B$34&amp;";",""),IF(AND($G16&lt;Hta_15,$G16&gt;=Hba_15,Input!AB$35&lt;&gt;""),Input!$B$35&amp;";",""),IF(AND($G16&lt;Hta_16,$G16&gt;=Hba_16,Input!AB$36&lt;&gt;""),Input!$B$36&amp;";",""),IF(AND($G16&lt;Hta_17,$G16&gt;=Hba_17,Input!AB$37&lt;&gt;""),Input!$B$37&amp;";",""),IF(AND($G16&lt;Hta_18,$G16&gt;=Hba_18,Input!AB$38&lt;&gt;""),Input!$B$38&amp;";",""),IF(AND($G16&lt;Hta_19,$G16&gt;=Hba_19,Input!AB$39&lt;&gt;""),Input!$B$39&amp;";",""),IF(AND($G16&lt;Hta_20,$G16&gt;=Hba_20,Input!AB$40&lt;&gt;""),Input!$B$40&amp;";",""),IF(AND($G16&lt;Hta_21,$G16&gt;=Hba_21,Input!AB$41&lt;&gt;""),Input!$B$41&amp;";",""),IF(AND($G16&lt;Hta_22,$G16&gt;=Hba_22,Input!AB$42&lt;&gt;""),Input!$B$42&amp;";",""),IF(AND($G16&lt;Hta_23,$G16&gt;=Hba_23,Input!AB$43&lt;&gt;""),Input!$B$43&amp;";",""),IF(AND($G16&lt;Hta_24,$G16&gt;=Hba_24,Input!AB$44&lt;&gt;""),Input!$B$44&amp;";",""),IF(AND($G16&lt;Hta_25,$G16&gt;=Hba_25,Input!AB$45&lt;&gt;""),Input!$B$45&amp;";",""),IF(AND($G16&lt;Hta_26,$G16&gt;=Hba_26,Input!AB$46&lt;&gt;""),Input!$B$46&amp;";",""),IF(AND($G16&lt;Hta_27,$G16&gt;=Hba_27,Input!AB$47&lt;&gt;""),Input!$B$47&amp;";",""),IF(AND($G16&lt;Hta_28,$G16&gt;=Hba_28,Input!AB$48&lt;&gt;""),Input!$B$48&amp;";",""),IF(AND($G16&lt;Hta_29,$G16&gt;=Hba_29,Input!AB$49&lt;&gt;""),Input!$B$49&amp;";",""),IF(AND($G16&lt;Hta_30,$G16&gt;=Hba_30,Input!AB$50&lt;&gt;""),Input!$B$50&amp;";","")),"")</f>
        <v/>
      </c>
      <c r="CD16" s="25" t="str">
        <f>IFERROR(CONCATENATE(IF(AND($G16&lt;Hta_1,$G16&gt;=Hba_1,Input!AC$21&lt;&gt;""),Input!$B$21&amp;";",""),IF(AND($G16&lt;Hta_2,$G16&gt;=Hba_2,Input!AC$22&lt;&gt;""),Input!$B$22&amp;";",""),IF(AND($G16&lt;Hta_3,$G16&gt;=Hba_3,Input!AC$23&lt;&gt;""),Input!$B$23&amp;";",""),IF(AND($G16&lt;Hta_4,$G16&gt;=Hba_4,Input!AC$24&lt;&gt;""),Input!$B$24&amp;";",""),IF(AND($G16&lt;Hta_5,$G16&gt;=Hba_5,Input!AC$25&lt;&gt;""),Input!$B$25&amp;";",""),IF(AND($G16&lt;Hta_6,$G16&gt;=Hba_6,Input!AC$26&lt;&gt;""),Input!$B$26&amp;";",""),IF(AND($G16&lt;Hta_7,$G16&gt;=Hba_7,Input!AC$27&lt;&gt;""),Input!$B$27&amp;";",""),IF(AND($G16&lt;Hta_8,$G16&gt;=Hba_8,Input!AC$28&lt;&gt;""),Input!$B$28&amp;";",""),IF(AND($G16&lt;Hta_9,$G16&gt;=Hba_9,Input!AC$29&lt;&gt;""),Input!$B$29&amp;";",""),IF(AND($G16&lt;Hta_10,$G16&gt;=Hba_10,Input!AC$30&lt;&gt;""),Input!$B$30&amp;";",""),IF(AND($G16&lt;Hta_11,$G16&gt;=Hba_11,Input!AC$31&lt;&gt;""),Input!$B$31&amp;";",""),IF(AND($G16&lt;Hta_12,$G16&gt;=Hba_12,Input!AC$32&lt;&gt;""),Input!$B$32&amp;";",""),IF(AND($G16&lt;Hta_13,$G16&gt;=Hba_13,Input!AC$33&lt;&gt;""),Input!$B$33&amp;";",""),IF(AND($G16&lt;Hta_14,$G16&gt;=Hba_14,Input!AC$34&lt;&gt;""),Input!$B$34&amp;";",""),IF(AND($G16&lt;Hta_15,$G16&gt;=Hba_15,Input!AC$35&lt;&gt;""),Input!$B$35&amp;";",""),IF(AND($G16&lt;Hta_16,$G16&gt;=Hba_16,Input!AC$36&lt;&gt;""),Input!$B$36&amp;";",""),IF(AND($G16&lt;Hta_17,$G16&gt;=Hba_17,Input!AC$37&lt;&gt;""),Input!$B$37&amp;";",""),IF(AND($G16&lt;Hta_18,$G16&gt;=Hba_18,Input!AC$38&lt;&gt;""),Input!$B$38&amp;";",""),IF(AND($G16&lt;Hta_19,$G16&gt;=Hba_19,Input!AC$39&lt;&gt;""),Input!$B$39&amp;";",""),IF(AND($G16&lt;Hta_20,$G16&gt;=Hba_20,Input!AC$40&lt;&gt;""),Input!$B$40&amp;";",""),IF(AND($G16&lt;Hta_21,$G16&gt;=Hba_21,Input!AC$41&lt;&gt;""),Input!$B$41&amp;";",""),IF(AND($G16&lt;Hta_22,$G16&gt;=Hba_22,Input!AC$42&lt;&gt;""),Input!$B$42&amp;";",""),IF(AND($G16&lt;Hta_23,$G16&gt;=Hba_23,Input!AC$43&lt;&gt;""),Input!$B$43&amp;";",""),IF(AND($G16&lt;Hta_24,$G16&gt;=Hba_24,Input!AC$44&lt;&gt;""),Input!$B$44&amp;";",""),IF(AND($G16&lt;Hta_25,$G16&gt;=Hba_25,Input!AC$45&lt;&gt;""),Input!$B$45&amp;";",""),IF(AND($G16&lt;Hta_26,$G16&gt;=Hba_26,Input!AC$46&lt;&gt;""),Input!$B$46&amp;";",""),IF(AND($G16&lt;Hta_27,$G16&gt;=Hba_27,Input!AC$47&lt;&gt;""),Input!$B$47&amp;";",""),IF(AND($G16&lt;Hta_28,$G16&gt;=Hba_28,Input!AC$48&lt;&gt;""),Input!$B$48&amp;";",""),IF(AND($G16&lt;Hta_29,$G16&gt;=Hba_29,Input!AC$49&lt;&gt;""),Input!$B$49&amp;";",""),IF(AND($G16&lt;Hta_30,$G16&gt;=Hba_30,Input!AC$50&lt;&gt;""),Input!$B$50&amp;";","")),"")</f>
        <v/>
      </c>
      <c r="CE16" s="25" t="str">
        <f>IFERROR(CONCATENATE(IF(AND($G16&lt;Hta_1,$G16&gt;=Hba_1,Input!AD$21&lt;&gt;""),Input!$B$21&amp;";",""),IF(AND($G16&lt;Hta_2,$G16&gt;=Hba_2,Input!AD$22&lt;&gt;""),Input!$B$22&amp;";",""),IF(AND($G16&lt;Hta_3,$G16&gt;=Hba_3,Input!AD$23&lt;&gt;""),Input!$B$23&amp;";",""),IF(AND($G16&lt;Hta_4,$G16&gt;=Hba_4,Input!AD$24&lt;&gt;""),Input!$B$24&amp;";",""),IF(AND($G16&lt;Hta_5,$G16&gt;=Hba_5,Input!AD$25&lt;&gt;""),Input!$B$25&amp;";",""),IF(AND($G16&lt;Hta_6,$G16&gt;=Hba_6,Input!AD$26&lt;&gt;""),Input!$B$26&amp;";",""),IF(AND($G16&lt;Hta_7,$G16&gt;=Hba_7,Input!AD$27&lt;&gt;""),Input!$B$27&amp;";",""),IF(AND($G16&lt;Hta_8,$G16&gt;=Hba_8,Input!AD$28&lt;&gt;""),Input!$B$28&amp;";",""),IF(AND($G16&lt;Hta_9,$G16&gt;=Hba_9,Input!AD$29&lt;&gt;""),Input!$B$29&amp;";",""),IF(AND($G16&lt;Hta_10,$G16&gt;=Hba_10,Input!AD$30&lt;&gt;""),Input!$B$30&amp;";",""),IF(AND($G16&lt;Hta_11,$G16&gt;=Hba_11,Input!AD$31&lt;&gt;""),Input!$B$31&amp;";",""),IF(AND($G16&lt;Hta_12,$G16&gt;=Hba_12,Input!AD$32&lt;&gt;""),Input!$B$32&amp;";",""),IF(AND($G16&lt;Hta_13,$G16&gt;=Hba_13,Input!AD$33&lt;&gt;""),Input!$B$33&amp;";",""),IF(AND($G16&lt;Hta_14,$G16&gt;=Hba_14,Input!AD$34&lt;&gt;""),Input!$B$34&amp;";",""),IF(AND($G16&lt;Hta_15,$G16&gt;=Hba_15,Input!AD$35&lt;&gt;""),Input!$B$35&amp;";",""),IF(AND($G16&lt;Hta_16,$G16&gt;=Hba_16,Input!AD$36&lt;&gt;""),Input!$B$36&amp;";",""),IF(AND($G16&lt;Hta_17,$G16&gt;=Hba_17,Input!AD$37&lt;&gt;""),Input!$B$37&amp;";",""),IF(AND($G16&lt;Hta_18,$G16&gt;=Hba_18,Input!AD$38&lt;&gt;""),Input!$B$38&amp;";",""),IF(AND($G16&lt;Hta_19,$G16&gt;=Hba_19,Input!AD$39&lt;&gt;""),Input!$B$39&amp;";",""),IF(AND($G16&lt;Hta_20,$G16&gt;=Hba_20,Input!AD$40&lt;&gt;""),Input!$B$40&amp;";",""),IF(AND($G16&lt;Hta_21,$G16&gt;=Hba_21,Input!AD$41&lt;&gt;""),Input!$B$41&amp;";",""),IF(AND($G16&lt;Hta_22,$G16&gt;=Hba_22,Input!AD$42&lt;&gt;""),Input!$B$42&amp;";",""),IF(AND($G16&lt;Hta_23,$G16&gt;=Hba_23,Input!AD$43&lt;&gt;""),Input!$B$43&amp;";",""),IF(AND($G16&lt;Hta_24,$G16&gt;=Hba_24,Input!AD$44&lt;&gt;""),Input!$B$44&amp;";",""),IF(AND($G16&lt;Hta_25,$G16&gt;=Hba_25,Input!AD$45&lt;&gt;""),Input!$B$45&amp;";",""),IF(AND($G16&lt;Hta_26,$G16&gt;=Hba_26,Input!AD$46&lt;&gt;""),Input!$B$46&amp;";",""),IF(AND($G16&lt;Hta_27,$G16&gt;=Hba_27,Input!AD$47&lt;&gt;""),Input!$B$47&amp;";",""),IF(AND($G16&lt;Hta_28,$G16&gt;=Hba_28,Input!AD$48&lt;&gt;""),Input!$B$48&amp;";",""),IF(AND($G16&lt;Hta_29,$G16&gt;=Hba_29,Input!AD$49&lt;&gt;""),Input!$B$49&amp;";",""),IF(AND($G16&lt;Hta_30,$G16&gt;=Hba_30,Input!AD$50&lt;&gt;""),Input!$B$50&amp;";","")),"")</f>
        <v/>
      </c>
      <c r="CF16" s="25" t="str">
        <f>IFERROR(CONCATENATE(IF(AND($G16&lt;Hta_1,$G16&gt;=Hba_1,Input!AE$21&lt;&gt;""),Input!$B$21&amp;";",""),IF(AND($G16&lt;Hta_2,$G16&gt;=Hba_2,Input!AE$22&lt;&gt;""),Input!$B$22&amp;";",""),IF(AND($G16&lt;Hta_3,$G16&gt;=Hba_3,Input!AE$23&lt;&gt;""),Input!$B$23&amp;";",""),IF(AND($G16&lt;Hta_4,$G16&gt;=Hba_4,Input!AE$24&lt;&gt;""),Input!$B$24&amp;";",""),IF(AND($G16&lt;Hta_5,$G16&gt;=Hba_5,Input!AE$25&lt;&gt;""),Input!$B$25&amp;";",""),IF(AND($G16&lt;Hta_6,$G16&gt;=Hba_6,Input!AE$26&lt;&gt;""),Input!$B$26&amp;";",""),IF(AND($G16&lt;Hta_7,$G16&gt;=Hba_7,Input!AE$27&lt;&gt;""),Input!$B$27&amp;";",""),IF(AND($G16&lt;Hta_8,$G16&gt;=Hba_8,Input!AE$28&lt;&gt;""),Input!$B$28&amp;";",""),IF(AND($G16&lt;Hta_9,$G16&gt;=Hba_9,Input!AE$29&lt;&gt;""),Input!$B$29&amp;";",""),IF(AND($G16&lt;Hta_10,$G16&gt;=Hba_10,Input!AE$30&lt;&gt;""),Input!$B$30&amp;";",""),IF(AND($G16&lt;Hta_11,$G16&gt;=Hba_11,Input!AE$31&lt;&gt;""),Input!$B$31&amp;";",""),IF(AND($G16&lt;Hta_12,$G16&gt;=Hba_12,Input!AE$32&lt;&gt;""),Input!$B$32&amp;";",""),IF(AND($G16&lt;Hta_13,$G16&gt;=Hba_13,Input!AE$33&lt;&gt;""),Input!$B$33&amp;";",""),IF(AND($G16&lt;Hta_14,$G16&gt;=Hba_14,Input!AE$34&lt;&gt;""),Input!$B$34&amp;";",""),IF(AND($G16&lt;Hta_15,$G16&gt;=Hba_15,Input!AE$35&lt;&gt;""),Input!$B$35&amp;";",""),IF(AND($G16&lt;Hta_16,$G16&gt;=Hba_16,Input!AE$36&lt;&gt;""),Input!$B$36&amp;";",""),IF(AND($G16&lt;Hta_17,$G16&gt;=Hba_17,Input!AE$37&lt;&gt;""),Input!$B$37&amp;";",""),IF(AND($G16&lt;Hta_18,$G16&gt;=Hba_18,Input!AE$38&lt;&gt;""),Input!$B$38&amp;";",""),IF(AND($G16&lt;Hta_19,$G16&gt;=Hba_19,Input!AE$39&lt;&gt;""),Input!$B$39&amp;";",""),IF(AND($G16&lt;Hta_20,$G16&gt;=Hba_20,Input!AE$40&lt;&gt;""),Input!$B$40&amp;";",""),IF(AND($G16&lt;Hta_21,$G16&gt;=Hba_21,Input!AE$41&lt;&gt;""),Input!$B$41&amp;";",""),IF(AND($G16&lt;Hta_22,$G16&gt;=Hba_22,Input!AE$42&lt;&gt;""),Input!$B$42&amp;";",""),IF(AND($G16&lt;Hta_23,$G16&gt;=Hba_23,Input!AE$43&lt;&gt;""),Input!$B$43&amp;";",""),IF(AND($G16&lt;Hta_24,$G16&gt;=Hba_24,Input!AE$44&lt;&gt;""),Input!$B$44&amp;";",""),IF(AND($G16&lt;Hta_25,$G16&gt;=Hba_25,Input!AE$45&lt;&gt;""),Input!$B$45&amp;";",""),IF(AND($G16&lt;Hta_26,$G16&gt;=Hba_26,Input!AE$46&lt;&gt;""),Input!$B$46&amp;";",""),IF(AND($G16&lt;Hta_27,$G16&gt;=Hba_27,Input!AE$47&lt;&gt;""),Input!$B$47&amp;";",""),IF(AND($G16&lt;Hta_28,$G16&gt;=Hba_28,Input!AE$48&lt;&gt;""),Input!$B$48&amp;";",""),IF(AND($G16&lt;Hta_29,$G16&gt;=Hba_29,Input!AE$49&lt;&gt;""),Input!$B$49&amp;";",""),IF(AND($G16&lt;Hta_30,$G16&gt;=Hba_30,Input!AE$50&lt;&gt;""),Input!$B$50&amp;";","")),"")</f>
        <v/>
      </c>
      <c r="CG16" s="25" t="str">
        <f>IFERROR(CONCATENATE(IF(AND($G16&lt;Hta_1,$G16&gt;=Hba_1,Input!AF$21&lt;&gt;""),Input!$B$21&amp;";",""),IF(AND($G16&lt;Hta_2,$G16&gt;=Hba_2,Input!AF$22&lt;&gt;""),Input!$B$22&amp;";",""),IF(AND($G16&lt;Hta_3,$G16&gt;=Hba_3,Input!AF$23&lt;&gt;""),Input!$B$23&amp;";",""),IF(AND($G16&lt;Hta_4,$G16&gt;=Hba_4,Input!AF$24&lt;&gt;""),Input!$B$24&amp;";",""),IF(AND($G16&lt;Hta_5,$G16&gt;=Hba_5,Input!AF$25&lt;&gt;""),Input!$B$25&amp;";",""),IF(AND($G16&lt;Hta_6,$G16&gt;=Hba_6,Input!AF$26&lt;&gt;""),Input!$B$26&amp;";",""),IF(AND($G16&lt;Hta_7,$G16&gt;=Hba_7,Input!AF$27&lt;&gt;""),Input!$B$27&amp;";",""),IF(AND($G16&lt;Hta_8,$G16&gt;=Hba_8,Input!AF$28&lt;&gt;""),Input!$B$28&amp;";",""),IF(AND($G16&lt;Hta_9,$G16&gt;=Hba_9,Input!AF$29&lt;&gt;""),Input!$B$29&amp;";",""),IF(AND($G16&lt;Hta_10,$G16&gt;=Hba_10,Input!AF$30&lt;&gt;""),Input!$B$30&amp;";",""),IF(AND($G16&lt;Hta_11,$G16&gt;=Hba_11,Input!AF$31&lt;&gt;""),Input!$B$31&amp;";",""),IF(AND($G16&lt;Hta_12,$G16&gt;=Hba_12,Input!AF$32&lt;&gt;""),Input!$B$32&amp;";",""),IF(AND($G16&lt;Hta_13,$G16&gt;=Hba_13,Input!AF$33&lt;&gt;""),Input!$B$33&amp;";",""),IF(AND($G16&lt;Hta_14,$G16&gt;=Hba_14,Input!AF$34&lt;&gt;""),Input!$B$34&amp;";",""),IF(AND($G16&lt;Hta_15,$G16&gt;=Hba_15,Input!AF$35&lt;&gt;""),Input!$B$35&amp;";",""),IF(AND($G16&lt;Hta_16,$G16&gt;=Hba_16,Input!AF$36&lt;&gt;""),Input!$B$36&amp;";",""),IF(AND($G16&lt;Hta_17,$G16&gt;=Hba_17,Input!AF$37&lt;&gt;""),Input!$B$37&amp;";",""),IF(AND($G16&lt;Hta_18,$G16&gt;=Hba_18,Input!AF$38&lt;&gt;""),Input!$B$38&amp;";",""),IF(AND($G16&lt;Hta_19,$G16&gt;=Hba_19,Input!AF$39&lt;&gt;""),Input!$B$39&amp;";",""),IF(AND($G16&lt;Hta_20,$G16&gt;=Hba_20,Input!AF$40&lt;&gt;""),Input!$B$40&amp;";",""),IF(AND($G16&lt;Hta_21,$G16&gt;=Hba_21,Input!AF$41&lt;&gt;""),Input!$B$41&amp;";",""),IF(AND($G16&lt;Hta_22,$G16&gt;=Hba_22,Input!AF$42&lt;&gt;""),Input!$B$42&amp;";",""),IF(AND($G16&lt;Hta_23,$G16&gt;=Hba_23,Input!AF$43&lt;&gt;""),Input!$B$43&amp;";",""),IF(AND($G16&lt;Hta_24,$G16&gt;=Hba_24,Input!AF$44&lt;&gt;""),Input!$B$44&amp;";",""),IF(AND($G16&lt;Hta_25,$G16&gt;=Hba_25,Input!AF$45&lt;&gt;""),Input!$B$45&amp;";",""),IF(AND($G16&lt;Hta_26,$G16&gt;=Hba_26,Input!AF$46&lt;&gt;""),Input!$B$46&amp;";",""),IF(AND($G16&lt;Hta_27,$G16&gt;=Hba_27,Input!AF$47&lt;&gt;""),Input!$B$47&amp;";",""),IF(AND($G16&lt;Hta_28,$G16&gt;=Hba_28,Input!AF$48&lt;&gt;""),Input!$B$48&amp;";",""),IF(AND($G16&lt;Hta_29,$G16&gt;=Hba_29,Input!AF$49&lt;&gt;""),Input!$B$49&amp;";",""),IF(AND($G16&lt;Hta_30,$G16&gt;=Hba_30,Input!AF$50&lt;&gt;""),Input!$B$50&amp;";","")),"")</f>
        <v/>
      </c>
      <c r="CH16" s="25" t="str">
        <f>IFERROR(CONCATENATE(IF(AND($G16&lt;Hta_1,$G16&gt;=Hba_1,Input!AG$21&lt;&gt;""),Input!$B$21&amp;";",""),IF(AND($G16&lt;Hta_2,$G16&gt;=Hba_2,Input!AG$22&lt;&gt;""),Input!$B$22&amp;";",""),IF(AND($G16&lt;Hta_3,$G16&gt;=Hba_3,Input!AG$23&lt;&gt;""),Input!$B$23&amp;";",""),IF(AND($G16&lt;Hta_4,$G16&gt;=Hba_4,Input!AG$24&lt;&gt;""),Input!$B$24&amp;";",""),IF(AND($G16&lt;Hta_5,$G16&gt;=Hba_5,Input!AG$25&lt;&gt;""),Input!$B$25&amp;";",""),IF(AND($G16&lt;Hta_6,$G16&gt;=Hba_6,Input!AG$26&lt;&gt;""),Input!$B$26&amp;";",""),IF(AND($G16&lt;Hta_7,$G16&gt;=Hba_7,Input!AG$27&lt;&gt;""),Input!$B$27&amp;";",""),IF(AND($G16&lt;Hta_8,$G16&gt;=Hba_8,Input!AG$28&lt;&gt;""),Input!$B$28&amp;";",""),IF(AND($G16&lt;Hta_9,$G16&gt;=Hba_9,Input!AG$29&lt;&gt;""),Input!$B$29&amp;";",""),IF(AND($G16&lt;Hta_10,$G16&gt;=Hba_10,Input!AG$30&lt;&gt;""),Input!$B$30&amp;";",""),IF(AND($G16&lt;Hta_11,$G16&gt;=Hba_11,Input!AG$31&lt;&gt;""),Input!$B$31&amp;";",""),IF(AND($G16&lt;Hta_12,$G16&gt;=Hba_12,Input!AG$32&lt;&gt;""),Input!$B$32&amp;";",""),IF(AND($G16&lt;Hta_13,$G16&gt;=Hba_13,Input!AG$33&lt;&gt;""),Input!$B$33&amp;";",""),IF(AND($G16&lt;Hta_14,$G16&gt;=Hba_14,Input!AG$34&lt;&gt;""),Input!$B$34&amp;";",""),IF(AND($G16&lt;Hta_15,$G16&gt;=Hba_15,Input!AG$35&lt;&gt;""),Input!$B$35&amp;";",""),IF(AND($G16&lt;Hta_16,$G16&gt;=Hba_16,Input!AG$36&lt;&gt;""),Input!$B$36&amp;";",""),IF(AND($G16&lt;Hta_17,$G16&gt;=Hba_17,Input!AG$37&lt;&gt;""),Input!$B$37&amp;";",""),IF(AND($G16&lt;Hta_18,$G16&gt;=Hba_18,Input!AG$38&lt;&gt;""),Input!$B$38&amp;";",""),IF(AND($G16&lt;Hta_19,$G16&gt;=Hba_19,Input!AG$39&lt;&gt;""),Input!$B$39&amp;";",""),IF(AND($G16&lt;Hta_20,$G16&gt;=Hba_20,Input!AG$40&lt;&gt;""),Input!$B$40&amp;";",""),IF(AND($G16&lt;Hta_21,$G16&gt;=Hba_21,Input!AG$41&lt;&gt;""),Input!$B$41&amp;";",""),IF(AND($G16&lt;Hta_22,$G16&gt;=Hba_22,Input!AG$42&lt;&gt;""),Input!$B$42&amp;";",""),IF(AND($G16&lt;Hta_23,$G16&gt;=Hba_23,Input!AG$43&lt;&gt;""),Input!$B$43&amp;";",""),IF(AND($G16&lt;Hta_24,$G16&gt;=Hba_24,Input!AG$44&lt;&gt;""),Input!$B$44&amp;";",""),IF(AND($G16&lt;Hta_25,$G16&gt;=Hba_25,Input!AG$45&lt;&gt;""),Input!$B$45&amp;";",""),IF(AND($G16&lt;Hta_26,$G16&gt;=Hba_26,Input!AG$46&lt;&gt;""),Input!$B$46&amp;";",""),IF(AND($G16&lt;Hta_27,$G16&gt;=Hba_27,Input!AG$47&lt;&gt;""),Input!$B$47&amp;";",""),IF(AND($G16&lt;Hta_28,$G16&gt;=Hba_28,Input!AG$48&lt;&gt;""),Input!$B$48&amp;";",""),IF(AND($G16&lt;Hta_29,$G16&gt;=Hba_29,Input!AG$49&lt;&gt;""),Input!$B$49&amp;";",""),IF(AND($G16&lt;Hta_30,$G16&gt;=Hba_30,Input!AG$50&lt;&gt;""),Input!$B$50&amp;";","")),"")</f>
        <v/>
      </c>
      <c r="CI16" s="25" t="str">
        <f>IFERROR(CONCATENATE(IF(AND($G16&lt;Hta_1,$G16&gt;=Hba_1,Input!AH$21&lt;&gt;""),Input!$B$21&amp;";",""),IF(AND($G16&lt;Hta_2,$G16&gt;=Hba_2,Input!AH$22&lt;&gt;""),Input!$B$22&amp;";",""),IF(AND($G16&lt;Hta_3,$G16&gt;=Hba_3,Input!AH$23&lt;&gt;""),Input!$B$23&amp;";",""),IF(AND($G16&lt;Hta_4,$G16&gt;=Hba_4,Input!AH$24&lt;&gt;""),Input!$B$24&amp;";",""),IF(AND($G16&lt;Hta_5,$G16&gt;=Hba_5,Input!AH$25&lt;&gt;""),Input!$B$25&amp;";",""),IF(AND($G16&lt;Hta_6,$G16&gt;=Hba_6,Input!AH$26&lt;&gt;""),Input!$B$26&amp;";",""),IF(AND($G16&lt;Hta_7,$G16&gt;=Hba_7,Input!AH$27&lt;&gt;""),Input!$B$27&amp;";",""),IF(AND($G16&lt;Hta_8,$G16&gt;=Hba_8,Input!AH$28&lt;&gt;""),Input!$B$28&amp;";",""),IF(AND($G16&lt;Hta_9,$G16&gt;=Hba_9,Input!AH$29&lt;&gt;""),Input!$B$29&amp;";",""),IF(AND($G16&lt;Hta_10,$G16&gt;=Hba_10,Input!AH$30&lt;&gt;""),Input!$B$30&amp;";",""),IF(AND($G16&lt;Hta_11,$G16&gt;=Hba_11,Input!AH$31&lt;&gt;""),Input!$B$31&amp;";",""),IF(AND($G16&lt;Hta_12,$G16&gt;=Hba_12,Input!AH$32&lt;&gt;""),Input!$B$32&amp;";",""),IF(AND($G16&lt;Hta_13,$G16&gt;=Hba_13,Input!AH$33&lt;&gt;""),Input!$B$33&amp;";",""),IF(AND($G16&lt;Hta_14,$G16&gt;=Hba_14,Input!AH$34&lt;&gt;""),Input!$B$34&amp;";",""),IF(AND($G16&lt;Hta_15,$G16&gt;=Hba_15,Input!AH$35&lt;&gt;""),Input!$B$35&amp;";",""),IF(AND($G16&lt;Hta_16,$G16&gt;=Hba_16,Input!AH$36&lt;&gt;""),Input!$B$36&amp;";",""),IF(AND($G16&lt;Hta_17,$G16&gt;=Hba_17,Input!AH$37&lt;&gt;""),Input!$B$37&amp;";",""),IF(AND($G16&lt;Hta_18,$G16&gt;=Hba_18,Input!AH$38&lt;&gt;""),Input!$B$38&amp;";",""),IF(AND($G16&lt;Hta_19,$G16&gt;=Hba_19,Input!AH$39&lt;&gt;""),Input!$B$39&amp;";",""),IF(AND($G16&lt;Hta_20,$G16&gt;=Hba_20,Input!AH$40&lt;&gt;""),Input!$B$40&amp;";",""),IF(AND($G16&lt;Hta_21,$G16&gt;=Hba_21,Input!AH$41&lt;&gt;""),Input!$B$41&amp;";",""),IF(AND($G16&lt;Hta_22,$G16&gt;=Hba_22,Input!AH$42&lt;&gt;""),Input!$B$42&amp;";",""),IF(AND($G16&lt;Hta_23,$G16&gt;=Hba_23,Input!AH$43&lt;&gt;""),Input!$B$43&amp;";",""),IF(AND($G16&lt;Hta_24,$G16&gt;=Hba_24,Input!AH$44&lt;&gt;""),Input!$B$44&amp;";",""),IF(AND($G16&lt;Hta_25,$G16&gt;=Hba_25,Input!AH$45&lt;&gt;""),Input!$B$45&amp;";",""),IF(AND($G16&lt;Hta_26,$G16&gt;=Hba_26,Input!AH$46&lt;&gt;""),Input!$B$46&amp;";",""),IF(AND($G16&lt;Hta_27,$G16&gt;=Hba_27,Input!AH$47&lt;&gt;""),Input!$B$47&amp;";",""),IF(AND($G16&lt;Hta_28,$G16&gt;=Hba_28,Input!AH$48&lt;&gt;""),Input!$B$48&amp;";",""),IF(AND($G16&lt;Hta_29,$G16&gt;=Hba_29,Input!AH$49&lt;&gt;""),Input!$B$49&amp;";",""),IF(AND($G16&lt;Hta_30,$G16&gt;=Hba_30,Input!AH$50&lt;&gt;""),Input!$B$50&amp;";","")),"")</f>
        <v/>
      </c>
      <c r="CJ16" s="25" t="str">
        <f>IFERROR(CONCATENATE(IF(AND($G16&lt;Hta_1,$G16&gt;=Hba_1,Input!AI$21&lt;&gt;""),Input!$B$21&amp;";",""),IF(AND($G16&lt;Hta_2,$G16&gt;=Hba_2,Input!AI$22&lt;&gt;""),Input!$B$22&amp;";",""),IF(AND($G16&lt;Hta_3,$G16&gt;=Hba_3,Input!AI$23&lt;&gt;""),Input!$B$23&amp;";",""),IF(AND($G16&lt;Hta_4,$G16&gt;=Hba_4,Input!AI$24&lt;&gt;""),Input!$B$24&amp;";",""),IF(AND($G16&lt;Hta_5,$G16&gt;=Hba_5,Input!AI$25&lt;&gt;""),Input!$B$25&amp;";",""),IF(AND($G16&lt;Hta_6,$G16&gt;=Hba_6,Input!AI$26&lt;&gt;""),Input!$B$26&amp;";",""),IF(AND($G16&lt;Hta_7,$G16&gt;=Hba_7,Input!AI$27&lt;&gt;""),Input!$B$27&amp;";",""),IF(AND($G16&lt;Hta_8,$G16&gt;=Hba_8,Input!AI$28&lt;&gt;""),Input!$B$28&amp;";",""),IF(AND($G16&lt;Hta_9,$G16&gt;=Hba_9,Input!AI$29&lt;&gt;""),Input!$B$29&amp;";",""),IF(AND($G16&lt;Hta_10,$G16&gt;=Hba_10,Input!AI$30&lt;&gt;""),Input!$B$30&amp;";",""),IF(AND($G16&lt;Hta_11,$G16&gt;=Hba_11,Input!AI$31&lt;&gt;""),Input!$B$31&amp;";",""),IF(AND($G16&lt;Hta_12,$G16&gt;=Hba_12,Input!AI$32&lt;&gt;""),Input!$B$32&amp;";",""),IF(AND($G16&lt;Hta_13,$G16&gt;=Hba_13,Input!AI$33&lt;&gt;""),Input!$B$33&amp;";",""),IF(AND($G16&lt;Hta_14,$G16&gt;=Hba_14,Input!AI$34&lt;&gt;""),Input!$B$34&amp;";",""),IF(AND($G16&lt;Hta_15,$G16&gt;=Hba_15,Input!AI$35&lt;&gt;""),Input!$B$35&amp;";",""),IF(AND($G16&lt;Hta_16,$G16&gt;=Hba_16,Input!AI$36&lt;&gt;""),Input!$B$36&amp;";",""),IF(AND($G16&lt;Hta_17,$G16&gt;=Hba_17,Input!AI$37&lt;&gt;""),Input!$B$37&amp;";",""),IF(AND($G16&lt;Hta_18,$G16&gt;=Hba_18,Input!AI$38&lt;&gt;""),Input!$B$38&amp;";",""),IF(AND($G16&lt;Hta_19,$G16&gt;=Hba_19,Input!AI$39&lt;&gt;""),Input!$B$39&amp;";",""),IF(AND($G16&lt;Hta_20,$G16&gt;=Hba_20,Input!AI$40&lt;&gt;""),Input!$B$40&amp;";",""),IF(AND($G16&lt;Hta_21,$G16&gt;=Hba_21,Input!AI$41&lt;&gt;""),Input!$B$41&amp;";",""),IF(AND($G16&lt;Hta_22,$G16&gt;=Hba_22,Input!AI$42&lt;&gt;""),Input!$B$42&amp;";",""),IF(AND($G16&lt;Hta_23,$G16&gt;=Hba_23,Input!AI$43&lt;&gt;""),Input!$B$43&amp;";",""),IF(AND($G16&lt;Hta_24,$G16&gt;=Hba_24,Input!AI$44&lt;&gt;""),Input!$B$44&amp;";",""),IF(AND($G16&lt;Hta_25,$G16&gt;=Hba_25,Input!AI$45&lt;&gt;""),Input!$B$45&amp;";",""),IF(AND($G16&lt;Hta_26,$G16&gt;=Hba_26,Input!AI$46&lt;&gt;""),Input!$B$46&amp;";",""),IF(AND($G16&lt;Hta_27,$G16&gt;=Hba_27,Input!AI$47&lt;&gt;""),Input!$B$47&amp;";",""),IF(AND($G16&lt;Hta_28,$G16&gt;=Hba_28,Input!AI$48&lt;&gt;""),Input!$B$48&amp;";",""),IF(AND($G16&lt;Hta_29,$G16&gt;=Hba_29,Input!AI$49&lt;&gt;""),Input!$B$49&amp;";",""),IF(AND($G16&lt;Hta_30,$G16&gt;=Hba_30,Input!AI$50&lt;&gt;""),Input!$B$50&amp;";","")),"")</f>
        <v/>
      </c>
      <c r="CK16" s="25" t="str">
        <f>IFERROR(CONCATENATE(IF(AND($G16&lt;Hta_1,$G16&gt;=Hba_1,Input!AJ$21&lt;&gt;""),Input!$B$21&amp;";",""),IF(AND($G16&lt;Hta_2,$G16&gt;=Hba_2,Input!AJ$22&lt;&gt;""),Input!$B$22&amp;";",""),IF(AND($G16&lt;Hta_3,$G16&gt;=Hba_3,Input!AJ$23&lt;&gt;""),Input!$B$23&amp;";",""),IF(AND($G16&lt;Hta_4,$G16&gt;=Hba_4,Input!AJ$24&lt;&gt;""),Input!$B$24&amp;";",""),IF(AND($G16&lt;Hta_5,$G16&gt;=Hba_5,Input!AJ$25&lt;&gt;""),Input!$B$25&amp;";",""),IF(AND($G16&lt;Hta_6,$G16&gt;=Hba_6,Input!AJ$26&lt;&gt;""),Input!$B$26&amp;";",""),IF(AND($G16&lt;Hta_7,$G16&gt;=Hba_7,Input!AJ$27&lt;&gt;""),Input!$B$27&amp;";",""),IF(AND($G16&lt;Hta_8,$G16&gt;=Hba_8,Input!AJ$28&lt;&gt;""),Input!$B$28&amp;";",""),IF(AND($G16&lt;Hta_9,$G16&gt;=Hba_9,Input!AJ$29&lt;&gt;""),Input!$B$29&amp;";",""),IF(AND($G16&lt;Hta_10,$G16&gt;=Hba_10,Input!AJ$30&lt;&gt;""),Input!$B$30&amp;";",""),IF(AND($G16&lt;Hta_11,$G16&gt;=Hba_11,Input!AJ$31&lt;&gt;""),Input!$B$31&amp;";",""),IF(AND($G16&lt;Hta_12,$G16&gt;=Hba_12,Input!AJ$32&lt;&gt;""),Input!$B$32&amp;";",""),IF(AND($G16&lt;Hta_13,$G16&gt;=Hba_13,Input!AJ$33&lt;&gt;""),Input!$B$33&amp;";",""),IF(AND($G16&lt;Hta_14,$G16&gt;=Hba_14,Input!AJ$34&lt;&gt;""),Input!$B$34&amp;";",""),IF(AND($G16&lt;Hta_15,$G16&gt;=Hba_15,Input!AJ$35&lt;&gt;""),Input!$B$35&amp;";",""),IF(AND($G16&lt;Hta_16,$G16&gt;=Hba_16,Input!AJ$36&lt;&gt;""),Input!$B$36&amp;";",""),IF(AND($G16&lt;Hta_17,$G16&gt;=Hba_17,Input!AJ$37&lt;&gt;""),Input!$B$37&amp;";",""),IF(AND($G16&lt;Hta_18,$G16&gt;=Hba_18,Input!AJ$38&lt;&gt;""),Input!$B$38&amp;";",""),IF(AND($G16&lt;Hta_19,$G16&gt;=Hba_19,Input!AJ$39&lt;&gt;""),Input!$B$39&amp;";",""),IF(AND($G16&lt;Hta_20,$G16&gt;=Hba_20,Input!AJ$40&lt;&gt;""),Input!$B$40&amp;";",""),IF(AND($G16&lt;Hta_21,$G16&gt;=Hba_21,Input!AJ$41&lt;&gt;""),Input!$B$41&amp;";",""),IF(AND($G16&lt;Hta_22,$G16&gt;=Hba_22,Input!AJ$42&lt;&gt;""),Input!$B$42&amp;";",""),IF(AND($G16&lt;Hta_23,$G16&gt;=Hba_23,Input!AJ$43&lt;&gt;""),Input!$B$43&amp;";",""),IF(AND($G16&lt;Hta_24,$G16&gt;=Hba_24,Input!AJ$44&lt;&gt;""),Input!$B$44&amp;";",""),IF(AND($G16&lt;Hta_25,$G16&gt;=Hba_25,Input!AJ$45&lt;&gt;""),Input!$B$45&amp;";",""),IF(AND($G16&lt;Hta_26,$G16&gt;=Hba_26,Input!AJ$46&lt;&gt;""),Input!$B$46&amp;";",""),IF(AND($G16&lt;Hta_27,$G16&gt;=Hba_27,Input!AJ$47&lt;&gt;""),Input!$B$47&amp;";",""),IF(AND($G16&lt;Hta_28,$G16&gt;=Hba_28,Input!AJ$48&lt;&gt;""),Input!$B$48&amp;";",""),IF(AND($G16&lt;Hta_29,$G16&gt;=Hba_29,Input!AJ$49&lt;&gt;""),Input!$B$49&amp;";",""),IF(AND($G16&lt;Hta_30,$G16&gt;=Hba_30,Input!AJ$50&lt;&gt;""),Input!$B$50&amp;";","")),"")</f>
        <v/>
      </c>
      <c r="CL16" s="25" t="str">
        <f>IFERROR(CONCATENATE(IF(AND($G16&lt;Hta_1,$G16&gt;=Hba_1,Input!AK$21&lt;&gt;""),Input!$B$21&amp;";",""),IF(AND($G16&lt;Hta_2,$G16&gt;=Hba_2,Input!AK$22&lt;&gt;""),Input!$B$22&amp;";",""),IF(AND($G16&lt;Hta_3,$G16&gt;=Hba_3,Input!AK$23&lt;&gt;""),Input!$B$23&amp;";",""),IF(AND($G16&lt;Hta_4,$G16&gt;=Hba_4,Input!AK$24&lt;&gt;""),Input!$B$24&amp;";",""),IF(AND($G16&lt;Hta_5,$G16&gt;=Hba_5,Input!AK$25&lt;&gt;""),Input!$B$25&amp;";",""),IF(AND($G16&lt;Hta_6,$G16&gt;=Hba_6,Input!AK$26&lt;&gt;""),Input!$B$26&amp;";",""),IF(AND($G16&lt;Hta_7,$G16&gt;=Hba_7,Input!AK$27&lt;&gt;""),Input!$B$27&amp;";",""),IF(AND($G16&lt;Hta_8,$G16&gt;=Hba_8,Input!AK$28&lt;&gt;""),Input!$B$28&amp;";",""),IF(AND($G16&lt;Hta_9,$G16&gt;=Hba_9,Input!AK$29&lt;&gt;""),Input!$B$29&amp;";",""),IF(AND($G16&lt;Hta_10,$G16&gt;=Hba_10,Input!AK$30&lt;&gt;""),Input!$B$30&amp;";",""),IF(AND($G16&lt;Hta_11,$G16&gt;=Hba_11,Input!AK$31&lt;&gt;""),Input!$B$31&amp;";",""),IF(AND($G16&lt;Hta_12,$G16&gt;=Hba_12,Input!AK$32&lt;&gt;""),Input!$B$32&amp;";",""),IF(AND($G16&lt;Hta_13,$G16&gt;=Hba_13,Input!AK$33&lt;&gt;""),Input!$B$33&amp;";",""),IF(AND($G16&lt;Hta_14,$G16&gt;=Hba_14,Input!AK$34&lt;&gt;""),Input!$B$34&amp;";",""),IF(AND($G16&lt;Hta_15,$G16&gt;=Hba_15,Input!AK$35&lt;&gt;""),Input!$B$35&amp;";",""),IF(AND($G16&lt;Hta_16,$G16&gt;=Hba_16,Input!AK$36&lt;&gt;""),Input!$B$36&amp;";",""),IF(AND($G16&lt;Hta_17,$G16&gt;=Hba_17,Input!AK$37&lt;&gt;""),Input!$B$37&amp;";",""),IF(AND($G16&lt;Hta_18,$G16&gt;=Hba_18,Input!AK$38&lt;&gt;""),Input!$B$38&amp;";",""),IF(AND($G16&lt;Hta_19,$G16&gt;=Hba_19,Input!AK$39&lt;&gt;""),Input!$B$39&amp;";",""),IF(AND($G16&lt;Hta_20,$G16&gt;=Hba_20,Input!AK$40&lt;&gt;""),Input!$B$40&amp;";",""),IF(AND($G16&lt;Hta_21,$G16&gt;=Hba_21,Input!AK$41&lt;&gt;""),Input!$B$41&amp;";",""),IF(AND($G16&lt;Hta_22,$G16&gt;=Hba_22,Input!AK$42&lt;&gt;""),Input!$B$42&amp;";",""),IF(AND($G16&lt;Hta_23,$G16&gt;=Hba_23,Input!AK$43&lt;&gt;""),Input!$B$43&amp;";",""),IF(AND($G16&lt;Hta_24,$G16&gt;=Hba_24,Input!AK$44&lt;&gt;""),Input!$B$44&amp;";",""),IF(AND($G16&lt;Hta_25,$G16&gt;=Hba_25,Input!AK$45&lt;&gt;""),Input!$B$45&amp;";",""),IF(AND($G16&lt;Hta_26,$G16&gt;=Hba_26,Input!AK$46&lt;&gt;""),Input!$B$46&amp;";",""),IF(AND($G16&lt;Hta_27,$G16&gt;=Hba_27,Input!AK$47&lt;&gt;""),Input!$B$47&amp;";",""),IF(AND($G16&lt;Hta_28,$G16&gt;=Hba_28,Input!AK$48&lt;&gt;""),Input!$B$48&amp;";",""),IF(AND($G16&lt;Hta_29,$G16&gt;=Hba_29,Input!AK$49&lt;&gt;""),Input!$B$49&amp;";",""),IF(AND($G16&lt;Hta_30,$G16&gt;=Hba_30,Input!AK$50&lt;&gt;""),Input!$B$50&amp;";","")),"")</f>
        <v/>
      </c>
      <c r="CM16" s="25" t="str">
        <f>IFERROR(CONCATENATE(IF(AND($G16&lt;Hta_1,$G16&gt;=Hba_1,Input!AL$21&lt;&gt;""),Input!$B$21&amp;";",""),IF(AND($G16&lt;Hta_2,$G16&gt;=Hba_2,Input!AL$22&lt;&gt;""),Input!$B$22&amp;";",""),IF(AND($G16&lt;Hta_3,$G16&gt;=Hba_3,Input!AL$23&lt;&gt;""),Input!$B$23&amp;";",""),IF(AND($G16&lt;Hta_4,$G16&gt;=Hba_4,Input!AL$24&lt;&gt;""),Input!$B$24&amp;";",""),IF(AND($G16&lt;Hta_5,$G16&gt;=Hba_5,Input!AL$25&lt;&gt;""),Input!$B$25&amp;";",""),IF(AND($G16&lt;Hta_6,$G16&gt;=Hba_6,Input!AL$26&lt;&gt;""),Input!$B$26&amp;";",""),IF(AND($G16&lt;Hta_7,$G16&gt;=Hba_7,Input!AL$27&lt;&gt;""),Input!$B$27&amp;";",""),IF(AND($G16&lt;Hta_8,$G16&gt;=Hba_8,Input!AL$28&lt;&gt;""),Input!$B$28&amp;";",""),IF(AND($G16&lt;Hta_9,$G16&gt;=Hba_9,Input!AL$29&lt;&gt;""),Input!$B$29&amp;";",""),IF(AND($G16&lt;Hta_10,$G16&gt;=Hba_10,Input!AL$30&lt;&gt;""),Input!$B$30&amp;";",""),IF(AND($G16&lt;Hta_11,$G16&gt;=Hba_11,Input!AL$31&lt;&gt;""),Input!$B$31&amp;";",""),IF(AND($G16&lt;Hta_12,$G16&gt;=Hba_12,Input!AL$32&lt;&gt;""),Input!$B$32&amp;";",""),IF(AND($G16&lt;Hta_13,$G16&gt;=Hba_13,Input!AL$33&lt;&gt;""),Input!$B$33&amp;";",""),IF(AND($G16&lt;Hta_14,$G16&gt;=Hba_14,Input!AL$34&lt;&gt;""),Input!$B$34&amp;";",""),IF(AND($G16&lt;Hta_15,$G16&gt;=Hba_15,Input!AL$35&lt;&gt;""),Input!$B$35&amp;";",""),IF(AND($G16&lt;Hta_16,$G16&gt;=Hba_16,Input!AL$36&lt;&gt;""),Input!$B$36&amp;";",""),IF(AND($G16&lt;Hta_17,$G16&gt;=Hba_17,Input!AL$37&lt;&gt;""),Input!$B$37&amp;";",""),IF(AND($G16&lt;Hta_18,$G16&gt;=Hba_18,Input!AL$38&lt;&gt;""),Input!$B$38&amp;";",""),IF(AND($G16&lt;Hta_19,$G16&gt;=Hba_19,Input!AL$39&lt;&gt;""),Input!$B$39&amp;";",""),IF(AND($G16&lt;Hta_20,$G16&gt;=Hba_20,Input!AL$40&lt;&gt;""),Input!$B$40&amp;";",""),IF(AND($G16&lt;Hta_21,$G16&gt;=Hba_21,Input!AL$41&lt;&gt;""),Input!$B$41&amp;";",""),IF(AND($G16&lt;Hta_22,$G16&gt;=Hba_22,Input!AL$42&lt;&gt;""),Input!$B$42&amp;";",""),IF(AND($G16&lt;Hta_23,$G16&gt;=Hba_23,Input!AL$43&lt;&gt;""),Input!$B$43&amp;";",""),IF(AND($G16&lt;Hta_24,$G16&gt;=Hba_24,Input!AL$44&lt;&gt;""),Input!$B$44&amp;";",""),IF(AND($G16&lt;Hta_25,$G16&gt;=Hba_25,Input!AL$45&lt;&gt;""),Input!$B$45&amp;";",""),IF(AND($G16&lt;Hta_26,$G16&gt;=Hba_26,Input!AL$46&lt;&gt;""),Input!$B$46&amp;";",""),IF(AND($G16&lt;Hta_27,$G16&gt;=Hba_27,Input!AL$47&lt;&gt;""),Input!$B$47&amp;";",""),IF(AND($G16&lt;Hta_28,$G16&gt;=Hba_28,Input!AL$48&lt;&gt;""),Input!$B$48&amp;";",""),IF(AND($G16&lt;Hta_29,$G16&gt;=Hba_29,Input!AL$49&lt;&gt;""),Input!$B$49&amp;";",""),IF(AND($G16&lt;Hta_30,$G16&gt;=Hba_30,Input!AL$50&lt;&gt;""),Input!$B$50&amp;";","")),"")</f>
        <v/>
      </c>
      <c r="CN16" s="59" t="str">
        <f t="shared" si="6"/>
        <v/>
      </c>
      <c r="CO16" s="791"/>
      <c r="CP16" s="792"/>
      <c r="CQ16" s="793"/>
      <c r="CR16" s="791"/>
      <c r="CS16" s="792"/>
      <c r="CT16" s="793"/>
      <c r="CU16" s="791" t="str">
        <f t="shared" si="7"/>
        <v/>
      </c>
      <c r="CV16" s="792"/>
      <c r="CW16" s="807"/>
      <c r="CX16" s="808"/>
      <c r="CY16" s="730"/>
      <c r="CZ16" s="809"/>
      <c r="DA16" s="733"/>
      <c r="DB16" s="734"/>
      <c r="DC16" s="735"/>
      <c r="DD16" s="729" t="str">
        <f t="shared" si="8"/>
        <v/>
      </c>
      <c r="DE16" s="730"/>
      <c r="DF16" s="731"/>
      <c r="DG16" s="55"/>
      <c r="DH16" s="56"/>
      <c r="DI16" s="56"/>
      <c r="DJ16" s="56"/>
      <c r="DK16" s="56"/>
      <c r="DL16" s="56"/>
      <c r="DM16" s="56"/>
      <c r="DN16" s="56"/>
      <c r="DO16" s="56"/>
      <c r="DP16" s="56"/>
      <c r="DQ16" s="58"/>
      <c r="DR16" s="58"/>
      <c r="DS16" s="58"/>
      <c r="DT16" s="58"/>
      <c r="DU16" s="58"/>
      <c r="DV16" s="58"/>
      <c r="DW16" s="58"/>
      <c r="DX16" s="58"/>
      <c r="DY16" s="58"/>
      <c r="DZ16" s="58"/>
      <c r="EA16" s="58"/>
      <c r="EB16" s="58"/>
      <c r="EC16" s="58"/>
      <c r="ED16" s="58"/>
      <c r="EE16" s="58"/>
      <c r="EF16" s="58"/>
      <c r="EG16" s="58"/>
      <c r="EH16" s="58"/>
      <c r="EI16" s="58"/>
      <c r="EJ16" s="58"/>
      <c r="EK16" s="58"/>
      <c r="EL16" s="134"/>
      <c r="EM16" s="134"/>
      <c r="EN16" s="134"/>
      <c r="EO16" s="134"/>
      <c r="EP16" s="134"/>
      <c r="EQ16" s="134"/>
      <c r="ER16" s="134"/>
      <c r="ES16" s="134"/>
      <c r="ET16" s="134"/>
      <c r="EU16" s="134"/>
      <c r="EV16" s="134"/>
      <c r="EW16" s="134"/>
      <c r="EX16" s="134"/>
      <c r="EY16" s="134"/>
      <c r="EZ16" s="134"/>
      <c r="FA16" s="134"/>
      <c r="FB16" s="134"/>
      <c r="FC16" s="134"/>
      <c r="FD16" s="134"/>
      <c r="FE16" s="134"/>
      <c r="FF16" s="134"/>
      <c r="FG16" s="134"/>
      <c r="FH16" s="134"/>
      <c r="FI16" s="134"/>
      <c r="FJ16" s="134"/>
      <c r="FK16" s="134"/>
      <c r="FL16" s="134"/>
      <c r="FM16" s="134"/>
      <c r="FN16" s="134"/>
      <c r="FO16" s="134"/>
      <c r="FP16" s="65"/>
      <c r="FQ16" s="124"/>
      <c r="FR16" s="122"/>
      <c r="FS16" s="120"/>
      <c r="FT16" s="119"/>
    </row>
    <row r="17" spans="2:176" ht="15.75" hidden="1" customHeight="1" thickBot="1" x14ac:dyDescent="0.3">
      <c r="B17" s="62" t="b">
        <f>IF(OR(AND(G17&gt;='Geometry 2'!$AK$5,G17&lt;'Geometry 2'!$AL$5),AND(G17&gt;='Geometry 2'!$AK$6,G17&lt;'Geometry 2'!$AL$6),AND(G17&gt;='Geometry 2'!$AK$7,G17&lt;'Geometry 2'!$AL$7),AND(G17&gt;='Geometry 2'!$AK$8,G17&lt;'Geometry 2'!$AL$8),AND(G17&gt;='Geometry 2'!$AK$9,G17&lt;'Geometry 2'!$AL$9),AND(G17&gt;='Geometry 2'!$AK$10,G17&lt;'Geometry 2'!$AL$10),AND(G17&gt;='Geometry 2'!$AK$11,G17&lt;'Geometry 2'!$AL$11),AND(G17&gt;='Geometry 2'!$AK$12,G17&lt;'Geometry 2'!$AL$12),AND(G17&gt;='Geometry 2'!$AK$13,G17&lt;'Geometry 2'!$AL$13),AND(G17&gt;='Geometry 2'!$AK$14,G17&lt;'Geometry 2'!$AL$14)),TRUE,FALSE)</f>
        <v>0</v>
      </c>
      <c r="C17" s="4" t="str">
        <f t="shared" si="3"/>
        <v/>
      </c>
      <c r="D17" s="766" t="str">
        <f t="shared" si="4"/>
        <v/>
      </c>
      <c r="E17" s="767"/>
      <c r="F17" s="17" t="str">
        <f t="shared" si="2"/>
        <v/>
      </c>
      <c r="G17" s="768" t="str">
        <f>IF(D17="","",MAX(0,G16-IF(inc="n/a",999,inc),MAX(IF(G16&lt;=Hta_1,0,Hta_1),IF(G16&lt;=Hta_2,0,Hta_2),IF(G16&lt;=Hta_3,0,Hta_3),IF(G16&lt;=Hta_4,0,Hta_4),IF(G16&lt;=Hta_5,0,Hta_5),IF(G16&lt;=Hta_6,0,Hta_6),IF(G16&lt;=Hta_7,0,Hta_7),IF(G16&lt;=Hta_8,0,Hta_8),IF(G16&lt;=Hta_9,0,Hta_9),IF(G16&lt;=Hta_10,0,Hta_10),IF(G16&lt;=Hta_11,0,Hta_11),IF(G16&lt;=Hta_12,0,Hta_12),IF(G16&lt;=Hta_13,0,Hta_13),IF(G16&lt;=Hta_14,0,Hta_14),IF(G16&lt;=Hta_15,0,Hta_15),IF(G16&lt;=Hta_16,0,Hta_16),IF(G16&lt;=Hta_17,0,Hta_17),IF(G16&lt;=Hta_18,0,Hta_18),IF(G16&lt;=Hta_19,0,Hta_19),IF(G16&lt;=Hta_20,0,Hta_20),IF(G16&lt;=Hta_21,0,Hta_21),IF(G16&lt;=Hta_22,0,Hta_22),IF(G16&lt;=Hta_23,0,Hta_23),IF(G16&lt;=Hta_24,0,Hta_24),IF(G16&lt;=Hta_25,0,Hta_25),IF(G16&lt;=Hta_26,0,Hta_26),IF(G16&lt;=Hta_27,0,Hta_27),IF(G16&lt;=Hta_28,0,Hta_28),IF(G16&lt;=Hta_29,0,Hta_29),IF(G16&lt;=Hta_30,0,Hta_30)),MAX(IF(G16&lt;=Hta_1-0.25,0,Hta_1-0.25),IF(G16&lt;=Hta_2-0.25,0,Hta_2-0.25),IF(G16&lt;=Hta_3-0.25,0,Hta_3-0.25),IF(G16&lt;=Hta_4-0.25,0,Hta_4-0.25),IF(G16&lt;=Hta_5-0.25,0,Hta_5-0.25),IF(G16&lt;=Hta_6-0.25,0,Hta_6-0.25),IF(G16&lt;=Hta_7-0.25,0,Hta_7-0.25),IF(G16&lt;=Hta_8-0.25,0,Hta_8-0.25),IF(G16&lt;=Hta_9-0.25,0,Hta_9-0.25),IF(G16&lt;=Hta_10-0.25,0,Hta_10-0.25),IF(G16&lt;=Hta_11-0.25,0,Hta_11-0.25),IF(G16&lt;=Hta_12-0.25,0,Hta_12-0.25),IF(G16&lt;=Hta_13-0.25,0,Hta_13-0.25),IF(G16&lt;=Hta_14-0.25,0,Hta_14-0.25),IF(G16&lt;=Hta_15-0.25,0,Hta_15-0.25),IF(G16&lt;=Hta_16-0.25,0,Hta_16-0.25),IF(G16&lt;=Hta_17-0.25,0,Hta_17-0.25),IF(G16&lt;=Hta_18-0.25,0,Hta_18-0.25),IF(G16&lt;=Hta_19-0.25,0,Hta_19-0.25),IF(G16&lt;=Hta_20-0.25,0,Hta_20-0.25),IF(G16&lt;=Hta_21-0.25,0,Hta_21-0.25),IF(G16&lt;=Hta_22-0.25,0,Hta_22-0.25),IF(G16&lt;=Hta_23-0.25,0,Hta_23-0.25),IF(G16&lt;=Hta_24-0.25,0,Hta_24-0.25),IF(G16&lt;=Hta_25-0.25,0,Hta_25-0.25),IF(G16&lt;=Hta_26-0.25,0,Hta_26-0.25),IF(G16&lt;=Hta_27-0.25,0,Hta_27-0.25),IF(G16&lt;=Hta_28-0.25,0,Hta_28-0.25),IF(G16&lt;=Hta_29-0.25,0,Hta_29-0.25),IF(G16&lt;=Hta_30-0.25,0,Hta_30-0.25)),MAX(IF(G16&lt;=Hba_1,0,Hba_1),IF(G16&lt;=Hba_2,0,Hba_2),IF(G16&lt;=Hba_3,0,Hba_3),IF(G16&lt;=Hba_4,0,Hba_4),IF(G16&lt;=Hba_5,0,Hba_5),IF(G16&lt;=Hba_6,0,Hba_6),IF(G16&lt;=Hba_7,0,Hba_7),IF(G16&lt;=Hba_8,0,Hba_8),IF(G16&lt;=Hba_9,0,Hba_9),IF(G16&lt;=Hba_10,0,Hba_10),IF(G16&lt;=Hba_11,0,Hba_11),IF(G16&lt;=Hba_12,0,Hba_12),IF(G16&lt;=Hba_13,0,Hba_13),IF(G16&lt;=Hba_14,0,Hba_14),IF(G16&lt;=Hba_15,0,Hba_15),IF(G16&lt;=Hba_16,0,Hba_16),IF(G16&lt;=Hba_17,0,Hba_17),IF(G16&lt;=Hba_18,0,Hba_18),IF(G16&lt;=Hba_19,0,Hba_19),IF(G16&lt;=Hba_20,0,Hba_20),IF(G16&lt;=Hba_21,0,Hba_21),IF(G16&lt;=Hba_22,0,Hba_22),IF(G16&lt;=Hba_23,0,Hba_23),IF(G16&lt;=Hba_24,0,Hba_24),IF(G16&lt;=Hba_25,0,Hba_25),IF(G16&lt;=Hba_26,0,Hba_26),IF(G16&lt;=Hba_27,0,Hba_27),IF(G16&lt;=Hba_28,0,Hba_28),IF(G16&lt;=Hba_29,0,Hba_29),IF(G16&lt;=Hba_30,0,Hba_30)),MAX(IF(G16&lt;=Input!$C$8,0,Input!$C$8),IF(G16&lt;=Input!$C$9,0,Input!$C$9),IF(G16&lt;=Input!$C$10,0,Input!$C$10),IF(G16&lt;=Input!$C$11,0,Input!$C$11),IF(G16&lt;=Input!$C$12,0,Input!$C$12),IF(G16&lt;=Input!$C$13,0,Input!$C$13),IF(G16&lt;=Input!$C$14,0,Input!$C$14),IF(G16&lt;=Input!$C$15,0,Input!$C$15),IF(G16&lt;=Input!$C$16,0,Input!$C$16)),MAX(IF(G16&lt;=Hba_1-0.25,0,Hba_1-0.25),IF(G16&lt;=Hba_2-0.25,0,Hba_2-0.25),IF(G16&lt;=Hba_3-0.25,0,Hba_3-0.25),IF(G16&lt;=Hba_4-0.25,0,Hba_4-0.25),IF(G16&lt;=Hba_5-0.25,0,Hba_5-0.25),IF(G16&lt;=Hba_6-0.25,0,Hba_6-0.25),IF(G16&lt;=Hba_7-0.25,0,Hba_7-0.25),IF(G16&lt;=Hba_8-0.25,0,Hba_8-0.25),IF(G16&lt;=Hba_9-0.25,0,Hba_9-0.25),IF(G16&lt;=Hba_10-0.25,0,Hba_10-0.25),IF(G16&lt;=Hba_11-0.25,0,Hba_11-0.25),IF(G16&lt;=Hba_12-0.25,0,Hba_12-0.25),IF(G16&lt;=Hba_13-0.25,0,Hba_13-0.25),IF(G16&lt;=Hba_14-0.25,0,Hba_14-0.25),IF(G16&lt;=Hba_15-0.25,0,Hba_15-0.25),IF(G16&lt;=Hba_16-0.25,0,Hba_16-0.25),IF(G16&lt;=Hba_17-0.25,0,Hba_17-0.25),IF(G16&lt;=Hba_18-0.25,0,Hba_18-0.25),IF(G16&lt;=Hba_19-0.25,0,Hba_19-0.25),IF(G16&lt;=Hba_20-0.25,0,Hba_20-0.25),IF(G16&lt;=Hba_21-0.25,0,Hba_21-0.25),IF(G16&lt;=Hba_22-0.25,0,Hba_22-0.25),IF(G16&lt;=Hba_23-0.25,0,Hba_23-0.25),IF(G16&lt;=Hba_24-0.25,0,Hba_24-0.25),IF(G16&lt;=Hba_25-0.25,0,Hba_25-0.25),IF(G16&lt;=Hba_26-0.25,0,Hba_26-0.25),IF(G16&lt;=Hba_27-0.25,0,Hba_27-0.25),IF(G16&lt;=Hba_28-0.25,0,Hba_28-0.25),IF(G16&lt;=Hba_29-0.25,0,Hba_29-0.25),IF(G16&lt;=Hba_30-0.25,0,Hba_30-0.25)),IF(G16&lt;='Macro References'!$A$38,0,'Macro References'!$A$38)))</f>
        <v/>
      </c>
      <c r="H17" s="769"/>
      <c r="I17" s="228"/>
      <c r="J17" s="228"/>
      <c r="K17" s="228"/>
      <c r="L17" s="717" t="str">
        <f t="shared" si="0"/>
        <v/>
      </c>
      <c r="M17" s="717"/>
      <c r="N17" s="717"/>
      <c r="O17" s="717"/>
      <c r="P17" s="717" t="str">
        <f>IF(OR(G17=0,G17=""),"",IF(VLOOKUP(G17,'Geometry 2'!$C$4:$AI$14,1,TRUE)=VLOOKUP(G18,'Geometry 2'!$C$4:$AI$14,1,TRUE),"",IF(VLOOKUP(G17,'Geometry 2'!$C$4:$AI$14,33,TRUE)&lt;&gt;"n/a",MIN(G17,VLOOKUP(G17,'Geometry 2'!$C$4:$AI$14,1,TRUE))-VLOOKUP(G17,'Geometry 2'!$C$4:$AI$14,33,TRUE),"check")))</f>
        <v/>
      </c>
      <c r="Q17" s="717"/>
      <c r="R17" s="717"/>
      <c r="S17" s="717"/>
      <c r="T17" s="717" t="str">
        <f>IF($G17="","",VLOOKUP($G17,'Geometry 2'!$E$4:$AH$14,11,TRUE))</f>
        <v/>
      </c>
      <c r="U17" s="717"/>
      <c r="V17" s="717"/>
      <c r="W17" s="717"/>
      <c r="X17" s="716" t="str">
        <f>IF($G17="","",VLOOKUP($G17,'Geometry 2'!$E$4:$AJ$14,19,TRUE)-12*VLOOKUP($G17,'Geometry 2'!$E$4:$AJ$14,32,TRUE)*($D17-VLOOKUP($G17,'Geometry 2'!$E$5:$AH$14,1,TRUE)))</f>
        <v/>
      </c>
      <c r="Y17" s="716"/>
      <c r="Z17" s="716"/>
      <c r="AA17" s="716"/>
      <c r="AB17" s="757" t="str">
        <f>IF($G17="","",VLOOKUP($G17,'Geometry 2'!$E$4:$AJ$14,19,TRUE)-12*VLOOKUP($G17,'Geometry 2'!$E$4:$AJ$14,32,TRUE)*($G17-VLOOKUP($G17,'Geometry 2'!$E$5:$AH$14,1,TRUE)))</f>
        <v/>
      </c>
      <c r="AC17" s="758"/>
      <c r="AD17" s="758"/>
      <c r="AE17" s="759"/>
      <c r="AF17" s="716" t="str">
        <f>IF($G17="","",VLOOKUP($G17,'Geometry 2'!$E$4:$AJ$14,19,TRUE)-12*VLOOKUP($G17,'Geometry 2'!$E$4:$AJ$14,32,TRUE)*($G17-IF($P17="",0,$P17)-VLOOKUP($G17,'Geometry 2'!$E$5:$AH$14,1,TRUE)))</f>
        <v/>
      </c>
      <c r="AG17" s="716"/>
      <c r="AH17" s="716"/>
      <c r="AI17" s="716"/>
      <c r="AJ17" s="746" t="str">
        <f>IF($G17="","",VLOOKUP($G17,'Geometry 2'!$E$4:$AH$14,23,TRUE))</f>
        <v/>
      </c>
      <c r="AK17" s="747"/>
      <c r="AL17" s="747"/>
      <c r="AM17" s="748"/>
      <c r="AN17" s="717"/>
      <c r="AO17" s="717"/>
      <c r="AP17" s="717"/>
      <c r="AQ17" s="717"/>
      <c r="AR17" s="717" t="str">
        <f>IF($G17="","",VLOOKUP($G17,'Geometry 2'!$E$4:$AH$14,27,TRUE))</f>
        <v/>
      </c>
      <c r="AS17" s="717"/>
      <c r="AT17" s="717"/>
      <c r="AU17" s="718"/>
      <c r="AV17" s="715"/>
      <c r="AW17" s="716"/>
      <c r="AX17" s="716"/>
      <c r="AZ17" s="722" t="str">
        <f t="shared" si="5"/>
        <v/>
      </c>
      <c r="BA17" s="723"/>
      <c r="BB17" s="723"/>
      <c r="BC17" s="724"/>
      <c r="BD17" s="722"/>
      <c r="BE17" s="723"/>
      <c r="BF17" s="723"/>
      <c r="BG17" s="722" t="str">
        <f t="shared" si="1"/>
        <v/>
      </c>
      <c r="BH17" s="723"/>
      <c r="BI17" s="723"/>
      <c r="BJ17" s="723"/>
      <c r="BK17" s="724"/>
      <c r="BL17" s="722"/>
      <c r="BM17" s="723"/>
      <c r="BN17" s="723"/>
      <c r="BO17" s="723"/>
      <c r="BP17" s="725"/>
      <c r="BQ17" s="725"/>
      <c r="BR17" s="722" t="str">
        <f>IF(BP17="","",IF(OR(AND(Rev="H",Calculations!$F$27=TRUE),AND(Rev&lt;&gt;"H",Calculations!$F$30=TRUE)),IF(BP17&lt;=1,"Pass","Fail"),IF(BP17&lt;=1.05,"Pass","Fail")))</f>
        <v/>
      </c>
      <c r="BS17" s="723"/>
      <c r="BT17" s="724"/>
      <c r="BU17" s="49"/>
      <c r="BV17" s="25" t="str">
        <f>IFERROR(CONCATENATE(IF(AND($G17&lt;Hta_1,$G17&gt;=Hba_1,Input!U$21&lt;&gt;""),Input!$B$21&amp;";",""),IF(AND($G17&lt;Hta_2,$G17&gt;=Hba_2,Input!U$22&lt;&gt;""),Input!$B$22&amp;";",""),IF(AND($G17&lt;Hta_3,$G17&gt;=Hba_3,Input!U$23&lt;&gt;""),Input!$B$23&amp;";",""),IF(AND($G17&lt;Hta_4,$G17&gt;=Hba_4,Input!U$24&lt;&gt;""),Input!$B$24&amp;";",""),IF(AND($G17&lt;Hta_5,$G17&gt;=Hba_5,Input!U$25&lt;&gt;""),Input!$B$25&amp;";",""),IF(AND($G17&lt;Hta_6,$G17&gt;=Hba_6,Input!U$26&lt;&gt;""),Input!$B$26&amp;";",""),IF(AND($G17&lt;Hta_7,$G17&gt;=Hba_7,Input!U$27&lt;&gt;""),Input!$B$27&amp;";",""),IF(AND($G17&lt;Hta_8,$G17&gt;=Hba_8,Input!U$28&lt;&gt;""),Input!$B$28&amp;";",""),IF(AND($G17&lt;Hta_9,$G17&gt;=Hba_9,Input!U$29&lt;&gt;""),Input!$B$29&amp;";",""),IF(AND($G17&lt;Hta_10,$G17&gt;=Hba_10,Input!U$30&lt;&gt;""),Input!$B$30&amp;";",""),IF(AND($G17&lt;Hta_11,$G17&gt;=Hba_11,Input!U$31&lt;&gt;""),Input!$B$31&amp;";",""),IF(AND($G17&lt;Hta_12,$G17&gt;=Hba_12,Input!U$32&lt;&gt;""),Input!$B$32&amp;";",""),IF(AND($G17&lt;Hta_13,$G17&gt;=Hba_13,Input!U$33&lt;&gt;""),Input!$B$33&amp;";",""),IF(AND($G17&lt;Hta_14,$G17&gt;=Hba_14,Input!U$34&lt;&gt;""),Input!$B$34&amp;";",""),IF(AND($G17&lt;Hta_15,$G17&gt;=Hba_15,Input!U$35&lt;&gt;""),Input!$B$35&amp;";",""),IF(AND($G17&lt;Hta_16,$G17&gt;=Hba_16,Input!U$36&lt;&gt;""),Input!$B$36&amp;";",""),IF(AND($G17&lt;Hta_17,$G17&gt;=Hba_17,Input!U$37&lt;&gt;""),Input!$B$37&amp;";",""),IF(AND($G17&lt;Hta_18,$G17&gt;=Hba_18,Input!U$38&lt;&gt;""),Input!$B$38&amp;";",""),IF(AND($G17&lt;Hta_19,$G17&gt;=Hba_19,Input!U$39&lt;&gt;""),Input!$B$39&amp;";",""),IF(AND($G17&lt;Hta_20,$G17&gt;=Hba_20,Input!U$40&lt;&gt;""),Input!$B$40&amp;";",""),IF(AND($G17&lt;Hta_21,$G17&gt;=Hba_21,Input!U$41&lt;&gt;""),Input!$B$41&amp;";",""),IF(AND($G17&lt;Hta_22,$G17&gt;=Hba_22,Input!U$42&lt;&gt;""),Input!$B$42&amp;";",""),IF(AND($G17&lt;Hta_23,$G17&gt;=Hba_23,Input!U$43&lt;&gt;""),Input!$B$43&amp;";",""),IF(AND($G17&lt;Hta_24,$G17&gt;=Hba_24,Input!U$44&lt;&gt;""),Input!$B$44&amp;";",""),IF(AND($G17&lt;Hta_25,$G17&gt;=Hba_25,Input!U$45&lt;&gt;""),Input!$B$45&amp;";",""),IF(AND($G17&lt;Hta_26,$G17&gt;=Hba_26,Input!U$46&lt;&gt;""),Input!$B$46&amp;";",""),IF(AND($G17&lt;Hta_27,$G17&gt;=Hba_27,Input!U$47&lt;&gt;""),Input!$B$47&amp;";",""),IF(AND($G17&lt;Hta_28,$G17&gt;=Hba_28,Input!U$48&lt;&gt;""),Input!$B$48&amp;";",""),IF(AND($G17&lt;Hta_29,$G17&gt;=Hba_29,Input!U$49&lt;&gt;""),Input!$B$49&amp;";",""),IF(AND($G17&lt;Hta_30,$G17&gt;=Hba_30,Input!U$50&lt;&gt;""),Input!$B$50&amp;";","")),"")</f>
        <v/>
      </c>
      <c r="BW17" s="25" t="str">
        <f>IFERROR(CONCATENATE(IF(AND($G17&lt;Hta_1,$G17&gt;=Hba_1,Input!V$21&lt;&gt;""),Input!$B$21&amp;";",""),IF(AND($G17&lt;Hta_2,$G17&gt;=Hba_2,Input!V$22&lt;&gt;""),Input!$B$22&amp;";",""),IF(AND($G17&lt;Hta_3,$G17&gt;=Hba_3,Input!V$23&lt;&gt;""),Input!$B$23&amp;";",""),IF(AND($G17&lt;Hta_4,$G17&gt;=Hba_4,Input!V$24&lt;&gt;""),Input!$B$24&amp;";",""),IF(AND($G17&lt;Hta_5,$G17&gt;=Hba_5,Input!V$25&lt;&gt;""),Input!$B$25&amp;";",""),IF(AND($G17&lt;Hta_6,$G17&gt;=Hba_6,Input!V$26&lt;&gt;""),Input!$B$26&amp;";",""),IF(AND($G17&lt;Hta_7,$G17&gt;=Hba_7,Input!V$27&lt;&gt;""),Input!$B$27&amp;";",""),IF(AND($G17&lt;Hta_8,$G17&gt;=Hba_8,Input!V$28&lt;&gt;""),Input!$B$28&amp;";",""),IF(AND($G17&lt;Hta_9,$G17&gt;=Hba_9,Input!V$29&lt;&gt;""),Input!$B$29&amp;";",""),IF(AND($G17&lt;Hta_10,$G17&gt;=Hba_10,Input!V$30&lt;&gt;""),Input!$B$30&amp;";",""),IF(AND($G17&lt;Hta_11,$G17&gt;=Hba_11,Input!V$31&lt;&gt;""),Input!$B$31&amp;";",""),IF(AND($G17&lt;Hta_12,$G17&gt;=Hba_12,Input!V$32&lt;&gt;""),Input!$B$32&amp;";",""),IF(AND($G17&lt;Hta_13,$G17&gt;=Hba_13,Input!V$33&lt;&gt;""),Input!$B$33&amp;";",""),IF(AND($G17&lt;Hta_14,$G17&gt;=Hba_14,Input!V$34&lt;&gt;""),Input!$B$34&amp;";",""),IF(AND($G17&lt;Hta_15,$G17&gt;=Hba_15,Input!V$35&lt;&gt;""),Input!$B$35&amp;";",""),IF(AND($G17&lt;Hta_16,$G17&gt;=Hba_16,Input!V$36&lt;&gt;""),Input!$B$36&amp;";",""),IF(AND($G17&lt;Hta_17,$G17&gt;=Hba_17,Input!V$37&lt;&gt;""),Input!$B$37&amp;";",""),IF(AND($G17&lt;Hta_18,$G17&gt;=Hba_18,Input!V$38&lt;&gt;""),Input!$B$38&amp;";",""),IF(AND($G17&lt;Hta_19,$G17&gt;=Hba_19,Input!V$39&lt;&gt;""),Input!$B$39&amp;";",""),IF(AND($G17&lt;Hta_20,$G17&gt;=Hba_20,Input!V$40&lt;&gt;""),Input!$B$40&amp;";",""),IF(AND($G17&lt;Hta_21,$G17&gt;=Hba_21,Input!V$41&lt;&gt;""),Input!$B$41&amp;";",""),IF(AND($G17&lt;Hta_22,$G17&gt;=Hba_22,Input!V$42&lt;&gt;""),Input!$B$42&amp;";",""),IF(AND($G17&lt;Hta_23,$G17&gt;=Hba_23,Input!V$43&lt;&gt;""),Input!$B$43&amp;";",""),IF(AND($G17&lt;Hta_24,$G17&gt;=Hba_24,Input!V$44&lt;&gt;""),Input!$B$44&amp;";",""),IF(AND($G17&lt;Hta_25,$G17&gt;=Hba_25,Input!V$45&lt;&gt;""),Input!$B$45&amp;";",""),IF(AND($G17&lt;Hta_26,$G17&gt;=Hba_26,Input!V$46&lt;&gt;""),Input!$B$46&amp;";",""),IF(AND($G17&lt;Hta_27,$G17&gt;=Hba_27,Input!V$47&lt;&gt;""),Input!$B$47&amp;";",""),IF(AND($G17&lt;Hta_28,$G17&gt;=Hba_28,Input!V$48&lt;&gt;""),Input!$B$48&amp;";",""),IF(AND($G17&lt;Hta_29,$G17&gt;=Hba_29,Input!V$49&lt;&gt;""),Input!$B$49&amp;";",""),IF(AND($G17&lt;Hta_30,$G17&gt;=Hba_30,Input!V$50&lt;&gt;""),Input!$B$50&amp;";","")),"")</f>
        <v/>
      </c>
      <c r="BX17" s="25" t="str">
        <f>IFERROR(CONCATENATE(IF(AND($G17&lt;Hta_1,$G17&gt;=Hba_1,Input!W$21&lt;&gt;""),Input!$B$21&amp;";",""),IF(AND($G17&lt;Hta_2,$G17&gt;=Hba_2,Input!W$22&lt;&gt;""),Input!$B$22&amp;";",""),IF(AND($G17&lt;Hta_3,$G17&gt;=Hba_3,Input!W$23&lt;&gt;""),Input!$B$23&amp;";",""),IF(AND($G17&lt;Hta_4,$G17&gt;=Hba_4,Input!W$24&lt;&gt;""),Input!$B$24&amp;";",""),IF(AND($G17&lt;Hta_5,$G17&gt;=Hba_5,Input!W$25&lt;&gt;""),Input!$B$25&amp;";",""),IF(AND($G17&lt;Hta_6,$G17&gt;=Hba_6,Input!W$26&lt;&gt;""),Input!$B$26&amp;";",""),IF(AND($G17&lt;Hta_7,$G17&gt;=Hba_7,Input!W$27&lt;&gt;""),Input!$B$27&amp;";",""),IF(AND($G17&lt;Hta_8,$G17&gt;=Hba_8,Input!W$28&lt;&gt;""),Input!$B$28&amp;";",""),IF(AND($G17&lt;Hta_9,$G17&gt;=Hba_9,Input!W$29&lt;&gt;""),Input!$B$29&amp;";",""),IF(AND($G17&lt;Hta_10,$G17&gt;=Hba_10,Input!W$30&lt;&gt;""),Input!$B$30&amp;";",""),IF(AND($G17&lt;Hta_11,$G17&gt;=Hba_11,Input!W$31&lt;&gt;""),Input!$B$31&amp;";",""),IF(AND($G17&lt;Hta_12,$G17&gt;=Hba_12,Input!W$32&lt;&gt;""),Input!$B$32&amp;";",""),IF(AND($G17&lt;Hta_13,$G17&gt;=Hba_13,Input!W$33&lt;&gt;""),Input!$B$33&amp;";",""),IF(AND($G17&lt;Hta_14,$G17&gt;=Hba_14,Input!W$34&lt;&gt;""),Input!$B$34&amp;";",""),IF(AND($G17&lt;Hta_15,$G17&gt;=Hba_15,Input!W$35&lt;&gt;""),Input!$B$35&amp;";",""),IF(AND($G17&lt;Hta_16,$G17&gt;=Hba_16,Input!W$36&lt;&gt;""),Input!$B$36&amp;";",""),IF(AND($G17&lt;Hta_17,$G17&gt;=Hba_17,Input!W$37&lt;&gt;""),Input!$B$37&amp;";",""),IF(AND($G17&lt;Hta_18,$G17&gt;=Hba_18,Input!W$38&lt;&gt;""),Input!$B$38&amp;";",""),IF(AND($G17&lt;Hta_19,$G17&gt;=Hba_19,Input!W$39&lt;&gt;""),Input!$B$39&amp;";",""),IF(AND($G17&lt;Hta_20,$G17&gt;=Hba_20,Input!W$40&lt;&gt;""),Input!$B$40&amp;";",""),IF(AND($G17&lt;Hta_21,$G17&gt;=Hba_21,Input!W$41&lt;&gt;""),Input!$B$41&amp;";",""),IF(AND($G17&lt;Hta_22,$G17&gt;=Hba_22,Input!W$42&lt;&gt;""),Input!$B$42&amp;";",""),IF(AND($G17&lt;Hta_23,$G17&gt;=Hba_23,Input!W$43&lt;&gt;""),Input!$B$43&amp;";",""),IF(AND($G17&lt;Hta_24,$G17&gt;=Hba_24,Input!W$44&lt;&gt;""),Input!$B$44&amp;";",""),IF(AND($G17&lt;Hta_25,$G17&gt;=Hba_25,Input!W$45&lt;&gt;""),Input!$B$45&amp;";",""),IF(AND($G17&lt;Hta_26,$G17&gt;=Hba_26,Input!W$46&lt;&gt;""),Input!$B$46&amp;";",""),IF(AND($G17&lt;Hta_27,$G17&gt;=Hba_27,Input!W$47&lt;&gt;""),Input!$B$47&amp;";",""),IF(AND($G17&lt;Hta_28,$G17&gt;=Hba_28,Input!W$48&lt;&gt;""),Input!$B$48&amp;";",""),IF(AND($G17&lt;Hta_29,$G17&gt;=Hba_29,Input!W$49&lt;&gt;""),Input!$B$49&amp;";",""),IF(AND($G17&lt;Hta_30,$G17&gt;=Hba_30,Input!W$50&lt;&gt;""),Input!$B$50&amp;";","")),"")</f>
        <v/>
      </c>
      <c r="BY17" s="25" t="str">
        <f>IFERROR(CONCATENATE(IF(AND($G17&lt;Hta_1,$G17&gt;=Hba_1,Input!X$21&lt;&gt;""),Input!$B$21&amp;";",""),IF(AND($G17&lt;Hta_2,$G17&gt;=Hba_2,Input!X$22&lt;&gt;""),Input!$B$22&amp;";",""),IF(AND($G17&lt;Hta_3,$G17&gt;=Hba_3,Input!X$23&lt;&gt;""),Input!$B$23&amp;";",""),IF(AND($G17&lt;Hta_4,$G17&gt;=Hba_4,Input!X$24&lt;&gt;""),Input!$B$24&amp;";",""),IF(AND($G17&lt;Hta_5,$G17&gt;=Hba_5,Input!X$25&lt;&gt;""),Input!$B$25&amp;";",""),IF(AND($G17&lt;Hta_6,$G17&gt;=Hba_6,Input!X$26&lt;&gt;""),Input!$B$26&amp;";",""),IF(AND($G17&lt;Hta_7,$G17&gt;=Hba_7,Input!X$27&lt;&gt;""),Input!$B$27&amp;";",""),IF(AND($G17&lt;Hta_8,$G17&gt;=Hba_8,Input!X$28&lt;&gt;""),Input!$B$28&amp;";",""),IF(AND($G17&lt;Hta_9,$G17&gt;=Hba_9,Input!X$29&lt;&gt;""),Input!$B$29&amp;";",""),IF(AND($G17&lt;Hta_10,$G17&gt;=Hba_10,Input!X$30&lt;&gt;""),Input!$B$30&amp;";",""),IF(AND($G17&lt;Hta_11,$G17&gt;=Hba_11,Input!X$31&lt;&gt;""),Input!$B$31&amp;";",""),IF(AND($G17&lt;Hta_12,$G17&gt;=Hba_12,Input!X$32&lt;&gt;""),Input!$B$32&amp;";",""),IF(AND($G17&lt;Hta_13,$G17&gt;=Hba_13,Input!X$33&lt;&gt;""),Input!$B$33&amp;";",""),IF(AND($G17&lt;Hta_14,$G17&gt;=Hba_14,Input!X$34&lt;&gt;""),Input!$B$34&amp;";",""),IF(AND($G17&lt;Hta_15,$G17&gt;=Hba_15,Input!X$35&lt;&gt;""),Input!$B$35&amp;";",""),IF(AND($G17&lt;Hta_16,$G17&gt;=Hba_16,Input!X$36&lt;&gt;""),Input!$B$36&amp;";",""),IF(AND($G17&lt;Hta_17,$G17&gt;=Hba_17,Input!X$37&lt;&gt;""),Input!$B$37&amp;";",""),IF(AND($G17&lt;Hta_18,$G17&gt;=Hba_18,Input!X$38&lt;&gt;""),Input!$B$38&amp;";",""),IF(AND($G17&lt;Hta_19,$G17&gt;=Hba_19,Input!X$39&lt;&gt;""),Input!$B$39&amp;";",""),IF(AND($G17&lt;Hta_20,$G17&gt;=Hba_20,Input!X$40&lt;&gt;""),Input!$B$40&amp;";",""),IF(AND($G17&lt;Hta_21,$G17&gt;=Hba_21,Input!X$41&lt;&gt;""),Input!$B$41&amp;";",""),IF(AND($G17&lt;Hta_22,$G17&gt;=Hba_22,Input!X$42&lt;&gt;""),Input!$B$42&amp;";",""),IF(AND($G17&lt;Hta_23,$G17&gt;=Hba_23,Input!X$43&lt;&gt;""),Input!$B$43&amp;";",""),IF(AND($G17&lt;Hta_24,$G17&gt;=Hba_24,Input!X$44&lt;&gt;""),Input!$B$44&amp;";",""),IF(AND($G17&lt;Hta_25,$G17&gt;=Hba_25,Input!X$45&lt;&gt;""),Input!$B$45&amp;";",""),IF(AND($G17&lt;Hta_26,$G17&gt;=Hba_26,Input!X$46&lt;&gt;""),Input!$B$46&amp;";",""),IF(AND($G17&lt;Hta_27,$G17&gt;=Hba_27,Input!X$47&lt;&gt;""),Input!$B$47&amp;";",""),IF(AND($G17&lt;Hta_28,$G17&gt;=Hba_28,Input!X$48&lt;&gt;""),Input!$B$48&amp;";",""),IF(AND($G17&lt;Hta_29,$G17&gt;=Hba_29,Input!X$49&lt;&gt;""),Input!$B$49&amp;";",""),IF(AND($G17&lt;Hta_30,$G17&gt;=Hba_30,Input!X$50&lt;&gt;""),Input!$B$50&amp;";","")),"")</f>
        <v/>
      </c>
      <c r="BZ17" s="25" t="str">
        <f>IFERROR(CONCATENATE(IF(AND($G17&lt;Hta_1,$G17&gt;=Hba_1,Input!Y$21&lt;&gt;""),Input!$B$21&amp;";",""),IF(AND($G17&lt;Hta_2,$G17&gt;=Hba_2,Input!Y$22&lt;&gt;""),Input!$B$22&amp;";",""),IF(AND($G17&lt;Hta_3,$G17&gt;=Hba_3,Input!Y$23&lt;&gt;""),Input!$B$23&amp;";",""),IF(AND($G17&lt;Hta_4,$G17&gt;=Hba_4,Input!Y$24&lt;&gt;""),Input!$B$24&amp;";",""),IF(AND($G17&lt;Hta_5,$G17&gt;=Hba_5,Input!Y$25&lt;&gt;""),Input!$B$25&amp;";",""),IF(AND($G17&lt;Hta_6,$G17&gt;=Hba_6,Input!Y$26&lt;&gt;""),Input!$B$26&amp;";",""),IF(AND($G17&lt;Hta_7,$G17&gt;=Hba_7,Input!Y$27&lt;&gt;""),Input!$B$27&amp;";",""),IF(AND($G17&lt;Hta_8,$G17&gt;=Hba_8,Input!Y$28&lt;&gt;""),Input!$B$28&amp;";",""),IF(AND($G17&lt;Hta_9,$G17&gt;=Hba_9,Input!Y$29&lt;&gt;""),Input!$B$29&amp;";",""),IF(AND($G17&lt;Hta_10,$G17&gt;=Hba_10,Input!Y$30&lt;&gt;""),Input!$B$30&amp;";",""),IF(AND($G17&lt;Hta_11,$G17&gt;=Hba_11,Input!Y$31&lt;&gt;""),Input!$B$31&amp;";",""),IF(AND($G17&lt;Hta_12,$G17&gt;=Hba_12,Input!Y$32&lt;&gt;""),Input!$B$32&amp;";",""),IF(AND($G17&lt;Hta_13,$G17&gt;=Hba_13,Input!Y$33&lt;&gt;""),Input!$B$33&amp;";",""),IF(AND($G17&lt;Hta_14,$G17&gt;=Hba_14,Input!Y$34&lt;&gt;""),Input!$B$34&amp;";",""),IF(AND($G17&lt;Hta_15,$G17&gt;=Hba_15,Input!Y$35&lt;&gt;""),Input!$B$35&amp;";",""),IF(AND($G17&lt;Hta_16,$G17&gt;=Hba_16,Input!Y$36&lt;&gt;""),Input!$B$36&amp;";",""),IF(AND($G17&lt;Hta_17,$G17&gt;=Hba_17,Input!Y$37&lt;&gt;""),Input!$B$37&amp;";",""),IF(AND($G17&lt;Hta_18,$G17&gt;=Hba_18,Input!Y$38&lt;&gt;""),Input!$B$38&amp;";",""),IF(AND($G17&lt;Hta_19,$G17&gt;=Hba_19,Input!Y$39&lt;&gt;""),Input!$B$39&amp;";",""),IF(AND($G17&lt;Hta_20,$G17&gt;=Hba_20,Input!Y$40&lt;&gt;""),Input!$B$40&amp;";",""),IF(AND($G17&lt;Hta_21,$G17&gt;=Hba_21,Input!Y$41&lt;&gt;""),Input!$B$41&amp;";",""),IF(AND($G17&lt;Hta_22,$G17&gt;=Hba_22,Input!Y$42&lt;&gt;""),Input!$B$42&amp;";",""),IF(AND($G17&lt;Hta_23,$G17&gt;=Hba_23,Input!Y$43&lt;&gt;""),Input!$B$43&amp;";",""),IF(AND($G17&lt;Hta_24,$G17&gt;=Hba_24,Input!Y$44&lt;&gt;""),Input!$B$44&amp;";",""),IF(AND($G17&lt;Hta_25,$G17&gt;=Hba_25,Input!Y$45&lt;&gt;""),Input!$B$45&amp;";",""),IF(AND($G17&lt;Hta_26,$G17&gt;=Hba_26,Input!Y$46&lt;&gt;""),Input!$B$46&amp;";",""),IF(AND($G17&lt;Hta_27,$G17&gt;=Hba_27,Input!Y$47&lt;&gt;""),Input!$B$47&amp;";",""),IF(AND($G17&lt;Hta_28,$G17&gt;=Hba_28,Input!Y$48&lt;&gt;""),Input!$B$48&amp;";",""),IF(AND($G17&lt;Hta_29,$G17&gt;=Hba_29,Input!Y$49&lt;&gt;""),Input!$B$49&amp;";",""),IF(AND($G17&lt;Hta_30,$G17&gt;=Hba_30,Input!Y$50&lt;&gt;""),Input!$B$50&amp;";","")),"")</f>
        <v/>
      </c>
      <c r="CA17" s="25" t="str">
        <f>IFERROR(CONCATENATE(IF(AND($G17&lt;Hta_1,$G17&gt;=Hba_1,Input!Z$21&lt;&gt;""),Input!$B$21&amp;";",""),IF(AND($G17&lt;Hta_2,$G17&gt;=Hba_2,Input!Z$22&lt;&gt;""),Input!$B$22&amp;";",""),IF(AND($G17&lt;Hta_3,$G17&gt;=Hba_3,Input!Z$23&lt;&gt;""),Input!$B$23&amp;";",""),IF(AND($G17&lt;Hta_4,$G17&gt;=Hba_4,Input!Z$24&lt;&gt;""),Input!$B$24&amp;";",""),IF(AND($G17&lt;Hta_5,$G17&gt;=Hba_5,Input!Z$25&lt;&gt;""),Input!$B$25&amp;";",""),IF(AND($G17&lt;Hta_6,$G17&gt;=Hba_6,Input!Z$26&lt;&gt;""),Input!$B$26&amp;";",""),IF(AND($G17&lt;Hta_7,$G17&gt;=Hba_7,Input!Z$27&lt;&gt;""),Input!$B$27&amp;";",""),IF(AND($G17&lt;Hta_8,$G17&gt;=Hba_8,Input!Z$28&lt;&gt;""),Input!$B$28&amp;";",""),IF(AND($G17&lt;Hta_9,$G17&gt;=Hba_9,Input!Z$29&lt;&gt;""),Input!$B$29&amp;";",""),IF(AND($G17&lt;Hta_10,$G17&gt;=Hba_10,Input!Z$30&lt;&gt;""),Input!$B$30&amp;";",""),IF(AND($G17&lt;Hta_11,$G17&gt;=Hba_11,Input!Z$31&lt;&gt;""),Input!$B$31&amp;";",""),IF(AND($G17&lt;Hta_12,$G17&gt;=Hba_12,Input!Z$32&lt;&gt;""),Input!$B$32&amp;";",""),IF(AND($G17&lt;Hta_13,$G17&gt;=Hba_13,Input!Z$33&lt;&gt;""),Input!$B$33&amp;";",""),IF(AND($G17&lt;Hta_14,$G17&gt;=Hba_14,Input!Z$34&lt;&gt;""),Input!$B$34&amp;";",""),IF(AND($G17&lt;Hta_15,$G17&gt;=Hba_15,Input!Z$35&lt;&gt;""),Input!$B$35&amp;";",""),IF(AND($G17&lt;Hta_16,$G17&gt;=Hba_16,Input!Z$36&lt;&gt;""),Input!$B$36&amp;";",""),IF(AND($G17&lt;Hta_17,$G17&gt;=Hba_17,Input!Z$37&lt;&gt;""),Input!$B$37&amp;";",""),IF(AND($G17&lt;Hta_18,$G17&gt;=Hba_18,Input!Z$38&lt;&gt;""),Input!$B$38&amp;";",""),IF(AND($G17&lt;Hta_19,$G17&gt;=Hba_19,Input!Z$39&lt;&gt;""),Input!$B$39&amp;";",""),IF(AND($G17&lt;Hta_20,$G17&gt;=Hba_20,Input!Z$40&lt;&gt;""),Input!$B$40&amp;";",""),IF(AND($G17&lt;Hta_21,$G17&gt;=Hba_21,Input!Z$41&lt;&gt;""),Input!$B$41&amp;";",""),IF(AND($G17&lt;Hta_22,$G17&gt;=Hba_22,Input!Z$42&lt;&gt;""),Input!$B$42&amp;";",""),IF(AND($G17&lt;Hta_23,$G17&gt;=Hba_23,Input!Z$43&lt;&gt;""),Input!$B$43&amp;";",""),IF(AND($G17&lt;Hta_24,$G17&gt;=Hba_24,Input!Z$44&lt;&gt;""),Input!$B$44&amp;";",""),IF(AND($G17&lt;Hta_25,$G17&gt;=Hba_25,Input!Z$45&lt;&gt;""),Input!$B$45&amp;";",""),IF(AND($G17&lt;Hta_26,$G17&gt;=Hba_26,Input!Z$46&lt;&gt;""),Input!$B$46&amp;";",""),IF(AND($G17&lt;Hta_27,$G17&gt;=Hba_27,Input!Z$47&lt;&gt;""),Input!$B$47&amp;";",""),IF(AND($G17&lt;Hta_28,$G17&gt;=Hba_28,Input!Z$48&lt;&gt;""),Input!$B$48&amp;";",""),IF(AND($G17&lt;Hta_29,$G17&gt;=Hba_29,Input!Z$49&lt;&gt;""),Input!$B$49&amp;";",""),IF(AND($G17&lt;Hta_30,$G17&gt;=Hba_30,Input!Z$50&lt;&gt;""),Input!$B$50&amp;";","")),"")</f>
        <v/>
      </c>
      <c r="CB17" s="25" t="str">
        <f>IFERROR(CONCATENATE(IF(AND($G17&lt;Hta_1,$G17&gt;=Hba_1,Input!AA$21&lt;&gt;""),Input!$B$21&amp;";",""),IF(AND($G17&lt;Hta_2,$G17&gt;=Hba_2,Input!AA$22&lt;&gt;""),Input!$B$22&amp;";",""),IF(AND($G17&lt;Hta_3,$G17&gt;=Hba_3,Input!AA$23&lt;&gt;""),Input!$B$23&amp;";",""),IF(AND($G17&lt;Hta_4,$G17&gt;=Hba_4,Input!AA$24&lt;&gt;""),Input!$B$24&amp;";",""),IF(AND($G17&lt;Hta_5,$G17&gt;=Hba_5,Input!AA$25&lt;&gt;""),Input!$B$25&amp;";",""),IF(AND($G17&lt;Hta_6,$G17&gt;=Hba_6,Input!AA$26&lt;&gt;""),Input!$B$26&amp;";",""),IF(AND($G17&lt;Hta_7,$G17&gt;=Hba_7,Input!AA$27&lt;&gt;""),Input!$B$27&amp;";",""),IF(AND($G17&lt;Hta_8,$G17&gt;=Hba_8,Input!AA$28&lt;&gt;""),Input!$B$28&amp;";",""),IF(AND($G17&lt;Hta_9,$G17&gt;=Hba_9,Input!AA$29&lt;&gt;""),Input!$B$29&amp;";",""),IF(AND($G17&lt;Hta_10,$G17&gt;=Hba_10,Input!AA$30&lt;&gt;""),Input!$B$30&amp;";",""),IF(AND($G17&lt;Hta_11,$G17&gt;=Hba_11,Input!AA$31&lt;&gt;""),Input!$B$31&amp;";",""),IF(AND($G17&lt;Hta_12,$G17&gt;=Hba_12,Input!AA$32&lt;&gt;""),Input!$B$32&amp;";",""),IF(AND($G17&lt;Hta_13,$G17&gt;=Hba_13,Input!AA$33&lt;&gt;""),Input!$B$33&amp;";",""),IF(AND($G17&lt;Hta_14,$G17&gt;=Hba_14,Input!AA$34&lt;&gt;""),Input!$B$34&amp;";",""),IF(AND($G17&lt;Hta_15,$G17&gt;=Hba_15,Input!AA$35&lt;&gt;""),Input!$B$35&amp;";",""),IF(AND($G17&lt;Hta_16,$G17&gt;=Hba_16,Input!AA$36&lt;&gt;""),Input!$B$36&amp;";",""),IF(AND($G17&lt;Hta_17,$G17&gt;=Hba_17,Input!AA$37&lt;&gt;""),Input!$B$37&amp;";",""),IF(AND($G17&lt;Hta_18,$G17&gt;=Hba_18,Input!AA$38&lt;&gt;""),Input!$B$38&amp;";",""),IF(AND($G17&lt;Hta_19,$G17&gt;=Hba_19,Input!AA$39&lt;&gt;""),Input!$B$39&amp;";",""),IF(AND($G17&lt;Hta_20,$G17&gt;=Hba_20,Input!AA$40&lt;&gt;""),Input!$B$40&amp;";",""),IF(AND($G17&lt;Hta_21,$G17&gt;=Hba_21,Input!AA$41&lt;&gt;""),Input!$B$41&amp;";",""),IF(AND($G17&lt;Hta_22,$G17&gt;=Hba_22,Input!AA$42&lt;&gt;""),Input!$B$42&amp;";",""),IF(AND($G17&lt;Hta_23,$G17&gt;=Hba_23,Input!AA$43&lt;&gt;""),Input!$B$43&amp;";",""),IF(AND($G17&lt;Hta_24,$G17&gt;=Hba_24,Input!AA$44&lt;&gt;""),Input!$B$44&amp;";",""),IF(AND($G17&lt;Hta_25,$G17&gt;=Hba_25,Input!AA$45&lt;&gt;""),Input!$B$45&amp;";",""),IF(AND($G17&lt;Hta_26,$G17&gt;=Hba_26,Input!AA$46&lt;&gt;""),Input!$B$46&amp;";",""),IF(AND($G17&lt;Hta_27,$G17&gt;=Hba_27,Input!AA$47&lt;&gt;""),Input!$B$47&amp;";",""),IF(AND($G17&lt;Hta_28,$G17&gt;=Hba_28,Input!AA$48&lt;&gt;""),Input!$B$48&amp;";",""),IF(AND($G17&lt;Hta_29,$G17&gt;=Hba_29,Input!AA$49&lt;&gt;""),Input!$B$49&amp;";",""),IF(AND($G17&lt;Hta_30,$G17&gt;=Hba_30,Input!AA$50&lt;&gt;""),Input!$B$50&amp;";","")),"")</f>
        <v/>
      </c>
      <c r="CC17" s="25" t="str">
        <f>IFERROR(CONCATENATE(IF(AND($G17&lt;Hta_1,$G17&gt;=Hba_1,Input!AB$21&lt;&gt;""),Input!$B$21&amp;";",""),IF(AND($G17&lt;Hta_2,$G17&gt;=Hba_2,Input!AB$22&lt;&gt;""),Input!$B$22&amp;";",""),IF(AND($G17&lt;Hta_3,$G17&gt;=Hba_3,Input!AB$23&lt;&gt;""),Input!$B$23&amp;";",""),IF(AND($G17&lt;Hta_4,$G17&gt;=Hba_4,Input!AB$24&lt;&gt;""),Input!$B$24&amp;";",""),IF(AND($G17&lt;Hta_5,$G17&gt;=Hba_5,Input!AB$25&lt;&gt;""),Input!$B$25&amp;";",""),IF(AND($G17&lt;Hta_6,$G17&gt;=Hba_6,Input!AB$26&lt;&gt;""),Input!$B$26&amp;";",""),IF(AND($G17&lt;Hta_7,$G17&gt;=Hba_7,Input!AB$27&lt;&gt;""),Input!$B$27&amp;";",""),IF(AND($G17&lt;Hta_8,$G17&gt;=Hba_8,Input!AB$28&lt;&gt;""),Input!$B$28&amp;";",""),IF(AND($G17&lt;Hta_9,$G17&gt;=Hba_9,Input!AB$29&lt;&gt;""),Input!$B$29&amp;";",""),IF(AND($G17&lt;Hta_10,$G17&gt;=Hba_10,Input!AB$30&lt;&gt;""),Input!$B$30&amp;";",""),IF(AND($G17&lt;Hta_11,$G17&gt;=Hba_11,Input!AB$31&lt;&gt;""),Input!$B$31&amp;";",""),IF(AND($G17&lt;Hta_12,$G17&gt;=Hba_12,Input!AB$32&lt;&gt;""),Input!$B$32&amp;";",""),IF(AND($G17&lt;Hta_13,$G17&gt;=Hba_13,Input!AB$33&lt;&gt;""),Input!$B$33&amp;";",""),IF(AND($G17&lt;Hta_14,$G17&gt;=Hba_14,Input!AB$34&lt;&gt;""),Input!$B$34&amp;";",""),IF(AND($G17&lt;Hta_15,$G17&gt;=Hba_15,Input!AB$35&lt;&gt;""),Input!$B$35&amp;";",""),IF(AND($G17&lt;Hta_16,$G17&gt;=Hba_16,Input!AB$36&lt;&gt;""),Input!$B$36&amp;";",""),IF(AND($G17&lt;Hta_17,$G17&gt;=Hba_17,Input!AB$37&lt;&gt;""),Input!$B$37&amp;";",""),IF(AND($G17&lt;Hta_18,$G17&gt;=Hba_18,Input!AB$38&lt;&gt;""),Input!$B$38&amp;";",""),IF(AND($G17&lt;Hta_19,$G17&gt;=Hba_19,Input!AB$39&lt;&gt;""),Input!$B$39&amp;";",""),IF(AND($G17&lt;Hta_20,$G17&gt;=Hba_20,Input!AB$40&lt;&gt;""),Input!$B$40&amp;";",""),IF(AND($G17&lt;Hta_21,$G17&gt;=Hba_21,Input!AB$41&lt;&gt;""),Input!$B$41&amp;";",""),IF(AND($G17&lt;Hta_22,$G17&gt;=Hba_22,Input!AB$42&lt;&gt;""),Input!$B$42&amp;";",""),IF(AND($G17&lt;Hta_23,$G17&gt;=Hba_23,Input!AB$43&lt;&gt;""),Input!$B$43&amp;";",""),IF(AND($G17&lt;Hta_24,$G17&gt;=Hba_24,Input!AB$44&lt;&gt;""),Input!$B$44&amp;";",""),IF(AND($G17&lt;Hta_25,$G17&gt;=Hba_25,Input!AB$45&lt;&gt;""),Input!$B$45&amp;";",""),IF(AND($G17&lt;Hta_26,$G17&gt;=Hba_26,Input!AB$46&lt;&gt;""),Input!$B$46&amp;";",""),IF(AND($G17&lt;Hta_27,$G17&gt;=Hba_27,Input!AB$47&lt;&gt;""),Input!$B$47&amp;";",""),IF(AND($G17&lt;Hta_28,$G17&gt;=Hba_28,Input!AB$48&lt;&gt;""),Input!$B$48&amp;";",""),IF(AND($G17&lt;Hta_29,$G17&gt;=Hba_29,Input!AB$49&lt;&gt;""),Input!$B$49&amp;";",""),IF(AND($G17&lt;Hta_30,$G17&gt;=Hba_30,Input!AB$50&lt;&gt;""),Input!$B$50&amp;";","")),"")</f>
        <v/>
      </c>
      <c r="CD17" s="25" t="str">
        <f>IFERROR(CONCATENATE(IF(AND($G17&lt;Hta_1,$G17&gt;=Hba_1,Input!AC$21&lt;&gt;""),Input!$B$21&amp;";",""),IF(AND($G17&lt;Hta_2,$G17&gt;=Hba_2,Input!AC$22&lt;&gt;""),Input!$B$22&amp;";",""),IF(AND($G17&lt;Hta_3,$G17&gt;=Hba_3,Input!AC$23&lt;&gt;""),Input!$B$23&amp;";",""),IF(AND($G17&lt;Hta_4,$G17&gt;=Hba_4,Input!AC$24&lt;&gt;""),Input!$B$24&amp;";",""),IF(AND($G17&lt;Hta_5,$G17&gt;=Hba_5,Input!AC$25&lt;&gt;""),Input!$B$25&amp;";",""),IF(AND($G17&lt;Hta_6,$G17&gt;=Hba_6,Input!AC$26&lt;&gt;""),Input!$B$26&amp;";",""),IF(AND($G17&lt;Hta_7,$G17&gt;=Hba_7,Input!AC$27&lt;&gt;""),Input!$B$27&amp;";",""),IF(AND($G17&lt;Hta_8,$G17&gt;=Hba_8,Input!AC$28&lt;&gt;""),Input!$B$28&amp;";",""),IF(AND($G17&lt;Hta_9,$G17&gt;=Hba_9,Input!AC$29&lt;&gt;""),Input!$B$29&amp;";",""),IF(AND($G17&lt;Hta_10,$G17&gt;=Hba_10,Input!AC$30&lt;&gt;""),Input!$B$30&amp;";",""),IF(AND($G17&lt;Hta_11,$G17&gt;=Hba_11,Input!AC$31&lt;&gt;""),Input!$B$31&amp;";",""),IF(AND($G17&lt;Hta_12,$G17&gt;=Hba_12,Input!AC$32&lt;&gt;""),Input!$B$32&amp;";",""),IF(AND($G17&lt;Hta_13,$G17&gt;=Hba_13,Input!AC$33&lt;&gt;""),Input!$B$33&amp;";",""),IF(AND($G17&lt;Hta_14,$G17&gt;=Hba_14,Input!AC$34&lt;&gt;""),Input!$B$34&amp;";",""),IF(AND($G17&lt;Hta_15,$G17&gt;=Hba_15,Input!AC$35&lt;&gt;""),Input!$B$35&amp;";",""),IF(AND($G17&lt;Hta_16,$G17&gt;=Hba_16,Input!AC$36&lt;&gt;""),Input!$B$36&amp;";",""),IF(AND($G17&lt;Hta_17,$G17&gt;=Hba_17,Input!AC$37&lt;&gt;""),Input!$B$37&amp;";",""),IF(AND($G17&lt;Hta_18,$G17&gt;=Hba_18,Input!AC$38&lt;&gt;""),Input!$B$38&amp;";",""),IF(AND($G17&lt;Hta_19,$G17&gt;=Hba_19,Input!AC$39&lt;&gt;""),Input!$B$39&amp;";",""),IF(AND($G17&lt;Hta_20,$G17&gt;=Hba_20,Input!AC$40&lt;&gt;""),Input!$B$40&amp;";",""),IF(AND($G17&lt;Hta_21,$G17&gt;=Hba_21,Input!AC$41&lt;&gt;""),Input!$B$41&amp;";",""),IF(AND($G17&lt;Hta_22,$G17&gt;=Hba_22,Input!AC$42&lt;&gt;""),Input!$B$42&amp;";",""),IF(AND($G17&lt;Hta_23,$G17&gt;=Hba_23,Input!AC$43&lt;&gt;""),Input!$B$43&amp;";",""),IF(AND($G17&lt;Hta_24,$G17&gt;=Hba_24,Input!AC$44&lt;&gt;""),Input!$B$44&amp;";",""),IF(AND($G17&lt;Hta_25,$G17&gt;=Hba_25,Input!AC$45&lt;&gt;""),Input!$B$45&amp;";",""),IF(AND($G17&lt;Hta_26,$G17&gt;=Hba_26,Input!AC$46&lt;&gt;""),Input!$B$46&amp;";",""),IF(AND($G17&lt;Hta_27,$G17&gt;=Hba_27,Input!AC$47&lt;&gt;""),Input!$B$47&amp;";",""),IF(AND($G17&lt;Hta_28,$G17&gt;=Hba_28,Input!AC$48&lt;&gt;""),Input!$B$48&amp;";",""),IF(AND($G17&lt;Hta_29,$G17&gt;=Hba_29,Input!AC$49&lt;&gt;""),Input!$B$49&amp;";",""),IF(AND($G17&lt;Hta_30,$G17&gt;=Hba_30,Input!AC$50&lt;&gt;""),Input!$B$50&amp;";","")),"")</f>
        <v/>
      </c>
      <c r="CE17" s="25" t="str">
        <f>IFERROR(CONCATENATE(IF(AND($G17&lt;Hta_1,$G17&gt;=Hba_1,Input!AD$21&lt;&gt;""),Input!$B$21&amp;";",""),IF(AND($G17&lt;Hta_2,$G17&gt;=Hba_2,Input!AD$22&lt;&gt;""),Input!$B$22&amp;";",""),IF(AND($G17&lt;Hta_3,$G17&gt;=Hba_3,Input!AD$23&lt;&gt;""),Input!$B$23&amp;";",""),IF(AND($G17&lt;Hta_4,$G17&gt;=Hba_4,Input!AD$24&lt;&gt;""),Input!$B$24&amp;";",""),IF(AND($G17&lt;Hta_5,$G17&gt;=Hba_5,Input!AD$25&lt;&gt;""),Input!$B$25&amp;";",""),IF(AND($G17&lt;Hta_6,$G17&gt;=Hba_6,Input!AD$26&lt;&gt;""),Input!$B$26&amp;";",""),IF(AND($G17&lt;Hta_7,$G17&gt;=Hba_7,Input!AD$27&lt;&gt;""),Input!$B$27&amp;";",""),IF(AND($G17&lt;Hta_8,$G17&gt;=Hba_8,Input!AD$28&lt;&gt;""),Input!$B$28&amp;";",""),IF(AND($G17&lt;Hta_9,$G17&gt;=Hba_9,Input!AD$29&lt;&gt;""),Input!$B$29&amp;";",""),IF(AND($G17&lt;Hta_10,$G17&gt;=Hba_10,Input!AD$30&lt;&gt;""),Input!$B$30&amp;";",""),IF(AND($G17&lt;Hta_11,$G17&gt;=Hba_11,Input!AD$31&lt;&gt;""),Input!$B$31&amp;";",""),IF(AND($G17&lt;Hta_12,$G17&gt;=Hba_12,Input!AD$32&lt;&gt;""),Input!$B$32&amp;";",""),IF(AND($G17&lt;Hta_13,$G17&gt;=Hba_13,Input!AD$33&lt;&gt;""),Input!$B$33&amp;";",""),IF(AND($G17&lt;Hta_14,$G17&gt;=Hba_14,Input!AD$34&lt;&gt;""),Input!$B$34&amp;";",""),IF(AND($G17&lt;Hta_15,$G17&gt;=Hba_15,Input!AD$35&lt;&gt;""),Input!$B$35&amp;";",""),IF(AND($G17&lt;Hta_16,$G17&gt;=Hba_16,Input!AD$36&lt;&gt;""),Input!$B$36&amp;";",""),IF(AND($G17&lt;Hta_17,$G17&gt;=Hba_17,Input!AD$37&lt;&gt;""),Input!$B$37&amp;";",""),IF(AND($G17&lt;Hta_18,$G17&gt;=Hba_18,Input!AD$38&lt;&gt;""),Input!$B$38&amp;";",""),IF(AND($G17&lt;Hta_19,$G17&gt;=Hba_19,Input!AD$39&lt;&gt;""),Input!$B$39&amp;";",""),IF(AND($G17&lt;Hta_20,$G17&gt;=Hba_20,Input!AD$40&lt;&gt;""),Input!$B$40&amp;";",""),IF(AND($G17&lt;Hta_21,$G17&gt;=Hba_21,Input!AD$41&lt;&gt;""),Input!$B$41&amp;";",""),IF(AND($G17&lt;Hta_22,$G17&gt;=Hba_22,Input!AD$42&lt;&gt;""),Input!$B$42&amp;";",""),IF(AND($G17&lt;Hta_23,$G17&gt;=Hba_23,Input!AD$43&lt;&gt;""),Input!$B$43&amp;";",""),IF(AND($G17&lt;Hta_24,$G17&gt;=Hba_24,Input!AD$44&lt;&gt;""),Input!$B$44&amp;";",""),IF(AND($G17&lt;Hta_25,$G17&gt;=Hba_25,Input!AD$45&lt;&gt;""),Input!$B$45&amp;";",""),IF(AND($G17&lt;Hta_26,$G17&gt;=Hba_26,Input!AD$46&lt;&gt;""),Input!$B$46&amp;";",""),IF(AND($G17&lt;Hta_27,$G17&gt;=Hba_27,Input!AD$47&lt;&gt;""),Input!$B$47&amp;";",""),IF(AND($G17&lt;Hta_28,$G17&gt;=Hba_28,Input!AD$48&lt;&gt;""),Input!$B$48&amp;";",""),IF(AND($G17&lt;Hta_29,$G17&gt;=Hba_29,Input!AD$49&lt;&gt;""),Input!$B$49&amp;";",""),IF(AND($G17&lt;Hta_30,$G17&gt;=Hba_30,Input!AD$50&lt;&gt;""),Input!$B$50&amp;";","")),"")</f>
        <v/>
      </c>
      <c r="CF17" s="25" t="str">
        <f>IFERROR(CONCATENATE(IF(AND($G17&lt;Hta_1,$G17&gt;=Hba_1,Input!AE$21&lt;&gt;""),Input!$B$21&amp;";",""),IF(AND($G17&lt;Hta_2,$G17&gt;=Hba_2,Input!AE$22&lt;&gt;""),Input!$B$22&amp;";",""),IF(AND($G17&lt;Hta_3,$G17&gt;=Hba_3,Input!AE$23&lt;&gt;""),Input!$B$23&amp;";",""),IF(AND($G17&lt;Hta_4,$G17&gt;=Hba_4,Input!AE$24&lt;&gt;""),Input!$B$24&amp;";",""),IF(AND($G17&lt;Hta_5,$G17&gt;=Hba_5,Input!AE$25&lt;&gt;""),Input!$B$25&amp;";",""),IF(AND($G17&lt;Hta_6,$G17&gt;=Hba_6,Input!AE$26&lt;&gt;""),Input!$B$26&amp;";",""),IF(AND($G17&lt;Hta_7,$G17&gt;=Hba_7,Input!AE$27&lt;&gt;""),Input!$B$27&amp;";",""),IF(AND($G17&lt;Hta_8,$G17&gt;=Hba_8,Input!AE$28&lt;&gt;""),Input!$B$28&amp;";",""),IF(AND($G17&lt;Hta_9,$G17&gt;=Hba_9,Input!AE$29&lt;&gt;""),Input!$B$29&amp;";",""),IF(AND($G17&lt;Hta_10,$G17&gt;=Hba_10,Input!AE$30&lt;&gt;""),Input!$B$30&amp;";",""),IF(AND($G17&lt;Hta_11,$G17&gt;=Hba_11,Input!AE$31&lt;&gt;""),Input!$B$31&amp;";",""),IF(AND($G17&lt;Hta_12,$G17&gt;=Hba_12,Input!AE$32&lt;&gt;""),Input!$B$32&amp;";",""),IF(AND($G17&lt;Hta_13,$G17&gt;=Hba_13,Input!AE$33&lt;&gt;""),Input!$B$33&amp;";",""),IF(AND($G17&lt;Hta_14,$G17&gt;=Hba_14,Input!AE$34&lt;&gt;""),Input!$B$34&amp;";",""),IF(AND($G17&lt;Hta_15,$G17&gt;=Hba_15,Input!AE$35&lt;&gt;""),Input!$B$35&amp;";",""),IF(AND($G17&lt;Hta_16,$G17&gt;=Hba_16,Input!AE$36&lt;&gt;""),Input!$B$36&amp;";",""),IF(AND($G17&lt;Hta_17,$G17&gt;=Hba_17,Input!AE$37&lt;&gt;""),Input!$B$37&amp;";",""),IF(AND($G17&lt;Hta_18,$G17&gt;=Hba_18,Input!AE$38&lt;&gt;""),Input!$B$38&amp;";",""),IF(AND($G17&lt;Hta_19,$G17&gt;=Hba_19,Input!AE$39&lt;&gt;""),Input!$B$39&amp;";",""),IF(AND($G17&lt;Hta_20,$G17&gt;=Hba_20,Input!AE$40&lt;&gt;""),Input!$B$40&amp;";",""),IF(AND($G17&lt;Hta_21,$G17&gt;=Hba_21,Input!AE$41&lt;&gt;""),Input!$B$41&amp;";",""),IF(AND($G17&lt;Hta_22,$G17&gt;=Hba_22,Input!AE$42&lt;&gt;""),Input!$B$42&amp;";",""),IF(AND($G17&lt;Hta_23,$G17&gt;=Hba_23,Input!AE$43&lt;&gt;""),Input!$B$43&amp;";",""),IF(AND($G17&lt;Hta_24,$G17&gt;=Hba_24,Input!AE$44&lt;&gt;""),Input!$B$44&amp;";",""),IF(AND($G17&lt;Hta_25,$G17&gt;=Hba_25,Input!AE$45&lt;&gt;""),Input!$B$45&amp;";",""),IF(AND($G17&lt;Hta_26,$G17&gt;=Hba_26,Input!AE$46&lt;&gt;""),Input!$B$46&amp;";",""),IF(AND($G17&lt;Hta_27,$G17&gt;=Hba_27,Input!AE$47&lt;&gt;""),Input!$B$47&amp;";",""),IF(AND($G17&lt;Hta_28,$G17&gt;=Hba_28,Input!AE$48&lt;&gt;""),Input!$B$48&amp;";",""),IF(AND($G17&lt;Hta_29,$G17&gt;=Hba_29,Input!AE$49&lt;&gt;""),Input!$B$49&amp;";",""),IF(AND($G17&lt;Hta_30,$G17&gt;=Hba_30,Input!AE$50&lt;&gt;""),Input!$B$50&amp;";","")),"")</f>
        <v/>
      </c>
      <c r="CG17" s="25" t="str">
        <f>IFERROR(CONCATENATE(IF(AND($G17&lt;Hta_1,$G17&gt;=Hba_1,Input!AF$21&lt;&gt;""),Input!$B$21&amp;";",""),IF(AND($G17&lt;Hta_2,$G17&gt;=Hba_2,Input!AF$22&lt;&gt;""),Input!$B$22&amp;";",""),IF(AND($G17&lt;Hta_3,$G17&gt;=Hba_3,Input!AF$23&lt;&gt;""),Input!$B$23&amp;";",""),IF(AND($G17&lt;Hta_4,$G17&gt;=Hba_4,Input!AF$24&lt;&gt;""),Input!$B$24&amp;";",""),IF(AND($G17&lt;Hta_5,$G17&gt;=Hba_5,Input!AF$25&lt;&gt;""),Input!$B$25&amp;";",""),IF(AND($G17&lt;Hta_6,$G17&gt;=Hba_6,Input!AF$26&lt;&gt;""),Input!$B$26&amp;";",""),IF(AND($G17&lt;Hta_7,$G17&gt;=Hba_7,Input!AF$27&lt;&gt;""),Input!$B$27&amp;";",""),IF(AND($G17&lt;Hta_8,$G17&gt;=Hba_8,Input!AF$28&lt;&gt;""),Input!$B$28&amp;";",""),IF(AND($G17&lt;Hta_9,$G17&gt;=Hba_9,Input!AF$29&lt;&gt;""),Input!$B$29&amp;";",""),IF(AND($G17&lt;Hta_10,$G17&gt;=Hba_10,Input!AF$30&lt;&gt;""),Input!$B$30&amp;";",""),IF(AND($G17&lt;Hta_11,$G17&gt;=Hba_11,Input!AF$31&lt;&gt;""),Input!$B$31&amp;";",""),IF(AND($G17&lt;Hta_12,$G17&gt;=Hba_12,Input!AF$32&lt;&gt;""),Input!$B$32&amp;";",""),IF(AND($G17&lt;Hta_13,$G17&gt;=Hba_13,Input!AF$33&lt;&gt;""),Input!$B$33&amp;";",""),IF(AND($G17&lt;Hta_14,$G17&gt;=Hba_14,Input!AF$34&lt;&gt;""),Input!$B$34&amp;";",""),IF(AND($G17&lt;Hta_15,$G17&gt;=Hba_15,Input!AF$35&lt;&gt;""),Input!$B$35&amp;";",""),IF(AND($G17&lt;Hta_16,$G17&gt;=Hba_16,Input!AF$36&lt;&gt;""),Input!$B$36&amp;";",""),IF(AND($G17&lt;Hta_17,$G17&gt;=Hba_17,Input!AF$37&lt;&gt;""),Input!$B$37&amp;";",""),IF(AND($G17&lt;Hta_18,$G17&gt;=Hba_18,Input!AF$38&lt;&gt;""),Input!$B$38&amp;";",""),IF(AND($G17&lt;Hta_19,$G17&gt;=Hba_19,Input!AF$39&lt;&gt;""),Input!$B$39&amp;";",""),IF(AND($G17&lt;Hta_20,$G17&gt;=Hba_20,Input!AF$40&lt;&gt;""),Input!$B$40&amp;";",""),IF(AND($G17&lt;Hta_21,$G17&gt;=Hba_21,Input!AF$41&lt;&gt;""),Input!$B$41&amp;";",""),IF(AND($G17&lt;Hta_22,$G17&gt;=Hba_22,Input!AF$42&lt;&gt;""),Input!$B$42&amp;";",""),IF(AND($G17&lt;Hta_23,$G17&gt;=Hba_23,Input!AF$43&lt;&gt;""),Input!$B$43&amp;";",""),IF(AND($G17&lt;Hta_24,$G17&gt;=Hba_24,Input!AF$44&lt;&gt;""),Input!$B$44&amp;";",""),IF(AND($G17&lt;Hta_25,$G17&gt;=Hba_25,Input!AF$45&lt;&gt;""),Input!$B$45&amp;";",""),IF(AND($G17&lt;Hta_26,$G17&gt;=Hba_26,Input!AF$46&lt;&gt;""),Input!$B$46&amp;";",""),IF(AND($G17&lt;Hta_27,$G17&gt;=Hba_27,Input!AF$47&lt;&gt;""),Input!$B$47&amp;";",""),IF(AND($G17&lt;Hta_28,$G17&gt;=Hba_28,Input!AF$48&lt;&gt;""),Input!$B$48&amp;";",""),IF(AND($G17&lt;Hta_29,$G17&gt;=Hba_29,Input!AF$49&lt;&gt;""),Input!$B$49&amp;";",""),IF(AND($G17&lt;Hta_30,$G17&gt;=Hba_30,Input!AF$50&lt;&gt;""),Input!$B$50&amp;";","")),"")</f>
        <v/>
      </c>
      <c r="CH17" s="25" t="str">
        <f>IFERROR(CONCATENATE(IF(AND($G17&lt;Hta_1,$G17&gt;=Hba_1,Input!AG$21&lt;&gt;""),Input!$B$21&amp;";",""),IF(AND($G17&lt;Hta_2,$G17&gt;=Hba_2,Input!AG$22&lt;&gt;""),Input!$B$22&amp;";",""),IF(AND($G17&lt;Hta_3,$G17&gt;=Hba_3,Input!AG$23&lt;&gt;""),Input!$B$23&amp;";",""),IF(AND($G17&lt;Hta_4,$G17&gt;=Hba_4,Input!AG$24&lt;&gt;""),Input!$B$24&amp;";",""),IF(AND($G17&lt;Hta_5,$G17&gt;=Hba_5,Input!AG$25&lt;&gt;""),Input!$B$25&amp;";",""),IF(AND($G17&lt;Hta_6,$G17&gt;=Hba_6,Input!AG$26&lt;&gt;""),Input!$B$26&amp;";",""),IF(AND($G17&lt;Hta_7,$G17&gt;=Hba_7,Input!AG$27&lt;&gt;""),Input!$B$27&amp;";",""),IF(AND($G17&lt;Hta_8,$G17&gt;=Hba_8,Input!AG$28&lt;&gt;""),Input!$B$28&amp;";",""),IF(AND($G17&lt;Hta_9,$G17&gt;=Hba_9,Input!AG$29&lt;&gt;""),Input!$B$29&amp;";",""),IF(AND($G17&lt;Hta_10,$G17&gt;=Hba_10,Input!AG$30&lt;&gt;""),Input!$B$30&amp;";",""),IF(AND($G17&lt;Hta_11,$G17&gt;=Hba_11,Input!AG$31&lt;&gt;""),Input!$B$31&amp;";",""),IF(AND($G17&lt;Hta_12,$G17&gt;=Hba_12,Input!AG$32&lt;&gt;""),Input!$B$32&amp;";",""),IF(AND($G17&lt;Hta_13,$G17&gt;=Hba_13,Input!AG$33&lt;&gt;""),Input!$B$33&amp;";",""),IF(AND($G17&lt;Hta_14,$G17&gt;=Hba_14,Input!AG$34&lt;&gt;""),Input!$B$34&amp;";",""),IF(AND($G17&lt;Hta_15,$G17&gt;=Hba_15,Input!AG$35&lt;&gt;""),Input!$B$35&amp;";",""),IF(AND($G17&lt;Hta_16,$G17&gt;=Hba_16,Input!AG$36&lt;&gt;""),Input!$B$36&amp;";",""),IF(AND($G17&lt;Hta_17,$G17&gt;=Hba_17,Input!AG$37&lt;&gt;""),Input!$B$37&amp;";",""),IF(AND($G17&lt;Hta_18,$G17&gt;=Hba_18,Input!AG$38&lt;&gt;""),Input!$B$38&amp;";",""),IF(AND($G17&lt;Hta_19,$G17&gt;=Hba_19,Input!AG$39&lt;&gt;""),Input!$B$39&amp;";",""),IF(AND($G17&lt;Hta_20,$G17&gt;=Hba_20,Input!AG$40&lt;&gt;""),Input!$B$40&amp;";",""),IF(AND($G17&lt;Hta_21,$G17&gt;=Hba_21,Input!AG$41&lt;&gt;""),Input!$B$41&amp;";",""),IF(AND($G17&lt;Hta_22,$G17&gt;=Hba_22,Input!AG$42&lt;&gt;""),Input!$B$42&amp;";",""),IF(AND($G17&lt;Hta_23,$G17&gt;=Hba_23,Input!AG$43&lt;&gt;""),Input!$B$43&amp;";",""),IF(AND($G17&lt;Hta_24,$G17&gt;=Hba_24,Input!AG$44&lt;&gt;""),Input!$B$44&amp;";",""),IF(AND($G17&lt;Hta_25,$G17&gt;=Hba_25,Input!AG$45&lt;&gt;""),Input!$B$45&amp;";",""),IF(AND($G17&lt;Hta_26,$G17&gt;=Hba_26,Input!AG$46&lt;&gt;""),Input!$B$46&amp;";",""),IF(AND($G17&lt;Hta_27,$G17&gt;=Hba_27,Input!AG$47&lt;&gt;""),Input!$B$47&amp;";",""),IF(AND($G17&lt;Hta_28,$G17&gt;=Hba_28,Input!AG$48&lt;&gt;""),Input!$B$48&amp;";",""),IF(AND($G17&lt;Hta_29,$G17&gt;=Hba_29,Input!AG$49&lt;&gt;""),Input!$B$49&amp;";",""),IF(AND($G17&lt;Hta_30,$G17&gt;=Hba_30,Input!AG$50&lt;&gt;""),Input!$B$50&amp;";","")),"")</f>
        <v/>
      </c>
      <c r="CI17" s="25" t="str">
        <f>IFERROR(CONCATENATE(IF(AND($G17&lt;Hta_1,$G17&gt;=Hba_1,Input!AH$21&lt;&gt;""),Input!$B$21&amp;";",""),IF(AND($G17&lt;Hta_2,$G17&gt;=Hba_2,Input!AH$22&lt;&gt;""),Input!$B$22&amp;";",""),IF(AND($G17&lt;Hta_3,$G17&gt;=Hba_3,Input!AH$23&lt;&gt;""),Input!$B$23&amp;";",""),IF(AND($G17&lt;Hta_4,$G17&gt;=Hba_4,Input!AH$24&lt;&gt;""),Input!$B$24&amp;";",""),IF(AND($G17&lt;Hta_5,$G17&gt;=Hba_5,Input!AH$25&lt;&gt;""),Input!$B$25&amp;";",""),IF(AND($G17&lt;Hta_6,$G17&gt;=Hba_6,Input!AH$26&lt;&gt;""),Input!$B$26&amp;";",""),IF(AND($G17&lt;Hta_7,$G17&gt;=Hba_7,Input!AH$27&lt;&gt;""),Input!$B$27&amp;";",""),IF(AND($G17&lt;Hta_8,$G17&gt;=Hba_8,Input!AH$28&lt;&gt;""),Input!$B$28&amp;";",""),IF(AND($G17&lt;Hta_9,$G17&gt;=Hba_9,Input!AH$29&lt;&gt;""),Input!$B$29&amp;";",""),IF(AND($G17&lt;Hta_10,$G17&gt;=Hba_10,Input!AH$30&lt;&gt;""),Input!$B$30&amp;";",""),IF(AND($G17&lt;Hta_11,$G17&gt;=Hba_11,Input!AH$31&lt;&gt;""),Input!$B$31&amp;";",""),IF(AND($G17&lt;Hta_12,$G17&gt;=Hba_12,Input!AH$32&lt;&gt;""),Input!$B$32&amp;";",""),IF(AND($G17&lt;Hta_13,$G17&gt;=Hba_13,Input!AH$33&lt;&gt;""),Input!$B$33&amp;";",""),IF(AND($G17&lt;Hta_14,$G17&gt;=Hba_14,Input!AH$34&lt;&gt;""),Input!$B$34&amp;";",""),IF(AND($G17&lt;Hta_15,$G17&gt;=Hba_15,Input!AH$35&lt;&gt;""),Input!$B$35&amp;";",""),IF(AND($G17&lt;Hta_16,$G17&gt;=Hba_16,Input!AH$36&lt;&gt;""),Input!$B$36&amp;";",""),IF(AND($G17&lt;Hta_17,$G17&gt;=Hba_17,Input!AH$37&lt;&gt;""),Input!$B$37&amp;";",""),IF(AND($G17&lt;Hta_18,$G17&gt;=Hba_18,Input!AH$38&lt;&gt;""),Input!$B$38&amp;";",""),IF(AND($G17&lt;Hta_19,$G17&gt;=Hba_19,Input!AH$39&lt;&gt;""),Input!$B$39&amp;";",""),IF(AND($G17&lt;Hta_20,$G17&gt;=Hba_20,Input!AH$40&lt;&gt;""),Input!$B$40&amp;";",""),IF(AND($G17&lt;Hta_21,$G17&gt;=Hba_21,Input!AH$41&lt;&gt;""),Input!$B$41&amp;";",""),IF(AND($G17&lt;Hta_22,$G17&gt;=Hba_22,Input!AH$42&lt;&gt;""),Input!$B$42&amp;";",""),IF(AND($G17&lt;Hta_23,$G17&gt;=Hba_23,Input!AH$43&lt;&gt;""),Input!$B$43&amp;";",""),IF(AND($G17&lt;Hta_24,$G17&gt;=Hba_24,Input!AH$44&lt;&gt;""),Input!$B$44&amp;";",""),IF(AND($G17&lt;Hta_25,$G17&gt;=Hba_25,Input!AH$45&lt;&gt;""),Input!$B$45&amp;";",""),IF(AND($G17&lt;Hta_26,$G17&gt;=Hba_26,Input!AH$46&lt;&gt;""),Input!$B$46&amp;";",""),IF(AND($G17&lt;Hta_27,$G17&gt;=Hba_27,Input!AH$47&lt;&gt;""),Input!$B$47&amp;";",""),IF(AND($G17&lt;Hta_28,$G17&gt;=Hba_28,Input!AH$48&lt;&gt;""),Input!$B$48&amp;";",""),IF(AND($G17&lt;Hta_29,$G17&gt;=Hba_29,Input!AH$49&lt;&gt;""),Input!$B$49&amp;";",""),IF(AND($G17&lt;Hta_30,$G17&gt;=Hba_30,Input!AH$50&lt;&gt;""),Input!$B$50&amp;";","")),"")</f>
        <v/>
      </c>
      <c r="CJ17" s="25" t="str">
        <f>IFERROR(CONCATENATE(IF(AND($G17&lt;Hta_1,$G17&gt;=Hba_1,Input!AI$21&lt;&gt;""),Input!$B$21&amp;";",""),IF(AND($G17&lt;Hta_2,$G17&gt;=Hba_2,Input!AI$22&lt;&gt;""),Input!$B$22&amp;";",""),IF(AND($G17&lt;Hta_3,$G17&gt;=Hba_3,Input!AI$23&lt;&gt;""),Input!$B$23&amp;";",""),IF(AND($G17&lt;Hta_4,$G17&gt;=Hba_4,Input!AI$24&lt;&gt;""),Input!$B$24&amp;";",""),IF(AND($G17&lt;Hta_5,$G17&gt;=Hba_5,Input!AI$25&lt;&gt;""),Input!$B$25&amp;";",""),IF(AND($G17&lt;Hta_6,$G17&gt;=Hba_6,Input!AI$26&lt;&gt;""),Input!$B$26&amp;";",""),IF(AND($G17&lt;Hta_7,$G17&gt;=Hba_7,Input!AI$27&lt;&gt;""),Input!$B$27&amp;";",""),IF(AND($G17&lt;Hta_8,$G17&gt;=Hba_8,Input!AI$28&lt;&gt;""),Input!$B$28&amp;";",""),IF(AND($G17&lt;Hta_9,$G17&gt;=Hba_9,Input!AI$29&lt;&gt;""),Input!$B$29&amp;";",""),IF(AND($G17&lt;Hta_10,$G17&gt;=Hba_10,Input!AI$30&lt;&gt;""),Input!$B$30&amp;";",""),IF(AND($G17&lt;Hta_11,$G17&gt;=Hba_11,Input!AI$31&lt;&gt;""),Input!$B$31&amp;";",""),IF(AND($G17&lt;Hta_12,$G17&gt;=Hba_12,Input!AI$32&lt;&gt;""),Input!$B$32&amp;";",""),IF(AND($G17&lt;Hta_13,$G17&gt;=Hba_13,Input!AI$33&lt;&gt;""),Input!$B$33&amp;";",""),IF(AND($G17&lt;Hta_14,$G17&gt;=Hba_14,Input!AI$34&lt;&gt;""),Input!$B$34&amp;";",""),IF(AND($G17&lt;Hta_15,$G17&gt;=Hba_15,Input!AI$35&lt;&gt;""),Input!$B$35&amp;";",""),IF(AND($G17&lt;Hta_16,$G17&gt;=Hba_16,Input!AI$36&lt;&gt;""),Input!$B$36&amp;";",""),IF(AND($G17&lt;Hta_17,$G17&gt;=Hba_17,Input!AI$37&lt;&gt;""),Input!$B$37&amp;";",""),IF(AND($G17&lt;Hta_18,$G17&gt;=Hba_18,Input!AI$38&lt;&gt;""),Input!$B$38&amp;";",""),IF(AND($G17&lt;Hta_19,$G17&gt;=Hba_19,Input!AI$39&lt;&gt;""),Input!$B$39&amp;";",""),IF(AND($G17&lt;Hta_20,$G17&gt;=Hba_20,Input!AI$40&lt;&gt;""),Input!$B$40&amp;";",""),IF(AND($G17&lt;Hta_21,$G17&gt;=Hba_21,Input!AI$41&lt;&gt;""),Input!$B$41&amp;";",""),IF(AND($G17&lt;Hta_22,$G17&gt;=Hba_22,Input!AI$42&lt;&gt;""),Input!$B$42&amp;";",""),IF(AND($G17&lt;Hta_23,$G17&gt;=Hba_23,Input!AI$43&lt;&gt;""),Input!$B$43&amp;";",""),IF(AND($G17&lt;Hta_24,$G17&gt;=Hba_24,Input!AI$44&lt;&gt;""),Input!$B$44&amp;";",""),IF(AND($G17&lt;Hta_25,$G17&gt;=Hba_25,Input!AI$45&lt;&gt;""),Input!$B$45&amp;";",""),IF(AND($G17&lt;Hta_26,$G17&gt;=Hba_26,Input!AI$46&lt;&gt;""),Input!$B$46&amp;";",""),IF(AND($G17&lt;Hta_27,$G17&gt;=Hba_27,Input!AI$47&lt;&gt;""),Input!$B$47&amp;";",""),IF(AND($G17&lt;Hta_28,$G17&gt;=Hba_28,Input!AI$48&lt;&gt;""),Input!$B$48&amp;";",""),IF(AND($G17&lt;Hta_29,$G17&gt;=Hba_29,Input!AI$49&lt;&gt;""),Input!$B$49&amp;";",""),IF(AND($G17&lt;Hta_30,$G17&gt;=Hba_30,Input!AI$50&lt;&gt;""),Input!$B$50&amp;";","")),"")</f>
        <v/>
      </c>
      <c r="CK17" s="25" t="str">
        <f>IFERROR(CONCATENATE(IF(AND($G17&lt;Hta_1,$G17&gt;=Hba_1,Input!AJ$21&lt;&gt;""),Input!$B$21&amp;";",""),IF(AND($G17&lt;Hta_2,$G17&gt;=Hba_2,Input!AJ$22&lt;&gt;""),Input!$B$22&amp;";",""),IF(AND($G17&lt;Hta_3,$G17&gt;=Hba_3,Input!AJ$23&lt;&gt;""),Input!$B$23&amp;";",""),IF(AND($G17&lt;Hta_4,$G17&gt;=Hba_4,Input!AJ$24&lt;&gt;""),Input!$B$24&amp;";",""),IF(AND($G17&lt;Hta_5,$G17&gt;=Hba_5,Input!AJ$25&lt;&gt;""),Input!$B$25&amp;";",""),IF(AND($G17&lt;Hta_6,$G17&gt;=Hba_6,Input!AJ$26&lt;&gt;""),Input!$B$26&amp;";",""),IF(AND($G17&lt;Hta_7,$G17&gt;=Hba_7,Input!AJ$27&lt;&gt;""),Input!$B$27&amp;";",""),IF(AND($G17&lt;Hta_8,$G17&gt;=Hba_8,Input!AJ$28&lt;&gt;""),Input!$B$28&amp;";",""),IF(AND($G17&lt;Hta_9,$G17&gt;=Hba_9,Input!AJ$29&lt;&gt;""),Input!$B$29&amp;";",""),IF(AND($G17&lt;Hta_10,$G17&gt;=Hba_10,Input!AJ$30&lt;&gt;""),Input!$B$30&amp;";",""),IF(AND($G17&lt;Hta_11,$G17&gt;=Hba_11,Input!AJ$31&lt;&gt;""),Input!$B$31&amp;";",""),IF(AND($G17&lt;Hta_12,$G17&gt;=Hba_12,Input!AJ$32&lt;&gt;""),Input!$B$32&amp;";",""),IF(AND($G17&lt;Hta_13,$G17&gt;=Hba_13,Input!AJ$33&lt;&gt;""),Input!$B$33&amp;";",""),IF(AND($G17&lt;Hta_14,$G17&gt;=Hba_14,Input!AJ$34&lt;&gt;""),Input!$B$34&amp;";",""),IF(AND($G17&lt;Hta_15,$G17&gt;=Hba_15,Input!AJ$35&lt;&gt;""),Input!$B$35&amp;";",""),IF(AND($G17&lt;Hta_16,$G17&gt;=Hba_16,Input!AJ$36&lt;&gt;""),Input!$B$36&amp;";",""),IF(AND($G17&lt;Hta_17,$G17&gt;=Hba_17,Input!AJ$37&lt;&gt;""),Input!$B$37&amp;";",""),IF(AND($G17&lt;Hta_18,$G17&gt;=Hba_18,Input!AJ$38&lt;&gt;""),Input!$B$38&amp;";",""),IF(AND($G17&lt;Hta_19,$G17&gt;=Hba_19,Input!AJ$39&lt;&gt;""),Input!$B$39&amp;";",""),IF(AND($G17&lt;Hta_20,$G17&gt;=Hba_20,Input!AJ$40&lt;&gt;""),Input!$B$40&amp;";",""),IF(AND($G17&lt;Hta_21,$G17&gt;=Hba_21,Input!AJ$41&lt;&gt;""),Input!$B$41&amp;";",""),IF(AND($G17&lt;Hta_22,$G17&gt;=Hba_22,Input!AJ$42&lt;&gt;""),Input!$B$42&amp;";",""),IF(AND($G17&lt;Hta_23,$G17&gt;=Hba_23,Input!AJ$43&lt;&gt;""),Input!$B$43&amp;";",""),IF(AND($G17&lt;Hta_24,$G17&gt;=Hba_24,Input!AJ$44&lt;&gt;""),Input!$B$44&amp;";",""),IF(AND($G17&lt;Hta_25,$G17&gt;=Hba_25,Input!AJ$45&lt;&gt;""),Input!$B$45&amp;";",""),IF(AND($G17&lt;Hta_26,$G17&gt;=Hba_26,Input!AJ$46&lt;&gt;""),Input!$B$46&amp;";",""),IF(AND($G17&lt;Hta_27,$G17&gt;=Hba_27,Input!AJ$47&lt;&gt;""),Input!$B$47&amp;";",""),IF(AND($G17&lt;Hta_28,$G17&gt;=Hba_28,Input!AJ$48&lt;&gt;""),Input!$B$48&amp;";",""),IF(AND($G17&lt;Hta_29,$G17&gt;=Hba_29,Input!AJ$49&lt;&gt;""),Input!$B$49&amp;";",""),IF(AND($G17&lt;Hta_30,$G17&gt;=Hba_30,Input!AJ$50&lt;&gt;""),Input!$B$50&amp;";","")),"")</f>
        <v/>
      </c>
      <c r="CL17" s="25" t="str">
        <f>IFERROR(CONCATENATE(IF(AND($G17&lt;Hta_1,$G17&gt;=Hba_1,Input!AK$21&lt;&gt;""),Input!$B$21&amp;";",""),IF(AND($G17&lt;Hta_2,$G17&gt;=Hba_2,Input!AK$22&lt;&gt;""),Input!$B$22&amp;";",""),IF(AND($G17&lt;Hta_3,$G17&gt;=Hba_3,Input!AK$23&lt;&gt;""),Input!$B$23&amp;";",""),IF(AND($G17&lt;Hta_4,$G17&gt;=Hba_4,Input!AK$24&lt;&gt;""),Input!$B$24&amp;";",""),IF(AND($G17&lt;Hta_5,$G17&gt;=Hba_5,Input!AK$25&lt;&gt;""),Input!$B$25&amp;";",""),IF(AND($G17&lt;Hta_6,$G17&gt;=Hba_6,Input!AK$26&lt;&gt;""),Input!$B$26&amp;";",""),IF(AND($G17&lt;Hta_7,$G17&gt;=Hba_7,Input!AK$27&lt;&gt;""),Input!$B$27&amp;";",""),IF(AND($G17&lt;Hta_8,$G17&gt;=Hba_8,Input!AK$28&lt;&gt;""),Input!$B$28&amp;";",""),IF(AND($G17&lt;Hta_9,$G17&gt;=Hba_9,Input!AK$29&lt;&gt;""),Input!$B$29&amp;";",""),IF(AND($G17&lt;Hta_10,$G17&gt;=Hba_10,Input!AK$30&lt;&gt;""),Input!$B$30&amp;";",""),IF(AND($G17&lt;Hta_11,$G17&gt;=Hba_11,Input!AK$31&lt;&gt;""),Input!$B$31&amp;";",""),IF(AND($G17&lt;Hta_12,$G17&gt;=Hba_12,Input!AK$32&lt;&gt;""),Input!$B$32&amp;";",""),IF(AND($G17&lt;Hta_13,$G17&gt;=Hba_13,Input!AK$33&lt;&gt;""),Input!$B$33&amp;";",""),IF(AND($G17&lt;Hta_14,$G17&gt;=Hba_14,Input!AK$34&lt;&gt;""),Input!$B$34&amp;";",""),IF(AND($G17&lt;Hta_15,$G17&gt;=Hba_15,Input!AK$35&lt;&gt;""),Input!$B$35&amp;";",""),IF(AND($G17&lt;Hta_16,$G17&gt;=Hba_16,Input!AK$36&lt;&gt;""),Input!$B$36&amp;";",""),IF(AND($G17&lt;Hta_17,$G17&gt;=Hba_17,Input!AK$37&lt;&gt;""),Input!$B$37&amp;";",""),IF(AND($G17&lt;Hta_18,$G17&gt;=Hba_18,Input!AK$38&lt;&gt;""),Input!$B$38&amp;";",""),IF(AND($G17&lt;Hta_19,$G17&gt;=Hba_19,Input!AK$39&lt;&gt;""),Input!$B$39&amp;";",""),IF(AND($G17&lt;Hta_20,$G17&gt;=Hba_20,Input!AK$40&lt;&gt;""),Input!$B$40&amp;";",""),IF(AND($G17&lt;Hta_21,$G17&gt;=Hba_21,Input!AK$41&lt;&gt;""),Input!$B$41&amp;";",""),IF(AND($G17&lt;Hta_22,$G17&gt;=Hba_22,Input!AK$42&lt;&gt;""),Input!$B$42&amp;";",""),IF(AND($G17&lt;Hta_23,$G17&gt;=Hba_23,Input!AK$43&lt;&gt;""),Input!$B$43&amp;";",""),IF(AND($G17&lt;Hta_24,$G17&gt;=Hba_24,Input!AK$44&lt;&gt;""),Input!$B$44&amp;";",""),IF(AND($G17&lt;Hta_25,$G17&gt;=Hba_25,Input!AK$45&lt;&gt;""),Input!$B$45&amp;";",""),IF(AND($G17&lt;Hta_26,$G17&gt;=Hba_26,Input!AK$46&lt;&gt;""),Input!$B$46&amp;";",""),IF(AND($G17&lt;Hta_27,$G17&gt;=Hba_27,Input!AK$47&lt;&gt;""),Input!$B$47&amp;";",""),IF(AND($G17&lt;Hta_28,$G17&gt;=Hba_28,Input!AK$48&lt;&gt;""),Input!$B$48&amp;";",""),IF(AND($G17&lt;Hta_29,$G17&gt;=Hba_29,Input!AK$49&lt;&gt;""),Input!$B$49&amp;";",""),IF(AND($G17&lt;Hta_30,$G17&gt;=Hba_30,Input!AK$50&lt;&gt;""),Input!$B$50&amp;";","")),"")</f>
        <v/>
      </c>
      <c r="CM17" s="25" t="str">
        <f>IFERROR(CONCATENATE(IF(AND($G17&lt;Hta_1,$G17&gt;=Hba_1,Input!AL$21&lt;&gt;""),Input!$B$21&amp;";",""),IF(AND($G17&lt;Hta_2,$G17&gt;=Hba_2,Input!AL$22&lt;&gt;""),Input!$B$22&amp;";",""),IF(AND($G17&lt;Hta_3,$G17&gt;=Hba_3,Input!AL$23&lt;&gt;""),Input!$B$23&amp;";",""),IF(AND($G17&lt;Hta_4,$G17&gt;=Hba_4,Input!AL$24&lt;&gt;""),Input!$B$24&amp;";",""),IF(AND($G17&lt;Hta_5,$G17&gt;=Hba_5,Input!AL$25&lt;&gt;""),Input!$B$25&amp;";",""),IF(AND($G17&lt;Hta_6,$G17&gt;=Hba_6,Input!AL$26&lt;&gt;""),Input!$B$26&amp;";",""),IF(AND($G17&lt;Hta_7,$G17&gt;=Hba_7,Input!AL$27&lt;&gt;""),Input!$B$27&amp;";",""),IF(AND($G17&lt;Hta_8,$G17&gt;=Hba_8,Input!AL$28&lt;&gt;""),Input!$B$28&amp;";",""),IF(AND($G17&lt;Hta_9,$G17&gt;=Hba_9,Input!AL$29&lt;&gt;""),Input!$B$29&amp;";",""),IF(AND($G17&lt;Hta_10,$G17&gt;=Hba_10,Input!AL$30&lt;&gt;""),Input!$B$30&amp;";",""),IF(AND($G17&lt;Hta_11,$G17&gt;=Hba_11,Input!AL$31&lt;&gt;""),Input!$B$31&amp;";",""),IF(AND($G17&lt;Hta_12,$G17&gt;=Hba_12,Input!AL$32&lt;&gt;""),Input!$B$32&amp;";",""),IF(AND($G17&lt;Hta_13,$G17&gt;=Hba_13,Input!AL$33&lt;&gt;""),Input!$B$33&amp;";",""),IF(AND($G17&lt;Hta_14,$G17&gt;=Hba_14,Input!AL$34&lt;&gt;""),Input!$B$34&amp;";",""),IF(AND($G17&lt;Hta_15,$G17&gt;=Hba_15,Input!AL$35&lt;&gt;""),Input!$B$35&amp;";",""),IF(AND($G17&lt;Hta_16,$G17&gt;=Hba_16,Input!AL$36&lt;&gt;""),Input!$B$36&amp;";",""),IF(AND($G17&lt;Hta_17,$G17&gt;=Hba_17,Input!AL$37&lt;&gt;""),Input!$B$37&amp;";",""),IF(AND($G17&lt;Hta_18,$G17&gt;=Hba_18,Input!AL$38&lt;&gt;""),Input!$B$38&amp;";",""),IF(AND($G17&lt;Hta_19,$G17&gt;=Hba_19,Input!AL$39&lt;&gt;""),Input!$B$39&amp;";",""),IF(AND($G17&lt;Hta_20,$G17&gt;=Hba_20,Input!AL$40&lt;&gt;""),Input!$B$40&amp;";",""),IF(AND($G17&lt;Hta_21,$G17&gt;=Hba_21,Input!AL$41&lt;&gt;""),Input!$B$41&amp;";",""),IF(AND($G17&lt;Hta_22,$G17&gt;=Hba_22,Input!AL$42&lt;&gt;""),Input!$B$42&amp;";",""),IF(AND($G17&lt;Hta_23,$G17&gt;=Hba_23,Input!AL$43&lt;&gt;""),Input!$B$43&amp;";",""),IF(AND($G17&lt;Hta_24,$G17&gt;=Hba_24,Input!AL$44&lt;&gt;""),Input!$B$44&amp;";",""),IF(AND($G17&lt;Hta_25,$G17&gt;=Hba_25,Input!AL$45&lt;&gt;""),Input!$B$45&amp;";",""),IF(AND($G17&lt;Hta_26,$G17&gt;=Hba_26,Input!AL$46&lt;&gt;""),Input!$B$46&amp;";",""),IF(AND($G17&lt;Hta_27,$G17&gt;=Hba_27,Input!AL$47&lt;&gt;""),Input!$B$47&amp;";",""),IF(AND($G17&lt;Hta_28,$G17&gt;=Hba_28,Input!AL$48&lt;&gt;""),Input!$B$48&amp;";",""),IF(AND($G17&lt;Hta_29,$G17&gt;=Hba_29,Input!AL$49&lt;&gt;""),Input!$B$49&amp;";",""),IF(AND($G17&lt;Hta_30,$G17&gt;=Hba_30,Input!AL$50&lt;&gt;""),Input!$B$50&amp;";","")),"")</f>
        <v/>
      </c>
      <c r="CN17" s="60" t="str">
        <f t="shared" si="6"/>
        <v/>
      </c>
      <c r="CO17" s="798"/>
      <c r="CP17" s="799"/>
      <c r="CQ17" s="800"/>
      <c r="CR17" s="798"/>
      <c r="CS17" s="799"/>
      <c r="CT17" s="800"/>
      <c r="CU17" s="798" t="str">
        <f t="shared" si="7"/>
        <v/>
      </c>
      <c r="CV17" s="799"/>
      <c r="CW17" s="806"/>
      <c r="CX17" s="726"/>
      <c r="CY17" s="727"/>
      <c r="CZ17" s="732"/>
      <c r="DA17" s="726"/>
      <c r="DB17" s="727"/>
      <c r="DC17" s="732"/>
      <c r="DD17" s="726" t="str">
        <f t="shared" si="8"/>
        <v/>
      </c>
      <c r="DE17" s="727"/>
      <c r="DF17" s="728"/>
      <c r="DG17" s="53"/>
      <c r="DH17" s="54"/>
      <c r="DI17" s="54"/>
      <c r="DJ17" s="54"/>
      <c r="DK17" s="54"/>
      <c r="DL17" s="54"/>
      <c r="DM17" s="54"/>
      <c r="DN17" s="54"/>
      <c r="DO17" s="54"/>
      <c r="DP17" s="54"/>
      <c r="DQ17" s="57"/>
      <c r="DR17" s="57"/>
      <c r="DS17" s="57"/>
      <c r="DT17" s="57"/>
      <c r="DU17" s="57"/>
      <c r="DV17" s="57"/>
      <c r="DW17" s="57"/>
      <c r="DX17" s="57"/>
      <c r="DY17" s="57"/>
      <c r="DZ17" s="57"/>
      <c r="EA17" s="57"/>
      <c r="EB17" s="57"/>
      <c r="EC17" s="57"/>
      <c r="ED17" s="57"/>
      <c r="EE17" s="57"/>
      <c r="EF17" s="57"/>
      <c r="EG17" s="57"/>
      <c r="EH17" s="57"/>
      <c r="EI17" s="57"/>
      <c r="EJ17" s="57"/>
      <c r="EK17" s="57"/>
      <c r="EL17" s="133"/>
      <c r="EM17" s="133"/>
      <c r="EN17" s="133"/>
      <c r="EO17" s="133"/>
      <c r="EP17" s="133"/>
      <c r="EQ17" s="133"/>
      <c r="ER17" s="133"/>
      <c r="ES17" s="133"/>
      <c r="ET17" s="133"/>
      <c r="EU17" s="133"/>
      <c r="EV17" s="133"/>
      <c r="EW17" s="133"/>
      <c r="EX17" s="133"/>
      <c r="EY17" s="133"/>
      <c r="EZ17" s="133"/>
      <c r="FA17" s="133"/>
      <c r="FB17" s="133"/>
      <c r="FC17" s="133"/>
      <c r="FD17" s="133"/>
      <c r="FE17" s="133"/>
      <c r="FF17" s="133"/>
      <c r="FG17" s="133"/>
      <c r="FH17" s="133"/>
      <c r="FI17" s="133"/>
      <c r="FJ17" s="133"/>
      <c r="FK17" s="133"/>
      <c r="FL17" s="133"/>
      <c r="FM17" s="133"/>
      <c r="FN17" s="133"/>
      <c r="FO17" s="133"/>
      <c r="FP17" s="65"/>
      <c r="FQ17" s="125"/>
      <c r="FR17" s="123"/>
      <c r="FS17" s="121"/>
      <c r="FT17" s="119"/>
    </row>
    <row r="18" spans="2:176" ht="15.75" hidden="1" customHeight="1" thickBot="1" x14ac:dyDescent="0.3">
      <c r="B18" s="62" t="b">
        <f>IF(OR(AND(G18&gt;='Geometry 2'!$AK$5,G18&lt;'Geometry 2'!$AL$5),AND(G18&gt;='Geometry 2'!$AK$6,G18&lt;'Geometry 2'!$AL$6),AND(G18&gt;='Geometry 2'!$AK$7,G18&lt;'Geometry 2'!$AL$7),AND(G18&gt;='Geometry 2'!$AK$8,G18&lt;'Geometry 2'!$AL$8),AND(G18&gt;='Geometry 2'!$AK$9,G18&lt;'Geometry 2'!$AL$9),AND(G18&gt;='Geometry 2'!$AK$10,G18&lt;'Geometry 2'!$AL$10),AND(G18&gt;='Geometry 2'!$AK$11,G18&lt;'Geometry 2'!$AL$11),AND(G18&gt;='Geometry 2'!$AK$12,G18&lt;'Geometry 2'!$AL$12),AND(G18&gt;='Geometry 2'!$AK$13,G18&lt;'Geometry 2'!$AL$13),AND(G18&gt;='Geometry 2'!$AK$14,G18&lt;'Geometry 2'!$AL$14)),TRUE,FALSE)</f>
        <v>0</v>
      </c>
      <c r="C18" s="4" t="str">
        <f t="shared" si="3"/>
        <v/>
      </c>
      <c r="D18" s="766" t="str">
        <f t="shared" si="4"/>
        <v/>
      </c>
      <c r="E18" s="767"/>
      <c r="F18" s="17" t="str">
        <f t="shared" si="2"/>
        <v/>
      </c>
      <c r="G18" s="768" t="str">
        <f>IF(D18="","",MAX(0,G17-IF(inc="n/a",999,inc),MAX(IF(G17&lt;=Hta_1,0,Hta_1),IF(G17&lt;=Hta_2,0,Hta_2),IF(G17&lt;=Hta_3,0,Hta_3),IF(G17&lt;=Hta_4,0,Hta_4),IF(G17&lt;=Hta_5,0,Hta_5),IF(G17&lt;=Hta_6,0,Hta_6),IF(G17&lt;=Hta_7,0,Hta_7),IF(G17&lt;=Hta_8,0,Hta_8),IF(G17&lt;=Hta_9,0,Hta_9),IF(G17&lt;=Hta_10,0,Hta_10),IF(G17&lt;=Hta_11,0,Hta_11),IF(G17&lt;=Hta_12,0,Hta_12),IF(G17&lt;=Hta_13,0,Hta_13),IF(G17&lt;=Hta_14,0,Hta_14),IF(G17&lt;=Hta_15,0,Hta_15),IF(G17&lt;=Hta_16,0,Hta_16),IF(G17&lt;=Hta_17,0,Hta_17),IF(G17&lt;=Hta_18,0,Hta_18),IF(G17&lt;=Hta_19,0,Hta_19),IF(G17&lt;=Hta_20,0,Hta_20),IF(G17&lt;=Hta_21,0,Hta_21),IF(G17&lt;=Hta_22,0,Hta_22),IF(G17&lt;=Hta_23,0,Hta_23),IF(G17&lt;=Hta_24,0,Hta_24),IF(G17&lt;=Hta_25,0,Hta_25),IF(G17&lt;=Hta_26,0,Hta_26),IF(G17&lt;=Hta_27,0,Hta_27),IF(G17&lt;=Hta_28,0,Hta_28),IF(G17&lt;=Hta_29,0,Hta_29),IF(G17&lt;=Hta_30,0,Hta_30)),MAX(IF(G17&lt;=Hta_1-0.25,0,Hta_1-0.25),IF(G17&lt;=Hta_2-0.25,0,Hta_2-0.25),IF(G17&lt;=Hta_3-0.25,0,Hta_3-0.25),IF(G17&lt;=Hta_4-0.25,0,Hta_4-0.25),IF(G17&lt;=Hta_5-0.25,0,Hta_5-0.25),IF(G17&lt;=Hta_6-0.25,0,Hta_6-0.25),IF(G17&lt;=Hta_7-0.25,0,Hta_7-0.25),IF(G17&lt;=Hta_8-0.25,0,Hta_8-0.25),IF(G17&lt;=Hta_9-0.25,0,Hta_9-0.25),IF(G17&lt;=Hta_10-0.25,0,Hta_10-0.25),IF(G17&lt;=Hta_11-0.25,0,Hta_11-0.25),IF(G17&lt;=Hta_12-0.25,0,Hta_12-0.25),IF(G17&lt;=Hta_13-0.25,0,Hta_13-0.25),IF(G17&lt;=Hta_14-0.25,0,Hta_14-0.25),IF(G17&lt;=Hta_15-0.25,0,Hta_15-0.25),IF(G17&lt;=Hta_16-0.25,0,Hta_16-0.25),IF(G17&lt;=Hta_17-0.25,0,Hta_17-0.25),IF(G17&lt;=Hta_18-0.25,0,Hta_18-0.25),IF(G17&lt;=Hta_19-0.25,0,Hta_19-0.25),IF(G17&lt;=Hta_20-0.25,0,Hta_20-0.25),IF(G17&lt;=Hta_21-0.25,0,Hta_21-0.25),IF(G17&lt;=Hta_22-0.25,0,Hta_22-0.25),IF(G17&lt;=Hta_23-0.25,0,Hta_23-0.25),IF(G17&lt;=Hta_24-0.25,0,Hta_24-0.25),IF(G17&lt;=Hta_25-0.25,0,Hta_25-0.25),IF(G17&lt;=Hta_26-0.25,0,Hta_26-0.25),IF(G17&lt;=Hta_27-0.25,0,Hta_27-0.25),IF(G17&lt;=Hta_28-0.25,0,Hta_28-0.25),IF(G17&lt;=Hta_29-0.25,0,Hta_29-0.25),IF(G17&lt;=Hta_30-0.25,0,Hta_30-0.25)),MAX(IF(G17&lt;=Hba_1,0,Hba_1),IF(G17&lt;=Hba_2,0,Hba_2),IF(G17&lt;=Hba_3,0,Hba_3),IF(G17&lt;=Hba_4,0,Hba_4),IF(G17&lt;=Hba_5,0,Hba_5),IF(G17&lt;=Hba_6,0,Hba_6),IF(G17&lt;=Hba_7,0,Hba_7),IF(G17&lt;=Hba_8,0,Hba_8),IF(G17&lt;=Hba_9,0,Hba_9),IF(G17&lt;=Hba_10,0,Hba_10),IF(G17&lt;=Hba_11,0,Hba_11),IF(G17&lt;=Hba_12,0,Hba_12),IF(G17&lt;=Hba_13,0,Hba_13),IF(G17&lt;=Hba_14,0,Hba_14),IF(G17&lt;=Hba_15,0,Hba_15),IF(G17&lt;=Hba_16,0,Hba_16),IF(G17&lt;=Hba_17,0,Hba_17),IF(G17&lt;=Hba_18,0,Hba_18),IF(G17&lt;=Hba_19,0,Hba_19),IF(G17&lt;=Hba_20,0,Hba_20),IF(G17&lt;=Hba_21,0,Hba_21),IF(G17&lt;=Hba_22,0,Hba_22),IF(G17&lt;=Hba_23,0,Hba_23),IF(G17&lt;=Hba_24,0,Hba_24),IF(G17&lt;=Hba_25,0,Hba_25),IF(G17&lt;=Hba_26,0,Hba_26),IF(G17&lt;=Hba_27,0,Hba_27),IF(G17&lt;=Hba_28,0,Hba_28),IF(G17&lt;=Hba_29,0,Hba_29),IF(G17&lt;=Hba_30,0,Hba_30)),MAX(IF(G17&lt;=Input!$C$8,0,Input!$C$8),IF(G17&lt;=Input!$C$9,0,Input!$C$9),IF(G17&lt;=Input!$C$10,0,Input!$C$10),IF(G17&lt;=Input!$C$11,0,Input!$C$11),IF(G17&lt;=Input!$C$12,0,Input!$C$12),IF(G17&lt;=Input!$C$13,0,Input!$C$13),IF(G17&lt;=Input!$C$14,0,Input!$C$14),IF(G17&lt;=Input!$C$15,0,Input!$C$15),IF(G17&lt;=Input!$C$16,0,Input!$C$16)),MAX(IF(G17&lt;=Hba_1-0.25,0,Hba_1-0.25),IF(G17&lt;=Hba_2-0.25,0,Hba_2-0.25),IF(G17&lt;=Hba_3-0.25,0,Hba_3-0.25),IF(G17&lt;=Hba_4-0.25,0,Hba_4-0.25),IF(G17&lt;=Hba_5-0.25,0,Hba_5-0.25),IF(G17&lt;=Hba_6-0.25,0,Hba_6-0.25),IF(G17&lt;=Hba_7-0.25,0,Hba_7-0.25),IF(G17&lt;=Hba_8-0.25,0,Hba_8-0.25),IF(G17&lt;=Hba_9-0.25,0,Hba_9-0.25),IF(G17&lt;=Hba_10-0.25,0,Hba_10-0.25),IF(G17&lt;=Hba_11-0.25,0,Hba_11-0.25),IF(G17&lt;=Hba_12-0.25,0,Hba_12-0.25),IF(G17&lt;=Hba_13-0.25,0,Hba_13-0.25),IF(G17&lt;=Hba_14-0.25,0,Hba_14-0.25),IF(G17&lt;=Hba_15-0.25,0,Hba_15-0.25),IF(G17&lt;=Hba_16-0.25,0,Hba_16-0.25),IF(G17&lt;=Hba_17-0.25,0,Hba_17-0.25),IF(G17&lt;=Hba_18-0.25,0,Hba_18-0.25),IF(G17&lt;=Hba_19-0.25,0,Hba_19-0.25),IF(G17&lt;=Hba_20-0.25,0,Hba_20-0.25),IF(G17&lt;=Hba_21-0.25,0,Hba_21-0.25),IF(G17&lt;=Hba_22-0.25,0,Hba_22-0.25),IF(G17&lt;=Hba_23-0.25,0,Hba_23-0.25),IF(G17&lt;=Hba_24-0.25,0,Hba_24-0.25),IF(G17&lt;=Hba_25-0.25,0,Hba_25-0.25),IF(G17&lt;=Hba_26-0.25,0,Hba_26-0.25),IF(G17&lt;=Hba_27-0.25,0,Hba_27-0.25),IF(G17&lt;=Hba_28-0.25,0,Hba_28-0.25),IF(G17&lt;=Hba_29-0.25,0,Hba_29-0.25),IF(G17&lt;=Hba_30-0.25,0,Hba_30-0.25)),IF(G17&lt;='Macro References'!$A$38,0,'Macro References'!$A$38)))</f>
        <v/>
      </c>
      <c r="H18" s="769"/>
      <c r="I18" s="228"/>
      <c r="J18" s="228"/>
      <c r="K18" s="228"/>
      <c r="L18" s="717" t="str">
        <f t="shared" si="0"/>
        <v/>
      </c>
      <c r="M18" s="717"/>
      <c r="N18" s="717"/>
      <c r="O18" s="717"/>
      <c r="P18" s="717" t="str">
        <f>IF(OR(G18=0,G18=""),"",IF(VLOOKUP(G18,'Geometry 2'!$C$4:$AI$14,1,TRUE)=VLOOKUP(G19,'Geometry 2'!$C$4:$AI$14,1,TRUE),"",IF(VLOOKUP(G18,'Geometry 2'!$C$4:$AI$14,33,TRUE)&lt;&gt;"n/a",MIN(G18,VLOOKUP(G18,'Geometry 2'!$C$4:$AI$14,1,TRUE))-VLOOKUP(G18,'Geometry 2'!$C$4:$AI$14,33,TRUE),"check")))</f>
        <v/>
      </c>
      <c r="Q18" s="717"/>
      <c r="R18" s="717"/>
      <c r="S18" s="717"/>
      <c r="T18" s="717" t="str">
        <f>IF($G18="","",VLOOKUP($G18,'Geometry 2'!$E$4:$AH$14,11,TRUE))</f>
        <v/>
      </c>
      <c r="U18" s="717"/>
      <c r="V18" s="717"/>
      <c r="W18" s="717"/>
      <c r="X18" s="716" t="str">
        <f>IF($G18="","",VLOOKUP($G18,'Geometry 2'!$E$4:$AJ$14,19,TRUE)-12*VLOOKUP($G18,'Geometry 2'!$E$4:$AJ$14,32,TRUE)*($D18-VLOOKUP($G18,'Geometry 2'!$E$5:$AH$14,1,TRUE)))</f>
        <v/>
      </c>
      <c r="Y18" s="716"/>
      <c r="Z18" s="716"/>
      <c r="AA18" s="716"/>
      <c r="AB18" s="757" t="str">
        <f>IF($G18="","",VLOOKUP($G18,'Geometry 2'!$E$4:$AJ$14,19,TRUE)-12*VLOOKUP($G18,'Geometry 2'!$E$4:$AJ$14,32,TRUE)*($G18-VLOOKUP($G18,'Geometry 2'!$E$5:$AH$14,1,TRUE)))</f>
        <v/>
      </c>
      <c r="AC18" s="758"/>
      <c r="AD18" s="758"/>
      <c r="AE18" s="759"/>
      <c r="AF18" s="716" t="str">
        <f>IF($G18="","",VLOOKUP($G18,'Geometry 2'!$E$4:$AJ$14,19,TRUE)-12*VLOOKUP($G18,'Geometry 2'!$E$4:$AJ$14,32,TRUE)*($G18-IF($P18="",0,$P18)-VLOOKUP($G18,'Geometry 2'!$E$5:$AH$14,1,TRUE)))</f>
        <v/>
      </c>
      <c r="AG18" s="716"/>
      <c r="AH18" s="716"/>
      <c r="AI18" s="716"/>
      <c r="AJ18" s="746" t="str">
        <f>IF($G18="","",VLOOKUP($G18,'Geometry 2'!$E$4:$AH$14,23,TRUE))</f>
        <v/>
      </c>
      <c r="AK18" s="747"/>
      <c r="AL18" s="747"/>
      <c r="AM18" s="748"/>
      <c r="AN18" s="717"/>
      <c r="AO18" s="717"/>
      <c r="AP18" s="717"/>
      <c r="AQ18" s="717"/>
      <c r="AR18" s="717" t="str">
        <f>IF($G18="","",VLOOKUP($G18,'Geometry 2'!$E$4:$AH$14,27,TRUE))</f>
        <v/>
      </c>
      <c r="AS18" s="717"/>
      <c r="AT18" s="717"/>
      <c r="AU18" s="718"/>
      <c r="AV18" s="715"/>
      <c r="AW18" s="716"/>
      <c r="AX18" s="716"/>
      <c r="AZ18" s="722" t="str">
        <f t="shared" si="5"/>
        <v/>
      </c>
      <c r="BA18" s="723"/>
      <c r="BB18" s="723"/>
      <c r="BC18" s="724"/>
      <c r="BD18" s="722"/>
      <c r="BE18" s="723"/>
      <c r="BF18" s="723"/>
      <c r="BG18" s="722" t="str">
        <f t="shared" si="1"/>
        <v/>
      </c>
      <c r="BH18" s="723"/>
      <c r="BI18" s="723"/>
      <c r="BJ18" s="723"/>
      <c r="BK18" s="724"/>
      <c r="BL18" s="722"/>
      <c r="BM18" s="723"/>
      <c r="BN18" s="723"/>
      <c r="BO18" s="723"/>
      <c r="BP18" s="725"/>
      <c r="BQ18" s="725"/>
      <c r="BR18" s="722" t="str">
        <f>IF(BP18="","",IF(OR(AND(Rev="H",Calculations!$F$27=TRUE),AND(Rev&lt;&gt;"H",Calculations!$F$30=TRUE)),IF(BP18&lt;=1,"Pass","Fail"),IF(BP18&lt;=1.05,"Pass","Fail")))</f>
        <v/>
      </c>
      <c r="BS18" s="723"/>
      <c r="BT18" s="724"/>
      <c r="BU18" s="49"/>
      <c r="BV18" s="25" t="str">
        <f>IFERROR(CONCATENATE(IF(AND($G18&lt;Hta_1,$G18&gt;=Hba_1,Input!U$21&lt;&gt;""),Input!$B$21&amp;";",""),IF(AND($G18&lt;Hta_2,$G18&gt;=Hba_2,Input!U$22&lt;&gt;""),Input!$B$22&amp;";",""),IF(AND($G18&lt;Hta_3,$G18&gt;=Hba_3,Input!U$23&lt;&gt;""),Input!$B$23&amp;";",""),IF(AND($G18&lt;Hta_4,$G18&gt;=Hba_4,Input!U$24&lt;&gt;""),Input!$B$24&amp;";",""),IF(AND($G18&lt;Hta_5,$G18&gt;=Hba_5,Input!U$25&lt;&gt;""),Input!$B$25&amp;";",""),IF(AND($G18&lt;Hta_6,$G18&gt;=Hba_6,Input!U$26&lt;&gt;""),Input!$B$26&amp;";",""),IF(AND($G18&lt;Hta_7,$G18&gt;=Hba_7,Input!U$27&lt;&gt;""),Input!$B$27&amp;";",""),IF(AND($G18&lt;Hta_8,$G18&gt;=Hba_8,Input!U$28&lt;&gt;""),Input!$B$28&amp;";",""),IF(AND($G18&lt;Hta_9,$G18&gt;=Hba_9,Input!U$29&lt;&gt;""),Input!$B$29&amp;";",""),IF(AND($G18&lt;Hta_10,$G18&gt;=Hba_10,Input!U$30&lt;&gt;""),Input!$B$30&amp;";",""),IF(AND($G18&lt;Hta_11,$G18&gt;=Hba_11,Input!U$31&lt;&gt;""),Input!$B$31&amp;";",""),IF(AND($G18&lt;Hta_12,$G18&gt;=Hba_12,Input!U$32&lt;&gt;""),Input!$B$32&amp;";",""),IF(AND($G18&lt;Hta_13,$G18&gt;=Hba_13,Input!U$33&lt;&gt;""),Input!$B$33&amp;";",""),IF(AND($G18&lt;Hta_14,$G18&gt;=Hba_14,Input!U$34&lt;&gt;""),Input!$B$34&amp;";",""),IF(AND($G18&lt;Hta_15,$G18&gt;=Hba_15,Input!U$35&lt;&gt;""),Input!$B$35&amp;";",""),IF(AND($G18&lt;Hta_16,$G18&gt;=Hba_16,Input!U$36&lt;&gt;""),Input!$B$36&amp;";",""),IF(AND($G18&lt;Hta_17,$G18&gt;=Hba_17,Input!U$37&lt;&gt;""),Input!$B$37&amp;";",""),IF(AND($G18&lt;Hta_18,$G18&gt;=Hba_18,Input!U$38&lt;&gt;""),Input!$B$38&amp;";",""),IF(AND($G18&lt;Hta_19,$G18&gt;=Hba_19,Input!U$39&lt;&gt;""),Input!$B$39&amp;";",""),IF(AND($G18&lt;Hta_20,$G18&gt;=Hba_20,Input!U$40&lt;&gt;""),Input!$B$40&amp;";",""),IF(AND($G18&lt;Hta_21,$G18&gt;=Hba_21,Input!U$41&lt;&gt;""),Input!$B$41&amp;";",""),IF(AND($G18&lt;Hta_22,$G18&gt;=Hba_22,Input!U$42&lt;&gt;""),Input!$B$42&amp;";",""),IF(AND($G18&lt;Hta_23,$G18&gt;=Hba_23,Input!U$43&lt;&gt;""),Input!$B$43&amp;";",""),IF(AND($G18&lt;Hta_24,$G18&gt;=Hba_24,Input!U$44&lt;&gt;""),Input!$B$44&amp;";",""),IF(AND($G18&lt;Hta_25,$G18&gt;=Hba_25,Input!U$45&lt;&gt;""),Input!$B$45&amp;";",""),IF(AND($G18&lt;Hta_26,$G18&gt;=Hba_26,Input!U$46&lt;&gt;""),Input!$B$46&amp;";",""),IF(AND($G18&lt;Hta_27,$G18&gt;=Hba_27,Input!U$47&lt;&gt;""),Input!$B$47&amp;";",""),IF(AND($G18&lt;Hta_28,$G18&gt;=Hba_28,Input!U$48&lt;&gt;""),Input!$B$48&amp;";",""),IF(AND($G18&lt;Hta_29,$G18&gt;=Hba_29,Input!U$49&lt;&gt;""),Input!$B$49&amp;";",""),IF(AND($G18&lt;Hta_30,$G18&gt;=Hba_30,Input!U$50&lt;&gt;""),Input!$B$50&amp;";","")),"")</f>
        <v/>
      </c>
      <c r="BW18" s="25" t="str">
        <f>IFERROR(CONCATENATE(IF(AND($G18&lt;Hta_1,$G18&gt;=Hba_1,Input!V$21&lt;&gt;""),Input!$B$21&amp;";",""),IF(AND($G18&lt;Hta_2,$G18&gt;=Hba_2,Input!V$22&lt;&gt;""),Input!$B$22&amp;";",""),IF(AND($G18&lt;Hta_3,$G18&gt;=Hba_3,Input!V$23&lt;&gt;""),Input!$B$23&amp;";",""),IF(AND($G18&lt;Hta_4,$G18&gt;=Hba_4,Input!V$24&lt;&gt;""),Input!$B$24&amp;";",""),IF(AND($G18&lt;Hta_5,$G18&gt;=Hba_5,Input!V$25&lt;&gt;""),Input!$B$25&amp;";",""),IF(AND($G18&lt;Hta_6,$G18&gt;=Hba_6,Input!V$26&lt;&gt;""),Input!$B$26&amp;";",""),IF(AND($G18&lt;Hta_7,$G18&gt;=Hba_7,Input!V$27&lt;&gt;""),Input!$B$27&amp;";",""),IF(AND($G18&lt;Hta_8,$G18&gt;=Hba_8,Input!V$28&lt;&gt;""),Input!$B$28&amp;";",""),IF(AND($G18&lt;Hta_9,$G18&gt;=Hba_9,Input!V$29&lt;&gt;""),Input!$B$29&amp;";",""),IF(AND($G18&lt;Hta_10,$G18&gt;=Hba_10,Input!V$30&lt;&gt;""),Input!$B$30&amp;";",""),IF(AND($G18&lt;Hta_11,$G18&gt;=Hba_11,Input!V$31&lt;&gt;""),Input!$B$31&amp;";",""),IF(AND($G18&lt;Hta_12,$G18&gt;=Hba_12,Input!V$32&lt;&gt;""),Input!$B$32&amp;";",""),IF(AND($G18&lt;Hta_13,$G18&gt;=Hba_13,Input!V$33&lt;&gt;""),Input!$B$33&amp;";",""),IF(AND($G18&lt;Hta_14,$G18&gt;=Hba_14,Input!V$34&lt;&gt;""),Input!$B$34&amp;";",""),IF(AND($G18&lt;Hta_15,$G18&gt;=Hba_15,Input!V$35&lt;&gt;""),Input!$B$35&amp;";",""),IF(AND($G18&lt;Hta_16,$G18&gt;=Hba_16,Input!V$36&lt;&gt;""),Input!$B$36&amp;";",""),IF(AND($G18&lt;Hta_17,$G18&gt;=Hba_17,Input!V$37&lt;&gt;""),Input!$B$37&amp;";",""),IF(AND($G18&lt;Hta_18,$G18&gt;=Hba_18,Input!V$38&lt;&gt;""),Input!$B$38&amp;";",""),IF(AND($G18&lt;Hta_19,$G18&gt;=Hba_19,Input!V$39&lt;&gt;""),Input!$B$39&amp;";",""),IF(AND($G18&lt;Hta_20,$G18&gt;=Hba_20,Input!V$40&lt;&gt;""),Input!$B$40&amp;";",""),IF(AND($G18&lt;Hta_21,$G18&gt;=Hba_21,Input!V$41&lt;&gt;""),Input!$B$41&amp;";",""),IF(AND($G18&lt;Hta_22,$G18&gt;=Hba_22,Input!V$42&lt;&gt;""),Input!$B$42&amp;";",""),IF(AND($G18&lt;Hta_23,$G18&gt;=Hba_23,Input!V$43&lt;&gt;""),Input!$B$43&amp;";",""),IF(AND($G18&lt;Hta_24,$G18&gt;=Hba_24,Input!V$44&lt;&gt;""),Input!$B$44&amp;";",""),IF(AND($G18&lt;Hta_25,$G18&gt;=Hba_25,Input!V$45&lt;&gt;""),Input!$B$45&amp;";",""),IF(AND($G18&lt;Hta_26,$G18&gt;=Hba_26,Input!V$46&lt;&gt;""),Input!$B$46&amp;";",""),IF(AND($G18&lt;Hta_27,$G18&gt;=Hba_27,Input!V$47&lt;&gt;""),Input!$B$47&amp;";",""),IF(AND($G18&lt;Hta_28,$G18&gt;=Hba_28,Input!V$48&lt;&gt;""),Input!$B$48&amp;";",""),IF(AND($G18&lt;Hta_29,$G18&gt;=Hba_29,Input!V$49&lt;&gt;""),Input!$B$49&amp;";",""),IF(AND($G18&lt;Hta_30,$G18&gt;=Hba_30,Input!V$50&lt;&gt;""),Input!$B$50&amp;";","")),"")</f>
        <v/>
      </c>
      <c r="BX18" s="25" t="str">
        <f>IFERROR(CONCATENATE(IF(AND($G18&lt;Hta_1,$G18&gt;=Hba_1,Input!W$21&lt;&gt;""),Input!$B$21&amp;";",""),IF(AND($G18&lt;Hta_2,$G18&gt;=Hba_2,Input!W$22&lt;&gt;""),Input!$B$22&amp;";",""),IF(AND($G18&lt;Hta_3,$G18&gt;=Hba_3,Input!W$23&lt;&gt;""),Input!$B$23&amp;";",""),IF(AND($G18&lt;Hta_4,$G18&gt;=Hba_4,Input!W$24&lt;&gt;""),Input!$B$24&amp;";",""),IF(AND($G18&lt;Hta_5,$G18&gt;=Hba_5,Input!W$25&lt;&gt;""),Input!$B$25&amp;";",""),IF(AND($G18&lt;Hta_6,$G18&gt;=Hba_6,Input!W$26&lt;&gt;""),Input!$B$26&amp;";",""),IF(AND($G18&lt;Hta_7,$G18&gt;=Hba_7,Input!W$27&lt;&gt;""),Input!$B$27&amp;";",""),IF(AND($G18&lt;Hta_8,$G18&gt;=Hba_8,Input!W$28&lt;&gt;""),Input!$B$28&amp;";",""),IF(AND($G18&lt;Hta_9,$G18&gt;=Hba_9,Input!W$29&lt;&gt;""),Input!$B$29&amp;";",""),IF(AND($G18&lt;Hta_10,$G18&gt;=Hba_10,Input!W$30&lt;&gt;""),Input!$B$30&amp;";",""),IF(AND($G18&lt;Hta_11,$G18&gt;=Hba_11,Input!W$31&lt;&gt;""),Input!$B$31&amp;";",""),IF(AND($G18&lt;Hta_12,$G18&gt;=Hba_12,Input!W$32&lt;&gt;""),Input!$B$32&amp;";",""),IF(AND($G18&lt;Hta_13,$G18&gt;=Hba_13,Input!W$33&lt;&gt;""),Input!$B$33&amp;";",""),IF(AND($G18&lt;Hta_14,$G18&gt;=Hba_14,Input!W$34&lt;&gt;""),Input!$B$34&amp;";",""),IF(AND($G18&lt;Hta_15,$G18&gt;=Hba_15,Input!W$35&lt;&gt;""),Input!$B$35&amp;";",""),IF(AND($G18&lt;Hta_16,$G18&gt;=Hba_16,Input!W$36&lt;&gt;""),Input!$B$36&amp;";",""),IF(AND($G18&lt;Hta_17,$G18&gt;=Hba_17,Input!W$37&lt;&gt;""),Input!$B$37&amp;";",""),IF(AND($G18&lt;Hta_18,$G18&gt;=Hba_18,Input!W$38&lt;&gt;""),Input!$B$38&amp;";",""),IF(AND($G18&lt;Hta_19,$G18&gt;=Hba_19,Input!W$39&lt;&gt;""),Input!$B$39&amp;";",""),IF(AND($G18&lt;Hta_20,$G18&gt;=Hba_20,Input!W$40&lt;&gt;""),Input!$B$40&amp;";",""),IF(AND($G18&lt;Hta_21,$G18&gt;=Hba_21,Input!W$41&lt;&gt;""),Input!$B$41&amp;";",""),IF(AND($G18&lt;Hta_22,$G18&gt;=Hba_22,Input!W$42&lt;&gt;""),Input!$B$42&amp;";",""),IF(AND($G18&lt;Hta_23,$G18&gt;=Hba_23,Input!W$43&lt;&gt;""),Input!$B$43&amp;";",""),IF(AND($G18&lt;Hta_24,$G18&gt;=Hba_24,Input!W$44&lt;&gt;""),Input!$B$44&amp;";",""),IF(AND($G18&lt;Hta_25,$G18&gt;=Hba_25,Input!W$45&lt;&gt;""),Input!$B$45&amp;";",""),IF(AND($G18&lt;Hta_26,$G18&gt;=Hba_26,Input!W$46&lt;&gt;""),Input!$B$46&amp;";",""),IF(AND($G18&lt;Hta_27,$G18&gt;=Hba_27,Input!W$47&lt;&gt;""),Input!$B$47&amp;";",""),IF(AND($G18&lt;Hta_28,$G18&gt;=Hba_28,Input!W$48&lt;&gt;""),Input!$B$48&amp;";",""),IF(AND($G18&lt;Hta_29,$G18&gt;=Hba_29,Input!W$49&lt;&gt;""),Input!$B$49&amp;";",""),IF(AND($G18&lt;Hta_30,$G18&gt;=Hba_30,Input!W$50&lt;&gt;""),Input!$B$50&amp;";","")),"")</f>
        <v/>
      </c>
      <c r="BY18" s="25" t="str">
        <f>IFERROR(CONCATENATE(IF(AND($G18&lt;Hta_1,$G18&gt;=Hba_1,Input!X$21&lt;&gt;""),Input!$B$21&amp;";",""),IF(AND($G18&lt;Hta_2,$G18&gt;=Hba_2,Input!X$22&lt;&gt;""),Input!$B$22&amp;";",""),IF(AND($G18&lt;Hta_3,$G18&gt;=Hba_3,Input!X$23&lt;&gt;""),Input!$B$23&amp;";",""),IF(AND($G18&lt;Hta_4,$G18&gt;=Hba_4,Input!X$24&lt;&gt;""),Input!$B$24&amp;";",""),IF(AND($G18&lt;Hta_5,$G18&gt;=Hba_5,Input!X$25&lt;&gt;""),Input!$B$25&amp;";",""),IF(AND($G18&lt;Hta_6,$G18&gt;=Hba_6,Input!X$26&lt;&gt;""),Input!$B$26&amp;";",""),IF(AND($G18&lt;Hta_7,$G18&gt;=Hba_7,Input!X$27&lt;&gt;""),Input!$B$27&amp;";",""),IF(AND($G18&lt;Hta_8,$G18&gt;=Hba_8,Input!X$28&lt;&gt;""),Input!$B$28&amp;";",""),IF(AND($G18&lt;Hta_9,$G18&gt;=Hba_9,Input!X$29&lt;&gt;""),Input!$B$29&amp;";",""),IF(AND($G18&lt;Hta_10,$G18&gt;=Hba_10,Input!X$30&lt;&gt;""),Input!$B$30&amp;";",""),IF(AND($G18&lt;Hta_11,$G18&gt;=Hba_11,Input!X$31&lt;&gt;""),Input!$B$31&amp;";",""),IF(AND($G18&lt;Hta_12,$G18&gt;=Hba_12,Input!X$32&lt;&gt;""),Input!$B$32&amp;";",""),IF(AND($G18&lt;Hta_13,$G18&gt;=Hba_13,Input!X$33&lt;&gt;""),Input!$B$33&amp;";",""),IF(AND($G18&lt;Hta_14,$G18&gt;=Hba_14,Input!X$34&lt;&gt;""),Input!$B$34&amp;";",""),IF(AND($G18&lt;Hta_15,$G18&gt;=Hba_15,Input!X$35&lt;&gt;""),Input!$B$35&amp;";",""),IF(AND($G18&lt;Hta_16,$G18&gt;=Hba_16,Input!X$36&lt;&gt;""),Input!$B$36&amp;";",""),IF(AND($G18&lt;Hta_17,$G18&gt;=Hba_17,Input!X$37&lt;&gt;""),Input!$B$37&amp;";",""),IF(AND($G18&lt;Hta_18,$G18&gt;=Hba_18,Input!X$38&lt;&gt;""),Input!$B$38&amp;";",""),IF(AND($G18&lt;Hta_19,$G18&gt;=Hba_19,Input!X$39&lt;&gt;""),Input!$B$39&amp;";",""),IF(AND($G18&lt;Hta_20,$G18&gt;=Hba_20,Input!X$40&lt;&gt;""),Input!$B$40&amp;";",""),IF(AND($G18&lt;Hta_21,$G18&gt;=Hba_21,Input!X$41&lt;&gt;""),Input!$B$41&amp;";",""),IF(AND($G18&lt;Hta_22,$G18&gt;=Hba_22,Input!X$42&lt;&gt;""),Input!$B$42&amp;";",""),IF(AND($G18&lt;Hta_23,$G18&gt;=Hba_23,Input!X$43&lt;&gt;""),Input!$B$43&amp;";",""),IF(AND($G18&lt;Hta_24,$G18&gt;=Hba_24,Input!X$44&lt;&gt;""),Input!$B$44&amp;";",""),IF(AND($G18&lt;Hta_25,$G18&gt;=Hba_25,Input!X$45&lt;&gt;""),Input!$B$45&amp;";",""),IF(AND($G18&lt;Hta_26,$G18&gt;=Hba_26,Input!X$46&lt;&gt;""),Input!$B$46&amp;";",""),IF(AND($G18&lt;Hta_27,$G18&gt;=Hba_27,Input!X$47&lt;&gt;""),Input!$B$47&amp;";",""),IF(AND($G18&lt;Hta_28,$G18&gt;=Hba_28,Input!X$48&lt;&gt;""),Input!$B$48&amp;";",""),IF(AND($G18&lt;Hta_29,$G18&gt;=Hba_29,Input!X$49&lt;&gt;""),Input!$B$49&amp;";",""),IF(AND($G18&lt;Hta_30,$G18&gt;=Hba_30,Input!X$50&lt;&gt;""),Input!$B$50&amp;";","")),"")</f>
        <v/>
      </c>
      <c r="BZ18" s="25" t="str">
        <f>IFERROR(CONCATENATE(IF(AND($G18&lt;Hta_1,$G18&gt;=Hba_1,Input!Y$21&lt;&gt;""),Input!$B$21&amp;";",""),IF(AND($G18&lt;Hta_2,$G18&gt;=Hba_2,Input!Y$22&lt;&gt;""),Input!$B$22&amp;";",""),IF(AND($G18&lt;Hta_3,$G18&gt;=Hba_3,Input!Y$23&lt;&gt;""),Input!$B$23&amp;";",""),IF(AND($G18&lt;Hta_4,$G18&gt;=Hba_4,Input!Y$24&lt;&gt;""),Input!$B$24&amp;";",""),IF(AND($G18&lt;Hta_5,$G18&gt;=Hba_5,Input!Y$25&lt;&gt;""),Input!$B$25&amp;";",""),IF(AND($G18&lt;Hta_6,$G18&gt;=Hba_6,Input!Y$26&lt;&gt;""),Input!$B$26&amp;";",""),IF(AND($G18&lt;Hta_7,$G18&gt;=Hba_7,Input!Y$27&lt;&gt;""),Input!$B$27&amp;";",""),IF(AND($G18&lt;Hta_8,$G18&gt;=Hba_8,Input!Y$28&lt;&gt;""),Input!$B$28&amp;";",""),IF(AND($G18&lt;Hta_9,$G18&gt;=Hba_9,Input!Y$29&lt;&gt;""),Input!$B$29&amp;";",""),IF(AND($G18&lt;Hta_10,$G18&gt;=Hba_10,Input!Y$30&lt;&gt;""),Input!$B$30&amp;";",""),IF(AND($G18&lt;Hta_11,$G18&gt;=Hba_11,Input!Y$31&lt;&gt;""),Input!$B$31&amp;";",""),IF(AND($G18&lt;Hta_12,$G18&gt;=Hba_12,Input!Y$32&lt;&gt;""),Input!$B$32&amp;";",""),IF(AND($G18&lt;Hta_13,$G18&gt;=Hba_13,Input!Y$33&lt;&gt;""),Input!$B$33&amp;";",""),IF(AND($G18&lt;Hta_14,$G18&gt;=Hba_14,Input!Y$34&lt;&gt;""),Input!$B$34&amp;";",""),IF(AND($G18&lt;Hta_15,$G18&gt;=Hba_15,Input!Y$35&lt;&gt;""),Input!$B$35&amp;";",""),IF(AND($G18&lt;Hta_16,$G18&gt;=Hba_16,Input!Y$36&lt;&gt;""),Input!$B$36&amp;";",""),IF(AND($G18&lt;Hta_17,$G18&gt;=Hba_17,Input!Y$37&lt;&gt;""),Input!$B$37&amp;";",""),IF(AND($G18&lt;Hta_18,$G18&gt;=Hba_18,Input!Y$38&lt;&gt;""),Input!$B$38&amp;";",""),IF(AND($G18&lt;Hta_19,$G18&gt;=Hba_19,Input!Y$39&lt;&gt;""),Input!$B$39&amp;";",""),IF(AND($G18&lt;Hta_20,$G18&gt;=Hba_20,Input!Y$40&lt;&gt;""),Input!$B$40&amp;";",""),IF(AND($G18&lt;Hta_21,$G18&gt;=Hba_21,Input!Y$41&lt;&gt;""),Input!$B$41&amp;";",""),IF(AND($G18&lt;Hta_22,$G18&gt;=Hba_22,Input!Y$42&lt;&gt;""),Input!$B$42&amp;";",""),IF(AND($G18&lt;Hta_23,$G18&gt;=Hba_23,Input!Y$43&lt;&gt;""),Input!$B$43&amp;";",""),IF(AND($G18&lt;Hta_24,$G18&gt;=Hba_24,Input!Y$44&lt;&gt;""),Input!$B$44&amp;";",""),IF(AND($G18&lt;Hta_25,$G18&gt;=Hba_25,Input!Y$45&lt;&gt;""),Input!$B$45&amp;";",""),IF(AND($G18&lt;Hta_26,$G18&gt;=Hba_26,Input!Y$46&lt;&gt;""),Input!$B$46&amp;";",""),IF(AND($G18&lt;Hta_27,$G18&gt;=Hba_27,Input!Y$47&lt;&gt;""),Input!$B$47&amp;";",""),IF(AND($G18&lt;Hta_28,$G18&gt;=Hba_28,Input!Y$48&lt;&gt;""),Input!$B$48&amp;";",""),IF(AND($G18&lt;Hta_29,$G18&gt;=Hba_29,Input!Y$49&lt;&gt;""),Input!$B$49&amp;";",""),IF(AND($G18&lt;Hta_30,$G18&gt;=Hba_30,Input!Y$50&lt;&gt;""),Input!$B$50&amp;";","")),"")</f>
        <v/>
      </c>
      <c r="CA18" s="25" t="str">
        <f>IFERROR(CONCATENATE(IF(AND($G18&lt;Hta_1,$G18&gt;=Hba_1,Input!Z$21&lt;&gt;""),Input!$B$21&amp;";",""),IF(AND($G18&lt;Hta_2,$G18&gt;=Hba_2,Input!Z$22&lt;&gt;""),Input!$B$22&amp;";",""),IF(AND($G18&lt;Hta_3,$G18&gt;=Hba_3,Input!Z$23&lt;&gt;""),Input!$B$23&amp;";",""),IF(AND($G18&lt;Hta_4,$G18&gt;=Hba_4,Input!Z$24&lt;&gt;""),Input!$B$24&amp;";",""),IF(AND($G18&lt;Hta_5,$G18&gt;=Hba_5,Input!Z$25&lt;&gt;""),Input!$B$25&amp;";",""),IF(AND($G18&lt;Hta_6,$G18&gt;=Hba_6,Input!Z$26&lt;&gt;""),Input!$B$26&amp;";",""),IF(AND($G18&lt;Hta_7,$G18&gt;=Hba_7,Input!Z$27&lt;&gt;""),Input!$B$27&amp;";",""),IF(AND($G18&lt;Hta_8,$G18&gt;=Hba_8,Input!Z$28&lt;&gt;""),Input!$B$28&amp;";",""),IF(AND($G18&lt;Hta_9,$G18&gt;=Hba_9,Input!Z$29&lt;&gt;""),Input!$B$29&amp;";",""),IF(AND($G18&lt;Hta_10,$G18&gt;=Hba_10,Input!Z$30&lt;&gt;""),Input!$B$30&amp;";",""),IF(AND($G18&lt;Hta_11,$G18&gt;=Hba_11,Input!Z$31&lt;&gt;""),Input!$B$31&amp;";",""),IF(AND($G18&lt;Hta_12,$G18&gt;=Hba_12,Input!Z$32&lt;&gt;""),Input!$B$32&amp;";",""),IF(AND($G18&lt;Hta_13,$G18&gt;=Hba_13,Input!Z$33&lt;&gt;""),Input!$B$33&amp;";",""),IF(AND($G18&lt;Hta_14,$G18&gt;=Hba_14,Input!Z$34&lt;&gt;""),Input!$B$34&amp;";",""),IF(AND($G18&lt;Hta_15,$G18&gt;=Hba_15,Input!Z$35&lt;&gt;""),Input!$B$35&amp;";",""),IF(AND($G18&lt;Hta_16,$G18&gt;=Hba_16,Input!Z$36&lt;&gt;""),Input!$B$36&amp;";",""),IF(AND($G18&lt;Hta_17,$G18&gt;=Hba_17,Input!Z$37&lt;&gt;""),Input!$B$37&amp;";",""),IF(AND($G18&lt;Hta_18,$G18&gt;=Hba_18,Input!Z$38&lt;&gt;""),Input!$B$38&amp;";",""),IF(AND($G18&lt;Hta_19,$G18&gt;=Hba_19,Input!Z$39&lt;&gt;""),Input!$B$39&amp;";",""),IF(AND($G18&lt;Hta_20,$G18&gt;=Hba_20,Input!Z$40&lt;&gt;""),Input!$B$40&amp;";",""),IF(AND($G18&lt;Hta_21,$G18&gt;=Hba_21,Input!Z$41&lt;&gt;""),Input!$B$41&amp;";",""),IF(AND($G18&lt;Hta_22,$G18&gt;=Hba_22,Input!Z$42&lt;&gt;""),Input!$B$42&amp;";",""),IF(AND($G18&lt;Hta_23,$G18&gt;=Hba_23,Input!Z$43&lt;&gt;""),Input!$B$43&amp;";",""),IF(AND($G18&lt;Hta_24,$G18&gt;=Hba_24,Input!Z$44&lt;&gt;""),Input!$B$44&amp;";",""),IF(AND($G18&lt;Hta_25,$G18&gt;=Hba_25,Input!Z$45&lt;&gt;""),Input!$B$45&amp;";",""),IF(AND($G18&lt;Hta_26,$G18&gt;=Hba_26,Input!Z$46&lt;&gt;""),Input!$B$46&amp;";",""),IF(AND($G18&lt;Hta_27,$G18&gt;=Hba_27,Input!Z$47&lt;&gt;""),Input!$B$47&amp;";",""),IF(AND($G18&lt;Hta_28,$G18&gt;=Hba_28,Input!Z$48&lt;&gt;""),Input!$B$48&amp;";",""),IF(AND($G18&lt;Hta_29,$G18&gt;=Hba_29,Input!Z$49&lt;&gt;""),Input!$B$49&amp;";",""),IF(AND($G18&lt;Hta_30,$G18&gt;=Hba_30,Input!Z$50&lt;&gt;""),Input!$B$50&amp;";","")),"")</f>
        <v/>
      </c>
      <c r="CB18" s="25" t="str">
        <f>IFERROR(CONCATENATE(IF(AND($G18&lt;Hta_1,$G18&gt;=Hba_1,Input!AA$21&lt;&gt;""),Input!$B$21&amp;";",""),IF(AND($G18&lt;Hta_2,$G18&gt;=Hba_2,Input!AA$22&lt;&gt;""),Input!$B$22&amp;";",""),IF(AND($G18&lt;Hta_3,$G18&gt;=Hba_3,Input!AA$23&lt;&gt;""),Input!$B$23&amp;";",""),IF(AND($G18&lt;Hta_4,$G18&gt;=Hba_4,Input!AA$24&lt;&gt;""),Input!$B$24&amp;";",""),IF(AND($G18&lt;Hta_5,$G18&gt;=Hba_5,Input!AA$25&lt;&gt;""),Input!$B$25&amp;";",""),IF(AND($G18&lt;Hta_6,$G18&gt;=Hba_6,Input!AA$26&lt;&gt;""),Input!$B$26&amp;";",""),IF(AND($G18&lt;Hta_7,$G18&gt;=Hba_7,Input!AA$27&lt;&gt;""),Input!$B$27&amp;";",""),IF(AND($G18&lt;Hta_8,$G18&gt;=Hba_8,Input!AA$28&lt;&gt;""),Input!$B$28&amp;";",""),IF(AND($G18&lt;Hta_9,$G18&gt;=Hba_9,Input!AA$29&lt;&gt;""),Input!$B$29&amp;";",""),IF(AND($G18&lt;Hta_10,$G18&gt;=Hba_10,Input!AA$30&lt;&gt;""),Input!$B$30&amp;";",""),IF(AND($G18&lt;Hta_11,$G18&gt;=Hba_11,Input!AA$31&lt;&gt;""),Input!$B$31&amp;";",""),IF(AND($G18&lt;Hta_12,$G18&gt;=Hba_12,Input!AA$32&lt;&gt;""),Input!$B$32&amp;";",""),IF(AND($G18&lt;Hta_13,$G18&gt;=Hba_13,Input!AA$33&lt;&gt;""),Input!$B$33&amp;";",""),IF(AND($G18&lt;Hta_14,$G18&gt;=Hba_14,Input!AA$34&lt;&gt;""),Input!$B$34&amp;";",""),IF(AND($G18&lt;Hta_15,$G18&gt;=Hba_15,Input!AA$35&lt;&gt;""),Input!$B$35&amp;";",""),IF(AND($G18&lt;Hta_16,$G18&gt;=Hba_16,Input!AA$36&lt;&gt;""),Input!$B$36&amp;";",""),IF(AND($G18&lt;Hta_17,$G18&gt;=Hba_17,Input!AA$37&lt;&gt;""),Input!$B$37&amp;";",""),IF(AND($G18&lt;Hta_18,$G18&gt;=Hba_18,Input!AA$38&lt;&gt;""),Input!$B$38&amp;";",""),IF(AND($G18&lt;Hta_19,$G18&gt;=Hba_19,Input!AA$39&lt;&gt;""),Input!$B$39&amp;";",""),IF(AND($G18&lt;Hta_20,$G18&gt;=Hba_20,Input!AA$40&lt;&gt;""),Input!$B$40&amp;";",""),IF(AND($G18&lt;Hta_21,$G18&gt;=Hba_21,Input!AA$41&lt;&gt;""),Input!$B$41&amp;";",""),IF(AND($G18&lt;Hta_22,$G18&gt;=Hba_22,Input!AA$42&lt;&gt;""),Input!$B$42&amp;";",""),IF(AND($G18&lt;Hta_23,$G18&gt;=Hba_23,Input!AA$43&lt;&gt;""),Input!$B$43&amp;";",""),IF(AND($G18&lt;Hta_24,$G18&gt;=Hba_24,Input!AA$44&lt;&gt;""),Input!$B$44&amp;";",""),IF(AND($G18&lt;Hta_25,$G18&gt;=Hba_25,Input!AA$45&lt;&gt;""),Input!$B$45&amp;";",""),IF(AND($G18&lt;Hta_26,$G18&gt;=Hba_26,Input!AA$46&lt;&gt;""),Input!$B$46&amp;";",""),IF(AND($G18&lt;Hta_27,$G18&gt;=Hba_27,Input!AA$47&lt;&gt;""),Input!$B$47&amp;";",""),IF(AND($G18&lt;Hta_28,$G18&gt;=Hba_28,Input!AA$48&lt;&gt;""),Input!$B$48&amp;";",""),IF(AND($G18&lt;Hta_29,$G18&gt;=Hba_29,Input!AA$49&lt;&gt;""),Input!$B$49&amp;";",""),IF(AND($G18&lt;Hta_30,$G18&gt;=Hba_30,Input!AA$50&lt;&gt;""),Input!$B$50&amp;";","")),"")</f>
        <v/>
      </c>
      <c r="CC18" s="25" t="str">
        <f>IFERROR(CONCATENATE(IF(AND($G18&lt;Hta_1,$G18&gt;=Hba_1,Input!AB$21&lt;&gt;""),Input!$B$21&amp;";",""),IF(AND($G18&lt;Hta_2,$G18&gt;=Hba_2,Input!AB$22&lt;&gt;""),Input!$B$22&amp;";",""),IF(AND($G18&lt;Hta_3,$G18&gt;=Hba_3,Input!AB$23&lt;&gt;""),Input!$B$23&amp;";",""),IF(AND($G18&lt;Hta_4,$G18&gt;=Hba_4,Input!AB$24&lt;&gt;""),Input!$B$24&amp;";",""),IF(AND($G18&lt;Hta_5,$G18&gt;=Hba_5,Input!AB$25&lt;&gt;""),Input!$B$25&amp;";",""),IF(AND($G18&lt;Hta_6,$G18&gt;=Hba_6,Input!AB$26&lt;&gt;""),Input!$B$26&amp;";",""),IF(AND($G18&lt;Hta_7,$G18&gt;=Hba_7,Input!AB$27&lt;&gt;""),Input!$B$27&amp;";",""),IF(AND($G18&lt;Hta_8,$G18&gt;=Hba_8,Input!AB$28&lt;&gt;""),Input!$B$28&amp;";",""),IF(AND($G18&lt;Hta_9,$G18&gt;=Hba_9,Input!AB$29&lt;&gt;""),Input!$B$29&amp;";",""),IF(AND($G18&lt;Hta_10,$G18&gt;=Hba_10,Input!AB$30&lt;&gt;""),Input!$B$30&amp;";",""),IF(AND($G18&lt;Hta_11,$G18&gt;=Hba_11,Input!AB$31&lt;&gt;""),Input!$B$31&amp;";",""),IF(AND($G18&lt;Hta_12,$G18&gt;=Hba_12,Input!AB$32&lt;&gt;""),Input!$B$32&amp;";",""),IF(AND($G18&lt;Hta_13,$G18&gt;=Hba_13,Input!AB$33&lt;&gt;""),Input!$B$33&amp;";",""),IF(AND($G18&lt;Hta_14,$G18&gt;=Hba_14,Input!AB$34&lt;&gt;""),Input!$B$34&amp;";",""),IF(AND($G18&lt;Hta_15,$G18&gt;=Hba_15,Input!AB$35&lt;&gt;""),Input!$B$35&amp;";",""),IF(AND($G18&lt;Hta_16,$G18&gt;=Hba_16,Input!AB$36&lt;&gt;""),Input!$B$36&amp;";",""),IF(AND($G18&lt;Hta_17,$G18&gt;=Hba_17,Input!AB$37&lt;&gt;""),Input!$B$37&amp;";",""),IF(AND($G18&lt;Hta_18,$G18&gt;=Hba_18,Input!AB$38&lt;&gt;""),Input!$B$38&amp;";",""),IF(AND($G18&lt;Hta_19,$G18&gt;=Hba_19,Input!AB$39&lt;&gt;""),Input!$B$39&amp;";",""),IF(AND($G18&lt;Hta_20,$G18&gt;=Hba_20,Input!AB$40&lt;&gt;""),Input!$B$40&amp;";",""),IF(AND($G18&lt;Hta_21,$G18&gt;=Hba_21,Input!AB$41&lt;&gt;""),Input!$B$41&amp;";",""),IF(AND($G18&lt;Hta_22,$G18&gt;=Hba_22,Input!AB$42&lt;&gt;""),Input!$B$42&amp;";",""),IF(AND($G18&lt;Hta_23,$G18&gt;=Hba_23,Input!AB$43&lt;&gt;""),Input!$B$43&amp;";",""),IF(AND($G18&lt;Hta_24,$G18&gt;=Hba_24,Input!AB$44&lt;&gt;""),Input!$B$44&amp;";",""),IF(AND($G18&lt;Hta_25,$G18&gt;=Hba_25,Input!AB$45&lt;&gt;""),Input!$B$45&amp;";",""),IF(AND($G18&lt;Hta_26,$G18&gt;=Hba_26,Input!AB$46&lt;&gt;""),Input!$B$46&amp;";",""),IF(AND($G18&lt;Hta_27,$G18&gt;=Hba_27,Input!AB$47&lt;&gt;""),Input!$B$47&amp;";",""),IF(AND($G18&lt;Hta_28,$G18&gt;=Hba_28,Input!AB$48&lt;&gt;""),Input!$B$48&amp;";",""),IF(AND($G18&lt;Hta_29,$G18&gt;=Hba_29,Input!AB$49&lt;&gt;""),Input!$B$49&amp;";",""),IF(AND($G18&lt;Hta_30,$G18&gt;=Hba_30,Input!AB$50&lt;&gt;""),Input!$B$50&amp;";","")),"")</f>
        <v/>
      </c>
      <c r="CD18" s="25" t="str">
        <f>IFERROR(CONCATENATE(IF(AND($G18&lt;Hta_1,$G18&gt;=Hba_1,Input!AC$21&lt;&gt;""),Input!$B$21&amp;";",""),IF(AND($G18&lt;Hta_2,$G18&gt;=Hba_2,Input!AC$22&lt;&gt;""),Input!$B$22&amp;";",""),IF(AND($G18&lt;Hta_3,$G18&gt;=Hba_3,Input!AC$23&lt;&gt;""),Input!$B$23&amp;";",""),IF(AND($G18&lt;Hta_4,$G18&gt;=Hba_4,Input!AC$24&lt;&gt;""),Input!$B$24&amp;";",""),IF(AND($G18&lt;Hta_5,$G18&gt;=Hba_5,Input!AC$25&lt;&gt;""),Input!$B$25&amp;";",""),IF(AND($G18&lt;Hta_6,$G18&gt;=Hba_6,Input!AC$26&lt;&gt;""),Input!$B$26&amp;";",""),IF(AND($G18&lt;Hta_7,$G18&gt;=Hba_7,Input!AC$27&lt;&gt;""),Input!$B$27&amp;";",""),IF(AND($G18&lt;Hta_8,$G18&gt;=Hba_8,Input!AC$28&lt;&gt;""),Input!$B$28&amp;";",""),IF(AND($G18&lt;Hta_9,$G18&gt;=Hba_9,Input!AC$29&lt;&gt;""),Input!$B$29&amp;";",""),IF(AND($G18&lt;Hta_10,$G18&gt;=Hba_10,Input!AC$30&lt;&gt;""),Input!$B$30&amp;";",""),IF(AND($G18&lt;Hta_11,$G18&gt;=Hba_11,Input!AC$31&lt;&gt;""),Input!$B$31&amp;";",""),IF(AND($G18&lt;Hta_12,$G18&gt;=Hba_12,Input!AC$32&lt;&gt;""),Input!$B$32&amp;";",""),IF(AND($G18&lt;Hta_13,$G18&gt;=Hba_13,Input!AC$33&lt;&gt;""),Input!$B$33&amp;";",""),IF(AND($G18&lt;Hta_14,$G18&gt;=Hba_14,Input!AC$34&lt;&gt;""),Input!$B$34&amp;";",""),IF(AND($G18&lt;Hta_15,$G18&gt;=Hba_15,Input!AC$35&lt;&gt;""),Input!$B$35&amp;";",""),IF(AND($G18&lt;Hta_16,$G18&gt;=Hba_16,Input!AC$36&lt;&gt;""),Input!$B$36&amp;";",""),IF(AND($G18&lt;Hta_17,$G18&gt;=Hba_17,Input!AC$37&lt;&gt;""),Input!$B$37&amp;";",""),IF(AND($G18&lt;Hta_18,$G18&gt;=Hba_18,Input!AC$38&lt;&gt;""),Input!$B$38&amp;";",""),IF(AND($G18&lt;Hta_19,$G18&gt;=Hba_19,Input!AC$39&lt;&gt;""),Input!$B$39&amp;";",""),IF(AND($G18&lt;Hta_20,$G18&gt;=Hba_20,Input!AC$40&lt;&gt;""),Input!$B$40&amp;";",""),IF(AND($G18&lt;Hta_21,$G18&gt;=Hba_21,Input!AC$41&lt;&gt;""),Input!$B$41&amp;";",""),IF(AND($G18&lt;Hta_22,$G18&gt;=Hba_22,Input!AC$42&lt;&gt;""),Input!$B$42&amp;";",""),IF(AND($G18&lt;Hta_23,$G18&gt;=Hba_23,Input!AC$43&lt;&gt;""),Input!$B$43&amp;";",""),IF(AND($G18&lt;Hta_24,$G18&gt;=Hba_24,Input!AC$44&lt;&gt;""),Input!$B$44&amp;";",""),IF(AND($G18&lt;Hta_25,$G18&gt;=Hba_25,Input!AC$45&lt;&gt;""),Input!$B$45&amp;";",""),IF(AND($G18&lt;Hta_26,$G18&gt;=Hba_26,Input!AC$46&lt;&gt;""),Input!$B$46&amp;";",""),IF(AND($G18&lt;Hta_27,$G18&gt;=Hba_27,Input!AC$47&lt;&gt;""),Input!$B$47&amp;";",""),IF(AND($G18&lt;Hta_28,$G18&gt;=Hba_28,Input!AC$48&lt;&gt;""),Input!$B$48&amp;";",""),IF(AND($G18&lt;Hta_29,$G18&gt;=Hba_29,Input!AC$49&lt;&gt;""),Input!$B$49&amp;";",""),IF(AND($G18&lt;Hta_30,$G18&gt;=Hba_30,Input!AC$50&lt;&gt;""),Input!$B$50&amp;";","")),"")</f>
        <v/>
      </c>
      <c r="CE18" s="25" t="str">
        <f>IFERROR(CONCATENATE(IF(AND($G18&lt;Hta_1,$G18&gt;=Hba_1,Input!AD$21&lt;&gt;""),Input!$B$21&amp;";",""),IF(AND($G18&lt;Hta_2,$G18&gt;=Hba_2,Input!AD$22&lt;&gt;""),Input!$B$22&amp;";",""),IF(AND($G18&lt;Hta_3,$G18&gt;=Hba_3,Input!AD$23&lt;&gt;""),Input!$B$23&amp;";",""),IF(AND($G18&lt;Hta_4,$G18&gt;=Hba_4,Input!AD$24&lt;&gt;""),Input!$B$24&amp;";",""),IF(AND($G18&lt;Hta_5,$G18&gt;=Hba_5,Input!AD$25&lt;&gt;""),Input!$B$25&amp;";",""),IF(AND($G18&lt;Hta_6,$G18&gt;=Hba_6,Input!AD$26&lt;&gt;""),Input!$B$26&amp;";",""),IF(AND($G18&lt;Hta_7,$G18&gt;=Hba_7,Input!AD$27&lt;&gt;""),Input!$B$27&amp;";",""),IF(AND($G18&lt;Hta_8,$G18&gt;=Hba_8,Input!AD$28&lt;&gt;""),Input!$B$28&amp;";",""),IF(AND($G18&lt;Hta_9,$G18&gt;=Hba_9,Input!AD$29&lt;&gt;""),Input!$B$29&amp;";",""),IF(AND($G18&lt;Hta_10,$G18&gt;=Hba_10,Input!AD$30&lt;&gt;""),Input!$B$30&amp;";",""),IF(AND($G18&lt;Hta_11,$G18&gt;=Hba_11,Input!AD$31&lt;&gt;""),Input!$B$31&amp;";",""),IF(AND($G18&lt;Hta_12,$G18&gt;=Hba_12,Input!AD$32&lt;&gt;""),Input!$B$32&amp;";",""),IF(AND($G18&lt;Hta_13,$G18&gt;=Hba_13,Input!AD$33&lt;&gt;""),Input!$B$33&amp;";",""),IF(AND($G18&lt;Hta_14,$G18&gt;=Hba_14,Input!AD$34&lt;&gt;""),Input!$B$34&amp;";",""),IF(AND($G18&lt;Hta_15,$G18&gt;=Hba_15,Input!AD$35&lt;&gt;""),Input!$B$35&amp;";",""),IF(AND($G18&lt;Hta_16,$G18&gt;=Hba_16,Input!AD$36&lt;&gt;""),Input!$B$36&amp;";",""),IF(AND($G18&lt;Hta_17,$G18&gt;=Hba_17,Input!AD$37&lt;&gt;""),Input!$B$37&amp;";",""),IF(AND($G18&lt;Hta_18,$G18&gt;=Hba_18,Input!AD$38&lt;&gt;""),Input!$B$38&amp;";",""),IF(AND($G18&lt;Hta_19,$G18&gt;=Hba_19,Input!AD$39&lt;&gt;""),Input!$B$39&amp;";",""),IF(AND($G18&lt;Hta_20,$G18&gt;=Hba_20,Input!AD$40&lt;&gt;""),Input!$B$40&amp;";",""),IF(AND($G18&lt;Hta_21,$G18&gt;=Hba_21,Input!AD$41&lt;&gt;""),Input!$B$41&amp;";",""),IF(AND($G18&lt;Hta_22,$G18&gt;=Hba_22,Input!AD$42&lt;&gt;""),Input!$B$42&amp;";",""),IF(AND($G18&lt;Hta_23,$G18&gt;=Hba_23,Input!AD$43&lt;&gt;""),Input!$B$43&amp;";",""),IF(AND($G18&lt;Hta_24,$G18&gt;=Hba_24,Input!AD$44&lt;&gt;""),Input!$B$44&amp;";",""),IF(AND($G18&lt;Hta_25,$G18&gt;=Hba_25,Input!AD$45&lt;&gt;""),Input!$B$45&amp;";",""),IF(AND($G18&lt;Hta_26,$G18&gt;=Hba_26,Input!AD$46&lt;&gt;""),Input!$B$46&amp;";",""),IF(AND($G18&lt;Hta_27,$G18&gt;=Hba_27,Input!AD$47&lt;&gt;""),Input!$B$47&amp;";",""),IF(AND($G18&lt;Hta_28,$G18&gt;=Hba_28,Input!AD$48&lt;&gt;""),Input!$B$48&amp;";",""),IF(AND($G18&lt;Hta_29,$G18&gt;=Hba_29,Input!AD$49&lt;&gt;""),Input!$B$49&amp;";",""),IF(AND($G18&lt;Hta_30,$G18&gt;=Hba_30,Input!AD$50&lt;&gt;""),Input!$B$50&amp;";","")),"")</f>
        <v/>
      </c>
      <c r="CF18" s="25" t="str">
        <f>IFERROR(CONCATENATE(IF(AND($G18&lt;Hta_1,$G18&gt;=Hba_1,Input!AE$21&lt;&gt;""),Input!$B$21&amp;";",""),IF(AND($G18&lt;Hta_2,$G18&gt;=Hba_2,Input!AE$22&lt;&gt;""),Input!$B$22&amp;";",""),IF(AND($G18&lt;Hta_3,$G18&gt;=Hba_3,Input!AE$23&lt;&gt;""),Input!$B$23&amp;";",""),IF(AND($G18&lt;Hta_4,$G18&gt;=Hba_4,Input!AE$24&lt;&gt;""),Input!$B$24&amp;";",""),IF(AND($G18&lt;Hta_5,$G18&gt;=Hba_5,Input!AE$25&lt;&gt;""),Input!$B$25&amp;";",""),IF(AND($G18&lt;Hta_6,$G18&gt;=Hba_6,Input!AE$26&lt;&gt;""),Input!$B$26&amp;";",""),IF(AND($G18&lt;Hta_7,$G18&gt;=Hba_7,Input!AE$27&lt;&gt;""),Input!$B$27&amp;";",""),IF(AND($G18&lt;Hta_8,$G18&gt;=Hba_8,Input!AE$28&lt;&gt;""),Input!$B$28&amp;";",""),IF(AND($G18&lt;Hta_9,$G18&gt;=Hba_9,Input!AE$29&lt;&gt;""),Input!$B$29&amp;";",""),IF(AND($G18&lt;Hta_10,$G18&gt;=Hba_10,Input!AE$30&lt;&gt;""),Input!$B$30&amp;";",""),IF(AND($G18&lt;Hta_11,$G18&gt;=Hba_11,Input!AE$31&lt;&gt;""),Input!$B$31&amp;";",""),IF(AND($G18&lt;Hta_12,$G18&gt;=Hba_12,Input!AE$32&lt;&gt;""),Input!$B$32&amp;";",""),IF(AND($G18&lt;Hta_13,$G18&gt;=Hba_13,Input!AE$33&lt;&gt;""),Input!$B$33&amp;";",""),IF(AND($G18&lt;Hta_14,$G18&gt;=Hba_14,Input!AE$34&lt;&gt;""),Input!$B$34&amp;";",""),IF(AND($G18&lt;Hta_15,$G18&gt;=Hba_15,Input!AE$35&lt;&gt;""),Input!$B$35&amp;";",""),IF(AND($G18&lt;Hta_16,$G18&gt;=Hba_16,Input!AE$36&lt;&gt;""),Input!$B$36&amp;";",""),IF(AND($G18&lt;Hta_17,$G18&gt;=Hba_17,Input!AE$37&lt;&gt;""),Input!$B$37&amp;";",""),IF(AND($G18&lt;Hta_18,$G18&gt;=Hba_18,Input!AE$38&lt;&gt;""),Input!$B$38&amp;";",""),IF(AND($G18&lt;Hta_19,$G18&gt;=Hba_19,Input!AE$39&lt;&gt;""),Input!$B$39&amp;";",""),IF(AND($G18&lt;Hta_20,$G18&gt;=Hba_20,Input!AE$40&lt;&gt;""),Input!$B$40&amp;";",""),IF(AND($G18&lt;Hta_21,$G18&gt;=Hba_21,Input!AE$41&lt;&gt;""),Input!$B$41&amp;";",""),IF(AND($G18&lt;Hta_22,$G18&gt;=Hba_22,Input!AE$42&lt;&gt;""),Input!$B$42&amp;";",""),IF(AND($G18&lt;Hta_23,$G18&gt;=Hba_23,Input!AE$43&lt;&gt;""),Input!$B$43&amp;";",""),IF(AND($G18&lt;Hta_24,$G18&gt;=Hba_24,Input!AE$44&lt;&gt;""),Input!$B$44&amp;";",""),IF(AND($G18&lt;Hta_25,$G18&gt;=Hba_25,Input!AE$45&lt;&gt;""),Input!$B$45&amp;";",""),IF(AND($G18&lt;Hta_26,$G18&gt;=Hba_26,Input!AE$46&lt;&gt;""),Input!$B$46&amp;";",""),IF(AND($G18&lt;Hta_27,$G18&gt;=Hba_27,Input!AE$47&lt;&gt;""),Input!$B$47&amp;";",""),IF(AND($G18&lt;Hta_28,$G18&gt;=Hba_28,Input!AE$48&lt;&gt;""),Input!$B$48&amp;";",""),IF(AND($G18&lt;Hta_29,$G18&gt;=Hba_29,Input!AE$49&lt;&gt;""),Input!$B$49&amp;";",""),IF(AND($G18&lt;Hta_30,$G18&gt;=Hba_30,Input!AE$50&lt;&gt;""),Input!$B$50&amp;";","")),"")</f>
        <v/>
      </c>
      <c r="CG18" s="25" t="str">
        <f>IFERROR(CONCATENATE(IF(AND($G18&lt;Hta_1,$G18&gt;=Hba_1,Input!AF$21&lt;&gt;""),Input!$B$21&amp;";",""),IF(AND($G18&lt;Hta_2,$G18&gt;=Hba_2,Input!AF$22&lt;&gt;""),Input!$B$22&amp;";",""),IF(AND($G18&lt;Hta_3,$G18&gt;=Hba_3,Input!AF$23&lt;&gt;""),Input!$B$23&amp;";",""),IF(AND($G18&lt;Hta_4,$G18&gt;=Hba_4,Input!AF$24&lt;&gt;""),Input!$B$24&amp;";",""),IF(AND($G18&lt;Hta_5,$G18&gt;=Hba_5,Input!AF$25&lt;&gt;""),Input!$B$25&amp;";",""),IF(AND($G18&lt;Hta_6,$G18&gt;=Hba_6,Input!AF$26&lt;&gt;""),Input!$B$26&amp;";",""),IF(AND($G18&lt;Hta_7,$G18&gt;=Hba_7,Input!AF$27&lt;&gt;""),Input!$B$27&amp;";",""),IF(AND($G18&lt;Hta_8,$G18&gt;=Hba_8,Input!AF$28&lt;&gt;""),Input!$B$28&amp;";",""),IF(AND($G18&lt;Hta_9,$G18&gt;=Hba_9,Input!AF$29&lt;&gt;""),Input!$B$29&amp;";",""),IF(AND($G18&lt;Hta_10,$G18&gt;=Hba_10,Input!AF$30&lt;&gt;""),Input!$B$30&amp;";",""),IF(AND($G18&lt;Hta_11,$G18&gt;=Hba_11,Input!AF$31&lt;&gt;""),Input!$B$31&amp;";",""),IF(AND($G18&lt;Hta_12,$G18&gt;=Hba_12,Input!AF$32&lt;&gt;""),Input!$B$32&amp;";",""),IF(AND($G18&lt;Hta_13,$G18&gt;=Hba_13,Input!AF$33&lt;&gt;""),Input!$B$33&amp;";",""),IF(AND($G18&lt;Hta_14,$G18&gt;=Hba_14,Input!AF$34&lt;&gt;""),Input!$B$34&amp;";",""),IF(AND($G18&lt;Hta_15,$G18&gt;=Hba_15,Input!AF$35&lt;&gt;""),Input!$B$35&amp;";",""),IF(AND($G18&lt;Hta_16,$G18&gt;=Hba_16,Input!AF$36&lt;&gt;""),Input!$B$36&amp;";",""),IF(AND($G18&lt;Hta_17,$G18&gt;=Hba_17,Input!AF$37&lt;&gt;""),Input!$B$37&amp;";",""),IF(AND($G18&lt;Hta_18,$G18&gt;=Hba_18,Input!AF$38&lt;&gt;""),Input!$B$38&amp;";",""),IF(AND($G18&lt;Hta_19,$G18&gt;=Hba_19,Input!AF$39&lt;&gt;""),Input!$B$39&amp;";",""),IF(AND($G18&lt;Hta_20,$G18&gt;=Hba_20,Input!AF$40&lt;&gt;""),Input!$B$40&amp;";",""),IF(AND($G18&lt;Hta_21,$G18&gt;=Hba_21,Input!AF$41&lt;&gt;""),Input!$B$41&amp;";",""),IF(AND($G18&lt;Hta_22,$G18&gt;=Hba_22,Input!AF$42&lt;&gt;""),Input!$B$42&amp;";",""),IF(AND($G18&lt;Hta_23,$G18&gt;=Hba_23,Input!AF$43&lt;&gt;""),Input!$B$43&amp;";",""),IF(AND($G18&lt;Hta_24,$G18&gt;=Hba_24,Input!AF$44&lt;&gt;""),Input!$B$44&amp;";",""),IF(AND($G18&lt;Hta_25,$G18&gt;=Hba_25,Input!AF$45&lt;&gt;""),Input!$B$45&amp;";",""),IF(AND($G18&lt;Hta_26,$G18&gt;=Hba_26,Input!AF$46&lt;&gt;""),Input!$B$46&amp;";",""),IF(AND($G18&lt;Hta_27,$G18&gt;=Hba_27,Input!AF$47&lt;&gt;""),Input!$B$47&amp;";",""),IF(AND($G18&lt;Hta_28,$G18&gt;=Hba_28,Input!AF$48&lt;&gt;""),Input!$B$48&amp;";",""),IF(AND($G18&lt;Hta_29,$G18&gt;=Hba_29,Input!AF$49&lt;&gt;""),Input!$B$49&amp;";",""),IF(AND($G18&lt;Hta_30,$G18&gt;=Hba_30,Input!AF$50&lt;&gt;""),Input!$B$50&amp;";","")),"")</f>
        <v/>
      </c>
      <c r="CH18" s="25" t="str">
        <f>IFERROR(CONCATENATE(IF(AND($G18&lt;Hta_1,$G18&gt;=Hba_1,Input!AG$21&lt;&gt;""),Input!$B$21&amp;";",""),IF(AND($G18&lt;Hta_2,$G18&gt;=Hba_2,Input!AG$22&lt;&gt;""),Input!$B$22&amp;";",""),IF(AND($G18&lt;Hta_3,$G18&gt;=Hba_3,Input!AG$23&lt;&gt;""),Input!$B$23&amp;";",""),IF(AND($G18&lt;Hta_4,$G18&gt;=Hba_4,Input!AG$24&lt;&gt;""),Input!$B$24&amp;";",""),IF(AND($G18&lt;Hta_5,$G18&gt;=Hba_5,Input!AG$25&lt;&gt;""),Input!$B$25&amp;";",""),IF(AND($G18&lt;Hta_6,$G18&gt;=Hba_6,Input!AG$26&lt;&gt;""),Input!$B$26&amp;";",""),IF(AND($G18&lt;Hta_7,$G18&gt;=Hba_7,Input!AG$27&lt;&gt;""),Input!$B$27&amp;";",""),IF(AND($G18&lt;Hta_8,$G18&gt;=Hba_8,Input!AG$28&lt;&gt;""),Input!$B$28&amp;";",""),IF(AND($G18&lt;Hta_9,$G18&gt;=Hba_9,Input!AG$29&lt;&gt;""),Input!$B$29&amp;";",""),IF(AND($G18&lt;Hta_10,$G18&gt;=Hba_10,Input!AG$30&lt;&gt;""),Input!$B$30&amp;";",""),IF(AND($G18&lt;Hta_11,$G18&gt;=Hba_11,Input!AG$31&lt;&gt;""),Input!$B$31&amp;";",""),IF(AND($G18&lt;Hta_12,$G18&gt;=Hba_12,Input!AG$32&lt;&gt;""),Input!$B$32&amp;";",""),IF(AND($G18&lt;Hta_13,$G18&gt;=Hba_13,Input!AG$33&lt;&gt;""),Input!$B$33&amp;";",""),IF(AND($G18&lt;Hta_14,$G18&gt;=Hba_14,Input!AG$34&lt;&gt;""),Input!$B$34&amp;";",""),IF(AND($G18&lt;Hta_15,$G18&gt;=Hba_15,Input!AG$35&lt;&gt;""),Input!$B$35&amp;";",""),IF(AND($G18&lt;Hta_16,$G18&gt;=Hba_16,Input!AG$36&lt;&gt;""),Input!$B$36&amp;";",""),IF(AND($G18&lt;Hta_17,$G18&gt;=Hba_17,Input!AG$37&lt;&gt;""),Input!$B$37&amp;";",""),IF(AND($G18&lt;Hta_18,$G18&gt;=Hba_18,Input!AG$38&lt;&gt;""),Input!$B$38&amp;";",""),IF(AND($G18&lt;Hta_19,$G18&gt;=Hba_19,Input!AG$39&lt;&gt;""),Input!$B$39&amp;";",""),IF(AND($G18&lt;Hta_20,$G18&gt;=Hba_20,Input!AG$40&lt;&gt;""),Input!$B$40&amp;";",""),IF(AND($G18&lt;Hta_21,$G18&gt;=Hba_21,Input!AG$41&lt;&gt;""),Input!$B$41&amp;";",""),IF(AND($G18&lt;Hta_22,$G18&gt;=Hba_22,Input!AG$42&lt;&gt;""),Input!$B$42&amp;";",""),IF(AND($G18&lt;Hta_23,$G18&gt;=Hba_23,Input!AG$43&lt;&gt;""),Input!$B$43&amp;";",""),IF(AND($G18&lt;Hta_24,$G18&gt;=Hba_24,Input!AG$44&lt;&gt;""),Input!$B$44&amp;";",""),IF(AND($G18&lt;Hta_25,$G18&gt;=Hba_25,Input!AG$45&lt;&gt;""),Input!$B$45&amp;";",""),IF(AND($G18&lt;Hta_26,$G18&gt;=Hba_26,Input!AG$46&lt;&gt;""),Input!$B$46&amp;";",""),IF(AND($G18&lt;Hta_27,$G18&gt;=Hba_27,Input!AG$47&lt;&gt;""),Input!$B$47&amp;";",""),IF(AND($G18&lt;Hta_28,$G18&gt;=Hba_28,Input!AG$48&lt;&gt;""),Input!$B$48&amp;";",""),IF(AND($G18&lt;Hta_29,$G18&gt;=Hba_29,Input!AG$49&lt;&gt;""),Input!$B$49&amp;";",""),IF(AND($G18&lt;Hta_30,$G18&gt;=Hba_30,Input!AG$50&lt;&gt;""),Input!$B$50&amp;";","")),"")</f>
        <v/>
      </c>
      <c r="CI18" s="25" t="str">
        <f>IFERROR(CONCATENATE(IF(AND($G18&lt;Hta_1,$G18&gt;=Hba_1,Input!AH$21&lt;&gt;""),Input!$B$21&amp;";",""),IF(AND($G18&lt;Hta_2,$G18&gt;=Hba_2,Input!AH$22&lt;&gt;""),Input!$B$22&amp;";",""),IF(AND($G18&lt;Hta_3,$G18&gt;=Hba_3,Input!AH$23&lt;&gt;""),Input!$B$23&amp;";",""),IF(AND($G18&lt;Hta_4,$G18&gt;=Hba_4,Input!AH$24&lt;&gt;""),Input!$B$24&amp;";",""),IF(AND($G18&lt;Hta_5,$G18&gt;=Hba_5,Input!AH$25&lt;&gt;""),Input!$B$25&amp;";",""),IF(AND($G18&lt;Hta_6,$G18&gt;=Hba_6,Input!AH$26&lt;&gt;""),Input!$B$26&amp;";",""),IF(AND($G18&lt;Hta_7,$G18&gt;=Hba_7,Input!AH$27&lt;&gt;""),Input!$B$27&amp;";",""),IF(AND($G18&lt;Hta_8,$G18&gt;=Hba_8,Input!AH$28&lt;&gt;""),Input!$B$28&amp;";",""),IF(AND($G18&lt;Hta_9,$G18&gt;=Hba_9,Input!AH$29&lt;&gt;""),Input!$B$29&amp;";",""),IF(AND($G18&lt;Hta_10,$G18&gt;=Hba_10,Input!AH$30&lt;&gt;""),Input!$B$30&amp;";",""),IF(AND($G18&lt;Hta_11,$G18&gt;=Hba_11,Input!AH$31&lt;&gt;""),Input!$B$31&amp;";",""),IF(AND($G18&lt;Hta_12,$G18&gt;=Hba_12,Input!AH$32&lt;&gt;""),Input!$B$32&amp;";",""),IF(AND($G18&lt;Hta_13,$G18&gt;=Hba_13,Input!AH$33&lt;&gt;""),Input!$B$33&amp;";",""),IF(AND($G18&lt;Hta_14,$G18&gt;=Hba_14,Input!AH$34&lt;&gt;""),Input!$B$34&amp;";",""),IF(AND($G18&lt;Hta_15,$G18&gt;=Hba_15,Input!AH$35&lt;&gt;""),Input!$B$35&amp;";",""),IF(AND($G18&lt;Hta_16,$G18&gt;=Hba_16,Input!AH$36&lt;&gt;""),Input!$B$36&amp;";",""),IF(AND($G18&lt;Hta_17,$G18&gt;=Hba_17,Input!AH$37&lt;&gt;""),Input!$B$37&amp;";",""),IF(AND($G18&lt;Hta_18,$G18&gt;=Hba_18,Input!AH$38&lt;&gt;""),Input!$B$38&amp;";",""),IF(AND($G18&lt;Hta_19,$G18&gt;=Hba_19,Input!AH$39&lt;&gt;""),Input!$B$39&amp;";",""),IF(AND($G18&lt;Hta_20,$G18&gt;=Hba_20,Input!AH$40&lt;&gt;""),Input!$B$40&amp;";",""),IF(AND($G18&lt;Hta_21,$G18&gt;=Hba_21,Input!AH$41&lt;&gt;""),Input!$B$41&amp;";",""),IF(AND($G18&lt;Hta_22,$G18&gt;=Hba_22,Input!AH$42&lt;&gt;""),Input!$B$42&amp;";",""),IF(AND($G18&lt;Hta_23,$G18&gt;=Hba_23,Input!AH$43&lt;&gt;""),Input!$B$43&amp;";",""),IF(AND($G18&lt;Hta_24,$G18&gt;=Hba_24,Input!AH$44&lt;&gt;""),Input!$B$44&amp;";",""),IF(AND($G18&lt;Hta_25,$G18&gt;=Hba_25,Input!AH$45&lt;&gt;""),Input!$B$45&amp;";",""),IF(AND($G18&lt;Hta_26,$G18&gt;=Hba_26,Input!AH$46&lt;&gt;""),Input!$B$46&amp;";",""),IF(AND($G18&lt;Hta_27,$G18&gt;=Hba_27,Input!AH$47&lt;&gt;""),Input!$B$47&amp;";",""),IF(AND($G18&lt;Hta_28,$G18&gt;=Hba_28,Input!AH$48&lt;&gt;""),Input!$B$48&amp;";",""),IF(AND($G18&lt;Hta_29,$G18&gt;=Hba_29,Input!AH$49&lt;&gt;""),Input!$B$49&amp;";",""),IF(AND($G18&lt;Hta_30,$G18&gt;=Hba_30,Input!AH$50&lt;&gt;""),Input!$B$50&amp;";","")),"")</f>
        <v/>
      </c>
      <c r="CJ18" s="25" t="str">
        <f>IFERROR(CONCATENATE(IF(AND($G18&lt;Hta_1,$G18&gt;=Hba_1,Input!AI$21&lt;&gt;""),Input!$B$21&amp;";",""),IF(AND($G18&lt;Hta_2,$G18&gt;=Hba_2,Input!AI$22&lt;&gt;""),Input!$B$22&amp;";",""),IF(AND($G18&lt;Hta_3,$G18&gt;=Hba_3,Input!AI$23&lt;&gt;""),Input!$B$23&amp;";",""),IF(AND($G18&lt;Hta_4,$G18&gt;=Hba_4,Input!AI$24&lt;&gt;""),Input!$B$24&amp;";",""),IF(AND($G18&lt;Hta_5,$G18&gt;=Hba_5,Input!AI$25&lt;&gt;""),Input!$B$25&amp;";",""),IF(AND($G18&lt;Hta_6,$G18&gt;=Hba_6,Input!AI$26&lt;&gt;""),Input!$B$26&amp;";",""),IF(AND($G18&lt;Hta_7,$G18&gt;=Hba_7,Input!AI$27&lt;&gt;""),Input!$B$27&amp;";",""),IF(AND($G18&lt;Hta_8,$G18&gt;=Hba_8,Input!AI$28&lt;&gt;""),Input!$B$28&amp;";",""),IF(AND($G18&lt;Hta_9,$G18&gt;=Hba_9,Input!AI$29&lt;&gt;""),Input!$B$29&amp;";",""),IF(AND($G18&lt;Hta_10,$G18&gt;=Hba_10,Input!AI$30&lt;&gt;""),Input!$B$30&amp;";",""),IF(AND($G18&lt;Hta_11,$G18&gt;=Hba_11,Input!AI$31&lt;&gt;""),Input!$B$31&amp;";",""),IF(AND($G18&lt;Hta_12,$G18&gt;=Hba_12,Input!AI$32&lt;&gt;""),Input!$B$32&amp;";",""),IF(AND($G18&lt;Hta_13,$G18&gt;=Hba_13,Input!AI$33&lt;&gt;""),Input!$B$33&amp;";",""),IF(AND($G18&lt;Hta_14,$G18&gt;=Hba_14,Input!AI$34&lt;&gt;""),Input!$B$34&amp;";",""),IF(AND($G18&lt;Hta_15,$G18&gt;=Hba_15,Input!AI$35&lt;&gt;""),Input!$B$35&amp;";",""),IF(AND($G18&lt;Hta_16,$G18&gt;=Hba_16,Input!AI$36&lt;&gt;""),Input!$B$36&amp;";",""),IF(AND($G18&lt;Hta_17,$G18&gt;=Hba_17,Input!AI$37&lt;&gt;""),Input!$B$37&amp;";",""),IF(AND($G18&lt;Hta_18,$G18&gt;=Hba_18,Input!AI$38&lt;&gt;""),Input!$B$38&amp;";",""),IF(AND($G18&lt;Hta_19,$G18&gt;=Hba_19,Input!AI$39&lt;&gt;""),Input!$B$39&amp;";",""),IF(AND($G18&lt;Hta_20,$G18&gt;=Hba_20,Input!AI$40&lt;&gt;""),Input!$B$40&amp;";",""),IF(AND($G18&lt;Hta_21,$G18&gt;=Hba_21,Input!AI$41&lt;&gt;""),Input!$B$41&amp;";",""),IF(AND($G18&lt;Hta_22,$G18&gt;=Hba_22,Input!AI$42&lt;&gt;""),Input!$B$42&amp;";",""),IF(AND($G18&lt;Hta_23,$G18&gt;=Hba_23,Input!AI$43&lt;&gt;""),Input!$B$43&amp;";",""),IF(AND($G18&lt;Hta_24,$G18&gt;=Hba_24,Input!AI$44&lt;&gt;""),Input!$B$44&amp;";",""),IF(AND($G18&lt;Hta_25,$G18&gt;=Hba_25,Input!AI$45&lt;&gt;""),Input!$B$45&amp;";",""),IF(AND($G18&lt;Hta_26,$G18&gt;=Hba_26,Input!AI$46&lt;&gt;""),Input!$B$46&amp;";",""),IF(AND($G18&lt;Hta_27,$G18&gt;=Hba_27,Input!AI$47&lt;&gt;""),Input!$B$47&amp;";",""),IF(AND($G18&lt;Hta_28,$G18&gt;=Hba_28,Input!AI$48&lt;&gt;""),Input!$B$48&amp;";",""),IF(AND($G18&lt;Hta_29,$G18&gt;=Hba_29,Input!AI$49&lt;&gt;""),Input!$B$49&amp;";",""),IF(AND($G18&lt;Hta_30,$G18&gt;=Hba_30,Input!AI$50&lt;&gt;""),Input!$B$50&amp;";","")),"")</f>
        <v/>
      </c>
      <c r="CK18" s="25" t="str">
        <f>IFERROR(CONCATENATE(IF(AND($G18&lt;Hta_1,$G18&gt;=Hba_1,Input!AJ$21&lt;&gt;""),Input!$B$21&amp;";",""),IF(AND($G18&lt;Hta_2,$G18&gt;=Hba_2,Input!AJ$22&lt;&gt;""),Input!$B$22&amp;";",""),IF(AND($G18&lt;Hta_3,$G18&gt;=Hba_3,Input!AJ$23&lt;&gt;""),Input!$B$23&amp;";",""),IF(AND($G18&lt;Hta_4,$G18&gt;=Hba_4,Input!AJ$24&lt;&gt;""),Input!$B$24&amp;";",""),IF(AND($G18&lt;Hta_5,$G18&gt;=Hba_5,Input!AJ$25&lt;&gt;""),Input!$B$25&amp;";",""),IF(AND($G18&lt;Hta_6,$G18&gt;=Hba_6,Input!AJ$26&lt;&gt;""),Input!$B$26&amp;";",""),IF(AND($G18&lt;Hta_7,$G18&gt;=Hba_7,Input!AJ$27&lt;&gt;""),Input!$B$27&amp;";",""),IF(AND($G18&lt;Hta_8,$G18&gt;=Hba_8,Input!AJ$28&lt;&gt;""),Input!$B$28&amp;";",""),IF(AND($G18&lt;Hta_9,$G18&gt;=Hba_9,Input!AJ$29&lt;&gt;""),Input!$B$29&amp;";",""),IF(AND($G18&lt;Hta_10,$G18&gt;=Hba_10,Input!AJ$30&lt;&gt;""),Input!$B$30&amp;";",""),IF(AND($G18&lt;Hta_11,$G18&gt;=Hba_11,Input!AJ$31&lt;&gt;""),Input!$B$31&amp;";",""),IF(AND($G18&lt;Hta_12,$G18&gt;=Hba_12,Input!AJ$32&lt;&gt;""),Input!$B$32&amp;";",""),IF(AND($G18&lt;Hta_13,$G18&gt;=Hba_13,Input!AJ$33&lt;&gt;""),Input!$B$33&amp;";",""),IF(AND($G18&lt;Hta_14,$G18&gt;=Hba_14,Input!AJ$34&lt;&gt;""),Input!$B$34&amp;";",""),IF(AND($G18&lt;Hta_15,$G18&gt;=Hba_15,Input!AJ$35&lt;&gt;""),Input!$B$35&amp;";",""),IF(AND($G18&lt;Hta_16,$G18&gt;=Hba_16,Input!AJ$36&lt;&gt;""),Input!$B$36&amp;";",""),IF(AND($G18&lt;Hta_17,$G18&gt;=Hba_17,Input!AJ$37&lt;&gt;""),Input!$B$37&amp;";",""),IF(AND($G18&lt;Hta_18,$G18&gt;=Hba_18,Input!AJ$38&lt;&gt;""),Input!$B$38&amp;";",""),IF(AND($G18&lt;Hta_19,$G18&gt;=Hba_19,Input!AJ$39&lt;&gt;""),Input!$B$39&amp;";",""),IF(AND($G18&lt;Hta_20,$G18&gt;=Hba_20,Input!AJ$40&lt;&gt;""),Input!$B$40&amp;";",""),IF(AND($G18&lt;Hta_21,$G18&gt;=Hba_21,Input!AJ$41&lt;&gt;""),Input!$B$41&amp;";",""),IF(AND($G18&lt;Hta_22,$G18&gt;=Hba_22,Input!AJ$42&lt;&gt;""),Input!$B$42&amp;";",""),IF(AND($G18&lt;Hta_23,$G18&gt;=Hba_23,Input!AJ$43&lt;&gt;""),Input!$B$43&amp;";",""),IF(AND($G18&lt;Hta_24,$G18&gt;=Hba_24,Input!AJ$44&lt;&gt;""),Input!$B$44&amp;";",""),IF(AND($G18&lt;Hta_25,$G18&gt;=Hba_25,Input!AJ$45&lt;&gt;""),Input!$B$45&amp;";",""),IF(AND($G18&lt;Hta_26,$G18&gt;=Hba_26,Input!AJ$46&lt;&gt;""),Input!$B$46&amp;";",""),IF(AND($G18&lt;Hta_27,$G18&gt;=Hba_27,Input!AJ$47&lt;&gt;""),Input!$B$47&amp;";",""),IF(AND($G18&lt;Hta_28,$G18&gt;=Hba_28,Input!AJ$48&lt;&gt;""),Input!$B$48&amp;";",""),IF(AND($G18&lt;Hta_29,$G18&gt;=Hba_29,Input!AJ$49&lt;&gt;""),Input!$B$49&amp;";",""),IF(AND($G18&lt;Hta_30,$G18&gt;=Hba_30,Input!AJ$50&lt;&gt;""),Input!$B$50&amp;";","")),"")</f>
        <v/>
      </c>
      <c r="CL18" s="25" t="str">
        <f>IFERROR(CONCATENATE(IF(AND($G18&lt;Hta_1,$G18&gt;=Hba_1,Input!AK$21&lt;&gt;""),Input!$B$21&amp;";",""),IF(AND($G18&lt;Hta_2,$G18&gt;=Hba_2,Input!AK$22&lt;&gt;""),Input!$B$22&amp;";",""),IF(AND($G18&lt;Hta_3,$G18&gt;=Hba_3,Input!AK$23&lt;&gt;""),Input!$B$23&amp;";",""),IF(AND($G18&lt;Hta_4,$G18&gt;=Hba_4,Input!AK$24&lt;&gt;""),Input!$B$24&amp;";",""),IF(AND($G18&lt;Hta_5,$G18&gt;=Hba_5,Input!AK$25&lt;&gt;""),Input!$B$25&amp;";",""),IF(AND($G18&lt;Hta_6,$G18&gt;=Hba_6,Input!AK$26&lt;&gt;""),Input!$B$26&amp;";",""),IF(AND($G18&lt;Hta_7,$G18&gt;=Hba_7,Input!AK$27&lt;&gt;""),Input!$B$27&amp;";",""),IF(AND($G18&lt;Hta_8,$G18&gt;=Hba_8,Input!AK$28&lt;&gt;""),Input!$B$28&amp;";",""),IF(AND($G18&lt;Hta_9,$G18&gt;=Hba_9,Input!AK$29&lt;&gt;""),Input!$B$29&amp;";",""),IF(AND($G18&lt;Hta_10,$G18&gt;=Hba_10,Input!AK$30&lt;&gt;""),Input!$B$30&amp;";",""),IF(AND($G18&lt;Hta_11,$G18&gt;=Hba_11,Input!AK$31&lt;&gt;""),Input!$B$31&amp;";",""),IF(AND($G18&lt;Hta_12,$G18&gt;=Hba_12,Input!AK$32&lt;&gt;""),Input!$B$32&amp;";",""),IF(AND($G18&lt;Hta_13,$G18&gt;=Hba_13,Input!AK$33&lt;&gt;""),Input!$B$33&amp;";",""),IF(AND($G18&lt;Hta_14,$G18&gt;=Hba_14,Input!AK$34&lt;&gt;""),Input!$B$34&amp;";",""),IF(AND($G18&lt;Hta_15,$G18&gt;=Hba_15,Input!AK$35&lt;&gt;""),Input!$B$35&amp;";",""),IF(AND($G18&lt;Hta_16,$G18&gt;=Hba_16,Input!AK$36&lt;&gt;""),Input!$B$36&amp;";",""),IF(AND($G18&lt;Hta_17,$G18&gt;=Hba_17,Input!AK$37&lt;&gt;""),Input!$B$37&amp;";",""),IF(AND($G18&lt;Hta_18,$G18&gt;=Hba_18,Input!AK$38&lt;&gt;""),Input!$B$38&amp;";",""),IF(AND($G18&lt;Hta_19,$G18&gt;=Hba_19,Input!AK$39&lt;&gt;""),Input!$B$39&amp;";",""),IF(AND($G18&lt;Hta_20,$G18&gt;=Hba_20,Input!AK$40&lt;&gt;""),Input!$B$40&amp;";",""),IF(AND($G18&lt;Hta_21,$G18&gt;=Hba_21,Input!AK$41&lt;&gt;""),Input!$B$41&amp;";",""),IF(AND($G18&lt;Hta_22,$G18&gt;=Hba_22,Input!AK$42&lt;&gt;""),Input!$B$42&amp;";",""),IF(AND($G18&lt;Hta_23,$G18&gt;=Hba_23,Input!AK$43&lt;&gt;""),Input!$B$43&amp;";",""),IF(AND($G18&lt;Hta_24,$G18&gt;=Hba_24,Input!AK$44&lt;&gt;""),Input!$B$44&amp;";",""),IF(AND($G18&lt;Hta_25,$G18&gt;=Hba_25,Input!AK$45&lt;&gt;""),Input!$B$45&amp;";",""),IF(AND($G18&lt;Hta_26,$G18&gt;=Hba_26,Input!AK$46&lt;&gt;""),Input!$B$46&amp;";",""),IF(AND($G18&lt;Hta_27,$G18&gt;=Hba_27,Input!AK$47&lt;&gt;""),Input!$B$47&amp;";",""),IF(AND($G18&lt;Hta_28,$G18&gt;=Hba_28,Input!AK$48&lt;&gt;""),Input!$B$48&amp;";",""),IF(AND($G18&lt;Hta_29,$G18&gt;=Hba_29,Input!AK$49&lt;&gt;""),Input!$B$49&amp;";",""),IF(AND($G18&lt;Hta_30,$G18&gt;=Hba_30,Input!AK$50&lt;&gt;""),Input!$B$50&amp;";","")),"")</f>
        <v/>
      </c>
      <c r="CM18" s="25" t="str">
        <f>IFERROR(CONCATENATE(IF(AND($G18&lt;Hta_1,$G18&gt;=Hba_1,Input!AL$21&lt;&gt;""),Input!$B$21&amp;";",""),IF(AND($G18&lt;Hta_2,$G18&gt;=Hba_2,Input!AL$22&lt;&gt;""),Input!$B$22&amp;";",""),IF(AND($G18&lt;Hta_3,$G18&gt;=Hba_3,Input!AL$23&lt;&gt;""),Input!$B$23&amp;";",""),IF(AND($G18&lt;Hta_4,$G18&gt;=Hba_4,Input!AL$24&lt;&gt;""),Input!$B$24&amp;";",""),IF(AND($G18&lt;Hta_5,$G18&gt;=Hba_5,Input!AL$25&lt;&gt;""),Input!$B$25&amp;";",""),IF(AND($G18&lt;Hta_6,$G18&gt;=Hba_6,Input!AL$26&lt;&gt;""),Input!$B$26&amp;";",""),IF(AND($G18&lt;Hta_7,$G18&gt;=Hba_7,Input!AL$27&lt;&gt;""),Input!$B$27&amp;";",""),IF(AND($G18&lt;Hta_8,$G18&gt;=Hba_8,Input!AL$28&lt;&gt;""),Input!$B$28&amp;";",""),IF(AND($G18&lt;Hta_9,$G18&gt;=Hba_9,Input!AL$29&lt;&gt;""),Input!$B$29&amp;";",""),IF(AND($G18&lt;Hta_10,$G18&gt;=Hba_10,Input!AL$30&lt;&gt;""),Input!$B$30&amp;";",""),IF(AND($G18&lt;Hta_11,$G18&gt;=Hba_11,Input!AL$31&lt;&gt;""),Input!$B$31&amp;";",""),IF(AND($G18&lt;Hta_12,$G18&gt;=Hba_12,Input!AL$32&lt;&gt;""),Input!$B$32&amp;";",""),IF(AND($G18&lt;Hta_13,$G18&gt;=Hba_13,Input!AL$33&lt;&gt;""),Input!$B$33&amp;";",""),IF(AND($G18&lt;Hta_14,$G18&gt;=Hba_14,Input!AL$34&lt;&gt;""),Input!$B$34&amp;";",""),IF(AND($G18&lt;Hta_15,$G18&gt;=Hba_15,Input!AL$35&lt;&gt;""),Input!$B$35&amp;";",""),IF(AND($G18&lt;Hta_16,$G18&gt;=Hba_16,Input!AL$36&lt;&gt;""),Input!$B$36&amp;";",""),IF(AND($G18&lt;Hta_17,$G18&gt;=Hba_17,Input!AL$37&lt;&gt;""),Input!$B$37&amp;";",""),IF(AND($G18&lt;Hta_18,$G18&gt;=Hba_18,Input!AL$38&lt;&gt;""),Input!$B$38&amp;";",""),IF(AND($G18&lt;Hta_19,$G18&gt;=Hba_19,Input!AL$39&lt;&gt;""),Input!$B$39&amp;";",""),IF(AND($G18&lt;Hta_20,$G18&gt;=Hba_20,Input!AL$40&lt;&gt;""),Input!$B$40&amp;";",""),IF(AND($G18&lt;Hta_21,$G18&gt;=Hba_21,Input!AL$41&lt;&gt;""),Input!$B$41&amp;";",""),IF(AND($G18&lt;Hta_22,$G18&gt;=Hba_22,Input!AL$42&lt;&gt;""),Input!$B$42&amp;";",""),IF(AND($G18&lt;Hta_23,$G18&gt;=Hba_23,Input!AL$43&lt;&gt;""),Input!$B$43&amp;";",""),IF(AND($G18&lt;Hta_24,$G18&gt;=Hba_24,Input!AL$44&lt;&gt;""),Input!$B$44&amp;";",""),IF(AND($G18&lt;Hta_25,$G18&gt;=Hba_25,Input!AL$45&lt;&gt;""),Input!$B$45&amp;";",""),IF(AND($G18&lt;Hta_26,$G18&gt;=Hba_26,Input!AL$46&lt;&gt;""),Input!$B$46&amp;";",""),IF(AND($G18&lt;Hta_27,$G18&gt;=Hba_27,Input!AL$47&lt;&gt;""),Input!$B$47&amp;";",""),IF(AND($G18&lt;Hta_28,$G18&gt;=Hba_28,Input!AL$48&lt;&gt;""),Input!$B$48&amp;";",""),IF(AND($G18&lt;Hta_29,$G18&gt;=Hba_29,Input!AL$49&lt;&gt;""),Input!$B$49&amp;";",""),IF(AND($G18&lt;Hta_30,$G18&gt;=Hba_30,Input!AL$50&lt;&gt;""),Input!$B$50&amp;";","")),"")</f>
        <v/>
      </c>
      <c r="CN18" s="59" t="str">
        <f t="shared" si="6"/>
        <v/>
      </c>
      <c r="CO18" s="791"/>
      <c r="CP18" s="792"/>
      <c r="CQ18" s="793"/>
      <c r="CR18" s="791"/>
      <c r="CS18" s="792"/>
      <c r="CT18" s="793"/>
      <c r="CU18" s="791" t="str">
        <f t="shared" si="7"/>
        <v/>
      </c>
      <c r="CV18" s="792"/>
      <c r="CW18" s="807"/>
      <c r="CX18" s="808"/>
      <c r="CY18" s="730"/>
      <c r="CZ18" s="809"/>
      <c r="DA18" s="733"/>
      <c r="DB18" s="734"/>
      <c r="DC18" s="735"/>
      <c r="DD18" s="729" t="str">
        <f t="shared" si="8"/>
        <v/>
      </c>
      <c r="DE18" s="730"/>
      <c r="DF18" s="731"/>
      <c r="DG18" s="55"/>
      <c r="DH18" s="56"/>
      <c r="DI18" s="56"/>
      <c r="DJ18" s="56"/>
      <c r="DK18" s="56"/>
      <c r="DL18" s="56"/>
      <c r="DM18" s="56"/>
      <c r="DN18" s="56"/>
      <c r="DO18" s="56"/>
      <c r="DP18" s="56"/>
      <c r="DQ18" s="58"/>
      <c r="DR18" s="58"/>
      <c r="DS18" s="58"/>
      <c r="DT18" s="58"/>
      <c r="DU18" s="58"/>
      <c r="DV18" s="58"/>
      <c r="DW18" s="58"/>
      <c r="DX18" s="58"/>
      <c r="DY18" s="58"/>
      <c r="DZ18" s="58"/>
      <c r="EA18" s="58"/>
      <c r="EB18" s="58"/>
      <c r="EC18" s="58"/>
      <c r="ED18" s="58"/>
      <c r="EE18" s="58"/>
      <c r="EF18" s="58"/>
      <c r="EG18" s="58"/>
      <c r="EH18" s="58"/>
      <c r="EI18" s="58"/>
      <c r="EJ18" s="58"/>
      <c r="EK18" s="58"/>
      <c r="EL18" s="134"/>
      <c r="EM18" s="134"/>
      <c r="EN18" s="134"/>
      <c r="EO18" s="134"/>
      <c r="EP18" s="134"/>
      <c r="EQ18" s="134"/>
      <c r="ER18" s="134"/>
      <c r="ES18" s="134"/>
      <c r="ET18" s="134"/>
      <c r="EU18" s="134"/>
      <c r="EV18" s="134"/>
      <c r="EW18" s="134"/>
      <c r="EX18" s="134"/>
      <c r="EY18" s="134"/>
      <c r="EZ18" s="134"/>
      <c r="FA18" s="134"/>
      <c r="FB18" s="134"/>
      <c r="FC18" s="134"/>
      <c r="FD18" s="134"/>
      <c r="FE18" s="134"/>
      <c r="FF18" s="134"/>
      <c r="FG18" s="134"/>
      <c r="FH18" s="134"/>
      <c r="FI18" s="134"/>
      <c r="FJ18" s="134"/>
      <c r="FK18" s="134"/>
      <c r="FL18" s="134"/>
      <c r="FM18" s="134"/>
      <c r="FN18" s="134"/>
      <c r="FO18" s="134"/>
      <c r="FP18" s="65"/>
      <c r="FQ18" s="124"/>
      <c r="FR18" s="122"/>
      <c r="FS18" s="120"/>
      <c r="FT18" s="119"/>
    </row>
    <row r="19" spans="2:176" ht="15.75" hidden="1" customHeight="1" thickBot="1" x14ac:dyDescent="0.3">
      <c r="B19" s="62" t="b">
        <f>IF(OR(AND(G19&gt;='Geometry 2'!$AK$5,G19&lt;'Geometry 2'!$AL$5),AND(G19&gt;='Geometry 2'!$AK$6,G19&lt;'Geometry 2'!$AL$6),AND(G19&gt;='Geometry 2'!$AK$7,G19&lt;'Geometry 2'!$AL$7),AND(G19&gt;='Geometry 2'!$AK$8,G19&lt;'Geometry 2'!$AL$8),AND(G19&gt;='Geometry 2'!$AK$9,G19&lt;'Geometry 2'!$AL$9),AND(G19&gt;='Geometry 2'!$AK$10,G19&lt;'Geometry 2'!$AL$10),AND(G19&gt;='Geometry 2'!$AK$11,G19&lt;'Geometry 2'!$AL$11),AND(G19&gt;='Geometry 2'!$AK$12,G19&lt;'Geometry 2'!$AL$12),AND(G19&gt;='Geometry 2'!$AK$13,G19&lt;'Geometry 2'!$AL$13),AND(G19&gt;='Geometry 2'!$AK$14,G19&lt;'Geometry 2'!$AL$14)),TRUE,FALSE)</f>
        <v>0</v>
      </c>
      <c r="C19" s="4" t="str">
        <f t="shared" si="3"/>
        <v/>
      </c>
      <c r="D19" s="766" t="str">
        <f t="shared" si="4"/>
        <v/>
      </c>
      <c r="E19" s="767"/>
      <c r="F19" s="17" t="str">
        <f t="shared" si="2"/>
        <v/>
      </c>
      <c r="G19" s="768" t="str">
        <f>IF(D19="","",MAX(0,G18-IF(inc="n/a",999,inc),MAX(IF(G18&lt;=Hta_1,0,Hta_1),IF(G18&lt;=Hta_2,0,Hta_2),IF(G18&lt;=Hta_3,0,Hta_3),IF(G18&lt;=Hta_4,0,Hta_4),IF(G18&lt;=Hta_5,0,Hta_5),IF(G18&lt;=Hta_6,0,Hta_6),IF(G18&lt;=Hta_7,0,Hta_7),IF(G18&lt;=Hta_8,0,Hta_8),IF(G18&lt;=Hta_9,0,Hta_9),IF(G18&lt;=Hta_10,0,Hta_10),IF(G18&lt;=Hta_11,0,Hta_11),IF(G18&lt;=Hta_12,0,Hta_12),IF(G18&lt;=Hta_13,0,Hta_13),IF(G18&lt;=Hta_14,0,Hta_14),IF(G18&lt;=Hta_15,0,Hta_15),IF(G18&lt;=Hta_16,0,Hta_16),IF(G18&lt;=Hta_17,0,Hta_17),IF(G18&lt;=Hta_18,0,Hta_18),IF(G18&lt;=Hta_19,0,Hta_19),IF(G18&lt;=Hta_20,0,Hta_20),IF(G18&lt;=Hta_21,0,Hta_21),IF(G18&lt;=Hta_22,0,Hta_22),IF(G18&lt;=Hta_23,0,Hta_23),IF(G18&lt;=Hta_24,0,Hta_24),IF(G18&lt;=Hta_25,0,Hta_25),IF(G18&lt;=Hta_26,0,Hta_26),IF(G18&lt;=Hta_27,0,Hta_27),IF(G18&lt;=Hta_28,0,Hta_28),IF(G18&lt;=Hta_29,0,Hta_29),IF(G18&lt;=Hta_30,0,Hta_30)),MAX(IF(G18&lt;=Hta_1-0.25,0,Hta_1-0.25),IF(G18&lt;=Hta_2-0.25,0,Hta_2-0.25),IF(G18&lt;=Hta_3-0.25,0,Hta_3-0.25),IF(G18&lt;=Hta_4-0.25,0,Hta_4-0.25),IF(G18&lt;=Hta_5-0.25,0,Hta_5-0.25),IF(G18&lt;=Hta_6-0.25,0,Hta_6-0.25),IF(G18&lt;=Hta_7-0.25,0,Hta_7-0.25),IF(G18&lt;=Hta_8-0.25,0,Hta_8-0.25),IF(G18&lt;=Hta_9-0.25,0,Hta_9-0.25),IF(G18&lt;=Hta_10-0.25,0,Hta_10-0.25),IF(G18&lt;=Hta_11-0.25,0,Hta_11-0.25),IF(G18&lt;=Hta_12-0.25,0,Hta_12-0.25),IF(G18&lt;=Hta_13-0.25,0,Hta_13-0.25),IF(G18&lt;=Hta_14-0.25,0,Hta_14-0.25),IF(G18&lt;=Hta_15-0.25,0,Hta_15-0.25),IF(G18&lt;=Hta_16-0.25,0,Hta_16-0.25),IF(G18&lt;=Hta_17-0.25,0,Hta_17-0.25),IF(G18&lt;=Hta_18-0.25,0,Hta_18-0.25),IF(G18&lt;=Hta_19-0.25,0,Hta_19-0.25),IF(G18&lt;=Hta_20-0.25,0,Hta_20-0.25),IF(G18&lt;=Hta_21-0.25,0,Hta_21-0.25),IF(G18&lt;=Hta_22-0.25,0,Hta_22-0.25),IF(G18&lt;=Hta_23-0.25,0,Hta_23-0.25),IF(G18&lt;=Hta_24-0.25,0,Hta_24-0.25),IF(G18&lt;=Hta_25-0.25,0,Hta_25-0.25),IF(G18&lt;=Hta_26-0.25,0,Hta_26-0.25),IF(G18&lt;=Hta_27-0.25,0,Hta_27-0.25),IF(G18&lt;=Hta_28-0.25,0,Hta_28-0.25),IF(G18&lt;=Hta_29-0.25,0,Hta_29-0.25),IF(G18&lt;=Hta_30-0.25,0,Hta_30-0.25)),MAX(IF(G18&lt;=Hba_1,0,Hba_1),IF(G18&lt;=Hba_2,0,Hba_2),IF(G18&lt;=Hba_3,0,Hba_3),IF(G18&lt;=Hba_4,0,Hba_4),IF(G18&lt;=Hba_5,0,Hba_5),IF(G18&lt;=Hba_6,0,Hba_6),IF(G18&lt;=Hba_7,0,Hba_7),IF(G18&lt;=Hba_8,0,Hba_8),IF(G18&lt;=Hba_9,0,Hba_9),IF(G18&lt;=Hba_10,0,Hba_10),IF(G18&lt;=Hba_11,0,Hba_11),IF(G18&lt;=Hba_12,0,Hba_12),IF(G18&lt;=Hba_13,0,Hba_13),IF(G18&lt;=Hba_14,0,Hba_14),IF(G18&lt;=Hba_15,0,Hba_15),IF(G18&lt;=Hba_16,0,Hba_16),IF(G18&lt;=Hba_17,0,Hba_17),IF(G18&lt;=Hba_18,0,Hba_18),IF(G18&lt;=Hba_19,0,Hba_19),IF(G18&lt;=Hba_20,0,Hba_20),IF(G18&lt;=Hba_21,0,Hba_21),IF(G18&lt;=Hba_22,0,Hba_22),IF(G18&lt;=Hba_23,0,Hba_23),IF(G18&lt;=Hba_24,0,Hba_24),IF(G18&lt;=Hba_25,0,Hba_25),IF(G18&lt;=Hba_26,0,Hba_26),IF(G18&lt;=Hba_27,0,Hba_27),IF(G18&lt;=Hba_28,0,Hba_28),IF(G18&lt;=Hba_29,0,Hba_29),IF(G18&lt;=Hba_30,0,Hba_30)),MAX(IF(G18&lt;=Input!$C$8,0,Input!$C$8),IF(G18&lt;=Input!$C$9,0,Input!$C$9),IF(G18&lt;=Input!$C$10,0,Input!$C$10),IF(G18&lt;=Input!$C$11,0,Input!$C$11),IF(G18&lt;=Input!$C$12,0,Input!$C$12),IF(G18&lt;=Input!$C$13,0,Input!$C$13),IF(G18&lt;=Input!$C$14,0,Input!$C$14),IF(G18&lt;=Input!$C$15,0,Input!$C$15),IF(G18&lt;=Input!$C$16,0,Input!$C$16)),MAX(IF(G18&lt;=Hba_1-0.25,0,Hba_1-0.25),IF(G18&lt;=Hba_2-0.25,0,Hba_2-0.25),IF(G18&lt;=Hba_3-0.25,0,Hba_3-0.25),IF(G18&lt;=Hba_4-0.25,0,Hba_4-0.25),IF(G18&lt;=Hba_5-0.25,0,Hba_5-0.25),IF(G18&lt;=Hba_6-0.25,0,Hba_6-0.25),IF(G18&lt;=Hba_7-0.25,0,Hba_7-0.25),IF(G18&lt;=Hba_8-0.25,0,Hba_8-0.25),IF(G18&lt;=Hba_9-0.25,0,Hba_9-0.25),IF(G18&lt;=Hba_10-0.25,0,Hba_10-0.25),IF(G18&lt;=Hba_11-0.25,0,Hba_11-0.25),IF(G18&lt;=Hba_12-0.25,0,Hba_12-0.25),IF(G18&lt;=Hba_13-0.25,0,Hba_13-0.25),IF(G18&lt;=Hba_14-0.25,0,Hba_14-0.25),IF(G18&lt;=Hba_15-0.25,0,Hba_15-0.25),IF(G18&lt;=Hba_16-0.25,0,Hba_16-0.25),IF(G18&lt;=Hba_17-0.25,0,Hba_17-0.25),IF(G18&lt;=Hba_18-0.25,0,Hba_18-0.25),IF(G18&lt;=Hba_19-0.25,0,Hba_19-0.25),IF(G18&lt;=Hba_20-0.25,0,Hba_20-0.25),IF(G18&lt;=Hba_21-0.25,0,Hba_21-0.25),IF(G18&lt;=Hba_22-0.25,0,Hba_22-0.25),IF(G18&lt;=Hba_23-0.25,0,Hba_23-0.25),IF(G18&lt;=Hba_24-0.25,0,Hba_24-0.25),IF(G18&lt;=Hba_25-0.25,0,Hba_25-0.25),IF(G18&lt;=Hba_26-0.25,0,Hba_26-0.25),IF(G18&lt;=Hba_27-0.25,0,Hba_27-0.25),IF(G18&lt;=Hba_28-0.25,0,Hba_28-0.25),IF(G18&lt;=Hba_29-0.25,0,Hba_29-0.25),IF(G18&lt;=Hba_30-0.25,0,Hba_30-0.25)),IF(G18&lt;='Macro References'!$A$38,0,'Macro References'!$A$38)))</f>
        <v/>
      </c>
      <c r="H19" s="769"/>
      <c r="I19" s="228"/>
      <c r="J19" s="228"/>
      <c r="K19" s="228"/>
      <c r="L19" s="717" t="str">
        <f t="shared" si="0"/>
        <v/>
      </c>
      <c r="M19" s="717"/>
      <c r="N19" s="717"/>
      <c r="O19" s="717"/>
      <c r="P19" s="717" t="str">
        <f>IF(OR(G19=0,G19=""),"",IF(VLOOKUP(G19,'Geometry 2'!$C$4:$AI$14,1,TRUE)=VLOOKUP(G20,'Geometry 2'!$C$4:$AI$14,1,TRUE),"",IF(VLOOKUP(G19,'Geometry 2'!$C$4:$AI$14,33,TRUE)&lt;&gt;"n/a",MIN(G19,VLOOKUP(G19,'Geometry 2'!$C$4:$AI$14,1,TRUE))-VLOOKUP(G19,'Geometry 2'!$C$4:$AI$14,33,TRUE),"check")))</f>
        <v/>
      </c>
      <c r="Q19" s="717"/>
      <c r="R19" s="717"/>
      <c r="S19" s="717"/>
      <c r="T19" s="717" t="str">
        <f>IF($G19="","",VLOOKUP($G19,'Geometry 2'!$E$4:$AH$14,11,TRUE))</f>
        <v/>
      </c>
      <c r="U19" s="717"/>
      <c r="V19" s="717"/>
      <c r="W19" s="717"/>
      <c r="X19" s="716" t="str">
        <f>IF($G19="","",VLOOKUP($G19,'Geometry 2'!$E$4:$AJ$14,19,TRUE)-12*VLOOKUP($G19,'Geometry 2'!$E$4:$AJ$14,32,TRUE)*($D19-VLOOKUP($G19,'Geometry 2'!$E$5:$AH$14,1,TRUE)))</f>
        <v/>
      </c>
      <c r="Y19" s="716"/>
      <c r="Z19" s="716"/>
      <c r="AA19" s="716"/>
      <c r="AB19" s="757" t="str">
        <f>IF($G19="","",VLOOKUP($G19,'Geometry 2'!$E$4:$AJ$14,19,TRUE)-12*VLOOKUP($G19,'Geometry 2'!$E$4:$AJ$14,32,TRUE)*($G19-VLOOKUP($G19,'Geometry 2'!$E$5:$AH$14,1,TRUE)))</f>
        <v/>
      </c>
      <c r="AC19" s="758"/>
      <c r="AD19" s="758"/>
      <c r="AE19" s="759"/>
      <c r="AF19" s="716" t="str">
        <f>IF($G19="","",VLOOKUP($G19,'Geometry 2'!$E$4:$AJ$14,19,TRUE)-12*VLOOKUP($G19,'Geometry 2'!$E$4:$AJ$14,32,TRUE)*($G19-IF($P19="",0,$P19)-VLOOKUP($G19,'Geometry 2'!$E$5:$AH$14,1,TRUE)))</f>
        <v/>
      </c>
      <c r="AG19" s="716"/>
      <c r="AH19" s="716"/>
      <c r="AI19" s="716"/>
      <c r="AJ19" s="746" t="str">
        <f>IF($G19="","",VLOOKUP($G19,'Geometry 2'!$E$4:$AH$14,23,TRUE))</f>
        <v/>
      </c>
      <c r="AK19" s="747"/>
      <c r="AL19" s="747"/>
      <c r="AM19" s="748"/>
      <c r="AN19" s="717"/>
      <c r="AO19" s="717"/>
      <c r="AP19" s="717"/>
      <c r="AQ19" s="717"/>
      <c r="AR19" s="717" t="str">
        <f>IF($G19="","",VLOOKUP($G19,'Geometry 2'!$E$4:$AH$14,27,TRUE))</f>
        <v/>
      </c>
      <c r="AS19" s="717"/>
      <c r="AT19" s="717"/>
      <c r="AU19" s="718"/>
      <c r="AV19" s="715"/>
      <c r="AW19" s="716"/>
      <c r="AX19" s="716"/>
      <c r="AZ19" s="722" t="str">
        <f t="shared" si="5"/>
        <v/>
      </c>
      <c r="BA19" s="723"/>
      <c r="BB19" s="723"/>
      <c r="BC19" s="724"/>
      <c r="BD19" s="722"/>
      <c r="BE19" s="723"/>
      <c r="BF19" s="723"/>
      <c r="BG19" s="722" t="str">
        <f t="shared" si="1"/>
        <v/>
      </c>
      <c r="BH19" s="723"/>
      <c r="BI19" s="723"/>
      <c r="BJ19" s="723"/>
      <c r="BK19" s="724"/>
      <c r="BL19" s="722"/>
      <c r="BM19" s="723"/>
      <c r="BN19" s="723"/>
      <c r="BO19" s="723"/>
      <c r="BP19" s="725"/>
      <c r="BQ19" s="725"/>
      <c r="BR19" s="722" t="str">
        <f>IF(BP19="","",IF(OR(AND(Rev="H",Calculations!$F$27=TRUE),AND(Rev&lt;&gt;"H",Calculations!$F$30=TRUE)),IF(BP19&lt;=1,"Pass","Fail"),IF(BP19&lt;=1.05,"Pass","Fail")))</f>
        <v/>
      </c>
      <c r="BS19" s="723"/>
      <c r="BT19" s="724"/>
      <c r="BU19" s="49"/>
      <c r="BV19" s="25" t="str">
        <f>IFERROR(CONCATENATE(IF(AND($G19&lt;Hta_1,$G19&gt;=Hba_1,Input!U$21&lt;&gt;""),Input!$B$21&amp;";",""),IF(AND($G19&lt;Hta_2,$G19&gt;=Hba_2,Input!U$22&lt;&gt;""),Input!$B$22&amp;";",""),IF(AND($G19&lt;Hta_3,$G19&gt;=Hba_3,Input!U$23&lt;&gt;""),Input!$B$23&amp;";",""),IF(AND($G19&lt;Hta_4,$G19&gt;=Hba_4,Input!U$24&lt;&gt;""),Input!$B$24&amp;";",""),IF(AND($G19&lt;Hta_5,$G19&gt;=Hba_5,Input!U$25&lt;&gt;""),Input!$B$25&amp;";",""),IF(AND($G19&lt;Hta_6,$G19&gt;=Hba_6,Input!U$26&lt;&gt;""),Input!$B$26&amp;";",""),IF(AND($G19&lt;Hta_7,$G19&gt;=Hba_7,Input!U$27&lt;&gt;""),Input!$B$27&amp;";",""),IF(AND($G19&lt;Hta_8,$G19&gt;=Hba_8,Input!U$28&lt;&gt;""),Input!$B$28&amp;";",""),IF(AND($G19&lt;Hta_9,$G19&gt;=Hba_9,Input!U$29&lt;&gt;""),Input!$B$29&amp;";",""),IF(AND($G19&lt;Hta_10,$G19&gt;=Hba_10,Input!U$30&lt;&gt;""),Input!$B$30&amp;";",""),IF(AND($G19&lt;Hta_11,$G19&gt;=Hba_11,Input!U$31&lt;&gt;""),Input!$B$31&amp;";",""),IF(AND($G19&lt;Hta_12,$G19&gt;=Hba_12,Input!U$32&lt;&gt;""),Input!$B$32&amp;";",""),IF(AND($G19&lt;Hta_13,$G19&gt;=Hba_13,Input!U$33&lt;&gt;""),Input!$B$33&amp;";",""),IF(AND($G19&lt;Hta_14,$G19&gt;=Hba_14,Input!U$34&lt;&gt;""),Input!$B$34&amp;";",""),IF(AND($G19&lt;Hta_15,$G19&gt;=Hba_15,Input!U$35&lt;&gt;""),Input!$B$35&amp;";",""),IF(AND($G19&lt;Hta_16,$G19&gt;=Hba_16,Input!U$36&lt;&gt;""),Input!$B$36&amp;";",""),IF(AND($G19&lt;Hta_17,$G19&gt;=Hba_17,Input!U$37&lt;&gt;""),Input!$B$37&amp;";",""),IF(AND($G19&lt;Hta_18,$G19&gt;=Hba_18,Input!U$38&lt;&gt;""),Input!$B$38&amp;";",""),IF(AND($G19&lt;Hta_19,$G19&gt;=Hba_19,Input!U$39&lt;&gt;""),Input!$B$39&amp;";",""),IF(AND($G19&lt;Hta_20,$G19&gt;=Hba_20,Input!U$40&lt;&gt;""),Input!$B$40&amp;";",""),IF(AND($G19&lt;Hta_21,$G19&gt;=Hba_21,Input!U$41&lt;&gt;""),Input!$B$41&amp;";",""),IF(AND($G19&lt;Hta_22,$G19&gt;=Hba_22,Input!U$42&lt;&gt;""),Input!$B$42&amp;";",""),IF(AND($G19&lt;Hta_23,$G19&gt;=Hba_23,Input!U$43&lt;&gt;""),Input!$B$43&amp;";",""),IF(AND($G19&lt;Hta_24,$G19&gt;=Hba_24,Input!U$44&lt;&gt;""),Input!$B$44&amp;";",""),IF(AND($G19&lt;Hta_25,$G19&gt;=Hba_25,Input!U$45&lt;&gt;""),Input!$B$45&amp;";",""),IF(AND($G19&lt;Hta_26,$G19&gt;=Hba_26,Input!U$46&lt;&gt;""),Input!$B$46&amp;";",""),IF(AND($G19&lt;Hta_27,$G19&gt;=Hba_27,Input!U$47&lt;&gt;""),Input!$B$47&amp;";",""),IF(AND($G19&lt;Hta_28,$G19&gt;=Hba_28,Input!U$48&lt;&gt;""),Input!$B$48&amp;";",""),IF(AND($G19&lt;Hta_29,$G19&gt;=Hba_29,Input!U$49&lt;&gt;""),Input!$B$49&amp;";",""),IF(AND($G19&lt;Hta_30,$G19&gt;=Hba_30,Input!U$50&lt;&gt;""),Input!$B$50&amp;";","")),"")</f>
        <v/>
      </c>
      <c r="BW19" s="25" t="str">
        <f>IFERROR(CONCATENATE(IF(AND($G19&lt;Hta_1,$G19&gt;=Hba_1,Input!V$21&lt;&gt;""),Input!$B$21&amp;";",""),IF(AND($G19&lt;Hta_2,$G19&gt;=Hba_2,Input!V$22&lt;&gt;""),Input!$B$22&amp;";",""),IF(AND($G19&lt;Hta_3,$G19&gt;=Hba_3,Input!V$23&lt;&gt;""),Input!$B$23&amp;";",""),IF(AND($G19&lt;Hta_4,$G19&gt;=Hba_4,Input!V$24&lt;&gt;""),Input!$B$24&amp;";",""),IF(AND($G19&lt;Hta_5,$G19&gt;=Hba_5,Input!V$25&lt;&gt;""),Input!$B$25&amp;";",""),IF(AND($G19&lt;Hta_6,$G19&gt;=Hba_6,Input!V$26&lt;&gt;""),Input!$B$26&amp;";",""),IF(AND($G19&lt;Hta_7,$G19&gt;=Hba_7,Input!V$27&lt;&gt;""),Input!$B$27&amp;";",""),IF(AND($G19&lt;Hta_8,$G19&gt;=Hba_8,Input!V$28&lt;&gt;""),Input!$B$28&amp;";",""),IF(AND($G19&lt;Hta_9,$G19&gt;=Hba_9,Input!V$29&lt;&gt;""),Input!$B$29&amp;";",""),IF(AND($G19&lt;Hta_10,$G19&gt;=Hba_10,Input!V$30&lt;&gt;""),Input!$B$30&amp;";",""),IF(AND($G19&lt;Hta_11,$G19&gt;=Hba_11,Input!V$31&lt;&gt;""),Input!$B$31&amp;";",""),IF(AND($G19&lt;Hta_12,$G19&gt;=Hba_12,Input!V$32&lt;&gt;""),Input!$B$32&amp;";",""),IF(AND($G19&lt;Hta_13,$G19&gt;=Hba_13,Input!V$33&lt;&gt;""),Input!$B$33&amp;";",""),IF(AND($G19&lt;Hta_14,$G19&gt;=Hba_14,Input!V$34&lt;&gt;""),Input!$B$34&amp;";",""),IF(AND($G19&lt;Hta_15,$G19&gt;=Hba_15,Input!V$35&lt;&gt;""),Input!$B$35&amp;";",""),IF(AND($G19&lt;Hta_16,$G19&gt;=Hba_16,Input!V$36&lt;&gt;""),Input!$B$36&amp;";",""),IF(AND($G19&lt;Hta_17,$G19&gt;=Hba_17,Input!V$37&lt;&gt;""),Input!$B$37&amp;";",""),IF(AND($G19&lt;Hta_18,$G19&gt;=Hba_18,Input!V$38&lt;&gt;""),Input!$B$38&amp;";",""),IF(AND($G19&lt;Hta_19,$G19&gt;=Hba_19,Input!V$39&lt;&gt;""),Input!$B$39&amp;";",""),IF(AND($G19&lt;Hta_20,$G19&gt;=Hba_20,Input!V$40&lt;&gt;""),Input!$B$40&amp;";",""),IF(AND($G19&lt;Hta_21,$G19&gt;=Hba_21,Input!V$41&lt;&gt;""),Input!$B$41&amp;";",""),IF(AND($G19&lt;Hta_22,$G19&gt;=Hba_22,Input!V$42&lt;&gt;""),Input!$B$42&amp;";",""),IF(AND($G19&lt;Hta_23,$G19&gt;=Hba_23,Input!V$43&lt;&gt;""),Input!$B$43&amp;";",""),IF(AND($G19&lt;Hta_24,$G19&gt;=Hba_24,Input!V$44&lt;&gt;""),Input!$B$44&amp;";",""),IF(AND($G19&lt;Hta_25,$G19&gt;=Hba_25,Input!V$45&lt;&gt;""),Input!$B$45&amp;";",""),IF(AND($G19&lt;Hta_26,$G19&gt;=Hba_26,Input!V$46&lt;&gt;""),Input!$B$46&amp;";",""),IF(AND($G19&lt;Hta_27,$G19&gt;=Hba_27,Input!V$47&lt;&gt;""),Input!$B$47&amp;";",""),IF(AND($G19&lt;Hta_28,$G19&gt;=Hba_28,Input!V$48&lt;&gt;""),Input!$B$48&amp;";",""),IF(AND($G19&lt;Hta_29,$G19&gt;=Hba_29,Input!V$49&lt;&gt;""),Input!$B$49&amp;";",""),IF(AND($G19&lt;Hta_30,$G19&gt;=Hba_30,Input!V$50&lt;&gt;""),Input!$B$50&amp;";","")),"")</f>
        <v/>
      </c>
      <c r="BX19" s="25" t="str">
        <f>IFERROR(CONCATENATE(IF(AND($G19&lt;Hta_1,$G19&gt;=Hba_1,Input!W$21&lt;&gt;""),Input!$B$21&amp;";",""),IF(AND($G19&lt;Hta_2,$G19&gt;=Hba_2,Input!W$22&lt;&gt;""),Input!$B$22&amp;";",""),IF(AND($G19&lt;Hta_3,$G19&gt;=Hba_3,Input!W$23&lt;&gt;""),Input!$B$23&amp;";",""),IF(AND($G19&lt;Hta_4,$G19&gt;=Hba_4,Input!W$24&lt;&gt;""),Input!$B$24&amp;";",""),IF(AND($G19&lt;Hta_5,$G19&gt;=Hba_5,Input!W$25&lt;&gt;""),Input!$B$25&amp;";",""),IF(AND($G19&lt;Hta_6,$G19&gt;=Hba_6,Input!W$26&lt;&gt;""),Input!$B$26&amp;";",""),IF(AND($G19&lt;Hta_7,$G19&gt;=Hba_7,Input!W$27&lt;&gt;""),Input!$B$27&amp;";",""),IF(AND($G19&lt;Hta_8,$G19&gt;=Hba_8,Input!W$28&lt;&gt;""),Input!$B$28&amp;";",""),IF(AND($G19&lt;Hta_9,$G19&gt;=Hba_9,Input!W$29&lt;&gt;""),Input!$B$29&amp;";",""),IF(AND($G19&lt;Hta_10,$G19&gt;=Hba_10,Input!W$30&lt;&gt;""),Input!$B$30&amp;";",""),IF(AND($G19&lt;Hta_11,$G19&gt;=Hba_11,Input!W$31&lt;&gt;""),Input!$B$31&amp;";",""),IF(AND($G19&lt;Hta_12,$G19&gt;=Hba_12,Input!W$32&lt;&gt;""),Input!$B$32&amp;";",""),IF(AND($G19&lt;Hta_13,$G19&gt;=Hba_13,Input!W$33&lt;&gt;""),Input!$B$33&amp;";",""),IF(AND($G19&lt;Hta_14,$G19&gt;=Hba_14,Input!W$34&lt;&gt;""),Input!$B$34&amp;";",""),IF(AND($G19&lt;Hta_15,$G19&gt;=Hba_15,Input!W$35&lt;&gt;""),Input!$B$35&amp;";",""),IF(AND($G19&lt;Hta_16,$G19&gt;=Hba_16,Input!W$36&lt;&gt;""),Input!$B$36&amp;";",""),IF(AND($G19&lt;Hta_17,$G19&gt;=Hba_17,Input!W$37&lt;&gt;""),Input!$B$37&amp;";",""),IF(AND($G19&lt;Hta_18,$G19&gt;=Hba_18,Input!W$38&lt;&gt;""),Input!$B$38&amp;";",""),IF(AND($G19&lt;Hta_19,$G19&gt;=Hba_19,Input!W$39&lt;&gt;""),Input!$B$39&amp;";",""),IF(AND($G19&lt;Hta_20,$G19&gt;=Hba_20,Input!W$40&lt;&gt;""),Input!$B$40&amp;";",""),IF(AND($G19&lt;Hta_21,$G19&gt;=Hba_21,Input!W$41&lt;&gt;""),Input!$B$41&amp;";",""),IF(AND($G19&lt;Hta_22,$G19&gt;=Hba_22,Input!W$42&lt;&gt;""),Input!$B$42&amp;";",""),IF(AND($G19&lt;Hta_23,$G19&gt;=Hba_23,Input!W$43&lt;&gt;""),Input!$B$43&amp;";",""),IF(AND($G19&lt;Hta_24,$G19&gt;=Hba_24,Input!W$44&lt;&gt;""),Input!$B$44&amp;";",""),IF(AND($G19&lt;Hta_25,$G19&gt;=Hba_25,Input!W$45&lt;&gt;""),Input!$B$45&amp;";",""),IF(AND($G19&lt;Hta_26,$G19&gt;=Hba_26,Input!W$46&lt;&gt;""),Input!$B$46&amp;";",""),IF(AND($G19&lt;Hta_27,$G19&gt;=Hba_27,Input!W$47&lt;&gt;""),Input!$B$47&amp;";",""),IF(AND($G19&lt;Hta_28,$G19&gt;=Hba_28,Input!W$48&lt;&gt;""),Input!$B$48&amp;";",""),IF(AND($G19&lt;Hta_29,$G19&gt;=Hba_29,Input!W$49&lt;&gt;""),Input!$B$49&amp;";",""),IF(AND($G19&lt;Hta_30,$G19&gt;=Hba_30,Input!W$50&lt;&gt;""),Input!$B$50&amp;";","")),"")</f>
        <v/>
      </c>
      <c r="BY19" s="25" t="str">
        <f>IFERROR(CONCATENATE(IF(AND($G19&lt;Hta_1,$G19&gt;=Hba_1,Input!X$21&lt;&gt;""),Input!$B$21&amp;";",""),IF(AND($G19&lt;Hta_2,$G19&gt;=Hba_2,Input!X$22&lt;&gt;""),Input!$B$22&amp;";",""),IF(AND($G19&lt;Hta_3,$G19&gt;=Hba_3,Input!X$23&lt;&gt;""),Input!$B$23&amp;";",""),IF(AND($G19&lt;Hta_4,$G19&gt;=Hba_4,Input!X$24&lt;&gt;""),Input!$B$24&amp;";",""),IF(AND($G19&lt;Hta_5,$G19&gt;=Hba_5,Input!X$25&lt;&gt;""),Input!$B$25&amp;";",""),IF(AND($G19&lt;Hta_6,$G19&gt;=Hba_6,Input!X$26&lt;&gt;""),Input!$B$26&amp;";",""),IF(AND($G19&lt;Hta_7,$G19&gt;=Hba_7,Input!X$27&lt;&gt;""),Input!$B$27&amp;";",""),IF(AND($G19&lt;Hta_8,$G19&gt;=Hba_8,Input!X$28&lt;&gt;""),Input!$B$28&amp;";",""),IF(AND($G19&lt;Hta_9,$G19&gt;=Hba_9,Input!X$29&lt;&gt;""),Input!$B$29&amp;";",""),IF(AND($G19&lt;Hta_10,$G19&gt;=Hba_10,Input!X$30&lt;&gt;""),Input!$B$30&amp;";",""),IF(AND($G19&lt;Hta_11,$G19&gt;=Hba_11,Input!X$31&lt;&gt;""),Input!$B$31&amp;";",""),IF(AND($G19&lt;Hta_12,$G19&gt;=Hba_12,Input!X$32&lt;&gt;""),Input!$B$32&amp;";",""),IF(AND($G19&lt;Hta_13,$G19&gt;=Hba_13,Input!X$33&lt;&gt;""),Input!$B$33&amp;";",""),IF(AND($G19&lt;Hta_14,$G19&gt;=Hba_14,Input!X$34&lt;&gt;""),Input!$B$34&amp;";",""),IF(AND($G19&lt;Hta_15,$G19&gt;=Hba_15,Input!X$35&lt;&gt;""),Input!$B$35&amp;";",""),IF(AND($G19&lt;Hta_16,$G19&gt;=Hba_16,Input!X$36&lt;&gt;""),Input!$B$36&amp;";",""),IF(AND($G19&lt;Hta_17,$G19&gt;=Hba_17,Input!X$37&lt;&gt;""),Input!$B$37&amp;";",""),IF(AND($G19&lt;Hta_18,$G19&gt;=Hba_18,Input!X$38&lt;&gt;""),Input!$B$38&amp;";",""),IF(AND($G19&lt;Hta_19,$G19&gt;=Hba_19,Input!X$39&lt;&gt;""),Input!$B$39&amp;";",""),IF(AND($G19&lt;Hta_20,$G19&gt;=Hba_20,Input!X$40&lt;&gt;""),Input!$B$40&amp;";",""),IF(AND($G19&lt;Hta_21,$G19&gt;=Hba_21,Input!X$41&lt;&gt;""),Input!$B$41&amp;";",""),IF(AND($G19&lt;Hta_22,$G19&gt;=Hba_22,Input!X$42&lt;&gt;""),Input!$B$42&amp;";",""),IF(AND($G19&lt;Hta_23,$G19&gt;=Hba_23,Input!X$43&lt;&gt;""),Input!$B$43&amp;";",""),IF(AND($G19&lt;Hta_24,$G19&gt;=Hba_24,Input!X$44&lt;&gt;""),Input!$B$44&amp;";",""),IF(AND($G19&lt;Hta_25,$G19&gt;=Hba_25,Input!X$45&lt;&gt;""),Input!$B$45&amp;";",""),IF(AND($G19&lt;Hta_26,$G19&gt;=Hba_26,Input!X$46&lt;&gt;""),Input!$B$46&amp;";",""),IF(AND($G19&lt;Hta_27,$G19&gt;=Hba_27,Input!X$47&lt;&gt;""),Input!$B$47&amp;";",""),IF(AND($G19&lt;Hta_28,$G19&gt;=Hba_28,Input!X$48&lt;&gt;""),Input!$B$48&amp;";",""),IF(AND($G19&lt;Hta_29,$G19&gt;=Hba_29,Input!X$49&lt;&gt;""),Input!$B$49&amp;";",""),IF(AND($G19&lt;Hta_30,$G19&gt;=Hba_30,Input!X$50&lt;&gt;""),Input!$B$50&amp;";","")),"")</f>
        <v/>
      </c>
      <c r="BZ19" s="25" t="str">
        <f>IFERROR(CONCATENATE(IF(AND($G19&lt;Hta_1,$G19&gt;=Hba_1,Input!Y$21&lt;&gt;""),Input!$B$21&amp;";",""),IF(AND($G19&lt;Hta_2,$G19&gt;=Hba_2,Input!Y$22&lt;&gt;""),Input!$B$22&amp;";",""),IF(AND($G19&lt;Hta_3,$G19&gt;=Hba_3,Input!Y$23&lt;&gt;""),Input!$B$23&amp;";",""),IF(AND($G19&lt;Hta_4,$G19&gt;=Hba_4,Input!Y$24&lt;&gt;""),Input!$B$24&amp;";",""),IF(AND($G19&lt;Hta_5,$G19&gt;=Hba_5,Input!Y$25&lt;&gt;""),Input!$B$25&amp;";",""),IF(AND($G19&lt;Hta_6,$G19&gt;=Hba_6,Input!Y$26&lt;&gt;""),Input!$B$26&amp;";",""),IF(AND($G19&lt;Hta_7,$G19&gt;=Hba_7,Input!Y$27&lt;&gt;""),Input!$B$27&amp;";",""),IF(AND($G19&lt;Hta_8,$G19&gt;=Hba_8,Input!Y$28&lt;&gt;""),Input!$B$28&amp;";",""),IF(AND($G19&lt;Hta_9,$G19&gt;=Hba_9,Input!Y$29&lt;&gt;""),Input!$B$29&amp;";",""),IF(AND($G19&lt;Hta_10,$G19&gt;=Hba_10,Input!Y$30&lt;&gt;""),Input!$B$30&amp;";",""),IF(AND($G19&lt;Hta_11,$G19&gt;=Hba_11,Input!Y$31&lt;&gt;""),Input!$B$31&amp;";",""),IF(AND($G19&lt;Hta_12,$G19&gt;=Hba_12,Input!Y$32&lt;&gt;""),Input!$B$32&amp;";",""),IF(AND($G19&lt;Hta_13,$G19&gt;=Hba_13,Input!Y$33&lt;&gt;""),Input!$B$33&amp;";",""),IF(AND($G19&lt;Hta_14,$G19&gt;=Hba_14,Input!Y$34&lt;&gt;""),Input!$B$34&amp;";",""),IF(AND($G19&lt;Hta_15,$G19&gt;=Hba_15,Input!Y$35&lt;&gt;""),Input!$B$35&amp;";",""),IF(AND($G19&lt;Hta_16,$G19&gt;=Hba_16,Input!Y$36&lt;&gt;""),Input!$B$36&amp;";",""),IF(AND($G19&lt;Hta_17,$G19&gt;=Hba_17,Input!Y$37&lt;&gt;""),Input!$B$37&amp;";",""),IF(AND($G19&lt;Hta_18,$G19&gt;=Hba_18,Input!Y$38&lt;&gt;""),Input!$B$38&amp;";",""),IF(AND($G19&lt;Hta_19,$G19&gt;=Hba_19,Input!Y$39&lt;&gt;""),Input!$B$39&amp;";",""),IF(AND($G19&lt;Hta_20,$G19&gt;=Hba_20,Input!Y$40&lt;&gt;""),Input!$B$40&amp;";",""),IF(AND($G19&lt;Hta_21,$G19&gt;=Hba_21,Input!Y$41&lt;&gt;""),Input!$B$41&amp;";",""),IF(AND($G19&lt;Hta_22,$G19&gt;=Hba_22,Input!Y$42&lt;&gt;""),Input!$B$42&amp;";",""),IF(AND($G19&lt;Hta_23,$G19&gt;=Hba_23,Input!Y$43&lt;&gt;""),Input!$B$43&amp;";",""),IF(AND($G19&lt;Hta_24,$G19&gt;=Hba_24,Input!Y$44&lt;&gt;""),Input!$B$44&amp;";",""),IF(AND($G19&lt;Hta_25,$G19&gt;=Hba_25,Input!Y$45&lt;&gt;""),Input!$B$45&amp;";",""),IF(AND($G19&lt;Hta_26,$G19&gt;=Hba_26,Input!Y$46&lt;&gt;""),Input!$B$46&amp;";",""),IF(AND($G19&lt;Hta_27,$G19&gt;=Hba_27,Input!Y$47&lt;&gt;""),Input!$B$47&amp;";",""),IF(AND($G19&lt;Hta_28,$G19&gt;=Hba_28,Input!Y$48&lt;&gt;""),Input!$B$48&amp;";",""),IF(AND($G19&lt;Hta_29,$G19&gt;=Hba_29,Input!Y$49&lt;&gt;""),Input!$B$49&amp;";",""),IF(AND($G19&lt;Hta_30,$G19&gt;=Hba_30,Input!Y$50&lt;&gt;""),Input!$B$50&amp;";","")),"")</f>
        <v/>
      </c>
      <c r="CA19" s="25" t="str">
        <f>IFERROR(CONCATENATE(IF(AND($G19&lt;Hta_1,$G19&gt;=Hba_1,Input!Z$21&lt;&gt;""),Input!$B$21&amp;";",""),IF(AND($G19&lt;Hta_2,$G19&gt;=Hba_2,Input!Z$22&lt;&gt;""),Input!$B$22&amp;";",""),IF(AND($G19&lt;Hta_3,$G19&gt;=Hba_3,Input!Z$23&lt;&gt;""),Input!$B$23&amp;";",""),IF(AND($G19&lt;Hta_4,$G19&gt;=Hba_4,Input!Z$24&lt;&gt;""),Input!$B$24&amp;";",""),IF(AND($G19&lt;Hta_5,$G19&gt;=Hba_5,Input!Z$25&lt;&gt;""),Input!$B$25&amp;";",""),IF(AND($G19&lt;Hta_6,$G19&gt;=Hba_6,Input!Z$26&lt;&gt;""),Input!$B$26&amp;";",""),IF(AND($G19&lt;Hta_7,$G19&gt;=Hba_7,Input!Z$27&lt;&gt;""),Input!$B$27&amp;";",""),IF(AND($G19&lt;Hta_8,$G19&gt;=Hba_8,Input!Z$28&lt;&gt;""),Input!$B$28&amp;";",""),IF(AND($G19&lt;Hta_9,$G19&gt;=Hba_9,Input!Z$29&lt;&gt;""),Input!$B$29&amp;";",""),IF(AND($G19&lt;Hta_10,$G19&gt;=Hba_10,Input!Z$30&lt;&gt;""),Input!$B$30&amp;";",""),IF(AND($G19&lt;Hta_11,$G19&gt;=Hba_11,Input!Z$31&lt;&gt;""),Input!$B$31&amp;";",""),IF(AND($G19&lt;Hta_12,$G19&gt;=Hba_12,Input!Z$32&lt;&gt;""),Input!$B$32&amp;";",""),IF(AND($G19&lt;Hta_13,$G19&gt;=Hba_13,Input!Z$33&lt;&gt;""),Input!$B$33&amp;";",""),IF(AND($G19&lt;Hta_14,$G19&gt;=Hba_14,Input!Z$34&lt;&gt;""),Input!$B$34&amp;";",""),IF(AND($G19&lt;Hta_15,$G19&gt;=Hba_15,Input!Z$35&lt;&gt;""),Input!$B$35&amp;";",""),IF(AND($G19&lt;Hta_16,$G19&gt;=Hba_16,Input!Z$36&lt;&gt;""),Input!$B$36&amp;";",""),IF(AND($G19&lt;Hta_17,$G19&gt;=Hba_17,Input!Z$37&lt;&gt;""),Input!$B$37&amp;";",""),IF(AND($G19&lt;Hta_18,$G19&gt;=Hba_18,Input!Z$38&lt;&gt;""),Input!$B$38&amp;";",""),IF(AND($G19&lt;Hta_19,$G19&gt;=Hba_19,Input!Z$39&lt;&gt;""),Input!$B$39&amp;";",""),IF(AND($G19&lt;Hta_20,$G19&gt;=Hba_20,Input!Z$40&lt;&gt;""),Input!$B$40&amp;";",""),IF(AND($G19&lt;Hta_21,$G19&gt;=Hba_21,Input!Z$41&lt;&gt;""),Input!$B$41&amp;";",""),IF(AND($G19&lt;Hta_22,$G19&gt;=Hba_22,Input!Z$42&lt;&gt;""),Input!$B$42&amp;";",""),IF(AND($G19&lt;Hta_23,$G19&gt;=Hba_23,Input!Z$43&lt;&gt;""),Input!$B$43&amp;";",""),IF(AND($G19&lt;Hta_24,$G19&gt;=Hba_24,Input!Z$44&lt;&gt;""),Input!$B$44&amp;";",""),IF(AND($G19&lt;Hta_25,$G19&gt;=Hba_25,Input!Z$45&lt;&gt;""),Input!$B$45&amp;";",""),IF(AND($G19&lt;Hta_26,$G19&gt;=Hba_26,Input!Z$46&lt;&gt;""),Input!$B$46&amp;";",""),IF(AND($G19&lt;Hta_27,$G19&gt;=Hba_27,Input!Z$47&lt;&gt;""),Input!$B$47&amp;";",""),IF(AND($G19&lt;Hta_28,$G19&gt;=Hba_28,Input!Z$48&lt;&gt;""),Input!$B$48&amp;";",""),IF(AND($G19&lt;Hta_29,$G19&gt;=Hba_29,Input!Z$49&lt;&gt;""),Input!$B$49&amp;";",""),IF(AND($G19&lt;Hta_30,$G19&gt;=Hba_30,Input!Z$50&lt;&gt;""),Input!$B$50&amp;";","")),"")</f>
        <v/>
      </c>
      <c r="CB19" s="25" t="str">
        <f>IFERROR(CONCATENATE(IF(AND($G19&lt;Hta_1,$G19&gt;=Hba_1,Input!AA$21&lt;&gt;""),Input!$B$21&amp;";",""),IF(AND($G19&lt;Hta_2,$G19&gt;=Hba_2,Input!AA$22&lt;&gt;""),Input!$B$22&amp;";",""),IF(AND($G19&lt;Hta_3,$G19&gt;=Hba_3,Input!AA$23&lt;&gt;""),Input!$B$23&amp;";",""),IF(AND($G19&lt;Hta_4,$G19&gt;=Hba_4,Input!AA$24&lt;&gt;""),Input!$B$24&amp;";",""),IF(AND($G19&lt;Hta_5,$G19&gt;=Hba_5,Input!AA$25&lt;&gt;""),Input!$B$25&amp;";",""),IF(AND($G19&lt;Hta_6,$G19&gt;=Hba_6,Input!AA$26&lt;&gt;""),Input!$B$26&amp;";",""),IF(AND($G19&lt;Hta_7,$G19&gt;=Hba_7,Input!AA$27&lt;&gt;""),Input!$B$27&amp;";",""),IF(AND($G19&lt;Hta_8,$G19&gt;=Hba_8,Input!AA$28&lt;&gt;""),Input!$B$28&amp;";",""),IF(AND($G19&lt;Hta_9,$G19&gt;=Hba_9,Input!AA$29&lt;&gt;""),Input!$B$29&amp;";",""),IF(AND($G19&lt;Hta_10,$G19&gt;=Hba_10,Input!AA$30&lt;&gt;""),Input!$B$30&amp;";",""),IF(AND($G19&lt;Hta_11,$G19&gt;=Hba_11,Input!AA$31&lt;&gt;""),Input!$B$31&amp;";",""),IF(AND($G19&lt;Hta_12,$G19&gt;=Hba_12,Input!AA$32&lt;&gt;""),Input!$B$32&amp;";",""),IF(AND($G19&lt;Hta_13,$G19&gt;=Hba_13,Input!AA$33&lt;&gt;""),Input!$B$33&amp;";",""),IF(AND($G19&lt;Hta_14,$G19&gt;=Hba_14,Input!AA$34&lt;&gt;""),Input!$B$34&amp;";",""),IF(AND($G19&lt;Hta_15,$G19&gt;=Hba_15,Input!AA$35&lt;&gt;""),Input!$B$35&amp;";",""),IF(AND($G19&lt;Hta_16,$G19&gt;=Hba_16,Input!AA$36&lt;&gt;""),Input!$B$36&amp;";",""),IF(AND($G19&lt;Hta_17,$G19&gt;=Hba_17,Input!AA$37&lt;&gt;""),Input!$B$37&amp;";",""),IF(AND($G19&lt;Hta_18,$G19&gt;=Hba_18,Input!AA$38&lt;&gt;""),Input!$B$38&amp;";",""),IF(AND($G19&lt;Hta_19,$G19&gt;=Hba_19,Input!AA$39&lt;&gt;""),Input!$B$39&amp;";",""),IF(AND($G19&lt;Hta_20,$G19&gt;=Hba_20,Input!AA$40&lt;&gt;""),Input!$B$40&amp;";",""),IF(AND($G19&lt;Hta_21,$G19&gt;=Hba_21,Input!AA$41&lt;&gt;""),Input!$B$41&amp;";",""),IF(AND($G19&lt;Hta_22,$G19&gt;=Hba_22,Input!AA$42&lt;&gt;""),Input!$B$42&amp;";",""),IF(AND($G19&lt;Hta_23,$G19&gt;=Hba_23,Input!AA$43&lt;&gt;""),Input!$B$43&amp;";",""),IF(AND($G19&lt;Hta_24,$G19&gt;=Hba_24,Input!AA$44&lt;&gt;""),Input!$B$44&amp;";",""),IF(AND($G19&lt;Hta_25,$G19&gt;=Hba_25,Input!AA$45&lt;&gt;""),Input!$B$45&amp;";",""),IF(AND($G19&lt;Hta_26,$G19&gt;=Hba_26,Input!AA$46&lt;&gt;""),Input!$B$46&amp;";",""),IF(AND($G19&lt;Hta_27,$G19&gt;=Hba_27,Input!AA$47&lt;&gt;""),Input!$B$47&amp;";",""),IF(AND($G19&lt;Hta_28,$G19&gt;=Hba_28,Input!AA$48&lt;&gt;""),Input!$B$48&amp;";",""),IF(AND($G19&lt;Hta_29,$G19&gt;=Hba_29,Input!AA$49&lt;&gt;""),Input!$B$49&amp;";",""),IF(AND($G19&lt;Hta_30,$G19&gt;=Hba_30,Input!AA$50&lt;&gt;""),Input!$B$50&amp;";","")),"")</f>
        <v/>
      </c>
      <c r="CC19" s="25" t="str">
        <f>IFERROR(CONCATENATE(IF(AND($G19&lt;Hta_1,$G19&gt;=Hba_1,Input!AB$21&lt;&gt;""),Input!$B$21&amp;";",""),IF(AND($G19&lt;Hta_2,$G19&gt;=Hba_2,Input!AB$22&lt;&gt;""),Input!$B$22&amp;";",""),IF(AND($G19&lt;Hta_3,$G19&gt;=Hba_3,Input!AB$23&lt;&gt;""),Input!$B$23&amp;";",""),IF(AND($G19&lt;Hta_4,$G19&gt;=Hba_4,Input!AB$24&lt;&gt;""),Input!$B$24&amp;";",""),IF(AND($G19&lt;Hta_5,$G19&gt;=Hba_5,Input!AB$25&lt;&gt;""),Input!$B$25&amp;";",""),IF(AND($G19&lt;Hta_6,$G19&gt;=Hba_6,Input!AB$26&lt;&gt;""),Input!$B$26&amp;";",""),IF(AND($G19&lt;Hta_7,$G19&gt;=Hba_7,Input!AB$27&lt;&gt;""),Input!$B$27&amp;";",""),IF(AND($G19&lt;Hta_8,$G19&gt;=Hba_8,Input!AB$28&lt;&gt;""),Input!$B$28&amp;";",""),IF(AND($G19&lt;Hta_9,$G19&gt;=Hba_9,Input!AB$29&lt;&gt;""),Input!$B$29&amp;";",""),IF(AND($G19&lt;Hta_10,$G19&gt;=Hba_10,Input!AB$30&lt;&gt;""),Input!$B$30&amp;";",""),IF(AND($G19&lt;Hta_11,$G19&gt;=Hba_11,Input!AB$31&lt;&gt;""),Input!$B$31&amp;";",""),IF(AND($G19&lt;Hta_12,$G19&gt;=Hba_12,Input!AB$32&lt;&gt;""),Input!$B$32&amp;";",""),IF(AND($G19&lt;Hta_13,$G19&gt;=Hba_13,Input!AB$33&lt;&gt;""),Input!$B$33&amp;";",""),IF(AND($G19&lt;Hta_14,$G19&gt;=Hba_14,Input!AB$34&lt;&gt;""),Input!$B$34&amp;";",""),IF(AND($G19&lt;Hta_15,$G19&gt;=Hba_15,Input!AB$35&lt;&gt;""),Input!$B$35&amp;";",""),IF(AND($G19&lt;Hta_16,$G19&gt;=Hba_16,Input!AB$36&lt;&gt;""),Input!$B$36&amp;";",""),IF(AND($G19&lt;Hta_17,$G19&gt;=Hba_17,Input!AB$37&lt;&gt;""),Input!$B$37&amp;";",""),IF(AND($G19&lt;Hta_18,$G19&gt;=Hba_18,Input!AB$38&lt;&gt;""),Input!$B$38&amp;";",""),IF(AND($G19&lt;Hta_19,$G19&gt;=Hba_19,Input!AB$39&lt;&gt;""),Input!$B$39&amp;";",""),IF(AND($G19&lt;Hta_20,$G19&gt;=Hba_20,Input!AB$40&lt;&gt;""),Input!$B$40&amp;";",""),IF(AND($G19&lt;Hta_21,$G19&gt;=Hba_21,Input!AB$41&lt;&gt;""),Input!$B$41&amp;";",""),IF(AND($G19&lt;Hta_22,$G19&gt;=Hba_22,Input!AB$42&lt;&gt;""),Input!$B$42&amp;";",""),IF(AND($G19&lt;Hta_23,$G19&gt;=Hba_23,Input!AB$43&lt;&gt;""),Input!$B$43&amp;";",""),IF(AND($G19&lt;Hta_24,$G19&gt;=Hba_24,Input!AB$44&lt;&gt;""),Input!$B$44&amp;";",""),IF(AND($G19&lt;Hta_25,$G19&gt;=Hba_25,Input!AB$45&lt;&gt;""),Input!$B$45&amp;";",""),IF(AND($G19&lt;Hta_26,$G19&gt;=Hba_26,Input!AB$46&lt;&gt;""),Input!$B$46&amp;";",""),IF(AND($G19&lt;Hta_27,$G19&gt;=Hba_27,Input!AB$47&lt;&gt;""),Input!$B$47&amp;";",""),IF(AND($G19&lt;Hta_28,$G19&gt;=Hba_28,Input!AB$48&lt;&gt;""),Input!$B$48&amp;";",""),IF(AND($G19&lt;Hta_29,$G19&gt;=Hba_29,Input!AB$49&lt;&gt;""),Input!$B$49&amp;";",""),IF(AND($G19&lt;Hta_30,$G19&gt;=Hba_30,Input!AB$50&lt;&gt;""),Input!$B$50&amp;";","")),"")</f>
        <v/>
      </c>
      <c r="CD19" s="25" t="str">
        <f>IFERROR(CONCATENATE(IF(AND($G19&lt;Hta_1,$G19&gt;=Hba_1,Input!AC$21&lt;&gt;""),Input!$B$21&amp;";",""),IF(AND($G19&lt;Hta_2,$G19&gt;=Hba_2,Input!AC$22&lt;&gt;""),Input!$B$22&amp;";",""),IF(AND($G19&lt;Hta_3,$G19&gt;=Hba_3,Input!AC$23&lt;&gt;""),Input!$B$23&amp;";",""),IF(AND($G19&lt;Hta_4,$G19&gt;=Hba_4,Input!AC$24&lt;&gt;""),Input!$B$24&amp;";",""),IF(AND($G19&lt;Hta_5,$G19&gt;=Hba_5,Input!AC$25&lt;&gt;""),Input!$B$25&amp;";",""),IF(AND($G19&lt;Hta_6,$G19&gt;=Hba_6,Input!AC$26&lt;&gt;""),Input!$B$26&amp;";",""),IF(AND($G19&lt;Hta_7,$G19&gt;=Hba_7,Input!AC$27&lt;&gt;""),Input!$B$27&amp;";",""),IF(AND($G19&lt;Hta_8,$G19&gt;=Hba_8,Input!AC$28&lt;&gt;""),Input!$B$28&amp;";",""),IF(AND($G19&lt;Hta_9,$G19&gt;=Hba_9,Input!AC$29&lt;&gt;""),Input!$B$29&amp;";",""),IF(AND($G19&lt;Hta_10,$G19&gt;=Hba_10,Input!AC$30&lt;&gt;""),Input!$B$30&amp;";",""),IF(AND($G19&lt;Hta_11,$G19&gt;=Hba_11,Input!AC$31&lt;&gt;""),Input!$B$31&amp;";",""),IF(AND($G19&lt;Hta_12,$G19&gt;=Hba_12,Input!AC$32&lt;&gt;""),Input!$B$32&amp;";",""),IF(AND($G19&lt;Hta_13,$G19&gt;=Hba_13,Input!AC$33&lt;&gt;""),Input!$B$33&amp;";",""),IF(AND($G19&lt;Hta_14,$G19&gt;=Hba_14,Input!AC$34&lt;&gt;""),Input!$B$34&amp;";",""),IF(AND($G19&lt;Hta_15,$G19&gt;=Hba_15,Input!AC$35&lt;&gt;""),Input!$B$35&amp;";",""),IF(AND($G19&lt;Hta_16,$G19&gt;=Hba_16,Input!AC$36&lt;&gt;""),Input!$B$36&amp;";",""),IF(AND($G19&lt;Hta_17,$G19&gt;=Hba_17,Input!AC$37&lt;&gt;""),Input!$B$37&amp;";",""),IF(AND($G19&lt;Hta_18,$G19&gt;=Hba_18,Input!AC$38&lt;&gt;""),Input!$B$38&amp;";",""),IF(AND($G19&lt;Hta_19,$G19&gt;=Hba_19,Input!AC$39&lt;&gt;""),Input!$B$39&amp;";",""),IF(AND($G19&lt;Hta_20,$G19&gt;=Hba_20,Input!AC$40&lt;&gt;""),Input!$B$40&amp;";",""),IF(AND($G19&lt;Hta_21,$G19&gt;=Hba_21,Input!AC$41&lt;&gt;""),Input!$B$41&amp;";",""),IF(AND($G19&lt;Hta_22,$G19&gt;=Hba_22,Input!AC$42&lt;&gt;""),Input!$B$42&amp;";",""),IF(AND($G19&lt;Hta_23,$G19&gt;=Hba_23,Input!AC$43&lt;&gt;""),Input!$B$43&amp;";",""),IF(AND($G19&lt;Hta_24,$G19&gt;=Hba_24,Input!AC$44&lt;&gt;""),Input!$B$44&amp;";",""),IF(AND($G19&lt;Hta_25,$G19&gt;=Hba_25,Input!AC$45&lt;&gt;""),Input!$B$45&amp;";",""),IF(AND($G19&lt;Hta_26,$G19&gt;=Hba_26,Input!AC$46&lt;&gt;""),Input!$B$46&amp;";",""),IF(AND($G19&lt;Hta_27,$G19&gt;=Hba_27,Input!AC$47&lt;&gt;""),Input!$B$47&amp;";",""),IF(AND($G19&lt;Hta_28,$G19&gt;=Hba_28,Input!AC$48&lt;&gt;""),Input!$B$48&amp;";",""),IF(AND($G19&lt;Hta_29,$G19&gt;=Hba_29,Input!AC$49&lt;&gt;""),Input!$B$49&amp;";",""),IF(AND($G19&lt;Hta_30,$G19&gt;=Hba_30,Input!AC$50&lt;&gt;""),Input!$B$50&amp;";","")),"")</f>
        <v/>
      </c>
      <c r="CE19" s="25" t="str">
        <f>IFERROR(CONCATENATE(IF(AND($G19&lt;Hta_1,$G19&gt;=Hba_1,Input!AD$21&lt;&gt;""),Input!$B$21&amp;";",""),IF(AND($G19&lt;Hta_2,$G19&gt;=Hba_2,Input!AD$22&lt;&gt;""),Input!$B$22&amp;";",""),IF(AND($G19&lt;Hta_3,$G19&gt;=Hba_3,Input!AD$23&lt;&gt;""),Input!$B$23&amp;";",""),IF(AND($G19&lt;Hta_4,$G19&gt;=Hba_4,Input!AD$24&lt;&gt;""),Input!$B$24&amp;";",""),IF(AND($G19&lt;Hta_5,$G19&gt;=Hba_5,Input!AD$25&lt;&gt;""),Input!$B$25&amp;";",""),IF(AND($G19&lt;Hta_6,$G19&gt;=Hba_6,Input!AD$26&lt;&gt;""),Input!$B$26&amp;";",""),IF(AND($G19&lt;Hta_7,$G19&gt;=Hba_7,Input!AD$27&lt;&gt;""),Input!$B$27&amp;";",""),IF(AND($G19&lt;Hta_8,$G19&gt;=Hba_8,Input!AD$28&lt;&gt;""),Input!$B$28&amp;";",""),IF(AND($G19&lt;Hta_9,$G19&gt;=Hba_9,Input!AD$29&lt;&gt;""),Input!$B$29&amp;";",""),IF(AND($G19&lt;Hta_10,$G19&gt;=Hba_10,Input!AD$30&lt;&gt;""),Input!$B$30&amp;";",""),IF(AND($G19&lt;Hta_11,$G19&gt;=Hba_11,Input!AD$31&lt;&gt;""),Input!$B$31&amp;";",""),IF(AND($G19&lt;Hta_12,$G19&gt;=Hba_12,Input!AD$32&lt;&gt;""),Input!$B$32&amp;";",""),IF(AND($G19&lt;Hta_13,$G19&gt;=Hba_13,Input!AD$33&lt;&gt;""),Input!$B$33&amp;";",""),IF(AND($G19&lt;Hta_14,$G19&gt;=Hba_14,Input!AD$34&lt;&gt;""),Input!$B$34&amp;";",""),IF(AND($G19&lt;Hta_15,$G19&gt;=Hba_15,Input!AD$35&lt;&gt;""),Input!$B$35&amp;";",""),IF(AND($G19&lt;Hta_16,$G19&gt;=Hba_16,Input!AD$36&lt;&gt;""),Input!$B$36&amp;";",""),IF(AND($G19&lt;Hta_17,$G19&gt;=Hba_17,Input!AD$37&lt;&gt;""),Input!$B$37&amp;";",""),IF(AND($G19&lt;Hta_18,$G19&gt;=Hba_18,Input!AD$38&lt;&gt;""),Input!$B$38&amp;";",""),IF(AND($G19&lt;Hta_19,$G19&gt;=Hba_19,Input!AD$39&lt;&gt;""),Input!$B$39&amp;";",""),IF(AND($G19&lt;Hta_20,$G19&gt;=Hba_20,Input!AD$40&lt;&gt;""),Input!$B$40&amp;";",""),IF(AND($G19&lt;Hta_21,$G19&gt;=Hba_21,Input!AD$41&lt;&gt;""),Input!$B$41&amp;";",""),IF(AND($G19&lt;Hta_22,$G19&gt;=Hba_22,Input!AD$42&lt;&gt;""),Input!$B$42&amp;";",""),IF(AND($G19&lt;Hta_23,$G19&gt;=Hba_23,Input!AD$43&lt;&gt;""),Input!$B$43&amp;";",""),IF(AND($G19&lt;Hta_24,$G19&gt;=Hba_24,Input!AD$44&lt;&gt;""),Input!$B$44&amp;";",""),IF(AND($G19&lt;Hta_25,$G19&gt;=Hba_25,Input!AD$45&lt;&gt;""),Input!$B$45&amp;";",""),IF(AND($G19&lt;Hta_26,$G19&gt;=Hba_26,Input!AD$46&lt;&gt;""),Input!$B$46&amp;";",""),IF(AND($G19&lt;Hta_27,$G19&gt;=Hba_27,Input!AD$47&lt;&gt;""),Input!$B$47&amp;";",""),IF(AND($G19&lt;Hta_28,$G19&gt;=Hba_28,Input!AD$48&lt;&gt;""),Input!$B$48&amp;";",""),IF(AND($G19&lt;Hta_29,$G19&gt;=Hba_29,Input!AD$49&lt;&gt;""),Input!$B$49&amp;";",""),IF(AND($G19&lt;Hta_30,$G19&gt;=Hba_30,Input!AD$50&lt;&gt;""),Input!$B$50&amp;";","")),"")</f>
        <v/>
      </c>
      <c r="CF19" s="25" t="str">
        <f>IFERROR(CONCATENATE(IF(AND($G19&lt;Hta_1,$G19&gt;=Hba_1,Input!AE$21&lt;&gt;""),Input!$B$21&amp;";",""),IF(AND($G19&lt;Hta_2,$G19&gt;=Hba_2,Input!AE$22&lt;&gt;""),Input!$B$22&amp;";",""),IF(AND($G19&lt;Hta_3,$G19&gt;=Hba_3,Input!AE$23&lt;&gt;""),Input!$B$23&amp;";",""),IF(AND($G19&lt;Hta_4,$G19&gt;=Hba_4,Input!AE$24&lt;&gt;""),Input!$B$24&amp;";",""),IF(AND($G19&lt;Hta_5,$G19&gt;=Hba_5,Input!AE$25&lt;&gt;""),Input!$B$25&amp;";",""),IF(AND($G19&lt;Hta_6,$G19&gt;=Hba_6,Input!AE$26&lt;&gt;""),Input!$B$26&amp;";",""),IF(AND($G19&lt;Hta_7,$G19&gt;=Hba_7,Input!AE$27&lt;&gt;""),Input!$B$27&amp;";",""),IF(AND($G19&lt;Hta_8,$G19&gt;=Hba_8,Input!AE$28&lt;&gt;""),Input!$B$28&amp;";",""),IF(AND($G19&lt;Hta_9,$G19&gt;=Hba_9,Input!AE$29&lt;&gt;""),Input!$B$29&amp;";",""),IF(AND($G19&lt;Hta_10,$G19&gt;=Hba_10,Input!AE$30&lt;&gt;""),Input!$B$30&amp;";",""),IF(AND($G19&lt;Hta_11,$G19&gt;=Hba_11,Input!AE$31&lt;&gt;""),Input!$B$31&amp;";",""),IF(AND($G19&lt;Hta_12,$G19&gt;=Hba_12,Input!AE$32&lt;&gt;""),Input!$B$32&amp;";",""),IF(AND($G19&lt;Hta_13,$G19&gt;=Hba_13,Input!AE$33&lt;&gt;""),Input!$B$33&amp;";",""),IF(AND($G19&lt;Hta_14,$G19&gt;=Hba_14,Input!AE$34&lt;&gt;""),Input!$B$34&amp;";",""),IF(AND($G19&lt;Hta_15,$G19&gt;=Hba_15,Input!AE$35&lt;&gt;""),Input!$B$35&amp;";",""),IF(AND($G19&lt;Hta_16,$G19&gt;=Hba_16,Input!AE$36&lt;&gt;""),Input!$B$36&amp;";",""),IF(AND($G19&lt;Hta_17,$G19&gt;=Hba_17,Input!AE$37&lt;&gt;""),Input!$B$37&amp;";",""),IF(AND($G19&lt;Hta_18,$G19&gt;=Hba_18,Input!AE$38&lt;&gt;""),Input!$B$38&amp;";",""),IF(AND($G19&lt;Hta_19,$G19&gt;=Hba_19,Input!AE$39&lt;&gt;""),Input!$B$39&amp;";",""),IF(AND($G19&lt;Hta_20,$G19&gt;=Hba_20,Input!AE$40&lt;&gt;""),Input!$B$40&amp;";",""),IF(AND($G19&lt;Hta_21,$G19&gt;=Hba_21,Input!AE$41&lt;&gt;""),Input!$B$41&amp;";",""),IF(AND($G19&lt;Hta_22,$G19&gt;=Hba_22,Input!AE$42&lt;&gt;""),Input!$B$42&amp;";",""),IF(AND($G19&lt;Hta_23,$G19&gt;=Hba_23,Input!AE$43&lt;&gt;""),Input!$B$43&amp;";",""),IF(AND($G19&lt;Hta_24,$G19&gt;=Hba_24,Input!AE$44&lt;&gt;""),Input!$B$44&amp;";",""),IF(AND($G19&lt;Hta_25,$G19&gt;=Hba_25,Input!AE$45&lt;&gt;""),Input!$B$45&amp;";",""),IF(AND($G19&lt;Hta_26,$G19&gt;=Hba_26,Input!AE$46&lt;&gt;""),Input!$B$46&amp;";",""),IF(AND($G19&lt;Hta_27,$G19&gt;=Hba_27,Input!AE$47&lt;&gt;""),Input!$B$47&amp;";",""),IF(AND($G19&lt;Hta_28,$G19&gt;=Hba_28,Input!AE$48&lt;&gt;""),Input!$B$48&amp;";",""),IF(AND($G19&lt;Hta_29,$G19&gt;=Hba_29,Input!AE$49&lt;&gt;""),Input!$B$49&amp;";",""),IF(AND($G19&lt;Hta_30,$G19&gt;=Hba_30,Input!AE$50&lt;&gt;""),Input!$B$50&amp;";","")),"")</f>
        <v/>
      </c>
      <c r="CG19" s="25" t="str">
        <f>IFERROR(CONCATENATE(IF(AND($G19&lt;Hta_1,$G19&gt;=Hba_1,Input!AF$21&lt;&gt;""),Input!$B$21&amp;";",""),IF(AND($G19&lt;Hta_2,$G19&gt;=Hba_2,Input!AF$22&lt;&gt;""),Input!$B$22&amp;";",""),IF(AND($G19&lt;Hta_3,$G19&gt;=Hba_3,Input!AF$23&lt;&gt;""),Input!$B$23&amp;";",""),IF(AND($G19&lt;Hta_4,$G19&gt;=Hba_4,Input!AF$24&lt;&gt;""),Input!$B$24&amp;";",""),IF(AND($G19&lt;Hta_5,$G19&gt;=Hba_5,Input!AF$25&lt;&gt;""),Input!$B$25&amp;";",""),IF(AND($G19&lt;Hta_6,$G19&gt;=Hba_6,Input!AF$26&lt;&gt;""),Input!$B$26&amp;";",""),IF(AND($G19&lt;Hta_7,$G19&gt;=Hba_7,Input!AF$27&lt;&gt;""),Input!$B$27&amp;";",""),IF(AND($G19&lt;Hta_8,$G19&gt;=Hba_8,Input!AF$28&lt;&gt;""),Input!$B$28&amp;";",""),IF(AND($G19&lt;Hta_9,$G19&gt;=Hba_9,Input!AF$29&lt;&gt;""),Input!$B$29&amp;";",""),IF(AND($G19&lt;Hta_10,$G19&gt;=Hba_10,Input!AF$30&lt;&gt;""),Input!$B$30&amp;";",""),IF(AND($G19&lt;Hta_11,$G19&gt;=Hba_11,Input!AF$31&lt;&gt;""),Input!$B$31&amp;";",""),IF(AND($G19&lt;Hta_12,$G19&gt;=Hba_12,Input!AF$32&lt;&gt;""),Input!$B$32&amp;";",""),IF(AND($G19&lt;Hta_13,$G19&gt;=Hba_13,Input!AF$33&lt;&gt;""),Input!$B$33&amp;";",""),IF(AND($G19&lt;Hta_14,$G19&gt;=Hba_14,Input!AF$34&lt;&gt;""),Input!$B$34&amp;";",""),IF(AND($G19&lt;Hta_15,$G19&gt;=Hba_15,Input!AF$35&lt;&gt;""),Input!$B$35&amp;";",""),IF(AND($G19&lt;Hta_16,$G19&gt;=Hba_16,Input!AF$36&lt;&gt;""),Input!$B$36&amp;";",""),IF(AND($G19&lt;Hta_17,$G19&gt;=Hba_17,Input!AF$37&lt;&gt;""),Input!$B$37&amp;";",""),IF(AND($G19&lt;Hta_18,$G19&gt;=Hba_18,Input!AF$38&lt;&gt;""),Input!$B$38&amp;";",""),IF(AND($G19&lt;Hta_19,$G19&gt;=Hba_19,Input!AF$39&lt;&gt;""),Input!$B$39&amp;";",""),IF(AND($G19&lt;Hta_20,$G19&gt;=Hba_20,Input!AF$40&lt;&gt;""),Input!$B$40&amp;";",""),IF(AND($G19&lt;Hta_21,$G19&gt;=Hba_21,Input!AF$41&lt;&gt;""),Input!$B$41&amp;";",""),IF(AND($G19&lt;Hta_22,$G19&gt;=Hba_22,Input!AF$42&lt;&gt;""),Input!$B$42&amp;";",""),IF(AND($G19&lt;Hta_23,$G19&gt;=Hba_23,Input!AF$43&lt;&gt;""),Input!$B$43&amp;";",""),IF(AND($G19&lt;Hta_24,$G19&gt;=Hba_24,Input!AF$44&lt;&gt;""),Input!$B$44&amp;";",""),IF(AND($G19&lt;Hta_25,$G19&gt;=Hba_25,Input!AF$45&lt;&gt;""),Input!$B$45&amp;";",""),IF(AND($G19&lt;Hta_26,$G19&gt;=Hba_26,Input!AF$46&lt;&gt;""),Input!$B$46&amp;";",""),IF(AND($G19&lt;Hta_27,$G19&gt;=Hba_27,Input!AF$47&lt;&gt;""),Input!$B$47&amp;";",""),IF(AND($G19&lt;Hta_28,$G19&gt;=Hba_28,Input!AF$48&lt;&gt;""),Input!$B$48&amp;";",""),IF(AND($G19&lt;Hta_29,$G19&gt;=Hba_29,Input!AF$49&lt;&gt;""),Input!$B$49&amp;";",""),IF(AND($G19&lt;Hta_30,$G19&gt;=Hba_30,Input!AF$50&lt;&gt;""),Input!$B$50&amp;";","")),"")</f>
        <v/>
      </c>
      <c r="CH19" s="25" t="str">
        <f>IFERROR(CONCATENATE(IF(AND($G19&lt;Hta_1,$G19&gt;=Hba_1,Input!AG$21&lt;&gt;""),Input!$B$21&amp;";",""),IF(AND($G19&lt;Hta_2,$G19&gt;=Hba_2,Input!AG$22&lt;&gt;""),Input!$B$22&amp;";",""),IF(AND($G19&lt;Hta_3,$G19&gt;=Hba_3,Input!AG$23&lt;&gt;""),Input!$B$23&amp;";",""),IF(AND($G19&lt;Hta_4,$G19&gt;=Hba_4,Input!AG$24&lt;&gt;""),Input!$B$24&amp;";",""),IF(AND($G19&lt;Hta_5,$G19&gt;=Hba_5,Input!AG$25&lt;&gt;""),Input!$B$25&amp;";",""),IF(AND($G19&lt;Hta_6,$G19&gt;=Hba_6,Input!AG$26&lt;&gt;""),Input!$B$26&amp;";",""),IF(AND($G19&lt;Hta_7,$G19&gt;=Hba_7,Input!AG$27&lt;&gt;""),Input!$B$27&amp;";",""),IF(AND($G19&lt;Hta_8,$G19&gt;=Hba_8,Input!AG$28&lt;&gt;""),Input!$B$28&amp;";",""),IF(AND($G19&lt;Hta_9,$G19&gt;=Hba_9,Input!AG$29&lt;&gt;""),Input!$B$29&amp;";",""),IF(AND($G19&lt;Hta_10,$G19&gt;=Hba_10,Input!AG$30&lt;&gt;""),Input!$B$30&amp;";",""),IF(AND($G19&lt;Hta_11,$G19&gt;=Hba_11,Input!AG$31&lt;&gt;""),Input!$B$31&amp;";",""),IF(AND($G19&lt;Hta_12,$G19&gt;=Hba_12,Input!AG$32&lt;&gt;""),Input!$B$32&amp;";",""),IF(AND($G19&lt;Hta_13,$G19&gt;=Hba_13,Input!AG$33&lt;&gt;""),Input!$B$33&amp;";",""),IF(AND($G19&lt;Hta_14,$G19&gt;=Hba_14,Input!AG$34&lt;&gt;""),Input!$B$34&amp;";",""),IF(AND($G19&lt;Hta_15,$G19&gt;=Hba_15,Input!AG$35&lt;&gt;""),Input!$B$35&amp;";",""),IF(AND($G19&lt;Hta_16,$G19&gt;=Hba_16,Input!AG$36&lt;&gt;""),Input!$B$36&amp;";",""),IF(AND($G19&lt;Hta_17,$G19&gt;=Hba_17,Input!AG$37&lt;&gt;""),Input!$B$37&amp;";",""),IF(AND($G19&lt;Hta_18,$G19&gt;=Hba_18,Input!AG$38&lt;&gt;""),Input!$B$38&amp;";",""),IF(AND($G19&lt;Hta_19,$G19&gt;=Hba_19,Input!AG$39&lt;&gt;""),Input!$B$39&amp;";",""),IF(AND($G19&lt;Hta_20,$G19&gt;=Hba_20,Input!AG$40&lt;&gt;""),Input!$B$40&amp;";",""),IF(AND($G19&lt;Hta_21,$G19&gt;=Hba_21,Input!AG$41&lt;&gt;""),Input!$B$41&amp;";",""),IF(AND($G19&lt;Hta_22,$G19&gt;=Hba_22,Input!AG$42&lt;&gt;""),Input!$B$42&amp;";",""),IF(AND($G19&lt;Hta_23,$G19&gt;=Hba_23,Input!AG$43&lt;&gt;""),Input!$B$43&amp;";",""),IF(AND($G19&lt;Hta_24,$G19&gt;=Hba_24,Input!AG$44&lt;&gt;""),Input!$B$44&amp;";",""),IF(AND($G19&lt;Hta_25,$G19&gt;=Hba_25,Input!AG$45&lt;&gt;""),Input!$B$45&amp;";",""),IF(AND($G19&lt;Hta_26,$G19&gt;=Hba_26,Input!AG$46&lt;&gt;""),Input!$B$46&amp;";",""),IF(AND($G19&lt;Hta_27,$G19&gt;=Hba_27,Input!AG$47&lt;&gt;""),Input!$B$47&amp;";",""),IF(AND($G19&lt;Hta_28,$G19&gt;=Hba_28,Input!AG$48&lt;&gt;""),Input!$B$48&amp;";",""),IF(AND($G19&lt;Hta_29,$G19&gt;=Hba_29,Input!AG$49&lt;&gt;""),Input!$B$49&amp;";",""),IF(AND($G19&lt;Hta_30,$G19&gt;=Hba_30,Input!AG$50&lt;&gt;""),Input!$B$50&amp;";","")),"")</f>
        <v/>
      </c>
      <c r="CI19" s="25" t="str">
        <f>IFERROR(CONCATENATE(IF(AND($G19&lt;Hta_1,$G19&gt;=Hba_1,Input!AH$21&lt;&gt;""),Input!$B$21&amp;";",""),IF(AND($G19&lt;Hta_2,$G19&gt;=Hba_2,Input!AH$22&lt;&gt;""),Input!$B$22&amp;";",""),IF(AND($G19&lt;Hta_3,$G19&gt;=Hba_3,Input!AH$23&lt;&gt;""),Input!$B$23&amp;";",""),IF(AND($G19&lt;Hta_4,$G19&gt;=Hba_4,Input!AH$24&lt;&gt;""),Input!$B$24&amp;";",""),IF(AND($G19&lt;Hta_5,$G19&gt;=Hba_5,Input!AH$25&lt;&gt;""),Input!$B$25&amp;";",""),IF(AND($G19&lt;Hta_6,$G19&gt;=Hba_6,Input!AH$26&lt;&gt;""),Input!$B$26&amp;";",""),IF(AND($G19&lt;Hta_7,$G19&gt;=Hba_7,Input!AH$27&lt;&gt;""),Input!$B$27&amp;";",""),IF(AND($G19&lt;Hta_8,$G19&gt;=Hba_8,Input!AH$28&lt;&gt;""),Input!$B$28&amp;";",""),IF(AND($G19&lt;Hta_9,$G19&gt;=Hba_9,Input!AH$29&lt;&gt;""),Input!$B$29&amp;";",""),IF(AND($G19&lt;Hta_10,$G19&gt;=Hba_10,Input!AH$30&lt;&gt;""),Input!$B$30&amp;";",""),IF(AND($G19&lt;Hta_11,$G19&gt;=Hba_11,Input!AH$31&lt;&gt;""),Input!$B$31&amp;";",""),IF(AND($G19&lt;Hta_12,$G19&gt;=Hba_12,Input!AH$32&lt;&gt;""),Input!$B$32&amp;";",""),IF(AND($G19&lt;Hta_13,$G19&gt;=Hba_13,Input!AH$33&lt;&gt;""),Input!$B$33&amp;";",""),IF(AND($G19&lt;Hta_14,$G19&gt;=Hba_14,Input!AH$34&lt;&gt;""),Input!$B$34&amp;";",""),IF(AND($G19&lt;Hta_15,$G19&gt;=Hba_15,Input!AH$35&lt;&gt;""),Input!$B$35&amp;";",""),IF(AND($G19&lt;Hta_16,$G19&gt;=Hba_16,Input!AH$36&lt;&gt;""),Input!$B$36&amp;";",""),IF(AND($G19&lt;Hta_17,$G19&gt;=Hba_17,Input!AH$37&lt;&gt;""),Input!$B$37&amp;";",""),IF(AND($G19&lt;Hta_18,$G19&gt;=Hba_18,Input!AH$38&lt;&gt;""),Input!$B$38&amp;";",""),IF(AND($G19&lt;Hta_19,$G19&gt;=Hba_19,Input!AH$39&lt;&gt;""),Input!$B$39&amp;";",""),IF(AND($G19&lt;Hta_20,$G19&gt;=Hba_20,Input!AH$40&lt;&gt;""),Input!$B$40&amp;";",""),IF(AND($G19&lt;Hta_21,$G19&gt;=Hba_21,Input!AH$41&lt;&gt;""),Input!$B$41&amp;";",""),IF(AND($G19&lt;Hta_22,$G19&gt;=Hba_22,Input!AH$42&lt;&gt;""),Input!$B$42&amp;";",""),IF(AND($G19&lt;Hta_23,$G19&gt;=Hba_23,Input!AH$43&lt;&gt;""),Input!$B$43&amp;";",""),IF(AND($G19&lt;Hta_24,$G19&gt;=Hba_24,Input!AH$44&lt;&gt;""),Input!$B$44&amp;";",""),IF(AND($G19&lt;Hta_25,$G19&gt;=Hba_25,Input!AH$45&lt;&gt;""),Input!$B$45&amp;";",""),IF(AND($G19&lt;Hta_26,$G19&gt;=Hba_26,Input!AH$46&lt;&gt;""),Input!$B$46&amp;";",""),IF(AND($G19&lt;Hta_27,$G19&gt;=Hba_27,Input!AH$47&lt;&gt;""),Input!$B$47&amp;";",""),IF(AND($G19&lt;Hta_28,$G19&gt;=Hba_28,Input!AH$48&lt;&gt;""),Input!$B$48&amp;";",""),IF(AND($G19&lt;Hta_29,$G19&gt;=Hba_29,Input!AH$49&lt;&gt;""),Input!$B$49&amp;";",""),IF(AND($G19&lt;Hta_30,$G19&gt;=Hba_30,Input!AH$50&lt;&gt;""),Input!$B$50&amp;";","")),"")</f>
        <v/>
      </c>
      <c r="CJ19" s="25" t="str">
        <f>IFERROR(CONCATENATE(IF(AND($G19&lt;Hta_1,$G19&gt;=Hba_1,Input!AI$21&lt;&gt;""),Input!$B$21&amp;";",""),IF(AND($G19&lt;Hta_2,$G19&gt;=Hba_2,Input!AI$22&lt;&gt;""),Input!$B$22&amp;";",""),IF(AND($G19&lt;Hta_3,$G19&gt;=Hba_3,Input!AI$23&lt;&gt;""),Input!$B$23&amp;";",""),IF(AND($G19&lt;Hta_4,$G19&gt;=Hba_4,Input!AI$24&lt;&gt;""),Input!$B$24&amp;";",""),IF(AND($G19&lt;Hta_5,$G19&gt;=Hba_5,Input!AI$25&lt;&gt;""),Input!$B$25&amp;";",""),IF(AND($G19&lt;Hta_6,$G19&gt;=Hba_6,Input!AI$26&lt;&gt;""),Input!$B$26&amp;";",""),IF(AND($G19&lt;Hta_7,$G19&gt;=Hba_7,Input!AI$27&lt;&gt;""),Input!$B$27&amp;";",""),IF(AND($G19&lt;Hta_8,$G19&gt;=Hba_8,Input!AI$28&lt;&gt;""),Input!$B$28&amp;";",""),IF(AND($G19&lt;Hta_9,$G19&gt;=Hba_9,Input!AI$29&lt;&gt;""),Input!$B$29&amp;";",""),IF(AND($G19&lt;Hta_10,$G19&gt;=Hba_10,Input!AI$30&lt;&gt;""),Input!$B$30&amp;";",""),IF(AND($G19&lt;Hta_11,$G19&gt;=Hba_11,Input!AI$31&lt;&gt;""),Input!$B$31&amp;";",""),IF(AND($G19&lt;Hta_12,$G19&gt;=Hba_12,Input!AI$32&lt;&gt;""),Input!$B$32&amp;";",""),IF(AND($G19&lt;Hta_13,$G19&gt;=Hba_13,Input!AI$33&lt;&gt;""),Input!$B$33&amp;";",""),IF(AND($G19&lt;Hta_14,$G19&gt;=Hba_14,Input!AI$34&lt;&gt;""),Input!$B$34&amp;";",""),IF(AND($G19&lt;Hta_15,$G19&gt;=Hba_15,Input!AI$35&lt;&gt;""),Input!$B$35&amp;";",""),IF(AND($G19&lt;Hta_16,$G19&gt;=Hba_16,Input!AI$36&lt;&gt;""),Input!$B$36&amp;";",""),IF(AND($G19&lt;Hta_17,$G19&gt;=Hba_17,Input!AI$37&lt;&gt;""),Input!$B$37&amp;";",""),IF(AND($G19&lt;Hta_18,$G19&gt;=Hba_18,Input!AI$38&lt;&gt;""),Input!$B$38&amp;";",""),IF(AND($G19&lt;Hta_19,$G19&gt;=Hba_19,Input!AI$39&lt;&gt;""),Input!$B$39&amp;";",""),IF(AND($G19&lt;Hta_20,$G19&gt;=Hba_20,Input!AI$40&lt;&gt;""),Input!$B$40&amp;";",""),IF(AND($G19&lt;Hta_21,$G19&gt;=Hba_21,Input!AI$41&lt;&gt;""),Input!$B$41&amp;";",""),IF(AND($G19&lt;Hta_22,$G19&gt;=Hba_22,Input!AI$42&lt;&gt;""),Input!$B$42&amp;";",""),IF(AND($G19&lt;Hta_23,$G19&gt;=Hba_23,Input!AI$43&lt;&gt;""),Input!$B$43&amp;";",""),IF(AND($G19&lt;Hta_24,$G19&gt;=Hba_24,Input!AI$44&lt;&gt;""),Input!$B$44&amp;";",""),IF(AND($G19&lt;Hta_25,$G19&gt;=Hba_25,Input!AI$45&lt;&gt;""),Input!$B$45&amp;";",""),IF(AND($G19&lt;Hta_26,$G19&gt;=Hba_26,Input!AI$46&lt;&gt;""),Input!$B$46&amp;";",""),IF(AND($G19&lt;Hta_27,$G19&gt;=Hba_27,Input!AI$47&lt;&gt;""),Input!$B$47&amp;";",""),IF(AND($G19&lt;Hta_28,$G19&gt;=Hba_28,Input!AI$48&lt;&gt;""),Input!$B$48&amp;";",""),IF(AND($G19&lt;Hta_29,$G19&gt;=Hba_29,Input!AI$49&lt;&gt;""),Input!$B$49&amp;";",""),IF(AND($G19&lt;Hta_30,$G19&gt;=Hba_30,Input!AI$50&lt;&gt;""),Input!$B$50&amp;";","")),"")</f>
        <v/>
      </c>
      <c r="CK19" s="25" t="str">
        <f>IFERROR(CONCATENATE(IF(AND($G19&lt;Hta_1,$G19&gt;=Hba_1,Input!AJ$21&lt;&gt;""),Input!$B$21&amp;";",""),IF(AND($G19&lt;Hta_2,$G19&gt;=Hba_2,Input!AJ$22&lt;&gt;""),Input!$B$22&amp;";",""),IF(AND($G19&lt;Hta_3,$G19&gt;=Hba_3,Input!AJ$23&lt;&gt;""),Input!$B$23&amp;";",""),IF(AND($G19&lt;Hta_4,$G19&gt;=Hba_4,Input!AJ$24&lt;&gt;""),Input!$B$24&amp;";",""),IF(AND($G19&lt;Hta_5,$G19&gt;=Hba_5,Input!AJ$25&lt;&gt;""),Input!$B$25&amp;";",""),IF(AND($G19&lt;Hta_6,$G19&gt;=Hba_6,Input!AJ$26&lt;&gt;""),Input!$B$26&amp;";",""),IF(AND($G19&lt;Hta_7,$G19&gt;=Hba_7,Input!AJ$27&lt;&gt;""),Input!$B$27&amp;";",""),IF(AND($G19&lt;Hta_8,$G19&gt;=Hba_8,Input!AJ$28&lt;&gt;""),Input!$B$28&amp;";",""),IF(AND($G19&lt;Hta_9,$G19&gt;=Hba_9,Input!AJ$29&lt;&gt;""),Input!$B$29&amp;";",""),IF(AND($G19&lt;Hta_10,$G19&gt;=Hba_10,Input!AJ$30&lt;&gt;""),Input!$B$30&amp;";",""),IF(AND($G19&lt;Hta_11,$G19&gt;=Hba_11,Input!AJ$31&lt;&gt;""),Input!$B$31&amp;";",""),IF(AND($G19&lt;Hta_12,$G19&gt;=Hba_12,Input!AJ$32&lt;&gt;""),Input!$B$32&amp;";",""),IF(AND($G19&lt;Hta_13,$G19&gt;=Hba_13,Input!AJ$33&lt;&gt;""),Input!$B$33&amp;";",""),IF(AND($G19&lt;Hta_14,$G19&gt;=Hba_14,Input!AJ$34&lt;&gt;""),Input!$B$34&amp;";",""),IF(AND($G19&lt;Hta_15,$G19&gt;=Hba_15,Input!AJ$35&lt;&gt;""),Input!$B$35&amp;";",""),IF(AND($G19&lt;Hta_16,$G19&gt;=Hba_16,Input!AJ$36&lt;&gt;""),Input!$B$36&amp;";",""),IF(AND($G19&lt;Hta_17,$G19&gt;=Hba_17,Input!AJ$37&lt;&gt;""),Input!$B$37&amp;";",""),IF(AND($G19&lt;Hta_18,$G19&gt;=Hba_18,Input!AJ$38&lt;&gt;""),Input!$B$38&amp;";",""),IF(AND($G19&lt;Hta_19,$G19&gt;=Hba_19,Input!AJ$39&lt;&gt;""),Input!$B$39&amp;";",""),IF(AND($G19&lt;Hta_20,$G19&gt;=Hba_20,Input!AJ$40&lt;&gt;""),Input!$B$40&amp;";",""),IF(AND($G19&lt;Hta_21,$G19&gt;=Hba_21,Input!AJ$41&lt;&gt;""),Input!$B$41&amp;";",""),IF(AND($G19&lt;Hta_22,$G19&gt;=Hba_22,Input!AJ$42&lt;&gt;""),Input!$B$42&amp;";",""),IF(AND($G19&lt;Hta_23,$G19&gt;=Hba_23,Input!AJ$43&lt;&gt;""),Input!$B$43&amp;";",""),IF(AND($G19&lt;Hta_24,$G19&gt;=Hba_24,Input!AJ$44&lt;&gt;""),Input!$B$44&amp;";",""),IF(AND($G19&lt;Hta_25,$G19&gt;=Hba_25,Input!AJ$45&lt;&gt;""),Input!$B$45&amp;";",""),IF(AND($G19&lt;Hta_26,$G19&gt;=Hba_26,Input!AJ$46&lt;&gt;""),Input!$B$46&amp;";",""),IF(AND($G19&lt;Hta_27,$G19&gt;=Hba_27,Input!AJ$47&lt;&gt;""),Input!$B$47&amp;";",""),IF(AND($G19&lt;Hta_28,$G19&gt;=Hba_28,Input!AJ$48&lt;&gt;""),Input!$B$48&amp;";",""),IF(AND($G19&lt;Hta_29,$G19&gt;=Hba_29,Input!AJ$49&lt;&gt;""),Input!$B$49&amp;";",""),IF(AND($G19&lt;Hta_30,$G19&gt;=Hba_30,Input!AJ$50&lt;&gt;""),Input!$B$50&amp;";","")),"")</f>
        <v/>
      </c>
      <c r="CL19" s="25" t="str">
        <f>IFERROR(CONCATENATE(IF(AND($G19&lt;Hta_1,$G19&gt;=Hba_1,Input!AK$21&lt;&gt;""),Input!$B$21&amp;";",""),IF(AND($G19&lt;Hta_2,$G19&gt;=Hba_2,Input!AK$22&lt;&gt;""),Input!$B$22&amp;";",""),IF(AND($G19&lt;Hta_3,$G19&gt;=Hba_3,Input!AK$23&lt;&gt;""),Input!$B$23&amp;";",""),IF(AND($G19&lt;Hta_4,$G19&gt;=Hba_4,Input!AK$24&lt;&gt;""),Input!$B$24&amp;";",""),IF(AND($G19&lt;Hta_5,$G19&gt;=Hba_5,Input!AK$25&lt;&gt;""),Input!$B$25&amp;";",""),IF(AND($G19&lt;Hta_6,$G19&gt;=Hba_6,Input!AK$26&lt;&gt;""),Input!$B$26&amp;";",""),IF(AND($G19&lt;Hta_7,$G19&gt;=Hba_7,Input!AK$27&lt;&gt;""),Input!$B$27&amp;";",""),IF(AND($G19&lt;Hta_8,$G19&gt;=Hba_8,Input!AK$28&lt;&gt;""),Input!$B$28&amp;";",""),IF(AND($G19&lt;Hta_9,$G19&gt;=Hba_9,Input!AK$29&lt;&gt;""),Input!$B$29&amp;";",""),IF(AND($G19&lt;Hta_10,$G19&gt;=Hba_10,Input!AK$30&lt;&gt;""),Input!$B$30&amp;";",""),IF(AND($G19&lt;Hta_11,$G19&gt;=Hba_11,Input!AK$31&lt;&gt;""),Input!$B$31&amp;";",""),IF(AND($G19&lt;Hta_12,$G19&gt;=Hba_12,Input!AK$32&lt;&gt;""),Input!$B$32&amp;";",""),IF(AND($G19&lt;Hta_13,$G19&gt;=Hba_13,Input!AK$33&lt;&gt;""),Input!$B$33&amp;";",""),IF(AND($G19&lt;Hta_14,$G19&gt;=Hba_14,Input!AK$34&lt;&gt;""),Input!$B$34&amp;";",""),IF(AND($G19&lt;Hta_15,$G19&gt;=Hba_15,Input!AK$35&lt;&gt;""),Input!$B$35&amp;";",""),IF(AND($G19&lt;Hta_16,$G19&gt;=Hba_16,Input!AK$36&lt;&gt;""),Input!$B$36&amp;";",""),IF(AND($G19&lt;Hta_17,$G19&gt;=Hba_17,Input!AK$37&lt;&gt;""),Input!$B$37&amp;";",""),IF(AND($G19&lt;Hta_18,$G19&gt;=Hba_18,Input!AK$38&lt;&gt;""),Input!$B$38&amp;";",""),IF(AND($G19&lt;Hta_19,$G19&gt;=Hba_19,Input!AK$39&lt;&gt;""),Input!$B$39&amp;";",""),IF(AND($G19&lt;Hta_20,$G19&gt;=Hba_20,Input!AK$40&lt;&gt;""),Input!$B$40&amp;";",""),IF(AND($G19&lt;Hta_21,$G19&gt;=Hba_21,Input!AK$41&lt;&gt;""),Input!$B$41&amp;";",""),IF(AND($G19&lt;Hta_22,$G19&gt;=Hba_22,Input!AK$42&lt;&gt;""),Input!$B$42&amp;";",""),IF(AND($G19&lt;Hta_23,$G19&gt;=Hba_23,Input!AK$43&lt;&gt;""),Input!$B$43&amp;";",""),IF(AND($G19&lt;Hta_24,$G19&gt;=Hba_24,Input!AK$44&lt;&gt;""),Input!$B$44&amp;";",""),IF(AND($G19&lt;Hta_25,$G19&gt;=Hba_25,Input!AK$45&lt;&gt;""),Input!$B$45&amp;";",""),IF(AND($G19&lt;Hta_26,$G19&gt;=Hba_26,Input!AK$46&lt;&gt;""),Input!$B$46&amp;";",""),IF(AND($G19&lt;Hta_27,$G19&gt;=Hba_27,Input!AK$47&lt;&gt;""),Input!$B$47&amp;";",""),IF(AND($G19&lt;Hta_28,$G19&gt;=Hba_28,Input!AK$48&lt;&gt;""),Input!$B$48&amp;";",""),IF(AND($G19&lt;Hta_29,$G19&gt;=Hba_29,Input!AK$49&lt;&gt;""),Input!$B$49&amp;";",""),IF(AND($G19&lt;Hta_30,$G19&gt;=Hba_30,Input!AK$50&lt;&gt;""),Input!$B$50&amp;";","")),"")</f>
        <v/>
      </c>
      <c r="CM19" s="25" t="str">
        <f>IFERROR(CONCATENATE(IF(AND($G19&lt;Hta_1,$G19&gt;=Hba_1,Input!AL$21&lt;&gt;""),Input!$B$21&amp;";",""),IF(AND($G19&lt;Hta_2,$G19&gt;=Hba_2,Input!AL$22&lt;&gt;""),Input!$B$22&amp;";",""),IF(AND($G19&lt;Hta_3,$G19&gt;=Hba_3,Input!AL$23&lt;&gt;""),Input!$B$23&amp;";",""),IF(AND($G19&lt;Hta_4,$G19&gt;=Hba_4,Input!AL$24&lt;&gt;""),Input!$B$24&amp;";",""),IF(AND($G19&lt;Hta_5,$G19&gt;=Hba_5,Input!AL$25&lt;&gt;""),Input!$B$25&amp;";",""),IF(AND($G19&lt;Hta_6,$G19&gt;=Hba_6,Input!AL$26&lt;&gt;""),Input!$B$26&amp;";",""),IF(AND($G19&lt;Hta_7,$G19&gt;=Hba_7,Input!AL$27&lt;&gt;""),Input!$B$27&amp;";",""),IF(AND($G19&lt;Hta_8,$G19&gt;=Hba_8,Input!AL$28&lt;&gt;""),Input!$B$28&amp;";",""),IF(AND($G19&lt;Hta_9,$G19&gt;=Hba_9,Input!AL$29&lt;&gt;""),Input!$B$29&amp;";",""),IF(AND($G19&lt;Hta_10,$G19&gt;=Hba_10,Input!AL$30&lt;&gt;""),Input!$B$30&amp;";",""),IF(AND($G19&lt;Hta_11,$G19&gt;=Hba_11,Input!AL$31&lt;&gt;""),Input!$B$31&amp;";",""),IF(AND($G19&lt;Hta_12,$G19&gt;=Hba_12,Input!AL$32&lt;&gt;""),Input!$B$32&amp;";",""),IF(AND($G19&lt;Hta_13,$G19&gt;=Hba_13,Input!AL$33&lt;&gt;""),Input!$B$33&amp;";",""),IF(AND($G19&lt;Hta_14,$G19&gt;=Hba_14,Input!AL$34&lt;&gt;""),Input!$B$34&amp;";",""),IF(AND($G19&lt;Hta_15,$G19&gt;=Hba_15,Input!AL$35&lt;&gt;""),Input!$B$35&amp;";",""),IF(AND($G19&lt;Hta_16,$G19&gt;=Hba_16,Input!AL$36&lt;&gt;""),Input!$B$36&amp;";",""),IF(AND($G19&lt;Hta_17,$G19&gt;=Hba_17,Input!AL$37&lt;&gt;""),Input!$B$37&amp;";",""),IF(AND($G19&lt;Hta_18,$G19&gt;=Hba_18,Input!AL$38&lt;&gt;""),Input!$B$38&amp;";",""),IF(AND($G19&lt;Hta_19,$G19&gt;=Hba_19,Input!AL$39&lt;&gt;""),Input!$B$39&amp;";",""),IF(AND($G19&lt;Hta_20,$G19&gt;=Hba_20,Input!AL$40&lt;&gt;""),Input!$B$40&amp;";",""),IF(AND($G19&lt;Hta_21,$G19&gt;=Hba_21,Input!AL$41&lt;&gt;""),Input!$B$41&amp;";",""),IF(AND($G19&lt;Hta_22,$G19&gt;=Hba_22,Input!AL$42&lt;&gt;""),Input!$B$42&amp;";",""),IF(AND($G19&lt;Hta_23,$G19&gt;=Hba_23,Input!AL$43&lt;&gt;""),Input!$B$43&amp;";",""),IF(AND($G19&lt;Hta_24,$G19&gt;=Hba_24,Input!AL$44&lt;&gt;""),Input!$B$44&amp;";",""),IF(AND($G19&lt;Hta_25,$G19&gt;=Hba_25,Input!AL$45&lt;&gt;""),Input!$B$45&amp;";",""),IF(AND($G19&lt;Hta_26,$G19&gt;=Hba_26,Input!AL$46&lt;&gt;""),Input!$B$46&amp;";",""),IF(AND($G19&lt;Hta_27,$G19&gt;=Hba_27,Input!AL$47&lt;&gt;""),Input!$B$47&amp;";",""),IF(AND($G19&lt;Hta_28,$G19&gt;=Hba_28,Input!AL$48&lt;&gt;""),Input!$B$48&amp;";",""),IF(AND($G19&lt;Hta_29,$G19&gt;=Hba_29,Input!AL$49&lt;&gt;""),Input!$B$49&amp;";",""),IF(AND($G19&lt;Hta_30,$G19&gt;=Hba_30,Input!AL$50&lt;&gt;""),Input!$B$50&amp;";","")),"")</f>
        <v/>
      </c>
      <c r="CN19" s="60" t="str">
        <f t="shared" si="6"/>
        <v/>
      </c>
      <c r="CO19" s="798"/>
      <c r="CP19" s="799"/>
      <c r="CQ19" s="800"/>
      <c r="CR19" s="798"/>
      <c r="CS19" s="799"/>
      <c r="CT19" s="800"/>
      <c r="CU19" s="798" t="str">
        <f t="shared" si="7"/>
        <v/>
      </c>
      <c r="CV19" s="799"/>
      <c r="CW19" s="806"/>
      <c r="CX19" s="726"/>
      <c r="CY19" s="727"/>
      <c r="CZ19" s="732"/>
      <c r="DA19" s="726"/>
      <c r="DB19" s="727"/>
      <c r="DC19" s="732"/>
      <c r="DD19" s="726" t="str">
        <f t="shared" si="8"/>
        <v/>
      </c>
      <c r="DE19" s="727"/>
      <c r="DF19" s="728"/>
      <c r="DG19" s="53"/>
      <c r="DH19" s="54"/>
      <c r="DI19" s="54"/>
      <c r="DJ19" s="54"/>
      <c r="DK19" s="54"/>
      <c r="DL19" s="54"/>
      <c r="DM19" s="54"/>
      <c r="DN19" s="54"/>
      <c r="DO19" s="54"/>
      <c r="DP19" s="54"/>
      <c r="DQ19" s="57"/>
      <c r="DR19" s="57"/>
      <c r="DS19" s="57"/>
      <c r="DT19" s="57"/>
      <c r="DU19" s="57"/>
      <c r="DV19" s="57"/>
      <c r="DW19" s="57"/>
      <c r="DX19" s="57"/>
      <c r="DY19" s="57"/>
      <c r="DZ19" s="57"/>
      <c r="EA19" s="57"/>
      <c r="EB19" s="57"/>
      <c r="EC19" s="57"/>
      <c r="ED19" s="57"/>
      <c r="EE19" s="57"/>
      <c r="EF19" s="57"/>
      <c r="EG19" s="57"/>
      <c r="EH19" s="57"/>
      <c r="EI19" s="57"/>
      <c r="EJ19" s="57"/>
      <c r="EK19" s="57"/>
      <c r="EL19" s="133"/>
      <c r="EM19" s="133"/>
      <c r="EN19" s="133"/>
      <c r="EO19" s="133"/>
      <c r="EP19" s="133"/>
      <c r="EQ19" s="133"/>
      <c r="ER19" s="133"/>
      <c r="ES19" s="133"/>
      <c r="ET19" s="133"/>
      <c r="EU19" s="133"/>
      <c r="EV19" s="133"/>
      <c r="EW19" s="133"/>
      <c r="EX19" s="133"/>
      <c r="EY19" s="133"/>
      <c r="EZ19" s="133"/>
      <c r="FA19" s="133"/>
      <c r="FB19" s="133"/>
      <c r="FC19" s="133"/>
      <c r="FD19" s="133"/>
      <c r="FE19" s="133"/>
      <c r="FF19" s="133"/>
      <c r="FG19" s="133"/>
      <c r="FH19" s="133"/>
      <c r="FI19" s="133"/>
      <c r="FJ19" s="133"/>
      <c r="FK19" s="133"/>
      <c r="FL19" s="133"/>
      <c r="FM19" s="133"/>
      <c r="FN19" s="133"/>
      <c r="FO19" s="133"/>
      <c r="FP19" s="65"/>
      <c r="FQ19" s="125"/>
      <c r="FR19" s="123"/>
      <c r="FS19" s="121"/>
      <c r="FT19" s="119"/>
    </row>
    <row r="20" spans="2:176" ht="15.75" hidden="1" customHeight="1" thickBot="1" x14ac:dyDescent="0.3">
      <c r="B20" s="62" t="b">
        <f>IF(OR(AND(G20&gt;='Geometry 2'!$AK$5,G20&lt;'Geometry 2'!$AL$5),AND(G20&gt;='Geometry 2'!$AK$6,G20&lt;'Geometry 2'!$AL$6),AND(G20&gt;='Geometry 2'!$AK$7,G20&lt;'Geometry 2'!$AL$7),AND(G20&gt;='Geometry 2'!$AK$8,G20&lt;'Geometry 2'!$AL$8),AND(G20&gt;='Geometry 2'!$AK$9,G20&lt;'Geometry 2'!$AL$9),AND(G20&gt;='Geometry 2'!$AK$10,G20&lt;'Geometry 2'!$AL$10),AND(G20&gt;='Geometry 2'!$AK$11,G20&lt;'Geometry 2'!$AL$11),AND(G20&gt;='Geometry 2'!$AK$12,G20&lt;'Geometry 2'!$AL$12),AND(G20&gt;='Geometry 2'!$AK$13,G20&lt;'Geometry 2'!$AL$13),AND(G20&gt;='Geometry 2'!$AK$14,G20&lt;'Geometry 2'!$AL$14)),TRUE,FALSE)</f>
        <v>0</v>
      </c>
      <c r="C20" s="4" t="str">
        <f t="shared" si="3"/>
        <v/>
      </c>
      <c r="D20" s="766" t="str">
        <f t="shared" si="4"/>
        <v/>
      </c>
      <c r="E20" s="767"/>
      <c r="F20" s="17" t="str">
        <f t="shared" si="2"/>
        <v/>
      </c>
      <c r="G20" s="768" t="str">
        <f>IF(D20="","",MAX(0,G19-IF(inc="n/a",999,inc),MAX(IF(G19&lt;=Hta_1,0,Hta_1),IF(G19&lt;=Hta_2,0,Hta_2),IF(G19&lt;=Hta_3,0,Hta_3),IF(G19&lt;=Hta_4,0,Hta_4),IF(G19&lt;=Hta_5,0,Hta_5),IF(G19&lt;=Hta_6,0,Hta_6),IF(G19&lt;=Hta_7,0,Hta_7),IF(G19&lt;=Hta_8,0,Hta_8),IF(G19&lt;=Hta_9,0,Hta_9),IF(G19&lt;=Hta_10,0,Hta_10),IF(G19&lt;=Hta_11,0,Hta_11),IF(G19&lt;=Hta_12,0,Hta_12),IF(G19&lt;=Hta_13,0,Hta_13),IF(G19&lt;=Hta_14,0,Hta_14),IF(G19&lt;=Hta_15,0,Hta_15),IF(G19&lt;=Hta_16,0,Hta_16),IF(G19&lt;=Hta_17,0,Hta_17),IF(G19&lt;=Hta_18,0,Hta_18),IF(G19&lt;=Hta_19,0,Hta_19),IF(G19&lt;=Hta_20,0,Hta_20),IF(G19&lt;=Hta_21,0,Hta_21),IF(G19&lt;=Hta_22,0,Hta_22),IF(G19&lt;=Hta_23,0,Hta_23),IF(G19&lt;=Hta_24,0,Hta_24),IF(G19&lt;=Hta_25,0,Hta_25),IF(G19&lt;=Hta_26,0,Hta_26),IF(G19&lt;=Hta_27,0,Hta_27),IF(G19&lt;=Hta_28,0,Hta_28),IF(G19&lt;=Hta_29,0,Hta_29),IF(G19&lt;=Hta_30,0,Hta_30)),MAX(IF(G19&lt;=Hta_1-0.25,0,Hta_1-0.25),IF(G19&lt;=Hta_2-0.25,0,Hta_2-0.25),IF(G19&lt;=Hta_3-0.25,0,Hta_3-0.25),IF(G19&lt;=Hta_4-0.25,0,Hta_4-0.25),IF(G19&lt;=Hta_5-0.25,0,Hta_5-0.25),IF(G19&lt;=Hta_6-0.25,0,Hta_6-0.25),IF(G19&lt;=Hta_7-0.25,0,Hta_7-0.25),IF(G19&lt;=Hta_8-0.25,0,Hta_8-0.25),IF(G19&lt;=Hta_9-0.25,0,Hta_9-0.25),IF(G19&lt;=Hta_10-0.25,0,Hta_10-0.25),IF(G19&lt;=Hta_11-0.25,0,Hta_11-0.25),IF(G19&lt;=Hta_12-0.25,0,Hta_12-0.25),IF(G19&lt;=Hta_13-0.25,0,Hta_13-0.25),IF(G19&lt;=Hta_14-0.25,0,Hta_14-0.25),IF(G19&lt;=Hta_15-0.25,0,Hta_15-0.25),IF(G19&lt;=Hta_16-0.25,0,Hta_16-0.25),IF(G19&lt;=Hta_17-0.25,0,Hta_17-0.25),IF(G19&lt;=Hta_18-0.25,0,Hta_18-0.25),IF(G19&lt;=Hta_19-0.25,0,Hta_19-0.25),IF(G19&lt;=Hta_20-0.25,0,Hta_20-0.25),IF(G19&lt;=Hta_21-0.25,0,Hta_21-0.25),IF(G19&lt;=Hta_22-0.25,0,Hta_22-0.25),IF(G19&lt;=Hta_23-0.25,0,Hta_23-0.25),IF(G19&lt;=Hta_24-0.25,0,Hta_24-0.25),IF(G19&lt;=Hta_25-0.25,0,Hta_25-0.25),IF(G19&lt;=Hta_26-0.25,0,Hta_26-0.25),IF(G19&lt;=Hta_27-0.25,0,Hta_27-0.25),IF(G19&lt;=Hta_28-0.25,0,Hta_28-0.25),IF(G19&lt;=Hta_29-0.25,0,Hta_29-0.25),IF(G19&lt;=Hta_30-0.25,0,Hta_30-0.25)),MAX(IF(G19&lt;=Hba_1,0,Hba_1),IF(G19&lt;=Hba_2,0,Hba_2),IF(G19&lt;=Hba_3,0,Hba_3),IF(G19&lt;=Hba_4,0,Hba_4),IF(G19&lt;=Hba_5,0,Hba_5),IF(G19&lt;=Hba_6,0,Hba_6),IF(G19&lt;=Hba_7,0,Hba_7),IF(G19&lt;=Hba_8,0,Hba_8),IF(G19&lt;=Hba_9,0,Hba_9),IF(G19&lt;=Hba_10,0,Hba_10),IF(G19&lt;=Hba_11,0,Hba_11),IF(G19&lt;=Hba_12,0,Hba_12),IF(G19&lt;=Hba_13,0,Hba_13),IF(G19&lt;=Hba_14,0,Hba_14),IF(G19&lt;=Hba_15,0,Hba_15),IF(G19&lt;=Hba_16,0,Hba_16),IF(G19&lt;=Hba_17,0,Hba_17),IF(G19&lt;=Hba_18,0,Hba_18),IF(G19&lt;=Hba_19,0,Hba_19),IF(G19&lt;=Hba_20,0,Hba_20),IF(G19&lt;=Hba_21,0,Hba_21),IF(G19&lt;=Hba_22,0,Hba_22),IF(G19&lt;=Hba_23,0,Hba_23),IF(G19&lt;=Hba_24,0,Hba_24),IF(G19&lt;=Hba_25,0,Hba_25),IF(G19&lt;=Hba_26,0,Hba_26),IF(G19&lt;=Hba_27,0,Hba_27),IF(G19&lt;=Hba_28,0,Hba_28),IF(G19&lt;=Hba_29,0,Hba_29),IF(G19&lt;=Hba_30,0,Hba_30)),MAX(IF(G19&lt;=Input!$C$8,0,Input!$C$8),IF(G19&lt;=Input!$C$9,0,Input!$C$9),IF(G19&lt;=Input!$C$10,0,Input!$C$10),IF(G19&lt;=Input!$C$11,0,Input!$C$11),IF(G19&lt;=Input!$C$12,0,Input!$C$12),IF(G19&lt;=Input!$C$13,0,Input!$C$13),IF(G19&lt;=Input!$C$14,0,Input!$C$14),IF(G19&lt;=Input!$C$15,0,Input!$C$15),IF(G19&lt;=Input!$C$16,0,Input!$C$16)),MAX(IF(G19&lt;=Hba_1-0.25,0,Hba_1-0.25),IF(G19&lt;=Hba_2-0.25,0,Hba_2-0.25),IF(G19&lt;=Hba_3-0.25,0,Hba_3-0.25),IF(G19&lt;=Hba_4-0.25,0,Hba_4-0.25),IF(G19&lt;=Hba_5-0.25,0,Hba_5-0.25),IF(G19&lt;=Hba_6-0.25,0,Hba_6-0.25),IF(G19&lt;=Hba_7-0.25,0,Hba_7-0.25),IF(G19&lt;=Hba_8-0.25,0,Hba_8-0.25),IF(G19&lt;=Hba_9-0.25,0,Hba_9-0.25),IF(G19&lt;=Hba_10-0.25,0,Hba_10-0.25),IF(G19&lt;=Hba_11-0.25,0,Hba_11-0.25),IF(G19&lt;=Hba_12-0.25,0,Hba_12-0.25),IF(G19&lt;=Hba_13-0.25,0,Hba_13-0.25),IF(G19&lt;=Hba_14-0.25,0,Hba_14-0.25),IF(G19&lt;=Hba_15-0.25,0,Hba_15-0.25),IF(G19&lt;=Hba_16-0.25,0,Hba_16-0.25),IF(G19&lt;=Hba_17-0.25,0,Hba_17-0.25),IF(G19&lt;=Hba_18-0.25,0,Hba_18-0.25),IF(G19&lt;=Hba_19-0.25,0,Hba_19-0.25),IF(G19&lt;=Hba_20-0.25,0,Hba_20-0.25),IF(G19&lt;=Hba_21-0.25,0,Hba_21-0.25),IF(G19&lt;=Hba_22-0.25,0,Hba_22-0.25),IF(G19&lt;=Hba_23-0.25,0,Hba_23-0.25),IF(G19&lt;=Hba_24-0.25,0,Hba_24-0.25),IF(G19&lt;=Hba_25-0.25,0,Hba_25-0.25),IF(G19&lt;=Hba_26-0.25,0,Hba_26-0.25),IF(G19&lt;=Hba_27-0.25,0,Hba_27-0.25),IF(G19&lt;=Hba_28-0.25,0,Hba_28-0.25),IF(G19&lt;=Hba_29-0.25,0,Hba_29-0.25),IF(G19&lt;=Hba_30-0.25,0,Hba_30-0.25)),IF(G19&lt;='Macro References'!$A$38,0,'Macro References'!$A$38)))</f>
        <v/>
      </c>
      <c r="H20" s="769"/>
      <c r="I20" s="228"/>
      <c r="J20" s="228"/>
      <c r="K20" s="228"/>
      <c r="L20" s="717" t="str">
        <f t="shared" si="0"/>
        <v/>
      </c>
      <c r="M20" s="717"/>
      <c r="N20" s="717"/>
      <c r="O20" s="717"/>
      <c r="P20" s="717" t="str">
        <f>IF(OR(G20=0,G20=""),"",IF(VLOOKUP(G20,'Geometry 2'!$C$4:$AI$14,1,TRUE)=VLOOKUP(G21,'Geometry 2'!$C$4:$AI$14,1,TRUE),"",IF(VLOOKUP(G20,'Geometry 2'!$C$4:$AI$14,33,TRUE)&lt;&gt;"n/a",MIN(G20,VLOOKUP(G20,'Geometry 2'!$C$4:$AI$14,1,TRUE))-VLOOKUP(G20,'Geometry 2'!$C$4:$AI$14,33,TRUE),"check")))</f>
        <v/>
      </c>
      <c r="Q20" s="717"/>
      <c r="R20" s="717"/>
      <c r="S20" s="717"/>
      <c r="T20" s="717" t="str">
        <f>IF($G20="","",VLOOKUP($G20,'Geometry 2'!$E$4:$AH$14,11,TRUE))</f>
        <v/>
      </c>
      <c r="U20" s="717"/>
      <c r="V20" s="717"/>
      <c r="W20" s="717"/>
      <c r="X20" s="716" t="str">
        <f>IF($G20="","",VLOOKUP($G20,'Geometry 2'!$E$4:$AJ$14,19,TRUE)-12*VLOOKUP($G20,'Geometry 2'!$E$4:$AJ$14,32,TRUE)*($D20-VLOOKUP($G20,'Geometry 2'!$E$5:$AH$14,1,TRUE)))</f>
        <v/>
      </c>
      <c r="Y20" s="716"/>
      <c r="Z20" s="716"/>
      <c r="AA20" s="716"/>
      <c r="AB20" s="757" t="str">
        <f>IF($G20="","",VLOOKUP($G20,'Geometry 2'!$E$4:$AJ$14,19,TRUE)-12*VLOOKUP($G20,'Geometry 2'!$E$4:$AJ$14,32,TRUE)*($G20-VLOOKUP($G20,'Geometry 2'!$E$5:$AH$14,1,TRUE)))</f>
        <v/>
      </c>
      <c r="AC20" s="758"/>
      <c r="AD20" s="758"/>
      <c r="AE20" s="759"/>
      <c r="AF20" s="716" t="str">
        <f>IF($G20="","",VLOOKUP($G20,'Geometry 2'!$E$4:$AJ$14,19,TRUE)-12*VLOOKUP($G20,'Geometry 2'!$E$4:$AJ$14,32,TRUE)*($G20-IF($P20="",0,$P20)-VLOOKUP($G20,'Geometry 2'!$E$5:$AH$14,1,TRUE)))</f>
        <v/>
      </c>
      <c r="AG20" s="716"/>
      <c r="AH20" s="716"/>
      <c r="AI20" s="716"/>
      <c r="AJ20" s="746" t="str">
        <f>IF($G20="","",VLOOKUP($G20,'Geometry 2'!$E$4:$AH$14,23,TRUE))</f>
        <v/>
      </c>
      <c r="AK20" s="747"/>
      <c r="AL20" s="747"/>
      <c r="AM20" s="748"/>
      <c r="AN20" s="717"/>
      <c r="AO20" s="717"/>
      <c r="AP20" s="717"/>
      <c r="AQ20" s="717"/>
      <c r="AR20" s="717" t="str">
        <f>IF($G20="","",VLOOKUP($G20,'Geometry 2'!$E$4:$AH$14,27,TRUE))</f>
        <v/>
      </c>
      <c r="AS20" s="717"/>
      <c r="AT20" s="717"/>
      <c r="AU20" s="718"/>
      <c r="AV20" s="715"/>
      <c r="AW20" s="716"/>
      <c r="AX20" s="716"/>
      <c r="AZ20" s="722" t="str">
        <f t="shared" si="5"/>
        <v/>
      </c>
      <c r="BA20" s="723"/>
      <c r="BB20" s="723"/>
      <c r="BC20" s="724"/>
      <c r="BD20" s="722"/>
      <c r="BE20" s="723"/>
      <c r="BF20" s="723"/>
      <c r="BG20" s="722" t="str">
        <f t="shared" si="1"/>
        <v/>
      </c>
      <c r="BH20" s="723"/>
      <c r="BI20" s="723"/>
      <c r="BJ20" s="723"/>
      <c r="BK20" s="724"/>
      <c r="BL20" s="722"/>
      <c r="BM20" s="723"/>
      <c r="BN20" s="723"/>
      <c r="BO20" s="723"/>
      <c r="BP20" s="725"/>
      <c r="BQ20" s="725"/>
      <c r="BR20" s="722" t="str">
        <f>IF(BP20="","",IF(OR(AND(Rev="H",Calculations!$F$27=TRUE),AND(Rev&lt;&gt;"H",Calculations!$F$30=TRUE)),IF(BP20&lt;=1,"Pass","Fail"),IF(BP20&lt;=1.05,"Pass","Fail")))</f>
        <v/>
      </c>
      <c r="BS20" s="723"/>
      <c r="BT20" s="724"/>
      <c r="BU20" s="49"/>
      <c r="BV20" s="25" t="str">
        <f>IFERROR(CONCATENATE(IF(AND($G20&lt;Hta_1,$G20&gt;=Hba_1,Input!U$21&lt;&gt;""),Input!$B$21&amp;";",""),IF(AND($G20&lt;Hta_2,$G20&gt;=Hba_2,Input!U$22&lt;&gt;""),Input!$B$22&amp;";",""),IF(AND($G20&lt;Hta_3,$G20&gt;=Hba_3,Input!U$23&lt;&gt;""),Input!$B$23&amp;";",""),IF(AND($G20&lt;Hta_4,$G20&gt;=Hba_4,Input!U$24&lt;&gt;""),Input!$B$24&amp;";",""),IF(AND($G20&lt;Hta_5,$G20&gt;=Hba_5,Input!U$25&lt;&gt;""),Input!$B$25&amp;";",""),IF(AND($G20&lt;Hta_6,$G20&gt;=Hba_6,Input!U$26&lt;&gt;""),Input!$B$26&amp;";",""),IF(AND($G20&lt;Hta_7,$G20&gt;=Hba_7,Input!U$27&lt;&gt;""),Input!$B$27&amp;";",""),IF(AND($G20&lt;Hta_8,$G20&gt;=Hba_8,Input!U$28&lt;&gt;""),Input!$B$28&amp;";",""),IF(AND($G20&lt;Hta_9,$G20&gt;=Hba_9,Input!U$29&lt;&gt;""),Input!$B$29&amp;";",""),IF(AND($G20&lt;Hta_10,$G20&gt;=Hba_10,Input!U$30&lt;&gt;""),Input!$B$30&amp;";",""),IF(AND($G20&lt;Hta_11,$G20&gt;=Hba_11,Input!U$31&lt;&gt;""),Input!$B$31&amp;";",""),IF(AND($G20&lt;Hta_12,$G20&gt;=Hba_12,Input!U$32&lt;&gt;""),Input!$B$32&amp;";",""),IF(AND($G20&lt;Hta_13,$G20&gt;=Hba_13,Input!U$33&lt;&gt;""),Input!$B$33&amp;";",""),IF(AND($G20&lt;Hta_14,$G20&gt;=Hba_14,Input!U$34&lt;&gt;""),Input!$B$34&amp;";",""),IF(AND($G20&lt;Hta_15,$G20&gt;=Hba_15,Input!U$35&lt;&gt;""),Input!$B$35&amp;";",""),IF(AND($G20&lt;Hta_16,$G20&gt;=Hba_16,Input!U$36&lt;&gt;""),Input!$B$36&amp;";",""),IF(AND($G20&lt;Hta_17,$G20&gt;=Hba_17,Input!U$37&lt;&gt;""),Input!$B$37&amp;";",""),IF(AND($G20&lt;Hta_18,$G20&gt;=Hba_18,Input!U$38&lt;&gt;""),Input!$B$38&amp;";",""),IF(AND($G20&lt;Hta_19,$G20&gt;=Hba_19,Input!U$39&lt;&gt;""),Input!$B$39&amp;";",""),IF(AND($G20&lt;Hta_20,$G20&gt;=Hba_20,Input!U$40&lt;&gt;""),Input!$B$40&amp;";",""),IF(AND($G20&lt;Hta_21,$G20&gt;=Hba_21,Input!U$41&lt;&gt;""),Input!$B$41&amp;";",""),IF(AND($G20&lt;Hta_22,$G20&gt;=Hba_22,Input!U$42&lt;&gt;""),Input!$B$42&amp;";",""),IF(AND($G20&lt;Hta_23,$G20&gt;=Hba_23,Input!U$43&lt;&gt;""),Input!$B$43&amp;";",""),IF(AND($G20&lt;Hta_24,$G20&gt;=Hba_24,Input!U$44&lt;&gt;""),Input!$B$44&amp;";",""),IF(AND($G20&lt;Hta_25,$G20&gt;=Hba_25,Input!U$45&lt;&gt;""),Input!$B$45&amp;";",""),IF(AND($G20&lt;Hta_26,$G20&gt;=Hba_26,Input!U$46&lt;&gt;""),Input!$B$46&amp;";",""),IF(AND($G20&lt;Hta_27,$G20&gt;=Hba_27,Input!U$47&lt;&gt;""),Input!$B$47&amp;";",""),IF(AND($G20&lt;Hta_28,$G20&gt;=Hba_28,Input!U$48&lt;&gt;""),Input!$B$48&amp;";",""),IF(AND($G20&lt;Hta_29,$G20&gt;=Hba_29,Input!U$49&lt;&gt;""),Input!$B$49&amp;";",""),IF(AND($G20&lt;Hta_30,$G20&gt;=Hba_30,Input!U$50&lt;&gt;""),Input!$B$50&amp;";","")),"")</f>
        <v/>
      </c>
      <c r="BW20" s="25" t="str">
        <f>IFERROR(CONCATENATE(IF(AND($G20&lt;Hta_1,$G20&gt;=Hba_1,Input!V$21&lt;&gt;""),Input!$B$21&amp;";",""),IF(AND($G20&lt;Hta_2,$G20&gt;=Hba_2,Input!V$22&lt;&gt;""),Input!$B$22&amp;";",""),IF(AND($G20&lt;Hta_3,$G20&gt;=Hba_3,Input!V$23&lt;&gt;""),Input!$B$23&amp;";",""),IF(AND($G20&lt;Hta_4,$G20&gt;=Hba_4,Input!V$24&lt;&gt;""),Input!$B$24&amp;";",""),IF(AND($G20&lt;Hta_5,$G20&gt;=Hba_5,Input!V$25&lt;&gt;""),Input!$B$25&amp;";",""),IF(AND($G20&lt;Hta_6,$G20&gt;=Hba_6,Input!V$26&lt;&gt;""),Input!$B$26&amp;";",""),IF(AND($G20&lt;Hta_7,$G20&gt;=Hba_7,Input!V$27&lt;&gt;""),Input!$B$27&amp;";",""),IF(AND($G20&lt;Hta_8,$G20&gt;=Hba_8,Input!V$28&lt;&gt;""),Input!$B$28&amp;";",""),IF(AND($G20&lt;Hta_9,$G20&gt;=Hba_9,Input!V$29&lt;&gt;""),Input!$B$29&amp;";",""),IF(AND($G20&lt;Hta_10,$G20&gt;=Hba_10,Input!V$30&lt;&gt;""),Input!$B$30&amp;";",""),IF(AND($G20&lt;Hta_11,$G20&gt;=Hba_11,Input!V$31&lt;&gt;""),Input!$B$31&amp;";",""),IF(AND($G20&lt;Hta_12,$G20&gt;=Hba_12,Input!V$32&lt;&gt;""),Input!$B$32&amp;";",""),IF(AND($G20&lt;Hta_13,$G20&gt;=Hba_13,Input!V$33&lt;&gt;""),Input!$B$33&amp;";",""),IF(AND($G20&lt;Hta_14,$G20&gt;=Hba_14,Input!V$34&lt;&gt;""),Input!$B$34&amp;";",""),IF(AND($G20&lt;Hta_15,$G20&gt;=Hba_15,Input!V$35&lt;&gt;""),Input!$B$35&amp;";",""),IF(AND($G20&lt;Hta_16,$G20&gt;=Hba_16,Input!V$36&lt;&gt;""),Input!$B$36&amp;";",""),IF(AND($G20&lt;Hta_17,$G20&gt;=Hba_17,Input!V$37&lt;&gt;""),Input!$B$37&amp;";",""),IF(AND($G20&lt;Hta_18,$G20&gt;=Hba_18,Input!V$38&lt;&gt;""),Input!$B$38&amp;";",""),IF(AND($G20&lt;Hta_19,$G20&gt;=Hba_19,Input!V$39&lt;&gt;""),Input!$B$39&amp;";",""),IF(AND($G20&lt;Hta_20,$G20&gt;=Hba_20,Input!V$40&lt;&gt;""),Input!$B$40&amp;";",""),IF(AND($G20&lt;Hta_21,$G20&gt;=Hba_21,Input!V$41&lt;&gt;""),Input!$B$41&amp;";",""),IF(AND($G20&lt;Hta_22,$G20&gt;=Hba_22,Input!V$42&lt;&gt;""),Input!$B$42&amp;";",""),IF(AND($G20&lt;Hta_23,$G20&gt;=Hba_23,Input!V$43&lt;&gt;""),Input!$B$43&amp;";",""),IF(AND($G20&lt;Hta_24,$G20&gt;=Hba_24,Input!V$44&lt;&gt;""),Input!$B$44&amp;";",""),IF(AND($G20&lt;Hta_25,$G20&gt;=Hba_25,Input!V$45&lt;&gt;""),Input!$B$45&amp;";",""),IF(AND($G20&lt;Hta_26,$G20&gt;=Hba_26,Input!V$46&lt;&gt;""),Input!$B$46&amp;";",""),IF(AND($G20&lt;Hta_27,$G20&gt;=Hba_27,Input!V$47&lt;&gt;""),Input!$B$47&amp;";",""),IF(AND($G20&lt;Hta_28,$G20&gt;=Hba_28,Input!V$48&lt;&gt;""),Input!$B$48&amp;";",""),IF(AND($G20&lt;Hta_29,$G20&gt;=Hba_29,Input!V$49&lt;&gt;""),Input!$B$49&amp;";",""),IF(AND($G20&lt;Hta_30,$G20&gt;=Hba_30,Input!V$50&lt;&gt;""),Input!$B$50&amp;";","")),"")</f>
        <v/>
      </c>
      <c r="BX20" s="25" t="str">
        <f>IFERROR(CONCATENATE(IF(AND($G20&lt;Hta_1,$G20&gt;=Hba_1,Input!W$21&lt;&gt;""),Input!$B$21&amp;";",""),IF(AND($G20&lt;Hta_2,$G20&gt;=Hba_2,Input!W$22&lt;&gt;""),Input!$B$22&amp;";",""),IF(AND($G20&lt;Hta_3,$G20&gt;=Hba_3,Input!W$23&lt;&gt;""),Input!$B$23&amp;";",""),IF(AND($G20&lt;Hta_4,$G20&gt;=Hba_4,Input!W$24&lt;&gt;""),Input!$B$24&amp;";",""),IF(AND($G20&lt;Hta_5,$G20&gt;=Hba_5,Input!W$25&lt;&gt;""),Input!$B$25&amp;";",""),IF(AND($G20&lt;Hta_6,$G20&gt;=Hba_6,Input!W$26&lt;&gt;""),Input!$B$26&amp;";",""),IF(AND($G20&lt;Hta_7,$G20&gt;=Hba_7,Input!W$27&lt;&gt;""),Input!$B$27&amp;";",""),IF(AND($G20&lt;Hta_8,$G20&gt;=Hba_8,Input!W$28&lt;&gt;""),Input!$B$28&amp;";",""),IF(AND($G20&lt;Hta_9,$G20&gt;=Hba_9,Input!W$29&lt;&gt;""),Input!$B$29&amp;";",""),IF(AND($G20&lt;Hta_10,$G20&gt;=Hba_10,Input!W$30&lt;&gt;""),Input!$B$30&amp;";",""),IF(AND($G20&lt;Hta_11,$G20&gt;=Hba_11,Input!W$31&lt;&gt;""),Input!$B$31&amp;";",""),IF(AND($G20&lt;Hta_12,$G20&gt;=Hba_12,Input!W$32&lt;&gt;""),Input!$B$32&amp;";",""),IF(AND($G20&lt;Hta_13,$G20&gt;=Hba_13,Input!W$33&lt;&gt;""),Input!$B$33&amp;";",""),IF(AND($G20&lt;Hta_14,$G20&gt;=Hba_14,Input!W$34&lt;&gt;""),Input!$B$34&amp;";",""),IF(AND($G20&lt;Hta_15,$G20&gt;=Hba_15,Input!W$35&lt;&gt;""),Input!$B$35&amp;";",""),IF(AND($G20&lt;Hta_16,$G20&gt;=Hba_16,Input!W$36&lt;&gt;""),Input!$B$36&amp;";",""),IF(AND($G20&lt;Hta_17,$G20&gt;=Hba_17,Input!W$37&lt;&gt;""),Input!$B$37&amp;";",""),IF(AND($G20&lt;Hta_18,$G20&gt;=Hba_18,Input!W$38&lt;&gt;""),Input!$B$38&amp;";",""),IF(AND($G20&lt;Hta_19,$G20&gt;=Hba_19,Input!W$39&lt;&gt;""),Input!$B$39&amp;";",""),IF(AND($G20&lt;Hta_20,$G20&gt;=Hba_20,Input!W$40&lt;&gt;""),Input!$B$40&amp;";",""),IF(AND($G20&lt;Hta_21,$G20&gt;=Hba_21,Input!W$41&lt;&gt;""),Input!$B$41&amp;";",""),IF(AND($G20&lt;Hta_22,$G20&gt;=Hba_22,Input!W$42&lt;&gt;""),Input!$B$42&amp;";",""),IF(AND($G20&lt;Hta_23,$G20&gt;=Hba_23,Input!W$43&lt;&gt;""),Input!$B$43&amp;";",""),IF(AND($G20&lt;Hta_24,$G20&gt;=Hba_24,Input!W$44&lt;&gt;""),Input!$B$44&amp;";",""),IF(AND($G20&lt;Hta_25,$G20&gt;=Hba_25,Input!W$45&lt;&gt;""),Input!$B$45&amp;";",""),IF(AND($G20&lt;Hta_26,$G20&gt;=Hba_26,Input!W$46&lt;&gt;""),Input!$B$46&amp;";",""),IF(AND($G20&lt;Hta_27,$G20&gt;=Hba_27,Input!W$47&lt;&gt;""),Input!$B$47&amp;";",""),IF(AND($G20&lt;Hta_28,$G20&gt;=Hba_28,Input!W$48&lt;&gt;""),Input!$B$48&amp;";",""),IF(AND($G20&lt;Hta_29,$G20&gt;=Hba_29,Input!W$49&lt;&gt;""),Input!$B$49&amp;";",""),IF(AND($G20&lt;Hta_30,$G20&gt;=Hba_30,Input!W$50&lt;&gt;""),Input!$B$50&amp;";","")),"")</f>
        <v/>
      </c>
      <c r="BY20" s="25" t="str">
        <f>IFERROR(CONCATENATE(IF(AND($G20&lt;Hta_1,$G20&gt;=Hba_1,Input!X$21&lt;&gt;""),Input!$B$21&amp;";",""),IF(AND($G20&lt;Hta_2,$G20&gt;=Hba_2,Input!X$22&lt;&gt;""),Input!$B$22&amp;";",""),IF(AND($G20&lt;Hta_3,$G20&gt;=Hba_3,Input!X$23&lt;&gt;""),Input!$B$23&amp;";",""),IF(AND($G20&lt;Hta_4,$G20&gt;=Hba_4,Input!X$24&lt;&gt;""),Input!$B$24&amp;";",""),IF(AND($G20&lt;Hta_5,$G20&gt;=Hba_5,Input!X$25&lt;&gt;""),Input!$B$25&amp;";",""),IF(AND($G20&lt;Hta_6,$G20&gt;=Hba_6,Input!X$26&lt;&gt;""),Input!$B$26&amp;";",""),IF(AND($G20&lt;Hta_7,$G20&gt;=Hba_7,Input!X$27&lt;&gt;""),Input!$B$27&amp;";",""),IF(AND($G20&lt;Hta_8,$G20&gt;=Hba_8,Input!X$28&lt;&gt;""),Input!$B$28&amp;";",""),IF(AND($G20&lt;Hta_9,$G20&gt;=Hba_9,Input!X$29&lt;&gt;""),Input!$B$29&amp;";",""),IF(AND($G20&lt;Hta_10,$G20&gt;=Hba_10,Input!X$30&lt;&gt;""),Input!$B$30&amp;";",""),IF(AND($G20&lt;Hta_11,$G20&gt;=Hba_11,Input!X$31&lt;&gt;""),Input!$B$31&amp;";",""),IF(AND($G20&lt;Hta_12,$G20&gt;=Hba_12,Input!X$32&lt;&gt;""),Input!$B$32&amp;";",""),IF(AND($G20&lt;Hta_13,$G20&gt;=Hba_13,Input!X$33&lt;&gt;""),Input!$B$33&amp;";",""),IF(AND($G20&lt;Hta_14,$G20&gt;=Hba_14,Input!X$34&lt;&gt;""),Input!$B$34&amp;";",""),IF(AND($G20&lt;Hta_15,$G20&gt;=Hba_15,Input!X$35&lt;&gt;""),Input!$B$35&amp;";",""),IF(AND($G20&lt;Hta_16,$G20&gt;=Hba_16,Input!X$36&lt;&gt;""),Input!$B$36&amp;";",""),IF(AND($G20&lt;Hta_17,$G20&gt;=Hba_17,Input!X$37&lt;&gt;""),Input!$B$37&amp;";",""),IF(AND($G20&lt;Hta_18,$G20&gt;=Hba_18,Input!X$38&lt;&gt;""),Input!$B$38&amp;";",""),IF(AND($G20&lt;Hta_19,$G20&gt;=Hba_19,Input!X$39&lt;&gt;""),Input!$B$39&amp;";",""),IF(AND($G20&lt;Hta_20,$G20&gt;=Hba_20,Input!X$40&lt;&gt;""),Input!$B$40&amp;";",""),IF(AND($G20&lt;Hta_21,$G20&gt;=Hba_21,Input!X$41&lt;&gt;""),Input!$B$41&amp;";",""),IF(AND($G20&lt;Hta_22,$G20&gt;=Hba_22,Input!X$42&lt;&gt;""),Input!$B$42&amp;";",""),IF(AND($G20&lt;Hta_23,$G20&gt;=Hba_23,Input!X$43&lt;&gt;""),Input!$B$43&amp;";",""),IF(AND($G20&lt;Hta_24,$G20&gt;=Hba_24,Input!X$44&lt;&gt;""),Input!$B$44&amp;";",""),IF(AND($G20&lt;Hta_25,$G20&gt;=Hba_25,Input!X$45&lt;&gt;""),Input!$B$45&amp;";",""),IF(AND($G20&lt;Hta_26,$G20&gt;=Hba_26,Input!X$46&lt;&gt;""),Input!$B$46&amp;";",""),IF(AND($G20&lt;Hta_27,$G20&gt;=Hba_27,Input!X$47&lt;&gt;""),Input!$B$47&amp;";",""),IF(AND($G20&lt;Hta_28,$G20&gt;=Hba_28,Input!X$48&lt;&gt;""),Input!$B$48&amp;";",""),IF(AND($G20&lt;Hta_29,$G20&gt;=Hba_29,Input!X$49&lt;&gt;""),Input!$B$49&amp;";",""),IF(AND($G20&lt;Hta_30,$G20&gt;=Hba_30,Input!X$50&lt;&gt;""),Input!$B$50&amp;";","")),"")</f>
        <v/>
      </c>
      <c r="BZ20" s="25" t="str">
        <f>IFERROR(CONCATENATE(IF(AND($G20&lt;Hta_1,$G20&gt;=Hba_1,Input!Y$21&lt;&gt;""),Input!$B$21&amp;";",""),IF(AND($G20&lt;Hta_2,$G20&gt;=Hba_2,Input!Y$22&lt;&gt;""),Input!$B$22&amp;";",""),IF(AND($G20&lt;Hta_3,$G20&gt;=Hba_3,Input!Y$23&lt;&gt;""),Input!$B$23&amp;";",""),IF(AND($G20&lt;Hta_4,$G20&gt;=Hba_4,Input!Y$24&lt;&gt;""),Input!$B$24&amp;";",""),IF(AND($G20&lt;Hta_5,$G20&gt;=Hba_5,Input!Y$25&lt;&gt;""),Input!$B$25&amp;";",""),IF(AND($G20&lt;Hta_6,$G20&gt;=Hba_6,Input!Y$26&lt;&gt;""),Input!$B$26&amp;";",""),IF(AND($G20&lt;Hta_7,$G20&gt;=Hba_7,Input!Y$27&lt;&gt;""),Input!$B$27&amp;";",""),IF(AND($G20&lt;Hta_8,$G20&gt;=Hba_8,Input!Y$28&lt;&gt;""),Input!$B$28&amp;";",""),IF(AND($G20&lt;Hta_9,$G20&gt;=Hba_9,Input!Y$29&lt;&gt;""),Input!$B$29&amp;";",""),IF(AND($G20&lt;Hta_10,$G20&gt;=Hba_10,Input!Y$30&lt;&gt;""),Input!$B$30&amp;";",""),IF(AND($G20&lt;Hta_11,$G20&gt;=Hba_11,Input!Y$31&lt;&gt;""),Input!$B$31&amp;";",""),IF(AND($G20&lt;Hta_12,$G20&gt;=Hba_12,Input!Y$32&lt;&gt;""),Input!$B$32&amp;";",""),IF(AND($G20&lt;Hta_13,$G20&gt;=Hba_13,Input!Y$33&lt;&gt;""),Input!$B$33&amp;";",""),IF(AND($G20&lt;Hta_14,$G20&gt;=Hba_14,Input!Y$34&lt;&gt;""),Input!$B$34&amp;";",""),IF(AND($G20&lt;Hta_15,$G20&gt;=Hba_15,Input!Y$35&lt;&gt;""),Input!$B$35&amp;";",""),IF(AND($G20&lt;Hta_16,$G20&gt;=Hba_16,Input!Y$36&lt;&gt;""),Input!$B$36&amp;";",""),IF(AND($G20&lt;Hta_17,$G20&gt;=Hba_17,Input!Y$37&lt;&gt;""),Input!$B$37&amp;";",""),IF(AND($G20&lt;Hta_18,$G20&gt;=Hba_18,Input!Y$38&lt;&gt;""),Input!$B$38&amp;";",""),IF(AND($G20&lt;Hta_19,$G20&gt;=Hba_19,Input!Y$39&lt;&gt;""),Input!$B$39&amp;";",""),IF(AND($G20&lt;Hta_20,$G20&gt;=Hba_20,Input!Y$40&lt;&gt;""),Input!$B$40&amp;";",""),IF(AND($G20&lt;Hta_21,$G20&gt;=Hba_21,Input!Y$41&lt;&gt;""),Input!$B$41&amp;";",""),IF(AND($G20&lt;Hta_22,$G20&gt;=Hba_22,Input!Y$42&lt;&gt;""),Input!$B$42&amp;";",""),IF(AND($G20&lt;Hta_23,$G20&gt;=Hba_23,Input!Y$43&lt;&gt;""),Input!$B$43&amp;";",""),IF(AND($G20&lt;Hta_24,$G20&gt;=Hba_24,Input!Y$44&lt;&gt;""),Input!$B$44&amp;";",""),IF(AND($G20&lt;Hta_25,$G20&gt;=Hba_25,Input!Y$45&lt;&gt;""),Input!$B$45&amp;";",""),IF(AND($G20&lt;Hta_26,$G20&gt;=Hba_26,Input!Y$46&lt;&gt;""),Input!$B$46&amp;";",""),IF(AND($G20&lt;Hta_27,$G20&gt;=Hba_27,Input!Y$47&lt;&gt;""),Input!$B$47&amp;";",""),IF(AND($G20&lt;Hta_28,$G20&gt;=Hba_28,Input!Y$48&lt;&gt;""),Input!$B$48&amp;";",""),IF(AND($G20&lt;Hta_29,$G20&gt;=Hba_29,Input!Y$49&lt;&gt;""),Input!$B$49&amp;";",""),IF(AND($G20&lt;Hta_30,$G20&gt;=Hba_30,Input!Y$50&lt;&gt;""),Input!$B$50&amp;";","")),"")</f>
        <v/>
      </c>
      <c r="CA20" s="25" t="str">
        <f>IFERROR(CONCATENATE(IF(AND($G20&lt;Hta_1,$G20&gt;=Hba_1,Input!Z$21&lt;&gt;""),Input!$B$21&amp;";",""),IF(AND($G20&lt;Hta_2,$G20&gt;=Hba_2,Input!Z$22&lt;&gt;""),Input!$B$22&amp;";",""),IF(AND($G20&lt;Hta_3,$G20&gt;=Hba_3,Input!Z$23&lt;&gt;""),Input!$B$23&amp;";",""),IF(AND($G20&lt;Hta_4,$G20&gt;=Hba_4,Input!Z$24&lt;&gt;""),Input!$B$24&amp;";",""),IF(AND($G20&lt;Hta_5,$G20&gt;=Hba_5,Input!Z$25&lt;&gt;""),Input!$B$25&amp;";",""),IF(AND($G20&lt;Hta_6,$G20&gt;=Hba_6,Input!Z$26&lt;&gt;""),Input!$B$26&amp;";",""),IF(AND($G20&lt;Hta_7,$G20&gt;=Hba_7,Input!Z$27&lt;&gt;""),Input!$B$27&amp;";",""),IF(AND($G20&lt;Hta_8,$G20&gt;=Hba_8,Input!Z$28&lt;&gt;""),Input!$B$28&amp;";",""),IF(AND($G20&lt;Hta_9,$G20&gt;=Hba_9,Input!Z$29&lt;&gt;""),Input!$B$29&amp;";",""),IF(AND($G20&lt;Hta_10,$G20&gt;=Hba_10,Input!Z$30&lt;&gt;""),Input!$B$30&amp;";",""),IF(AND($G20&lt;Hta_11,$G20&gt;=Hba_11,Input!Z$31&lt;&gt;""),Input!$B$31&amp;";",""),IF(AND($G20&lt;Hta_12,$G20&gt;=Hba_12,Input!Z$32&lt;&gt;""),Input!$B$32&amp;";",""),IF(AND($G20&lt;Hta_13,$G20&gt;=Hba_13,Input!Z$33&lt;&gt;""),Input!$B$33&amp;";",""),IF(AND($G20&lt;Hta_14,$G20&gt;=Hba_14,Input!Z$34&lt;&gt;""),Input!$B$34&amp;";",""),IF(AND($G20&lt;Hta_15,$G20&gt;=Hba_15,Input!Z$35&lt;&gt;""),Input!$B$35&amp;";",""),IF(AND($G20&lt;Hta_16,$G20&gt;=Hba_16,Input!Z$36&lt;&gt;""),Input!$B$36&amp;";",""),IF(AND($G20&lt;Hta_17,$G20&gt;=Hba_17,Input!Z$37&lt;&gt;""),Input!$B$37&amp;";",""),IF(AND($G20&lt;Hta_18,$G20&gt;=Hba_18,Input!Z$38&lt;&gt;""),Input!$B$38&amp;";",""),IF(AND($G20&lt;Hta_19,$G20&gt;=Hba_19,Input!Z$39&lt;&gt;""),Input!$B$39&amp;";",""),IF(AND($G20&lt;Hta_20,$G20&gt;=Hba_20,Input!Z$40&lt;&gt;""),Input!$B$40&amp;";",""),IF(AND($G20&lt;Hta_21,$G20&gt;=Hba_21,Input!Z$41&lt;&gt;""),Input!$B$41&amp;";",""),IF(AND($G20&lt;Hta_22,$G20&gt;=Hba_22,Input!Z$42&lt;&gt;""),Input!$B$42&amp;";",""),IF(AND($G20&lt;Hta_23,$G20&gt;=Hba_23,Input!Z$43&lt;&gt;""),Input!$B$43&amp;";",""),IF(AND($G20&lt;Hta_24,$G20&gt;=Hba_24,Input!Z$44&lt;&gt;""),Input!$B$44&amp;";",""),IF(AND($G20&lt;Hta_25,$G20&gt;=Hba_25,Input!Z$45&lt;&gt;""),Input!$B$45&amp;";",""),IF(AND($G20&lt;Hta_26,$G20&gt;=Hba_26,Input!Z$46&lt;&gt;""),Input!$B$46&amp;";",""),IF(AND($G20&lt;Hta_27,$G20&gt;=Hba_27,Input!Z$47&lt;&gt;""),Input!$B$47&amp;";",""),IF(AND($G20&lt;Hta_28,$G20&gt;=Hba_28,Input!Z$48&lt;&gt;""),Input!$B$48&amp;";",""),IF(AND($G20&lt;Hta_29,$G20&gt;=Hba_29,Input!Z$49&lt;&gt;""),Input!$B$49&amp;";",""),IF(AND($G20&lt;Hta_30,$G20&gt;=Hba_30,Input!Z$50&lt;&gt;""),Input!$B$50&amp;";","")),"")</f>
        <v/>
      </c>
      <c r="CB20" s="25" t="str">
        <f>IFERROR(CONCATENATE(IF(AND($G20&lt;Hta_1,$G20&gt;=Hba_1,Input!AA$21&lt;&gt;""),Input!$B$21&amp;";",""),IF(AND($G20&lt;Hta_2,$G20&gt;=Hba_2,Input!AA$22&lt;&gt;""),Input!$B$22&amp;";",""),IF(AND($G20&lt;Hta_3,$G20&gt;=Hba_3,Input!AA$23&lt;&gt;""),Input!$B$23&amp;";",""),IF(AND($G20&lt;Hta_4,$G20&gt;=Hba_4,Input!AA$24&lt;&gt;""),Input!$B$24&amp;";",""),IF(AND($G20&lt;Hta_5,$G20&gt;=Hba_5,Input!AA$25&lt;&gt;""),Input!$B$25&amp;";",""),IF(AND($G20&lt;Hta_6,$G20&gt;=Hba_6,Input!AA$26&lt;&gt;""),Input!$B$26&amp;";",""),IF(AND($G20&lt;Hta_7,$G20&gt;=Hba_7,Input!AA$27&lt;&gt;""),Input!$B$27&amp;";",""),IF(AND($G20&lt;Hta_8,$G20&gt;=Hba_8,Input!AA$28&lt;&gt;""),Input!$B$28&amp;";",""),IF(AND($G20&lt;Hta_9,$G20&gt;=Hba_9,Input!AA$29&lt;&gt;""),Input!$B$29&amp;";",""),IF(AND($G20&lt;Hta_10,$G20&gt;=Hba_10,Input!AA$30&lt;&gt;""),Input!$B$30&amp;";",""),IF(AND($G20&lt;Hta_11,$G20&gt;=Hba_11,Input!AA$31&lt;&gt;""),Input!$B$31&amp;";",""),IF(AND($G20&lt;Hta_12,$G20&gt;=Hba_12,Input!AA$32&lt;&gt;""),Input!$B$32&amp;";",""),IF(AND($G20&lt;Hta_13,$G20&gt;=Hba_13,Input!AA$33&lt;&gt;""),Input!$B$33&amp;";",""),IF(AND($G20&lt;Hta_14,$G20&gt;=Hba_14,Input!AA$34&lt;&gt;""),Input!$B$34&amp;";",""),IF(AND($G20&lt;Hta_15,$G20&gt;=Hba_15,Input!AA$35&lt;&gt;""),Input!$B$35&amp;";",""),IF(AND($G20&lt;Hta_16,$G20&gt;=Hba_16,Input!AA$36&lt;&gt;""),Input!$B$36&amp;";",""),IF(AND($G20&lt;Hta_17,$G20&gt;=Hba_17,Input!AA$37&lt;&gt;""),Input!$B$37&amp;";",""),IF(AND($G20&lt;Hta_18,$G20&gt;=Hba_18,Input!AA$38&lt;&gt;""),Input!$B$38&amp;";",""),IF(AND($G20&lt;Hta_19,$G20&gt;=Hba_19,Input!AA$39&lt;&gt;""),Input!$B$39&amp;";",""),IF(AND($G20&lt;Hta_20,$G20&gt;=Hba_20,Input!AA$40&lt;&gt;""),Input!$B$40&amp;";",""),IF(AND($G20&lt;Hta_21,$G20&gt;=Hba_21,Input!AA$41&lt;&gt;""),Input!$B$41&amp;";",""),IF(AND($G20&lt;Hta_22,$G20&gt;=Hba_22,Input!AA$42&lt;&gt;""),Input!$B$42&amp;";",""),IF(AND($G20&lt;Hta_23,$G20&gt;=Hba_23,Input!AA$43&lt;&gt;""),Input!$B$43&amp;";",""),IF(AND($G20&lt;Hta_24,$G20&gt;=Hba_24,Input!AA$44&lt;&gt;""),Input!$B$44&amp;";",""),IF(AND($G20&lt;Hta_25,$G20&gt;=Hba_25,Input!AA$45&lt;&gt;""),Input!$B$45&amp;";",""),IF(AND($G20&lt;Hta_26,$G20&gt;=Hba_26,Input!AA$46&lt;&gt;""),Input!$B$46&amp;";",""),IF(AND($G20&lt;Hta_27,$G20&gt;=Hba_27,Input!AA$47&lt;&gt;""),Input!$B$47&amp;";",""),IF(AND($G20&lt;Hta_28,$G20&gt;=Hba_28,Input!AA$48&lt;&gt;""),Input!$B$48&amp;";",""),IF(AND($G20&lt;Hta_29,$G20&gt;=Hba_29,Input!AA$49&lt;&gt;""),Input!$B$49&amp;";",""),IF(AND($G20&lt;Hta_30,$G20&gt;=Hba_30,Input!AA$50&lt;&gt;""),Input!$B$50&amp;";","")),"")</f>
        <v/>
      </c>
      <c r="CC20" s="25" t="str">
        <f>IFERROR(CONCATENATE(IF(AND($G20&lt;Hta_1,$G20&gt;=Hba_1,Input!AB$21&lt;&gt;""),Input!$B$21&amp;";",""),IF(AND($G20&lt;Hta_2,$G20&gt;=Hba_2,Input!AB$22&lt;&gt;""),Input!$B$22&amp;";",""),IF(AND($G20&lt;Hta_3,$G20&gt;=Hba_3,Input!AB$23&lt;&gt;""),Input!$B$23&amp;";",""),IF(AND($G20&lt;Hta_4,$G20&gt;=Hba_4,Input!AB$24&lt;&gt;""),Input!$B$24&amp;";",""),IF(AND($G20&lt;Hta_5,$G20&gt;=Hba_5,Input!AB$25&lt;&gt;""),Input!$B$25&amp;";",""),IF(AND($G20&lt;Hta_6,$G20&gt;=Hba_6,Input!AB$26&lt;&gt;""),Input!$B$26&amp;";",""),IF(AND($G20&lt;Hta_7,$G20&gt;=Hba_7,Input!AB$27&lt;&gt;""),Input!$B$27&amp;";",""),IF(AND($G20&lt;Hta_8,$G20&gt;=Hba_8,Input!AB$28&lt;&gt;""),Input!$B$28&amp;";",""),IF(AND($G20&lt;Hta_9,$G20&gt;=Hba_9,Input!AB$29&lt;&gt;""),Input!$B$29&amp;";",""),IF(AND($G20&lt;Hta_10,$G20&gt;=Hba_10,Input!AB$30&lt;&gt;""),Input!$B$30&amp;";",""),IF(AND($G20&lt;Hta_11,$G20&gt;=Hba_11,Input!AB$31&lt;&gt;""),Input!$B$31&amp;";",""),IF(AND($G20&lt;Hta_12,$G20&gt;=Hba_12,Input!AB$32&lt;&gt;""),Input!$B$32&amp;";",""),IF(AND($G20&lt;Hta_13,$G20&gt;=Hba_13,Input!AB$33&lt;&gt;""),Input!$B$33&amp;";",""),IF(AND($G20&lt;Hta_14,$G20&gt;=Hba_14,Input!AB$34&lt;&gt;""),Input!$B$34&amp;";",""),IF(AND($G20&lt;Hta_15,$G20&gt;=Hba_15,Input!AB$35&lt;&gt;""),Input!$B$35&amp;";",""),IF(AND($G20&lt;Hta_16,$G20&gt;=Hba_16,Input!AB$36&lt;&gt;""),Input!$B$36&amp;";",""),IF(AND($G20&lt;Hta_17,$G20&gt;=Hba_17,Input!AB$37&lt;&gt;""),Input!$B$37&amp;";",""),IF(AND($G20&lt;Hta_18,$G20&gt;=Hba_18,Input!AB$38&lt;&gt;""),Input!$B$38&amp;";",""),IF(AND($G20&lt;Hta_19,$G20&gt;=Hba_19,Input!AB$39&lt;&gt;""),Input!$B$39&amp;";",""),IF(AND($G20&lt;Hta_20,$G20&gt;=Hba_20,Input!AB$40&lt;&gt;""),Input!$B$40&amp;";",""),IF(AND($G20&lt;Hta_21,$G20&gt;=Hba_21,Input!AB$41&lt;&gt;""),Input!$B$41&amp;";",""),IF(AND($G20&lt;Hta_22,$G20&gt;=Hba_22,Input!AB$42&lt;&gt;""),Input!$B$42&amp;";",""),IF(AND($G20&lt;Hta_23,$G20&gt;=Hba_23,Input!AB$43&lt;&gt;""),Input!$B$43&amp;";",""),IF(AND($G20&lt;Hta_24,$G20&gt;=Hba_24,Input!AB$44&lt;&gt;""),Input!$B$44&amp;";",""),IF(AND($G20&lt;Hta_25,$G20&gt;=Hba_25,Input!AB$45&lt;&gt;""),Input!$B$45&amp;";",""),IF(AND($G20&lt;Hta_26,$G20&gt;=Hba_26,Input!AB$46&lt;&gt;""),Input!$B$46&amp;";",""),IF(AND($G20&lt;Hta_27,$G20&gt;=Hba_27,Input!AB$47&lt;&gt;""),Input!$B$47&amp;";",""),IF(AND($G20&lt;Hta_28,$G20&gt;=Hba_28,Input!AB$48&lt;&gt;""),Input!$B$48&amp;";",""),IF(AND($G20&lt;Hta_29,$G20&gt;=Hba_29,Input!AB$49&lt;&gt;""),Input!$B$49&amp;";",""),IF(AND($G20&lt;Hta_30,$G20&gt;=Hba_30,Input!AB$50&lt;&gt;""),Input!$B$50&amp;";","")),"")</f>
        <v/>
      </c>
      <c r="CD20" s="25" t="str">
        <f>IFERROR(CONCATENATE(IF(AND($G20&lt;Hta_1,$G20&gt;=Hba_1,Input!AC$21&lt;&gt;""),Input!$B$21&amp;";",""),IF(AND($G20&lt;Hta_2,$G20&gt;=Hba_2,Input!AC$22&lt;&gt;""),Input!$B$22&amp;";",""),IF(AND($G20&lt;Hta_3,$G20&gt;=Hba_3,Input!AC$23&lt;&gt;""),Input!$B$23&amp;";",""),IF(AND($G20&lt;Hta_4,$G20&gt;=Hba_4,Input!AC$24&lt;&gt;""),Input!$B$24&amp;";",""),IF(AND($G20&lt;Hta_5,$G20&gt;=Hba_5,Input!AC$25&lt;&gt;""),Input!$B$25&amp;";",""),IF(AND($G20&lt;Hta_6,$G20&gt;=Hba_6,Input!AC$26&lt;&gt;""),Input!$B$26&amp;";",""),IF(AND($G20&lt;Hta_7,$G20&gt;=Hba_7,Input!AC$27&lt;&gt;""),Input!$B$27&amp;";",""),IF(AND($G20&lt;Hta_8,$G20&gt;=Hba_8,Input!AC$28&lt;&gt;""),Input!$B$28&amp;";",""),IF(AND($G20&lt;Hta_9,$G20&gt;=Hba_9,Input!AC$29&lt;&gt;""),Input!$B$29&amp;";",""),IF(AND($G20&lt;Hta_10,$G20&gt;=Hba_10,Input!AC$30&lt;&gt;""),Input!$B$30&amp;";",""),IF(AND($G20&lt;Hta_11,$G20&gt;=Hba_11,Input!AC$31&lt;&gt;""),Input!$B$31&amp;";",""),IF(AND($G20&lt;Hta_12,$G20&gt;=Hba_12,Input!AC$32&lt;&gt;""),Input!$B$32&amp;";",""),IF(AND($G20&lt;Hta_13,$G20&gt;=Hba_13,Input!AC$33&lt;&gt;""),Input!$B$33&amp;";",""),IF(AND($G20&lt;Hta_14,$G20&gt;=Hba_14,Input!AC$34&lt;&gt;""),Input!$B$34&amp;";",""),IF(AND($G20&lt;Hta_15,$G20&gt;=Hba_15,Input!AC$35&lt;&gt;""),Input!$B$35&amp;";",""),IF(AND($G20&lt;Hta_16,$G20&gt;=Hba_16,Input!AC$36&lt;&gt;""),Input!$B$36&amp;";",""),IF(AND($G20&lt;Hta_17,$G20&gt;=Hba_17,Input!AC$37&lt;&gt;""),Input!$B$37&amp;";",""),IF(AND($G20&lt;Hta_18,$G20&gt;=Hba_18,Input!AC$38&lt;&gt;""),Input!$B$38&amp;";",""),IF(AND($G20&lt;Hta_19,$G20&gt;=Hba_19,Input!AC$39&lt;&gt;""),Input!$B$39&amp;";",""),IF(AND($G20&lt;Hta_20,$G20&gt;=Hba_20,Input!AC$40&lt;&gt;""),Input!$B$40&amp;";",""),IF(AND($G20&lt;Hta_21,$G20&gt;=Hba_21,Input!AC$41&lt;&gt;""),Input!$B$41&amp;";",""),IF(AND($G20&lt;Hta_22,$G20&gt;=Hba_22,Input!AC$42&lt;&gt;""),Input!$B$42&amp;";",""),IF(AND($G20&lt;Hta_23,$G20&gt;=Hba_23,Input!AC$43&lt;&gt;""),Input!$B$43&amp;";",""),IF(AND($G20&lt;Hta_24,$G20&gt;=Hba_24,Input!AC$44&lt;&gt;""),Input!$B$44&amp;";",""),IF(AND($G20&lt;Hta_25,$G20&gt;=Hba_25,Input!AC$45&lt;&gt;""),Input!$B$45&amp;";",""),IF(AND($G20&lt;Hta_26,$G20&gt;=Hba_26,Input!AC$46&lt;&gt;""),Input!$B$46&amp;";",""),IF(AND($G20&lt;Hta_27,$G20&gt;=Hba_27,Input!AC$47&lt;&gt;""),Input!$B$47&amp;";",""),IF(AND($G20&lt;Hta_28,$G20&gt;=Hba_28,Input!AC$48&lt;&gt;""),Input!$B$48&amp;";",""),IF(AND($G20&lt;Hta_29,$G20&gt;=Hba_29,Input!AC$49&lt;&gt;""),Input!$B$49&amp;";",""),IF(AND($G20&lt;Hta_30,$G20&gt;=Hba_30,Input!AC$50&lt;&gt;""),Input!$B$50&amp;";","")),"")</f>
        <v/>
      </c>
      <c r="CE20" s="25" t="str">
        <f>IFERROR(CONCATENATE(IF(AND($G20&lt;Hta_1,$G20&gt;=Hba_1,Input!AD$21&lt;&gt;""),Input!$B$21&amp;";",""),IF(AND($G20&lt;Hta_2,$G20&gt;=Hba_2,Input!AD$22&lt;&gt;""),Input!$B$22&amp;";",""),IF(AND($G20&lt;Hta_3,$G20&gt;=Hba_3,Input!AD$23&lt;&gt;""),Input!$B$23&amp;";",""),IF(AND($G20&lt;Hta_4,$G20&gt;=Hba_4,Input!AD$24&lt;&gt;""),Input!$B$24&amp;";",""),IF(AND($G20&lt;Hta_5,$G20&gt;=Hba_5,Input!AD$25&lt;&gt;""),Input!$B$25&amp;";",""),IF(AND($G20&lt;Hta_6,$G20&gt;=Hba_6,Input!AD$26&lt;&gt;""),Input!$B$26&amp;";",""),IF(AND($G20&lt;Hta_7,$G20&gt;=Hba_7,Input!AD$27&lt;&gt;""),Input!$B$27&amp;";",""),IF(AND($G20&lt;Hta_8,$G20&gt;=Hba_8,Input!AD$28&lt;&gt;""),Input!$B$28&amp;";",""),IF(AND($G20&lt;Hta_9,$G20&gt;=Hba_9,Input!AD$29&lt;&gt;""),Input!$B$29&amp;";",""),IF(AND($G20&lt;Hta_10,$G20&gt;=Hba_10,Input!AD$30&lt;&gt;""),Input!$B$30&amp;";",""),IF(AND($G20&lt;Hta_11,$G20&gt;=Hba_11,Input!AD$31&lt;&gt;""),Input!$B$31&amp;";",""),IF(AND($G20&lt;Hta_12,$G20&gt;=Hba_12,Input!AD$32&lt;&gt;""),Input!$B$32&amp;";",""),IF(AND($G20&lt;Hta_13,$G20&gt;=Hba_13,Input!AD$33&lt;&gt;""),Input!$B$33&amp;";",""),IF(AND($G20&lt;Hta_14,$G20&gt;=Hba_14,Input!AD$34&lt;&gt;""),Input!$B$34&amp;";",""),IF(AND($G20&lt;Hta_15,$G20&gt;=Hba_15,Input!AD$35&lt;&gt;""),Input!$B$35&amp;";",""),IF(AND($G20&lt;Hta_16,$G20&gt;=Hba_16,Input!AD$36&lt;&gt;""),Input!$B$36&amp;";",""),IF(AND($G20&lt;Hta_17,$G20&gt;=Hba_17,Input!AD$37&lt;&gt;""),Input!$B$37&amp;";",""),IF(AND($G20&lt;Hta_18,$G20&gt;=Hba_18,Input!AD$38&lt;&gt;""),Input!$B$38&amp;";",""),IF(AND($G20&lt;Hta_19,$G20&gt;=Hba_19,Input!AD$39&lt;&gt;""),Input!$B$39&amp;";",""),IF(AND($G20&lt;Hta_20,$G20&gt;=Hba_20,Input!AD$40&lt;&gt;""),Input!$B$40&amp;";",""),IF(AND($G20&lt;Hta_21,$G20&gt;=Hba_21,Input!AD$41&lt;&gt;""),Input!$B$41&amp;";",""),IF(AND($G20&lt;Hta_22,$G20&gt;=Hba_22,Input!AD$42&lt;&gt;""),Input!$B$42&amp;";",""),IF(AND($G20&lt;Hta_23,$G20&gt;=Hba_23,Input!AD$43&lt;&gt;""),Input!$B$43&amp;";",""),IF(AND($G20&lt;Hta_24,$G20&gt;=Hba_24,Input!AD$44&lt;&gt;""),Input!$B$44&amp;";",""),IF(AND($G20&lt;Hta_25,$G20&gt;=Hba_25,Input!AD$45&lt;&gt;""),Input!$B$45&amp;";",""),IF(AND($G20&lt;Hta_26,$G20&gt;=Hba_26,Input!AD$46&lt;&gt;""),Input!$B$46&amp;";",""),IF(AND($G20&lt;Hta_27,$G20&gt;=Hba_27,Input!AD$47&lt;&gt;""),Input!$B$47&amp;";",""),IF(AND($G20&lt;Hta_28,$G20&gt;=Hba_28,Input!AD$48&lt;&gt;""),Input!$B$48&amp;";",""),IF(AND($G20&lt;Hta_29,$G20&gt;=Hba_29,Input!AD$49&lt;&gt;""),Input!$B$49&amp;";",""),IF(AND($G20&lt;Hta_30,$G20&gt;=Hba_30,Input!AD$50&lt;&gt;""),Input!$B$50&amp;";","")),"")</f>
        <v/>
      </c>
      <c r="CF20" s="25" t="str">
        <f>IFERROR(CONCATENATE(IF(AND($G20&lt;Hta_1,$G20&gt;=Hba_1,Input!AE$21&lt;&gt;""),Input!$B$21&amp;";",""),IF(AND($G20&lt;Hta_2,$G20&gt;=Hba_2,Input!AE$22&lt;&gt;""),Input!$B$22&amp;";",""),IF(AND($G20&lt;Hta_3,$G20&gt;=Hba_3,Input!AE$23&lt;&gt;""),Input!$B$23&amp;";",""),IF(AND($G20&lt;Hta_4,$G20&gt;=Hba_4,Input!AE$24&lt;&gt;""),Input!$B$24&amp;";",""),IF(AND($G20&lt;Hta_5,$G20&gt;=Hba_5,Input!AE$25&lt;&gt;""),Input!$B$25&amp;";",""),IF(AND($G20&lt;Hta_6,$G20&gt;=Hba_6,Input!AE$26&lt;&gt;""),Input!$B$26&amp;";",""),IF(AND($G20&lt;Hta_7,$G20&gt;=Hba_7,Input!AE$27&lt;&gt;""),Input!$B$27&amp;";",""),IF(AND($G20&lt;Hta_8,$G20&gt;=Hba_8,Input!AE$28&lt;&gt;""),Input!$B$28&amp;";",""),IF(AND($G20&lt;Hta_9,$G20&gt;=Hba_9,Input!AE$29&lt;&gt;""),Input!$B$29&amp;";",""),IF(AND($G20&lt;Hta_10,$G20&gt;=Hba_10,Input!AE$30&lt;&gt;""),Input!$B$30&amp;";",""),IF(AND($G20&lt;Hta_11,$G20&gt;=Hba_11,Input!AE$31&lt;&gt;""),Input!$B$31&amp;";",""),IF(AND($G20&lt;Hta_12,$G20&gt;=Hba_12,Input!AE$32&lt;&gt;""),Input!$B$32&amp;";",""),IF(AND($G20&lt;Hta_13,$G20&gt;=Hba_13,Input!AE$33&lt;&gt;""),Input!$B$33&amp;";",""),IF(AND($G20&lt;Hta_14,$G20&gt;=Hba_14,Input!AE$34&lt;&gt;""),Input!$B$34&amp;";",""),IF(AND($G20&lt;Hta_15,$G20&gt;=Hba_15,Input!AE$35&lt;&gt;""),Input!$B$35&amp;";",""),IF(AND($G20&lt;Hta_16,$G20&gt;=Hba_16,Input!AE$36&lt;&gt;""),Input!$B$36&amp;";",""),IF(AND($G20&lt;Hta_17,$G20&gt;=Hba_17,Input!AE$37&lt;&gt;""),Input!$B$37&amp;";",""),IF(AND($G20&lt;Hta_18,$G20&gt;=Hba_18,Input!AE$38&lt;&gt;""),Input!$B$38&amp;";",""),IF(AND($G20&lt;Hta_19,$G20&gt;=Hba_19,Input!AE$39&lt;&gt;""),Input!$B$39&amp;";",""),IF(AND($G20&lt;Hta_20,$G20&gt;=Hba_20,Input!AE$40&lt;&gt;""),Input!$B$40&amp;";",""),IF(AND($G20&lt;Hta_21,$G20&gt;=Hba_21,Input!AE$41&lt;&gt;""),Input!$B$41&amp;";",""),IF(AND($G20&lt;Hta_22,$G20&gt;=Hba_22,Input!AE$42&lt;&gt;""),Input!$B$42&amp;";",""),IF(AND($G20&lt;Hta_23,$G20&gt;=Hba_23,Input!AE$43&lt;&gt;""),Input!$B$43&amp;";",""),IF(AND($G20&lt;Hta_24,$G20&gt;=Hba_24,Input!AE$44&lt;&gt;""),Input!$B$44&amp;";",""),IF(AND($G20&lt;Hta_25,$G20&gt;=Hba_25,Input!AE$45&lt;&gt;""),Input!$B$45&amp;";",""),IF(AND($G20&lt;Hta_26,$G20&gt;=Hba_26,Input!AE$46&lt;&gt;""),Input!$B$46&amp;";",""),IF(AND($G20&lt;Hta_27,$G20&gt;=Hba_27,Input!AE$47&lt;&gt;""),Input!$B$47&amp;";",""),IF(AND($G20&lt;Hta_28,$G20&gt;=Hba_28,Input!AE$48&lt;&gt;""),Input!$B$48&amp;";",""),IF(AND($G20&lt;Hta_29,$G20&gt;=Hba_29,Input!AE$49&lt;&gt;""),Input!$B$49&amp;";",""),IF(AND($G20&lt;Hta_30,$G20&gt;=Hba_30,Input!AE$50&lt;&gt;""),Input!$B$50&amp;";","")),"")</f>
        <v/>
      </c>
      <c r="CG20" s="25" t="str">
        <f>IFERROR(CONCATENATE(IF(AND($G20&lt;Hta_1,$G20&gt;=Hba_1,Input!AF$21&lt;&gt;""),Input!$B$21&amp;";",""),IF(AND($G20&lt;Hta_2,$G20&gt;=Hba_2,Input!AF$22&lt;&gt;""),Input!$B$22&amp;";",""),IF(AND($G20&lt;Hta_3,$G20&gt;=Hba_3,Input!AF$23&lt;&gt;""),Input!$B$23&amp;";",""),IF(AND($G20&lt;Hta_4,$G20&gt;=Hba_4,Input!AF$24&lt;&gt;""),Input!$B$24&amp;";",""),IF(AND($G20&lt;Hta_5,$G20&gt;=Hba_5,Input!AF$25&lt;&gt;""),Input!$B$25&amp;";",""),IF(AND($G20&lt;Hta_6,$G20&gt;=Hba_6,Input!AF$26&lt;&gt;""),Input!$B$26&amp;";",""),IF(AND($G20&lt;Hta_7,$G20&gt;=Hba_7,Input!AF$27&lt;&gt;""),Input!$B$27&amp;";",""),IF(AND($G20&lt;Hta_8,$G20&gt;=Hba_8,Input!AF$28&lt;&gt;""),Input!$B$28&amp;";",""),IF(AND($G20&lt;Hta_9,$G20&gt;=Hba_9,Input!AF$29&lt;&gt;""),Input!$B$29&amp;";",""),IF(AND($G20&lt;Hta_10,$G20&gt;=Hba_10,Input!AF$30&lt;&gt;""),Input!$B$30&amp;";",""),IF(AND($G20&lt;Hta_11,$G20&gt;=Hba_11,Input!AF$31&lt;&gt;""),Input!$B$31&amp;";",""),IF(AND($G20&lt;Hta_12,$G20&gt;=Hba_12,Input!AF$32&lt;&gt;""),Input!$B$32&amp;";",""),IF(AND($G20&lt;Hta_13,$G20&gt;=Hba_13,Input!AF$33&lt;&gt;""),Input!$B$33&amp;";",""),IF(AND($G20&lt;Hta_14,$G20&gt;=Hba_14,Input!AF$34&lt;&gt;""),Input!$B$34&amp;";",""),IF(AND($G20&lt;Hta_15,$G20&gt;=Hba_15,Input!AF$35&lt;&gt;""),Input!$B$35&amp;";",""),IF(AND($G20&lt;Hta_16,$G20&gt;=Hba_16,Input!AF$36&lt;&gt;""),Input!$B$36&amp;";",""),IF(AND($G20&lt;Hta_17,$G20&gt;=Hba_17,Input!AF$37&lt;&gt;""),Input!$B$37&amp;";",""),IF(AND($G20&lt;Hta_18,$G20&gt;=Hba_18,Input!AF$38&lt;&gt;""),Input!$B$38&amp;";",""),IF(AND($G20&lt;Hta_19,$G20&gt;=Hba_19,Input!AF$39&lt;&gt;""),Input!$B$39&amp;";",""),IF(AND($G20&lt;Hta_20,$G20&gt;=Hba_20,Input!AF$40&lt;&gt;""),Input!$B$40&amp;";",""),IF(AND($G20&lt;Hta_21,$G20&gt;=Hba_21,Input!AF$41&lt;&gt;""),Input!$B$41&amp;";",""),IF(AND($G20&lt;Hta_22,$G20&gt;=Hba_22,Input!AF$42&lt;&gt;""),Input!$B$42&amp;";",""),IF(AND($G20&lt;Hta_23,$G20&gt;=Hba_23,Input!AF$43&lt;&gt;""),Input!$B$43&amp;";",""),IF(AND($G20&lt;Hta_24,$G20&gt;=Hba_24,Input!AF$44&lt;&gt;""),Input!$B$44&amp;";",""),IF(AND($G20&lt;Hta_25,$G20&gt;=Hba_25,Input!AF$45&lt;&gt;""),Input!$B$45&amp;";",""),IF(AND($G20&lt;Hta_26,$G20&gt;=Hba_26,Input!AF$46&lt;&gt;""),Input!$B$46&amp;";",""),IF(AND($G20&lt;Hta_27,$G20&gt;=Hba_27,Input!AF$47&lt;&gt;""),Input!$B$47&amp;";",""),IF(AND($G20&lt;Hta_28,$G20&gt;=Hba_28,Input!AF$48&lt;&gt;""),Input!$B$48&amp;";",""),IF(AND($G20&lt;Hta_29,$G20&gt;=Hba_29,Input!AF$49&lt;&gt;""),Input!$B$49&amp;";",""),IF(AND($G20&lt;Hta_30,$G20&gt;=Hba_30,Input!AF$50&lt;&gt;""),Input!$B$50&amp;";","")),"")</f>
        <v/>
      </c>
      <c r="CH20" s="25" t="str">
        <f>IFERROR(CONCATENATE(IF(AND($G20&lt;Hta_1,$G20&gt;=Hba_1,Input!AG$21&lt;&gt;""),Input!$B$21&amp;";",""),IF(AND($G20&lt;Hta_2,$G20&gt;=Hba_2,Input!AG$22&lt;&gt;""),Input!$B$22&amp;";",""),IF(AND($G20&lt;Hta_3,$G20&gt;=Hba_3,Input!AG$23&lt;&gt;""),Input!$B$23&amp;";",""),IF(AND($G20&lt;Hta_4,$G20&gt;=Hba_4,Input!AG$24&lt;&gt;""),Input!$B$24&amp;";",""),IF(AND($G20&lt;Hta_5,$G20&gt;=Hba_5,Input!AG$25&lt;&gt;""),Input!$B$25&amp;";",""),IF(AND($G20&lt;Hta_6,$G20&gt;=Hba_6,Input!AG$26&lt;&gt;""),Input!$B$26&amp;";",""),IF(AND($G20&lt;Hta_7,$G20&gt;=Hba_7,Input!AG$27&lt;&gt;""),Input!$B$27&amp;";",""),IF(AND($G20&lt;Hta_8,$G20&gt;=Hba_8,Input!AG$28&lt;&gt;""),Input!$B$28&amp;";",""),IF(AND($G20&lt;Hta_9,$G20&gt;=Hba_9,Input!AG$29&lt;&gt;""),Input!$B$29&amp;";",""),IF(AND($G20&lt;Hta_10,$G20&gt;=Hba_10,Input!AG$30&lt;&gt;""),Input!$B$30&amp;";",""),IF(AND($G20&lt;Hta_11,$G20&gt;=Hba_11,Input!AG$31&lt;&gt;""),Input!$B$31&amp;";",""),IF(AND($G20&lt;Hta_12,$G20&gt;=Hba_12,Input!AG$32&lt;&gt;""),Input!$B$32&amp;";",""),IF(AND($G20&lt;Hta_13,$G20&gt;=Hba_13,Input!AG$33&lt;&gt;""),Input!$B$33&amp;";",""),IF(AND($G20&lt;Hta_14,$G20&gt;=Hba_14,Input!AG$34&lt;&gt;""),Input!$B$34&amp;";",""),IF(AND($G20&lt;Hta_15,$G20&gt;=Hba_15,Input!AG$35&lt;&gt;""),Input!$B$35&amp;";",""),IF(AND($G20&lt;Hta_16,$G20&gt;=Hba_16,Input!AG$36&lt;&gt;""),Input!$B$36&amp;";",""),IF(AND($G20&lt;Hta_17,$G20&gt;=Hba_17,Input!AG$37&lt;&gt;""),Input!$B$37&amp;";",""),IF(AND($G20&lt;Hta_18,$G20&gt;=Hba_18,Input!AG$38&lt;&gt;""),Input!$B$38&amp;";",""),IF(AND($G20&lt;Hta_19,$G20&gt;=Hba_19,Input!AG$39&lt;&gt;""),Input!$B$39&amp;";",""),IF(AND($G20&lt;Hta_20,$G20&gt;=Hba_20,Input!AG$40&lt;&gt;""),Input!$B$40&amp;";",""),IF(AND($G20&lt;Hta_21,$G20&gt;=Hba_21,Input!AG$41&lt;&gt;""),Input!$B$41&amp;";",""),IF(AND($G20&lt;Hta_22,$G20&gt;=Hba_22,Input!AG$42&lt;&gt;""),Input!$B$42&amp;";",""),IF(AND($G20&lt;Hta_23,$G20&gt;=Hba_23,Input!AG$43&lt;&gt;""),Input!$B$43&amp;";",""),IF(AND($G20&lt;Hta_24,$G20&gt;=Hba_24,Input!AG$44&lt;&gt;""),Input!$B$44&amp;";",""),IF(AND($G20&lt;Hta_25,$G20&gt;=Hba_25,Input!AG$45&lt;&gt;""),Input!$B$45&amp;";",""),IF(AND($G20&lt;Hta_26,$G20&gt;=Hba_26,Input!AG$46&lt;&gt;""),Input!$B$46&amp;";",""),IF(AND($G20&lt;Hta_27,$G20&gt;=Hba_27,Input!AG$47&lt;&gt;""),Input!$B$47&amp;";",""),IF(AND($G20&lt;Hta_28,$G20&gt;=Hba_28,Input!AG$48&lt;&gt;""),Input!$B$48&amp;";",""),IF(AND($G20&lt;Hta_29,$G20&gt;=Hba_29,Input!AG$49&lt;&gt;""),Input!$B$49&amp;";",""),IF(AND($G20&lt;Hta_30,$G20&gt;=Hba_30,Input!AG$50&lt;&gt;""),Input!$B$50&amp;";","")),"")</f>
        <v/>
      </c>
      <c r="CI20" s="25" t="str">
        <f>IFERROR(CONCATENATE(IF(AND($G20&lt;Hta_1,$G20&gt;=Hba_1,Input!AH$21&lt;&gt;""),Input!$B$21&amp;";",""),IF(AND($G20&lt;Hta_2,$G20&gt;=Hba_2,Input!AH$22&lt;&gt;""),Input!$B$22&amp;";",""),IF(AND($G20&lt;Hta_3,$G20&gt;=Hba_3,Input!AH$23&lt;&gt;""),Input!$B$23&amp;";",""),IF(AND($G20&lt;Hta_4,$G20&gt;=Hba_4,Input!AH$24&lt;&gt;""),Input!$B$24&amp;";",""),IF(AND($G20&lt;Hta_5,$G20&gt;=Hba_5,Input!AH$25&lt;&gt;""),Input!$B$25&amp;";",""),IF(AND($G20&lt;Hta_6,$G20&gt;=Hba_6,Input!AH$26&lt;&gt;""),Input!$B$26&amp;";",""),IF(AND($G20&lt;Hta_7,$G20&gt;=Hba_7,Input!AH$27&lt;&gt;""),Input!$B$27&amp;";",""),IF(AND($G20&lt;Hta_8,$G20&gt;=Hba_8,Input!AH$28&lt;&gt;""),Input!$B$28&amp;";",""),IF(AND($G20&lt;Hta_9,$G20&gt;=Hba_9,Input!AH$29&lt;&gt;""),Input!$B$29&amp;";",""),IF(AND($G20&lt;Hta_10,$G20&gt;=Hba_10,Input!AH$30&lt;&gt;""),Input!$B$30&amp;";",""),IF(AND($G20&lt;Hta_11,$G20&gt;=Hba_11,Input!AH$31&lt;&gt;""),Input!$B$31&amp;";",""),IF(AND($G20&lt;Hta_12,$G20&gt;=Hba_12,Input!AH$32&lt;&gt;""),Input!$B$32&amp;";",""),IF(AND($G20&lt;Hta_13,$G20&gt;=Hba_13,Input!AH$33&lt;&gt;""),Input!$B$33&amp;";",""),IF(AND($G20&lt;Hta_14,$G20&gt;=Hba_14,Input!AH$34&lt;&gt;""),Input!$B$34&amp;";",""),IF(AND($G20&lt;Hta_15,$G20&gt;=Hba_15,Input!AH$35&lt;&gt;""),Input!$B$35&amp;";",""),IF(AND($G20&lt;Hta_16,$G20&gt;=Hba_16,Input!AH$36&lt;&gt;""),Input!$B$36&amp;";",""),IF(AND($G20&lt;Hta_17,$G20&gt;=Hba_17,Input!AH$37&lt;&gt;""),Input!$B$37&amp;";",""),IF(AND($G20&lt;Hta_18,$G20&gt;=Hba_18,Input!AH$38&lt;&gt;""),Input!$B$38&amp;";",""),IF(AND($G20&lt;Hta_19,$G20&gt;=Hba_19,Input!AH$39&lt;&gt;""),Input!$B$39&amp;";",""),IF(AND($G20&lt;Hta_20,$G20&gt;=Hba_20,Input!AH$40&lt;&gt;""),Input!$B$40&amp;";",""),IF(AND($G20&lt;Hta_21,$G20&gt;=Hba_21,Input!AH$41&lt;&gt;""),Input!$B$41&amp;";",""),IF(AND($G20&lt;Hta_22,$G20&gt;=Hba_22,Input!AH$42&lt;&gt;""),Input!$B$42&amp;";",""),IF(AND($G20&lt;Hta_23,$G20&gt;=Hba_23,Input!AH$43&lt;&gt;""),Input!$B$43&amp;";",""),IF(AND($G20&lt;Hta_24,$G20&gt;=Hba_24,Input!AH$44&lt;&gt;""),Input!$B$44&amp;";",""),IF(AND($G20&lt;Hta_25,$G20&gt;=Hba_25,Input!AH$45&lt;&gt;""),Input!$B$45&amp;";",""),IF(AND($G20&lt;Hta_26,$G20&gt;=Hba_26,Input!AH$46&lt;&gt;""),Input!$B$46&amp;";",""),IF(AND($G20&lt;Hta_27,$G20&gt;=Hba_27,Input!AH$47&lt;&gt;""),Input!$B$47&amp;";",""),IF(AND($G20&lt;Hta_28,$G20&gt;=Hba_28,Input!AH$48&lt;&gt;""),Input!$B$48&amp;";",""),IF(AND($G20&lt;Hta_29,$G20&gt;=Hba_29,Input!AH$49&lt;&gt;""),Input!$B$49&amp;";",""),IF(AND($G20&lt;Hta_30,$G20&gt;=Hba_30,Input!AH$50&lt;&gt;""),Input!$B$50&amp;";","")),"")</f>
        <v/>
      </c>
      <c r="CJ20" s="25" t="str">
        <f>IFERROR(CONCATENATE(IF(AND($G20&lt;Hta_1,$G20&gt;=Hba_1,Input!AI$21&lt;&gt;""),Input!$B$21&amp;";",""),IF(AND($G20&lt;Hta_2,$G20&gt;=Hba_2,Input!AI$22&lt;&gt;""),Input!$B$22&amp;";",""),IF(AND($G20&lt;Hta_3,$G20&gt;=Hba_3,Input!AI$23&lt;&gt;""),Input!$B$23&amp;";",""),IF(AND($G20&lt;Hta_4,$G20&gt;=Hba_4,Input!AI$24&lt;&gt;""),Input!$B$24&amp;";",""),IF(AND($G20&lt;Hta_5,$G20&gt;=Hba_5,Input!AI$25&lt;&gt;""),Input!$B$25&amp;";",""),IF(AND($G20&lt;Hta_6,$G20&gt;=Hba_6,Input!AI$26&lt;&gt;""),Input!$B$26&amp;";",""),IF(AND($G20&lt;Hta_7,$G20&gt;=Hba_7,Input!AI$27&lt;&gt;""),Input!$B$27&amp;";",""),IF(AND($G20&lt;Hta_8,$G20&gt;=Hba_8,Input!AI$28&lt;&gt;""),Input!$B$28&amp;";",""),IF(AND($G20&lt;Hta_9,$G20&gt;=Hba_9,Input!AI$29&lt;&gt;""),Input!$B$29&amp;";",""),IF(AND($G20&lt;Hta_10,$G20&gt;=Hba_10,Input!AI$30&lt;&gt;""),Input!$B$30&amp;";",""),IF(AND($G20&lt;Hta_11,$G20&gt;=Hba_11,Input!AI$31&lt;&gt;""),Input!$B$31&amp;";",""),IF(AND($G20&lt;Hta_12,$G20&gt;=Hba_12,Input!AI$32&lt;&gt;""),Input!$B$32&amp;";",""),IF(AND($G20&lt;Hta_13,$G20&gt;=Hba_13,Input!AI$33&lt;&gt;""),Input!$B$33&amp;";",""),IF(AND($G20&lt;Hta_14,$G20&gt;=Hba_14,Input!AI$34&lt;&gt;""),Input!$B$34&amp;";",""),IF(AND($G20&lt;Hta_15,$G20&gt;=Hba_15,Input!AI$35&lt;&gt;""),Input!$B$35&amp;";",""),IF(AND($G20&lt;Hta_16,$G20&gt;=Hba_16,Input!AI$36&lt;&gt;""),Input!$B$36&amp;";",""),IF(AND($G20&lt;Hta_17,$G20&gt;=Hba_17,Input!AI$37&lt;&gt;""),Input!$B$37&amp;";",""),IF(AND($G20&lt;Hta_18,$G20&gt;=Hba_18,Input!AI$38&lt;&gt;""),Input!$B$38&amp;";",""),IF(AND($G20&lt;Hta_19,$G20&gt;=Hba_19,Input!AI$39&lt;&gt;""),Input!$B$39&amp;";",""),IF(AND($G20&lt;Hta_20,$G20&gt;=Hba_20,Input!AI$40&lt;&gt;""),Input!$B$40&amp;";",""),IF(AND($G20&lt;Hta_21,$G20&gt;=Hba_21,Input!AI$41&lt;&gt;""),Input!$B$41&amp;";",""),IF(AND($G20&lt;Hta_22,$G20&gt;=Hba_22,Input!AI$42&lt;&gt;""),Input!$B$42&amp;";",""),IF(AND($G20&lt;Hta_23,$G20&gt;=Hba_23,Input!AI$43&lt;&gt;""),Input!$B$43&amp;";",""),IF(AND($G20&lt;Hta_24,$G20&gt;=Hba_24,Input!AI$44&lt;&gt;""),Input!$B$44&amp;";",""),IF(AND($G20&lt;Hta_25,$G20&gt;=Hba_25,Input!AI$45&lt;&gt;""),Input!$B$45&amp;";",""),IF(AND($G20&lt;Hta_26,$G20&gt;=Hba_26,Input!AI$46&lt;&gt;""),Input!$B$46&amp;";",""),IF(AND($G20&lt;Hta_27,$G20&gt;=Hba_27,Input!AI$47&lt;&gt;""),Input!$B$47&amp;";",""),IF(AND($G20&lt;Hta_28,$G20&gt;=Hba_28,Input!AI$48&lt;&gt;""),Input!$B$48&amp;";",""),IF(AND($G20&lt;Hta_29,$G20&gt;=Hba_29,Input!AI$49&lt;&gt;""),Input!$B$49&amp;";",""),IF(AND($G20&lt;Hta_30,$G20&gt;=Hba_30,Input!AI$50&lt;&gt;""),Input!$B$50&amp;";","")),"")</f>
        <v/>
      </c>
      <c r="CK20" s="25" t="str">
        <f>IFERROR(CONCATENATE(IF(AND($G20&lt;Hta_1,$G20&gt;=Hba_1,Input!AJ$21&lt;&gt;""),Input!$B$21&amp;";",""),IF(AND($G20&lt;Hta_2,$G20&gt;=Hba_2,Input!AJ$22&lt;&gt;""),Input!$B$22&amp;";",""),IF(AND($G20&lt;Hta_3,$G20&gt;=Hba_3,Input!AJ$23&lt;&gt;""),Input!$B$23&amp;";",""),IF(AND($G20&lt;Hta_4,$G20&gt;=Hba_4,Input!AJ$24&lt;&gt;""),Input!$B$24&amp;";",""),IF(AND($G20&lt;Hta_5,$G20&gt;=Hba_5,Input!AJ$25&lt;&gt;""),Input!$B$25&amp;";",""),IF(AND($G20&lt;Hta_6,$G20&gt;=Hba_6,Input!AJ$26&lt;&gt;""),Input!$B$26&amp;";",""),IF(AND($G20&lt;Hta_7,$G20&gt;=Hba_7,Input!AJ$27&lt;&gt;""),Input!$B$27&amp;";",""),IF(AND($G20&lt;Hta_8,$G20&gt;=Hba_8,Input!AJ$28&lt;&gt;""),Input!$B$28&amp;";",""),IF(AND($G20&lt;Hta_9,$G20&gt;=Hba_9,Input!AJ$29&lt;&gt;""),Input!$B$29&amp;";",""),IF(AND($G20&lt;Hta_10,$G20&gt;=Hba_10,Input!AJ$30&lt;&gt;""),Input!$B$30&amp;";",""),IF(AND($G20&lt;Hta_11,$G20&gt;=Hba_11,Input!AJ$31&lt;&gt;""),Input!$B$31&amp;";",""),IF(AND($G20&lt;Hta_12,$G20&gt;=Hba_12,Input!AJ$32&lt;&gt;""),Input!$B$32&amp;";",""),IF(AND($G20&lt;Hta_13,$G20&gt;=Hba_13,Input!AJ$33&lt;&gt;""),Input!$B$33&amp;";",""),IF(AND($G20&lt;Hta_14,$G20&gt;=Hba_14,Input!AJ$34&lt;&gt;""),Input!$B$34&amp;";",""),IF(AND($G20&lt;Hta_15,$G20&gt;=Hba_15,Input!AJ$35&lt;&gt;""),Input!$B$35&amp;";",""),IF(AND($G20&lt;Hta_16,$G20&gt;=Hba_16,Input!AJ$36&lt;&gt;""),Input!$B$36&amp;";",""),IF(AND($G20&lt;Hta_17,$G20&gt;=Hba_17,Input!AJ$37&lt;&gt;""),Input!$B$37&amp;";",""),IF(AND($G20&lt;Hta_18,$G20&gt;=Hba_18,Input!AJ$38&lt;&gt;""),Input!$B$38&amp;";",""),IF(AND($G20&lt;Hta_19,$G20&gt;=Hba_19,Input!AJ$39&lt;&gt;""),Input!$B$39&amp;";",""),IF(AND($G20&lt;Hta_20,$G20&gt;=Hba_20,Input!AJ$40&lt;&gt;""),Input!$B$40&amp;";",""),IF(AND($G20&lt;Hta_21,$G20&gt;=Hba_21,Input!AJ$41&lt;&gt;""),Input!$B$41&amp;";",""),IF(AND($G20&lt;Hta_22,$G20&gt;=Hba_22,Input!AJ$42&lt;&gt;""),Input!$B$42&amp;";",""),IF(AND($G20&lt;Hta_23,$G20&gt;=Hba_23,Input!AJ$43&lt;&gt;""),Input!$B$43&amp;";",""),IF(AND($G20&lt;Hta_24,$G20&gt;=Hba_24,Input!AJ$44&lt;&gt;""),Input!$B$44&amp;";",""),IF(AND($G20&lt;Hta_25,$G20&gt;=Hba_25,Input!AJ$45&lt;&gt;""),Input!$B$45&amp;";",""),IF(AND($G20&lt;Hta_26,$G20&gt;=Hba_26,Input!AJ$46&lt;&gt;""),Input!$B$46&amp;";",""),IF(AND($G20&lt;Hta_27,$G20&gt;=Hba_27,Input!AJ$47&lt;&gt;""),Input!$B$47&amp;";",""),IF(AND($G20&lt;Hta_28,$G20&gt;=Hba_28,Input!AJ$48&lt;&gt;""),Input!$B$48&amp;";",""),IF(AND($G20&lt;Hta_29,$G20&gt;=Hba_29,Input!AJ$49&lt;&gt;""),Input!$B$49&amp;";",""),IF(AND($G20&lt;Hta_30,$G20&gt;=Hba_30,Input!AJ$50&lt;&gt;""),Input!$B$50&amp;";","")),"")</f>
        <v/>
      </c>
      <c r="CL20" s="25" t="str">
        <f>IFERROR(CONCATENATE(IF(AND($G20&lt;Hta_1,$G20&gt;=Hba_1,Input!AK$21&lt;&gt;""),Input!$B$21&amp;";",""),IF(AND($G20&lt;Hta_2,$G20&gt;=Hba_2,Input!AK$22&lt;&gt;""),Input!$B$22&amp;";",""),IF(AND($G20&lt;Hta_3,$G20&gt;=Hba_3,Input!AK$23&lt;&gt;""),Input!$B$23&amp;";",""),IF(AND($G20&lt;Hta_4,$G20&gt;=Hba_4,Input!AK$24&lt;&gt;""),Input!$B$24&amp;";",""),IF(AND($G20&lt;Hta_5,$G20&gt;=Hba_5,Input!AK$25&lt;&gt;""),Input!$B$25&amp;";",""),IF(AND($G20&lt;Hta_6,$G20&gt;=Hba_6,Input!AK$26&lt;&gt;""),Input!$B$26&amp;";",""),IF(AND($G20&lt;Hta_7,$G20&gt;=Hba_7,Input!AK$27&lt;&gt;""),Input!$B$27&amp;";",""),IF(AND($G20&lt;Hta_8,$G20&gt;=Hba_8,Input!AK$28&lt;&gt;""),Input!$B$28&amp;";",""),IF(AND($G20&lt;Hta_9,$G20&gt;=Hba_9,Input!AK$29&lt;&gt;""),Input!$B$29&amp;";",""),IF(AND($G20&lt;Hta_10,$G20&gt;=Hba_10,Input!AK$30&lt;&gt;""),Input!$B$30&amp;";",""),IF(AND($G20&lt;Hta_11,$G20&gt;=Hba_11,Input!AK$31&lt;&gt;""),Input!$B$31&amp;";",""),IF(AND($G20&lt;Hta_12,$G20&gt;=Hba_12,Input!AK$32&lt;&gt;""),Input!$B$32&amp;";",""),IF(AND($G20&lt;Hta_13,$G20&gt;=Hba_13,Input!AK$33&lt;&gt;""),Input!$B$33&amp;";",""),IF(AND($G20&lt;Hta_14,$G20&gt;=Hba_14,Input!AK$34&lt;&gt;""),Input!$B$34&amp;";",""),IF(AND($G20&lt;Hta_15,$G20&gt;=Hba_15,Input!AK$35&lt;&gt;""),Input!$B$35&amp;";",""),IF(AND($G20&lt;Hta_16,$G20&gt;=Hba_16,Input!AK$36&lt;&gt;""),Input!$B$36&amp;";",""),IF(AND($G20&lt;Hta_17,$G20&gt;=Hba_17,Input!AK$37&lt;&gt;""),Input!$B$37&amp;";",""),IF(AND($G20&lt;Hta_18,$G20&gt;=Hba_18,Input!AK$38&lt;&gt;""),Input!$B$38&amp;";",""),IF(AND($G20&lt;Hta_19,$G20&gt;=Hba_19,Input!AK$39&lt;&gt;""),Input!$B$39&amp;";",""),IF(AND($G20&lt;Hta_20,$G20&gt;=Hba_20,Input!AK$40&lt;&gt;""),Input!$B$40&amp;";",""),IF(AND($G20&lt;Hta_21,$G20&gt;=Hba_21,Input!AK$41&lt;&gt;""),Input!$B$41&amp;";",""),IF(AND($G20&lt;Hta_22,$G20&gt;=Hba_22,Input!AK$42&lt;&gt;""),Input!$B$42&amp;";",""),IF(AND($G20&lt;Hta_23,$G20&gt;=Hba_23,Input!AK$43&lt;&gt;""),Input!$B$43&amp;";",""),IF(AND($G20&lt;Hta_24,$G20&gt;=Hba_24,Input!AK$44&lt;&gt;""),Input!$B$44&amp;";",""),IF(AND($G20&lt;Hta_25,$G20&gt;=Hba_25,Input!AK$45&lt;&gt;""),Input!$B$45&amp;";",""),IF(AND($G20&lt;Hta_26,$G20&gt;=Hba_26,Input!AK$46&lt;&gt;""),Input!$B$46&amp;";",""),IF(AND($G20&lt;Hta_27,$G20&gt;=Hba_27,Input!AK$47&lt;&gt;""),Input!$B$47&amp;";",""),IF(AND($G20&lt;Hta_28,$G20&gt;=Hba_28,Input!AK$48&lt;&gt;""),Input!$B$48&amp;";",""),IF(AND($G20&lt;Hta_29,$G20&gt;=Hba_29,Input!AK$49&lt;&gt;""),Input!$B$49&amp;";",""),IF(AND($G20&lt;Hta_30,$G20&gt;=Hba_30,Input!AK$50&lt;&gt;""),Input!$B$50&amp;";","")),"")</f>
        <v/>
      </c>
      <c r="CM20" s="25" t="str">
        <f>IFERROR(CONCATENATE(IF(AND($G20&lt;Hta_1,$G20&gt;=Hba_1,Input!AL$21&lt;&gt;""),Input!$B$21&amp;";",""),IF(AND($G20&lt;Hta_2,$G20&gt;=Hba_2,Input!AL$22&lt;&gt;""),Input!$B$22&amp;";",""),IF(AND($G20&lt;Hta_3,$G20&gt;=Hba_3,Input!AL$23&lt;&gt;""),Input!$B$23&amp;";",""),IF(AND($G20&lt;Hta_4,$G20&gt;=Hba_4,Input!AL$24&lt;&gt;""),Input!$B$24&amp;";",""),IF(AND($G20&lt;Hta_5,$G20&gt;=Hba_5,Input!AL$25&lt;&gt;""),Input!$B$25&amp;";",""),IF(AND($G20&lt;Hta_6,$G20&gt;=Hba_6,Input!AL$26&lt;&gt;""),Input!$B$26&amp;";",""),IF(AND($G20&lt;Hta_7,$G20&gt;=Hba_7,Input!AL$27&lt;&gt;""),Input!$B$27&amp;";",""),IF(AND($G20&lt;Hta_8,$G20&gt;=Hba_8,Input!AL$28&lt;&gt;""),Input!$B$28&amp;";",""),IF(AND($G20&lt;Hta_9,$G20&gt;=Hba_9,Input!AL$29&lt;&gt;""),Input!$B$29&amp;";",""),IF(AND($G20&lt;Hta_10,$G20&gt;=Hba_10,Input!AL$30&lt;&gt;""),Input!$B$30&amp;";",""),IF(AND($G20&lt;Hta_11,$G20&gt;=Hba_11,Input!AL$31&lt;&gt;""),Input!$B$31&amp;";",""),IF(AND($G20&lt;Hta_12,$G20&gt;=Hba_12,Input!AL$32&lt;&gt;""),Input!$B$32&amp;";",""),IF(AND($G20&lt;Hta_13,$G20&gt;=Hba_13,Input!AL$33&lt;&gt;""),Input!$B$33&amp;";",""),IF(AND($G20&lt;Hta_14,$G20&gt;=Hba_14,Input!AL$34&lt;&gt;""),Input!$B$34&amp;";",""),IF(AND($G20&lt;Hta_15,$G20&gt;=Hba_15,Input!AL$35&lt;&gt;""),Input!$B$35&amp;";",""),IF(AND($G20&lt;Hta_16,$G20&gt;=Hba_16,Input!AL$36&lt;&gt;""),Input!$B$36&amp;";",""),IF(AND($G20&lt;Hta_17,$G20&gt;=Hba_17,Input!AL$37&lt;&gt;""),Input!$B$37&amp;";",""),IF(AND($G20&lt;Hta_18,$G20&gt;=Hba_18,Input!AL$38&lt;&gt;""),Input!$B$38&amp;";",""),IF(AND($G20&lt;Hta_19,$G20&gt;=Hba_19,Input!AL$39&lt;&gt;""),Input!$B$39&amp;";",""),IF(AND($G20&lt;Hta_20,$G20&gt;=Hba_20,Input!AL$40&lt;&gt;""),Input!$B$40&amp;";",""),IF(AND($G20&lt;Hta_21,$G20&gt;=Hba_21,Input!AL$41&lt;&gt;""),Input!$B$41&amp;";",""),IF(AND($G20&lt;Hta_22,$G20&gt;=Hba_22,Input!AL$42&lt;&gt;""),Input!$B$42&amp;";",""),IF(AND($G20&lt;Hta_23,$G20&gt;=Hba_23,Input!AL$43&lt;&gt;""),Input!$B$43&amp;";",""),IF(AND($G20&lt;Hta_24,$G20&gt;=Hba_24,Input!AL$44&lt;&gt;""),Input!$B$44&amp;";",""),IF(AND($G20&lt;Hta_25,$G20&gt;=Hba_25,Input!AL$45&lt;&gt;""),Input!$B$45&amp;";",""),IF(AND($G20&lt;Hta_26,$G20&gt;=Hba_26,Input!AL$46&lt;&gt;""),Input!$B$46&amp;";",""),IF(AND($G20&lt;Hta_27,$G20&gt;=Hba_27,Input!AL$47&lt;&gt;""),Input!$B$47&amp;";",""),IF(AND($G20&lt;Hta_28,$G20&gt;=Hba_28,Input!AL$48&lt;&gt;""),Input!$B$48&amp;";",""),IF(AND($G20&lt;Hta_29,$G20&gt;=Hba_29,Input!AL$49&lt;&gt;""),Input!$B$49&amp;";",""),IF(AND($G20&lt;Hta_30,$G20&gt;=Hba_30,Input!AL$50&lt;&gt;""),Input!$B$50&amp;";","")),"")</f>
        <v/>
      </c>
      <c r="CN20" s="59" t="str">
        <f t="shared" si="6"/>
        <v/>
      </c>
      <c r="CO20" s="791"/>
      <c r="CP20" s="792"/>
      <c r="CQ20" s="793"/>
      <c r="CR20" s="791"/>
      <c r="CS20" s="792"/>
      <c r="CT20" s="793"/>
      <c r="CU20" s="791" t="str">
        <f t="shared" si="7"/>
        <v/>
      </c>
      <c r="CV20" s="792"/>
      <c r="CW20" s="807"/>
      <c r="CX20" s="808"/>
      <c r="CY20" s="730"/>
      <c r="CZ20" s="809"/>
      <c r="DA20" s="733"/>
      <c r="DB20" s="734"/>
      <c r="DC20" s="735"/>
      <c r="DD20" s="729" t="str">
        <f t="shared" si="8"/>
        <v/>
      </c>
      <c r="DE20" s="730"/>
      <c r="DF20" s="731"/>
      <c r="DG20" s="55"/>
      <c r="DH20" s="56"/>
      <c r="DI20" s="56"/>
      <c r="DJ20" s="56"/>
      <c r="DK20" s="56"/>
      <c r="DL20" s="56"/>
      <c r="DM20" s="56"/>
      <c r="DN20" s="56"/>
      <c r="DO20" s="56"/>
      <c r="DP20" s="56"/>
      <c r="DQ20" s="58"/>
      <c r="DR20" s="58"/>
      <c r="DS20" s="58"/>
      <c r="DT20" s="58"/>
      <c r="DU20" s="58"/>
      <c r="DV20" s="58"/>
      <c r="DW20" s="58"/>
      <c r="DX20" s="58"/>
      <c r="DY20" s="58"/>
      <c r="DZ20" s="58"/>
      <c r="EA20" s="58"/>
      <c r="EB20" s="58"/>
      <c r="EC20" s="58"/>
      <c r="ED20" s="58"/>
      <c r="EE20" s="58"/>
      <c r="EF20" s="58"/>
      <c r="EG20" s="58"/>
      <c r="EH20" s="58"/>
      <c r="EI20" s="58"/>
      <c r="EJ20" s="58"/>
      <c r="EK20" s="58"/>
      <c r="EL20" s="134"/>
      <c r="EM20" s="134"/>
      <c r="EN20" s="134"/>
      <c r="EO20" s="134"/>
      <c r="EP20" s="134"/>
      <c r="EQ20" s="134"/>
      <c r="ER20" s="134"/>
      <c r="ES20" s="134"/>
      <c r="ET20" s="134"/>
      <c r="EU20" s="134"/>
      <c r="EV20" s="134"/>
      <c r="EW20" s="134"/>
      <c r="EX20" s="134"/>
      <c r="EY20" s="134"/>
      <c r="EZ20" s="134"/>
      <c r="FA20" s="134"/>
      <c r="FB20" s="134"/>
      <c r="FC20" s="134"/>
      <c r="FD20" s="134"/>
      <c r="FE20" s="134"/>
      <c r="FF20" s="134"/>
      <c r="FG20" s="134"/>
      <c r="FH20" s="134"/>
      <c r="FI20" s="134"/>
      <c r="FJ20" s="134"/>
      <c r="FK20" s="134"/>
      <c r="FL20" s="134"/>
      <c r="FM20" s="134"/>
      <c r="FN20" s="134"/>
      <c r="FO20" s="134"/>
      <c r="FP20" s="65"/>
      <c r="FQ20" s="124"/>
      <c r="FR20" s="122"/>
      <c r="FS20" s="120"/>
      <c r="FT20" s="119"/>
    </row>
    <row r="21" spans="2:176" ht="15.75" hidden="1" customHeight="1" thickBot="1" x14ac:dyDescent="0.3">
      <c r="B21" s="62" t="b">
        <f>IF(OR(AND(G21&gt;='Geometry 2'!$AK$5,G21&lt;'Geometry 2'!$AL$5),AND(G21&gt;='Geometry 2'!$AK$6,G21&lt;'Geometry 2'!$AL$6),AND(G21&gt;='Geometry 2'!$AK$7,G21&lt;'Geometry 2'!$AL$7),AND(G21&gt;='Geometry 2'!$AK$8,G21&lt;'Geometry 2'!$AL$8),AND(G21&gt;='Geometry 2'!$AK$9,G21&lt;'Geometry 2'!$AL$9),AND(G21&gt;='Geometry 2'!$AK$10,G21&lt;'Geometry 2'!$AL$10),AND(G21&gt;='Geometry 2'!$AK$11,G21&lt;'Geometry 2'!$AL$11),AND(G21&gt;='Geometry 2'!$AK$12,G21&lt;'Geometry 2'!$AL$12),AND(G21&gt;='Geometry 2'!$AK$13,G21&lt;'Geometry 2'!$AL$13),AND(G21&gt;='Geometry 2'!$AK$14,G21&lt;'Geometry 2'!$AL$14)),TRUE,FALSE)</f>
        <v>0</v>
      </c>
      <c r="C21" s="4" t="str">
        <f t="shared" si="3"/>
        <v/>
      </c>
      <c r="D21" s="766" t="str">
        <f t="shared" si="4"/>
        <v/>
      </c>
      <c r="E21" s="767"/>
      <c r="F21" s="17" t="str">
        <f t="shared" si="2"/>
        <v/>
      </c>
      <c r="G21" s="768" t="str">
        <f>IF(D21="","",MAX(0,G20-IF(inc="n/a",999,inc),MAX(IF(G20&lt;=Hta_1,0,Hta_1),IF(G20&lt;=Hta_2,0,Hta_2),IF(G20&lt;=Hta_3,0,Hta_3),IF(G20&lt;=Hta_4,0,Hta_4),IF(G20&lt;=Hta_5,0,Hta_5),IF(G20&lt;=Hta_6,0,Hta_6),IF(G20&lt;=Hta_7,0,Hta_7),IF(G20&lt;=Hta_8,0,Hta_8),IF(G20&lt;=Hta_9,0,Hta_9),IF(G20&lt;=Hta_10,0,Hta_10),IF(G20&lt;=Hta_11,0,Hta_11),IF(G20&lt;=Hta_12,0,Hta_12),IF(G20&lt;=Hta_13,0,Hta_13),IF(G20&lt;=Hta_14,0,Hta_14),IF(G20&lt;=Hta_15,0,Hta_15),IF(G20&lt;=Hta_16,0,Hta_16),IF(G20&lt;=Hta_17,0,Hta_17),IF(G20&lt;=Hta_18,0,Hta_18),IF(G20&lt;=Hta_19,0,Hta_19),IF(G20&lt;=Hta_20,0,Hta_20),IF(G20&lt;=Hta_21,0,Hta_21),IF(G20&lt;=Hta_22,0,Hta_22),IF(G20&lt;=Hta_23,0,Hta_23),IF(G20&lt;=Hta_24,0,Hta_24),IF(G20&lt;=Hta_25,0,Hta_25),IF(G20&lt;=Hta_26,0,Hta_26),IF(G20&lt;=Hta_27,0,Hta_27),IF(G20&lt;=Hta_28,0,Hta_28),IF(G20&lt;=Hta_29,0,Hta_29),IF(G20&lt;=Hta_30,0,Hta_30)),MAX(IF(G20&lt;=Hta_1-0.25,0,Hta_1-0.25),IF(G20&lt;=Hta_2-0.25,0,Hta_2-0.25),IF(G20&lt;=Hta_3-0.25,0,Hta_3-0.25),IF(G20&lt;=Hta_4-0.25,0,Hta_4-0.25),IF(G20&lt;=Hta_5-0.25,0,Hta_5-0.25),IF(G20&lt;=Hta_6-0.25,0,Hta_6-0.25),IF(G20&lt;=Hta_7-0.25,0,Hta_7-0.25),IF(G20&lt;=Hta_8-0.25,0,Hta_8-0.25),IF(G20&lt;=Hta_9-0.25,0,Hta_9-0.25),IF(G20&lt;=Hta_10-0.25,0,Hta_10-0.25),IF(G20&lt;=Hta_11-0.25,0,Hta_11-0.25),IF(G20&lt;=Hta_12-0.25,0,Hta_12-0.25),IF(G20&lt;=Hta_13-0.25,0,Hta_13-0.25),IF(G20&lt;=Hta_14-0.25,0,Hta_14-0.25),IF(G20&lt;=Hta_15-0.25,0,Hta_15-0.25),IF(G20&lt;=Hta_16-0.25,0,Hta_16-0.25),IF(G20&lt;=Hta_17-0.25,0,Hta_17-0.25),IF(G20&lt;=Hta_18-0.25,0,Hta_18-0.25),IF(G20&lt;=Hta_19-0.25,0,Hta_19-0.25),IF(G20&lt;=Hta_20-0.25,0,Hta_20-0.25),IF(G20&lt;=Hta_21-0.25,0,Hta_21-0.25),IF(G20&lt;=Hta_22-0.25,0,Hta_22-0.25),IF(G20&lt;=Hta_23-0.25,0,Hta_23-0.25),IF(G20&lt;=Hta_24-0.25,0,Hta_24-0.25),IF(G20&lt;=Hta_25-0.25,0,Hta_25-0.25),IF(G20&lt;=Hta_26-0.25,0,Hta_26-0.25),IF(G20&lt;=Hta_27-0.25,0,Hta_27-0.25),IF(G20&lt;=Hta_28-0.25,0,Hta_28-0.25),IF(G20&lt;=Hta_29-0.25,0,Hta_29-0.25),IF(G20&lt;=Hta_30-0.25,0,Hta_30-0.25)),MAX(IF(G20&lt;=Hba_1,0,Hba_1),IF(G20&lt;=Hba_2,0,Hba_2),IF(G20&lt;=Hba_3,0,Hba_3),IF(G20&lt;=Hba_4,0,Hba_4),IF(G20&lt;=Hba_5,0,Hba_5),IF(G20&lt;=Hba_6,0,Hba_6),IF(G20&lt;=Hba_7,0,Hba_7),IF(G20&lt;=Hba_8,0,Hba_8),IF(G20&lt;=Hba_9,0,Hba_9),IF(G20&lt;=Hba_10,0,Hba_10),IF(G20&lt;=Hba_11,0,Hba_11),IF(G20&lt;=Hba_12,0,Hba_12),IF(G20&lt;=Hba_13,0,Hba_13),IF(G20&lt;=Hba_14,0,Hba_14),IF(G20&lt;=Hba_15,0,Hba_15),IF(G20&lt;=Hba_16,0,Hba_16),IF(G20&lt;=Hba_17,0,Hba_17),IF(G20&lt;=Hba_18,0,Hba_18),IF(G20&lt;=Hba_19,0,Hba_19),IF(G20&lt;=Hba_20,0,Hba_20),IF(G20&lt;=Hba_21,0,Hba_21),IF(G20&lt;=Hba_22,0,Hba_22),IF(G20&lt;=Hba_23,0,Hba_23),IF(G20&lt;=Hba_24,0,Hba_24),IF(G20&lt;=Hba_25,0,Hba_25),IF(G20&lt;=Hba_26,0,Hba_26),IF(G20&lt;=Hba_27,0,Hba_27),IF(G20&lt;=Hba_28,0,Hba_28),IF(G20&lt;=Hba_29,0,Hba_29),IF(G20&lt;=Hba_30,0,Hba_30)),MAX(IF(G20&lt;=Input!$C$8,0,Input!$C$8),IF(G20&lt;=Input!$C$9,0,Input!$C$9),IF(G20&lt;=Input!$C$10,0,Input!$C$10),IF(G20&lt;=Input!$C$11,0,Input!$C$11),IF(G20&lt;=Input!$C$12,0,Input!$C$12),IF(G20&lt;=Input!$C$13,0,Input!$C$13),IF(G20&lt;=Input!$C$14,0,Input!$C$14),IF(G20&lt;=Input!$C$15,0,Input!$C$15),IF(G20&lt;=Input!$C$16,0,Input!$C$16)),MAX(IF(G20&lt;=Hba_1-0.25,0,Hba_1-0.25),IF(G20&lt;=Hba_2-0.25,0,Hba_2-0.25),IF(G20&lt;=Hba_3-0.25,0,Hba_3-0.25),IF(G20&lt;=Hba_4-0.25,0,Hba_4-0.25),IF(G20&lt;=Hba_5-0.25,0,Hba_5-0.25),IF(G20&lt;=Hba_6-0.25,0,Hba_6-0.25),IF(G20&lt;=Hba_7-0.25,0,Hba_7-0.25),IF(G20&lt;=Hba_8-0.25,0,Hba_8-0.25),IF(G20&lt;=Hba_9-0.25,0,Hba_9-0.25),IF(G20&lt;=Hba_10-0.25,0,Hba_10-0.25),IF(G20&lt;=Hba_11-0.25,0,Hba_11-0.25),IF(G20&lt;=Hba_12-0.25,0,Hba_12-0.25),IF(G20&lt;=Hba_13-0.25,0,Hba_13-0.25),IF(G20&lt;=Hba_14-0.25,0,Hba_14-0.25),IF(G20&lt;=Hba_15-0.25,0,Hba_15-0.25),IF(G20&lt;=Hba_16-0.25,0,Hba_16-0.25),IF(G20&lt;=Hba_17-0.25,0,Hba_17-0.25),IF(G20&lt;=Hba_18-0.25,0,Hba_18-0.25),IF(G20&lt;=Hba_19-0.25,0,Hba_19-0.25),IF(G20&lt;=Hba_20-0.25,0,Hba_20-0.25),IF(G20&lt;=Hba_21-0.25,0,Hba_21-0.25),IF(G20&lt;=Hba_22-0.25,0,Hba_22-0.25),IF(G20&lt;=Hba_23-0.25,0,Hba_23-0.25),IF(G20&lt;=Hba_24-0.25,0,Hba_24-0.25),IF(G20&lt;=Hba_25-0.25,0,Hba_25-0.25),IF(G20&lt;=Hba_26-0.25,0,Hba_26-0.25),IF(G20&lt;=Hba_27-0.25,0,Hba_27-0.25),IF(G20&lt;=Hba_28-0.25,0,Hba_28-0.25),IF(G20&lt;=Hba_29-0.25,0,Hba_29-0.25),IF(G20&lt;=Hba_30-0.25,0,Hba_30-0.25)),IF(G20&lt;='Macro References'!$A$38,0,'Macro References'!$A$38)))</f>
        <v/>
      </c>
      <c r="H21" s="769"/>
      <c r="I21" s="228"/>
      <c r="J21" s="228"/>
      <c r="K21" s="228"/>
      <c r="L21" s="717" t="str">
        <f t="shared" si="0"/>
        <v/>
      </c>
      <c r="M21" s="717"/>
      <c r="N21" s="717"/>
      <c r="O21" s="717"/>
      <c r="P21" s="717" t="str">
        <f>IF(OR(G21=0,G21=""),"",IF(VLOOKUP(G21,'Geometry 2'!$C$4:$AI$14,1,TRUE)=VLOOKUP(G22,'Geometry 2'!$C$4:$AI$14,1,TRUE),"",IF(VLOOKUP(G21,'Geometry 2'!$C$4:$AI$14,33,TRUE)&lt;&gt;"n/a",MIN(G21,VLOOKUP(G21,'Geometry 2'!$C$4:$AI$14,1,TRUE))-VLOOKUP(G21,'Geometry 2'!$C$4:$AI$14,33,TRUE),"check")))</f>
        <v/>
      </c>
      <c r="Q21" s="717"/>
      <c r="R21" s="717"/>
      <c r="S21" s="717"/>
      <c r="T21" s="717" t="str">
        <f>IF($G21="","",VLOOKUP($G21,'Geometry 2'!$E$4:$AH$14,11,TRUE))</f>
        <v/>
      </c>
      <c r="U21" s="717"/>
      <c r="V21" s="717"/>
      <c r="W21" s="717"/>
      <c r="X21" s="716" t="str">
        <f>IF($G21="","",VLOOKUP($G21,'Geometry 2'!$E$4:$AJ$14,19,TRUE)-12*VLOOKUP($G21,'Geometry 2'!$E$4:$AJ$14,32,TRUE)*($D21-VLOOKUP($G21,'Geometry 2'!$E$5:$AH$14,1,TRUE)))</f>
        <v/>
      </c>
      <c r="Y21" s="716"/>
      <c r="Z21" s="716"/>
      <c r="AA21" s="716"/>
      <c r="AB21" s="757" t="str">
        <f>IF($G21="","",VLOOKUP($G21,'Geometry 2'!$E$4:$AJ$14,19,TRUE)-12*VLOOKUP($G21,'Geometry 2'!$E$4:$AJ$14,32,TRUE)*($G21-VLOOKUP($G21,'Geometry 2'!$E$5:$AH$14,1,TRUE)))</f>
        <v/>
      </c>
      <c r="AC21" s="758"/>
      <c r="AD21" s="758"/>
      <c r="AE21" s="759"/>
      <c r="AF21" s="716" t="str">
        <f>IF($G21="","",VLOOKUP($G21,'Geometry 2'!$E$4:$AJ$14,19,TRUE)-12*VLOOKUP($G21,'Geometry 2'!$E$4:$AJ$14,32,TRUE)*($G21-IF($P21="",0,$P21)-VLOOKUP($G21,'Geometry 2'!$E$5:$AH$14,1,TRUE)))</f>
        <v/>
      </c>
      <c r="AG21" s="716"/>
      <c r="AH21" s="716"/>
      <c r="AI21" s="716"/>
      <c r="AJ21" s="746" t="str">
        <f>IF($G21="","",VLOOKUP($G21,'Geometry 2'!$E$4:$AH$14,23,TRUE))</f>
        <v/>
      </c>
      <c r="AK21" s="747"/>
      <c r="AL21" s="747"/>
      <c r="AM21" s="748"/>
      <c r="AN21" s="717"/>
      <c r="AO21" s="717"/>
      <c r="AP21" s="717"/>
      <c r="AQ21" s="717"/>
      <c r="AR21" s="717" t="str">
        <f>IF($G21="","",VLOOKUP($G21,'Geometry 2'!$E$4:$AH$14,27,TRUE))</f>
        <v/>
      </c>
      <c r="AS21" s="717"/>
      <c r="AT21" s="717"/>
      <c r="AU21" s="718"/>
      <c r="AV21" s="715"/>
      <c r="AW21" s="716"/>
      <c r="AX21" s="716"/>
      <c r="AZ21" s="722" t="str">
        <f t="shared" si="5"/>
        <v/>
      </c>
      <c r="BA21" s="723"/>
      <c r="BB21" s="723"/>
      <c r="BC21" s="724"/>
      <c r="BD21" s="722"/>
      <c r="BE21" s="723"/>
      <c r="BF21" s="723"/>
      <c r="BG21" s="722" t="str">
        <f t="shared" si="1"/>
        <v/>
      </c>
      <c r="BH21" s="723"/>
      <c r="BI21" s="723"/>
      <c r="BJ21" s="723"/>
      <c r="BK21" s="724"/>
      <c r="BL21" s="722"/>
      <c r="BM21" s="723"/>
      <c r="BN21" s="723"/>
      <c r="BO21" s="723"/>
      <c r="BP21" s="725"/>
      <c r="BQ21" s="725"/>
      <c r="BR21" s="722" t="str">
        <f>IF(BP21="","",IF(OR(AND(Rev="H",Calculations!$F$27=TRUE),AND(Rev&lt;&gt;"H",Calculations!$F$30=TRUE)),IF(BP21&lt;=1,"Pass","Fail"),IF(BP21&lt;=1.05,"Pass","Fail")))</f>
        <v/>
      </c>
      <c r="BS21" s="723"/>
      <c r="BT21" s="724"/>
      <c r="BU21" s="49"/>
      <c r="BV21" s="25" t="str">
        <f>IFERROR(CONCATENATE(IF(AND($G21&lt;Hta_1,$G21&gt;=Hba_1,Input!U$21&lt;&gt;""),Input!$B$21&amp;";",""),IF(AND($G21&lt;Hta_2,$G21&gt;=Hba_2,Input!U$22&lt;&gt;""),Input!$B$22&amp;";",""),IF(AND($G21&lt;Hta_3,$G21&gt;=Hba_3,Input!U$23&lt;&gt;""),Input!$B$23&amp;";",""),IF(AND($G21&lt;Hta_4,$G21&gt;=Hba_4,Input!U$24&lt;&gt;""),Input!$B$24&amp;";",""),IF(AND($G21&lt;Hta_5,$G21&gt;=Hba_5,Input!U$25&lt;&gt;""),Input!$B$25&amp;";",""),IF(AND($G21&lt;Hta_6,$G21&gt;=Hba_6,Input!U$26&lt;&gt;""),Input!$B$26&amp;";",""),IF(AND($G21&lt;Hta_7,$G21&gt;=Hba_7,Input!U$27&lt;&gt;""),Input!$B$27&amp;";",""),IF(AND($G21&lt;Hta_8,$G21&gt;=Hba_8,Input!U$28&lt;&gt;""),Input!$B$28&amp;";",""),IF(AND($G21&lt;Hta_9,$G21&gt;=Hba_9,Input!U$29&lt;&gt;""),Input!$B$29&amp;";",""),IF(AND($G21&lt;Hta_10,$G21&gt;=Hba_10,Input!U$30&lt;&gt;""),Input!$B$30&amp;";",""),IF(AND($G21&lt;Hta_11,$G21&gt;=Hba_11,Input!U$31&lt;&gt;""),Input!$B$31&amp;";",""),IF(AND($G21&lt;Hta_12,$G21&gt;=Hba_12,Input!U$32&lt;&gt;""),Input!$B$32&amp;";",""),IF(AND($G21&lt;Hta_13,$G21&gt;=Hba_13,Input!U$33&lt;&gt;""),Input!$B$33&amp;";",""),IF(AND($G21&lt;Hta_14,$G21&gt;=Hba_14,Input!U$34&lt;&gt;""),Input!$B$34&amp;";",""),IF(AND($G21&lt;Hta_15,$G21&gt;=Hba_15,Input!U$35&lt;&gt;""),Input!$B$35&amp;";",""),IF(AND($G21&lt;Hta_16,$G21&gt;=Hba_16,Input!U$36&lt;&gt;""),Input!$B$36&amp;";",""),IF(AND($G21&lt;Hta_17,$G21&gt;=Hba_17,Input!U$37&lt;&gt;""),Input!$B$37&amp;";",""),IF(AND($G21&lt;Hta_18,$G21&gt;=Hba_18,Input!U$38&lt;&gt;""),Input!$B$38&amp;";",""),IF(AND($G21&lt;Hta_19,$G21&gt;=Hba_19,Input!U$39&lt;&gt;""),Input!$B$39&amp;";",""),IF(AND($G21&lt;Hta_20,$G21&gt;=Hba_20,Input!U$40&lt;&gt;""),Input!$B$40&amp;";",""),IF(AND($G21&lt;Hta_21,$G21&gt;=Hba_21,Input!U$41&lt;&gt;""),Input!$B$41&amp;";",""),IF(AND($G21&lt;Hta_22,$G21&gt;=Hba_22,Input!U$42&lt;&gt;""),Input!$B$42&amp;";",""),IF(AND($G21&lt;Hta_23,$G21&gt;=Hba_23,Input!U$43&lt;&gt;""),Input!$B$43&amp;";",""),IF(AND($G21&lt;Hta_24,$G21&gt;=Hba_24,Input!U$44&lt;&gt;""),Input!$B$44&amp;";",""),IF(AND($G21&lt;Hta_25,$G21&gt;=Hba_25,Input!U$45&lt;&gt;""),Input!$B$45&amp;";",""),IF(AND($G21&lt;Hta_26,$G21&gt;=Hba_26,Input!U$46&lt;&gt;""),Input!$B$46&amp;";",""),IF(AND($G21&lt;Hta_27,$G21&gt;=Hba_27,Input!U$47&lt;&gt;""),Input!$B$47&amp;";",""),IF(AND($G21&lt;Hta_28,$G21&gt;=Hba_28,Input!U$48&lt;&gt;""),Input!$B$48&amp;";",""),IF(AND($G21&lt;Hta_29,$G21&gt;=Hba_29,Input!U$49&lt;&gt;""),Input!$B$49&amp;";",""),IF(AND($G21&lt;Hta_30,$G21&gt;=Hba_30,Input!U$50&lt;&gt;""),Input!$B$50&amp;";","")),"")</f>
        <v/>
      </c>
      <c r="BW21" s="25" t="str">
        <f>IFERROR(CONCATENATE(IF(AND($G21&lt;Hta_1,$G21&gt;=Hba_1,Input!V$21&lt;&gt;""),Input!$B$21&amp;";",""),IF(AND($G21&lt;Hta_2,$G21&gt;=Hba_2,Input!V$22&lt;&gt;""),Input!$B$22&amp;";",""),IF(AND($G21&lt;Hta_3,$G21&gt;=Hba_3,Input!V$23&lt;&gt;""),Input!$B$23&amp;";",""),IF(AND($G21&lt;Hta_4,$G21&gt;=Hba_4,Input!V$24&lt;&gt;""),Input!$B$24&amp;";",""),IF(AND($G21&lt;Hta_5,$G21&gt;=Hba_5,Input!V$25&lt;&gt;""),Input!$B$25&amp;";",""),IF(AND($G21&lt;Hta_6,$G21&gt;=Hba_6,Input!V$26&lt;&gt;""),Input!$B$26&amp;";",""),IF(AND($G21&lt;Hta_7,$G21&gt;=Hba_7,Input!V$27&lt;&gt;""),Input!$B$27&amp;";",""),IF(AND($G21&lt;Hta_8,$G21&gt;=Hba_8,Input!V$28&lt;&gt;""),Input!$B$28&amp;";",""),IF(AND($G21&lt;Hta_9,$G21&gt;=Hba_9,Input!V$29&lt;&gt;""),Input!$B$29&amp;";",""),IF(AND($G21&lt;Hta_10,$G21&gt;=Hba_10,Input!V$30&lt;&gt;""),Input!$B$30&amp;";",""),IF(AND($G21&lt;Hta_11,$G21&gt;=Hba_11,Input!V$31&lt;&gt;""),Input!$B$31&amp;";",""),IF(AND($G21&lt;Hta_12,$G21&gt;=Hba_12,Input!V$32&lt;&gt;""),Input!$B$32&amp;";",""),IF(AND($G21&lt;Hta_13,$G21&gt;=Hba_13,Input!V$33&lt;&gt;""),Input!$B$33&amp;";",""),IF(AND($G21&lt;Hta_14,$G21&gt;=Hba_14,Input!V$34&lt;&gt;""),Input!$B$34&amp;";",""),IF(AND($G21&lt;Hta_15,$G21&gt;=Hba_15,Input!V$35&lt;&gt;""),Input!$B$35&amp;";",""),IF(AND($G21&lt;Hta_16,$G21&gt;=Hba_16,Input!V$36&lt;&gt;""),Input!$B$36&amp;";",""),IF(AND($G21&lt;Hta_17,$G21&gt;=Hba_17,Input!V$37&lt;&gt;""),Input!$B$37&amp;";",""),IF(AND($G21&lt;Hta_18,$G21&gt;=Hba_18,Input!V$38&lt;&gt;""),Input!$B$38&amp;";",""),IF(AND($G21&lt;Hta_19,$G21&gt;=Hba_19,Input!V$39&lt;&gt;""),Input!$B$39&amp;";",""),IF(AND($G21&lt;Hta_20,$G21&gt;=Hba_20,Input!V$40&lt;&gt;""),Input!$B$40&amp;";",""),IF(AND($G21&lt;Hta_21,$G21&gt;=Hba_21,Input!V$41&lt;&gt;""),Input!$B$41&amp;";",""),IF(AND($G21&lt;Hta_22,$G21&gt;=Hba_22,Input!V$42&lt;&gt;""),Input!$B$42&amp;";",""),IF(AND($G21&lt;Hta_23,$G21&gt;=Hba_23,Input!V$43&lt;&gt;""),Input!$B$43&amp;";",""),IF(AND($G21&lt;Hta_24,$G21&gt;=Hba_24,Input!V$44&lt;&gt;""),Input!$B$44&amp;";",""),IF(AND($G21&lt;Hta_25,$G21&gt;=Hba_25,Input!V$45&lt;&gt;""),Input!$B$45&amp;";",""),IF(AND($G21&lt;Hta_26,$G21&gt;=Hba_26,Input!V$46&lt;&gt;""),Input!$B$46&amp;";",""),IF(AND($G21&lt;Hta_27,$G21&gt;=Hba_27,Input!V$47&lt;&gt;""),Input!$B$47&amp;";",""),IF(AND($G21&lt;Hta_28,$G21&gt;=Hba_28,Input!V$48&lt;&gt;""),Input!$B$48&amp;";",""),IF(AND($G21&lt;Hta_29,$G21&gt;=Hba_29,Input!V$49&lt;&gt;""),Input!$B$49&amp;";",""),IF(AND($G21&lt;Hta_30,$G21&gt;=Hba_30,Input!V$50&lt;&gt;""),Input!$B$50&amp;";","")),"")</f>
        <v/>
      </c>
      <c r="BX21" s="25" t="str">
        <f>IFERROR(CONCATENATE(IF(AND($G21&lt;Hta_1,$G21&gt;=Hba_1,Input!W$21&lt;&gt;""),Input!$B$21&amp;";",""),IF(AND($G21&lt;Hta_2,$G21&gt;=Hba_2,Input!W$22&lt;&gt;""),Input!$B$22&amp;";",""),IF(AND($G21&lt;Hta_3,$G21&gt;=Hba_3,Input!W$23&lt;&gt;""),Input!$B$23&amp;";",""),IF(AND($G21&lt;Hta_4,$G21&gt;=Hba_4,Input!W$24&lt;&gt;""),Input!$B$24&amp;";",""),IF(AND($G21&lt;Hta_5,$G21&gt;=Hba_5,Input!W$25&lt;&gt;""),Input!$B$25&amp;";",""),IF(AND($G21&lt;Hta_6,$G21&gt;=Hba_6,Input!W$26&lt;&gt;""),Input!$B$26&amp;";",""),IF(AND($G21&lt;Hta_7,$G21&gt;=Hba_7,Input!W$27&lt;&gt;""),Input!$B$27&amp;";",""),IF(AND($G21&lt;Hta_8,$G21&gt;=Hba_8,Input!W$28&lt;&gt;""),Input!$B$28&amp;";",""),IF(AND($G21&lt;Hta_9,$G21&gt;=Hba_9,Input!W$29&lt;&gt;""),Input!$B$29&amp;";",""),IF(AND($G21&lt;Hta_10,$G21&gt;=Hba_10,Input!W$30&lt;&gt;""),Input!$B$30&amp;";",""),IF(AND($G21&lt;Hta_11,$G21&gt;=Hba_11,Input!W$31&lt;&gt;""),Input!$B$31&amp;";",""),IF(AND($G21&lt;Hta_12,$G21&gt;=Hba_12,Input!W$32&lt;&gt;""),Input!$B$32&amp;";",""),IF(AND($G21&lt;Hta_13,$G21&gt;=Hba_13,Input!W$33&lt;&gt;""),Input!$B$33&amp;";",""),IF(AND($G21&lt;Hta_14,$G21&gt;=Hba_14,Input!W$34&lt;&gt;""),Input!$B$34&amp;";",""),IF(AND($G21&lt;Hta_15,$G21&gt;=Hba_15,Input!W$35&lt;&gt;""),Input!$B$35&amp;";",""),IF(AND($G21&lt;Hta_16,$G21&gt;=Hba_16,Input!W$36&lt;&gt;""),Input!$B$36&amp;";",""),IF(AND($G21&lt;Hta_17,$G21&gt;=Hba_17,Input!W$37&lt;&gt;""),Input!$B$37&amp;";",""),IF(AND($G21&lt;Hta_18,$G21&gt;=Hba_18,Input!W$38&lt;&gt;""),Input!$B$38&amp;";",""),IF(AND($G21&lt;Hta_19,$G21&gt;=Hba_19,Input!W$39&lt;&gt;""),Input!$B$39&amp;";",""),IF(AND($G21&lt;Hta_20,$G21&gt;=Hba_20,Input!W$40&lt;&gt;""),Input!$B$40&amp;";",""),IF(AND($G21&lt;Hta_21,$G21&gt;=Hba_21,Input!W$41&lt;&gt;""),Input!$B$41&amp;";",""),IF(AND($G21&lt;Hta_22,$G21&gt;=Hba_22,Input!W$42&lt;&gt;""),Input!$B$42&amp;";",""),IF(AND($G21&lt;Hta_23,$G21&gt;=Hba_23,Input!W$43&lt;&gt;""),Input!$B$43&amp;";",""),IF(AND($G21&lt;Hta_24,$G21&gt;=Hba_24,Input!W$44&lt;&gt;""),Input!$B$44&amp;";",""),IF(AND($G21&lt;Hta_25,$G21&gt;=Hba_25,Input!W$45&lt;&gt;""),Input!$B$45&amp;";",""),IF(AND($G21&lt;Hta_26,$G21&gt;=Hba_26,Input!W$46&lt;&gt;""),Input!$B$46&amp;";",""),IF(AND($G21&lt;Hta_27,$G21&gt;=Hba_27,Input!W$47&lt;&gt;""),Input!$B$47&amp;";",""),IF(AND($G21&lt;Hta_28,$G21&gt;=Hba_28,Input!W$48&lt;&gt;""),Input!$B$48&amp;";",""),IF(AND($G21&lt;Hta_29,$G21&gt;=Hba_29,Input!W$49&lt;&gt;""),Input!$B$49&amp;";",""),IF(AND($G21&lt;Hta_30,$G21&gt;=Hba_30,Input!W$50&lt;&gt;""),Input!$B$50&amp;";","")),"")</f>
        <v/>
      </c>
      <c r="BY21" s="25" t="str">
        <f>IFERROR(CONCATENATE(IF(AND($G21&lt;Hta_1,$G21&gt;=Hba_1,Input!X$21&lt;&gt;""),Input!$B$21&amp;";",""),IF(AND($G21&lt;Hta_2,$G21&gt;=Hba_2,Input!X$22&lt;&gt;""),Input!$B$22&amp;";",""),IF(AND($G21&lt;Hta_3,$G21&gt;=Hba_3,Input!X$23&lt;&gt;""),Input!$B$23&amp;";",""),IF(AND($G21&lt;Hta_4,$G21&gt;=Hba_4,Input!X$24&lt;&gt;""),Input!$B$24&amp;";",""),IF(AND($G21&lt;Hta_5,$G21&gt;=Hba_5,Input!X$25&lt;&gt;""),Input!$B$25&amp;";",""),IF(AND($G21&lt;Hta_6,$G21&gt;=Hba_6,Input!X$26&lt;&gt;""),Input!$B$26&amp;";",""),IF(AND($G21&lt;Hta_7,$G21&gt;=Hba_7,Input!X$27&lt;&gt;""),Input!$B$27&amp;";",""),IF(AND($G21&lt;Hta_8,$G21&gt;=Hba_8,Input!X$28&lt;&gt;""),Input!$B$28&amp;";",""),IF(AND($G21&lt;Hta_9,$G21&gt;=Hba_9,Input!X$29&lt;&gt;""),Input!$B$29&amp;";",""),IF(AND($G21&lt;Hta_10,$G21&gt;=Hba_10,Input!X$30&lt;&gt;""),Input!$B$30&amp;";",""),IF(AND($G21&lt;Hta_11,$G21&gt;=Hba_11,Input!X$31&lt;&gt;""),Input!$B$31&amp;";",""),IF(AND($G21&lt;Hta_12,$G21&gt;=Hba_12,Input!X$32&lt;&gt;""),Input!$B$32&amp;";",""),IF(AND($G21&lt;Hta_13,$G21&gt;=Hba_13,Input!X$33&lt;&gt;""),Input!$B$33&amp;";",""),IF(AND($G21&lt;Hta_14,$G21&gt;=Hba_14,Input!X$34&lt;&gt;""),Input!$B$34&amp;";",""),IF(AND($G21&lt;Hta_15,$G21&gt;=Hba_15,Input!X$35&lt;&gt;""),Input!$B$35&amp;";",""),IF(AND($G21&lt;Hta_16,$G21&gt;=Hba_16,Input!X$36&lt;&gt;""),Input!$B$36&amp;";",""),IF(AND($G21&lt;Hta_17,$G21&gt;=Hba_17,Input!X$37&lt;&gt;""),Input!$B$37&amp;";",""),IF(AND($G21&lt;Hta_18,$G21&gt;=Hba_18,Input!X$38&lt;&gt;""),Input!$B$38&amp;";",""),IF(AND($G21&lt;Hta_19,$G21&gt;=Hba_19,Input!X$39&lt;&gt;""),Input!$B$39&amp;";",""),IF(AND($G21&lt;Hta_20,$G21&gt;=Hba_20,Input!X$40&lt;&gt;""),Input!$B$40&amp;";",""),IF(AND($G21&lt;Hta_21,$G21&gt;=Hba_21,Input!X$41&lt;&gt;""),Input!$B$41&amp;";",""),IF(AND($G21&lt;Hta_22,$G21&gt;=Hba_22,Input!X$42&lt;&gt;""),Input!$B$42&amp;";",""),IF(AND($G21&lt;Hta_23,$G21&gt;=Hba_23,Input!X$43&lt;&gt;""),Input!$B$43&amp;";",""),IF(AND($G21&lt;Hta_24,$G21&gt;=Hba_24,Input!X$44&lt;&gt;""),Input!$B$44&amp;";",""),IF(AND($G21&lt;Hta_25,$G21&gt;=Hba_25,Input!X$45&lt;&gt;""),Input!$B$45&amp;";",""),IF(AND($G21&lt;Hta_26,$G21&gt;=Hba_26,Input!X$46&lt;&gt;""),Input!$B$46&amp;";",""),IF(AND($G21&lt;Hta_27,$G21&gt;=Hba_27,Input!X$47&lt;&gt;""),Input!$B$47&amp;";",""),IF(AND($G21&lt;Hta_28,$G21&gt;=Hba_28,Input!X$48&lt;&gt;""),Input!$B$48&amp;";",""),IF(AND($G21&lt;Hta_29,$G21&gt;=Hba_29,Input!X$49&lt;&gt;""),Input!$B$49&amp;";",""),IF(AND($G21&lt;Hta_30,$G21&gt;=Hba_30,Input!X$50&lt;&gt;""),Input!$B$50&amp;";","")),"")</f>
        <v/>
      </c>
      <c r="BZ21" s="25" t="str">
        <f>IFERROR(CONCATENATE(IF(AND($G21&lt;Hta_1,$G21&gt;=Hba_1,Input!Y$21&lt;&gt;""),Input!$B$21&amp;";",""),IF(AND($G21&lt;Hta_2,$G21&gt;=Hba_2,Input!Y$22&lt;&gt;""),Input!$B$22&amp;";",""),IF(AND($G21&lt;Hta_3,$G21&gt;=Hba_3,Input!Y$23&lt;&gt;""),Input!$B$23&amp;";",""),IF(AND($G21&lt;Hta_4,$G21&gt;=Hba_4,Input!Y$24&lt;&gt;""),Input!$B$24&amp;";",""),IF(AND($G21&lt;Hta_5,$G21&gt;=Hba_5,Input!Y$25&lt;&gt;""),Input!$B$25&amp;";",""),IF(AND($G21&lt;Hta_6,$G21&gt;=Hba_6,Input!Y$26&lt;&gt;""),Input!$B$26&amp;";",""),IF(AND($G21&lt;Hta_7,$G21&gt;=Hba_7,Input!Y$27&lt;&gt;""),Input!$B$27&amp;";",""),IF(AND($G21&lt;Hta_8,$G21&gt;=Hba_8,Input!Y$28&lt;&gt;""),Input!$B$28&amp;";",""),IF(AND($G21&lt;Hta_9,$G21&gt;=Hba_9,Input!Y$29&lt;&gt;""),Input!$B$29&amp;";",""),IF(AND($G21&lt;Hta_10,$G21&gt;=Hba_10,Input!Y$30&lt;&gt;""),Input!$B$30&amp;";",""),IF(AND($G21&lt;Hta_11,$G21&gt;=Hba_11,Input!Y$31&lt;&gt;""),Input!$B$31&amp;";",""),IF(AND($G21&lt;Hta_12,$G21&gt;=Hba_12,Input!Y$32&lt;&gt;""),Input!$B$32&amp;";",""),IF(AND($G21&lt;Hta_13,$G21&gt;=Hba_13,Input!Y$33&lt;&gt;""),Input!$B$33&amp;";",""),IF(AND($G21&lt;Hta_14,$G21&gt;=Hba_14,Input!Y$34&lt;&gt;""),Input!$B$34&amp;";",""),IF(AND($G21&lt;Hta_15,$G21&gt;=Hba_15,Input!Y$35&lt;&gt;""),Input!$B$35&amp;";",""),IF(AND($G21&lt;Hta_16,$G21&gt;=Hba_16,Input!Y$36&lt;&gt;""),Input!$B$36&amp;";",""),IF(AND($G21&lt;Hta_17,$G21&gt;=Hba_17,Input!Y$37&lt;&gt;""),Input!$B$37&amp;";",""),IF(AND($G21&lt;Hta_18,$G21&gt;=Hba_18,Input!Y$38&lt;&gt;""),Input!$B$38&amp;";",""),IF(AND($G21&lt;Hta_19,$G21&gt;=Hba_19,Input!Y$39&lt;&gt;""),Input!$B$39&amp;";",""),IF(AND($G21&lt;Hta_20,$G21&gt;=Hba_20,Input!Y$40&lt;&gt;""),Input!$B$40&amp;";",""),IF(AND($G21&lt;Hta_21,$G21&gt;=Hba_21,Input!Y$41&lt;&gt;""),Input!$B$41&amp;";",""),IF(AND($G21&lt;Hta_22,$G21&gt;=Hba_22,Input!Y$42&lt;&gt;""),Input!$B$42&amp;";",""),IF(AND($G21&lt;Hta_23,$G21&gt;=Hba_23,Input!Y$43&lt;&gt;""),Input!$B$43&amp;";",""),IF(AND($G21&lt;Hta_24,$G21&gt;=Hba_24,Input!Y$44&lt;&gt;""),Input!$B$44&amp;";",""),IF(AND($G21&lt;Hta_25,$G21&gt;=Hba_25,Input!Y$45&lt;&gt;""),Input!$B$45&amp;";",""),IF(AND($G21&lt;Hta_26,$G21&gt;=Hba_26,Input!Y$46&lt;&gt;""),Input!$B$46&amp;";",""),IF(AND($G21&lt;Hta_27,$G21&gt;=Hba_27,Input!Y$47&lt;&gt;""),Input!$B$47&amp;";",""),IF(AND($G21&lt;Hta_28,$G21&gt;=Hba_28,Input!Y$48&lt;&gt;""),Input!$B$48&amp;";",""),IF(AND($G21&lt;Hta_29,$G21&gt;=Hba_29,Input!Y$49&lt;&gt;""),Input!$B$49&amp;";",""),IF(AND($G21&lt;Hta_30,$G21&gt;=Hba_30,Input!Y$50&lt;&gt;""),Input!$B$50&amp;";","")),"")</f>
        <v/>
      </c>
      <c r="CA21" s="25" t="str">
        <f>IFERROR(CONCATENATE(IF(AND($G21&lt;Hta_1,$G21&gt;=Hba_1,Input!Z$21&lt;&gt;""),Input!$B$21&amp;";",""),IF(AND($G21&lt;Hta_2,$G21&gt;=Hba_2,Input!Z$22&lt;&gt;""),Input!$B$22&amp;";",""),IF(AND($G21&lt;Hta_3,$G21&gt;=Hba_3,Input!Z$23&lt;&gt;""),Input!$B$23&amp;";",""),IF(AND($G21&lt;Hta_4,$G21&gt;=Hba_4,Input!Z$24&lt;&gt;""),Input!$B$24&amp;";",""),IF(AND($G21&lt;Hta_5,$G21&gt;=Hba_5,Input!Z$25&lt;&gt;""),Input!$B$25&amp;";",""),IF(AND($G21&lt;Hta_6,$G21&gt;=Hba_6,Input!Z$26&lt;&gt;""),Input!$B$26&amp;";",""),IF(AND($G21&lt;Hta_7,$G21&gt;=Hba_7,Input!Z$27&lt;&gt;""),Input!$B$27&amp;";",""),IF(AND($G21&lt;Hta_8,$G21&gt;=Hba_8,Input!Z$28&lt;&gt;""),Input!$B$28&amp;";",""),IF(AND($G21&lt;Hta_9,$G21&gt;=Hba_9,Input!Z$29&lt;&gt;""),Input!$B$29&amp;";",""),IF(AND($G21&lt;Hta_10,$G21&gt;=Hba_10,Input!Z$30&lt;&gt;""),Input!$B$30&amp;";",""),IF(AND($G21&lt;Hta_11,$G21&gt;=Hba_11,Input!Z$31&lt;&gt;""),Input!$B$31&amp;";",""),IF(AND($G21&lt;Hta_12,$G21&gt;=Hba_12,Input!Z$32&lt;&gt;""),Input!$B$32&amp;";",""),IF(AND($G21&lt;Hta_13,$G21&gt;=Hba_13,Input!Z$33&lt;&gt;""),Input!$B$33&amp;";",""),IF(AND($G21&lt;Hta_14,$G21&gt;=Hba_14,Input!Z$34&lt;&gt;""),Input!$B$34&amp;";",""),IF(AND($G21&lt;Hta_15,$G21&gt;=Hba_15,Input!Z$35&lt;&gt;""),Input!$B$35&amp;";",""),IF(AND($G21&lt;Hta_16,$G21&gt;=Hba_16,Input!Z$36&lt;&gt;""),Input!$B$36&amp;";",""),IF(AND($G21&lt;Hta_17,$G21&gt;=Hba_17,Input!Z$37&lt;&gt;""),Input!$B$37&amp;";",""),IF(AND($G21&lt;Hta_18,$G21&gt;=Hba_18,Input!Z$38&lt;&gt;""),Input!$B$38&amp;";",""),IF(AND($G21&lt;Hta_19,$G21&gt;=Hba_19,Input!Z$39&lt;&gt;""),Input!$B$39&amp;";",""),IF(AND($G21&lt;Hta_20,$G21&gt;=Hba_20,Input!Z$40&lt;&gt;""),Input!$B$40&amp;";",""),IF(AND($G21&lt;Hta_21,$G21&gt;=Hba_21,Input!Z$41&lt;&gt;""),Input!$B$41&amp;";",""),IF(AND($G21&lt;Hta_22,$G21&gt;=Hba_22,Input!Z$42&lt;&gt;""),Input!$B$42&amp;";",""),IF(AND($G21&lt;Hta_23,$G21&gt;=Hba_23,Input!Z$43&lt;&gt;""),Input!$B$43&amp;";",""),IF(AND($G21&lt;Hta_24,$G21&gt;=Hba_24,Input!Z$44&lt;&gt;""),Input!$B$44&amp;";",""),IF(AND($G21&lt;Hta_25,$G21&gt;=Hba_25,Input!Z$45&lt;&gt;""),Input!$B$45&amp;";",""),IF(AND($G21&lt;Hta_26,$G21&gt;=Hba_26,Input!Z$46&lt;&gt;""),Input!$B$46&amp;";",""),IF(AND($G21&lt;Hta_27,$G21&gt;=Hba_27,Input!Z$47&lt;&gt;""),Input!$B$47&amp;";",""),IF(AND($G21&lt;Hta_28,$G21&gt;=Hba_28,Input!Z$48&lt;&gt;""),Input!$B$48&amp;";",""),IF(AND($G21&lt;Hta_29,$G21&gt;=Hba_29,Input!Z$49&lt;&gt;""),Input!$B$49&amp;";",""),IF(AND($G21&lt;Hta_30,$G21&gt;=Hba_30,Input!Z$50&lt;&gt;""),Input!$B$50&amp;";","")),"")</f>
        <v/>
      </c>
      <c r="CB21" s="25" t="str">
        <f>IFERROR(CONCATENATE(IF(AND($G21&lt;Hta_1,$G21&gt;=Hba_1,Input!AA$21&lt;&gt;""),Input!$B$21&amp;";",""),IF(AND($G21&lt;Hta_2,$G21&gt;=Hba_2,Input!AA$22&lt;&gt;""),Input!$B$22&amp;";",""),IF(AND($G21&lt;Hta_3,$G21&gt;=Hba_3,Input!AA$23&lt;&gt;""),Input!$B$23&amp;";",""),IF(AND($G21&lt;Hta_4,$G21&gt;=Hba_4,Input!AA$24&lt;&gt;""),Input!$B$24&amp;";",""),IF(AND($G21&lt;Hta_5,$G21&gt;=Hba_5,Input!AA$25&lt;&gt;""),Input!$B$25&amp;";",""),IF(AND($G21&lt;Hta_6,$G21&gt;=Hba_6,Input!AA$26&lt;&gt;""),Input!$B$26&amp;";",""),IF(AND($G21&lt;Hta_7,$G21&gt;=Hba_7,Input!AA$27&lt;&gt;""),Input!$B$27&amp;";",""),IF(AND($G21&lt;Hta_8,$G21&gt;=Hba_8,Input!AA$28&lt;&gt;""),Input!$B$28&amp;";",""),IF(AND($G21&lt;Hta_9,$G21&gt;=Hba_9,Input!AA$29&lt;&gt;""),Input!$B$29&amp;";",""),IF(AND($G21&lt;Hta_10,$G21&gt;=Hba_10,Input!AA$30&lt;&gt;""),Input!$B$30&amp;";",""),IF(AND($G21&lt;Hta_11,$G21&gt;=Hba_11,Input!AA$31&lt;&gt;""),Input!$B$31&amp;";",""),IF(AND($G21&lt;Hta_12,$G21&gt;=Hba_12,Input!AA$32&lt;&gt;""),Input!$B$32&amp;";",""),IF(AND($G21&lt;Hta_13,$G21&gt;=Hba_13,Input!AA$33&lt;&gt;""),Input!$B$33&amp;";",""),IF(AND($G21&lt;Hta_14,$G21&gt;=Hba_14,Input!AA$34&lt;&gt;""),Input!$B$34&amp;";",""),IF(AND($G21&lt;Hta_15,$G21&gt;=Hba_15,Input!AA$35&lt;&gt;""),Input!$B$35&amp;";",""),IF(AND($G21&lt;Hta_16,$G21&gt;=Hba_16,Input!AA$36&lt;&gt;""),Input!$B$36&amp;";",""),IF(AND($G21&lt;Hta_17,$G21&gt;=Hba_17,Input!AA$37&lt;&gt;""),Input!$B$37&amp;";",""),IF(AND($G21&lt;Hta_18,$G21&gt;=Hba_18,Input!AA$38&lt;&gt;""),Input!$B$38&amp;";",""),IF(AND($G21&lt;Hta_19,$G21&gt;=Hba_19,Input!AA$39&lt;&gt;""),Input!$B$39&amp;";",""),IF(AND($G21&lt;Hta_20,$G21&gt;=Hba_20,Input!AA$40&lt;&gt;""),Input!$B$40&amp;";",""),IF(AND($G21&lt;Hta_21,$G21&gt;=Hba_21,Input!AA$41&lt;&gt;""),Input!$B$41&amp;";",""),IF(AND($G21&lt;Hta_22,$G21&gt;=Hba_22,Input!AA$42&lt;&gt;""),Input!$B$42&amp;";",""),IF(AND($G21&lt;Hta_23,$G21&gt;=Hba_23,Input!AA$43&lt;&gt;""),Input!$B$43&amp;";",""),IF(AND($G21&lt;Hta_24,$G21&gt;=Hba_24,Input!AA$44&lt;&gt;""),Input!$B$44&amp;";",""),IF(AND($G21&lt;Hta_25,$G21&gt;=Hba_25,Input!AA$45&lt;&gt;""),Input!$B$45&amp;";",""),IF(AND($G21&lt;Hta_26,$G21&gt;=Hba_26,Input!AA$46&lt;&gt;""),Input!$B$46&amp;";",""),IF(AND($G21&lt;Hta_27,$G21&gt;=Hba_27,Input!AA$47&lt;&gt;""),Input!$B$47&amp;";",""),IF(AND($G21&lt;Hta_28,$G21&gt;=Hba_28,Input!AA$48&lt;&gt;""),Input!$B$48&amp;";",""),IF(AND($G21&lt;Hta_29,$G21&gt;=Hba_29,Input!AA$49&lt;&gt;""),Input!$B$49&amp;";",""),IF(AND($G21&lt;Hta_30,$G21&gt;=Hba_30,Input!AA$50&lt;&gt;""),Input!$B$50&amp;";","")),"")</f>
        <v/>
      </c>
      <c r="CC21" s="25" t="str">
        <f>IFERROR(CONCATENATE(IF(AND($G21&lt;Hta_1,$G21&gt;=Hba_1,Input!AB$21&lt;&gt;""),Input!$B$21&amp;";",""),IF(AND($G21&lt;Hta_2,$G21&gt;=Hba_2,Input!AB$22&lt;&gt;""),Input!$B$22&amp;";",""),IF(AND($G21&lt;Hta_3,$G21&gt;=Hba_3,Input!AB$23&lt;&gt;""),Input!$B$23&amp;";",""),IF(AND($G21&lt;Hta_4,$G21&gt;=Hba_4,Input!AB$24&lt;&gt;""),Input!$B$24&amp;";",""),IF(AND($G21&lt;Hta_5,$G21&gt;=Hba_5,Input!AB$25&lt;&gt;""),Input!$B$25&amp;";",""),IF(AND($G21&lt;Hta_6,$G21&gt;=Hba_6,Input!AB$26&lt;&gt;""),Input!$B$26&amp;";",""),IF(AND($G21&lt;Hta_7,$G21&gt;=Hba_7,Input!AB$27&lt;&gt;""),Input!$B$27&amp;";",""),IF(AND($G21&lt;Hta_8,$G21&gt;=Hba_8,Input!AB$28&lt;&gt;""),Input!$B$28&amp;";",""),IF(AND($G21&lt;Hta_9,$G21&gt;=Hba_9,Input!AB$29&lt;&gt;""),Input!$B$29&amp;";",""),IF(AND($G21&lt;Hta_10,$G21&gt;=Hba_10,Input!AB$30&lt;&gt;""),Input!$B$30&amp;";",""),IF(AND($G21&lt;Hta_11,$G21&gt;=Hba_11,Input!AB$31&lt;&gt;""),Input!$B$31&amp;";",""),IF(AND($G21&lt;Hta_12,$G21&gt;=Hba_12,Input!AB$32&lt;&gt;""),Input!$B$32&amp;";",""),IF(AND($G21&lt;Hta_13,$G21&gt;=Hba_13,Input!AB$33&lt;&gt;""),Input!$B$33&amp;";",""),IF(AND($G21&lt;Hta_14,$G21&gt;=Hba_14,Input!AB$34&lt;&gt;""),Input!$B$34&amp;";",""),IF(AND($G21&lt;Hta_15,$G21&gt;=Hba_15,Input!AB$35&lt;&gt;""),Input!$B$35&amp;";",""),IF(AND($G21&lt;Hta_16,$G21&gt;=Hba_16,Input!AB$36&lt;&gt;""),Input!$B$36&amp;";",""),IF(AND($G21&lt;Hta_17,$G21&gt;=Hba_17,Input!AB$37&lt;&gt;""),Input!$B$37&amp;";",""),IF(AND($G21&lt;Hta_18,$G21&gt;=Hba_18,Input!AB$38&lt;&gt;""),Input!$B$38&amp;";",""),IF(AND($G21&lt;Hta_19,$G21&gt;=Hba_19,Input!AB$39&lt;&gt;""),Input!$B$39&amp;";",""),IF(AND($G21&lt;Hta_20,$G21&gt;=Hba_20,Input!AB$40&lt;&gt;""),Input!$B$40&amp;";",""),IF(AND($G21&lt;Hta_21,$G21&gt;=Hba_21,Input!AB$41&lt;&gt;""),Input!$B$41&amp;";",""),IF(AND($G21&lt;Hta_22,$G21&gt;=Hba_22,Input!AB$42&lt;&gt;""),Input!$B$42&amp;";",""),IF(AND($G21&lt;Hta_23,$G21&gt;=Hba_23,Input!AB$43&lt;&gt;""),Input!$B$43&amp;";",""),IF(AND($G21&lt;Hta_24,$G21&gt;=Hba_24,Input!AB$44&lt;&gt;""),Input!$B$44&amp;";",""),IF(AND($G21&lt;Hta_25,$G21&gt;=Hba_25,Input!AB$45&lt;&gt;""),Input!$B$45&amp;";",""),IF(AND($G21&lt;Hta_26,$G21&gt;=Hba_26,Input!AB$46&lt;&gt;""),Input!$B$46&amp;";",""),IF(AND($G21&lt;Hta_27,$G21&gt;=Hba_27,Input!AB$47&lt;&gt;""),Input!$B$47&amp;";",""),IF(AND($G21&lt;Hta_28,$G21&gt;=Hba_28,Input!AB$48&lt;&gt;""),Input!$B$48&amp;";",""),IF(AND($G21&lt;Hta_29,$G21&gt;=Hba_29,Input!AB$49&lt;&gt;""),Input!$B$49&amp;";",""),IF(AND($G21&lt;Hta_30,$G21&gt;=Hba_30,Input!AB$50&lt;&gt;""),Input!$B$50&amp;";","")),"")</f>
        <v/>
      </c>
      <c r="CD21" s="25" t="str">
        <f>IFERROR(CONCATENATE(IF(AND($G21&lt;Hta_1,$G21&gt;=Hba_1,Input!AC$21&lt;&gt;""),Input!$B$21&amp;";",""),IF(AND($G21&lt;Hta_2,$G21&gt;=Hba_2,Input!AC$22&lt;&gt;""),Input!$B$22&amp;";",""),IF(AND($G21&lt;Hta_3,$G21&gt;=Hba_3,Input!AC$23&lt;&gt;""),Input!$B$23&amp;";",""),IF(AND($G21&lt;Hta_4,$G21&gt;=Hba_4,Input!AC$24&lt;&gt;""),Input!$B$24&amp;";",""),IF(AND($G21&lt;Hta_5,$G21&gt;=Hba_5,Input!AC$25&lt;&gt;""),Input!$B$25&amp;";",""),IF(AND($G21&lt;Hta_6,$G21&gt;=Hba_6,Input!AC$26&lt;&gt;""),Input!$B$26&amp;";",""),IF(AND($G21&lt;Hta_7,$G21&gt;=Hba_7,Input!AC$27&lt;&gt;""),Input!$B$27&amp;";",""),IF(AND($G21&lt;Hta_8,$G21&gt;=Hba_8,Input!AC$28&lt;&gt;""),Input!$B$28&amp;";",""),IF(AND($G21&lt;Hta_9,$G21&gt;=Hba_9,Input!AC$29&lt;&gt;""),Input!$B$29&amp;";",""),IF(AND($G21&lt;Hta_10,$G21&gt;=Hba_10,Input!AC$30&lt;&gt;""),Input!$B$30&amp;";",""),IF(AND($G21&lt;Hta_11,$G21&gt;=Hba_11,Input!AC$31&lt;&gt;""),Input!$B$31&amp;";",""),IF(AND($G21&lt;Hta_12,$G21&gt;=Hba_12,Input!AC$32&lt;&gt;""),Input!$B$32&amp;";",""),IF(AND($G21&lt;Hta_13,$G21&gt;=Hba_13,Input!AC$33&lt;&gt;""),Input!$B$33&amp;";",""),IF(AND($G21&lt;Hta_14,$G21&gt;=Hba_14,Input!AC$34&lt;&gt;""),Input!$B$34&amp;";",""),IF(AND($G21&lt;Hta_15,$G21&gt;=Hba_15,Input!AC$35&lt;&gt;""),Input!$B$35&amp;";",""),IF(AND($G21&lt;Hta_16,$G21&gt;=Hba_16,Input!AC$36&lt;&gt;""),Input!$B$36&amp;";",""),IF(AND($G21&lt;Hta_17,$G21&gt;=Hba_17,Input!AC$37&lt;&gt;""),Input!$B$37&amp;";",""),IF(AND($G21&lt;Hta_18,$G21&gt;=Hba_18,Input!AC$38&lt;&gt;""),Input!$B$38&amp;";",""),IF(AND($G21&lt;Hta_19,$G21&gt;=Hba_19,Input!AC$39&lt;&gt;""),Input!$B$39&amp;";",""),IF(AND($G21&lt;Hta_20,$G21&gt;=Hba_20,Input!AC$40&lt;&gt;""),Input!$B$40&amp;";",""),IF(AND($G21&lt;Hta_21,$G21&gt;=Hba_21,Input!AC$41&lt;&gt;""),Input!$B$41&amp;";",""),IF(AND($G21&lt;Hta_22,$G21&gt;=Hba_22,Input!AC$42&lt;&gt;""),Input!$B$42&amp;";",""),IF(AND($G21&lt;Hta_23,$G21&gt;=Hba_23,Input!AC$43&lt;&gt;""),Input!$B$43&amp;";",""),IF(AND($G21&lt;Hta_24,$G21&gt;=Hba_24,Input!AC$44&lt;&gt;""),Input!$B$44&amp;";",""),IF(AND($G21&lt;Hta_25,$G21&gt;=Hba_25,Input!AC$45&lt;&gt;""),Input!$B$45&amp;";",""),IF(AND($G21&lt;Hta_26,$G21&gt;=Hba_26,Input!AC$46&lt;&gt;""),Input!$B$46&amp;";",""),IF(AND($G21&lt;Hta_27,$G21&gt;=Hba_27,Input!AC$47&lt;&gt;""),Input!$B$47&amp;";",""),IF(AND($G21&lt;Hta_28,$G21&gt;=Hba_28,Input!AC$48&lt;&gt;""),Input!$B$48&amp;";",""),IF(AND($G21&lt;Hta_29,$G21&gt;=Hba_29,Input!AC$49&lt;&gt;""),Input!$B$49&amp;";",""),IF(AND($G21&lt;Hta_30,$G21&gt;=Hba_30,Input!AC$50&lt;&gt;""),Input!$B$50&amp;";","")),"")</f>
        <v/>
      </c>
      <c r="CE21" s="25" t="str">
        <f>IFERROR(CONCATENATE(IF(AND($G21&lt;Hta_1,$G21&gt;=Hba_1,Input!AD$21&lt;&gt;""),Input!$B$21&amp;";",""),IF(AND($G21&lt;Hta_2,$G21&gt;=Hba_2,Input!AD$22&lt;&gt;""),Input!$B$22&amp;";",""),IF(AND($G21&lt;Hta_3,$G21&gt;=Hba_3,Input!AD$23&lt;&gt;""),Input!$B$23&amp;";",""),IF(AND($G21&lt;Hta_4,$G21&gt;=Hba_4,Input!AD$24&lt;&gt;""),Input!$B$24&amp;";",""),IF(AND($G21&lt;Hta_5,$G21&gt;=Hba_5,Input!AD$25&lt;&gt;""),Input!$B$25&amp;";",""),IF(AND($G21&lt;Hta_6,$G21&gt;=Hba_6,Input!AD$26&lt;&gt;""),Input!$B$26&amp;";",""),IF(AND($G21&lt;Hta_7,$G21&gt;=Hba_7,Input!AD$27&lt;&gt;""),Input!$B$27&amp;";",""),IF(AND($G21&lt;Hta_8,$G21&gt;=Hba_8,Input!AD$28&lt;&gt;""),Input!$B$28&amp;";",""),IF(AND($G21&lt;Hta_9,$G21&gt;=Hba_9,Input!AD$29&lt;&gt;""),Input!$B$29&amp;";",""),IF(AND($G21&lt;Hta_10,$G21&gt;=Hba_10,Input!AD$30&lt;&gt;""),Input!$B$30&amp;";",""),IF(AND($G21&lt;Hta_11,$G21&gt;=Hba_11,Input!AD$31&lt;&gt;""),Input!$B$31&amp;";",""),IF(AND($G21&lt;Hta_12,$G21&gt;=Hba_12,Input!AD$32&lt;&gt;""),Input!$B$32&amp;";",""),IF(AND($G21&lt;Hta_13,$G21&gt;=Hba_13,Input!AD$33&lt;&gt;""),Input!$B$33&amp;";",""),IF(AND($G21&lt;Hta_14,$G21&gt;=Hba_14,Input!AD$34&lt;&gt;""),Input!$B$34&amp;";",""),IF(AND($G21&lt;Hta_15,$G21&gt;=Hba_15,Input!AD$35&lt;&gt;""),Input!$B$35&amp;";",""),IF(AND($G21&lt;Hta_16,$G21&gt;=Hba_16,Input!AD$36&lt;&gt;""),Input!$B$36&amp;";",""),IF(AND($G21&lt;Hta_17,$G21&gt;=Hba_17,Input!AD$37&lt;&gt;""),Input!$B$37&amp;";",""),IF(AND($G21&lt;Hta_18,$G21&gt;=Hba_18,Input!AD$38&lt;&gt;""),Input!$B$38&amp;";",""),IF(AND($G21&lt;Hta_19,$G21&gt;=Hba_19,Input!AD$39&lt;&gt;""),Input!$B$39&amp;";",""),IF(AND($G21&lt;Hta_20,$G21&gt;=Hba_20,Input!AD$40&lt;&gt;""),Input!$B$40&amp;";",""),IF(AND($G21&lt;Hta_21,$G21&gt;=Hba_21,Input!AD$41&lt;&gt;""),Input!$B$41&amp;";",""),IF(AND($G21&lt;Hta_22,$G21&gt;=Hba_22,Input!AD$42&lt;&gt;""),Input!$B$42&amp;";",""),IF(AND($G21&lt;Hta_23,$G21&gt;=Hba_23,Input!AD$43&lt;&gt;""),Input!$B$43&amp;";",""),IF(AND($G21&lt;Hta_24,$G21&gt;=Hba_24,Input!AD$44&lt;&gt;""),Input!$B$44&amp;";",""),IF(AND($G21&lt;Hta_25,$G21&gt;=Hba_25,Input!AD$45&lt;&gt;""),Input!$B$45&amp;";",""),IF(AND($G21&lt;Hta_26,$G21&gt;=Hba_26,Input!AD$46&lt;&gt;""),Input!$B$46&amp;";",""),IF(AND($G21&lt;Hta_27,$G21&gt;=Hba_27,Input!AD$47&lt;&gt;""),Input!$B$47&amp;";",""),IF(AND($G21&lt;Hta_28,$G21&gt;=Hba_28,Input!AD$48&lt;&gt;""),Input!$B$48&amp;";",""),IF(AND($G21&lt;Hta_29,$G21&gt;=Hba_29,Input!AD$49&lt;&gt;""),Input!$B$49&amp;";",""),IF(AND($G21&lt;Hta_30,$G21&gt;=Hba_30,Input!AD$50&lt;&gt;""),Input!$B$50&amp;";","")),"")</f>
        <v/>
      </c>
      <c r="CF21" s="25" t="str">
        <f>IFERROR(CONCATENATE(IF(AND($G21&lt;Hta_1,$G21&gt;=Hba_1,Input!AE$21&lt;&gt;""),Input!$B$21&amp;";",""),IF(AND($G21&lt;Hta_2,$G21&gt;=Hba_2,Input!AE$22&lt;&gt;""),Input!$B$22&amp;";",""),IF(AND($G21&lt;Hta_3,$G21&gt;=Hba_3,Input!AE$23&lt;&gt;""),Input!$B$23&amp;";",""),IF(AND($G21&lt;Hta_4,$G21&gt;=Hba_4,Input!AE$24&lt;&gt;""),Input!$B$24&amp;";",""),IF(AND($G21&lt;Hta_5,$G21&gt;=Hba_5,Input!AE$25&lt;&gt;""),Input!$B$25&amp;";",""),IF(AND($G21&lt;Hta_6,$G21&gt;=Hba_6,Input!AE$26&lt;&gt;""),Input!$B$26&amp;";",""),IF(AND($G21&lt;Hta_7,$G21&gt;=Hba_7,Input!AE$27&lt;&gt;""),Input!$B$27&amp;";",""),IF(AND($G21&lt;Hta_8,$G21&gt;=Hba_8,Input!AE$28&lt;&gt;""),Input!$B$28&amp;";",""),IF(AND($G21&lt;Hta_9,$G21&gt;=Hba_9,Input!AE$29&lt;&gt;""),Input!$B$29&amp;";",""),IF(AND($G21&lt;Hta_10,$G21&gt;=Hba_10,Input!AE$30&lt;&gt;""),Input!$B$30&amp;";",""),IF(AND($G21&lt;Hta_11,$G21&gt;=Hba_11,Input!AE$31&lt;&gt;""),Input!$B$31&amp;";",""),IF(AND($G21&lt;Hta_12,$G21&gt;=Hba_12,Input!AE$32&lt;&gt;""),Input!$B$32&amp;";",""),IF(AND($G21&lt;Hta_13,$G21&gt;=Hba_13,Input!AE$33&lt;&gt;""),Input!$B$33&amp;";",""),IF(AND($G21&lt;Hta_14,$G21&gt;=Hba_14,Input!AE$34&lt;&gt;""),Input!$B$34&amp;";",""),IF(AND($G21&lt;Hta_15,$G21&gt;=Hba_15,Input!AE$35&lt;&gt;""),Input!$B$35&amp;";",""),IF(AND($G21&lt;Hta_16,$G21&gt;=Hba_16,Input!AE$36&lt;&gt;""),Input!$B$36&amp;";",""),IF(AND($G21&lt;Hta_17,$G21&gt;=Hba_17,Input!AE$37&lt;&gt;""),Input!$B$37&amp;";",""),IF(AND($G21&lt;Hta_18,$G21&gt;=Hba_18,Input!AE$38&lt;&gt;""),Input!$B$38&amp;";",""),IF(AND($G21&lt;Hta_19,$G21&gt;=Hba_19,Input!AE$39&lt;&gt;""),Input!$B$39&amp;";",""),IF(AND($G21&lt;Hta_20,$G21&gt;=Hba_20,Input!AE$40&lt;&gt;""),Input!$B$40&amp;";",""),IF(AND($G21&lt;Hta_21,$G21&gt;=Hba_21,Input!AE$41&lt;&gt;""),Input!$B$41&amp;";",""),IF(AND($G21&lt;Hta_22,$G21&gt;=Hba_22,Input!AE$42&lt;&gt;""),Input!$B$42&amp;";",""),IF(AND($G21&lt;Hta_23,$G21&gt;=Hba_23,Input!AE$43&lt;&gt;""),Input!$B$43&amp;";",""),IF(AND($G21&lt;Hta_24,$G21&gt;=Hba_24,Input!AE$44&lt;&gt;""),Input!$B$44&amp;";",""),IF(AND($G21&lt;Hta_25,$G21&gt;=Hba_25,Input!AE$45&lt;&gt;""),Input!$B$45&amp;";",""),IF(AND($G21&lt;Hta_26,$G21&gt;=Hba_26,Input!AE$46&lt;&gt;""),Input!$B$46&amp;";",""),IF(AND($G21&lt;Hta_27,$G21&gt;=Hba_27,Input!AE$47&lt;&gt;""),Input!$B$47&amp;";",""),IF(AND($G21&lt;Hta_28,$G21&gt;=Hba_28,Input!AE$48&lt;&gt;""),Input!$B$48&amp;";",""),IF(AND($G21&lt;Hta_29,$G21&gt;=Hba_29,Input!AE$49&lt;&gt;""),Input!$B$49&amp;";",""),IF(AND($G21&lt;Hta_30,$G21&gt;=Hba_30,Input!AE$50&lt;&gt;""),Input!$B$50&amp;";","")),"")</f>
        <v/>
      </c>
      <c r="CG21" s="25" t="str">
        <f>IFERROR(CONCATENATE(IF(AND($G21&lt;Hta_1,$G21&gt;=Hba_1,Input!AF$21&lt;&gt;""),Input!$B$21&amp;";",""),IF(AND($G21&lt;Hta_2,$G21&gt;=Hba_2,Input!AF$22&lt;&gt;""),Input!$B$22&amp;";",""),IF(AND($G21&lt;Hta_3,$G21&gt;=Hba_3,Input!AF$23&lt;&gt;""),Input!$B$23&amp;";",""),IF(AND($G21&lt;Hta_4,$G21&gt;=Hba_4,Input!AF$24&lt;&gt;""),Input!$B$24&amp;";",""),IF(AND($G21&lt;Hta_5,$G21&gt;=Hba_5,Input!AF$25&lt;&gt;""),Input!$B$25&amp;";",""),IF(AND($G21&lt;Hta_6,$G21&gt;=Hba_6,Input!AF$26&lt;&gt;""),Input!$B$26&amp;";",""),IF(AND($G21&lt;Hta_7,$G21&gt;=Hba_7,Input!AF$27&lt;&gt;""),Input!$B$27&amp;";",""),IF(AND($G21&lt;Hta_8,$G21&gt;=Hba_8,Input!AF$28&lt;&gt;""),Input!$B$28&amp;";",""),IF(AND($G21&lt;Hta_9,$G21&gt;=Hba_9,Input!AF$29&lt;&gt;""),Input!$B$29&amp;";",""),IF(AND($G21&lt;Hta_10,$G21&gt;=Hba_10,Input!AF$30&lt;&gt;""),Input!$B$30&amp;";",""),IF(AND($G21&lt;Hta_11,$G21&gt;=Hba_11,Input!AF$31&lt;&gt;""),Input!$B$31&amp;";",""),IF(AND($G21&lt;Hta_12,$G21&gt;=Hba_12,Input!AF$32&lt;&gt;""),Input!$B$32&amp;";",""),IF(AND($G21&lt;Hta_13,$G21&gt;=Hba_13,Input!AF$33&lt;&gt;""),Input!$B$33&amp;";",""),IF(AND($G21&lt;Hta_14,$G21&gt;=Hba_14,Input!AF$34&lt;&gt;""),Input!$B$34&amp;";",""),IF(AND($G21&lt;Hta_15,$G21&gt;=Hba_15,Input!AF$35&lt;&gt;""),Input!$B$35&amp;";",""),IF(AND($G21&lt;Hta_16,$G21&gt;=Hba_16,Input!AF$36&lt;&gt;""),Input!$B$36&amp;";",""),IF(AND($G21&lt;Hta_17,$G21&gt;=Hba_17,Input!AF$37&lt;&gt;""),Input!$B$37&amp;";",""),IF(AND($G21&lt;Hta_18,$G21&gt;=Hba_18,Input!AF$38&lt;&gt;""),Input!$B$38&amp;";",""),IF(AND($G21&lt;Hta_19,$G21&gt;=Hba_19,Input!AF$39&lt;&gt;""),Input!$B$39&amp;";",""),IF(AND($G21&lt;Hta_20,$G21&gt;=Hba_20,Input!AF$40&lt;&gt;""),Input!$B$40&amp;";",""),IF(AND($G21&lt;Hta_21,$G21&gt;=Hba_21,Input!AF$41&lt;&gt;""),Input!$B$41&amp;";",""),IF(AND($G21&lt;Hta_22,$G21&gt;=Hba_22,Input!AF$42&lt;&gt;""),Input!$B$42&amp;";",""),IF(AND($G21&lt;Hta_23,$G21&gt;=Hba_23,Input!AF$43&lt;&gt;""),Input!$B$43&amp;";",""),IF(AND($G21&lt;Hta_24,$G21&gt;=Hba_24,Input!AF$44&lt;&gt;""),Input!$B$44&amp;";",""),IF(AND($G21&lt;Hta_25,$G21&gt;=Hba_25,Input!AF$45&lt;&gt;""),Input!$B$45&amp;";",""),IF(AND($G21&lt;Hta_26,$G21&gt;=Hba_26,Input!AF$46&lt;&gt;""),Input!$B$46&amp;";",""),IF(AND($G21&lt;Hta_27,$G21&gt;=Hba_27,Input!AF$47&lt;&gt;""),Input!$B$47&amp;";",""),IF(AND($G21&lt;Hta_28,$G21&gt;=Hba_28,Input!AF$48&lt;&gt;""),Input!$B$48&amp;";",""),IF(AND($G21&lt;Hta_29,$G21&gt;=Hba_29,Input!AF$49&lt;&gt;""),Input!$B$49&amp;";",""),IF(AND($G21&lt;Hta_30,$G21&gt;=Hba_30,Input!AF$50&lt;&gt;""),Input!$B$50&amp;";","")),"")</f>
        <v/>
      </c>
      <c r="CH21" s="25" t="str">
        <f>IFERROR(CONCATENATE(IF(AND($G21&lt;Hta_1,$G21&gt;=Hba_1,Input!AG$21&lt;&gt;""),Input!$B$21&amp;";",""),IF(AND($G21&lt;Hta_2,$G21&gt;=Hba_2,Input!AG$22&lt;&gt;""),Input!$B$22&amp;";",""),IF(AND($G21&lt;Hta_3,$G21&gt;=Hba_3,Input!AG$23&lt;&gt;""),Input!$B$23&amp;";",""),IF(AND($G21&lt;Hta_4,$G21&gt;=Hba_4,Input!AG$24&lt;&gt;""),Input!$B$24&amp;";",""),IF(AND($G21&lt;Hta_5,$G21&gt;=Hba_5,Input!AG$25&lt;&gt;""),Input!$B$25&amp;";",""),IF(AND($G21&lt;Hta_6,$G21&gt;=Hba_6,Input!AG$26&lt;&gt;""),Input!$B$26&amp;";",""),IF(AND($G21&lt;Hta_7,$G21&gt;=Hba_7,Input!AG$27&lt;&gt;""),Input!$B$27&amp;";",""),IF(AND($G21&lt;Hta_8,$G21&gt;=Hba_8,Input!AG$28&lt;&gt;""),Input!$B$28&amp;";",""),IF(AND($G21&lt;Hta_9,$G21&gt;=Hba_9,Input!AG$29&lt;&gt;""),Input!$B$29&amp;";",""),IF(AND($G21&lt;Hta_10,$G21&gt;=Hba_10,Input!AG$30&lt;&gt;""),Input!$B$30&amp;";",""),IF(AND($G21&lt;Hta_11,$G21&gt;=Hba_11,Input!AG$31&lt;&gt;""),Input!$B$31&amp;";",""),IF(AND($G21&lt;Hta_12,$G21&gt;=Hba_12,Input!AG$32&lt;&gt;""),Input!$B$32&amp;";",""),IF(AND($G21&lt;Hta_13,$G21&gt;=Hba_13,Input!AG$33&lt;&gt;""),Input!$B$33&amp;";",""),IF(AND($G21&lt;Hta_14,$G21&gt;=Hba_14,Input!AG$34&lt;&gt;""),Input!$B$34&amp;";",""),IF(AND($G21&lt;Hta_15,$G21&gt;=Hba_15,Input!AG$35&lt;&gt;""),Input!$B$35&amp;";",""),IF(AND($G21&lt;Hta_16,$G21&gt;=Hba_16,Input!AG$36&lt;&gt;""),Input!$B$36&amp;";",""),IF(AND($G21&lt;Hta_17,$G21&gt;=Hba_17,Input!AG$37&lt;&gt;""),Input!$B$37&amp;";",""),IF(AND($G21&lt;Hta_18,$G21&gt;=Hba_18,Input!AG$38&lt;&gt;""),Input!$B$38&amp;";",""),IF(AND($G21&lt;Hta_19,$G21&gt;=Hba_19,Input!AG$39&lt;&gt;""),Input!$B$39&amp;";",""),IF(AND($G21&lt;Hta_20,$G21&gt;=Hba_20,Input!AG$40&lt;&gt;""),Input!$B$40&amp;";",""),IF(AND($G21&lt;Hta_21,$G21&gt;=Hba_21,Input!AG$41&lt;&gt;""),Input!$B$41&amp;";",""),IF(AND($G21&lt;Hta_22,$G21&gt;=Hba_22,Input!AG$42&lt;&gt;""),Input!$B$42&amp;";",""),IF(AND($G21&lt;Hta_23,$G21&gt;=Hba_23,Input!AG$43&lt;&gt;""),Input!$B$43&amp;";",""),IF(AND($G21&lt;Hta_24,$G21&gt;=Hba_24,Input!AG$44&lt;&gt;""),Input!$B$44&amp;";",""),IF(AND($G21&lt;Hta_25,$G21&gt;=Hba_25,Input!AG$45&lt;&gt;""),Input!$B$45&amp;";",""),IF(AND($G21&lt;Hta_26,$G21&gt;=Hba_26,Input!AG$46&lt;&gt;""),Input!$B$46&amp;";",""),IF(AND($G21&lt;Hta_27,$G21&gt;=Hba_27,Input!AG$47&lt;&gt;""),Input!$B$47&amp;";",""),IF(AND($G21&lt;Hta_28,$G21&gt;=Hba_28,Input!AG$48&lt;&gt;""),Input!$B$48&amp;";",""),IF(AND($G21&lt;Hta_29,$G21&gt;=Hba_29,Input!AG$49&lt;&gt;""),Input!$B$49&amp;";",""),IF(AND($G21&lt;Hta_30,$G21&gt;=Hba_30,Input!AG$50&lt;&gt;""),Input!$B$50&amp;";","")),"")</f>
        <v/>
      </c>
      <c r="CI21" s="25" t="str">
        <f>IFERROR(CONCATENATE(IF(AND($G21&lt;Hta_1,$G21&gt;=Hba_1,Input!AH$21&lt;&gt;""),Input!$B$21&amp;";",""),IF(AND($G21&lt;Hta_2,$G21&gt;=Hba_2,Input!AH$22&lt;&gt;""),Input!$B$22&amp;";",""),IF(AND($G21&lt;Hta_3,$G21&gt;=Hba_3,Input!AH$23&lt;&gt;""),Input!$B$23&amp;";",""),IF(AND($G21&lt;Hta_4,$G21&gt;=Hba_4,Input!AH$24&lt;&gt;""),Input!$B$24&amp;";",""),IF(AND($G21&lt;Hta_5,$G21&gt;=Hba_5,Input!AH$25&lt;&gt;""),Input!$B$25&amp;";",""),IF(AND($G21&lt;Hta_6,$G21&gt;=Hba_6,Input!AH$26&lt;&gt;""),Input!$B$26&amp;";",""),IF(AND($G21&lt;Hta_7,$G21&gt;=Hba_7,Input!AH$27&lt;&gt;""),Input!$B$27&amp;";",""),IF(AND($G21&lt;Hta_8,$G21&gt;=Hba_8,Input!AH$28&lt;&gt;""),Input!$B$28&amp;";",""),IF(AND($G21&lt;Hta_9,$G21&gt;=Hba_9,Input!AH$29&lt;&gt;""),Input!$B$29&amp;";",""),IF(AND($G21&lt;Hta_10,$G21&gt;=Hba_10,Input!AH$30&lt;&gt;""),Input!$B$30&amp;";",""),IF(AND($G21&lt;Hta_11,$G21&gt;=Hba_11,Input!AH$31&lt;&gt;""),Input!$B$31&amp;";",""),IF(AND($G21&lt;Hta_12,$G21&gt;=Hba_12,Input!AH$32&lt;&gt;""),Input!$B$32&amp;";",""),IF(AND($G21&lt;Hta_13,$G21&gt;=Hba_13,Input!AH$33&lt;&gt;""),Input!$B$33&amp;";",""),IF(AND($G21&lt;Hta_14,$G21&gt;=Hba_14,Input!AH$34&lt;&gt;""),Input!$B$34&amp;";",""),IF(AND($G21&lt;Hta_15,$G21&gt;=Hba_15,Input!AH$35&lt;&gt;""),Input!$B$35&amp;";",""),IF(AND($G21&lt;Hta_16,$G21&gt;=Hba_16,Input!AH$36&lt;&gt;""),Input!$B$36&amp;";",""),IF(AND($G21&lt;Hta_17,$G21&gt;=Hba_17,Input!AH$37&lt;&gt;""),Input!$B$37&amp;";",""),IF(AND($G21&lt;Hta_18,$G21&gt;=Hba_18,Input!AH$38&lt;&gt;""),Input!$B$38&amp;";",""),IF(AND($G21&lt;Hta_19,$G21&gt;=Hba_19,Input!AH$39&lt;&gt;""),Input!$B$39&amp;";",""),IF(AND($G21&lt;Hta_20,$G21&gt;=Hba_20,Input!AH$40&lt;&gt;""),Input!$B$40&amp;";",""),IF(AND($G21&lt;Hta_21,$G21&gt;=Hba_21,Input!AH$41&lt;&gt;""),Input!$B$41&amp;";",""),IF(AND($G21&lt;Hta_22,$G21&gt;=Hba_22,Input!AH$42&lt;&gt;""),Input!$B$42&amp;";",""),IF(AND($G21&lt;Hta_23,$G21&gt;=Hba_23,Input!AH$43&lt;&gt;""),Input!$B$43&amp;";",""),IF(AND($G21&lt;Hta_24,$G21&gt;=Hba_24,Input!AH$44&lt;&gt;""),Input!$B$44&amp;";",""),IF(AND($G21&lt;Hta_25,$G21&gt;=Hba_25,Input!AH$45&lt;&gt;""),Input!$B$45&amp;";",""),IF(AND($G21&lt;Hta_26,$G21&gt;=Hba_26,Input!AH$46&lt;&gt;""),Input!$B$46&amp;";",""),IF(AND($G21&lt;Hta_27,$G21&gt;=Hba_27,Input!AH$47&lt;&gt;""),Input!$B$47&amp;";",""),IF(AND($G21&lt;Hta_28,$G21&gt;=Hba_28,Input!AH$48&lt;&gt;""),Input!$B$48&amp;";",""),IF(AND($G21&lt;Hta_29,$G21&gt;=Hba_29,Input!AH$49&lt;&gt;""),Input!$B$49&amp;";",""),IF(AND($G21&lt;Hta_30,$G21&gt;=Hba_30,Input!AH$50&lt;&gt;""),Input!$B$50&amp;";","")),"")</f>
        <v/>
      </c>
      <c r="CJ21" s="25" t="str">
        <f>IFERROR(CONCATENATE(IF(AND($G21&lt;Hta_1,$G21&gt;=Hba_1,Input!AI$21&lt;&gt;""),Input!$B$21&amp;";",""),IF(AND($G21&lt;Hta_2,$G21&gt;=Hba_2,Input!AI$22&lt;&gt;""),Input!$B$22&amp;";",""),IF(AND($G21&lt;Hta_3,$G21&gt;=Hba_3,Input!AI$23&lt;&gt;""),Input!$B$23&amp;";",""),IF(AND($G21&lt;Hta_4,$G21&gt;=Hba_4,Input!AI$24&lt;&gt;""),Input!$B$24&amp;";",""),IF(AND($G21&lt;Hta_5,$G21&gt;=Hba_5,Input!AI$25&lt;&gt;""),Input!$B$25&amp;";",""),IF(AND($G21&lt;Hta_6,$G21&gt;=Hba_6,Input!AI$26&lt;&gt;""),Input!$B$26&amp;";",""),IF(AND($G21&lt;Hta_7,$G21&gt;=Hba_7,Input!AI$27&lt;&gt;""),Input!$B$27&amp;";",""),IF(AND($G21&lt;Hta_8,$G21&gt;=Hba_8,Input!AI$28&lt;&gt;""),Input!$B$28&amp;";",""),IF(AND($G21&lt;Hta_9,$G21&gt;=Hba_9,Input!AI$29&lt;&gt;""),Input!$B$29&amp;";",""),IF(AND($G21&lt;Hta_10,$G21&gt;=Hba_10,Input!AI$30&lt;&gt;""),Input!$B$30&amp;";",""),IF(AND($G21&lt;Hta_11,$G21&gt;=Hba_11,Input!AI$31&lt;&gt;""),Input!$B$31&amp;";",""),IF(AND($G21&lt;Hta_12,$G21&gt;=Hba_12,Input!AI$32&lt;&gt;""),Input!$B$32&amp;";",""),IF(AND($G21&lt;Hta_13,$G21&gt;=Hba_13,Input!AI$33&lt;&gt;""),Input!$B$33&amp;";",""),IF(AND($G21&lt;Hta_14,$G21&gt;=Hba_14,Input!AI$34&lt;&gt;""),Input!$B$34&amp;";",""),IF(AND($G21&lt;Hta_15,$G21&gt;=Hba_15,Input!AI$35&lt;&gt;""),Input!$B$35&amp;";",""),IF(AND($G21&lt;Hta_16,$G21&gt;=Hba_16,Input!AI$36&lt;&gt;""),Input!$B$36&amp;";",""),IF(AND($G21&lt;Hta_17,$G21&gt;=Hba_17,Input!AI$37&lt;&gt;""),Input!$B$37&amp;";",""),IF(AND($G21&lt;Hta_18,$G21&gt;=Hba_18,Input!AI$38&lt;&gt;""),Input!$B$38&amp;";",""),IF(AND($G21&lt;Hta_19,$G21&gt;=Hba_19,Input!AI$39&lt;&gt;""),Input!$B$39&amp;";",""),IF(AND($G21&lt;Hta_20,$G21&gt;=Hba_20,Input!AI$40&lt;&gt;""),Input!$B$40&amp;";",""),IF(AND($G21&lt;Hta_21,$G21&gt;=Hba_21,Input!AI$41&lt;&gt;""),Input!$B$41&amp;";",""),IF(AND($G21&lt;Hta_22,$G21&gt;=Hba_22,Input!AI$42&lt;&gt;""),Input!$B$42&amp;";",""),IF(AND($G21&lt;Hta_23,$G21&gt;=Hba_23,Input!AI$43&lt;&gt;""),Input!$B$43&amp;";",""),IF(AND($G21&lt;Hta_24,$G21&gt;=Hba_24,Input!AI$44&lt;&gt;""),Input!$B$44&amp;";",""),IF(AND($G21&lt;Hta_25,$G21&gt;=Hba_25,Input!AI$45&lt;&gt;""),Input!$B$45&amp;";",""),IF(AND($G21&lt;Hta_26,$G21&gt;=Hba_26,Input!AI$46&lt;&gt;""),Input!$B$46&amp;";",""),IF(AND($G21&lt;Hta_27,$G21&gt;=Hba_27,Input!AI$47&lt;&gt;""),Input!$B$47&amp;";",""),IF(AND($G21&lt;Hta_28,$G21&gt;=Hba_28,Input!AI$48&lt;&gt;""),Input!$B$48&amp;";",""),IF(AND($G21&lt;Hta_29,$G21&gt;=Hba_29,Input!AI$49&lt;&gt;""),Input!$B$49&amp;";",""),IF(AND($G21&lt;Hta_30,$G21&gt;=Hba_30,Input!AI$50&lt;&gt;""),Input!$B$50&amp;";","")),"")</f>
        <v/>
      </c>
      <c r="CK21" s="25" t="str">
        <f>IFERROR(CONCATENATE(IF(AND($G21&lt;Hta_1,$G21&gt;=Hba_1,Input!AJ$21&lt;&gt;""),Input!$B$21&amp;";",""),IF(AND($G21&lt;Hta_2,$G21&gt;=Hba_2,Input!AJ$22&lt;&gt;""),Input!$B$22&amp;";",""),IF(AND($G21&lt;Hta_3,$G21&gt;=Hba_3,Input!AJ$23&lt;&gt;""),Input!$B$23&amp;";",""),IF(AND($G21&lt;Hta_4,$G21&gt;=Hba_4,Input!AJ$24&lt;&gt;""),Input!$B$24&amp;";",""),IF(AND($G21&lt;Hta_5,$G21&gt;=Hba_5,Input!AJ$25&lt;&gt;""),Input!$B$25&amp;";",""),IF(AND($G21&lt;Hta_6,$G21&gt;=Hba_6,Input!AJ$26&lt;&gt;""),Input!$B$26&amp;";",""),IF(AND($G21&lt;Hta_7,$G21&gt;=Hba_7,Input!AJ$27&lt;&gt;""),Input!$B$27&amp;";",""),IF(AND($G21&lt;Hta_8,$G21&gt;=Hba_8,Input!AJ$28&lt;&gt;""),Input!$B$28&amp;";",""),IF(AND($G21&lt;Hta_9,$G21&gt;=Hba_9,Input!AJ$29&lt;&gt;""),Input!$B$29&amp;";",""),IF(AND($G21&lt;Hta_10,$G21&gt;=Hba_10,Input!AJ$30&lt;&gt;""),Input!$B$30&amp;";",""),IF(AND($G21&lt;Hta_11,$G21&gt;=Hba_11,Input!AJ$31&lt;&gt;""),Input!$B$31&amp;";",""),IF(AND($G21&lt;Hta_12,$G21&gt;=Hba_12,Input!AJ$32&lt;&gt;""),Input!$B$32&amp;";",""),IF(AND($G21&lt;Hta_13,$G21&gt;=Hba_13,Input!AJ$33&lt;&gt;""),Input!$B$33&amp;";",""),IF(AND($G21&lt;Hta_14,$G21&gt;=Hba_14,Input!AJ$34&lt;&gt;""),Input!$B$34&amp;";",""),IF(AND($G21&lt;Hta_15,$G21&gt;=Hba_15,Input!AJ$35&lt;&gt;""),Input!$B$35&amp;";",""),IF(AND($G21&lt;Hta_16,$G21&gt;=Hba_16,Input!AJ$36&lt;&gt;""),Input!$B$36&amp;";",""),IF(AND($G21&lt;Hta_17,$G21&gt;=Hba_17,Input!AJ$37&lt;&gt;""),Input!$B$37&amp;";",""),IF(AND($G21&lt;Hta_18,$G21&gt;=Hba_18,Input!AJ$38&lt;&gt;""),Input!$B$38&amp;";",""),IF(AND($G21&lt;Hta_19,$G21&gt;=Hba_19,Input!AJ$39&lt;&gt;""),Input!$B$39&amp;";",""),IF(AND($G21&lt;Hta_20,$G21&gt;=Hba_20,Input!AJ$40&lt;&gt;""),Input!$B$40&amp;";",""),IF(AND($G21&lt;Hta_21,$G21&gt;=Hba_21,Input!AJ$41&lt;&gt;""),Input!$B$41&amp;";",""),IF(AND($G21&lt;Hta_22,$G21&gt;=Hba_22,Input!AJ$42&lt;&gt;""),Input!$B$42&amp;";",""),IF(AND($G21&lt;Hta_23,$G21&gt;=Hba_23,Input!AJ$43&lt;&gt;""),Input!$B$43&amp;";",""),IF(AND($G21&lt;Hta_24,$G21&gt;=Hba_24,Input!AJ$44&lt;&gt;""),Input!$B$44&amp;";",""),IF(AND($G21&lt;Hta_25,$G21&gt;=Hba_25,Input!AJ$45&lt;&gt;""),Input!$B$45&amp;";",""),IF(AND($G21&lt;Hta_26,$G21&gt;=Hba_26,Input!AJ$46&lt;&gt;""),Input!$B$46&amp;";",""),IF(AND($G21&lt;Hta_27,$G21&gt;=Hba_27,Input!AJ$47&lt;&gt;""),Input!$B$47&amp;";",""),IF(AND($G21&lt;Hta_28,$G21&gt;=Hba_28,Input!AJ$48&lt;&gt;""),Input!$B$48&amp;";",""),IF(AND($G21&lt;Hta_29,$G21&gt;=Hba_29,Input!AJ$49&lt;&gt;""),Input!$B$49&amp;";",""),IF(AND($G21&lt;Hta_30,$G21&gt;=Hba_30,Input!AJ$50&lt;&gt;""),Input!$B$50&amp;";","")),"")</f>
        <v/>
      </c>
      <c r="CL21" s="25" t="str">
        <f>IFERROR(CONCATENATE(IF(AND($G21&lt;Hta_1,$G21&gt;=Hba_1,Input!AK$21&lt;&gt;""),Input!$B$21&amp;";",""),IF(AND($G21&lt;Hta_2,$G21&gt;=Hba_2,Input!AK$22&lt;&gt;""),Input!$B$22&amp;";",""),IF(AND($G21&lt;Hta_3,$G21&gt;=Hba_3,Input!AK$23&lt;&gt;""),Input!$B$23&amp;";",""),IF(AND($G21&lt;Hta_4,$G21&gt;=Hba_4,Input!AK$24&lt;&gt;""),Input!$B$24&amp;";",""),IF(AND($G21&lt;Hta_5,$G21&gt;=Hba_5,Input!AK$25&lt;&gt;""),Input!$B$25&amp;";",""),IF(AND($G21&lt;Hta_6,$G21&gt;=Hba_6,Input!AK$26&lt;&gt;""),Input!$B$26&amp;";",""),IF(AND($G21&lt;Hta_7,$G21&gt;=Hba_7,Input!AK$27&lt;&gt;""),Input!$B$27&amp;";",""),IF(AND($G21&lt;Hta_8,$G21&gt;=Hba_8,Input!AK$28&lt;&gt;""),Input!$B$28&amp;";",""),IF(AND($G21&lt;Hta_9,$G21&gt;=Hba_9,Input!AK$29&lt;&gt;""),Input!$B$29&amp;";",""),IF(AND($G21&lt;Hta_10,$G21&gt;=Hba_10,Input!AK$30&lt;&gt;""),Input!$B$30&amp;";",""),IF(AND($G21&lt;Hta_11,$G21&gt;=Hba_11,Input!AK$31&lt;&gt;""),Input!$B$31&amp;";",""),IF(AND($G21&lt;Hta_12,$G21&gt;=Hba_12,Input!AK$32&lt;&gt;""),Input!$B$32&amp;";",""),IF(AND($G21&lt;Hta_13,$G21&gt;=Hba_13,Input!AK$33&lt;&gt;""),Input!$B$33&amp;";",""),IF(AND($G21&lt;Hta_14,$G21&gt;=Hba_14,Input!AK$34&lt;&gt;""),Input!$B$34&amp;";",""),IF(AND($G21&lt;Hta_15,$G21&gt;=Hba_15,Input!AK$35&lt;&gt;""),Input!$B$35&amp;";",""),IF(AND($G21&lt;Hta_16,$G21&gt;=Hba_16,Input!AK$36&lt;&gt;""),Input!$B$36&amp;";",""),IF(AND($G21&lt;Hta_17,$G21&gt;=Hba_17,Input!AK$37&lt;&gt;""),Input!$B$37&amp;";",""),IF(AND($G21&lt;Hta_18,$G21&gt;=Hba_18,Input!AK$38&lt;&gt;""),Input!$B$38&amp;";",""),IF(AND($G21&lt;Hta_19,$G21&gt;=Hba_19,Input!AK$39&lt;&gt;""),Input!$B$39&amp;";",""),IF(AND($G21&lt;Hta_20,$G21&gt;=Hba_20,Input!AK$40&lt;&gt;""),Input!$B$40&amp;";",""),IF(AND($G21&lt;Hta_21,$G21&gt;=Hba_21,Input!AK$41&lt;&gt;""),Input!$B$41&amp;";",""),IF(AND($G21&lt;Hta_22,$G21&gt;=Hba_22,Input!AK$42&lt;&gt;""),Input!$B$42&amp;";",""),IF(AND($G21&lt;Hta_23,$G21&gt;=Hba_23,Input!AK$43&lt;&gt;""),Input!$B$43&amp;";",""),IF(AND($G21&lt;Hta_24,$G21&gt;=Hba_24,Input!AK$44&lt;&gt;""),Input!$B$44&amp;";",""),IF(AND($G21&lt;Hta_25,$G21&gt;=Hba_25,Input!AK$45&lt;&gt;""),Input!$B$45&amp;";",""),IF(AND($G21&lt;Hta_26,$G21&gt;=Hba_26,Input!AK$46&lt;&gt;""),Input!$B$46&amp;";",""),IF(AND($G21&lt;Hta_27,$G21&gt;=Hba_27,Input!AK$47&lt;&gt;""),Input!$B$47&amp;";",""),IF(AND($G21&lt;Hta_28,$G21&gt;=Hba_28,Input!AK$48&lt;&gt;""),Input!$B$48&amp;";",""),IF(AND($G21&lt;Hta_29,$G21&gt;=Hba_29,Input!AK$49&lt;&gt;""),Input!$B$49&amp;";",""),IF(AND($G21&lt;Hta_30,$G21&gt;=Hba_30,Input!AK$50&lt;&gt;""),Input!$B$50&amp;";","")),"")</f>
        <v/>
      </c>
      <c r="CM21" s="25" t="str">
        <f>IFERROR(CONCATENATE(IF(AND($G21&lt;Hta_1,$G21&gt;=Hba_1,Input!AL$21&lt;&gt;""),Input!$B$21&amp;";",""),IF(AND($G21&lt;Hta_2,$G21&gt;=Hba_2,Input!AL$22&lt;&gt;""),Input!$B$22&amp;";",""),IF(AND($G21&lt;Hta_3,$G21&gt;=Hba_3,Input!AL$23&lt;&gt;""),Input!$B$23&amp;";",""),IF(AND($G21&lt;Hta_4,$G21&gt;=Hba_4,Input!AL$24&lt;&gt;""),Input!$B$24&amp;";",""),IF(AND($G21&lt;Hta_5,$G21&gt;=Hba_5,Input!AL$25&lt;&gt;""),Input!$B$25&amp;";",""),IF(AND($G21&lt;Hta_6,$G21&gt;=Hba_6,Input!AL$26&lt;&gt;""),Input!$B$26&amp;";",""),IF(AND($G21&lt;Hta_7,$G21&gt;=Hba_7,Input!AL$27&lt;&gt;""),Input!$B$27&amp;";",""),IF(AND($G21&lt;Hta_8,$G21&gt;=Hba_8,Input!AL$28&lt;&gt;""),Input!$B$28&amp;";",""),IF(AND($G21&lt;Hta_9,$G21&gt;=Hba_9,Input!AL$29&lt;&gt;""),Input!$B$29&amp;";",""),IF(AND($G21&lt;Hta_10,$G21&gt;=Hba_10,Input!AL$30&lt;&gt;""),Input!$B$30&amp;";",""),IF(AND($G21&lt;Hta_11,$G21&gt;=Hba_11,Input!AL$31&lt;&gt;""),Input!$B$31&amp;";",""),IF(AND($G21&lt;Hta_12,$G21&gt;=Hba_12,Input!AL$32&lt;&gt;""),Input!$B$32&amp;";",""),IF(AND($G21&lt;Hta_13,$G21&gt;=Hba_13,Input!AL$33&lt;&gt;""),Input!$B$33&amp;";",""),IF(AND($G21&lt;Hta_14,$G21&gt;=Hba_14,Input!AL$34&lt;&gt;""),Input!$B$34&amp;";",""),IF(AND($G21&lt;Hta_15,$G21&gt;=Hba_15,Input!AL$35&lt;&gt;""),Input!$B$35&amp;";",""),IF(AND($G21&lt;Hta_16,$G21&gt;=Hba_16,Input!AL$36&lt;&gt;""),Input!$B$36&amp;";",""),IF(AND($G21&lt;Hta_17,$G21&gt;=Hba_17,Input!AL$37&lt;&gt;""),Input!$B$37&amp;";",""),IF(AND($G21&lt;Hta_18,$G21&gt;=Hba_18,Input!AL$38&lt;&gt;""),Input!$B$38&amp;";",""),IF(AND($G21&lt;Hta_19,$G21&gt;=Hba_19,Input!AL$39&lt;&gt;""),Input!$B$39&amp;";",""),IF(AND($G21&lt;Hta_20,$G21&gt;=Hba_20,Input!AL$40&lt;&gt;""),Input!$B$40&amp;";",""),IF(AND($G21&lt;Hta_21,$G21&gt;=Hba_21,Input!AL$41&lt;&gt;""),Input!$B$41&amp;";",""),IF(AND($G21&lt;Hta_22,$G21&gt;=Hba_22,Input!AL$42&lt;&gt;""),Input!$B$42&amp;";",""),IF(AND($G21&lt;Hta_23,$G21&gt;=Hba_23,Input!AL$43&lt;&gt;""),Input!$B$43&amp;";",""),IF(AND($G21&lt;Hta_24,$G21&gt;=Hba_24,Input!AL$44&lt;&gt;""),Input!$B$44&amp;";",""),IF(AND($G21&lt;Hta_25,$G21&gt;=Hba_25,Input!AL$45&lt;&gt;""),Input!$B$45&amp;";",""),IF(AND($G21&lt;Hta_26,$G21&gt;=Hba_26,Input!AL$46&lt;&gt;""),Input!$B$46&amp;";",""),IF(AND($G21&lt;Hta_27,$G21&gt;=Hba_27,Input!AL$47&lt;&gt;""),Input!$B$47&amp;";",""),IF(AND($G21&lt;Hta_28,$G21&gt;=Hba_28,Input!AL$48&lt;&gt;""),Input!$B$48&amp;";",""),IF(AND($G21&lt;Hta_29,$G21&gt;=Hba_29,Input!AL$49&lt;&gt;""),Input!$B$49&amp;";",""),IF(AND($G21&lt;Hta_30,$G21&gt;=Hba_30,Input!AL$50&lt;&gt;""),Input!$B$50&amp;";","")),"")</f>
        <v/>
      </c>
      <c r="CN21" s="60" t="str">
        <f t="shared" si="6"/>
        <v/>
      </c>
      <c r="CO21" s="798"/>
      <c r="CP21" s="799"/>
      <c r="CQ21" s="800"/>
      <c r="CR21" s="798"/>
      <c r="CS21" s="799"/>
      <c r="CT21" s="800"/>
      <c r="CU21" s="798" t="str">
        <f t="shared" si="7"/>
        <v/>
      </c>
      <c r="CV21" s="799"/>
      <c r="CW21" s="806"/>
      <c r="CX21" s="726"/>
      <c r="CY21" s="727"/>
      <c r="CZ21" s="732"/>
      <c r="DA21" s="726"/>
      <c r="DB21" s="727"/>
      <c r="DC21" s="732"/>
      <c r="DD21" s="726" t="str">
        <f t="shared" si="8"/>
        <v/>
      </c>
      <c r="DE21" s="727"/>
      <c r="DF21" s="728"/>
      <c r="DG21" s="53"/>
      <c r="DH21" s="54"/>
      <c r="DI21" s="54"/>
      <c r="DJ21" s="54"/>
      <c r="DK21" s="54"/>
      <c r="DL21" s="54"/>
      <c r="DM21" s="54"/>
      <c r="DN21" s="54"/>
      <c r="DO21" s="54"/>
      <c r="DP21" s="54"/>
      <c r="DQ21" s="57"/>
      <c r="DR21" s="57"/>
      <c r="DS21" s="57"/>
      <c r="DT21" s="57"/>
      <c r="DU21" s="57"/>
      <c r="DV21" s="57"/>
      <c r="DW21" s="57"/>
      <c r="DX21" s="57"/>
      <c r="DY21" s="57"/>
      <c r="DZ21" s="57"/>
      <c r="EA21" s="57"/>
      <c r="EB21" s="57"/>
      <c r="EC21" s="57"/>
      <c r="ED21" s="57"/>
      <c r="EE21" s="57"/>
      <c r="EF21" s="57"/>
      <c r="EG21" s="57"/>
      <c r="EH21" s="57"/>
      <c r="EI21" s="57"/>
      <c r="EJ21" s="57"/>
      <c r="EK21" s="57"/>
      <c r="EL21" s="133"/>
      <c r="EM21" s="133"/>
      <c r="EN21" s="133"/>
      <c r="EO21" s="133"/>
      <c r="EP21" s="133"/>
      <c r="EQ21" s="133"/>
      <c r="ER21" s="133"/>
      <c r="ES21" s="133"/>
      <c r="ET21" s="133"/>
      <c r="EU21" s="133"/>
      <c r="EV21" s="133"/>
      <c r="EW21" s="133"/>
      <c r="EX21" s="133"/>
      <c r="EY21" s="133"/>
      <c r="EZ21" s="133"/>
      <c r="FA21" s="133"/>
      <c r="FB21" s="133"/>
      <c r="FC21" s="133"/>
      <c r="FD21" s="133"/>
      <c r="FE21" s="133"/>
      <c r="FF21" s="133"/>
      <c r="FG21" s="133"/>
      <c r="FH21" s="133"/>
      <c r="FI21" s="133"/>
      <c r="FJ21" s="133"/>
      <c r="FK21" s="133"/>
      <c r="FL21" s="133"/>
      <c r="FM21" s="133"/>
      <c r="FN21" s="133"/>
      <c r="FO21" s="133"/>
      <c r="FP21" s="65"/>
      <c r="FQ21" s="125"/>
      <c r="FR21" s="123"/>
      <c r="FS21" s="121"/>
      <c r="FT21" s="119"/>
    </row>
    <row r="22" spans="2:176" ht="15.75" hidden="1" customHeight="1" thickBot="1" x14ac:dyDescent="0.3">
      <c r="B22" s="62" t="b">
        <f>IF(OR(AND(G22&gt;='Geometry 2'!$AK$5,G22&lt;'Geometry 2'!$AL$5),AND(G22&gt;='Geometry 2'!$AK$6,G22&lt;'Geometry 2'!$AL$6),AND(G22&gt;='Geometry 2'!$AK$7,G22&lt;'Geometry 2'!$AL$7),AND(G22&gt;='Geometry 2'!$AK$8,G22&lt;'Geometry 2'!$AL$8),AND(G22&gt;='Geometry 2'!$AK$9,G22&lt;'Geometry 2'!$AL$9),AND(G22&gt;='Geometry 2'!$AK$10,G22&lt;'Geometry 2'!$AL$10),AND(G22&gt;='Geometry 2'!$AK$11,G22&lt;'Geometry 2'!$AL$11),AND(G22&gt;='Geometry 2'!$AK$12,G22&lt;'Geometry 2'!$AL$12),AND(G22&gt;='Geometry 2'!$AK$13,G22&lt;'Geometry 2'!$AL$13),AND(G22&gt;='Geometry 2'!$AK$14,G22&lt;'Geometry 2'!$AL$14)),TRUE,FALSE)</f>
        <v>0</v>
      </c>
      <c r="C22" s="4" t="str">
        <f t="shared" si="3"/>
        <v/>
      </c>
      <c r="D22" s="766" t="str">
        <f t="shared" si="4"/>
        <v/>
      </c>
      <c r="E22" s="767"/>
      <c r="F22" s="17" t="str">
        <f t="shared" si="2"/>
        <v/>
      </c>
      <c r="G22" s="768" t="str">
        <f>IF(D22="","",MAX(0,G21-IF(inc="n/a",999,inc),MAX(IF(G21&lt;=Hta_1,0,Hta_1),IF(G21&lt;=Hta_2,0,Hta_2),IF(G21&lt;=Hta_3,0,Hta_3),IF(G21&lt;=Hta_4,0,Hta_4),IF(G21&lt;=Hta_5,0,Hta_5),IF(G21&lt;=Hta_6,0,Hta_6),IF(G21&lt;=Hta_7,0,Hta_7),IF(G21&lt;=Hta_8,0,Hta_8),IF(G21&lt;=Hta_9,0,Hta_9),IF(G21&lt;=Hta_10,0,Hta_10),IF(G21&lt;=Hta_11,0,Hta_11),IF(G21&lt;=Hta_12,0,Hta_12),IF(G21&lt;=Hta_13,0,Hta_13),IF(G21&lt;=Hta_14,0,Hta_14),IF(G21&lt;=Hta_15,0,Hta_15),IF(G21&lt;=Hta_16,0,Hta_16),IF(G21&lt;=Hta_17,0,Hta_17),IF(G21&lt;=Hta_18,0,Hta_18),IF(G21&lt;=Hta_19,0,Hta_19),IF(G21&lt;=Hta_20,0,Hta_20),IF(G21&lt;=Hta_21,0,Hta_21),IF(G21&lt;=Hta_22,0,Hta_22),IF(G21&lt;=Hta_23,0,Hta_23),IF(G21&lt;=Hta_24,0,Hta_24),IF(G21&lt;=Hta_25,0,Hta_25),IF(G21&lt;=Hta_26,0,Hta_26),IF(G21&lt;=Hta_27,0,Hta_27),IF(G21&lt;=Hta_28,0,Hta_28),IF(G21&lt;=Hta_29,0,Hta_29),IF(G21&lt;=Hta_30,0,Hta_30)),MAX(IF(G21&lt;=Hta_1-0.25,0,Hta_1-0.25),IF(G21&lt;=Hta_2-0.25,0,Hta_2-0.25),IF(G21&lt;=Hta_3-0.25,0,Hta_3-0.25),IF(G21&lt;=Hta_4-0.25,0,Hta_4-0.25),IF(G21&lt;=Hta_5-0.25,0,Hta_5-0.25),IF(G21&lt;=Hta_6-0.25,0,Hta_6-0.25),IF(G21&lt;=Hta_7-0.25,0,Hta_7-0.25),IF(G21&lt;=Hta_8-0.25,0,Hta_8-0.25),IF(G21&lt;=Hta_9-0.25,0,Hta_9-0.25),IF(G21&lt;=Hta_10-0.25,0,Hta_10-0.25),IF(G21&lt;=Hta_11-0.25,0,Hta_11-0.25),IF(G21&lt;=Hta_12-0.25,0,Hta_12-0.25),IF(G21&lt;=Hta_13-0.25,0,Hta_13-0.25),IF(G21&lt;=Hta_14-0.25,0,Hta_14-0.25),IF(G21&lt;=Hta_15-0.25,0,Hta_15-0.25),IF(G21&lt;=Hta_16-0.25,0,Hta_16-0.25),IF(G21&lt;=Hta_17-0.25,0,Hta_17-0.25),IF(G21&lt;=Hta_18-0.25,0,Hta_18-0.25),IF(G21&lt;=Hta_19-0.25,0,Hta_19-0.25),IF(G21&lt;=Hta_20-0.25,0,Hta_20-0.25),IF(G21&lt;=Hta_21-0.25,0,Hta_21-0.25),IF(G21&lt;=Hta_22-0.25,0,Hta_22-0.25),IF(G21&lt;=Hta_23-0.25,0,Hta_23-0.25),IF(G21&lt;=Hta_24-0.25,0,Hta_24-0.25),IF(G21&lt;=Hta_25-0.25,0,Hta_25-0.25),IF(G21&lt;=Hta_26-0.25,0,Hta_26-0.25),IF(G21&lt;=Hta_27-0.25,0,Hta_27-0.25),IF(G21&lt;=Hta_28-0.25,0,Hta_28-0.25),IF(G21&lt;=Hta_29-0.25,0,Hta_29-0.25),IF(G21&lt;=Hta_30-0.25,0,Hta_30-0.25)),MAX(IF(G21&lt;=Hba_1,0,Hba_1),IF(G21&lt;=Hba_2,0,Hba_2),IF(G21&lt;=Hba_3,0,Hba_3),IF(G21&lt;=Hba_4,0,Hba_4),IF(G21&lt;=Hba_5,0,Hba_5),IF(G21&lt;=Hba_6,0,Hba_6),IF(G21&lt;=Hba_7,0,Hba_7),IF(G21&lt;=Hba_8,0,Hba_8),IF(G21&lt;=Hba_9,0,Hba_9),IF(G21&lt;=Hba_10,0,Hba_10),IF(G21&lt;=Hba_11,0,Hba_11),IF(G21&lt;=Hba_12,0,Hba_12),IF(G21&lt;=Hba_13,0,Hba_13),IF(G21&lt;=Hba_14,0,Hba_14),IF(G21&lt;=Hba_15,0,Hba_15),IF(G21&lt;=Hba_16,0,Hba_16),IF(G21&lt;=Hba_17,0,Hba_17),IF(G21&lt;=Hba_18,0,Hba_18),IF(G21&lt;=Hba_19,0,Hba_19),IF(G21&lt;=Hba_20,0,Hba_20),IF(G21&lt;=Hba_21,0,Hba_21),IF(G21&lt;=Hba_22,0,Hba_22),IF(G21&lt;=Hba_23,0,Hba_23),IF(G21&lt;=Hba_24,0,Hba_24),IF(G21&lt;=Hba_25,0,Hba_25),IF(G21&lt;=Hba_26,0,Hba_26),IF(G21&lt;=Hba_27,0,Hba_27),IF(G21&lt;=Hba_28,0,Hba_28),IF(G21&lt;=Hba_29,0,Hba_29),IF(G21&lt;=Hba_30,0,Hba_30)),MAX(IF(G21&lt;=Input!$C$8,0,Input!$C$8),IF(G21&lt;=Input!$C$9,0,Input!$C$9),IF(G21&lt;=Input!$C$10,0,Input!$C$10),IF(G21&lt;=Input!$C$11,0,Input!$C$11),IF(G21&lt;=Input!$C$12,0,Input!$C$12),IF(G21&lt;=Input!$C$13,0,Input!$C$13),IF(G21&lt;=Input!$C$14,0,Input!$C$14),IF(G21&lt;=Input!$C$15,0,Input!$C$15),IF(G21&lt;=Input!$C$16,0,Input!$C$16)),MAX(IF(G21&lt;=Hba_1-0.25,0,Hba_1-0.25),IF(G21&lt;=Hba_2-0.25,0,Hba_2-0.25),IF(G21&lt;=Hba_3-0.25,0,Hba_3-0.25),IF(G21&lt;=Hba_4-0.25,0,Hba_4-0.25),IF(G21&lt;=Hba_5-0.25,0,Hba_5-0.25),IF(G21&lt;=Hba_6-0.25,0,Hba_6-0.25),IF(G21&lt;=Hba_7-0.25,0,Hba_7-0.25),IF(G21&lt;=Hba_8-0.25,0,Hba_8-0.25),IF(G21&lt;=Hba_9-0.25,0,Hba_9-0.25),IF(G21&lt;=Hba_10-0.25,0,Hba_10-0.25),IF(G21&lt;=Hba_11-0.25,0,Hba_11-0.25),IF(G21&lt;=Hba_12-0.25,0,Hba_12-0.25),IF(G21&lt;=Hba_13-0.25,0,Hba_13-0.25),IF(G21&lt;=Hba_14-0.25,0,Hba_14-0.25),IF(G21&lt;=Hba_15-0.25,0,Hba_15-0.25),IF(G21&lt;=Hba_16-0.25,0,Hba_16-0.25),IF(G21&lt;=Hba_17-0.25,0,Hba_17-0.25),IF(G21&lt;=Hba_18-0.25,0,Hba_18-0.25),IF(G21&lt;=Hba_19-0.25,0,Hba_19-0.25),IF(G21&lt;=Hba_20-0.25,0,Hba_20-0.25),IF(G21&lt;=Hba_21-0.25,0,Hba_21-0.25),IF(G21&lt;=Hba_22-0.25,0,Hba_22-0.25),IF(G21&lt;=Hba_23-0.25,0,Hba_23-0.25),IF(G21&lt;=Hba_24-0.25,0,Hba_24-0.25),IF(G21&lt;=Hba_25-0.25,0,Hba_25-0.25),IF(G21&lt;=Hba_26-0.25,0,Hba_26-0.25),IF(G21&lt;=Hba_27-0.25,0,Hba_27-0.25),IF(G21&lt;=Hba_28-0.25,0,Hba_28-0.25),IF(G21&lt;=Hba_29-0.25,0,Hba_29-0.25),IF(G21&lt;=Hba_30-0.25,0,Hba_30-0.25)),IF(G21&lt;='Macro References'!$A$38,0,'Macro References'!$A$38)))</f>
        <v/>
      </c>
      <c r="H22" s="769"/>
      <c r="I22" s="228"/>
      <c r="J22" s="228"/>
      <c r="K22" s="228"/>
      <c r="L22" s="717" t="str">
        <f t="shared" si="0"/>
        <v/>
      </c>
      <c r="M22" s="717"/>
      <c r="N22" s="717"/>
      <c r="O22" s="717"/>
      <c r="P22" s="717" t="str">
        <f>IF(OR(G22=0,G22=""),"",IF(VLOOKUP(G22,'Geometry 2'!$C$4:$AI$14,1,TRUE)=VLOOKUP(G23,'Geometry 2'!$C$4:$AI$14,1,TRUE),"",IF(VLOOKUP(G22,'Geometry 2'!$C$4:$AI$14,33,TRUE)&lt;&gt;"n/a",MIN(G22,VLOOKUP(G22,'Geometry 2'!$C$4:$AI$14,1,TRUE))-VLOOKUP(G22,'Geometry 2'!$C$4:$AI$14,33,TRUE),"check")))</f>
        <v/>
      </c>
      <c r="Q22" s="717"/>
      <c r="R22" s="717"/>
      <c r="S22" s="717"/>
      <c r="T22" s="717" t="str">
        <f>IF($G22="","",VLOOKUP($G22,'Geometry 2'!$E$4:$AH$14,11,TRUE))</f>
        <v/>
      </c>
      <c r="U22" s="717"/>
      <c r="V22" s="717"/>
      <c r="W22" s="717"/>
      <c r="X22" s="716" t="str">
        <f>IF($G22="","",VLOOKUP($G22,'Geometry 2'!$E$4:$AJ$14,19,TRUE)-12*VLOOKUP($G22,'Geometry 2'!$E$4:$AJ$14,32,TRUE)*($D22-VLOOKUP($G22,'Geometry 2'!$E$5:$AH$14,1,TRUE)))</f>
        <v/>
      </c>
      <c r="Y22" s="716"/>
      <c r="Z22" s="716"/>
      <c r="AA22" s="716"/>
      <c r="AB22" s="757" t="str">
        <f>IF($G22="","",VLOOKUP($G22,'Geometry 2'!$E$4:$AJ$14,19,TRUE)-12*VLOOKUP($G22,'Geometry 2'!$E$4:$AJ$14,32,TRUE)*($G22-VLOOKUP($G22,'Geometry 2'!$E$5:$AH$14,1,TRUE)))</f>
        <v/>
      </c>
      <c r="AC22" s="758"/>
      <c r="AD22" s="758"/>
      <c r="AE22" s="759"/>
      <c r="AF22" s="716" t="str">
        <f>IF($G22="","",VLOOKUP($G22,'Geometry 2'!$E$4:$AJ$14,19,TRUE)-12*VLOOKUP($G22,'Geometry 2'!$E$4:$AJ$14,32,TRUE)*($G22-IF($P22="",0,$P22)-VLOOKUP($G22,'Geometry 2'!$E$5:$AH$14,1,TRUE)))</f>
        <v/>
      </c>
      <c r="AG22" s="716"/>
      <c r="AH22" s="716"/>
      <c r="AI22" s="716"/>
      <c r="AJ22" s="746" t="str">
        <f>IF($G22="","",VLOOKUP($G22,'Geometry 2'!$E$4:$AH$14,23,TRUE))</f>
        <v/>
      </c>
      <c r="AK22" s="747"/>
      <c r="AL22" s="747"/>
      <c r="AM22" s="748"/>
      <c r="AN22" s="717"/>
      <c r="AO22" s="717"/>
      <c r="AP22" s="717"/>
      <c r="AQ22" s="717"/>
      <c r="AR22" s="717" t="str">
        <f>IF($G22="","",VLOOKUP($G22,'Geometry 2'!$E$4:$AH$14,27,TRUE))</f>
        <v/>
      </c>
      <c r="AS22" s="717"/>
      <c r="AT22" s="717"/>
      <c r="AU22" s="718"/>
      <c r="AV22" s="715"/>
      <c r="AW22" s="716"/>
      <c r="AX22" s="716"/>
      <c r="AZ22" s="722" t="str">
        <f t="shared" si="5"/>
        <v/>
      </c>
      <c r="BA22" s="723"/>
      <c r="BB22" s="723"/>
      <c r="BC22" s="724"/>
      <c r="BD22" s="722"/>
      <c r="BE22" s="723"/>
      <c r="BF22" s="723"/>
      <c r="BG22" s="722" t="str">
        <f t="shared" si="1"/>
        <v/>
      </c>
      <c r="BH22" s="723"/>
      <c r="BI22" s="723"/>
      <c r="BJ22" s="723"/>
      <c r="BK22" s="724"/>
      <c r="BL22" s="722"/>
      <c r="BM22" s="723"/>
      <c r="BN22" s="723"/>
      <c r="BO22" s="723"/>
      <c r="BP22" s="725"/>
      <c r="BQ22" s="725"/>
      <c r="BR22" s="722" t="str">
        <f>IF(BP22="","",IF(OR(AND(Rev="H",Calculations!$F$27=TRUE),AND(Rev&lt;&gt;"H",Calculations!$F$30=TRUE)),IF(BP22&lt;=1,"Pass","Fail"),IF(BP22&lt;=1.05,"Pass","Fail")))</f>
        <v/>
      </c>
      <c r="BS22" s="723"/>
      <c r="BT22" s="724"/>
      <c r="BU22" s="49"/>
      <c r="BV22" s="25" t="str">
        <f>IFERROR(CONCATENATE(IF(AND($G22&lt;Hta_1,$G22&gt;=Hba_1,Input!U$21&lt;&gt;""),Input!$B$21&amp;";",""),IF(AND($G22&lt;Hta_2,$G22&gt;=Hba_2,Input!U$22&lt;&gt;""),Input!$B$22&amp;";",""),IF(AND($G22&lt;Hta_3,$G22&gt;=Hba_3,Input!U$23&lt;&gt;""),Input!$B$23&amp;";",""),IF(AND($G22&lt;Hta_4,$G22&gt;=Hba_4,Input!U$24&lt;&gt;""),Input!$B$24&amp;";",""),IF(AND($G22&lt;Hta_5,$G22&gt;=Hba_5,Input!U$25&lt;&gt;""),Input!$B$25&amp;";",""),IF(AND($G22&lt;Hta_6,$G22&gt;=Hba_6,Input!U$26&lt;&gt;""),Input!$B$26&amp;";",""),IF(AND($G22&lt;Hta_7,$G22&gt;=Hba_7,Input!U$27&lt;&gt;""),Input!$B$27&amp;";",""),IF(AND($G22&lt;Hta_8,$G22&gt;=Hba_8,Input!U$28&lt;&gt;""),Input!$B$28&amp;";",""),IF(AND($G22&lt;Hta_9,$G22&gt;=Hba_9,Input!U$29&lt;&gt;""),Input!$B$29&amp;";",""),IF(AND($G22&lt;Hta_10,$G22&gt;=Hba_10,Input!U$30&lt;&gt;""),Input!$B$30&amp;";",""),IF(AND($G22&lt;Hta_11,$G22&gt;=Hba_11,Input!U$31&lt;&gt;""),Input!$B$31&amp;";",""),IF(AND($G22&lt;Hta_12,$G22&gt;=Hba_12,Input!U$32&lt;&gt;""),Input!$B$32&amp;";",""),IF(AND($G22&lt;Hta_13,$G22&gt;=Hba_13,Input!U$33&lt;&gt;""),Input!$B$33&amp;";",""),IF(AND($G22&lt;Hta_14,$G22&gt;=Hba_14,Input!U$34&lt;&gt;""),Input!$B$34&amp;";",""),IF(AND($G22&lt;Hta_15,$G22&gt;=Hba_15,Input!U$35&lt;&gt;""),Input!$B$35&amp;";",""),IF(AND($G22&lt;Hta_16,$G22&gt;=Hba_16,Input!U$36&lt;&gt;""),Input!$B$36&amp;";",""),IF(AND($G22&lt;Hta_17,$G22&gt;=Hba_17,Input!U$37&lt;&gt;""),Input!$B$37&amp;";",""),IF(AND($G22&lt;Hta_18,$G22&gt;=Hba_18,Input!U$38&lt;&gt;""),Input!$B$38&amp;";",""),IF(AND($G22&lt;Hta_19,$G22&gt;=Hba_19,Input!U$39&lt;&gt;""),Input!$B$39&amp;";",""),IF(AND($G22&lt;Hta_20,$G22&gt;=Hba_20,Input!U$40&lt;&gt;""),Input!$B$40&amp;";",""),IF(AND($G22&lt;Hta_21,$G22&gt;=Hba_21,Input!U$41&lt;&gt;""),Input!$B$41&amp;";",""),IF(AND($G22&lt;Hta_22,$G22&gt;=Hba_22,Input!U$42&lt;&gt;""),Input!$B$42&amp;";",""),IF(AND($G22&lt;Hta_23,$G22&gt;=Hba_23,Input!U$43&lt;&gt;""),Input!$B$43&amp;";",""),IF(AND($G22&lt;Hta_24,$G22&gt;=Hba_24,Input!U$44&lt;&gt;""),Input!$B$44&amp;";",""),IF(AND($G22&lt;Hta_25,$G22&gt;=Hba_25,Input!U$45&lt;&gt;""),Input!$B$45&amp;";",""),IF(AND($G22&lt;Hta_26,$G22&gt;=Hba_26,Input!U$46&lt;&gt;""),Input!$B$46&amp;";",""),IF(AND($G22&lt;Hta_27,$G22&gt;=Hba_27,Input!U$47&lt;&gt;""),Input!$B$47&amp;";",""),IF(AND($G22&lt;Hta_28,$G22&gt;=Hba_28,Input!U$48&lt;&gt;""),Input!$B$48&amp;";",""),IF(AND($G22&lt;Hta_29,$G22&gt;=Hba_29,Input!U$49&lt;&gt;""),Input!$B$49&amp;";",""),IF(AND($G22&lt;Hta_30,$G22&gt;=Hba_30,Input!U$50&lt;&gt;""),Input!$B$50&amp;";","")),"")</f>
        <v/>
      </c>
      <c r="BW22" s="25" t="str">
        <f>IFERROR(CONCATENATE(IF(AND($G22&lt;Hta_1,$G22&gt;=Hba_1,Input!V$21&lt;&gt;""),Input!$B$21&amp;";",""),IF(AND($G22&lt;Hta_2,$G22&gt;=Hba_2,Input!V$22&lt;&gt;""),Input!$B$22&amp;";",""),IF(AND($G22&lt;Hta_3,$G22&gt;=Hba_3,Input!V$23&lt;&gt;""),Input!$B$23&amp;";",""),IF(AND($G22&lt;Hta_4,$G22&gt;=Hba_4,Input!V$24&lt;&gt;""),Input!$B$24&amp;";",""),IF(AND($G22&lt;Hta_5,$G22&gt;=Hba_5,Input!V$25&lt;&gt;""),Input!$B$25&amp;";",""),IF(AND($G22&lt;Hta_6,$G22&gt;=Hba_6,Input!V$26&lt;&gt;""),Input!$B$26&amp;";",""),IF(AND($G22&lt;Hta_7,$G22&gt;=Hba_7,Input!V$27&lt;&gt;""),Input!$B$27&amp;";",""),IF(AND($G22&lt;Hta_8,$G22&gt;=Hba_8,Input!V$28&lt;&gt;""),Input!$B$28&amp;";",""),IF(AND($G22&lt;Hta_9,$G22&gt;=Hba_9,Input!V$29&lt;&gt;""),Input!$B$29&amp;";",""),IF(AND($G22&lt;Hta_10,$G22&gt;=Hba_10,Input!V$30&lt;&gt;""),Input!$B$30&amp;";",""),IF(AND($G22&lt;Hta_11,$G22&gt;=Hba_11,Input!V$31&lt;&gt;""),Input!$B$31&amp;";",""),IF(AND($G22&lt;Hta_12,$G22&gt;=Hba_12,Input!V$32&lt;&gt;""),Input!$B$32&amp;";",""),IF(AND($G22&lt;Hta_13,$G22&gt;=Hba_13,Input!V$33&lt;&gt;""),Input!$B$33&amp;";",""),IF(AND($G22&lt;Hta_14,$G22&gt;=Hba_14,Input!V$34&lt;&gt;""),Input!$B$34&amp;";",""),IF(AND($G22&lt;Hta_15,$G22&gt;=Hba_15,Input!V$35&lt;&gt;""),Input!$B$35&amp;";",""),IF(AND($G22&lt;Hta_16,$G22&gt;=Hba_16,Input!V$36&lt;&gt;""),Input!$B$36&amp;";",""),IF(AND($G22&lt;Hta_17,$G22&gt;=Hba_17,Input!V$37&lt;&gt;""),Input!$B$37&amp;";",""),IF(AND($G22&lt;Hta_18,$G22&gt;=Hba_18,Input!V$38&lt;&gt;""),Input!$B$38&amp;";",""),IF(AND($G22&lt;Hta_19,$G22&gt;=Hba_19,Input!V$39&lt;&gt;""),Input!$B$39&amp;";",""),IF(AND($G22&lt;Hta_20,$G22&gt;=Hba_20,Input!V$40&lt;&gt;""),Input!$B$40&amp;";",""),IF(AND($G22&lt;Hta_21,$G22&gt;=Hba_21,Input!V$41&lt;&gt;""),Input!$B$41&amp;";",""),IF(AND($G22&lt;Hta_22,$G22&gt;=Hba_22,Input!V$42&lt;&gt;""),Input!$B$42&amp;";",""),IF(AND($G22&lt;Hta_23,$G22&gt;=Hba_23,Input!V$43&lt;&gt;""),Input!$B$43&amp;";",""),IF(AND($G22&lt;Hta_24,$G22&gt;=Hba_24,Input!V$44&lt;&gt;""),Input!$B$44&amp;";",""),IF(AND($G22&lt;Hta_25,$G22&gt;=Hba_25,Input!V$45&lt;&gt;""),Input!$B$45&amp;";",""),IF(AND($G22&lt;Hta_26,$G22&gt;=Hba_26,Input!V$46&lt;&gt;""),Input!$B$46&amp;";",""),IF(AND($G22&lt;Hta_27,$G22&gt;=Hba_27,Input!V$47&lt;&gt;""),Input!$B$47&amp;";",""),IF(AND($G22&lt;Hta_28,$G22&gt;=Hba_28,Input!V$48&lt;&gt;""),Input!$B$48&amp;";",""),IF(AND($G22&lt;Hta_29,$G22&gt;=Hba_29,Input!V$49&lt;&gt;""),Input!$B$49&amp;";",""),IF(AND($G22&lt;Hta_30,$G22&gt;=Hba_30,Input!V$50&lt;&gt;""),Input!$B$50&amp;";","")),"")</f>
        <v/>
      </c>
      <c r="BX22" s="25" t="str">
        <f>IFERROR(CONCATENATE(IF(AND($G22&lt;Hta_1,$G22&gt;=Hba_1,Input!W$21&lt;&gt;""),Input!$B$21&amp;";",""),IF(AND($G22&lt;Hta_2,$G22&gt;=Hba_2,Input!W$22&lt;&gt;""),Input!$B$22&amp;";",""),IF(AND($G22&lt;Hta_3,$G22&gt;=Hba_3,Input!W$23&lt;&gt;""),Input!$B$23&amp;";",""),IF(AND($G22&lt;Hta_4,$G22&gt;=Hba_4,Input!W$24&lt;&gt;""),Input!$B$24&amp;";",""),IF(AND($G22&lt;Hta_5,$G22&gt;=Hba_5,Input!W$25&lt;&gt;""),Input!$B$25&amp;";",""),IF(AND($G22&lt;Hta_6,$G22&gt;=Hba_6,Input!W$26&lt;&gt;""),Input!$B$26&amp;";",""),IF(AND($G22&lt;Hta_7,$G22&gt;=Hba_7,Input!W$27&lt;&gt;""),Input!$B$27&amp;";",""),IF(AND($G22&lt;Hta_8,$G22&gt;=Hba_8,Input!W$28&lt;&gt;""),Input!$B$28&amp;";",""),IF(AND($G22&lt;Hta_9,$G22&gt;=Hba_9,Input!W$29&lt;&gt;""),Input!$B$29&amp;";",""),IF(AND($G22&lt;Hta_10,$G22&gt;=Hba_10,Input!W$30&lt;&gt;""),Input!$B$30&amp;";",""),IF(AND($G22&lt;Hta_11,$G22&gt;=Hba_11,Input!W$31&lt;&gt;""),Input!$B$31&amp;";",""),IF(AND($G22&lt;Hta_12,$G22&gt;=Hba_12,Input!W$32&lt;&gt;""),Input!$B$32&amp;";",""),IF(AND($G22&lt;Hta_13,$G22&gt;=Hba_13,Input!W$33&lt;&gt;""),Input!$B$33&amp;";",""),IF(AND($G22&lt;Hta_14,$G22&gt;=Hba_14,Input!W$34&lt;&gt;""),Input!$B$34&amp;";",""),IF(AND($G22&lt;Hta_15,$G22&gt;=Hba_15,Input!W$35&lt;&gt;""),Input!$B$35&amp;";",""),IF(AND($G22&lt;Hta_16,$G22&gt;=Hba_16,Input!W$36&lt;&gt;""),Input!$B$36&amp;";",""),IF(AND($G22&lt;Hta_17,$G22&gt;=Hba_17,Input!W$37&lt;&gt;""),Input!$B$37&amp;";",""),IF(AND($G22&lt;Hta_18,$G22&gt;=Hba_18,Input!W$38&lt;&gt;""),Input!$B$38&amp;";",""),IF(AND($G22&lt;Hta_19,$G22&gt;=Hba_19,Input!W$39&lt;&gt;""),Input!$B$39&amp;";",""),IF(AND($G22&lt;Hta_20,$G22&gt;=Hba_20,Input!W$40&lt;&gt;""),Input!$B$40&amp;";",""),IF(AND($G22&lt;Hta_21,$G22&gt;=Hba_21,Input!W$41&lt;&gt;""),Input!$B$41&amp;";",""),IF(AND($G22&lt;Hta_22,$G22&gt;=Hba_22,Input!W$42&lt;&gt;""),Input!$B$42&amp;";",""),IF(AND($G22&lt;Hta_23,$G22&gt;=Hba_23,Input!W$43&lt;&gt;""),Input!$B$43&amp;";",""),IF(AND($G22&lt;Hta_24,$G22&gt;=Hba_24,Input!W$44&lt;&gt;""),Input!$B$44&amp;";",""),IF(AND($G22&lt;Hta_25,$G22&gt;=Hba_25,Input!W$45&lt;&gt;""),Input!$B$45&amp;";",""),IF(AND($G22&lt;Hta_26,$G22&gt;=Hba_26,Input!W$46&lt;&gt;""),Input!$B$46&amp;";",""),IF(AND($G22&lt;Hta_27,$G22&gt;=Hba_27,Input!W$47&lt;&gt;""),Input!$B$47&amp;";",""),IF(AND($G22&lt;Hta_28,$G22&gt;=Hba_28,Input!W$48&lt;&gt;""),Input!$B$48&amp;";",""),IF(AND($G22&lt;Hta_29,$G22&gt;=Hba_29,Input!W$49&lt;&gt;""),Input!$B$49&amp;";",""),IF(AND($G22&lt;Hta_30,$G22&gt;=Hba_30,Input!W$50&lt;&gt;""),Input!$B$50&amp;";","")),"")</f>
        <v/>
      </c>
      <c r="BY22" s="25" t="str">
        <f>IFERROR(CONCATENATE(IF(AND($G22&lt;Hta_1,$G22&gt;=Hba_1,Input!X$21&lt;&gt;""),Input!$B$21&amp;";",""),IF(AND($G22&lt;Hta_2,$G22&gt;=Hba_2,Input!X$22&lt;&gt;""),Input!$B$22&amp;";",""),IF(AND($G22&lt;Hta_3,$G22&gt;=Hba_3,Input!X$23&lt;&gt;""),Input!$B$23&amp;";",""),IF(AND($G22&lt;Hta_4,$G22&gt;=Hba_4,Input!X$24&lt;&gt;""),Input!$B$24&amp;";",""),IF(AND($G22&lt;Hta_5,$G22&gt;=Hba_5,Input!X$25&lt;&gt;""),Input!$B$25&amp;";",""),IF(AND($G22&lt;Hta_6,$G22&gt;=Hba_6,Input!X$26&lt;&gt;""),Input!$B$26&amp;";",""),IF(AND($G22&lt;Hta_7,$G22&gt;=Hba_7,Input!X$27&lt;&gt;""),Input!$B$27&amp;";",""),IF(AND($G22&lt;Hta_8,$G22&gt;=Hba_8,Input!X$28&lt;&gt;""),Input!$B$28&amp;";",""),IF(AND($G22&lt;Hta_9,$G22&gt;=Hba_9,Input!X$29&lt;&gt;""),Input!$B$29&amp;";",""),IF(AND($G22&lt;Hta_10,$G22&gt;=Hba_10,Input!X$30&lt;&gt;""),Input!$B$30&amp;";",""),IF(AND($G22&lt;Hta_11,$G22&gt;=Hba_11,Input!X$31&lt;&gt;""),Input!$B$31&amp;";",""),IF(AND($G22&lt;Hta_12,$G22&gt;=Hba_12,Input!X$32&lt;&gt;""),Input!$B$32&amp;";",""),IF(AND($G22&lt;Hta_13,$G22&gt;=Hba_13,Input!X$33&lt;&gt;""),Input!$B$33&amp;";",""),IF(AND($G22&lt;Hta_14,$G22&gt;=Hba_14,Input!X$34&lt;&gt;""),Input!$B$34&amp;";",""),IF(AND($G22&lt;Hta_15,$G22&gt;=Hba_15,Input!X$35&lt;&gt;""),Input!$B$35&amp;";",""),IF(AND($G22&lt;Hta_16,$G22&gt;=Hba_16,Input!X$36&lt;&gt;""),Input!$B$36&amp;";",""),IF(AND($G22&lt;Hta_17,$G22&gt;=Hba_17,Input!X$37&lt;&gt;""),Input!$B$37&amp;";",""),IF(AND($G22&lt;Hta_18,$G22&gt;=Hba_18,Input!X$38&lt;&gt;""),Input!$B$38&amp;";",""),IF(AND($G22&lt;Hta_19,$G22&gt;=Hba_19,Input!X$39&lt;&gt;""),Input!$B$39&amp;";",""),IF(AND($G22&lt;Hta_20,$G22&gt;=Hba_20,Input!X$40&lt;&gt;""),Input!$B$40&amp;";",""),IF(AND($G22&lt;Hta_21,$G22&gt;=Hba_21,Input!X$41&lt;&gt;""),Input!$B$41&amp;";",""),IF(AND($G22&lt;Hta_22,$G22&gt;=Hba_22,Input!X$42&lt;&gt;""),Input!$B$42&amp;";",""),IF(AND($G22&lt;Hta_23,$G22&gt;=Hba_23,Input!X$43&lt;&gt;""),Input!$B$43&amp;";",""),IF(AND($G22&lt;Hta_24,$G22&gt;=Hba_24,Input!X$44&lt;&gt;""),Input!$B$44&amp;";",""),IF(AND($G22&lt;Hta_25,$G22&gt;=Hba_25,Input!X$45&lt;&gt;""),Input!$B$45&amp;";",""),IF(AND($G22&lt;Hta_26,$G22&gt;=Hba_26,Input!X$46&lt;&gt;""),Input!$B$46&amp;";",""),IF(AND($G22&lt;Hta_27,$G22&gt;=Hba_27,Input!X$47&lt;&gt;""),Input!$B$47&amp;";",""),IF(AND($G22&lt;Hta_28,$G22&gt;=Hba_28,Input!X$48&lt;&gt;""),Input!$B$48&amp;";",""),IF(AND($G22&lt;Hta_29,$G22&gt;=Hba_29,Input!X$49&lt;&gt;""),Input!$B$49&amp;";",""),IF(AND($G22&lt;Hta_30,$G22&gt;=Hba_30,Input!X$50&lt;&gt;""),Input!$B$50&amp;";","")),"")</f>
        <v/>
      </c>
      <c r="BZ22" s="25" t="str">
        <f>IFERROR(CONCATENATE(IF(AND($G22&lt;Hta_1,$G22&gt;=Hba_1,Input!Y$21&lt;&gt;""),Input!$B$21&amp;";",""),IF(AND($G22&lt;Hta_2,$G22&gt;=Hba_2,Input!Y$22&lt;&gt;""),Input!$B$22&amp;";",""),IF(AND($G22&lt;Hta_3,$G22&gt;=Hba_3,Input!Y$23&lt;&gt;""),Input!$B$23&amp;";",""),IF(AND($G22&lt;Hta_4,$G22&gt;=Hba_4,Input!Y$24&lt;&gt;""),Input!$B$24&amp;";",""),IF(AND($G22&lt;Hta_5,$G22&gt;=Hba_5,Input!Y$25&lt;&gt;""),Input!$B$25&amp;";",""),IF(AND($G22&lt;Hta_6,$G22&gt;=Hba_6,Input!Y$26&lt;&gt;""),Input!$B$26&amp;";",""),IF(AND($G22&lt;Hta_7,$G22&gt;=Hba_7,Input!Y$27&lt;&gt;""),Input!$B$27&amp;";",""),IF(AND($G22&lt;Hta_8,$G22&gt;=Hba_8,Input!Y$28&lt;&gt;""),Input!$B$28&amp;";",""),IF(AND($G22&lt;Hta_9,$G22&gt;=Hba_9,Input!Y$29&lt;&gt;""),Input!$B$29&amp;";",""),IF(AND($G22&lt;Hta_10,$G22&gt;=Hba_10,Input!Y$30&lt;&gt;""),Input!$B$30&amp;";",""),IF(AND($G22&lt;Hta_11,$G22&gt;=Hba_11,Input!Y$31&lt;&gt;""),Input!$B$31&amp;";",""),IF(AND($G22&lt;Hta_12,$G22&gt;=Hba_12,Input!Y$32&lt;&gt;""),Input!$B$32&amp;";",""),IF(AND($G22&lt;Hta_13,$G22&gt;=Hba_13,Input!Y$33&lt;&gt;""),Input!$B$33&amp;";",""),IF(AND($G22&lt;Hta_14,$G22&gt;=Hba_14,Input!Y$34&lt;&gt;""),Input!$B$34&amp;";",""),IF(AND($G22&lt;Hta_15,$G22&gt;=Hba_15,Input!Y$35&lt;&gt;""),Input!$B$35&amp;";",""),IF(AND($G22&lt;Hta_16,$G22&gt;=Hba_16,Input!Y$36&lt;&gt;""),Input!$B$36&amp;";",""),IF(AND($G22&lt;Hta_17,$G22&gt;=Hba_17,Input!Y$37&lt;&gt;""),Input!$B$37&amp;";",""),IF(AND($G22&lt;Hta_18,$G22&gt;=Hba_18,Input!Y$38&lt;&gt;""),Input!$B$38&amp;";",""),IF(AND($G22&lt;Hta_19,$G22&gt;=Hba_19,Input!Y$39&lt;&gt;""),Input!$B$39&amp;";",""),IF(AND($G22&lt;Hta_20,$G22&gt;=Hba_20,Input!Y$40&lt;&gt;""),Input!$B$40&amp;";",""),IF(AND($G22&lt;Hta_21,$G22&gt;=Hba_21,Input!Y$41&lt;&gt;""),Input!$B$41&amp;";",""),IF(AND($G22&lt;Hta_22,$G22&gt;=Hba_22,Input!Y$42&lt;&gt;""),Input!$B$42&amp;";",""),IF(AND($G22&lt;Hta_23,$G22&gt;=Hba_23,Input!Y$43&lt;&gt;""),Input!$B$43&amp;";",""),IF(AND($G22&lt;Hta_24,$G22&gt;=Hba_24,Input!Y$44&lt;&gt;""),Input!$B$44&amp;";",""),IF(AND($G22&lt;Hta_25,$G22&gt;=Hba_25,Input!Y$45&lt;&gt;""),Input!$B$45&amp;";",""),IF(AND($G22&lt;Hta_26,$G22&gt;=Hba_26,Input!Y$46&lt;&gt;""),Input!$B$46&amp;";",""),IF(AND($G22&lt;Hta_27,$G22&gt;=Hba_27,Input!Y$47&lt;&gt;""),Input!$B$47&amp;";",""),IF(AND($G22&lt;Hta_28,$G22&gt;=Hba_28,Input!Y$48&lt;&gt;""),Input!$B$48&amp;";",""),IF(AND($G22&lt;Hta_29,$G22&gt;=Hba_29,Input!Y$49&lt;&gt;""),Input!$B$49&amp;";",""),IF(AND($G22&lt;Hta_30,$G22&gt;=Hba_30,Input!Y$50&lt;&gt;""),Input!$B$50&amp;";","")),"")</f>
        <v/>
      </c>
      <c r="CA22" s="25" t="str">
        <f>IFERROR(CONCATENATE(IF(AND($G22&lt;Hta_1,$G22&gt;=Hba_1,Input!Z$21&lt;&gt;""),Input!$B$21&amp;";",""),IF(AND($G22&lt;Hta_2,$G22&gt;=Hba_2,Input!Z$22&lt;&gt;""),Input!$B$22&amp;";",""),IF(AND($G22&lt;Hta_3,$G22&gt;=Hba_3,Input!Z$23&lt;&gt;""),Input!$B$23&amp;";",""),IF(AND($G22&lt;Hta_4,$G22&gt;=Hba_4,Input!Z$24&lt;&gt;""),Input!$B$24&amp;";",""),IF(AND($G22&lt;Hta_5,$G22&gt;=Hba_5,Input!Z$25&lt;&gt;""),Input!$B$25&amp;";",""),IF(AND($G22&lt;Hta_6,$G22&gt;=Hba_6,Input!Z$26&lt;&gt;""),Input!$B$26&amp;";",""),IF(AND($G22&lt;Hta_7,$G22&gt;=Hba_7,Input!Z$27&lt;&gt;""),Input!$B$27&amp;";",""),IF(AND($G22&lt;Hta_8,$G22&gt;=Hba_8,Input!Z$28&lt;&gt;""),Input!$B$28&amp;";",""),IF(AND($G22&lt;Hta_9,$G22&gt;=Hba_9,Input!Z$29&lt;&gt;""),Input!$B$29&amp;";",""),IF(AND($G22&lt;Hta_10,$G22&gt;=Hba_10,Input!Z$30&lt;&gt;""),Input!$B$30&amp;";",""),IF(AND($G22&lt;Hta_11,$G22&gt;=Hba_11,Input!Z$31&lt;&gt;""),Input!$B$31&amp;";",""),IF(AND($G22&lt;Hta_12,$G22&gt;=Hba_12,Input!Z$32&lt;&gt;""),Input!$B$32&amp;";",""),IF(AND($G22&lt;Hta_13,$G22&gt;=Hba_13,Input!Z$33&lt;&gt;""),Input!$B$33&amp;";",""),IF(AND($G22&lt;Hta_14,$G22&gt;=Hba_14,Input!Z$34&lt;&gt;""),Input!$B$34&amp;";",""),IF(AND($G22&lt;Hta_15,$G22&gt;=Hba_15,Input!Z$35&lt;&gt;""),Input!$B$35&amp;";",""),IF(AND($G22&lt;Hta_16,$G22&gt;=Hba_16,Input!Z$36&lt;&gt;""),Input!$B$36&amp;";",""),IF(AND($G22&lt;Hta_17,$G22&gt;=Hba_17,Input!Z$37&lt;&gt;""),Input!$B$37&amp;";",""),IF(AND($G22&lt;Hta_18,$G22&gt;=Hba_18,Input!Z$38&lt;&gt;""),Input!$B$38&amp;";",""),IF(AND($G22&lt;Hta_19,$G22&gt;=Hba_19,Input!Z$39&lt;&gt;""),Input!$B$39&amp;";",""),IF(AND($G22&lt;Hta_20,$G22&gt;=Hba_20,Input!Z$40&lt;&gt;""),Input!$B$40&amp;";",""),IF(AND($G22&lt;Hta_21,$G22&gt;=Hba_21,Input!Z$41&lt;&gt;""),Input!$B$41&amp;";",""),IF(AND($G22&lt;Hta_22,$G22&gt;=Hba_22,Input!Z$42&lt;&gt;""),Input!$B$42&amp;";",""),IF(AND($G22&lt;Hta_23,$G22&gt;=Hba_23,Input!Z$43&lt;&gt;""),Input!$B$43&amp;";",""),IF(AND($G22&lt;Hta_24,$G22&gt;=Hba_24,Input!Z$44&lt;&gt;""),Input!$B$44&amp;";",""),IF(AND($G22&lt;Hta_25,$G22&gt;=Hba_25,Input!Z$45&lt;&gt;""),Input!$B$45&amp;";",""),IF(AND($G22&lt;Hta_26,$G22&gt;=Hba_26,Input!Z$46&lt;&gt;""),Input!$B$46&amp;";",""),IF(AND($G22&lt;Hta_27,$G22&gt;=Hba_27,Input!Z$47&lt;&gt;""),Input!$B$47&amp;";",""),IF(AND($G22&lt;Hta_28,$G22&gt;=Hba_28,Input!Z$48&lt;&gt;""),Input!$B$48&amp;";",""),IF(AND($G22&lt;Hta_29,$G22&gt;=Hba_29,Input!Z$49&lt;&gt;""),Input!$B$49&amp;";",""),IF(AND($G22&lt;Hta_30,$G22&gt;=Hba_30,Input!Z$50&lt;&gt;""),Input!$B$50&amp;";","")),"")</f>
        <v/>
      </c>
      <c r="CB22" s="25" t="str">
        <f>IFERROR(CONCATENATE(IF(AND($G22&lt;Hta_1,$G22&gt;=Hba_1,Input!AA$21&lt;&gt;""),Input!$B$21&amp;";",""),IF(AND($G22&lt;Hta_2,$G22&gt;=Hba_2,Input!AA$22&lt;&gt;""),Input!$B$22&amp;";",""),IF(AND($G22&lt;Hta_3,$G22&gt;=Hba_3,Input!AA$23&lt;&gt;""),Input!$B$23&amp;";",""),IF(AND($G22&lt;Hta_4,$G22&gt;=Hba_4,Input!AA$24&lt;&gt;""),Input!$B$24&amp;";",""),IF(AND($G22&lt;Hta_5,$G22&gt;=Hba_5,Input!AA$25&lt;&gt;""),Input!$B$25&amp;";",""),IF(AND($G22&lt;Hta_6,$G22&gt;=Hba_6,Input!AA$26&lt;&gt;""),Input!$B$26&amp;";",""),IF(AND($G22&lt;Hta_7,$G22&gt;=Hba_7,Input!AA$27&lt;&gt;""),Input!$B$27&amp;";",""),IF(AND($G22&lt;Hta_8,$G22&gt;=Hba_8,Input!AA$28&lt;&gt;""),Input!$B$28&amp;";",""),IF(AND($G22&lt;Hta_9,$G22&gt;=Hba_9,Input!AA$29&lt;&gt;""),Input!$B$29&amp;";",""),IF(AND($G22&lt;Hta_10,$G22&gt;=Hba_10,Input!AA$30&lt;&gt;""),Input!$B$30&amp;";",""),IF(AND($G22&lt;Hta_11,$G22&gt;=Hba_11,Input!AA$31&lt;&gt;""),Input!$B$31&amp;";",""),IF(AND($G22&lt;Hta_12,$G22&gt;=Hba_12,Input!AA$32&lt;&gt;""),Input!$B$32&amp;";",""),IF(AND($G22&lt;Hta_13,$G22&gt;=Hba_13,Input!AA$33&lt;&gt;""),Input!$B$33&amp;";",""),IF(AND($G22&lt;Hta_14,$G22&gt;=Hba_14,Input!AA$34&lt;&gt;""),Input!$B$34&amp;";",""),IF(AND($G22&lt;Hta_15,$G22&gt;=Hba_15,Input!AA$35&lt;&gt;""),Input!$B$35&amp;";",""),IF(AND($G22&lt;Hta_16,$G22&gt;=Hba_16,Input!AA$36&lt;&gt;""),Input!$B$36&amp;";",""),IF(AND($G22&lt;Hta_17,$G22&gt;=Hba_17,Input!AA$37&lt;&gt;""),Input!$B$37&amp;";",""),IF(AND($G22&lt;Hta_18,$G22&gt;=Hba_18,Input!AA$38&lt;&gt;""),Input!$B$38&amp;";",""),IF(AND($G22&lt;Hta_19,$G22&gt;=Hba_19,Input!AA$39&lt;&gt;""),Input!$B$39&amp;";",""),IF(AND($G22&lt;Hta_20,$G22&gt;=Hba_20,Input!AA$40&lt;&gt;""),Input!$B$40&amp;";",""),IF(AND($G22&lt;Hta_21,$G22&gt;=Hba_21,Input!AA$41&lt;&gt;""),Input!$B$41&amp;";",""),IF(AND($G22&lt;Hta_22,$G22&gt;=Hba_22,Input!AA$42&lt;&gt;""),Input!$B$42&amp;";",""),IF(AND($G22&lt;Hta_23,$G22&gt;=Hba_23,Input!AA$43&lt;&gt;""),Input!$B$43&amp;";",""),IF(AND($G22&lt;Hta_24,$G22&gt;=Hba_24,Input!AA$44&lt;&gt;""),Input!$B$44&amp;";",""),IF(AND($G22&lt;Hta_25,$G22&gt;=Hba_25,Input!AA$45&lt;&gt;""),Input!$B$45&amp;";",""),IF(AND($G22&lt;Hta_26,$G22&gt;=Hba_26,Input!AA$46&lt;&gt;""),Input!$B$46&amp;";",""),IF(AND($G22&lt;Hta_27,$G22&gt;=Hba_27,Input!AA$47&lt;&gt;""),Input!$B$47&amp;";",""),IF(AND($G22&lt;Hta_28,$G22&gt;=Hba_28,Input!AA$48&lt;&gt;""),Input!$B$48&amp;";",""),IF(AND($G22&lt;Hta_29,$G22&gt;=Hba_29,Input!AA$49&lt;&gt;""),Input!$B$49&amp;";",""),IF(AND($G22&lt;Hta_30,$G22&gt;=Hba_30,Input!AA$50&lt;&gt;""),Input!$B$50&amp;";","")),"")</f>
        <v/>
      </c>
      <c r="CC22" s="25" t="str">
        <f>IFERROR(CONCATENATE(IF(AND($G22&lt;Hta_1,$G22&gt;=Hba_1,Input!AB$21&lt;&gt;""),Input!$B$21&amp;";",""),IF(AND($G22&lt;Hta_2,$G22&gt;=Hba_2,Input!AB$22&lt;&gt;""),Input!$B$22&amp;";",""),IF(AND($G22&lt;Hta_3,$G22&gt;=Hba_3,Input!AB$23&lt;&gt;""),Input!$B$23&amp;";",""),IF(AND($G22&lt;Hta_4,$G22&gt;=Hba_4,Input!AB$24&lt;&gt;""),Input!$B$24&amp;";",""),IF(AND($G22&lt;Hta_5,$G22&gt;=Hba_5,Input!AB$25&lt;&gt;""),Input!$B$25&amp;";",""),IF(AND($G22&lt;Hta_6,$G22&gt;=Hba_6,Input!AB$26&lt;&gt;""),Input!$B$26&amp;";",""),IF(AND($G22&lt;Hta_7,$G22&gt;=Hba_7,Input!AB$27&lt;&gt;""),Input!$B$27&amp;";",""),IF(AND($G22&lt;Hta_8,$G22&gt;=Hba_8,Input!AB$28&lt;&gt;""),Input!$B$28&amp;";",""),IF(AND($G22&lt;Hta_9,$G22&gt;=Hba_9,Input!AB$29&lt;&gt;""),Input!$B$29&amp;";",""),IF(AND($G22&lt;Hta_10,$G22&gt;=Hba_10,Input!AB$30&lt;&gt;""),Input!$B$30&amp;";",""),IF(AND($G22&lt;Hta_11,$G22&gt;=Hba_11,Input!AB$31&lt;&gt;""),Input!$B$31&amp;";",""),IF(AND($G22&lt;Hta_12,$G22&gt;=Hba_12,Input!AB$32&lt;&gt;""),Input!$B$32&amp;";",""),IF(AND($G22&lt;Hta_13,$G22&gt;=Hba_13,Input!AB$33&lt;&gt;""),Input!$B$33&amp;";",""),IF(AND($G22&lt;Hta_14,$G22&gt;=Hba_14,Input!AB$34&lt;&gt;""),Input!$B$34&amp;";",""),IF(AND($G22&lt;Hta_15,$G22&gt;=Hba_15,Input!AB$35&lt;&gt;""),Input!$B$35&amp;";",""),IF(AND($G22&lt;Hta_16,$G22&gt;=Hba_16,Input!AB$36&lt;&gt;""),Input!$B$36&amp;";",""),IF(AND($G22&lt;Hta_17,$G22&gt;=Hba_17,Input!AB$37&lt;&gt;""),Input!$B$37&amp;";",""),IF(AND($G22&lt;Hta_18,$G22&gt;=Hba_18,Input!AB$38&lt;&gt;""),Input!$B$38&amp;";",""),IF(AND($G22&lt;Hta_19,$G22&gt;=Hba_19,Input!AB$39&lt;&gt;""),Input!$B$39&amp;";",""),IF(AND($G22&lt;Hta_20,$G22&gt;=Hba_20,Input!AB$40&lt;&gt;""),Input!$B$40&amp;";",""),IF(AND($G22&lt;Hta_21,$G22&gt;=Hba_21,Input!AB$41&lt;&gt;""),Input!$B$41&amp;";",""),IF(AND($G22&lt;Hta_22,$G22&gt;=Hba_22,Input!AB$42&lt;&gt;""),Input!$B$42&amp;";",""),IF(AND($G22&lt;Hta_23,$G22&gt;=Hba_23,Input!AB$43&lt;&gt;""),Input!$B$43&amp;";",""),IF(AND($G22&lt;Hta_24,$G22&gt;=Hba_24,Input!AB$44&lt;&gt;""),Input!$B$44&amp;";",""),IF(AND($G22&lt;Hta_25,$G22&gt;=Hba_25,Input!AB$45&lt;&gt;""),Input!$B$45&amp;";",""),IF(AND($G22&lt;Hta_26,$G22&gt;=Hba_26,Input!AB$46&lt;&gt;""),Input!$B$46&amp;";",""),IF(AND($G22&lt;Hta_27,$G22&gt;=Hba_27,Input!AB$47&lt;&gt;""),Input!$B$47&amp;";",""),IF(AND($G22&lt;Hta_28,$G22&gt;=Hba_28,Input!AB$48&lt;&gt;""),Input!$B$48&amp;";",""),IF(AND($G22&lt;Hta_29,$G22&gt;=Hba_29,Input!AB$49&lt;&gt;""),Input!$B$49&amp;";",""),IF(AND($G22&lt;Hta_30,$G22&gt;=Hba_30,Input!AB$50&lt;&gt;""),Input!$B$50&amp;";","")),"")</f>
        <v/>
      </c>
      <c r="CD22" s="25" t="str">
        <f>IFERROR(CONCATENATE(IF(AND($G22&lt;Hta_1,$G22&gt;=Hba_1,Input!AC$21&lt;&gt;""),Input!$B$21&amp;";",""),IF(AND($G22&lt;Hta_2,$G22&gt;=Hba_2,Input!AC$22&lt;&gt;""),Input!$B$22&amp;";",""),IF(AND($G22&lt;Hta_3,$G22&gt;=Hba_3,Input!AC$23&lt;&gt;""),Input!$B$23&amp;";",""),IF(AND($G22&lt;Hta_4,$G22&gt;=Hba_4,Input!AC$24&lt;&gt;""),Input!$B$24&amp;";",""),IF(AND($G22&lt;Hta_5,$G22&gt;=Hba_5,Input!AC$25&lt;&gt;""),Input!$B$25&amp;";",""),IF(AND($G22&lt;Hta_6,$G22&gt;=Hba_6,Input!AC$26&lt;&gt;""),Input!$B$26&amp;";",""),IF(AND($G22&lt;Hta_7,$G22&gt;=Hba_7,Input!AC$27&lt;&gt;""),Input!$B$27&amp;";",""),IF(AND($G22&lt;Hta_8,$G22&gt;=Hba_8,Input!AC$28&lt;&gt;""),Input!$B$28&amp;";",""),IF(AND($G22&lt;Hta_9,$G22&gt;=Hba_9,Input!AC$29&lt;&gt;""),Input!$B$29&amp;";",""),IF(AND($G22&lt;Hta_10,$G22&gt;=Hba_10,Input!AC$30&lt;&gt;""),Input!$B$30&amp;";",""),IF(AND($G22&lt;Hta_11,$G22&gt;=Hba_11,Input!AC$31&lt;&gt;""),Input!$B$31&amp;";",""),IF(AND($G22&lt;Hta_12,$G22&gt;=Hba_12,Input!AC$32&lt;&gt;""),Input!$B$32&amp;";",""),IF(AND($G22&lt;Hta_13,$G22&gt;=Hba_13,Input!AC$33&lt;&gt;""),Input!$B$33&amp;";",""),IF(AND($G22&lt;Hta_14,$G22&gt;=Hba_14,Input!AC$34&lt;&gt;""),Input!$B$34&amp;";",""),IF(AND($G22&lt;Hta_15,$G22&gt;=Hba_15,Input!AC$35&lt;&gt;""),Input!$B$35&amp;";",""),IF(AND($G22&lt;Hta_16,$G22&gt;=Hba_16,Input!AC$36&lt;&gt;""),Input!$B$36&amp;";",""),IF(AND($G22&lt;Hta_17,$G22&gt;=Hba_17,Input!AC$37&lt;&gt;""),Input!$B$37&amp;";",""),IF(AND($G22&lt;Hta_18,$G22&gt;=Hba_18,Input!AC$38&lt;&gt;""),Input!$B$38&amp;";",""),IF(AND($G22&lt;Hta_19,$G22&gt;=Hba_19,Input!AC$39&lt;&gt;""),Input!$B$39&amp;";",""),IF(AND($G22&lt;Hta_20,$G22&gt;=Hba_20,Input!AC$40&lt;&gt;""),Input!$B$40&amp;";",""),IF(AND($G22&lt;Hta_21,$G22&gt;=Hba_21,Input!AC$41&lt;&gt;""),Input!$B$41&amp;";",""),IF(AND($G22&lt;Hta_22,$G22&gt;=Hba_22,Input!AC$42&lt;&gt;""),Input!$B$42&amp;";",""),IF(AND($G22&lt;Hta_23,$G22&gt;=Hba_23,Input!AC$43&lt;&gt;""),Input!$B$43&amp;";",""),IF(AND($G22&lt;Hta_24,$G22&gt;=Hba_24,Input!AC$44&lt;&gt;""),Input!$B$44&amp;";",""),IF(AND($G22&lt;Hta_25,$G22&gt;=Hba_25,Input!AC$45&lt;&gt;""),Input!$B$45&amp;";",""),IF(AND($G22&lt;Hta_26,$G22&gt;=Hba_26,Input!AC$46&lt;&gt;""),Input!$B$46&amp;";",""),IF(AND($G22&lt;Hta_27,$G22&gt;=Hba_27,Input!AC$47&lt;&gt;""),Input!$B$47&amp;";",""),IF(AND($G22&lt;Hta_28,$G22&gt;=Hba_28,Input!AC$48&lt;&gt;""),Input!$B$48&amp;";",""),IF(AND($G22&lt;Hta_29,$G22&gt;=Hba_29,Input!AC$49&lt;&gt;""),Input!$B$49&amp;";",""),IF(AND($G22&lt;Hta_30,$G22&gt;=Hba_30,Input!AC$50&lt;&gt;""),Input!$B$50&amp;";","")),"")</f>
        <v/>
      </c>
      <c r="CE22" s="25" t="str">
        <f>IFERROR(CONCATENATE(IF(AND($G22&lt;Hta_1,$G22&gt;=Hba_1,Input!AD$21&lt;&gt;""),Input!$B$21&amp;";",""),IF(AND($G22&lt;Hta_2,$G22&gt;=Hba_2,Input!AD$22&lt;&gt;""),Input!$B$22&amp;";",""),IF(AND($G22&lt;Hta_3,$G22&gt;=Hba_3,Input!AD$23&lt;&gt;""),Input!$B$23&amp;";",""),IF(AND($G22&lt;Hta_4,$G22&gt;=Hba_4,Input!AD$24&lt;&gt;""),Input!$B$24&amp;";",""),IF(AND($G22&lt;Hta_5,$G22&gt;=Hba_5,Input!AD$25&lt;&gt;""),Input!$B$25&amp;";",""),IF(AND($G22&lt;Hta_6,$G22&gt;=Hba_6,Input!AD$26&lt;&gt;""),Input!$B$26&amp;";",""),IF(AND($G22&lt;Hta_7,$G22&gt;=Hba_7,Input!AD$27&lt;&gt;""),Input!$B$27&amp;";",""),IF(AND($G22&lt;Hta_8,$G22&gt;=Hba_8,Input!AD$28&lt;&gt;""),Input!$B$28&amp;";",""),IF(AND($G22&lt;Hta_9,$G22&gt;=Hba_9,Input!AD$29&lt;&gt;""),Input!$B$29&amp;";",""),IF(AND($G22&lt;Hta_10,$G22&gt;=Hba_10,Input!AD$30&lt;&gt;""),Input!$B$30&amp;";",""),IF(AND($G22&lt;Hta_11,$G22&gt;=Hba_11,Input!AD$31&lt;&gt;""),Input!$B$31&amp;";",""),IF(AND($G22&lt;Hta_12,$G22&gt;=Hba_12,Input!AD$32&lt;&gt;""),Input!$B$32&amp;";",""),IF(AND($G22&lt;Hta_13,$G22&gt;=Hba_13,Input!AD$33&lt;&gt;""),Input!$B$33&amp;";",""),IF(AND($G22&lt;Hta_14,$G22&gt;=Hba_14,Input!AD$34&lt;&gt;""),Input!$B$34&amp;";",""),IF(AND($G22&lt;Hta_15,$G22&gt;=Hba_15,Input!AD$35&lt;&gt;""),Input!$B$35&amp;";",""),IF(AND($G22&lt;Hta_16,$G22&gt;=Hba_16,Input!AD$36&lt;&gt;""),Input!$B$36&amp;";",""),IF(AND($G22&lt;Hta_17,$G22&gt;=Hba_17,Input!AD$37&lt;&gt;""),Input!$B$37&amp;";",""),IF(AND($G22&lt;Hta_18,$G22&gt;=Hba_18,Input!AD$38&lt;&gt;""),Input!$B$38&amp;";",""),IF(AND($G22&lt;Hta_19,$G22&gt;=Hba_19,Input!AD$39&lt;&gt;""),Input!$B$39&amp;";",""),IF(AND($G22&lt;Hta_20,$G22&gt;=Hba_20,Input!AD$40&lt;&gt;""),Input!$B$40&amp;";",""),IF(AND($G22&lt;Hta_21,$G22&gt;=Hba_21,Input!AD$41&lt;&gt;""),Input!$B$41&amp;";",""),IF(AND($G22&lt;Hta_22,$G22&gt;=Hba_22,Input!AD$42&lt;&gt;""),Input!$B$42&amp;";",""),IF(AND($G22&lt;Hta_23,$G22&gt;=Hba_23,Input!AD$43&lt;&gt;""),Input!$B$43&amp;";",""),IF(AND($G22&lt;Hta_24,$G22&gt;=Hba_24,Input!AD$44&lt;&gt;""),Input!$B$44&amp;";",""),IF(AND($G22&lt;Hta_25,$G22&gt;=Hba_25,Input!AD$45&lt;&gt;""),Input!$B$45&amp;";",""),IF(AND($G22&lt;Hta_26,$G22&gt;=Hba_26,Input!AD$46&lt;&gt;""),Input!$B$46&amp;";",""),IF(AND($G22&lt;Hta_27,$G22&gt;=Hba_27,Input!AD$47&lt;&gt;""),Input!$B$47&amp;";",""),IF(AND($G22&lt;Hta_28,$G22&gt;=Hba_28,Input!AD$48&lt;&gt;""),Input!$B$48&amp;";",""),IF(AND($G22&lt;Hta_29,$G22&gt;=Hba_29,Input!AD$49&lt;&gt;""),Input!$B$49&amp;";",""),IF(AND($G22&lt;Hta_30,$G22&gt;=Hba_30,Input!AD$50&lt;&gt;""),Input!$B$50&amp;";","")),"")</f>
        <v/>
      </c>
      <c r="CF22" s="25" t="str">
        <f>IFERROR(CONCATENATE(IF(AND($G22&lt;Hta_1,$G22&gt;=Hba_1,Input!AE$21&lt;&gt;""),Input!$B$21&amp;";",""),IF(AND($G22&lt;Hta_2,$G22&gt;=Hba_2,Input!AE$22&lt;&gt;""),Input!$B$22&amp;";",""),IF(AND($G22&lt;Hta_3,$G22&gt;=Hba_3,Input!AE$23&lt;&gt;""),Input!$B$23&amp;";",""),IF(AND($G22&lt;Hta_4,$G22&gt;=Hba_4,Input!AE$24&lt;&gt;""),Input!$B$24&amp;";",""),IF(AND($G22&lt;Hta_5,$G22&gt;=Hba_5,Input!AE$25&lt;&gt;""),Input!$B$25&amp;";",""),IF(AND($G22&lt;Hta_6,$G22&gt;=Hba_6,Input!AE$26&lt;&gt;""),Input!$B$26&amp;";",""),IF(AND($G22&lt;Hta_7,$G22&gt;=Hba_7,Input!AE$27&lt;&gt;""),Input!$B$27&amp;";",""),IF(AND($G22&lt;Hta_8,$G22&gt;=Hba_8,Input!AE$28&lt;&gt;""),Input!$B$28&amp;";",""),IF(AND($G22&lt;Hta_9,$G22&gt;=Hba_9,Input!AE$29&lt;&gt;""),Input!$B$29&amp;";",""),IF(AND($G22&lt;Hta_10,$G22&gt;=Hba_10,Input!AE$30&lt;&gt;""),Input!$B$30&amp;";",""),IF(AND($G22&lt;Hta_11,$G22&gt;=Hba_11,Input!AE$31&lt;&gt;""),Input!$B$31&amp;";",""),IF(AND($G22&lt;Hta_12,$G22&gt;=Hba_12,Input!AE$32&lt;&gt;""),Input!$B$32&amp;";",""),IF(AND($G22&lt;Hta_13,$G22&gt;=Hba_13,Input!AE$33&lt;&gt;""),Input!$B$33&amp;";",""),IF(AND($G22&lt;Hta_14,$G22&gt;=Hba_14,Input!AE$34&lt;&gt;""),Input!$B$34&amp;";",""),IF(AND($G22&lt;Hta_15,$G22&gt;=Hba_15,Input!AE$35&lt;&gt;""),Input!$B$35&amp;";",""),IF(AND($G22&lt;Hta_16,$G22&gt;=Hba_16,Input!AE$36&lt;&gt;""),Input!$B$36&amp;";",""),IF(AND($G22&lt;Hta_17,$G22&gt;=Hba_17,Input!AE$37&lt;&gt;""),Input!$B$37&amp;";",""),IF(AND($G22&lt;Hta_18,$G22&gt;=Hba_18,Input!AE$38&lt;&gt;""),Input!$B$38&amp;";",""),IF(AND($G22&lt;Hta_19,$G22&gt;=Hba_19,Input!AE$39&lt;&gt;""),Input!$B$39&amp;";",""),IF(AND($G22&lt;Hta_20,$G22&gt;=Hba_20,Input!AE$40&lt;&gt;""),Input!$B$40&amp;";",""),IF(AND($G22&lt;Hta_21,$G22&gt;=Hba_21,Input!AE$41&lt;&gt;""),Input!$B$41&amp;";",""),IF(AND($G22&lt;Hta_22,$G22&gt;=Hba_22,Input!AE$42&lt;&gt;""),Input!$B$42&amp;";",""),IF(AND($G22&lt;Hta_23,$G22&gt;=Hba_23,Input!AE$43&lt;&gt;""),Input!$B$43&amp;";",""),IF(AND($G22&lt;Hta_24,$G22&gt;=Hba_24,Input!AE$44&lt;&gt;""),Input!$B$44&amp;";",""),IF(AND($G22&lt;Hta_25,$G22&gt;=Hba_25,Input!AE$45&lt;&gt;""),Input!$B$45&amp;";",""),IF(AND($G22&lt;Hta_26,$G22&gt;=Hba_26,Input!AE$46&lt;&gt;""),Input!$B$46&amp;";",""),IF(AND($G22&lt;Hta_27,$G22&gt;=Hba_27,Input!AE$47&lt;&gt;""),Input!$B$47&amp;";",""),IF(AND($G22&lt;Hta_28,$G22&gt;=Hba_28,Input!AE$48&lt;&gt;""),Input!$B$48&amp;";",""),IF(AND($G22&lt;Hta_29,$G22&gt;=Hba_29,Input!AE$49&lt;&gt;""),Input!$B$49&amp;";",""),IF(AND($G22&lt;Hta_30,$G22&gt;=Hba_30,Input!AE$50&lt;&gt;""),Input!$B$50&amp;";","")),"")</f>
        <v/>
      </c>
      <c r="CG22" s="25" t="str">
        <f>IFERROR(CONCATENATE(IF(AND($G22&lt;Hta_1,$G22&gt;=Hba_1,Input!AF$21&lt;&gt;""),Input!$B$21&amp;";",""),IF(AND($G22&lt;Hta_2,$G22&gt;=Hba_2,Input!AF$22&lt;&gt;""),Input!$B$22&amp;";",""),IF(AND($G22&lt;Hta_3,$G22&gt;=Hba_3,Input!AF$23&lt;&gt;""),Input!$B$23&amp;";",""),IF(AND($G22&lt;Hta_4,$G22&gt;=Hba_4,Input!AF$24&lt;&gt;""),Input!$B$24&amp;";",""),IF(AND($G22&lt;Hta_5,$G22&gt;=Hba_5,Input!AF$25&lt;&gt;""),Input!$B$25&amp;";",""),IF(AND($G22&lt;Hta_6,$G22&gt;=Hba_6,Input!AF$26&lt;&gt;""),Input!$B$26&amp;";",""),IF(AND($G22&lt;Hta_7,$G22&gt;=Hba_7,Input!AF$27&lt;&gt;""),Input!$B$27&amp;";",""),IF(AND($G22&lt;Hta_8,$G22&gt;=Hba_8,Input!AF$28&lt;&gt;""),Input!$B$28&amp;";",""),IF(AND($G22&lt;Hta_9,$G22&gt;=Hba_9,Input!AF$29&lt;&gt;""),Input!$B$29&amp;";",""),IF(AND($G22&lt;Hta_10,$G22&gt;=Hba_10,Input!AF$30&lt;&gt;""),Input!$B$30&amp;";",""),IF(AND($G22&lt;Hta_11,$G22&gt;=Hba_11,Input!AF$31&lt;&gt;""),Input!$B$31&amp;";",""),IF(AND($G22&lt;Hta_12,$G22&gt;=Hba_12,Input!AF$32&lt;&gt;""),Input!$B$32&amp;";",""),IF(AND($G22&lt;Hta_13,$G22&gt;=Hba_13,Input!AF$33&lt;&gt;""),Input!$B$33&amp;";",""),IF(AND($G22&lt;Hta_14,$G22&gt;=Hba_14,Input!AF$34&lt;&gt;""),Input!$B$34&amp;";",""),IF(AND($G22&lt;Hta_15,$G22&gt;=Hba_15,Input!AF$35&lt;&gt;""),Input!$B$35&amp;";",""),IF(AND($G22&lt;Hta_16,$G22&gt;=Hba_16,Input!AF$36&lt;&gt;""),Input!$B$36&amp;";",""),IF(AND($G22&lt;Hta_17,$G22&gt;=Hba_17,Input!AF$37&lt;&gt;""),Input!$B$37&amp;";",""),IF(AND($G22&lt;Hta_18,$G22&gt;=Hba_18,Input!AF$38&lt;&gt;""),Input!$B$38&amp;";",""),IF(AND($G22&lt;Hta_19,$G22&gt;=Hba_19,Input!AF$39&lt;&gt;""),Input!$B$39&amp;";",""),IF(AND($G22&lt;Hta_20,$G22&gt;=Hba_20,Input!AF$40&lt;&gt;""),Input!$B$40&amp;";",""),IF(AND($G22&lt;Hta_21,$G22&gt;=Hba_21,Input!AF$41&lt;&gt;""),Input!$B$41&amp;";",""),IF(AND($G22&lt;Hta_22,$G22&gt;=Hba_22,Input!AF$42&lt;&gt;""),Input!$B$42&amp;";",""),IF(AND($G22&lt;Hta_23,$G22&gt;=Hba_23,Input!AF$43&lt;&gt;""),Input!$B$43&amp;";",""),IF(AND($G22&lt;Hta_24,$G22&gt;=Hba_24,Input!AF$44&lt;&gt;""),Input!$B$44&amp;";",""),IF(AND($G22&lt;Hta_25,$G22&gt;=Hba_25,Input!AF$45&lt;&gt;""),Input!$B$45&amp;";",""),IF(AND($G22&lt;Hta_26,$G22&gt;=Hba_26,Input!AF$46&lt;&gt;""),Input!$B$46&amp;";",""),IF(AND($G22&lt;Hta_27,$G22&gt;=Hba_27,Input!AF$47&lt;&gt;""),Input!$B$47&amp;";",""),IF(AND($G22&lt;Hta_28,$G22&gt;=Hba_28,Input!AF$48&lt;&gt;""),Input!$B$48&amp;";",""),IF(AND($G22&lt;Hta_29,$G22&gt;=Hba_29,Input!AF$49&lt;&gt;""),Input!$B$49&amp;";",""),IF(AND($G22&lt;Hta_30,$G22&gt;=Hba_30,Input!AF$50&lt;&gt;""),Input!$B$50&amp;";","")),"")</f>
        <v/>
      </c>
      <c r="CH22" s="25" t="str">
        <f>IFERROR(CONCATENATE(IF(AND($G22&lt;Hta_1,$G22&gt;=Hba_1,Input!AG$21&lt;&gt;""),Input!$B$21&amp;";",""),IF(AND($G22&lt;Hta_2,$G22&gt;=Hba_2,Input!AG$22&lt;&gt;""),Input!$B$22&amp;";",""),IF(AND($G22&lt;Hta_3,$G22&gt;=Hba_3,Input!AG$23&lt;&gt;""),Input!$B$23&amp;";",""),IF(AND($G22&lt;Hta_4,$G22&gt;=Hba_4,Input!AG$24&lt;&gt;""),Input!$B$24&amp;";",""),IF(AND($G22&lt;Hta_5,$G22&gt;=Hba_5,Input!AG$25&lt;&gt;""),Input!$B$25&amp;";",""),IF(AND($G22&lt;Hta_6,$G22&gt;=Hba_6,Input!AG$26&lt;&gt;""),Input!$B$26&amp;";",""),IF(AND($G22&lt;Hta_7,$G22&gt;=Hba_7,Input!AG$27&lt;&gt;""),Input!$B$27&amp;";",""),IF(AND($G22&lt;Hta_8,$G22&gt;=Hba_8,Input!AG$28&lt;&gt;""),Input!$B$28&amp;";",""),IF(AND($G22&lt;Hta_9,$G22&gt;=Hba_9,Input!AG$29&lt;&gt;""),Input!$B$29&amp;";",""),IF(AND($G22&lt;Hta_10,$G22&gt;=Hba_10,Input!AG$30&lt;&gt;""),Input!$B$30&amp;";",""),IF(AND($G22&lt;Hta_11,$G22&gt;=Hba_11,Input!AG$31&lt;&gt;""),Input!$B$31&amp;";",""),IF(AND($G22&lt;Hta_12,$G22&gt;=Hba_12,Input!AG$32&lt;&gt;""),Input!$B$32&amp;";",""),IF(AND($G22&lt;Hta_13,$G22&gt;=Hba_13,Input!AG$33&lt;&gt;""),Input!$B$33&amp;";",""),IF(AND($G22&lt;Hta_14,$G22&gt;=Hba_14,Input!AG$34&lt;&gt;""),Input!$B$34&amp;";",""),IF(AND($G22&lt;Hta_15,$G22&gt;=Hba_15,Input!AG$35&lt;&gt;""),Input!$B$35&amp;";",""),IF(AND($G22&lt;Hta_16,$G22&gt;=Hba_16,Input!AG$36&lt;&gt;""),Input!$B$36&amp;";",""),IF(AND($G22&lt;Hta_17,$G22&gt;=Hba_17,Input!AG$37&lt;&gt;""),Input!$B$37&amp;";",""),IF(AND($G22&lt;Hta_18,$G22&gt;=Hba_18,Input!AG$38&lt;&gt;""),Input!$B$38&amp;";",""),IF(AND($G22&lt;Hta_19,$G22&gt;=Hba_19,Input!AG$39&lt;&gt;""),Input!$B$39&amp;";",""),IF(AND($G22&lt;Hta_20,$G22&gt;=Hba_20,Input!AG$40&lt;&gt;""),Input!$B$40&amp;";",""),IF(AND($G22&lt;Hta_21,$G22&gt;=Hba_21,Input!AG$41&lt;&gt;""),Input!$B$41&amp;";",""),IF(AND($G22&lt;Hta_22,$G22&gt;=Hba_22,Input!AG$42&lt;&gt;""),Input!$B$42&amp;";",""),IF(AND($G22&lt;Hta_23,$G22&gt;=Hba_23,Input!AG$43&lt;&gt;""),Input!$B$43&amp;";",""),IF(AND($G22&lt;Hta_24,$G22&gt;=Hba_24,Input!AG$44&lt;&gt;""),Input!$B$44&amp;";",""),IF(AND($G22&lt;Hta_25,$G22&gt;=Hba_25,Input!AG$45&lt;&gt;""),Input!$B$45&amp;";",""),IF(AND($G22&lt;Hta_26,$G22&gt;=Hba_26,Input!AG$46&lt;&gt;""),Input!$B$46&amp;";",""),IF(AND($G22&lt;Hta_27,$G22&gt;=Hba_27,Input!AG$47&lt;&gt;""),Input!$B$47&amp;";",""),IF(AND($G22&lt;Hta_28,$G22&gt;=Hba_28,Input!AG$48&lt;&gt;""),Input!$B$48&amp;";",""),IF(AND($G22&lt;Hta_29,$G22&gt;=Hba_29,Input!AG$49&lt;&gt;""),Input!$B$49&amp;";",""),IF(AND($G22&lt;Hta_30,$G22&gt;=Hba_30,Input!AG$50&lt;&gt;""),Input!$B$50&amp;";","")),"")</f>
        <v/>
      </c>
      <c r="CI22" s="25" t="str">
        <f>IFERROR(CONCATENATE(IF(AND($G22&lt;Hta_1,$G22&gt;=Hba_1,Input!AH$21&lt;&gt;""),Input!$B$21&amp;";",""),IF(AND($G22&lt;Hta_2,$G22&gt;=Hba_2,Input!AH$22&lt;&gt;""),Input!$B$22&amp;";",""),IF(AND($G22&lt;Hta_3,$G22&gt;=Hba_3,Input!AH$23&lt;&gt;""),Input!$B$23&amp;";",""),IF(AND($G22&lt;Hta_4,$G22&gt;=Hba_4,Input!AH$24&lt;&gt;""),Input!$B$24&amp;";",""),IF(AND($G22&lt;Hta_5,$G22&gt;=Hba_5,Input!AH$25&lt;&gt;""),Input!$B$25&amp;";",""),IF(AND($G22&lt;Hta_6,$G22&gt;=Hba_6,Input!AH$26&lt;&gt;""),Input!$B$26&amp;";",""),IF(AND($G22&lt;Hta_7,$G22&gt;=Hba_7,Input!AH$27&lt;&gt;""),Input!$B$27&amp;";",""),IF(AND($G22&lt;Hta_8,$G22&gt;=Hba_8,Input!AH$28&lt;&gt;""),Input!$B$28&amp;";",""),IF(AND($G22&lt;Hta_9,$G22&gt;=Hba_9,Input!AH$29&lt;&gt;""),Input!$B$29&amp;";",""),IF(AND($G22&lt;Hta_10,$G22&gt;=Hba_10,Input!AH$30&lt;&gt;""),Input!$B$30&amp;";",""),IF(AND($G22&lt;Hta_11,$G22&gt;=Hba_11,Input!AH$31&lt;&gt;""),Input!$B$31&amp;";",""),IF(AND($G22&lt;Hta_12,$G22&gt;=Hba_12,Input!AH$32&lt;&gt;""),Input!$B$32&amp;";",""),IF(AND($G22&lt;Hta_13,$G22&gt;=Hba_13,Input!AH$33&lt;&gt;""),Input!$B$33&amp;";",""),IF(AND($G22&lt;Hta_14,$G22&gt;=Hba_14,Input!AH$34&lt;&gt;""),Input!$B$34&amp;";",""),IF(AND($G22&lt;Hta_15,$G22&gt;=Hba_15,Input!AH$35&lt;&gt;""),Input!$B$35&amp;";",""),IF(AND($G22&lt;Hta_16,$G22&gt;=Hba_16,Input!AH$36&lt;&gt;""),Input!$B$36&amp;";",""),IF(AND($G22&lt;Hta_17,$G22&gt;=Hba_17,Input!AH$37&lt;&gt;""),Input!$B$37&amp;";",""),IF(AND($G22&lt;Hta_18,$G22&gt;=Hba_18,Input!AH$38&lt;&gt;""),Input!$B$38&amp;";",""),IF(AND($G22&lt;Hta_19,$G22&gt;=Hba_19,Input!AH$39&lt;&gt;""),Input!$B$39&amp;";",""),IF(AND($G22&lt;Hta_20,$G22&gt;=Hba_20,Input!AH$40&lt;&gt;""),Input!$B$40&amp;";",""),IF(AND($G22&lt;Hta_21,$G22&gt;=Hba_21,Input!AH$41&lt;&gt;""),Input!$B$41&amp;";",""),IF(AND($G22&lt;Hta_22,$G22&gt;=Hba_22,Input!AH$42&lt;&gt;""),Input!$B$42&amp;";",""),IF(AND($G22&lt;Hta_23,$G22&gt;=Hba_23,Input!AH$43&lt;&gt;""),Input!$B$43&amp;";",""),IF(AND($G22&lt;Hta_24,$G22&gt;=Hba_24,Input!AH$44&lt;&gt;""),Input!$B$44&amp;";",""),IF(AND($G22&lt;Hta_25,$G22&gt;=Hba_25,Input!AH$45&lt;&gt;""),Input!$B$45&amp;";",""),IF(AND($G22&lt;Hta_26,$G22&gt;=Hba_26,Input!AH$46&lt;&gt;""),Input!$B$46&amp;";",""),IF(AND($G22&lt;Hta_27,$G22&gt;=Hba_27,Input!AH$47&lt;&gt;""),Input!$B$47&amp;";",""),IF(AND($G22&lt;Hta_28,$G22&gt;=Hba_28,Input!AH$48&lt;&gt;""),Input!$B$48&amp;";",""),IF(AND($G22&lt;Hta_29,$G22&gt;=Hba_29,Input!AH$49&lt;&gt;""),Input!$B$49&amp;";",""),IF(AND($G22&lt;Hta_30,$G22&gt;=Hba_30,Input!AH$50&lt;&gt;""),Input!$B$50&amp;";","")),"")</f>
        <v/>
      </c>
      <c r="CJ22" s="25" t="str">
        <f>IFERROR(CONCATENATE(IF(AND($G22&lt;Hta_1,$G22&gt;=Hba_1,Input!AI$21&lt;&gt;""),Input!$B$21&amp;";",""),IF(AND($G22&lt;Hta_2,$G22&gt;=Hba_2,Input!AI$22&lt;&gt;""),Input!$B$22&amp;";",""),IF(AND($G22&lt;Hta_3,$G22&gt;=Hba_3,Input!AI$23&lt;&gt;""),Input!$B$23&amp;";",""),IF(AND($G22&lt;Hta_4,$G22&gt;=Hba_4,Input!AI$24&lt;&gt;""),Input!$B$24&amp;";",""),IF(AND($G22&lt;Hta_5,$G22&gt;=Hba_5,Input!AI$25&lt;&gt;""),Input!$B$25&amp;";",""),IF(AND($G22&lt;Hta_6,$G22&gt;=Hba_6,Input!AI$26&lt;&gt;""),Input!$B$26&amp;";",""),IF(AND($G22&lt;Hta_7,$G22&gt;=Hba_7,Input!AI$27&lt;&gt;""),Input!$B$27&amp;";",""),IF(AND($G22&lt;Hta_8,$G22&gt;=Hba_8,Input!AI$28&lt;&gt;""),Input!$B$28&amp;";",""),IF(AND($G22&lt;Hta_9,$G22&gt;=Hba_9,Input!AI$29&lt;&gt;""),Input!$B$29&amp;";",""),IF(AND($G22&lt;Hta_10,$G22&gt;=Hba_10,Input!AI$30&lt;&gt;""),Input!$B$30&amp;";",""),IF(AND($G22&lt;Hta_11,$G22&gt;=Hba_11,Input!AI$31&lt;&gt;""),Input!$B$31&amp;";",""),IF(AND($G22&lt;Hta_12,$G22&gt;=Hba_12,Input!AI$32&lt;&gt;""),Input!$B$32&amp;";",""),IF(AND($G22&lt;Hta_13,$G22&gt;=Hba_13,Input!AI$33&lt;&gt;""),Input!$B$33&amp;";",""),IF(AND($G22&lt;Hta_14,$G22&gt;=Hba_14,Input!AI$34&lt;&gt;""),Input!$B$34&amp;";",""),IF(AND($G22&lt;Hta_15,$G22&gt;=Hba_15,Input!AI$35&lt;&gt;""),Input!$B$35&amp;";",""),IF(AND($G22&lt;Hta_16,$G22&gt;=Hba_16,Input!AI$36&lt;&gt;""),Input!$B$36&amp;";",""),IF(AND($G22&lt;Hta_17,$G22&gt;=Hba_17,Input!AI$37&lt;&gt;""),Input!$B$37&amp;";",""),IF(AND($G22&lt;Hta_18,$G22&gt;=Hba_18,Input!AI$38&lt;&gt;""),Input!$B$38&amp;";",""),IF(AND($G22&lt;Hta_19,$G22&gt;=Hba_19,Input!AI$39&lt;&gt;""),Input!$B$39&amp;";",""),IF(AND($G22&lt;Hta_20,$G22&gt;=Hba_20,Input!AI$40&lt;&gt;""),Input!$B$40&amp;";",""),IF(AND($G22&lt;Hta_21,$G22&gt;=Hba_21,Input!AI$41&lt;&gt;""),Input!$B$41&amp;";",""),IF(AND($G22&lt;Hta_22,$G22&gt;=Hba_22,Input!AI$42&lt;&gt;""),Input!$B$42&amp;";",""),IF(AND($G22&lt;Hta_23,$G22&gt;=Hba_23,Input!AI$43&lt;&gt;""),Input!$B$43&amp;";",""),IF(AND($G22&lt;Hta_24,$G22&gt;=Hba_24,Input!AI$44&lt;&gt;""),Input!$B$44&amp;";",""),IF(AND($G22&lt;Hta_25,$G22&gt;=Hba_25,Input!AI$45&lt;&gt;""),Input!$B$45&amp;";",""),IF(AND($G22&lt;Hta_26,$G22&gt;=Hba_26,Input!AI$46&lt;&gt;""),Input!$B$46&amp;";",""),IF(AND($G22&lt;Hta_27,$G22&gt;=Hba_27,Input!AI$47&lt;&gt;""),Input!$B$47&amp;";",""),IF(AND($G22&lt;Hta_28,$G22&gt;=Hba_28,Input!AI$48&lt;&gt;""),Input!$B$48&amp;";",""),IF(AND($G22&lt;Hta_29,$G22&gt;=Hba_29,Input!AI$49&lt;&gt;""),Input!$B$49&amp;";",""),IF(AND($G22&lt;Hta_30,$G22&gt;=Hba_30,Input!AI$50&lt;&gt;""),Input!$B$50&amp;";","")),"")</f>
        <v/>
      </c>
      <c r="CK22" s="25" t="str">
        <f>IFERROR(CONCATENATE(IF(AND($G22&lt;Hta_1,$G22&gt;=Hba_1,Input!AJ$21&lt;&gt;""),Input!$B$21&amp;";",""),IF(AND($G22&lt;Hta_2,$G22&gt;=Hba_2,Input!AJ$22&lt;&gt;""),Input!$B$22&amp;";",""),IF(AND($G22&lt;Hta_3,$G22&gt;=Hba_3,Input!AJ$23&lt;&gt;""),Input!$B$23&amp;";",""),IF(AND($G22&lt;Hta_4,$G22&gt;=Hba_4,Input!AJ$24&lt;&gt;""),Input!$B$24&amp;";",""),IF(AND($G22&lt;Hta_5,$G22&gt;=Hba_5,Input!AJ$25&lt;&gt;""),Input!$B$25&amp;";",""),IF(AND($G22&lt;Hta_6,$G22&gt;=Hba_6,Input!AJ$26&lt;&gt;""),Input!$B$26&amp;";",""),IF(AND($G22&lt;Hta_7,$G22&gt;=Hba_7,Input!AJ$27&lt;&gt;""),Input!$B$27&amp;";",""),IF(AND($G22&lt;Hta_8,$G22&gt;=Hba_8,Input!AJ$28&lt;&gt;""),Input!$B$28&amp;";",""),IF(AND($G22&lt;Hta_9,$G22&gt;=Hba_9,Input!AJ$29&lt;&gt;""),Input!$B$29&amp;";",""),IF(AND($G22&lt;Hta_10,$G22&gt;=Hba_10,Input!AJ$30&lt;&gt;""),Input!$B$30&amp;";",""),IF(AND($G22&lt;Hta_11,$G22&gt;=Hba_11,Input!AJ$31&lt;&gt;""),Input!$B$31&amp;";",""),IF(AND($G22&lt;Hta_12,$G22&gt;=Hba_12,Input!AJ$32&lt;&gt;""),Input!$B$32&amp;";",""),IF(AND($G22&lt;Hta_13,$G22&gt;=Hba_13,Input!AJ$33&lt;&gt;""),Input!$B$33&amp;";",""),IF(AND($G22&lt;Hta_14,$G22&gt;=Hba_14,Input!AJ$34&lt;&gt;""),Input!$B$34&amp;";",""),IF(AND($G22&lt;Hta_15,$G22&gt;=Hba_15,Input!AJ$35&lt;&gt;""),Input!$B$35&amp;";",""),IF(AND($G22&lt;Hta_16,$G22&gt;=Hba_16,Input!AJ$36&lt;&gt;""),Input!$B$36&amp;";",""),IF(AND($G22&lt;Hta_17,$G22&gt;=Hba_17,Input!AJ$37&lt;&gt;""),Input!$B$37&amp;";",""),IF(AND($G22&lt;Hta_18,$G22&gt;=Hba_18,Input!AJ$38&lt;&gt;""),Input!$B$38&amp;";",""),IF(AND($G22&lt;Hta_19,$G22&gt;=Hba_19,Input!AJ$39&lt;&gt;""),Input!$B$39&amp;";",""),IF(AND($G22&lt;Hta_20,$G22&gt;=Hba_20,Input!AJ$40&lt;&gt;""),Input!$B$40&amp;";",""),IF(AND($G22&lt;Hta_21,$G22&gt;=Hba_21,Input!AJ$41&lt;&gt;""),Input!$B$41&amp;";",""),IF(AND($G22&lt;Hta_22,$G22&gt;=Hba_22,Input!AJ$42&lt;&gt;""),Input!$B$42&amp;";",""),IF(AND($G22&lt;Hta_23,$G22&gt;=Hba_23,Input!AJ$43&lt;&gt;""),Input!$B$43&amp;";",""),IF(AND($G22&lt;Hta_24,$G22&gt;=Hba_24,Input!AJ$44&lt;&gt;""),Input!$B$44&amp;";",""),IF(AND($G22&lt;Hta_25,$G22&gt;=Hba_25,Input!AJ$45&lt;&gt;""),Input!$B$45&amp;";",""),IF(AND($G22&lt;Hta_26,$G22&gt;=Hba_26,Input!AJ$46&lt;&gt;""),Input!$B$46&amp;";",""),IF(AND($G22&lt;Hta_27,$G22&gt;=Hba_27,Input!AJ$47&lt;&gt;""),Input!$B$47&amp;";",""),IF(AND($G22&lt;Hta_28,$G22&gt;=Hba_28,Input!AJ$48&lt;&gt;""),Input!$B$48&amp;";",""),IF(AND($G22&lt;Hta_29,$G22&gt;=Hba_29,Input!AJ$49&lt;&gt;""),Input!$B$49&amp;";",""),IF(AND($G22&lt;Hta_30,$G22&gt;=Hba_30,Input!AJ$50&lt;&gt;""),Input!$B$50&amp;";","")),"")</f>
        <v/>
      </c>
      <c r="CL22" s="25" t="str">
        <f>IFERROR(CONCATENATE(IF(AND($G22&lt;Hta_1,$G22&gt;=Hba_1,Input!AK$21&lt;&gt;""),Input!$B$21&amp;";",""),IF(AND($G22&lt;Hta_2,$G22&gt;=Hba_2,Input!AK$22&lt;&gt;""),Input!$B$22&amp;";",""),IF(AND($G22&lt;Hta_3,$G22&gt;=Hba_3,Input!AK$23&lt;&gt;""),Input!$B$23&amp;";",""),IF(AND($G22&lt;Hta_4,$G22&gt;=Hba_4,Input!AK$24&lt;&gt;""),Input!$B$24&amp;";",""),IF(AND($G22&lt;Hta_5,$G22&gt;=Hba_5,Input!AK$25&lt;&gt;""),Input!$B$25&amp;";",""),IF(AND($G22&lt;Hta_6,$G22&gt;=Hba_6,Input!AK$26&lt;&gt;""),Input!$B$26&amp;";",""),IF(AND($G22&lt;Hta_7,$G22&gt;=Hba_7,Input!AK$27&lt;&gt;""),Input!$B$27&amp;";",""),IF(AND($G22&lt;Hta_8,$G22&gt;=Hba_8,Input!AK$28&lt;&gt;""),Input!$B$28&amp;";",""),IF(AND($G22&lt;Hta_9,$G22&gt;=Hba_9,Input!AK$29&lt;&gt;""),Input!$B$29&amp;";",""),IF(AND($G22&lt;Hta_10,$G22&gt;=Hba_10,Input!AK$30&lt;&gt;""),Input!$B$30&amp;";",""),IF(AND($G22&lt;Hta_11,$G22&gt;=Hba_11,Input!AK$31&lt;&gt;""),Input!$B$31&amp;";",""),IF(AND($G22&lt;Hta_12,$G22&gt;=Hba_12,Input!AK$32&lt;&gt;""),Input!$B$32&amp;";",""),IF(AND($G22&lt;Hta_13,$G22&gt;=Hba_13,Input!AK$33&lt;&gt;""),Input!$B$33&amp;";",""),IF(AND($G22&lt;Hta_14,$G22&gt;=Hba_14,Input!AK$34&lt;&gt;""),Input!$B$34&amp;";",""),IF(AND($G22&lt;Hta_15,$G22&gt;=Hba_15,Input!AK$35&lt;&gt;""),Input!$B$35&amp;";",""),IF(AND($G22&lt;Hta_16,$G22&gt;=Hba_16,Input!AK$36&lt;&gt;""),Input!$B$36&amp;";",""),IF(AND($G22&lt;Hta_17,$G22&gt;=Hba_17,Input!AK$37&lt;&gt;""),Input!$B$37&amp;";",""),IF(AND($G22&lt;Hta_18,$G22&gt;=Hba_18,Input!AK$38&lt;&gt;""),Input!$B$38&amp;";",""),IF(AND($G22&lt;Hta_19,$G22&gt;=Hba_19,Input!AK$39&lt;&gt;""),Input!$B$39&amp;";",""),IF(AND($G22&lt;Hta_20,$G22&gt;=Hba_20,Input!AK$40&lt;&gt;""),Input!$B$40&amp;";",""),IF(AND($G22&lt;Hta_21,$G22&gt;=Hba_21,Input!AK$41&lt;&gt;""),Input!$B$41&amp;";",""),IF(AND($G22&lt;Hta_22,$G22&gt;=Hba_22,Input!AK$42&lt;&gt;""),Input!$B$42&amp;";",""),IF(AND($G22&lt;Hta_23,$G22&gt;=Hba_23,Input!AK$43&lt;&gt;""),Input!$B$43&amp;";",""),IF(AND($G22&lt;Hta_24,$G22&gt;=Hba_24,Input!AK$44&lt;&gt;""),Input!$B$44&amp;";",""),IF(AND($G22&lt;Hta_25,$G22&gt;=Hba_25,Input!AK$45&lt;&gt;""),Input!$B$45&amp;";",""),IF(AND($G22&lt;Hta_26,$G22&gt;=Hba_26,Input!AK$46&lt;&gt;""),Input!$B$46&amp;";",""),IF(AND($G22&lt;Hta_27,$G22&gt;=Hba_27,Input!AK$47&lt;&gt;""),Input!$B$47&amp;";",""),IF(AND($G22&lt;Hta_28,$G22&gt;=Hba_28,Input!AK$48&lt;&gt;""),Input!$B$48&amp;";",""),IF(AND($G22&lt;Hta_29,$G22&gt;=Hba_29,Input!AK$49&lt;&gt;""),Input!$B$49&amp;";",""),IF(AND($G22&lt;Hta_30,$G22&gt;=Hba_30,Input!AK$50&lt;&gt;""),Input!$B$50&amp;";","")),"")</f>
        <v/>
      </c>
      <c r="CM22" s="25" t="str">
        <f>IFERROR(CONCATENATE(IF(AND($G22&lt;Hta_1,$G22&gt;=Hba_1,Input!AL$21&lt;&gt;""),Input!$B$21&amp;";",""),IF(AND($G22&lt;Hta_2,$G22&gt;=Hba_2,Input!AL$22&lt;&gt;""),Input!$B$22&amp;";",""),IF(AND($G22&lt;Hta_3,$G22&gt;=Hba_3,Input!AL$23&lt;&gt;""),Input!$B$23&amp;";",""),IF(AND($G22&lt;Hta_4,$G22&gt;=Hba_4,Input!AL$24&lt;&gt;""),Input!$B$24&amp;";",""),IF(AND($G22&lt;Hta_5,$G22&gt;=Hba_5,Input!AL$25&lt;&gt;""),Input!$B$25&amp;";",""),IF(AND($G22&lt;Hta_6,$G22&gt;=Hba_6,Input!AL$26&lt;&gt;""),Input!$B$26&amp;";",""),IF(AND($G22&lt;Hta_7,$G22&gt;=Hba_7,Input!AL$27&lt;&gt;""),Input!$B$27&amp;";",""),IF(AND($G22&lt;Hta_8,$G22&gt;=Hba_8,Input!AL$28&lt;&gt;""),Input!$B$28&amp;";",""),IF(AND($G22&lt;Hta_9,$G22&gt;=Hba_9,Input!AL$29&lt;&gt;""),Input!$B$29&amp;";",""),IF(AND($G22&lt;Hta_10,$G22&gt;=Hba_10,Input!AL$30&lt;&gt;""),Input!$B$30&amp;";",""),IF(AND($G22&lt;Hta_11,$G22&gt;=Hba_11,Input!AL$31&lt;&gt;""),Input!$B$31&amp;";",""),IF(AND($G22&lt;Hta_12,$G22&gt;=Hba_12,Input!AL$32&lt;&gt;""),Input!$B$32&amp;";",""),IF(AND($G22&lt;Hta_13,$G22&gt;=Hba_13,Input!AL$33&lt;&gt;""),Input!$B$33&amp;";",""),IF(AND($G22&lt;Hta_14,$G22&gt;=Hba_14,Input!AL$34&lt;&gt;""),Input!$B$34&amp;";",""),IF(AND($G22&lt;Hta_15,$G22&gt;=Hba_15,Input!AL$35&lt;&gt;""),Input!$B$35&amp;";",""),IF(AND($G22&lt;Hta_16,$G22&gt;=Hba_16,Input!AL$36&lt;&gt;""),Input!$B$36&amp;";",""),IF(AND($G22&lt;Hta_17,$G22&gt;=Hba_17,Input!AL$37&lt;&gt;""),Input!$B$37&amp;";",""),IF(AND($G22&lt;Hta_18,$G22&gt;=Hba_18,Input!AL$38&lt;&gt;""),Input!$B$38&amp;";",""),IF(AND($G22&lt;Hta_19,$G22&gt;=Hba_19,Input!AL$39&lt;&gt;""),Input!$B$39&amp;";",""),IF(AND($G22&lt;Hta_20,$G22&gt;=Hba_20,Input!AL$40&lt;&gt;""),Input!$B$40&amp;";",""),IF(AND($G22&lt;Hta_21,$G22&gt;=Hba_21,Input!AL$41&lt;&gt;""),Input!$B$41&amp;";",""),IF(AND($G22&lt;Hta_22,$G22&gt;=Hba_22,Input!AL$42&lt;&gt;""),Input!$B$42&amp;";",""),IF(AND($G22&lt;Hta_23,$G22&gt;=Hba_23,Input!AL$43&lt;&gt;""),Input!$B$43&amp;";",""),IF(AND($G22&lt;Hta_24,$G22&gt;=Hba_24,Input!AL$44&lt;&gt;""),Input!$B$44&amp;";",""),IF(AND($G22&lt;Hta_25,$G22&gt;=Hba_25,Input!AL$45&lt;&gt;""),Input!$B$45&amp;";",""),IF(AND($G22&lt;Hta_26,$G22&gt;=Hba_26,Input!AL$46&lt;&gt;""),Input!$B$46&amp;";",""),IF(AND($G22&lt;Hta_27,$G22&gt;=Hba_27,Input!AL$47&lt;&gt;""),Input!$B$47&amp;";",""),IF(AND($G22&lt;Hta_28,$G22&gt;=Hba_28,Input!AL$48&lt;&gt;""),Input!$B$48&amp;";",""),IF(AND($G22&lt;Hta_29,$G22&gt;=Hba_29,Input!AL$49&lt;&gt;""),Input!$B$49&amp;";",""),IF(AND($G22&lt;Hta_30,$G22&gt;=Hba_30,Input!AL$50&lt;&gt;""),Input!$B$50&amp;";","")),"")</f>
        <v/>
      </c>
      <c r="CN22" s="59" t="str">
        <f t="shared" si="6"/>
        <v/>
      </c>
      <c r="CO22" s="791"/>
      <c r="CP22" s="792"/>
      <c r="CQ22" s="793"/>
      <c r="CR22" s="791"/>
      <c r="CS22" s="792"/>
      <c r="CT22" s="793"/>
      <c r="CU22" s="791" t="str">
        <f t="shared" si="7"/>
        <v/>
      </c>
      <c r="CV22" s="792"/>
      <c r="CW22" s="807"/>
      <c r="CX22" s="808"/>
      <c r="CY22" s="730"/>
      <c r="CZ22" s="809"/>
      <c r="DA22" s="733"/>
      <c r="DB22" s="734"/>
      <c r="DC22" s="735"/>
      <c r="DD22" s="729" t="str">
        <f t="shared" si="8"/>
        <v/>
      </c>
      <c r="DE22" s="730"/>
      <c r="DF22" s="731"/>
      <c r="DG22" s="55"/>
      <c r="DH22" s="56"/>
      <c r="DI22" s="56"/>
      <c r="DJ22" s="56"/>
      <c r="DK22" s="56"/>
      <c r="DL22" s="56"/>
      <c r="DM22" s="56"/>
      <c r="DN22" s="56"/>
      <c r="DO22" s="56"/>
      <c r="DP22" s="56"/>
      <c r="DQ22" s="58"/>
      <c r="DR22" s="58"/>
      <c r="DS22" s="58"/>
      <c r="DT22" s="58"/>
      <c r="DU22" s="58"/>
      <c r="DV22" s="58"/>
      <c r="DW22" s="58"/>
      <c r="DX22" s="58"/>
      <c r="DY22" s="58"/>
      <c r="DZ22" s="58"/>
      <c r="EA22" s="58"/>
      <c r="EB22" s="58"/>
      <c r="EC22" s="58"/>
      <c r="ED22" s="58"/>
      <c r="EE22" s="58"/>
      <c r="EF22" s="58"/>
      <c r="EG22" s="58"/>
      <c r="EH22" s="58"/>
      <c r="EI22" s="58"/>
      <c r="EJ22" s="58"/>
      <c r="EK22" s="58"/>
      <c r="EL22" s="134"/>
      <c r="EM22" s="134"/>
      <c r="EN22" s="134"/>
      <c r="EO22" s="134"/>
      <c r="EP22" s="134"/>
      <c r="EQ22" s="134"/>
      <c r="ER22" s="134"/>
      <c r="ES22" s="134"/>
      <c r="ET22" s="134"/>
      <c r="EU22" s="134"/>
      <c r="EV22" s="134"/>
      <c r="EW22" s="134"/>
      <c r="EX22" s="134"/>
      <c r="EY22" s="134"/>
      <c r="EZ22" s="134"/>
      <c r="FA22" s="134"/>
      <c r="FB22" s="134"/>
      <c r="FC22" s="134"/>
      <c r="FD22" s="134"/>
      <c r="FE22" s="134"/>
      <c r="FF22" s="134"/>
      <c r="FG22" s="134"/>
      <c r="FH22" s="134"/>
      <c r="FI22" s="134"/>
      <c r="FJ22" s="134"/>
      <c r="FK22" s="134"/>
      <c r="FL22" s="134"/>
      <c r="FM22" s="134"/>
      <c r="FN22" s="134"/>
      <c r="FO22" s="134"/>
      <c r="FP22" s="65"/>
      <c r="FQ22" s="124"/>
      <c r="FR22" s="122"/>
      <c r="FS22" s="120"/>
      <c r="FT22" s="119"/>
    </row>
    <row r="23" spans="2:176" ht="15.75" hidden="1" customHeight="1" thickBot="1" x14ac:dyDescent="0.3">
      <c r="B23" s="62" t="b">
        <f>IF(OR(AND(G23&gt;='Geometry 2'!$AK$5,G23&lt;'Geometry 2'!$AL$5),AND(G23&gt;='Geometry 2'!$AK$6,G23&lt;'Geometry 2'!$AL$6),AND(G23&gt;='Geometry 2'!$AK$7,G23&lt;'Geometry 2'!$AL$7),AND(G23&gt;='Geometry 2'!$AK$8,G23&lt;'Geometry 2'!$AL$8),AND(G23&gt;='Geometry 2'!$AK$9,G23&lt;'Geometry 2'!$AL$9),AND(G23&gt;='Geometry 2'!$AK$10,G23&lt;'Geometry 2'!$AL$10),AND(G23&gt;='Geometry 2'!$AK$11,G23&lt;'Geometry 2'!$AL$11),AND(G23&gt;='Geometry 2'!$AK$12,G23&lt;'Geometry 2'!$AL$12),AND(G23&gt;='Geometry 2'!$AK$13,G23&lt;'Geometry 2'!$AL$13),AND(G23&gt;='Geometry 2'!$AK$14,G23&lt;'Geometry 2'!$AL$14)),TRUE,FALSE)</f>
        <v>0</v>
      </c>
      <c r="C23" s="4" t="str">
        <f t="shared" si="3"/>
        <v/>
      </c>
      <c r="D23" s="766" t="str">
        <f t="shared" si="4"/>
        <v/>
      </c>
      <c r="E23" s="767"/>
      <c r="F23" s="17" t="str">
        <f t="shared" si="2"/>
        <v/>
      </c>
      <c r="G23" s="768" t="str">
        <f>IF(D23="","",MAX(0,G22-IF(inc="n/a",999,inc),MAX(IF(G22&lt;=Hta_1,0,Hta_1),IF(G22&lt;=Hta_2,0,Hta_2),IF(G22&lt;=Hta_3,0,Hta_3),IF(G22&lt;=Hta_4,0,Hta_4),IF(G22&lt;=Hta_5,0,Hta_5),IF(G22&lt;=Hta_6,0,Hta_6),IF(G22&lt;=Hta_7,0,Hta_7),IF(G22&lt;=Hta_8,0,Hta_8),IF(G22&lt;=Hta_9,0,Hta_9),IF(G22&lt;=Hta_10,0,Hta_10),IF(G22&lt;=Hta_11,0,Hta_11),IF(G22&lt;=Hta_12,0,Hta_12),IF(G22&lt;=Hta_13,0,Hta_13),IF(G22&lt;=Hta_14,0,Hta_14),IF(G22&lt;=Hta_15,0,Hta_15),IF(G22&lt;=Hta_16,0,Hta_16),IF(G22&lt;=Hta_17,0,Hta_17),IF(G22&lt;=Hta_18,0,Hta_18),IF(G22&lt;=Hta_19,0,Hta_19),IF(G22&lt;=Hta_20,0,Hta_20),IF(G22&lt;=Hta_21,0,Hta_21),IF(G22&lt;=Hta_22,0,Hta_22),IF(G22&lt;=Hta_23,0,Hta_23),IF(G22&lt;=Hta_24,0,Hta_24),IF(G22&lt;=Hta_25,0,Hta_25),IF(G22&lt;=Hta_26,0,Hta_26),IF(G22&lt;=Hta_27,0,Hta_27),IF(G22&lt;=Hta_28,0,Hta_28),IF(G22&lt;=Hta_29,0,Hta_29),IF(G22&lt;=Hta_30,0,Hta_30)),MAX(IF(G22&lt;=Hta_1-0.25,0,Hta_1-0.25),IF(G22&lt;=Hta_2-0.25,0,Hta_2-0.25),IF(G22&lt;=Hta_3-0.25,0,Hta_3-0.25),IF(G22&lt;=Hta_4-0.25,0,Hta_4-0.25),IF(G22&lt;=Hta_5-0.25,0,Hta_5-0.25),IF(G22&lt;=Hta_6-0.25,0,Hta_6-0.25),IF(G22&lt;=Hta_7-0.25,0,Hta_7-0.25),IF(G22&lt;=Hta_8-0.25,0,Hta_8-0.25),IF(G22&lt;=Hta_9-0.25,0,Hta_9-0.25),IF(G22&lt;=Hta_10-0.25,0,Hta_10-0.25),IF(G22&lt;=Hta_11-0.25,0,Hta_11-0.25),IF(G22&lt;=Hta_12-0.25,0,Hta_12-0.25),IF(G22&lt;=Hta_13-0.25,0,Hta_13-0.25),IF(G22&lt;=Hta_14-0.25,0,Hta_14-0.25),IF(G22&lt;=Hta_15-0.25,0,Hta_15-0.25),IF(G22&lt;=Hta_16-0.25,0,Hta_16-0.25),IF(G22&lt;=Hta_17-0.25,0,Hta_17-0.25),IF(G22&lt;=Hta_18-0.25,0,Hta_18-0.25),IF(G22&lt;=Hta_19-0.25,0,Hta_19-0.25),IF(G22&lt;=Hta_20-0.25,0,Hta_20-0.25),IF(G22&lt;=Hta_21-0.25,0,Hta_21-0.25),IF(G22&lt;=Hta_22-0.25,0,Hta_22-0.25),IF(G22&lt;=Hta_23-0.25,0,Hta_23-0.25),IF(G22&lt;=Hta_24-0.25,0,Hta_24-0.25),IF(G22&lt;=Hta_25-0.25,0,Hta_25-0.25),IF(G22&lt;=Hta_26-0.25,0,Hta_26-0.25),IF(G22&lt;=Hta_27-0.25,0,Hta_27-0.25),IF(G22&lt;=Hta_28-0.25,0,Hta_28-0.25),IF(G22&lt;=Hta_29-0.25,0,Hta_29-0.25),IF(G22&lt;=Hta_30-0.25,0,Hta_30-0.25)),MAX(IF(G22&lt;=Hba_1,0,Hba_1),IF(G22&lt;=Hba_2,0,Hba_2),IF(G22&lt;=Hba_3,0,Hba_3),IF(G22&lt;=Hba_4,0,Hba_4),IF(G22&lt;=Hba_5,0,Hba_5),IF(G22&lt;=Hba_6,0,Hba_6),IF(G22&lt;=Hba_7,0,Hba_7),IF(G22&lt;=Hba_8,0,Hba_8),IF(G22&lt;=Hba_9,0,Hba_9),IF(G22&lt;=Hba_10,0,Hba_10),IF(G22&lt;=Hba_11,0,Hba_11),IF(G22&lt;=Hba_12,0,Hba_12),IF(G22&lt;=Hba_13,0,Hba_13),IF(G22&lt;=Hba_14,0,Hba_14),IF(G22&lt;=Hba_15,0,Hba_15),IF(G22&lt;=Hba_16,0,Hba_16),IF(G22&lt;=Hba_17,0,Hba_17),IF(G22&lt;=Hba_18,0,Hba_18),IF(G22&lt;=Hba_19,0,Hba_19),IF(G22&lt;=Hba_20,0,Hba_20),IF(G22&lt;=Hba_21,0,Hba_21),IF(G22&lt;=Hba_22,0,Hba_22),IF(G22&lt;=Hba_23,0,Hba_23),IF(G22&lt;=Hba_24,0,Hba_24),IF(G22&lt;=Hba_25,0,Hba_25),IF(G22&lt;=Hba_26,0,Hba_26),IF(G22&lt;=Hba_27,0,Hba_27),IF(G22&lt;=Hba_28,0,Hba_28),IF(G22&lt;=Hba_29,0,Hba_29),IF(G22&lt;=Hba_30,0,Hba_30)),MAX(IF(G22&lt;=Input!$C$8,0,Input!$C$8),IF(G22&lt;=Input!$C$9,0,Input!$C$9),IF(G22&lt;=Input!$C$10,0,Input!$C$10),IF(G22&lt;=Input!$C$11,0,Input!$C$11),IF(G22&lt;=Input!$C$12,0,Input!$C$12),IF(G22&lt;=Input!$C$13,0,Input!$C$13),IF(G22&lt;=Input!$C$14,0,Input!$C$14),IF(G22&lt;=Input!$C$15,0,Input!$C$15),IF(G22&lt;=Input!$C$16,0,Input!$C$16)),MAX(IF(G22&lt;=Hba_1-0.25,0,Hba_1-0.25),IF(G22&lt;=Hba_2-0.25,0,Hba_2-0.25),IF(G22&lt;=Hba_3-0.25,0,Hba_3-0.25),IF(G22&lt;=Hba_4-0.25,0,Hba_4-0.25),IF(G22&lt;=Hba_5-0.25,0,Hba_5-0.25),IF(G22&lt;=Hba_6-0.25,0,Hba_6-0.25),IF(G22&lt;=Hba_7-0.25,0,Hba_7-0.25),IF(G22&lt;=Hba_8-0.25,0,Hba_8-0.25),IF(G22&lt;=Hba_9-0.25,0,Hba_9-0.25),IF(G22&lt;=Hba_10-0.25,0,Hba_10-0.25),IF(G22&lt;=Hba_11-0.25,0,Hba_11-0.25),IF(G22&lt;=Hba_12-0.25,0,Hba_12-0.25),IF(G22&lt;=Hba_13-0.25,0,Hba_13-0.25),IF(G22&lt;=Hba_14-0.25,0,Hba_14-0.25),IF(G22&lt;=Hba_15-0.25,0,Hba_15-0.25),IF(G22&lt;=Hba_16-0.25,0,Hba_16-0.25),IF(G22&lt;=Hba_17-0.25,0,Hba_17-0.25),IF(G22&lt;=Hba_18-0.25,0,Hba_18-0.25),IF(G22&lt;=Hba_19-0.25,0,Hba_19-0.25),IF(G22&lt;=Hba_20-0.25,0,Hba_20-0.25),IF(G22&lt;=Hba_21-0.25,0,Hba_21-0.25),IF(G22&lt;=Hba_22-0.25,0,Hba_22-0.25),IF(G22&lt;=Hba_23-0.25,0,Hba_23-0.25),IF(G22&lt;=Hba_24-0.25,0,Hba_24-0.25),IF(G22&lt;=Hba_25-0.25,0,Hba_25-0.25),IF(G22&lt;=Hba_26-0.25,0,Hba_26-0.25),IF(G22&lt;=Hba_27-0.25,0,Hba_27-0.25),IF(G22&lt;=Hba_28-0.25,0,Hba_28-0.25),IF(G22&lt;=Hba_29-0.25,0,Hba_29-0.25),IF(G22&lt;=Hba_30-0.25,0,Hba_30-0.25)),IF(G22&lt;='Macro References'!$A$38,0,'Macro References'!$A$38)))</f>
        <v/>
      </c>
      <c r="H23" s="769"/>
      <c r="I23" s="228"/>
      <c r="J23" s="228"/>
      <c r="K23" s="228"/>
      <c r="L23" s="717" t="str">
        <f t="shared" si="0"/>
        <v/>
      </c>
      <c r="M23" s="717"/>
      <c r="N23" s="717"/>
      <c r="O23" s="717"/>
      <c r="P23" s="717" t="str">
        <f>IF(OR(G23=0,G23=""),"",IF(VLOOKUP(G23,'Geometry 2'!$C$4:$AI$14,1,TRUE)=VLOOKUP(G24,'Geometry 2'!$C$4:$AI$14,1,TRUE),"",IF(VLOOKUP(G23,'Geometry 2'!$C$4:$AI$14,33,TRUE)&lt;&gt;"n/a",MIN(G23,VLOOKUP(G23,'Geometry 2'!$C$4:$AI$14,1,TRUE))-VLOOKUP(G23,'Geometry 2'!$C$4:$AI$14,33,TRUE),"check")))</f>
        <v/>
      </c>
      <c r="Q23" s="717"/>
      <c r="R23" s="717"/>
      <c r="S23" s="717"/>
      <c r="T23" s="717" t="str">
        <f>IF($G23="","",VLOOKUP($G23,'Geometry 2'!$E$4:$AH$14,11,TRUE))</f>
        <v/>
      </c>
      <c r="U23" s="717"/>
      <c r="V23" s="717"/>
      <c r="W23" s="717"/>
      <c r="X23" s="716" t="str">
        <f>IF($G23="","",VLOOKUP($G23,'Geometry 2'!$E$4:$AJ$14,19,TRUE)-12*VLOOKUP($G23,'Geometry 2'!$E$4:$AJ$14,32,TRUE)*($D23-VLOOKUP($G23,'Geometry 2'!$E$5:$AH$14,1,TRUE)))</f>
        <v/>
      </c>
      <c r="Y23" s="716"/>
      <c r="Z23" s="716"/>
      <c r="AA23" s="716"/>
      <c r="AB23" s="757" t="str">
        <f>IF($G23="","",VLOOKUP($G23,'Geometry 2'!$E$4:$AJ$14,19,TRUE)-12*VLOOKUP($G23,'Geometry 2'!$E$4:$AJ$14,32,TRUE)*($G23-VLOOKUP($G23,'Geometry 2'!$E$5:$AH$14,1,TRUE)))</f>
        <v/>
      </c>
      <c r="AC23" s="758"/>
      <c r="AD23" s="758"/>
      <c r="AE23" s="759"/>
      <c r="AF23" s="716" t="str">
        <f>IF($G23="","",VLOOKUP($G23,'Geometry 2'!$E$4:$AJ$14,19,TRUE)-12*VLOOKUP($G23,'Geometry 2'!$E$4:$AJ$14,32,TRUE)*($G23-IF($P23="",0,$P23)-VLOOKUP($G23,'Geometry 2'!$E$5:$AH$14,1,TRUE)))</f>
        <v/>
      </c>
      <c r="AG23" s="716"/>
      <c r="AH23" s="716"/>
      <c r="AI23" s="716"/>
      <c r="AJ23" s="746" t="str">
        <f>IF($G23="","",VLOOKUP($G23,'Geometry 2'!$E$4:$AH$14,23,TRUE))</f>
        <v/>
      </c>
      <c r="AK23" s="747"/>
      <c r="AL23" s="747"/>
      <c r="AM23" s="748"/>
      <c r="AN23" s="717"/>
      <c r="AO23" s="717"/>
      <c r="AP23" s="717"/>
      <c r="AQ23" s="717"/>
      <c r="AR23" s="717" t="str">
        <f>IF($G23="","",VLOOKUP($G23,'Geometry 2'!$E$4:$AH$14,27,TRUE))</f>
        <v/>
      </c>
      <c r="AS23" s="717"/>
      <c r="AT23" s="717"/>
      <c r="AU23" s="718"/>
      <c r="AV23" s="715"/>
      <c r="AW23" s="716"/>
      <c r="AX23" s="716"/>
      <c r="AZ23" s="722" t="str">
        <f t="shared" si="5"/>
        <v/>
      </c>
      <c r="BA23" s="723"/>
      <c r="BB23" s="723"/>
      <c r="BC23" s="724"/>
      <c r="BD23" s="722"/>
      <c r="BE23" s="723"/>
      <c r="BF23" s="723"/>
      <c r="BG23" s="722" t="str">
        <f t="shared" ref="BG23:BG83" si="9">IF(AZ23="","","TP"&amp;ROUND(AF23,3)&amp;"x"&amp;ROUND(X23,3)&amp;"x"&amp;ROUND(AN23,4))</f>
        <v/>
      </c>
      <c r="BH23" s="723"/>
      <c r="BI23" s="723"/>
      <c r="BJ23" s="723"/>
      <c r="BK23" s="724"/>
      <c r="BL23" s="722"/>
      <c r="BM23" s="723"/>
      <c r="BN23" s="723"/>
      <c r="BO23" s="723"/>
      <c r="BP23" s="725"/>
      <c r="BQ23" s="725"/>
      <c r="BR23" s="722" t="str">
        <f>IF(BP23="","",IF(OR(AND(Rev="H",Calculations!$F$27=TRUE),AND(Rev&lt;&gt;"H",Calculations!$F$30=TRUE)),IF(BP23&lt;=1,"Pass","Fail"),IF(BP23&lt;=1.05,"Pass","Fail")))</f>
        <v/>
      </c>
      <c r="BS23" s="723"/>
      <c r="BT23" s="724"/>
      <c r="BU23" s="49"/>
      <c r="BV23" s="25" t="str">
        <f>IFERROR(CONCATENATE(IF(AND($G23&lt;Hta_1,$G23&gt;=Hba_1,Input!U$21&lt;&gt;""),Input!$B$21&amp;";",""),IF(AND($G23&lt;Hta_2,$G23&gt;=Hba_2,Input!U$22&lt;&gt;""),Input!$B$22&amp;";",""),IF(AND($G23&lt;Hta_3,$G23&gt;=Hba_3,Input!U$23&lt;&gt;""),Input!$B$23&amp;";",""),IF(AND($G23&lt;Hta_4,$G23&gt;=Hba_4,Input!U$24&lt;&gt;""),Input!$B$24&amp;";",""),IF(AND($G23&lt;Hta_5,$G23&gt;=Hba_5,Input!U$25&lt;&gt;""),Input!$B$25&amp;";",""),IF(AND($G23&lt;Hta_6,$G23&gt;=Hba_6,Input!U$26&lt;&gt;""),Input!$B$26&amp;";",""),IF(AND($G23&lt;Hta_7,$G23&gt;=Hba_7,Input!U$27&lt;&gt;""),Input!$B$27&amp;";",""),IF(AND($G23&lt;Hta_8,$G23&gt;=Hba_8,Input!U$28&lt;&gt;""),Input!$B$28&amp;";",""),IF(AND($G23&lt;Hta_9,$G23&gt;=Hba_9,Input!U$29&lt;&gt;""),Input!$B$29&amp;";",""),IF(AND($G23&lt;Hta_10,$G23&gt;=Hba_10,Input!U$30&lt;&gt;""),Input!$B$30&amp;";",""),IF(AND($G23&lt;Hta_11,$G23&gt;=Hba_11,Input!U$31&lt;&gt;""),Input!$B$31&amp;";",""),IF(AND($G23&lt;Hta_12,$G23&gt;=Hba_12,Input!U$32&lt;&gt;""),Input!$B$32&amp;";",""),IF(AND($G23&lt;Hta_13,$G23&gt;=Hba_13,Input!U$33&lt;&gt;""),Input!$B$33&amp;";",""),IF(AND($G23&lt;Hta_14,$G23&gt;=Hba_14,Input!U$34&lt;&gt;""),Input!$B$34&amp;";",""),IF(AND($G23&lt;Hta_15,$G23&gt;=Hba_15,Input!U$35&lt;&gt;""),Input!$B$35&amp;";",""),IF(AND($G23&lt;Hta_16,$G23&gt;=Hba_16,Input!U$36&lt;&gt;""),Input!$B$36&amp;";",""),IF(AND($G23&lt;Hta_17,$G23&gt;=Hba_17,Input!U$37&lt;&gt;""),Input!$B$37&amp;";",""),IF(AND($G23&lt;Hta_18,$G23&gt;=Hba_18,Input!U$38&lt;&gt;""),Input!$B$38&amp;";",""),IF(AND($G23&lt;Hta_19,$G23&gt;=Hba_19,Input!U$39&lt;&gt;""),Input!$B$39&amp;";",""),IF(AND($G23&lt;Hta_20,$G23&gt;=Hba_20,Input!U$40&lt;&gt;""),Input!$B$40&amp;";",""),IF(AND($G23&lt;Hta_21,$G23&gt;=Hba_21,Input!U$41&lt;&gt;""),Input!$B$41&amp;";",""),IF(AND($G23&lt;Hta_22,$G23&gt;=Hba_22,Input!U$42&lt;&gt;""),Input!$B$42&amp;";",""),IF(AND($G23&lt;Hta_23,$G23&gt;=Hba_23,Input!U$43&lt;&gt;""),Input!$B$43&amp;";",""),IF(AND($G23&lt;Hta_24,$G23&gt;=Hba_24,Input!U$44&lt;&gt;""),Input!$B$44&amp;";",""),IF(AND($G23&lt;Hta_25,$G23&gt;=Hba_25,Input!U$45&lt;&gt;""),Input!$B$45&amp;";",""),IF(AND($G23&lt;Hta_26,$G23&gt;=Hba_26,Input!U$46&lt;&gt;""),Input!$B$46&amp;";",""),IF(AND($G23&lt;Hta_27,$G23&gt;=Hba_27,Input!U$47&lt;&gt;""),Input!$B$47&amp;";",""),IF(AND($G23&lt;Hta_28,$G23&gt;=Hba_28,Input!U$48&lt;&gt;""),Input!$B$48&amp;";",""),IF(AND($G23&lt;Hta_29,$G23&gt;=Hba_29,Input!U$49&lt;&gt;""),Input!$B$49&amp;";",""),IF(AND($G23&lt;Hta_30,$G23&gt;=Hba_30,Input!U$50&lt;&gt;""),Input!$B$50&amp;";","")),"")</f>
        <v/>
      </c>
      <c r="BW23" s="25" t="str">
        <f>IFERROR(CONCATENATE(IF(AND($G23&lt;Hta_1,$G23&gt;=Hba_1,Input!V$21&lt;&gt;""),Input!$B$21&amp;";",""),IF(AND($G23&lt;Hta_2,$G23&gt;=Hba_2,Input!V$22&lt;&gt;""),Input!$B$22&amp;";",""),IF(AND($G23&lt;Hta_3,$G23&gt;=Hba_3,Input!V$23&lt;&gt;""),Input!$B$23&amp;";",""),IF(AND($G23&lt;Hta_4,$G23&gt;=Hba_4,Input!V$24&lt;&gt;""),Input!$B$24&amp;";",""),IF(AND($G23&lt;Hta_5,$G23&gt;=Hba_5,Input!V$25&lt;&gt;""),Input!$B$25&amp;";",""),IF(AND($G23&lt;Hta_6,$G23&gt;=Hba_6,Input!V$26&lt;&gt;""),Input!$B$26&amp;";",""),IF(AND($G23&lt;Hta_7,$G23&gt;=Hba_7,Input!V$27&lt;&gt;""),Input!$B$27&amp;";",""),IF(AND($G23&lt;Hta_8,$G23&gt;=Hba_8,Input!V$28&lt;&gt;""),Input!$B$28&amp;";",""),IF(AND($G23&lt;Hta_9,$G23&gt;=Hba_9,Input!V$29&lt;&gt;""),Input!$B$29&amp;";",""),IF(AND($G23&lt;Hta_10,$G23&gt;=Hba_10,Input!V$30&lt;&gt;""),Input!$B$30&amp;";",""),IF(AND($G23&lt;Hta_11,$G23&gt;=Hba_11,Input!V$31&lt;&gt;""),Input!$B$31&amp;";",""),IF(AND($G23&lt;Hta_12,$G23&gt;=Hba_12,Input!V$32&lt;&gt;""),Input!$B$32&amp;";",""),IF(AND($G23&lt;Hta_13,$G23&gt;=Hba_13,Input!V$33&lt;&gt;""),Input!$B$33&amp;";",""),IF(AND($G23&lt;Hta_14,$G23&gt;=Hba_14,Input!V$34&lt;&gt;""),Input!$B$34&amp;";",""),IF(AND($G23&lt;Hta_15,$G23&gt;=Hba_15,Input!V$35&lt;&gt;""),Input!$B$35&amp;";",""),IF(AND($G23&lt;Hta_16,$G23&gt;=Hba_16,Input!V$36&lt;&gt;""),Input!$B$36&amp;";",""),IF(AND($G23&lt;Hta_17,$G23&gt;=Hba_17,Input!V$37&lt;&gt;""),Input!$B$37&amp;";",""),IF(AND($G23&lt;Hta_18,$G23&gt;=Hba_18,Input!V$38&lt;&gt;""),Input!$B$38&amp;";",""),IF(AND($G23&lt;Hta_19,$G23&gt;=Hba_19,Input!V$39&lt;&gt;""),Input!$B$39&amp;";",""),IF(AND($G23&lt;Hta_20,$G23&gt;=Hba_20,Input!V$40&lt;&gt;""),Input!$B$40&amp;";",""),IF(AND($G23&lt;Hta_21,$G23&gt;=Hba_21,Input!V$41&lt;&gt;""),Input!$B$41&amp;";",""),IF(AND($G23&lt;Hta_22,$G23&gt;=Hba_22,Input!V$42&lt;&gt;""),Input!$B$42&amp;";",""),IF(AND($G23&lt;Hta_23,$G23&gt;=Hba_23,Input!V$43&lt;&gt;""),Input!$B$43&amp;";",""),IF(AND($G23&lt;Hta_24,$G23&gt;=Hba_24,Input!V$44&lt;&gt;""),Input!$B$44&amp;";",""),IF(AND($G23&lt;Hta_25,$G23&gt;=Hba_25,Input!V$45&lt;&gt;""),Input!$B$45&amp;";",""),IF(AND($G23&lt;Hta_26,$G23&gt;=Hba_26,Input!V$46&lt;&gt;""),Input!$B$46&amp;";",""),IF(AND($G23&lt;Hta_27,$G23&gt;=Hba_27,Input!V$47&lt;&gt;""),Input!$B$47&amp;";",""),IF(AND($G23&lt;Hta_28,$G23&gt;=Hba_28,Input!V$48&lt;&gt;""),Input!$B$48&amp;";",""),IF(AND($G23&lt;Hta_29,$G23&gt;=Hba_29,Input!V$49&lt;&gt;""),Input!$B$49&amp;";",""),IF(AND($G23&lt;Hta_30,$G23&gt;=Hba_30,Input!V$50&lt;&gt;""),Input!$B$50&amp;";","")),"")</f>
        <v/>
      </c>
      <c r="BX23" s="25" t="str">
        <f>IFERROR(CONCATENATE(IF(AND($G23&lt;Hta_1,$G23&gt;=Hba_1,Input!W$21&lt;&gt;""),Input!$B$21&amp;";",""),IF(AND($G23&lt;Hta_2,$G23&gt;=Hba_2,Input!W$22&lt;&gt;""),Input!$B$22&amp;";",""),IF(AND($G23&lt;Hta_3,$G23&gt;=Hba_3,Input!W$23&lt;&gt;""),Input!$B$23&amp;";",""),IF(AND($G23&lt;Hta_4,$G23&gt;=Hba_4,Input!W$24&lt;&gt;""),Input!$B$24&amp;";",""),IF(AND($G23&lt;Hta_5,$G23&gt;=Hba_5,Input!W$25&lt;&gt;""),Input!$B$25&amp;";",""),IF(AND($G23&lt;Hta_6,$G23&gt;=Hba_6,Input!W$26&lt;&gt;""),Input!$B$26&amp;";",""),IF(AND($G23&lt;Hta_7,$G23&gt;=Hba_7,Input!W$27&lt;&gt;""),Input!$B$27&amp;";",""),IF(AND($G23&lt;Hta_8,$G23&gt;=Hba_8,Input!W$28&lt;&gt;""),Input!$B$28&amp;";",""),IF(AND($G23&lt;Hta_9,$G23&gt;=Hba_9,Input!W$29&lt;&gt;""),Input!$B$29&amp;";",""),IF(AND($G23&lt;Hta_10,$G23&gt;=Hba_10,Input!W$30&lt;&gt;""),Input!$B$30&amp;";",""),IF(AND($G23&lt;Hta_11,$G23&gt;=Hba_11,Input!W$31&lt;&gt;""),Input!$B$31&amp;";",""),IF(AND($G23&lt;Hta_12,$G23&gt;=Hba_12,Input!W$32&lt;&gt;""),Input!$B$32&amp;";",""),IF(AND($G23&lt;Hta_13,$G23&gt;=Hba_13,Input!W$33&lt;&gt;""),Input!$B$33&amp;";",""),IF(AND($G23&lt;Hta_14,$G23&gt;=Hba_14,Input!W$34&lt;&gt;""),Input!$B$34&amp;";",""),IF(AND($G23&lt;Hta_15,$G23&gt;=Hba_15,Input!W$35&lt;&gt;""),Input!$B$35&amp;";",""),IF(AND($G23&lt;Hta_16,$G23&gt;=Hba_16,Input!W$36&lt;&gt;""),Input!$B$36&amp;";",""),IF(AND($G23&lt;Hta_17,$G23&gt;=Hba_17,Input!W$37&lt;&gt;""),Input!$B$37&amp;";",""),IF(AND($G23&lt;Hta_18,$G23&gt;=Hba_18,Input!W$38&lt;&gt;""),Input!$B$38&amp;";",""),IF(AND($G23&lt;Hta_19,$G23&gt;=Hba_19,Input!W$39&lt;&gt;""),Input!$B$39&amp;";",""),IF(AND($G23&lt;Hta_20,$G23&gt;=Hba_20,Input!W$40&lt;&gt;""),Input!$B$40&amp;";",""),IF(AND($G23&lt;Hta_21,$G23&gt;=Hba_21,Input!W$41&lt;&gt;""),Input!$B$41&amp;";",""),IF(AND($G23&lt;Hta_22,$G23&gt;=Hba_22,Input!W$42&lt;&gt;""),Input!$B$42&amp;";",""),IF(AND($G23&lt;Hta_23,$G23&gt;=Hba_23,Input!W$43&lt;&gt;""),Input!$B$43&amp;";",""),IF(AND($G23&lt;Hta_24,$G23&gt;=Hba_24,Input!W$44&lt;&gt;""),Input!$B$44&amp;";",""),IF(AND($G23&lt;Hta_25,$G23&gt;=Hba_25,Input!W$45&lt;&gt;""),Input!$B$45&amp;";",""),IF(AND($G23&lt;Hta_26,$G23&gt;=Hba_26,Input!W$46&lt;&gt;""),Input!$B$46&amp;";",""),IF(AND($G23&lt;Hta_27,$G23&gt;=Hba_27,Input!W$47&lt;&gt;""),Input!$B$47&amp;";",""),IF(AND($G23&lt;Hta_28,$G23&gt;=Hba_28,Input!W$48&lt;&gt;""),Input!$B$48&amp;";",""),IF(AND($G23&lt;Hta_29,$G23&gt;=Hba_29,Input!W$49&lt;&gt;""),Input!$B$49&amp;";",""),IF(AND($G23&lt;Hta_30,$G23&gt;=Hba_30,Input!W$50&lt;&gt;""),Input!$B$50&amp;";","")),"")</f>
        <v/>
      </c>
      <c r="BY23" s="25" t="str">
        <f>IFERROR(CONCATENATE(IF(AND($G23&lt;Hta_1,$G23&gt;=Hba_1,Input!X$21&lt;&gt;""),Input!$B$21&amp;";",""),IF(AND($G23&lt;Hta_2,$G23&gt;=Hba_2,Input!X$22&lt;&gt;""),Input!$B$22&amp;";",""),IF(AND($G23&lt;Hta_3,$G23&gt;=Hba_3,Input!X$23&lt;&gt;""),Input!$B$23&amp;";",""),IF(AND($G23&lt;Hta_4,$G23&gt;=Hba_4,Input!X$24&lt;&gt;""),Input!$B$24&amp;";",""),IF(AND($G23&lt;Hta_5,$G23&gt;=Hba_5,Input!X$25&lt;&gt;""),Input!$B$25&amp;";",""),IF(AND($G23&lt;Hta_6,$G23&gt;=Hba_6,Input!X$26&lt;&gt;""),Input!$B$26&amp;";",""),IF(AND($G23&lt;Hta_7,$G23&gt;=Hba_7,Input!X$27&lt;&gt;""),Input!$B$27&amp;";",""),IF(AND($G23&lt;Hta_8,$G23&gt;=Hba_8,Input!X$28&lt;&gt;""),Input!$B$28&amp;";",""),IF(AND($G23&lt;Hta_9,$G23&gt;=Hba_9,Input!X$29&lt;&gt;""),Input!$B$29&amp;";",""),IF(AND($G23&lt;Hta_10,$G23&gt;=Hba_10,Input!X$30&lt;&gt;""),Input!$B$30&amp;";",""),IF(AND($G23&lt;Hta_11,$G23&gt;=Hba_11,Input!X$31&lt;&gt;""),Input!$B$31&amp;";",""),IF(AND($G23&lt;Hta_12,$G23&gt;=Hba_12,Input!X$32&lt;&gt;""),Input!$B$32&amp;";",""),IF(AND($G23&lt;Hta_13,$G23&gt;=Hba_13,Input!X$33&lt;&gt;""),Input!$B$33&amp;";",""),IF(AND($G23&lt;Hta_14,$G23&gt;=Hba_14,Input!X$34&lt;&gt;""),Input!$B$34&amp;";",""),IF(AND($G23&lt;Hta_15,$G23&gt;=Hba_15,Input!X$35&lt;&gt;""),Input!$B$35&amp;";",""),IF(AND($G23&lt;Hta_16,$G23&gt;=Hba_16,Input!X$36&lt;&gt;""),Input!$B$36&amp;";",""),IF(AND($G23&lt;Hta_17,$G23&gt;=Hba_17,Input!X$37&lt;&gt;""),Input!$B$37&amp;";",""),IF(AND($G23&lt;Hta_18,$G23&gt;=Hba_18,Input!X$38&lt;&gt;""),Input!$B$38&amp;";",""),IF(AND($G23&lt;Hta_19,$G23&gt;=Hba_19,Input!X$39&lt;&gt;""),Input!$B$39&amp;";",""),IF(AND($G23&lt;Hta_20,$G23&gt;=Hba_20,Input!X$40&lt;&gt;""),Input!$B$40&amp;";",""),IF(AND($G23&lt;Hta_21,$G23&gt;=Hba_21,Input!X$41&lt;&gt;""),Input!$B$41&amp;";",""),IF(AND($G23&lt;Hta_22,$G23&gt;=Hba_22,Input!X$42&lt;&gt;""),Input!$B$42&amp;";",""),IF(AND($G23&lt;Hta_23,$G23&gt;=Hba_23,Input!X$43&lt;&gt;""),Input!$B$43&amp;";",""),IF(AND($G23&lt;Hta_24,$G23&gt;=Hba_24,Input!X$44&lt;&gt;""),Input!$B$44&amp;";",""),IF(AND($G23&lt;Hta_25,$G23&gt;=Hba_25,Input!X$45&lt;&gt;""),Input!$B$45&amp;";",""),IF(AND($G23&lt;Hta_26,$G23&gt;=Hba_26,Input!X$46&lt;&gt;""),Input!$B$46&amp;";",""),IF(AND($G23&lt;Hta_27,$G23&gt;=Hba_27,Input!X$47&lt;&gt;""),Input!$B$47&amp;";",""),IF(AND($G23&lt;Hta_28,$G23&gt;=Hba_28,Input!X$48&lt;&gt;""),Input!$B$48&amp;";",""),IF(AND($G23&lt;Hta_29,$G23&gt;=Hba_29,Input!X$49&lt;&gt;""),Input!$B$49&amp;";",""),IF(AND($G23&lt;Hta_30,$G23&gt;=Hba_30,Input!X$50&lt;&gt;""),Input!$B$50&amp;";","")),"")</f>
        <v/>
      </c>
      <c r="BZ23" s="25" t="str">
        <f>IFERROR(CONCATENATE(IF(AND($G23&lt;Hta_1,$G23&gt;=Hba_1,Input!Y$21&lt;&gt;""),Input!$B$21&amp;";",""),IF(AND($G23&lt;Hta_2,$G23&gt;=Hba_2,Input!Y$22&lt;&gt;""),Input!$B$22&amp;";",""),IF(AND($G23&lt;Hta_3,$G23&gt;=Hba_3,Input!Y$23&lt;&gt;""),Input!$B$23&amp;";",""),IF(AND($G23&lt;Hta_4,$G23&gt;=Hba_4,Input!Y$24&lt;&gt;""),Input!$B$24&amp;";",""),IF(AND($G23&lt;Hta_5,$G23&gt;=Hba_5,Input!Y$25&lt;&gt;""),Input!$B$25&amp;";",""),IF(AND($G23&lt;Hta_6,$G23&gt;=Hba_6,Input!Y$26&lt;&gt;""),Input!$B$26&amp;";",""),IF(AND($G23&lt;Hta_7,$G23&gt;=Hba_7,Input!Y$27&lt;&gt;""),Input!$B$27&amp;";",""),IF(AND($G23&lt;Hta_8,$G23&gt;=Hba_8,Input!Y$28&lt;&gt;""),Input!$B$28&amp;";",""),IF(AND($G23&lt;Hta_9,$G23&gt;=Hba_9,Input!Y$29&lt;&gt;""),Input!$B$29&amp;";",""),IF(AND($G23&lt;Hta_10,$G23&gt;=Hba_10,Input!Y$30&lt;&gt;""),Input!$B$30&amp;";",""),IF(AND($G23&lt;Hta_11,$G23&gt;=Hba_11,Input!Y$31&lt;&gt;""),Input!$B$31&amp;";",""),IF(AND($G23&lt;Hta_12,$G23&gt;=Hba_12,Input!Y$32&lt;&gt;""),Input!$B$32&amp;";",""),IF(AND($G23&lt;Hta_13,$G23&gt;=Hba_13,Input!Y$33&lt;&gt;""),Input!$B$33&amp;";",""),IF(AND($G23&lt;Hta_14,$G23&gt;=Hba_14,Input!Y$34&lt;&gt;""),Input!$B$34&amp;";",""),IF(AND($G23&lt;Hta_15,$G23&gt;=Hba_15,Input!Y$35&lt;&gt;""),Input!$B$35&amp;";",""),IF(AND($G23&lt;Hta_16,$G23&gt;=Hba_16,Input!Y$36&lt;&gt;""),Input!$B$36&amp;";",""),IF(AND($G23&lt;Hta_17,$G23&gt;=Hba_17,Input!Y$37&lt;&gt;""),Input!$B$37&amp;";",""),IF(AND($G23&lt;Hta_18,$G23&gt;=Hba_18,Input!Y$38&lt;&gt;""),Input!$B$38&amp;";",""),IF(AND($G23&lt;Hta_19,$G23&gt;=Hba_19,Input!Y$39&lt;&gt;""),Input!$B$39&amp;";",""),IF(AND($G23&lt;Hta_20,$G23&gt;=Hba_20,Input!Y$40&lt;&gt;""),Input!$B$40&amp;";",""),IF(AND($G23&lt;Hta_21,$G23&gt;=Hba_21,Input!Y$41&lt;&gt;""),Input!$B$41&amp;";",""),IF(AND($G23&lt;Hta_22,$G23&gt;=Hba_22,Input!Y$42&lt;&gt;""),Input!$B$42&amp;";",""),IF(AND($G23&lt;Hta_23,$G23&gt;=Hba_23,Input!Y$43&lt;&gt;""),Input!$B$43&amp;";",""),IF(AND($G23&lt;Hta_24,$G23&gt;=Hba_24,Input!Y$44&lt;&gt;""),Input!$B$44&amp;";",""),IF(AND($G23&lt;Hta_25,$G23&gt;=Hba_25,Input!Y$45&lt;&gt;""),Input!$B$45&amp;";",""),IF(AND($G23&lt;Hta_26,$G23&gt;=Hba_26,Input!Y$46&lt;&gt;""),Input!$B$46&amp;";",""),IF(AND($G23&lt;Hta_27,$G23&gt;=Hba_27,Input!Y$47&lt;&gt;""),Input!$B$47&amp;";",""),IF(AND($G23&lt;Hta_28,$G23&gt;=Hba_28,Input!Y$48&lt;&gt;""),Input!$B$48&amp;";",""),IF(AND($G23&lt;Hta_29,$G23&gt;=Hba_29,Input!Y$49&lt;&gt;""),Input!$B$49&amp;";",""),IF(AND($G23&lt;Hta_30,$G23&gt;=Hba_30,Input!Y$50&lt;&gt;""),Input!$B$50&amp;";","")),"")</f>
        <v/>
      </c>
      <c r="CA23" s="25" t="str">
        <f>IFERROR(CONCATENATE(IF(AND($G23&lt;Hta_1,$G23&gt;=Hba_1,Input!Z$21&lt;&gt;""),Input!$B$21&amp;";",""),IF(AND($G23&lt;Hta_2,$G23&gt;=Hba_2,Input!Z$22&lt;&gt;""),Input!$B$22&amp;";",""),IF(AND($G23&lt;Hta_3,$G23&gt;=Hba_3,Input!Z$23&lt;&gt;""),Input!$B$23&amp;";",""),IF(AND($G23&lt;Hta_4,$G23&gt;=Hba_4,Input!Z$24&lt;&gt;""),Input!$B$24&amp;";",""),IF(AND($G23&lt;Hta_5,$G23&gt;=Hba_5,Input!Z$25&lt;&gt;""),Input!$B$25&amp;";",""),IF(AND($G23&lt;Hta_6,$G23&gt;=Hba_6,Input!Z$26&lt;&gt;""),Input!$B$26&amp;";",""),IF(AND($G23&lt;Hta_7,$G23&gt;=Hba_7,Input!Z$27&lt;&gt;""),Input!$B$27&amp;";",""),IF(AND($G23&lt;Hta_8,$G23&gt;=Hba_8,Input!Z$28&lt;&gt;""),Input!$B$28&amp;";",""),IF(AND($G23&lt;Hta_9,$G23&gt;=Hba_9,Input!Z$29&lt;&gt;""),Input!$B$29&amp;";",""),IF(AND($G23&lt;Hta_10,$G23&gt;=Hba_10,Input!Z$30&lt;&gt;""),Input!$B$30&amp;";",""),IF(AND($G23&lt;Hta_11,$G23&gt;=Hba_11,Input!Z$31&lt;&gt;""),Input!$B$31&amp;";",""),IF(AND($G23&lt;Hta_12,$G23&gt;=Hba_12,Input!Z$32&lt;&gt;""),Input!$B$32&amp;";",""),IF(AND($G23&lt;Hta_13,$G23&gt;=Hba_13,Input!Z$33&lt;&gt;""),Input!$B$33&amp;";",""),IF(AND($G23&lt;Hta_14,$G23&gt;=Hba_14,Input!Z$34&lt;&gt;""),Input!$B$34&amp;";",""),IF(AND($G23&lt;Hta_15,$G23&gt;=Hba_15,Input!Z$35&lt;&gt;""),Input!$B$35&amp;";",""),IF(AND($G23&lt;Hta_16,$G23&gt;=Hba_16,Input!Z$36&lt;&gt;""),Input!$B$36&amp;";",""),IF(AND($G23&lt;Hta_17,$G23&gt;=Hba_17,Input!Z$37&lt;&gt;""),Input!$B$37&amp;";",""),IF(AND($G23&lt;Hta_18,$G23&gt;=Hba_18,Input!Z$38&lt;&gt;""),Input!$B$38&amp;";",""),IF(AND($G23&lt;Hta_19,$G23&gt;=Hba_19,Input!Z$39&lt;&gt;""),Input!$B$39&amp;";",""),IF(AND($G23&lt;Hta_20,$G23&gt;=Hba_20,Input!Z$40&lt;&gt;""),Input!$B$40&amp;";",""),IF(AND($G23&lt;Hta_21,$G23&gt;=Hba_21,Input!Z$41&lt;&gt;""),Input!$B$41&amp;";",""),IF(AND($G23&lt;Hta_22,$G23&gt;=Hba_22,Input!Z$42&lt;&gt;""),Input!$B$42&amp;";",""),IF(AND($G23&lt;Hta_23,$G23&gt;=Hba_23,Input!Z$43&lt;&gt;""),Input!$B$43&amp;";",""),IF(AND($G23&lt;Hta_24,$G23&gt;=Hba_24,Input!Z$44&lt;&gt;""),Input!$B$44&amp;";",""),IF(AND($G23&lt;Hta_25,$G23&gt;=Hba_25,Input!Z$45&lt;&gt;""),Input!$B$45&amp;";",""),IF(AND($G23&lt;Hta_26,$G23&gt;=Hba_26,Input!Z$46&lt;&gt;""),Input!$B$46&amp;";",""),IF(AND($G23&lt;Hta_27,$G23&gt;=Hba_27,Input!Z$47&lt;&gt;""),Input!$B$47&amp;";",""),IF(AND($G23&lt;Hta_28,$G23&gt;=Hba_28,Input!Z$48&lt;&gt;""),Input!$B$48&amp;";",""),IF(AND($G23&lt;Hta_29,$G23&gt;=Hba_29,Input!Z$49&lt;&gt;""),Input!$B$49&amp;";",""),IF(AND($G23&lt;Hta_30,$G23&gt;=Hba_30,Input!Z$50&lt;&gt;""),Input!$B$50&amp;";","")),"")</f>
        <v/>
      </c>
      <c r="CB23" s="25" t="str">
        <f>IFERROR(CONCATENATE(IF(AND($G23&lt;Hta_1,$G23&gt;=Hba_1,Input!AA$21&lt;&gt;""),Input!$B$21&amp;";",""),IF(AND($G23&lt;Hta_2,$G23&gt;=Hba_2,Input!AA$22&lt;&gt;""),Input!$B$22&amp;";",""),IF(AND($G23&lt;Hta_3,$G23&gt;=Hba_3,Input!AA$23&lt;&gt;""),Input!$B$23&amp;";",""),IF(AND($G23&lt;Hta_4,$G23&gt;=Hba_4,Input!AA$24&lt;&gt;""),Input!$B$24&amp;";",""),IF(AND($G23&lt;Hta_5,$G23&gt;=Hba_5,Input!AA$25&lt;&gt;""),Input!$B$25&amp;";",""),IF(AND($G23&lt;Hta_6,$G23&gt;=Hba_6,Input!AA$26&lt;&gt;""),Input!$B$26&amp;";",""),IF(AND($G23&lt;Hta_7,$G23&gt;=Hba_7,Input!AA$27&lt;&gt;""),Input!$B$27&amp;";",""),IF(AND($G23&lt;Hta_8,$G23&gt;=Hba_8,Input!AA$28&lt;&gt;""),Input!$B$28&amp;";",""),IF(AND($G23&lt;Hta_9,$G23&gt;=Hba_9,Input!AA$29&lt;&gt;""),Input!$B$29&amp;";",""),IF(AND($G23&lt;Hta_10,$G23&gt;=Hba_10,Input!AA$30&lt;&gt;""),Input!$B$30&amp;";",""),IF(AND($G23&lt;Hta_11,$G23&gt;=Hba_11,Input!AA$31&lt;&gt;""),Input!$B$31&amp;";",""),IF(AND($G23&lt;Hta_12,$G23&gt;=Hba_12,Input!AA$32&lt;&gt;""),Input!$B$32&amp;";",""),IF(AND($G23&lt;Hta_13,$G23&gt;=Hba_13,Input!AA$33&lt;&gt;""),Input!$B$33&amp;";",""),IF(AND($G23&lt;Hta_14,$G23&gt;=Hba_14,Input!AA$34&lt;&gt;""),Input!$B$34&amp;";",""),IF(AND($G23&lt;Hta_15,$G23&gt;=Hba_15,Input!AA$35&lt;&gt;""),Input!$B$35&amp;";",""),IF(AND($G23&lt;Hta_16,$G23&gt;=Hba_16,Input!AA$36&lt;&gt;""),Input!$B$36&amp;";",""),IF(AND($G23&lt;Hta_17,$G23&gt;=Hba_17,Input!AA$37&lt;&gt;""),Input!$B$37&amp;";",""),IF(AND($G23&lt;Hta_18,$G23&gt;=Hba_18,Input!AA$38&lt;&gt;""),Input!$B$38&amp;";",""),IF(AND($G23&lt;Hta_19,$G23&gt;=Hba_19,Input!AA$39&lt;&gt;""),Input!$B$39&amp;";",""),IF(AND($G23&lt;Hta_20,$G23&gt;=Hba_20,Input!AA$40&lt;&gt;""),Input!$B$40&amp;";",""),IF(AND($G23&lt;Hta_21,$G23&gt;=Hba_21,Input!AA$41&lt;&gt;""),Input!$B$41&amp;";",""),IF(AND($G23&lt;Hta_22,$G23&gt;=Hba_22,Input!AA$42&lt;&gt;""),Input!$B$42&amp;";",""),IF(AND($G23&lt;Hta_23,$G23&gt;=Hba_23,Input!AA$43&lt;&gt;""),Input!$B$43&amp;";",""),IF(AND($G23&lt;Hta_24,$G23&gt;=Hba_24,Input!AA$44&lt;&gt;""),Input!$B$44&amp;";",""),IF(AND($G23&lt;Hta_25,$G23&gt;=Hba_25,Input!AA$45&lt;&gt;""),Input!$B$45&amp;";",""),IF(AND($G23&lt;Hta_26,$G23&gt;=Hba_26,Input!AA$46&lt;&gt;""),Input!$B$46&amp;";",""),IF(AND($G23&lt;Hta_27,$G23&gt;=Hba_27,Input!AA$47&lt;&gt;""),Input!$B$47&amp;";",""),IF(AND($G23&lt;Hta_28,$G23&gt;=Hba_28,Input!AA$48&lt;&gt;""),Input!$B$48&amp;";",""),IF(AND($G23&lt;Hta_29,$G23&gt;=Hba_29,Input!AA$49&lt;&gt;""),Input!$B$49&amp;";",""),IF(AND($G23&lt;Hta_30,$G23&gt;=Hba_30,Input!AA$50&lt;&gt;""),Input!$B$50&amp;";","")),"")</f>
        <v/>
      </c>
      <c r="CC23" s="25" t="str">
        <f>IFERROR(CONCATENATE(IF(AND($G23&lt;Hta_1,$G23&gt;=Hba_1,Input!AB$21&lt;&gt;""),Input!$B$21&amp;";",""),IF(AND($G23&lt;Hta_2,$G23&gt;=Hba_2,Input!AB$22&lt;&gt;""),Input!$B$22&amp;";",""),IF(AND($G23&lt;Hta_3,$G23&gt;=Hba_3,Input!AB$23&lt;&gt;""),Input!$B$23&amp;";",""),IF(AND($G23&lt;Hta_4,$G23&gt;=Hba_4,Input!AB$24&lt;&gt;""),Input!$B$24&amp;";",""),IF(AND($G23&lt;Hta_5,$G23&gt;=Hba_5,Input!AB$25&lt;&gt;""),Input!$B$25&amp;";",""),IF(AND($G23&lt;Hta_6,$G23&gt;=Hba_6,Input!AB$26&lt;&gt;""),Input!$B$26&amp;";",""),IF(AND($G23&lt;Hta_7,$G23&gt;=Hba_7,Input!AB$27&lt;&gt;""),Input!$B$27&amp;";",""),IF(AND($G23&lt;Hta_8,$G23&gt;=Hba_8,Input!AB$28&lt;&gt;""),Input!$B$28&amp;";",""),IF(AND($G23&lt;Hta_9,$G23&gt;=Hba_9,Input!AB$29&lt;&gt;""),Input!$B$29&amp;";",""),IF(AND($G23&lt;Hta_10,$G23&gt;=Hba_10,Input!AB$30&lt;&gt;""),Input!$B$30&amp;";",""),IF(AND($G23&lt;Hta_11,$G23&gt;=Hba_11,Input!AB$31&lt;&gt;""),Input!$B$31&amp;";",""),IF(AND($G23&lt;Hta_12,$G23&gt;=Hba_12,Input!AB$32&lt;&gt;""),Input!$B$32&amp;";",""),IF(AND($G23&lt;Hta_13,$G23&gt;=Hba_13,Input!AB$33&lt;&gt;""),Input!$B$33&amp;";",""),IF(AND($G23&lt;Hta_14,$G23&gt;=Hba_14,Input!AB$34&lt;&gt;""),Input!$B$34&amp;";",""),IF(AND($G23&lt;Hta_15,$G23&gt;=Hba_15,Input!AB$35&lt;&gt;""),Input!$B$35&amp;";",""),IF(AND($G23&lt;Hta_16,$G23&gt;=Hba_16,Input!AB$36&lt;&gt;""),Input!$B$36&amp;";",""),IF(AND($G23&lt;Hta_17,$G23&gt;=Hba_17,Input!AB$37&lt;&gt;""),Input!$B$37&amp;";",""),IF(AND($G23&lt;Hta_18,$G23&gt;=Hba_18,Input!AB$38&lt;&gt;""),Input!$B$38&amp;";",""),IF(AND($G23&lt;Hta_19,$G23&gt;=Hba_19,Input!AB$39&lt;&gt;""),Input!$B$39&amp;";",""),IF(AND($G23&lt;Hta_20,$G23&gt;=Hba_20,Input!AB$40&lt;&gt;""),Input!$B$40&amp;";",""),IF(AND($G23&lt;Hta_21,$G23&gt;=Hba_21,Input!AB$41&lt;&gt;""),Input!$B$41&amp;";",""),IF(AND($G23&lt;Hta_22,$G23&gt;=Hba_22,Input!AB$42&lt;&gt;""),Input!$B$42&amp;";",""),IF(AND($G23&lt;Hta_23,$G23&gt;=Hba_23,Input!AB$43&lt;&gt;""),Input!$B$43&amp;";",""),IF(AND($G23&lt;Hta_24,$G23&gt;=Hba_24,Input!AB$44&lt;&gt;""),Input!$B$44&amp;";",""),IF(AND($G23&lt;Hta_25,$G23&gt;=Hba_25,Input!AB$45&lt;&gt;""),Input!$B$45&amp;";",""),IF(AND($G23&lt;Hta_26,$G23&gt;=Hba_26,Input!AB$46&lt;&gt;""),Input!$B$46&amp;";",""),IF(AND($G23&lt;Hta_27,$G23&gt;=Hba_27,Input!AB$47&lt;&gt;""),Input!$B$47&amp;";",""),IF(AND($G23&lt;Hta_28,$G23&gt;=Hba_28,Input!AB$48&lt;&gt;""),Input!$B$48&amp;";",""),IF(AND($G23&lt;Hta_29,$G23&gt;=Hba_29,Input!AB$49&lt;&gt;""),Input!$B$49&amp;";",""),IF(AND($G23&lt;Hta_30,$G23&gt;=Hba_30,Input!AB$50&lt;&gt;""),Input!$B$50&amp;";","")),"")</f>
        <v/>
      </c>
      <c r="CD23" s="25" t="str">
        <f>IFERROR(CONCATENATE(IF(AND($G23&lt;Hta_1,$G23&gt;=Hba_1,Input!AC$21&lt;&gt;""),Input!$B$21&amp;";",""),IF(AND($G23&lt;Hta_2,$G23&gt;=Hba_2,Input!AC$22&lt;&gt;""),Input!$B$22&amp;";",""),IF(AND($G23&lt;Hta_3,$G23&gt;=Hba_3,Input!AC$23&lt;&gt;""),Input!$B$23&amp;";",""),IF(AND($G23&lt;Hta_4,$G23&gt;=Hba_4,Input!AC$24&lt;&gt;""),Input!$B$24&amp;";",""),IF(AND($G23&lt;Hta_5,$G23&gt;=Hba_5,Input!AC$25&lt;&gt;""),Input!$B$25&amp;";",""),IF(AND($G23&lt;Hta_6,$G23&gt;=Hba_6,Input!AC$26&lt;&gt;""),Input!$B$26&amp;";",""),IF(AND($G23&lt;Hta_7,$G23&gt;=Hba_7,Input!AC$27&lt;&gt;""),Input!$B$27&amp;";",""),IF(AND($G23&lt;Hta_8,$G23&gt;=Hba_8,Input!AC$28&lt;&gt;""),Input!$B$28&amp;";",""),IF(AND($G23&lt;Hta_9,$G23&gt;=Hba_9,Input!AC$29&lt;&gt;""),Input!$B$29&amp;";",""),IF(AND($G23&lt;Hta_10,$G23&gt;=Hba_10,Input!AC$30&lt;&gt;""),Input!$B$30&amp;";",""),IF(AND($G23&lt;Hta_11,$G23&gt;=Hba_11,Input!AC$31&lt;&gt;""),Input!$B$31&amp;";",""),IF(AND($G23&lt;Hta_12,$G23&gt;=Hba_12,Input!AC$32&lt;&gt;""),Input!$B$32&amp;";",""),IF(AND($G23&lt;Hta_13,$G23&gt;=Hba_13,Input!AC$33&lt;&gt;""),Input!$B$33&amp;";",""),IF(AND($G23&lt;Hta_14,$G23&gt;=Hba_14,Input!AC$34&lt;&gt;""),Input!$B$34&amp;";",""),IF(AND($G23&lt;Hta_15,$G23&gt;=Hba_15,Input!AC$35&lt;&gt;""),Input!$B$35&amp;";",""),IF(AND($G23&lt;Hta_16,$G23&gt;=Hba_16,Input!AC$36&lt;&gt;""),Input!$B$36&amp;";",""),IF(AND($G23&lt;Hta_17,$G23&gt;=Hba_17,Input!AC$37&lt;&gt;""),Input!$B$37&amp;";",""),IF(AND($G23&lt;Hta_18,$G23&gt;=Hba_18,Input!AC$38&lt;&gt;""),Input!$B$38&amp;";",""),IF(AND($G23&lt;Hta_19,$G23&gt;=Hba_19,Input!AC$39&lt;&gt;""),Input!$B$39&amp;";",""),IF(AND($G23&lt;Hta_20,$G23&gt;=Hba_20,Input!AC$40&lt;&gt;""),Input!$B$40&amp;";",""),IF(AND($G23&lt;Hta_21,$G23&gt;=Hba_21,Input!AC$41&lt;&gt;""),Input!$B$41&amp;";",""),IF(AND($G23&lt;Hta_22,$G23&gt;=Hba_22,Input!AC$42&lt;&gt;""),Input!$B$42&amp;";",""),IF(AND($G23&lt;Hta_23,$G23&gt;=Hba_23,Input!AC$43&lt;&gt;""),Input!$B$43&amp;";",""),IF(AND($G23&lt;Hta_24,$G23&gt;=Hba_24,Input!AC$44&lt;&gt;""),Input!$B$44&amp;";",""),IF(AND($G23&lt;Hta_25,$G23&gt;=Hba_25,Input!AC$45&lt;&gt;""),Input!$B$45&amp;";",""),IF(AND($G23&lt;Hta_26,$G23&gt;=Hba_26,Input!AC$46&lt;&gt;""),Input!$B$46&amp;";",""),IF(AND($G23&lt;Hta_27,$G23&gt;=Hba_27,Input!AC$47&lt;&gt;""),Input!$B$47&amp;";",""),IF(AND($G23&lt;Hta_28,$G23&gt;=Hba_28,Input!AC$48&lt;&gt;""),Input!$B$48&amp;";",""),IF(AND($G23&lt;Hta_29,$G23&gt;=Hba_29,Input!AC$49&lt;&gt;""),Input!$B$49&amp;";",""),IF(AND($G23&lt;Hta_30,$G23&gt;=Hba_30,Input!AC$50&lt;&gt;""),Input!$B$50&amp;";","")),"")</f>
        <v/>
      </c>
      <c r="CE23" s="25" t="str">
        <f>IFERROR(CONCATENATE(IF(AND($G23&lt;Hta_1,$G23&gt;=Hba_1,Input!AD$21&lt;&gt;""),Input!$B$21&amp;";",""),IF(AND($G23&lt;Hta_2,$G23&gt;=Hba_2,Input!AD$22&lt;&gt;""),Input!$B$22&amp;";",""),IF(AND($G23&lt;Hta_3,$G23&gt;=Hba_3,Input!AD$23&lt;&gt;""),Input!$B$23&amp;";",""),IF(AND($G23&lt;Hta_4,$G23&gt;=Hba_4,Input!AD$24&lt;&gt;""),Input!$B$24&amp;";",""),IF(AND($G23&lt;Hta_5,$G23&gt;=Hba_5,Input!AD$25&lt;&gt;""),Input!$B$25&amp;";",""),IF(AND($G23&lt;Hta_6,$G23&gt;=Hba_6,Input!AD$26&lt;&gt;""),Input!$B$26&amp;";",""),IF(AND($G23&lt;Hta_7,$G23&gt;=Hba_7,Input!AD$27&lt;&gt;""),Input!$B$27&amp;";",""),IF(AND($G23&lt;Hta_8,$G23&gt;=Hba_8,Input!AD$28&lt;&gt;""),Input!$B$28&amp;";",""),IF(AND($G23&lt;Hta_9,$G23&gt;=Hba_9,Input!AD$29&lt;&gt;""),Input!$B$29&amp;";",""),IF(AND($G23&lt;Hta_10,$G23&gt;=Hba_10,Input!AD$30&lt;&gt;""),Input!$B$30&amp;";",""),IF(AND($G23&lt;Hta_11,$G23&gt;=Hba_11,Input!AD$31&lt;&gt;""),Input!$B$31&amp;";",""),IF(AND($G23&lt;Hta_12,$G23&gt;=Hba_12,Input!AD$32&lt;&gt;""),Input!$B$32&amp;";",""),IF(AND($G23&lt;Hta_13,$G23&gt;=Hba_13,Input!AD$33&lt;&gt;""),Input!$B$33&amp;";",""),IF(AND($G23&lt;Hta_14,$G23&gt;=Hba_14,Input!AD$34&lt;&gt;""),Input!$B$34&amp;";",""),IF(AND($G23&lt;Hta_15,$G23&gt;=Hba_15,Input!AD$35&lt;&gt;""),Input!$B$35&amp;";",""),IF(AND($G23&lt;Hta_16,$G23&gt;=Hba_16,Input!AD$36&lt;&gt;""),Input!$B$36&amp;";",""),IF(AND($G23&lt;Hta_17,$G23&gt;=Hba_17,Input!AD$37&lt;&gt;""),Input!$B$37&amp;";",""),IF(AND($G23&lt;Hta_18,$G23&gt;=Hba_18,Input!AD$38&lt;&gt;""),Input!$B$38&amp;";",""),IF(AND($G23&lt;Hta_19,$G23&gt;=Hba_19,Input!AD$39&lt;&gt;""),Input!$B$39&amp;";",""),IF(AND($G23&lt;Hta_20,$G23&gt;=Hba_20,Input!AD$40&lt;&gt;""),Input!$B$40&amp;";",""),IF(AND($G23&lt;Hta_21,$G23&gt;=Hba_21,Input!AD$41&lt;&gt;""),Input!$B$41&amp;";",""),IF(AND($G23&lt;Hta_22,$G23&gt;=Hba_22,Input!AD$42&lt;&gt;""),Input!$B$42&amp;";",""),IF(AND($G23&lt;Hta_23,$G23&gt;=Hba_23,Input!AD$43&lt;&gt;""),Input!$B$43&amp;";",""),IF(AND($G23&lt;Hta_24,$G23&gt;=Hba_24,Input!AD$44&lt;&gt;""),Input!$B$44&amp;";",""),IF(AND($G23&lt;Hta_25,$G23&gt;=Hba_25,Input!AD$45&lt;&gt;""),Input!$B$45&amp;";",""),IF(AND($G23&lt;Hta_26,$G23&gt;=Hba_26,Input!AD$46&lt;&gt;""),Input!$B$46&amp;";",""),IF(AND($G23&lt;Hta_27,$G23&gt;=Hba_27,Input!AD$47&lt;&gt;""),Input!$B$47&amp;";",""),IF(AND($G23&lt;Hta_28,$G23&gt;=Hba_28,Input!AD$48&lt;&gt;""),Input!$B$48&amp;";",""),IF(AND($G23&lt;Hta_29,$G23&gt;=Hba_29,Input!AD$49&lt;&gt;""),Input!$B$49&amp;";",""),IF(AND($G23&lt;Hta_30,$G23&gt;=Hba_30,Input!AD$50&lt;&gt;""),Input!$B$50&amp;";","")),"")</f>
        <v/>
      </c>
      <c r="CF23" s="25" t="str">
        <f>IFERROR(CONCATENATE(IF(AND($G23&lt;Hta_1,$G23&gt;=Hba_1,Input!AE$21&lt;&gt;""),Input!$B$21&amp;";",""),IF(AND($G23&lt;Hta_2,$G23&gt;=Hba_2,Input!AE$22&lt;&gt;""),Input!$B$22&amp;";",""),IF(AND($G23&lt;Hta_3,$G23&gt;=Hba_3,Input!AE$23&lt;&gt;""),Input!$B$23&amp;";",""),IF(AND($G23&lt;Hta_4,$G23&gt;=Hba_4,Input!AE$24&lt;&gt;""),Input!$B$24&amp;";",""),IF(AND($G23&lt;Hta_5,$G23&gt;=Hba_5,Input!AE$25&lt;&gt;""),Input!$B$25&amp;";",""),IF(AND($G23&lt;Hta_6,$G23&gt;=Hba_6,Input!AE$26&lt;&gt;""),Input!$B$26&amp;";",""),IF(AND($G23&lt;Hta_7,$G23&gt;=Hba_7,Input!AE$27&lt;&gt;""),Input!$B$27&amp;";",""),IF(AND($G23&lt;Hta_8,$G23&gt;=Hba_8,Input!AE$28&lt;&gt;""),Input!$B$28&amp;";",""),IF(AND($G23&lt;Hta_9,$G23&gt;=Hba_9,Input!AE$29&lt;&gt;""),Input!$B$29&amp;";",""),IF(AND($G23&lt;Hta_10,$G23&gt;=Hba_10,Input!AE$30&lt;&gt;""),Input!$B$30&amp;";",""),IF(AND($G23&lt;Hta_11,$G23&gt;=Hba_11,Input!AE$31&lt;&gt;""),Input!$B$31&amp;";",""),IF(AND($G23&lt;Hta_12,$G23&gt;=Hba_12,Input!AE$32&lt;&gt;""),Input!$B$32&amp;";",""),IF(AND($G23&lt;Hta_13,$G23&gt;=Hba_13,Input!AE$33&lt;&gt;""),Input!$B$33&amp;";",""),IF(AND($G23&lt;Hta_14,$G23&gt;=Hba_14,Input!AE$34&lt;&gt;""),Input!$B$34&amp;";",""),IF(AND($G23&lt;Hta_15,$G23&gt;=Hba_15,Input!AE$35&lt;&gt;""),Input!$B$35&amp;";",""),IF(AND($G23&lt;Hta_16,$G23&gt;=Hba_16,Input!AE$36&lt;&gt;""),Input!$B$36&amp;";",""),IF(AND($G23&lt;Hta_17,$G23&gt;=Hba_17,Input!AE$37&lt;&gt;""),Input!$B$37&amp;";",""),IF(AND($G23&lt;Hta_18,$G23&gt;=Hba_18,Input!AE$38&lt;&gt;""),Input!$B$38&amp;";",""),IF(AND($G23&lt;Hta_19,$G23&gt;=Hba_19,Input!AE$39&lt;&gt;""),Input!$B$39&amp;";",""),IF(AND($G23&lt;Hta_20,$G23&gt;=Hba_20,Input!AE$40&lt;&gt;""),Input!$B$40&amp;";",""),IF(AND($G23&lt;Hta_21,$G23&gt;=Hba_21,Input!AE$41&lt;&gt;""),Input!$B$41&amp;";",""),IF(AND($G23&lt;Hta_22,$G23&gt;=Hba_22,Input!AE$42&lt;&gt;""),Input!$B$42&amp;";",""),IF(AND($G23&lt;Hta_23,$G23&gt;=Hba_23,Input!AE$43&lt;&gt;""),Input!$B$43&amp;";",""),IF(AND($G23&lt;Hta_24,$G23&gt;=Hba_24,Input!AE$44&lt;&gt;""),Input!$B$44&amp;";",""),IF(AND($G23&lt;Hta_25,$G23&gt;=Hba_25,Input!AE$45&lt;&gt;""),Input!$B$45&amp;";",""),IF(AND($G23&lt;Hta_26,$G23&gt;=Hba_26,Input!AE$46&lt;&gt;""),Input!$B$46&amp;";",""),IF(AND($G23&lt;Hta_27,$G23&gt;=Hba_27,Input!AE$47&lt;&gt;""),Input!$B$47&amp;";",""),IF(AND($G23&lt;Hta_28,$G23&gt;=Hba_28,Input!AE$48&lt;&gt;""),Input!$B$48&amp;";",""),IF(AND($G23&lt;Hta_29,$G23&gt;=Hba_29,Input!AE$49&lt;&gt;""),Input!$B$49&amp;";",""),IF(AND($G23&lt;Hta_30,$G23&gt;=Hba_30,Input!AE$50&lt;&gt;""),Input!$B$50&amp;";","")),"")</f>
        <v/>
      </c>
      <c r="CG23" s="25" t="str">
        <f>IFERROR(CONCATENATE(IF(AND($G23&lt;Hta_1,$G23&gt;=Hba_1,Input!AF$21&lt;&gt;""),Input!$B$21&amp;";",""),IF(AND($G23&lt;Hta_2,$G23&gt;=Hba_2,Input!AF$22&lt;&gt;""),Input!$B$22&amp;";",""),IF(AND($G23&lt;Hta_3,$G23&gt;=Hba_3,Input!AF$23&lt;&gt;""),Input!$B$23&amp;";",""),IF(AND($G23&lt;Hta_4,$G23&gt;=Hba_4,Input!AF$24&lt;&gt;""),Input!$B$24&amp;";",""),IF(AND($G23&lt;Hta_5,$G23&gt;=Hba_5,Input!AF$25&lt;&gt;""),Input!$B$25&amp;";",""),IF(AND($G23&lt;Hta_6,$G23&gt;=Hba_6,Input!AF$26&lt;&gt;""),Input!$B$26&amp;";",""),IF(AND($G23&lt;Hta_7,$G23&gt;=Hba_7,Input!AF$27&lt;&gt;""),Input!$B$27&amp;";",""),IF(AND($G23&lt;Hta_8,$G23&gt;=Hba_8,Input!AF$28&lt;&gt;""),Input!$B$28&amp;";",""),IF(AND($G23&lt;Hta_9,$G23&gt;=Hba_9,Input!AF$29&lt;&gt;""),Input!$B$29&amp;";",""),IF(AND($G23&lt;Hta_10,$G23&gt;=Hba_10,Input!AF$30&lt;&gt;""),Input!$B$30&amp;";",""),IF(AND($G23&lt;Hta_11,$G23&gt;=Hba_11,Input!AF$31&lt;&gt;""),Input!$B$31&amp;";",""),IF(AND($G23&lt;Hta_12,$G23&gt;=Hba_12,Input!AF$32&lt;&gt;""),Input!$B$32&amp;";",""),IF(AND($G23&lt;Hta_13,$G23&gt;=Hba_13,Input!AF$33&lt;&gt;""),Input!$B$33&amp;";",""),IF(AND($G23&lt;Hta_14,$G23&gt;=Hba_14,Input!AF$34&lt;&gt;""),Input!$B$34&amp;";",""),IF(AND($G23&lt;Hta_15,$G23&gt;=Hba_15,Input!AF$35&lt;&gt;""),Input!$B$35&amp;";",""),IF(AND($G23&lt;Hta_16,$G23&gt;=Hba_16,Input!AF$36&lt;&gt;""),Input!$B$36&amp;";",""),IF(AND($G23&lt;Hta_17,$G23&gt;=Hba_17,Input!AF$37&lt;&gt;""),Input!$B$37&amp;";",""),IF(AND($G23&lt;Hta_18,$G23&gt;=Hba_18,Input!AF$38&lt;&gt;""),Input!$B$38&amp;";",""),IF(AND($G23&lt;Hta_19,$G23&gt;=Hba_19,Input!AF$39&lt;&gt;""),Input!$B$39&amp;";",""),IF(AND($G23&lt;Hta_20,$G23&gt;=Hba_20,Input!AF$40&lt;&gt;""),Input!$B$40&amp;";",""),IF(AND($G23&lt;Hta_21,$G23&gt;=Hba_21,Input!AF$41&lt;&gt;""),Input!$B$41&amp;";",""),IF(AND($G23&lt;Hta_22,$G23&gt;=Hba_22,Input!AF$42&lt;&gt;""),Input!$B$42&amp;";",""),IF(AND($G23&lt;Hta_23,$G23&gt;=Hba_23,Input!AF$43&lt;&gt;""),Input!$B$43&amp;";",""),IF(AND($G23&lt;Hta_24,$G23&gt;=Hba_24,Input!AF$44&lt;&gt;""),Input!$B$44&amp;";",""),IF(AND($G23&lt;Hta_25,$G23&gt;=Hba_25,Input!AF$45&lt;&gt;""),Input!$B$45&amp;";",""),IF(AND($G23&lt;Hta_26,$G23&gt;=Hba_26,Input!AF$46&lt;&gt;""),Input!$B$46&amp;";",""),IF(AND($G23&lt;Hta_27,$G23&gt;=Hba_27,Input!AF$47&lt;&gt;""),Input!$B$47&amp;";",""),IF(AND($G23&lt;Hta_28,$G23&gt;=Hba_28,Input!AF$48&lt;&gt;""),Input!$B$48&amp;";",""),IF(AND($G23&lt;Hta_29,$G23&gt;=Hba_29,Input!AF$49&lt;&gt;""),Input!$B$49&amp;";",""),IF(AND($G23&lt;Hta_30,$G23&gt;=Hba_30,Input!AF$50&lt;&gt;""),Input!$B$50&amp;";","")),"")</f>
        <v/>
      </c>
      <c r="CH23" s="25" t="str">
        <f>IFERROR(CONCATENATE(IF(AND($G23&lt;Hta_1,$G23&gt;=Hba_1,Input!AG$21&lt;&gt;""),Input!$B$21&amp;";",""),IF(AND($G23&lt;Hta_2,$G23&gt;=Hba_2,Input!AG$22&lt;&gt;""),Input!$B$22&amp;";",""),IF(AND($G23&lt;Hta_3,$G23&gt;=Hba_3,Input!AG$23&lt;&gt;""),Input!$B$23&amp;";",""),IF(AND($G23&lt;Hta_4,$G23&gt;=Hba_4,Input!AG$24&lt;&gt;""),Input!$B$24&amp;";",""),IF(AND($G23&lt;Hta_5,$G23&gt;=Hba_5,Input!AG$25&lt;&gt;""),Input!$B$25&amp;";",""),IF(AND($G23&lt;Hta_6,$G23&gt;=Hba_6,Input!AG$26&lt;&gt;""),Input!$B$26&amp;";",""),IF(AND($G23&lt;Hta_7,$G23&gt;=Hba_7,Input!AG$27&lt;&gt;""),Input!$B$27&amp;";",""),IF(AND($G23&lt;Hta_8,$G23&gt;=Hba_8,Input!AG$28&lt;&gt;""),Input!$B$28&amp;";",""),IF(AND($G23&lt;Hta_9,$G23&gt;=Hba_9,Input!AG$29&lt;&gt;""),Input!$B$29&amp;";",""),IF(AND($G23&lt;Hta_10,$G23&gt;=Hba_10,Input!AG$30&lt;&gt;""),Input!$B$30&amp;";",""),IF(AND($G23&lt;Hta_11,$G23&gt;=Hba_11,Input!AG$31&lt;&gt;""),Input!$B$31&amp;";",""),IF(AND($G23&lt;Hta_12,$G23&gt;=Hba_12,Input!AG$32&lt;&gt;""),Input!$B$32&amp;";",""),IF(AND($G23&lt;Hta_13,$G23&gt;=Hba_13,Input!AG$33&lt;&gt;""),Input!$B$33&amp;";",""),IF(AND($G23&lt;Hta_14,$G23&gt;=Hba_14,Input!AG$34&lt;&gt;""),Input!$B$34&amp;";",""),IF(AND($G23&lt;Hta_15,$G23&gt;=Hba_15,Input!AG$35&lt;&gt;""),Input!$B$35&amp;";",""),IF(AND($G23&lt;Hta_16,$G23&gt;=Hba_16,Input!AG$36&lt;&gt;""),Input!$B$36&amp;";",""),IF(AND($G23&lt;Hta_17,$G23&gt;=Hba_17,Input!AG$37&lt;&gt;""),Input!$B$37&amp;";",""),IF(AND($G23&lt;Hta_18,$G23&gt;=Hba_18,Input!AG$38&lt;&gt;""),Input!$B$38&amp;";",""),IF(AND($G23&lt;Hta_19,$G23&gt;=Hba_19,Input!AG$39&lt;&gt;""),Input!$B$39&amp;";",""),IF(AND($G23&lt;Hta_20,$G23&gt;=Hba_20,Input!AG$40&lt;&gt;""),Input!$B$40&amp;";",""),IF(AND($G23&lt;Hta_21,$G23&gt;=Hba_21,Input!AG$41&lt;&gt;""),Input!$B$41&amp;";",""),IF(AND($G23&lt;Hta_22,$G23&gt;=Hba_22,Input!AG$42&lt;&gt;""),Input!$B$42&amp;";",""),IF(AND($G23&lt;Hta_23,$G23&gt;=Hba_23,Input!AG$43&lt;&gt;""),Input!$B$43&amp;";",""),IF(AND($G23&lt;Hta_24,$G23&gt;=Hba_24,Input!AG$44&lt;&gt;""),Input!$B$44&amp;";",""),IF(AND($G23&lt;Hta_25,$G23&gt;=Hba_25,Input!AG$45&lt;&gt;""),Input!$B$45&amp;";",""),IF(AND($G23&lt;Hta_26,$G23&gt;=Hba_26,Input!AG$46&lt;&gt;""),Input!$B$46&amp;";",""),IF(AND($G23&lt;Hta_27,$G23&gt;=Hba_27,Input!AG$47&lt;&gt;""),Input!$B$47&amp;";",""),IF(AND($G23&lt;Hta_28,$G23&gt;=Hba_28,Input!AG$48&lt;&gt;""),Input!$B$48&amp;";",""),IF(AND($G23&lt;Hta_29,$G23&gt;=Hba_29,Input!AG$49&lt;&gt;""),Input!$B$49&amp;";",""),IF(AND($G23&lt;Hta_30,$G23&gt;=Hba_30,Input!AG$50&lt;&gt;""),Input!$B$50&amp;";","")),"")</f>
        <v/>
      </c>
      <c r="CI23" s="25" t="str">
        <f>IFERROR(CONCATENATE(IF(AND($G23&lt;Hta_1,$G23&gt;=Hba_1,Input!AH$21&lt;&gt;""),Input!$B$21&amp;";",""),IF(AND($G23&lt;Hta_2,$G23&gt;=Hba_2,Input!AH$22&lt;&gt;""),Input!$B$22&amp;";",""),IF(AND($G23&lt;Hta_3,$G23&gt;=Hba_3,Input!AH$23&lt;&gt;""),Input!$B$23&amp;";",""),IF(AND($G23&lt;Hta_4,$G23&gt;=Hba_4,Input!AH$24&lt;&gt;""),Input!$B$24&amp;";",""),IF(AND($G23&lt;Hta_5,$G23&gt;=Hba_5,Input!AH$25&lt;&gt;""),Input!$B$25&amp;";",""),IF(AND($G23&lt;Hta_6,$G23&gt;=Hba_6,Input!AH$26&lt;&gt;""),Input!$B$26&amp;";",""),IF(AND($G23&lt;Hta_7,$G23&gt;=Hba_7,Input!AH$27&lt;&gt;""),Input!$B$27&amp;";",""),IF(AND($G23&lt;Hta_8,$G23&gt;=Hba_8,Input!AH$28&lt;&gt;""),Input!$B$28&amp;";",""),IF(AND($G23&lt;Hta_9,$G23&gt;=Hba_9,Input!AH$29&lt;&gt;""),Input!$B$29&amp;";",""),IF(AND($G23&lt;Hta_10,$G23&gt;=Hba_10,Input!AH$30&lt;&gt;""),Input!$B$30&amp;";",""),IF(AND($G23&lt;Hta_11,$G23&gt;=Hba_11,Input!AH$31&lt;&gt;""),Input!$B$31&amp;";",""),IF(AND($G23&lt;Hta_12,$G23&gt;=Hba_12,Input!AH$32&lt;&gt;""),Input!$B$32&amp;";",""),IF(AND($G23&lt;Hta_13,$G23&gt;=Hba_13,Input!AH$33&lt;&gt;""),Input!$B$33&amp;";",""),IF(AND($G23&lt;Hta_14,$G23&gt;=Hba_14,Input!AH$34&lt;&gt;""),Input!$B$34&amp;";",""),IF(AND($G23&lt;Hta_15,$G23&gt;=Hba_15,Input!AH$35&lt;&gt;""),Input!$B$35&amp;";",""),IF(AND($G23&lt;Hta_16,$G23&gt;=Hba_16,Input!AH$36&lt;&gt;""),Input!$B$36&amp;";",""),IF(AND($G23&lt;Hta_17,$G23&gt;=Hba_17,Input!AH$37&lt;&gt;""),Input!$B$37&amp;";",""),IF(AND($G23&lt;Hta_18,$G23&gt;=Hba_18,Input!AH$38&lt;&gt;""),Input!$B$38&amp;";",""),IF(AND($G23&lt;Hta_19,$G23&gt;=Hba_19,Input!AH$39&lt;&gt;""),Input!$B$39&amp;";",""),IF(AND($G23&lt;Hta_20,$G23&gt;=Hba_20,Input!AH$40&lt;&gt;""),Input!$B$40&amp;";",""),IF(AND($G23&lt;Hta_21,$G23&gt;=Hba_21,Input!AH$41&lt;&gt;""),Input!$B$41&amp;";",""),IF(AND($G23&lt;Hta_22,$G23&gt;=Hba_22,Input!AH$42&lt;&gt;""),Input!$B$42&amp;";",""),IF(AND($G23&lt;Hta_23,$G23&gt;=Hba_23,Input!AH$43&lt;&gt;""),Input!$B$43&amp;";",""),IF(AND($G23&lt;Hta_24,$G23&gt;=Hba_24,Input!AH$44&lt;&gt;""),Input!$B$44&amp;";",""),IF(AND($G23&lt;Hta_25,$G23&gt;=Hba_25,Input!AH$45&lt;&gt;""),Input!$B$45&amp;";",""),IF(AND($G23&lt;Hta_26,$G23&gt;=Hba_26,Input!AH$46&lt;&gt;""),Input!$B$46&amp;";",""),IF(AND($G23&lt;Hta_27,$G23&gt;=Hba_27,Input!AH$47&lt;&gt;""),Input!$B$47&amp;";",""),IF(AND($G23&lt;Hta_28,$G23&gt;=Hba_28,Input!AH$48&lt;&gt;""),Input!$B$48&amp;";",""),IF(AND($G23&lt;Hta_29,$G23&gt;=Hba_29,Input!AH$49&lt;&gt;""),Input!$B$49&amp;";",""),IF(AND($G23&lt;Hta_30,$G23&gt;=Hba_30,Input!AH$50&lt;&gt;""),Input!$B$50&amp;";","")),"")</f>
        <v/>
      </c>
      <c r="CJ23" s="25" t="str">
        <f>IFERROR(CONCATENATE(IF(AND($G23&lt;Hta_1,$G23&gt;=Hba_1,Input!AI$21&lt;&gt;""),Input!$B$21&amp;";",""),IF(AND($G23&lt;Hta_2,$G23&gt;=Hba_2,Input!AI$22&lt;&gt;""),Input!$B$22&amp;";",""),IF(AND($G23&lt;Hta_3,$G23&gt;=Hba_3,Input!AI$23&lt;&gt;""),Input!$B$23&amp;";",""),IF(AND($G23&lt;Hta_4,$G23&gt;=Hba_4,Input!AI$24&lt;&gt;""),Input!$B$24&amp;";",""),IF(AND($G23&lt;Hta_5,$G23&gt;=Hba_5,Input!AI$25&lt;&gt;""),Input!$B$25&amp;";",""),IF(AND($G23&lt;Hta_6,$G23&gt;=Hba_6,Input!AI$26&lt;&gt;""),Input!$B$26&amp;";",""),IF(AND($G23&lt;Hta_7,$G23&gt;=Hba_7,Input!AI$27&lt;&gt;""),Input!$B$27&amp;";",""),IF(AND($G23&lt;Hta_8,$G23&gt;=Hba_8,Input!AI$28&lt;&gt;""),Input!$B$28&amp;";",""),IF(AND($G23&lt;Hta_9,$G23&gt;=Hba_9,Input!AI$29&lt;&gt;""),Input!$B$29&amp;";",""),IF(AND($G23&lt;Hta_10,$G23&gt;=Hba_10,Input!AI$30&lt;&gt;""),Input!$B$30&amp;";",""),IF(AND($G23&lt;Hta_11,$G23&gt;=Hba_11,Input!AI$31&lt;&gt;""),Input!$B$31&amp;";",""),IF(AND($G23&lt;Hta_12,$G23&gt;=Hba_12,Input!AI$32&lt;&gt;""),Input!$B$32&amp;";",""),IF(AND($G23&lt;Hta_13,$G23&gt;=Hba_13,Input!AI$33&lt;&gt;""),Input!$B$33&amp;";",""),IF(AND($G23&lt;Hta_14,$G23&gt;=Hba_14,Input!AI$34&lt;&gt;""),Input!$B$34&amp;";",""),IF(AND($G23&lt;Hta_15,$G23&gt;=Hba_15,Input!AI$35&lt;&gt;""),Input!$B$35&amp;";",""),IF(AND($G23&lt;Hta_16,$G23&gt;=Hba_16,Input!AI$36&lt;&gt;""),Input!$B$36&amp;";",""),IF(AND($G23&lt;Hta_17,$G23&gt;=Hba_17,Input!AI$37&lt;&gt;""),Input!$B$37&amp;";",""),IF(AND($G23&lt;Hta_18,$G23&gt;=Hba_18,Input!AI$38&lt;&gt;""),Input!$B$38&amp;";",""),IF(AND($G23&lt;Hta_19,$G23&gt;=Hba_19,Input!AI$39&lt;&gt;""),Input!$B$39&amp;";",""),IF(AND($G23&lt;Hta_20,$G23&gt;=Hba_20,Input!AI$40&lt;&gt;""),Input!$B$40&amp;";",""),IF(AND($G23&lt;Hta_21,$G23&gt;=Hba_21,Input!AI$41&lt;&gt;""),Input!$B$41&amp;";",""),IF(AND($G23&lt;Hta_22,$G23&gt;=Hba_22,Input!AI$42&lt;&gt;""),Input!$B$42&amp;";",""),IF(AND($G23&lt;Hta_23,$G23&gt;=Hba_23,Input!AI$43&lt;&gt;""),Input!$B$43&amp;";",""),IF(AND($G23&lt;Hta_24,$G23&gt;=Hba_24,Input!AI$44&lt;&gt;""),Input!$B$44&amp;";",""),IF(AND($G23&lt;Hta_25,$G23&gt;=Hba_25,Input!AI$45&lt;&gt;""),Input!$B$45&amp;";",""),IF(AND($G23&lt;Hta_26,$G23&gt;=Hba_26,Input!AI$46&lt;&gt;""),Input!$B$46&amp;";",""),IF(AND($G23&lt;Hta_27,$G23&gt;=Hba_27,Input!AI$47&lt;&gt;""),Input!$B$47&amp;";",""),IF(AND($G23&lt;Hta_28,$G23&gt;=Hba_28,Input!AI$48&lt;&gt;""),Input!$B$48&amp;";",""),IF(AND($G23&lt;Hta_29,$G23&gt;=Hba_29,Input!AI$49&lt;&gt;""),Input!$B$49&amp;";",""),IF(AND($G23&lt;Hta_30,$G23&gt;=Hba_30,Input!AI$50&lt;&gt;""),Input!$B$50&amp;";","")),"")</f>
        <v/>
      </c>
      <c r="CK23" s="25" t="str">
        <f>IFERROR(CONCATENATE(IF(AND($G23&lt;Hta_1,$G23&gt;=Hba_1,Input!AJ$21&lt;&gt;""),Input!$B$21&amp;";",""),IF(AND($G23&lt;Hta_2,$G23&gt;=Hba_2,Input!AJ$22&lt;&gt;""),Input!$B$22&amp;";",""),IF(AND($G23&lt;Hta_3,$G23&gt;=Hba_3,Input!AJ$23&lt;&gt;""),Input!$B$23&amp;";",""),IF(AND($G23&lt;Hta_4,$G23&gt;=Hba_4,Input!AJ$24&lt;&gt;""),Input!$B$24&amp;";",""),IF(AND($G23&lt;Hta_5,$G23&gt;=Hba_5,Input!AJ$25&lt;&gt;""),Input!$B$25&amp;";",""),IF(AND($G23&lt;Hta_6,$G23&gt;=Hba_6,Input!AJ$26&lt;&gt;""),Input!$B$26&amp;";",""),IF(AND($G23&lt;Hta_7,$G23&gt;=Hba_7,Input!AJ$27&lt;&gt;""),Input!$B$27&amp;";",""),IF(AND($G23&lt;Hta_8,$G23&gt;=Hba_8,Input!AJ$28&lt;&gt;""),Input!$B$28&amp;";",""),IF(AND($G23&lt;Hta_9,$G23&gt;=Hba_9,Input!AJ$29&lt;&gt;""),Input!$B$29&amp;";",""),IF(AND($G23&lt;Hta_10,$G23&gt;=Hba_10,Input!AJ$30&lt;&gt;""),Input!$B$30&amp;";",""),IF(AND($G23&lt;Hta_11,$G23&gt;=Hba_11,Input!AJ$31&lt;&gt;""),Input!$B$31&amp;";",""),IF(AND($G23&lt;Hta_12,$G23&gt;=Hba_12,Input!AJ$32&lt;&gt;""),Input!$B$32&amp;";",""),IF(AND($G23&lt;Hta_13,$G23&gt;=Hba_13,Input!AJ$33&lt;&gt;""),Input!$B$33&amp;";",""),IF(AND($G23&lt;Hta_14,$G23&gt;=Hba_14,Input!AJ$34&lt;&gt;""),Input!$B$34&amp;";",""),IF(AND($G23&lt;Hta_15,$G23&gt;=Hba_15,Input!AJ$35&lt;&gt;""),Input!$B$35&amp;";",""),IF(AND($G23&lt;Hta_16,$G23&gt;=Hba_16,Input!AJ$36&lt;&gt;""),Input!$B$36&amp;";",""),IF(AND($G23&lt;Hta_17,$G23&gt;=Hba_17,Input!AJ$37&lt;&gt;""),Input!$B$37&amp;";",""),IF(AND($G23&lt;Hta_18,$G23&gt;=Hba_18,Input!AJ$38&lt;&gt;""),Input!$B$38&amp;";",""),IF(AND($G23&lt;Hta_19,$G23&gt;=Hba_19,Input!AJ$39&lt;&gt;""),Input!$B$39&amp;";",""),IF(AND($G23&lt;Hta_20,$G23&gt;=Hba_20,Input!AJ$40&lt;&gt;""),Input!$B$40&amp;";",""),IF(AND($G23&lt;Hta_21,$G23&gt;=Hba_21,Input!AJ$41&lt;&gt;""),Input!$B$41&amp;";",""),IF(AND($G23&lt;Hta_22,$G23&gt;=Hba_22,Input!AJ$42&lt;&gt;""),Input!$B$42&amp;";",""),IF(AND($G23&lt;Hta_23,$G23&gt;=Hba_23,Input!AJ$43&lt;&gt;""),Input!$B$43&amp;";",""),IF(AND($G23&lt;Hta_24,$G23&gt;=Hba_24,Input!AJ$44&lt;&gt;""),Input!$B$44&amp;";",""),IF(AND($G23&lt;Hta_25,$G23&gt;=Hba_25,Input!AJ$45&lt;&gt;""),Input!$B$45&amp;";",""),IF(AND($G23&lt;Hta_26,$G23&gt;=Hba_26,Input!AJ$46&lt;&gt;""),Input!$B$46&amp;";",""),IF(AND($G23&lt;Hta_27,$G23&gt;=Hba_27,Input!AJ$47&lt;&gt;""),Input!$B$47&amp;";",""),IF(AND($G23&lt;Hta_28,$G23&gt;=Hba_28,Input!AJ$48&lt;&gt;""),Input!$B$48&amp;";",""),IF(AND($G23&lt;Hta_29,$G23&gt;=Hba_29,Input!AJ$49&lt;&gt;""),Input!$B$49&amp;";",""),IF(AND($G23&lt;Hta_30,$G23&gt;=Hba_30,Input!AJ$50&lt;&gt;""),Input!$B$50&amp;";","")),"")</f>
        <v/>
      </c>
      <c r="CL23" s="25" t="str">
        <f>IFERROR(CONCATENATE(IF(AND($G23&lt;Hta_1,$G23&gt;=Hba_1,Input!AK$21&lt;&gt;""),Input!$B$21&amp;";",""),IF(AND($G23&lt;Hta_2,$G23&gt;=Hba_2,Input!AK$22&lt;&gt;""),Input!$B$22&amp;";",""),IF(AND($G23&lt;Hta_3,$G23&gt;=Hba_3,Input!AK$23&lt;&gt;""),Input!$B$23&amp;";",""),IF(AND($G23&lt;Hta_4,$G23&gt;=Hba_4,Input!AK$24&lt;&gt;""),Input!$B$24&amp;";",""),IF(AND($G23&lt;Hta_5,$G23&gt;=Hba_5,Input!AK$25&lt;&gt;""),Input!$B$25&amp;";",""),IF(AND($G23&lt;Hta_6,$G23&gt;=Hba_6,Input!AK$26&lt;&gt;""),Input!$B$26&amp;";",""),IF(AND($G23&lt;Hta_7,$G23&gt;=Hba_7,Input!AK$27&lt;&gt;""),Input!$B$27&amp;";",""),IF(AND($G23&lt;Hta_8,$G23&gt;=Hba_8,Input!AK$28&lt;&gt;""),Input!$B$28&amp;";",""),IF(AND($G23&lt;Hta_9,$G23&gt;=Hba_9,Input!AK$29&lt;&gt;""),Input!$B$29&amp;";",""),IF(AND($G23&lt;Hta_10,$G23&gt;=Hba_10,Input!AK$30&lt;&gt;""),Input!$B$30&amp;";",""),IF(AND($G23&lt;Hta_11,$G23&gt;=Hba_11,Input!AK$31&lt;&gt;""),Input!$B$31&amp;";",""),IF(AND($G23&lt;Hta_12,$G23&gt;=Hba_12,Input!AK$32&lt;&gt;""),Input!$B$32&amp;";",""),IF(AND($G23&lt;Hta_13,$G23&gt;=Hba_13,Input!AK$33&lt;&gt;""),Input!$B$33&amp;";",""),IF(AND($G23&lt;Hta_14,$G23&gt;=Hba_14,Input!AK$34&lt;&gt;""),Input!$B$34&amp;";",""),IF(AND($G23&lt;Hta_15,$G23&gt;=Hba_15,Input!AK$35&lt;&gt;""),Input!$B$35&amp;";",""),IF(AND($G23&lt;Hta_16,$G23&gt;=Hba_16,Input!AK$36&lt;&gt;""),Input!$B$36&amp;";",""),IF(AND($G23&lt;Hta_17,$G23&gt;=Hba_17,Input!AK$37&lt;&gt;""),Input!$B$37&amp;";",""),IF(AND($G23&lt;Hta_18,$G23&gt;=Hba_18,Input!AK$38&lt;&gt;""),Input!$B$38&amp;";",""),IF(AND($G23&lt;Hta_19,$G23&gt;=Hba_19,Input!AK$39&lt;&gt;""),Input!$B$39&amp;";",""),IF(AND($G23&lt;Hta_20,$G23&gt;=Hba_20,Input!AK$40&lt;&gt;""),Input!$B$40&amp;";",""),IF(AND($G23&lt;Hta_21,$G23&gt;=Hba_21,Input!AK$41&lt;&gt;""),Input!$B$41&amp;";",""),IF(AND($G23&lt;Hta_22,$G23&gt;=Hba_22,Input!AK$42&lt;&gt;""),Input!$B$42&amp;";",""),IF(AND($G23&lt;Hta_23,$G23&gt;=Hba_23,Input!AK$43&lt;&gt;""),Input!$B$43&amp;";",""),IF(AND($G23&lt;Hta_24,$G23&gt;=Hba_24,Input!AK$44&lt;&gt;""),Input!$B$44&amp;";",""),IF(AND($G23&lt;Hta_25,$G23&gt;=Hba_25,Input!AK$45&lt;&gt;""),Input!$B$45&amp;";",""),IF(AND($G23&lt;Hta_26,$G23&gt;=Hba_26,Input!AK$46&lt;&gt;""),Input!$B$46&amp;";",""),IF(AND($G23&lt;Hta_27,$G23&gt;=Hba_27,Input!AK$47&lt;&gt;""),Input!$B$47&amp;";",""),IF(AND($G23&lt;Hta_28,$G23&gt;=Hba_28,Input!AK$48&lt;&gt;""),Input!$B$48&amp;";",""),IF(AND($G23&lt;Hta_29,$G23&gt;=Hba_29,Input!AK$49&lt;&gt;""),Input!$B$49&amp;";",""),IF(AND($G23&lt;Hta_30,$G23&gt;=Hba_30,Input!AK$50&lt;&gt;""),Input!$B$50&amp;";","")),"")</f>
        <v/>
      </c>
      <c r="CM23" s="25" t="str">
        <f>IFERROR(CONCATENATE(IF(AND($G23&lt;Hta_1,$G23&gt;=Hba_1,Input!AL$21&lt;&gt;""),Input!$B$21&amp;";",""),IF(AND($G23&lt;Hta_2,$G23&gt;=Hba_2,Input!AL$22&lt;&gt;""),Input!$B$22&amp;";",""),IF(AND($G23&lt;Hta_3,$G23&gt;=Hba_3,Input!AL$23&lt;&gt;""),Input!$B$23&amp;";",""),IF(AND($G23&lt;Hta_4,$G23&gt;=Hba_4,Input!AL$24&lt;&gt;""),Input!$B$24&amp;";",""),IF(AND($G23&lt;Hta_5,$G23&gt;=Hba_5,Input!AL$25&lt;&gt;""),Input!$B$25&amp;";",""),IF(AND($G23&lt;Hta_6,$G23&gt;=Hba_6,Input!AL$26&lt;&gt;""),Input!$B$26&amp;";",""),IF(AND($G23&lt;Hta_7,$G23&gt;=Hba_7,Input!AL$27&lt;&gt;""),Input!$B$27&amp;";",""),IF(AND($G23&lt;Hta_8,$G23&gt;=Hba_8,Input!AL$28&lt;&gt;""),Input!$B$28&amp;";",""),IF(AND($G23&lt;Hta_9,$G23&gt;=Hba_9,Input!AL$29&lt;&gt;""),Input!$B$29&amp;";",""),IF(AND($G23&lt;Hta_10,$G23&gt;=Hba_10,Input!AL$30&lt;&gt;""),Input!$B$30&amp;";",""),IF(AND($G23&lt;Hta_11,$G23&gt;=Hba_11,Input!AL$31&lt;&gt;""),Input!$B$31&amp;";",""),IF(AND($G23&lt;Hta_12,$G23&gt;=Hba_12,Input!AL$32&lt;&gt;""),Input!$B$32&amp;";",""),IF(AND($G23&lt;Hta_13,$G23&gt;=Hba_13,Input!AL$33&lt;&gt;""),Input!$B$33&amp;";",""),IF(AND($G23&lt;Hta_14,$G23&gt;=Hba_14,Input!AL$34&lt;&gt;""),Input!$B$34&amp;";",""),IF(AND($G23&lt;Hta_15,$G23&gt;=Hba_15,Input!AL$35&lt;&gt;""),Input!$B$35&amp;";",""),IF(AND($G23&lt;Hta_16,$G23&gt;=Hba_16,Input!AL$36&lt;&gt;""),Input!$B$36&amp;";",""),IF(AND($G23&lt;Hta_17,$G23&gt;=Hba_17,Input!AL$37&lt;&gt;""),Input!$B$37&amp;";",""),IF(AND($G23&lt;Hta_18,$G23&gt;=Hba_18,Input!AL$38&lt;&gt;""),Input!$B$38&amp;";",""),IF(AND($G23&lt;Hta_19,$G23&gt;=Hba_19,Input!AL$39&lt;&gt;""),Input!$B$39&amp;";",""),IF(AND($G23&lt;Hta_20,$G23&gt;=Hba_20,Input!AL$40&lt;&gt;""),Input!$B$40&amp;";",""),IF(AND($G23&lt;Hta_21,$G23&gt;=Hba_21,Input!AL$41&lt;&gt;""),Input!$B$41&amp;";",""),IF(AND($G23&lt;Hta_22,$G23&gt;=Hba_22,Input!AL$42&lt;&gt;""),Input!$B$42&amp;";",""),IF(AND($G23&lt;Hta_23,$G23&gt;=Hba_23,Input!AL$43&lt;&gt;""),Input!$B$43&amp;";",""),IF(AND($G23&lt;Hta_24,$G23&gt;=Hba_24,Input!AL$44&lt;&gt;""),Input!$B$44&amp;";",""),IF(AND($G23&lt;Hta_25,$G23&gt;=Hba_25,Input!AL$45&lt;&gt;""),Input!$B$45&amp;";",""),IF(AND($G23&lt;Hta_26,$G23&gt;=Hba_26,Input!AL$46&lt;&gt;""),Input!$B$46&amp;";",""),IF(AND($G23&lt;Hta_27,$G23&gt;=Hba_27,Input!AL$47&lt;&gt;""),Input!$B$47&amp;";",""),IF(AND($G23&lt;Hta_28,$G23&gt;=Hba_28,Input!AL$48&lt;&gt;""),Input!$B$48&amp;";",""),IF(AND($G23&lt;Hta_29,$G23&gt;=Hba_29,Input!AL$49&lt;&gt;""),Input!$B$49&amp;";",""),IF(AND($G23&lt;Hta_30,$G23&gt;=Hba_30,Input!AL$50&lt;&gt;""),Input!$B$50&amp;";","")),"")</f>
        <v/>
      </c>
      <c r="CN23" s="60" t="str">
        <f t="shared" si="6"/>
        <v/>
      </c>
      <c r="CO23" s="798"/>
      <c r="CP23" s="799"/>
      <c r="CQ23" s="800"/>
      <c r="CR23" s="798"/>
      <c r="CS23" s="799"/>
      <c r="CT23" s="800"/>
      <c r="CU23" s="798" t="str">
        <f t="shared" si="7"/>
        <v/>
      </c>
      <c r="CV23" s="799"/>
      <c r="CW23" s="806"/>
      <c r="CX23" s="726"/>
      <c r="CY23" s="727"/>
      <c r="CZ23" s="732"/>
      <c r="DA23" s="726"/>
      <c r="DB23" s="727"/>
      <c r="DC23" s="732"/>
      <c r="DD23" s="726" t="str">
        <f t="shared" si="8"/>
        <v/>
      </c>
      <c r="DE23" s="727"/>
      <c r="DF23" s="728"/>
      <c r="DG23" s="53"/>
      <c r="DH23" s="54"/>
      <c r="DI23" s="54"/>
      <c r="DJ23" s="54"/>
      <c r="DK23" s="54"/>
      <c r="DL23" s="54"/>
      <c r="DM23" s="54"/>
      <c r="DN23" s="54"/>
      <c r="DO23" s="54"/>
      <c r="DP23" s="54"/>
      <c r="DQ23" s="57"/>
      <c r="DR23" s="57"/>
      <c r="DS23" s="57"/>
      <c r="DT23" s="57"/>
      <c r="DU23" s="57"/>
      <c r="DV23" s="57"/>
      <c r="DW23" s="57"/>
      <c r="DX23" s="57"/>
      <c r="DY23" s="57"/>
      <c r="DZ23" s="57"/>
      <c r="EA23" s="57"/>
      <c r="EB23" s="57"/>
      <c r="EC23" s="57"/>
      <c r="ED23" s="57"/>
      <c r="EE23" s="57"/>
      <c r="EF23" s="57"/>
      <c r="EG23" s="57"/>
      <c r="EH23" s="57"/>
      <c r="EI23" s="57"/>
      <c r="EJ23" s="57"/>
      <c r="EK23" s="57"/>
      <c r="EL23" s="133"/>
      <c r="EM23" s="133"/>
      <c r="EN23" s="133"/>
      <c r="EO23" s="133"/>
      <c r="EP23" s="133"/>
      <c r="EQ23" s="133"/>
      <c r="ER23" s="133"/>
      <c r="ES23" s="133"/>
      <c r="ET23" s="133"/>
      <c r="EU23" s="133"/>
      <c r="EV23" s="133"/>
      <c r="EW23" s="133"/>
      <c r="EX23" s="133"/>
      <c r="EY23" s="133"/>
      <c r="EZ23" s="133"/>
      <c r="FA23" s="133"/>
      <c r="FB23" s="133"/>
      <c r="FC23" s="133"/>
      <c r="FD23" s="133"/>
      <c r="FE23" s="133"/>
      <c r="FF23" s="133"/>
      <c r="FG23" s="133"/>
      <c r="FH23" s="133"/>
      <c r="FI23" s="133"/>
      <c r="FJ23" s="133"/>
      <c r="FK23" s="133"/>
      <c r="FL23" s="133"/>
      <c r="FM23" s="133"/>
      <c r="FN23" s="133"/>
      <c r="FO23" s="133"/>
      <c r="FP23" s="65"/>
      <c r="FQ23" s="125"/>
      <c r="FR23" s="123"/>
      <c r="FS23" s="121"/>
      <c r="FT23" s="119"/>
    </row>
    <row r="24" spans="2:176" ht="15.75" hidden="1" customHeight="1" thickBot="1" x14ac:dyDescent="0.3">
      <c r="B24" s="62" t="b">
        <f>IF(OR(AND(G24&gt;='Geometry 2'!$AK$5,G24&lt;'Geometry 2'!$AL$5),AND(G24&gt;='Geometry 2'!$AK$6,G24&lt;'Geometry 2'!$AL$6),AND(G24&gt;='Geometry 2'!$AK$7,G24&lt;'Geometry 2'!$AL$7),AND(G24&gt;='Geometry 2'!$AK$8,G24&lt;'Geometry 2'!$AL$8),AND(G24&gt;='Geometry 2'!$AK$9,G24&lt;'Geometry 2'!$AL$9),AND(G24&gt;='Geometry 2'!$AK$10,G24&lt;'Geometry 2'!$AL$10),AND(G24&gt;='Geometry 2'!$AK$11,G24&lt;'Geometry 2'!$AL$11),AND(G24&gt;='Geometry 2'!$AK$12,G24&lt;'Geometry 2'!$AL$12),AND(G24&gt;='Geometry 2'!$AK$13,G24&lt;'Geometry 2'!$AL$13),AND(G24&gt;='Geometry 2'!$AK$14,G24&lt;'Geometry 2'!$AL$14)),TRUE,FALSE)</f>
        <v>0</v>
      </c>
      <c r="C24" s="4" t="str">
        <f t="shared" si="3"/>
        <v/>
      </c>
      <c r="D24" s="766" t="str">
        <f t="shared" si="4"/>
        <v/>
      </c>
      <c r="E24" s="767"/>
      <c r="F24" s="17" t="str">
        <f t="shared" si="2"/>
        <v/>
      </c>
      <c r="G24" s="768" t="str">
        <f>IF(D24="","",MAX(0,G23-IF(inc="n/a",999,inc),MAX(IF(G23&lt;=Hta_1,0,Hta_1),IF(G23&lt;=Hta_2,0,Hta_2),IF(G23&lt;=Hta_3,0,Hta_3),IF(G23&lt;=Hta_4,0,Hta_4),IF(G23&lt;=Hta_5,0,Hta_5),IF(G23&lt;=Hta_6,0,Hta_6),IF(G23&lt;=Hta_7,0,Hta_7),IF(G23&lt;=Hta_8,0,Hta_8),IF(G23&lt;=Hta_9,0,Hta_9),IF(G23&lt;=Hta_10,0,Hta_10),IF(G23&lt;=Hta_11,0,Hta_11),IF(G23&lt;=Hta_12,0,Hta_12),IF(G23&lt;=Hta_13,0,Hta_13),IF(G23&lt;=Hta_14,0,Hta_14),IF(G23&lt;=Hta_15,0,Hta_15),IF(G23&lt;=Hta_16,0,Hta_16),IF(G23&lt;=Hta_17,0,Hta_17),IF(G23&lt;=Hta_18,0,Hta_18),IF(G23&lt;=Hta_19,0,Hta_19),IF(G23&lt;=Hta_20,0,Hta_20),IF(G23&lt;=Hta_21,0,Hta_21),IF(G23&lt;=Hta_22,0,Hta_22),IF(G23&lt;=Hta_23,0,Hta_23),IF(G23&lt;=Hta_24,0,Hta_24),IF(G23&lt;=Hta_25,0,Hta_25),IF(G23&lt;=Hta_26,0,Hta_26),IF(G23&lt;=Hta_27,0,Hta_27),IF(G23&lt;=Hta_28,0,Hta_28),IF(G23&lt;=Hta_29,0,Hta_29),IF(G23&lt;=Hta_30,0,Hta_30)),MAX(IF(G23&lt;=Hta_1-0.25,0,Hta_1-0.25),IF(G23&lt;=Hta_2-0.25,0,Hta_2-0.25),IF(G23&lt;=Hta_3-0.25,0,Hta_3-0.25),IF(G23&lt;=Hta_4-0.25,0,Hta_4-0.25),IF(G23&lt;=Hta_5-0.25,0,Hta_5-0.25),IF(G23&lt;=Hta_6-0.25,0,Hta_6-0.25),IF(G23&lt;=Hta_7-0.25,0,Hta_7-0.25),IF(G23&lt;=Hta_8-0.25,0,Hta_8-0.25),IF(G23&lt;=Hta_9-0.25,0,Hta_9-0.25),IF(G23&lt;=Hta_10-0.25,0,Hta_10-0.25),IF(G23&lt;=Hta_11-0.25,0,Hta_11-0.25),IF(G23&lt;=Hta_12-0.25,0,Hta_12-0.25),IF(G23&lt;=Hta_13-0.25,0,Hta_13-0.25),IF(G23&lt;=Hta_14-0.25,0,Hta_14-0.25),IF(G23&lt;=Hta_15-0.25,0,Hta_15-0.25),IF(G23&lt;=Hta_16-0.25,0,Hta_16-0.25),IF(G23&lt;=Hta_17-0.25,0,Hta_17-0.25),IF(G23&lt;=Hta_18-0.25,0,Hta_18-0.25),IF(G23&lt;=Hta_19-0.25,0,Hta_19-0.25),IF(G23&lt;=Hta_20-0.25,0,Hta_20-0.25),IF(G23&lt;=Hta_21-0.25,0,Hta_21-0.25),IF(G23&lt;=Hta_22-0.25,0,Hta_22-0.25),IF(G23&lt;=Hta_23-0.25,0,Hta_23-0.25),IF(G23&lt;=Hta_24-0.25,0,Hta_24-0.25),IF(G23&lt;=Hta_25-0.25,0,Hta_25-0.25),IF(G23&lt;=Hta_26-0.25,0,Hta_26-0.25),IF(G23&lt;=Hta_27-0.25,0,Hta_27-0.25),IF(G23&lt;=Hta_28-0.25,0,Hta_28-0.25),IF(G23&lt;=Hta_29-0.25,0,Hta_29-0.25),IF(G23&lt;=Hta_30-0.25,0,Hta_30-0.25)),MAX(IF(G23&lt;=Hba_1,0,Hba_1),IF(G23&lt;=Hba_2,0,Hba_2),IF(G23&lt;=Hba_3,0,Hba_3),IF(G23&lt;=Hba_4,0,Hba_4),IF(G23&lt;=Hba_5,0,Hba_5),IF(G23&lt;=Hba_6,0,Hba_6),IF(G23&lt;=Hba_7,0,Hba_7),IF(G23&lt;=Hba_8,0,Hba_8),IF(G23&lt;=Hba_9,0,Hba_9),IF(G23&lt;=Hba_10,0,Hba_10),IF(G23&lt;=Hba_11,0,Hba_11),IF(G23&lt;=Hba_12,0,Hba_12),IF(G23&lt;=Hba_13,0,Hba_13),IF(G23&lt;=Hba_14,0,Hba_14),IF(G23&lt;=Hba_15,0,Hba_15),IF(G23&lt;=Hba_16,0,Hba_16),IF(G23&lt;=Hba_17,0,Hba_17),IF(G23&lt;=Hba_18,0,Hba_18),IF(G23&lt;=Hba_19,0,Hba_19),IF(G23&lt;=Hba_20,0,Hba_20),IF(G23&lt;=Hba_21,0,Hba_21),IF(G23&lt;=Hba_22,0,Hba_22),IF(G23&lt;=Hba_23,0,Hba_23),IF(G23&lt;=Hba_24,0,Hba_24),IF(G23&lt;=Hba_25,0,Hba_25),IF(G23&lt;=Hba_26,0,Hba_26),IF(G23&lt;=Hba_27,0,Hba_27),IF(G23&lt;=Hba_28,0,Hba_28),IF(G23&lt;=Hba_29,0,Hba_29),IF(G23&lt;=Hba_30,0,Hba_30)),MAX(IF(G23&lt;=Input!$C$8,0,Input!$C$8),IF(G23&lt;=Input!$C$9,0,Input!$C$9),IF(G23&lt;=Input!$C$10,0,Input!$C$10),IF(G23&lt;=Input!$C$11,0,Input!$C$11),IF(G23&lt;=Input!$C$12,0,Input!$C$12),IF(G23&lt;=Input!$C$13,0,Input!$C$13),IF(G23&lt;=Input!$C$14,0,Input!$C$14),IF(G23&lt;=Input!$C$15,0,Input!$C$15),IF(G23&lt;=Input!$C$16,0,Input!$C$16)),MAX(IF(G23&lt;=Hba_1-0.25,0,Hba_1-0.25),IF(G23&lt;=Hba_2-0.25,0,Hba_2-0.25),IF(G23&lt;=Hba_3-0.25,0,Hba_3-0.25),IF(G23&lt;=Hba_4-0.25,0,Hba_4-0.25),IF(G23&lt;=Hba_5-0.25,0,Hba_5-0.25),IF(G23&lt;=Hba_6-0.25,0,Hba_6-0.25),IF(G23&lt;=Hba_7-0.25,0,Hba_7-0.25),IF(G23&lt;=Hba_8-0.25,0,Hba_8-0.25),IF(G23&lt;=Hba_9-0.25,0,Hba_9-0.25),IF(G23&lt;=Hba_10-0.25,0,Hba_10-0.25),IF(G23&lt;=Hba_11-0.25,0,Hba_11-0.25),IF(G23&lt;=Hba_12-0.25,0,Hba_12-0.25),IF(G23&lt;=Hba_13-0.25,0,Hba_13-0.25),IF(G23&lt;=Hba_14-0.25,0,Hba_14-0.25),IF(G23&lt;=Hba_15-0.25,0,Hba_15-0.25),IF(G23&lt;=Hba_16-0.25,0,Hba_16-0.25),IF(G23&lt;=Hba_17-0.25,0,Hba_17-0.25),IF(G23&lt;=Hba_18-0.25,0,Hba_18-0.25),IF(G23&lt;=Hba_19-0.25,0,Hba_19-0.25),IF(G23&lt;=Hba_20-0.25,0,Hba_20-0.25),IF(G23&lt;=Hba_21-0.25,0,Hba_21-0.25),IF(G23&lt;=Hba_22-0.25,0,Hba_22-0.25),IF(G23&lt;=Hba_23-0.25,0,Hba_23-0.25),IF(G23&lt;=Hba_24-0.25,0,Hba_24-0.25),IF(G23&lt;=Hba_25-0.25,0,Hba_25-0.25),IF(G23&lt;=Hba_26-0.25,0,Hba_26-0.25),IF(G23&lt;=Hba_27-0.25,0,Hba_27-0.25),IF(G23&lt;=Hba_28-0.25,0,Hba_28-0.25),IF(G23&lt;=Hba_29-0.25,0,Hba_29-0.25),IF(G23&lt;=Hba_30-0.25,0,Hba_30-0.25)),IF(G23&lt;='Macro References'!$A$38,0,'Macro References'!$A$38)))</f>
        <v/>
      </c>
      <c r="H24" s="769"/>
      <c r="I24" s="228"/>
      <c r="J24" s="228"/>
      <c r="K24" s="228"/>
      <c r="L24" s="717" t="str">
        <f t="shared" si="0"/>
        <v/>
      </c>
      <c r="M24" s="717"/>
      <c r="N24" s="717"/>
      <c r="O24" s="717"/>
      <c r="P24" s="717" t="str">
        <f>IF(OR(G24=0,G24=""),"",IF(VLOOKUP(G24,'Geometry 2'!$C$4:$AI$14,1,TRUE)=VLOOKUP(G25,'Geometry 2'!$C$4:$AI$14,1,TRUE),"",IF(VLOOKUP(G24,'Geometry 2'!$C$4:$AI$14,33,TRUE)&lt;&gt;"n/a",MIN(G24,VLOOKUP(G24,'Geometry 2'!$C$4:$AI$14,1,TRUE))-VLOOKUP(G24,'Geometry 2'!$C$4:$AI$14,33,TRUE),"check")))</f>
        <v/>
      </c>
      <c r="Q24" s="717"/>
      <c r="R24" s="717"/>
      <c r="S24" s="717"/>
      <c r="T24" s="717" t="str">
        <f>IF($G24="","",VLOOKUP($G24,'Geometry 2'!$E$4:$AH$14,11,TRUE))</f>
        <v/>
      </c>
      <c r="U24" s="717"/>
      <c r="V24" s="717"/>
      <c r="W24" s="717"/>
      <c r="X24" s="716" t="str">
        <f>IF($G24="","",VLOOKUP($G24,'Geometry 2'!$E$4:$AJ$14,19,TRUE)-12*VLOOKUP($G24,'Geometry 2'!$E$4:$AJ$14,32,TRUE)*($D24-VLOOKUP($G24,'Geometry 2'!$E$5:$AH$14,1,TRUE)))</f>
        <v/>
      </c>
      <c r="Y24" s="716"/>
      <c r="Z24" s="716"/>
      <c r="AA24" s="716"/>
      <c r="AB24" s="757" t="str">
        <f>IF($G24="","",VLOOKUP($G24,'Geometry 2'!$E$4:$AJ$14,19,TRUE)-12*VLOOKUP($G24,'Geometry 2'!$E$4:$AJ$14,32,TRUE)*($G24-VLOOKUP($G24,'Geometry 2'!$E$5:$AH$14,1,TRUE)))</f>
        <v/>
      </c>
      <c r="AC24" s="758"/>
      <c r="AD24" s="758"/>
      <c r="AE24" s="759"/>
      <c r="AF24" s="716" t="str">
        <f>IF($G24="","",VLOOKUP($G24,'Geometry 2'!$E$4:$AJ$14,19,TRUE)-12*VLOOKUP($G24,'Geometry 2'!$E$4:$AJ$14,32,TRUE)*($G24-IF($P24="",0,$P24)-VLOOKUP($G24,'Geometry 2'!$E$5:$AH$14,1,TRUE)))</f>
        <v/>
      </c>
      <c r="AG24" s="716"/>
      <c r="AH24" s="716"/>
      <c r="AI24" s="716"/>
      <c r="AJ24" s="746" t="str">
        <f>IF($G24="","",VLOOKUP($G24,'Geometry 2'!$E$4:$AH$14,23,TRUE))</f>
        <v/>
      </c>
      <c r="AK24" s="747"/>
      <c r="AL24" s="747"/>
      <c r="AM24" s="748"/>
      <c r="AN24" s="717"/>
      <c r="AO24" s="717"/>
      <c r="AP24" s="717"/>
      <c r="AQ24" s="717"/>
      <c r="AR24" s="717" t="str">
        <f>IF($G24="","",VLOOKUP($G24,'Geometry 2'!$E$4:$AH$14,27,TRUE))</f>
        <v/>
      </c>
      <c r="AS24" s="717"/>
      <c r="AT24" s="717"/>
      <c r="AU24" s="718"/>
      <c r="AV24" s="715"/>
      <c r="AW24" s="716"/>
      <c r="AX24" s="716"/>
      <c r="AZ24" s="722" t="str">
        <f t="shared" si="5"/>
        <v/>
      </c>
      <c r="BA24" s="723"/>
      <c r="BB24" s="723"/>
      <c r="BC24" s="724"/>
      <c r="BD24" s="722"/>
      <c r="BE24" s="723"/>
      <c r="BF24" s="723"/>
      <c r="BG24" s="722" t="str">
        <f t="shared" si="9"/>
        <v/>
      </c>
      <c r="BH24" s="723"/>
      <c r="BI24" s="723"/>
      <c r="BJ24" s="723"/>
      <c r="BK24" s="724"/>
      <c r="BL24" s="722"/>
      <c r="BM24" s="723"/>
      <c r="BN24" s="723"/>
      <c r="BO24" s="723"/>
      <c r="BP24" s="725"/>
      <c r="BQ24" s="725"/>
      <c r="BR24" s="722" t="str">
        <f>IF(BP24="","",IF(OR(AND(Rev="H",Calculations!$F$27=TRUE),AND(Rev&lt;&gt;"H",Calculations!$F$30=TRUE)),IF(BP24&lt;=1,"Pass","Fail"),IF(BP24&lt;=1.05,"Pass","Fail")))</f>
        <v/>
      </c>
      <c r="BS24" s="723"/>
      <c r="BT24" s="724"/>
      <c r="BU24" s="49"/>
      <c r="BV24" s="25" t="str">
        <f>IFERROR(CONCATENATE(IF(AND($G24&lt;Hta_1,$G24&gt;=Hba_1,Input!U$21&lt;&gt;""),Input!$B$21&amp;";",""),IF(AND($G24&lt;Hta_2,$G24&gt;=Hba_2,Input!U$22&lt;&gt;""),Input!$B$22&amp;";",""),IF(AND($G24&lt;Hta_3,$G24&gt;=Hba_3,Input!U$23&lt;&gt;""),Input!$B$23&amp;";",""),IF(AND($G24&lt;Hta_4,$G24&gt;=Hba_4,Input!U$24&lt;&gt;""),Input!$B$24&amp;";",""),IF(AND($G24&lt;Hta_5,$G24&gt;=Hba_5,Input!U$25&lt;&gt;""),Input!$B$25&amp;";",""),IF(AND($G24&lt;Hta_6,$G24&gt;=Hba_6,Input!U$26&lt;&gt;""),Input!$B$26&amp;";",""),IF(AND($G24&lt;Hta_7,$G24&gt;=Hba_7,Input!U$27&lt;&gt;""),Input!$B$27&amp;";",""),IF(AND($G24&lt;Hta_8,$G24&gt;=Hba_8,Input!U$28&lt;&gt;""),Input!$B$28&amp;";",""),IF(AND($G24&lt;Hta_9,$G24&gt;=Hba_9,Input!U$29&lt;&gt;""),Input!$B$29&amp;";",""),IF(AND($G24&lt;Hta_10,$G24&gt;=Hba_10,Input!U$30&lt;&gt;""),Input!$B$30&amp;";",""),IF(AND($G24&lt;Hta_11,$G24&gt;=Hba_11,Input!U$31&lt;&gt;""),Input!$B$31&amp;";",""),IF(AND($G24&lt;Hta_12,$G24&gt;=Hba_12,Input!U$32&lt;&gt;""),Input!$B$32&amp;";",""),IF(AND($G24&lt;Hta_13,$G24&gt;=Hba_13,Input!U$33&lt;&gt;""),Input!$B$33&amp;";",""),IF(AND($G24&lt;Hta_14,$G24&gt;=Hba_14,Input!U$34&lt;&gt;""),Input!$B$34&amp;";",""),IF(AND($G24&lt;Hta_15,$G24&gt;=Hba_15,Input!U$35&lt;&gt;""),Input!$B$35&amp;";",""),IF(AND($G24&lt;Hta_16,$G24&gt;=Hba_16,Input!U$36&lt;&gt;""),Input!$B$36&amp;";",""),IF(AND($G24&lt;Hta_17,$G24&gt;=Hba_17,Input!U$37&lt;&gt;""),Input!$B$37&amp;";",""),IF(AND($G24&lt;Hta_18,$G24&gt;=Hba_18,Input!U$38&lt;&gt;""),Input!$B$38&amp;";",""),IF(AND($G24&lt;Hta_19,$G24&gt;=Hba_19,Input!U$39&lt;&gt;""),Input!$B$39&amp;";",""),IF(AND($G24&lt;Hta_20,$G24&gt;=Hba_20,Input!U$40&lt;&gt;""),Input!$B$40&amp;";",""),IF(AND($G24&lt;Hta_21,$G24&gt;=Hba_21,Input!U$41&lt;&gt;""),Input!$B$41&amp;";",""),IF(AND($G24&lt;Hta_22,$G24&gt;=Hba_22,Input!U$42&lt;&gt;""),Input!$B$42&amp;";",""),IF(AND($G24&lt;Hta_23,$G24&gt;=Hba_23,Input!U$43&lt;&gt;""),Input!$B$43&amp;";",""),IF(AND($G24&lt;Hta_24,$G24&gt;=Hba_24,Input!U$44&lt;&gt;""),Input!$B$44&amp;";",""),IF(AND($G24&lt;Hta_25,$G24&gt;=Hba_25,Input!U$45&lt;&gt;""),Input!$B$45&amp;";",""),IF(AND($G24&lt;Hta_26,$G24&gt;=Hba_26,Input!U$46&lt;&gt;""),Input!$B$46&amp;";",""),IF(AND($G24&lt;Hta_27,$G24&gt;=Hba_27,Input!U$47&lt;&gt;""),Input!$B$47&amp;";",""),IF(AND($G24&lt;Hta_28,$G24&gt;=Hba_28,Input!U$48&lt;&gt;""),Input!$B$48&amp;";",""),IF(AND($G24&lt;Hta_29,$G24&gt;=Hba_29,Input!U$49&lt;&gt;""),Input!$B$49&amp;";",""),IF(AND($G24&lt;Hta_30,$G24&gt;=Hba_30,Input!U$50&lt;&gt;""),Input!$B$50&amp;";","")),"")</f>
        <v/>
      </c>
      <c r="BW24" s="25" t="str">
        <f>IFERROR(CONCATENATE(IF(AND($G24&lt;Hta_1,$G24&gt;=Hba_1,Input!V$21&lt;&gt;""),Input!$B$21&amp;";",""),IF(AND($G24&lt;Hta_2,$G24&gt;=Hba_2,Input!V$22&lt;&gt;""),Input!$B$22&amp;";",""),IF(AND($G24&lt;Hta_3,$G24&gt;=Hba_3,Input!V$23&lt;&gt;""),Input!$B$23&amp;";",""),IF(AND($G24&lt;Hta_4,$G24&gt;=Hba_4,Input!V$24&lt;&gt;""),Input!$B$24&amp;";",""),IF(AND($G24&lt;Hta_5,$G24&gt;=Hba_5,Input!V$25&lt;&gt;""),Input!$B$25&amp;";",""),IF(AND($G24&lt;Hta_6,$G24&gt;=Hba_6,Input!V$26&lt;&gt;""),Input!$B$26&amp;";",""),IF(AND($G24&lt;Hta_7,$G24&gt;=Hba_7,Input!V$27&lt;&gt;""),Input!$B$27&amp;";",""),IF(AND($G24&lt;Hta_8,$G24&gt;=Hba_8,Input!V$28&lt;&gt;""),Input!$B$28&amp;";",""),IF(AND($G24&lt;Hta_9,$G24&gt;=Hba_9,Input!V$29&lt;&gt;""),Input!$B$29&amp;";",""),IF(AND($G24&lt;Hta_10,$G24&gt;=Hba_10,Input!V$30&lt;&gt;""),Input!$B$30&amp;";",""),IF(AND($G24&lt;Hta_11,$G24&gt;=Hba_11,Input!V$31&lt;&gt;""),Input!$B$31&amp;";",""),IF(AND($G24&lt;Hta_12,$G24&gt;=Hba_12,Input!V$32&lt;&gt;""),Input!$B$32&amp;";",""),IF(AND($G24&lt;Hta_13,$G24&gt;=Hba_13,Input!V$33&lt;&gt;""),Input!$B$33&amp;";",""),IF(AND($G24&lt;Hta_14,$G24&gt;=Hba_14,Input!V$34&lt;&gt;""),Input!$B$34&amp;";",""),IF(AND($G24&lt;Hta_15,$G24&gt;=Hba_15,Input!V$35&lt;&gt;""),Input!$B$35&amp;";",""),IF(AND($G24&lt;Hta_16,$G24&gt;=Hba_16,Input!V$36&lt;&gt;""),Input!$B$36&amp;";",""),IF(AND($G24&lt;Hta_17,$G24&gt;=Hba_17,Input!V$37&lt;&gt;""),Input!$B$37&amp;";",""),IF(AND($G24&lt;Hta_18,$G24&gt;=Hba_18,Input!V$38&lt;&gt;""),Input!$B$38&amp;";",""),IF(AND($G24&lt;Hta_19,$G24&gt;=Hba_19,Input!V$39&lt;&gt;""),Input!$B$39&amp;";",""),IF(AND($G24&lt;Hta_20,$G24&gt;=Hba_20,Input!V$40&lt;&gt;""),Input!$B$40&amp;";",""),IF(AND($G24&lt;Hta_21,$G24&gt;=Hba_21,Input!V$41&lt;&gt;""),Input!$B$41&amp;";",""),IF(AND($G24&lt;Hta_22,$G24&gt;=Hba_22,Input!V$42&lt;&gt;""),Input!$B$42&amp;";",""),IF(AND($G24&lt;Hta_23,$G24&gt;=Hba_23,Input!V$43&lt;&gt;""),Input!$B$43&amp;";",""),IF(AND($G24&lt;Hta_24,$G24&gt;=Hba_24,Input!V$44&lt;&gt;""),Input!$B$44&amp;";",""),IF(AND($G24&lt;Hta_25,$G24&gt;=Hba_25,Input!V$45&lt;&gt;""),Input!$B$45&amp;";",""),IF(AND($G24&lt;Hta_26,$G24&gt;=Hba_26,Input!V$46&lt;&gt;""),Input!$B$46&amp;";",""),IF(AND($G24&lt;Hta_27,$G24&gt;=Hba_27,Input!V$47&lt;&gt;""),Input!$B$47&amp;";",""),IF(AND($G24&lt;Hta_28,$G24&gt;=Hba_28,Input!V$48&lt;&gt;""),Input!$B$48&amp;";",""),IF(AND($G24&lt;Hta_29,$G24&gt;=Hba_29,Input!V$49&lt;&gt;""),Input!$B$49&amp;";",""),IF(AND($G24&lt;Hta_30,$G24&gt;=Hba_30,Input!V$50&lt;&gt;""),Input!$B$50&amp;";","")),"")</f>
        <v/>
      </c>
      <c r="BX24" s="25" t="str">
        <f>IFERROR(CONCATENATE(IF(AND($G24&lt;Hta_1,$G24&gt;=Hba_1,Input!W$21&lt;&gt;""),Input!$B$21&amp;";",""),IF(AND($G24&lt;Hta_2,$G24&gt;=Hba_2,Input!W$22&lt;&gt;""),Input!$B$22&amp;";",""),IF(AND($G24&lt;Hta_3,$G24&gt;=Hba_3,Input!W$23&lt;&gt;""),Input!$B$23&amp;";",""),IF(AND($G24&lt;Hta_4,$G24&gt;=Hba_4,Input!W$24&lt;&gt;""),Input!$B$24&amp;";",""),IF(AND($G24&lt;Hta_5,$G24&gt;=Hba_5,Input!W$25&lt;&gt;""),Input!$B$25&amp;";",""),IF(AND($G24&lt;Hta_6,$G24&gt;=Hba_6,Input!W$26&lt;&gt;""),Input!$B$26&amp;";",""),IF(AND($G24&lt;Hta_7,$G24&gt;=Hba_7,Input!W$27&lt;&gt;""),Input!$B$27&amp;";",""),IF(AND($G24&lt;Hta_8,$G24&gt;=Hba_8,Input!W$28&lt;&gt;""),Input!$B$28&amp;";",""),IF(AND($G24&lt;Hta_9,$G24&gt;=Hba_9,Input!W$29&lt;&gt;""),Input!$B$29&amp;";",""),IF(AND($G24&lt;Hta_10,$G24&gt;=Hba_10,Input!W$30&lt;&gt;""),Input!$B$30&amp;";",""),IF(AND($G24&lt;Hta_11,$G24&gt;=Hba_11,Input!W$31&lt;&gt;""),Input!$B$31&amp;";",""),IF(AND($G24&lt;Hta_12,$G24&gt;=Hba_12,Input!W$32&lt;&gt;""),Input!$B$32&amp;";",""),IF(AND($G24&lt;Hta_13,$G24&gt;=Hba_13,Input!W$33&lt;&gt;""),Input!$B$33&amp;";",""),IF(AND($G24&lt;Hta_14,$G24&gt;=Hba_14,Input!W$34&lt;&gt;""),Input!$B$34&amp;";",""),IF(AND($G24&lt;Hta_15,$G24&gt;=Hba_15,Input!W$35&lt;&gt;""),Input!$B$35&amp;";",""),IF(AND($G24&lt;Hta_16,$G24&gt;=Hba_16,Input!W$36&lt;&gt;""),Input!$B$36&amp;";",""),IF(AND($G24&lt;Hta_17,$G24&gt;=Hba_17,Input!W$37&lt;&gt;""),Input!$B$37&amp;";",""),IF(AND($G24&lt;Hta_18,$G24&gt;=Hba_18,Input!W$38&lt;&gt;""),Input!$B$38&amp;";",""),IF(AND($G24&lt;Hta_19,$G24&gt;=Hba_19,Input!W$39&lt;&gt;""),Input!$B$39&amp;";",""),IF(AND($G24&lt;Hta_20,$G24&gt;=Hba_20,Input!W$40&lt;&gt;""),Input!$B$40&amp;";",""),IF(AND($G24&lt;Hta_21,$G24&gt;=Hba_21,Input!W$41&lt;&gt;""),Input!$B$41&amp;";",""),IF(AND($G24&lt;Hta_22,$G24&gt;=Hba_22,Input!W$42&lt;&gt;""),Input!$B$42&amp;";",""),IF(AND($G24&lt;Hta_23,$G24&gt;=Hba_23,Input!W$43&lt;&gt;""),Input!$B$43&amp;";",""),IF(AND($G24&lt;Hta_24,$G24&gt;=Hba_24,Input!W$44&lt;&gt;""),Input!$B$44&amp;";",""),IF(AND($G24&lt;Hta_25,$G24&gt;=Hba_25,Input!W$45&lt;&gt;""),Input!$B$45&amp;";",""),IF(AND($G24&lt;Hta_26,$G24&gt;=Hba_26,Input!W$46&lt;&gt;""),Input!$B$46&amp;";",""),IF(AND($G24&lt;Hta_27,$G24&gt;=Hba_27,Input!W$47&lt;&gt;""),Input!$B$47&amp;";",""),IF(AND($G24&lt;Hta_28,$G24&gt;=Hba_28,Input!W$48&lt;&gt;""),Input!$B$48&amp;";",""),IF(AND($G24&lt;Hta_29,$G24&gt;=Hba_29,Input!W$49&lt;&gt;""),Input!$B$49&amp;";",""),IF(AND($G24&lt;Hta_30,$G24&gt;=Hba_30,Input!W$50&lt;&gt;""),Input!$B$50&amp;";","")),"")</f>
        <v/>
      </c>
      <c r="BY24" s="25" t="str">
        <f>IFERROR(CONCATENATE(IF(AND($G24&lt;Hta_1,$G24&gt;=Hba_1,Input!X$21&lt;&gt;""),Input!$B$21&amp;";",""),IF(AND($G24&lt;Hta_2,$G24&gt;=Hba_2,Input!X$22&lt;&gt;""),Input!$B$22&amp;";",""),IF(AND($G24&lt;Hta_3,$G24&gt;=Hba_3,Input!X$23&lt;&gt;""),Input!$B$23&amp;";",""),IF(AND($G24&lt;Hta_4,$G24&gt;=Hba_4,Input!X$24&lt;&gt;""),Input!$B$24&amp;";",""),IF(AND($G24&lt;Hta_5,$G24&gt;=Hba_5,Input!X$25&lt;&gt;""),Input!$B$25&amp;";",""),IF(AND($G24&lt;Hta_6,$G24&gt;=Hba_6,Input!X$26&lt;&gt;""),Input!$B$26&amp;";",""),IF(AND($G24&lt;Hta_7,$G24&gt;=Hba_7,Input!X$27&lt;&gt;""),Input!$B$27&amp;";",""),IF(AND($G24&lt;Hta_8,$G24&gt;=Hba_8,Input!X$28&lt;&gt;""),Input!$B$28&amp;";",""),IF(AND($G24&lt;Hta_9,$G24&gt;=Hba_9,Input!X$29&lt;&gt;""),Input!$B$29&amp;";",""),IF(AND($G24&lt;Hta_10,$G24&gt;=Hba_10,Input!X$30&lt;&gt;""),Input!$B$30&amp;";",""),IF(AND($G24&lt;Hta_11,$G24&gt;=Hba_11,Input!X$31&lt;&gt;""),Input!$B$31&amp;";",""),IF(AND($G24&lt;Hta_12,$G24&gt;=Hba_12,Input!X$32&lt;&gt;""),Input!$B$32&amp;";",""),IF(AND($G24&lt;Hta_13,$G24&gt;=Hba_13,Input!X$33&lt;&gt;""),Input!$B$33&amp;";",""),IF(AND($G24&lt;Hta_14,$G24&gt;=Hba_14,Input!X$34&lt;&gt;""),Input!$B$34&amp;";",""),IF(AND($G24&lt;Hta_15,$G24&gt;=Hba_15,Input!X$35&lt;&gt;""),Input!$B$35&amp;";",""),IF(AND($G24&lt;Hta_16,$G24&gt;=Hba_16,Input!X$36&lt;&gt;""),Input!$B$36&amp;";",""),IF(AND($G24&lt;Hta_17,$G24&gt;=Hba_17,Input!X$37&lt;&gt;""),Input!$B$37&amp;";",""),IF(AND($G24&lt;Hta_18,$G24&gt;=Hba_18,Input!X$38&lt;&gt;""),Input!$B$38&amp;";",""),IF(AND($G24&lt;Hta_19,$G24&gt;=Hba_19,Input!X$39&lt;&gt;""),Input!$B$39&amp;";",""),IF(AND($G24&lt;Hta_20,$G24&gt;=Hba_20,Input!X$40&lt;&gt;""),Input!$B$40&amp;";",""),IF(AND($G24&lt;Hta_21,$G24&gt;=Hba_21,Input!X$41&lt;&gt;""),Input!$B$41&amp;";",""),IF(AND($G24&lt;Hta_22,$G24&gt;=Hba_22,Input!X$42&lt;&gt;""),Input!$B$42&amp;";",""),IF(AND($G24&lt;Hta_23,$G24&gt;=Hba_23,Input!X$43&lt;&gt;""),Input!$B$43&amp;";",""),IF(AND($G24&lt;Hta_24,$G24&gt;=Hba_24,Input!X$44&lt;&gt;""),Input!$B$44&amp;";",""),IF(AND($G24&lt;Hta_25,$G24&gt;=Hba_25,Input!X$45&lt;&gt;""),Input!$B$45&amp;";",""),IF(AND($G24&lt;Hta_26,$G24&gt;=Hba_26,Input!X$46&lt;&gt;""),Input!$B$46&amp;";",""),IF(AND($G24&lt;Hta_27,$G24&gt;=Hba_27,Input!X$47&lt;&gt;""),Input!$B$47&amp;";",""),IF(AND($G24&lt;Hta_28,$G24&gt;=Hba_28,Input!X$48&lt;&gt;""),Input!$B$48&amp;";",""),IF(AND($G24&lt;Hta_29,$G24&gt;=Hba_29,Input!X$49&lt;&gt;""),Input!$B$49&amp;";",""),IF(AND($G24&lt;Hta_30,$G24&gt;=Hba_30,Input!X$50&lt;&gt;""),Input!$B$50&amp;";","")),"")</f>
        <v/>
      </c>
      <c r="BZ24" s="25" t="str">
        <f>IFERROR(CONCATENATE(IF(AND($G24&lt;Hta_1,$G24&gt;=Hba_1,Input!Y$21&lt;&gt;""),Input!$B$21&amp;";",""),IF(AND($G24&lt;Hta_2,$G24&gt;=Hba_2,Input!Y$22&lt;&gt;""),Input!$B$22&amp;";",""),IF(AND($G24&lt;Hta_3,$G24&gt;=Hba_3,Input!Y$23&lt;&gt;""),Input!$B$23&amp;";",""),IF(AND($G24&lt;Hta_4,$G24&gt;=Hba_4,Input!Y$24&lt;&gt;""),Input!$B$24&amp;";",""),IF(AND($G24&lt;Hta_5,$G24&gt;=Hba_5,Input!Y$25&lt;&gt;""),Input!$B$25&amp;";",""),IF(AND($G24&lt;Hta_6,$G24&gt;=Hba_6,Input!Y$26&lt;&gt;""),Input!$B$26&amp;";",""),IF(AND($G24&lt;Hta_7,$G24&gt;=Hba_7,Input!Y$27&lt;&gt;""),Input!$B$27&amp;";",""),IF(AND($G24&lt;Hta_8,$G24&gt;=Hba_8,Input!Y$28&lt;&gt;""),Input!$B$28&amp;";",""),IF(AND($G24&lt;Hta_9,$G24&gt;=Hba_9,Input!Y$29&lt;&gt;""),Input!$B$29&amp;";",""),IF(AND($G24&lt;Hta_10,$G24&gt;=Hba_10,Input!Y$30&lt;&gt;""),Input!$B$30&amp;";",""),IF(AND($G24&lt;Hta_11,$G24&gt;=Hba_11,Input!Y$31&lt;&gt;""),Input!$B$31&amp;";",""),IF(AND($G24&lt;Hta_12,$G24&gt;=Hba_12,Input!Y$32&lt;&gt;""),Input!$B$32&amp;";",""),IF(AND($G24&lt;Hta_13,$G24&gt;=Hba_13,Input!Y$33&lt;&gt;""),Input!$B$33&amp;";",""),IF(AND($G24&lt;Hta_14,$G24&gt;=Hba_14,Input!Y$34&lt;&gt;""),Input!$B$34&amp;";",""),IF(AND($G24&lt;Hta_15,$G24&gt;=Hba_15,Input!Y$35&lt;&gt;""),Input!$B$35&amp;";",""),IF(AND($G24&lt;Hta_16,$G24&gt;=Hba_16,Input!Y$36&lt;&gt;""),Input!$B$36&amp;";",""),IF(AND($G24&lt;Hta_17,$G24&gt;=Hba_17,Input!Y$37&lt;&gt;""),Input!$B$37&amp;";",""),IF(AND($G24&lt;Hta_18,$G24&gt;=Hba_18,Input!Y$38&lt;&gt;""),Input!$B$38&amp;";",""),IF(AND($G24&lt;Hta_19,$G24&gt;=Hba_19,Input!Y$39&lt;&gt;""),Input!$B$39&amp;";",""),IF(AND($G24&lt;Hta_20,$G24&gt;=Hba_20,Input!Y$40&lt;&gt;""),Input!$B$40&amp;";",""),IF(AND($G24&lt;Hta_21,$G24&gt;=Hba_21,Input!Y$41&lt;&gt;""),Input!$B$41&amp;";",""),IF(AND($G24&lt;Hta_22,$G24&gt;=Hba_22,Input!Y$42&lt;&gt;""),Input!$B$42&amp;";",""),IF(AND($G24&lt;Hta_23,$G24&gt;=Hba_23,Input!Y$43&lt;&gt;""),Input!$B$43&amp;";",""),IF(AND($G24&lt;Hta_24,$G24&gt;=Hba_24,Input!Y$44&lt;&gt;""),Input!$B$44&amp;";",""),IF(AND($G24&lt;Hta_25,$G24&gt;=Hba_25,Input!Y$45&lt;&gt;""),Input!$B$45&amp;";",""),IF(AND($G24&lt;Hta_26,$G24&gt;=Hba_26,Input!Y$46&lt;&gt;""),Input!$B$46&amp;";",""),IF(AND($G24&lt;Hta_27,$G24&gt;=Hba_27,Input!Y$47&lt;&gt;""),Input!$B$47&amp;";",""),IF(AND($G24&lt;Hta_28,$G24&gt;=Hba_28,Input!Y$48&lt;&gt;""),Input!$B$48&amp;";",""),IF(AND($G24&lt;Hta_29,$G24&gt;=Hba_29,Input!Y$49&lt;&gt;""),Input!$B$49&amp;";",""),IF(AND($G24&lt;Hta_30,$G24&gt;=Hba_30,Input!Y$50&lt;&gt;""),Input!$B$50&amp;";","")),"")</f>
        <v/>
      </c>
      <c r="CA24" s="25" t="str">
        <f>IFERROR(CONCATENATE(IF(AND($G24&lt;Hta_1,$G24&gt;=Hba_1,Input!Z$21&lt;&gt;""),Input!$B$21&amp;";",""),IF(AND($G24&lt;Hta_2,$G24&gt;=Hba_2,Input!Z$22&lt;&gt;""),Input!$B$22&amp;";",""),IF(AND($G24&lt;Hta_3,$G24&gt;=Hba_3,Input!Z$23&lt;&gt;""),Input!$B$23&amp;";",""),IF(AND($G24&lt;Hta_4,$G24&gt;=Hba_4,Input!Z$24&lt;&gt;""),Input!$B$24&amp;";",""),IF(AND($G24&lt;Hta_5,$G24&gt;=Hba_5,Input!Z$25&lt;&gt;""),Input!$B$25&amp;";",""),IF(AND($G24&lt;Hta_6,$G24&gt;=Hba_6,Input!Z$26&lt;&gt;""),Input!$B$26&amp;";",""),IF(AND($G24&lt;Hta_7,$G24&gt;=Hba_7,Input!Z$27&lt;&gt;""),Input!$B$27&amp;";",""),IF(AND($G24&lt;Hta_8,$G24&gt;=Hba_8,Input!Z$28&lt;&gt;""),Input!$B$28&amp;";",""),IF(AND($G24&lt;Hta_9,$G24&gt;=Hba_9,Input!Z$29&lt;&gt;""),Input!$B$29&amp;";",""),IF(AND($G24&lt;Hta_10,$G24&gt;=Hba_10,Input!Z$30&lt;&gt;""),Input!$B$30&amp;";",""),IF(AND($G24&lt;Hta_11,$G24&gt;=Hba_11,Input!Z$31&lt;&gt;""),Input!$B$31&amp;";",""),IF(AND($G24&lt;Hta_12,$G24&gt;=Hba_12,Input!Z$32&lt;&gt;""),Input!$B$32&amp;";",""),IF(AND($G24&lt;Hta_13,$G24&gt;=Hba_13,Input!Z$33&lt;&gt;""),Input!$B$33&amp;";",""),IF(AND($G24&lt;Hta_14,$G24&gt;=Hba_14,Input!Z$34&lt;&gt;""),Input!$B$34&amp;";",""),IF(AND($G24&lt;Hta_15,$G24&gt;=Hba_15,Input!Z$35&lt;&gt;""),Input!$B$35&amp;";",""),IF(AND($G24&lt;Hta_16,$G24&gt;=Hba_16,Input!Z$36&lt;&gt;""),Input!$B$36&amp;";",""),IF(AND($G24&lt;Hta_17,$G24&gt;=Hba_17,Input!Z$37&lt;&gt;""),Input!$B$37&amp;";",""),IF(AND($G24&lt;Hta_18,$G24&gt;=Hba_18,Input!Z$38&lt;&gt;""),Input!$B$38&amp;";",""),IF(AND($G24&lt;Hta_19,$G24&gt;=Hba_19,Input!Z$39&lt;&gt;""),Input!$B$39&amp;";",""),IF(AND($G24&lt;Hta_20,$G24&gt;=Hba_20,Input!Z$40&lt;&gt;""),Input!$B$40&amp;";",""),IF(AND($G24&lt;Hta_21,$G24&gt;=Hba_21,Input!Z$41&lt;&gt;""),Input!$B$41&amp;";",""),IF(AND($G24&lt;Hta_22,$G24&gt;=Hba_22,Input!Z$42&lt;&gt;""),Input!$B$42&amp;";",""),IF(AND($G24&lt;Hta_23,$G24&gt;=Hba_23,Input!Z$43&lt;&gt;""),Input!$B$43&amp;";",""),IF(AND($G24&lt;Hta_24,$G24&gt;=Hba_24,Input!Z$44&lt;&gt;""),Input!$B$44&amp;";",""),IF(AND($G24&lt;Hta_25,$G24&gt;=Hba_25,Input!Z$45&lt;&gt;""),Input!$B$45&amp;";",""),IF(AND($G24&lt;Hta_26,$G24&gt;=Hba_26,Input!Z$46&lt;&gt;""),Input!$B$46&amp;";",""),IF(AND($G24&lt;Hta_27,$G24&gt;=Hba_27,Input!Z$47&lt;&gt;""),Input!$B$47&amp;";",""),IF(AND($G24&lt;Hta_28,$G24&gt;=Hba_28,Input!Z$48&lt;&gt;""),Input!$B$48&amp;";",""),IF(AND($G24&lt;Hta_29,$G24&gt;=Hba_29,Input!Z$49&lt;&gt;""),Input!$B$49&amp;";",""),IF(AND($G24&lt;Hta_30,$G24&gt;=Hba_30,Input!Z$50&lt;&gt;""),Input!$B$50&amp;";","")),"")</f>
        <v/>
      </c>
      <c r="CB24" s="25" t="str">
        <f>IFERROR(CONCATENATE(IF(AND($G24&lt;Hta_1,$G24&gt;=Hba_1,Input!AA$21&lt;&gt;""),Input!$B$21&amp;";",""),IF(AND($G24&lt;Hta_2,$G24&gt;=Hba_2,Input!AA$22&lt;&gt;""),Input!$B$22&amp;";",""),IF(AND($G24&lt;Hta_3,$G24&gt;=Hba_3,Input!AA$23&lt;&gt;""),Input!$B$23&amp;";",""),IF(AND($G24&lt;Hta_4,$G24&gt;=Hba_4,Input!AA$24&lt;&gt;""),Input!$B$24&amp;";",""),IF(AND($G24&lt;Hta_5,$G24&gt;=Hba_5,Input!AA$25&lt;&gt;""),Input!$B$25&amp;";",""),IF(AND($G24&lt;Hta_6,$G24&gt;=Hba_6,Input!AA$26&lt;&gt;""),Input!$B$26&amp;";",""),IF(AND($G24&lt;Hta_7,$G24&gt;=Hba_7,Input!AA$27&lt;&gt;""),Input!$B$27&amp;";",""),IF(AND($G24&lt;Hta_8,$G24&gt;=Hba_8,Input!AA$28&lt;&gt;""),Input!$B$28&amp;";",""),IF(AND($G24&lt;Hta_9,$G24&gt;=Hba_9,Input!AA$29&lt;&gt;""),Input!$B$29&amp;";",""),IF(AND($G24&lt;Hta_10,$G24&gt;=Hba_10,Input!AA$30&lt;&gt;""),Input!$B$30&amp;";",""),IF(AND($G24&lt;Hta_11,$G24&gt;=Hba_11,Input!AA$31&lt;&gt;""),Input!$B$31&amp;";",""),IF(AND($G24&lt;Hta_12,$G24&gt;=Hba_12,Input!AA$32&lt;&gt;""),Input!$B$32&amp;";",""),IF(AND($G24&lt;Hta_13,$G24&gt;=Hba_13,Input!AA$33&lt;&gt;""),Input!$B$33&amp;";",""),IF(AND($G24&lt;Hta_14,$G24&gt;=Hba_14,Input!AA$34&lt;&gt;""),Input!$B$34&amp;";",""),IF(AND($G24&lt;Hta_15,$G24&gt;=Hba_15,Input!AA$35&lt;&gt;""),Input!$B$35&amp;";",""),IF(AND($G24&lt;Hta_16,$G24&gt;=Hba_16,Input!AA$36&lt;&gt;""),Input!$B$36&amp;";",""),IF(AND($G24&lt;Hta_17,$G24&gt;=Hba_17,Input!AA$37&lt;&gt;""),Input!$B$37&amp;";",""),IF(AND($G24&lt;Hta_18,$G24&gt;=Hba_18,Input!AA$38&lt;&gt;""),Input!$B$38&amp;";",""),IF(AND($G24&lt;Hta_19,$G24&gt;=Hba_19,Input!AA$39&lt;&gt;""),Input!$B$39&amp;";",""),IF(AND($G24&lt;Hta_20,$G24&gt;=Hba_20,Input!AA$40&lt;&gt;""),Input!$B$40&amp;";",""),IF(AND($G24&lt;Hta_21,$G24&gt;=Hba_21,Input!AA$41&lt;&gt;""),Input!$B$41&amp;";",""),IF(AND($G24&lt;Hta_22,$G24&gt;=Hba_22,Input!AA$42&lt;&gt;""),Input!$B$42&amp;";",""),IF(AND($G24&lt;Hta_23,$G24&gt;=Hba_23,Input!AA$43&lt;&gt;""),Input!$B$43&amp;";",""),IF(AND($G24&lt;Hta_24,$G24&gt;=Hba_24,Input!AA$44&lt;&gt;""),Input!$B$44&amp;";",""),IF(AND($G24&lt;Hta_25,$G24&gt;=Hba_25,Input!AA$45&lt;&gt;""),Input!$B$45&amp;";",""),IF(AND($G24&lt;Hta_26,$G24&gt;=Hba_26,Input!AA$46&lt;&gt;""),Input!$B$46&amp;";",""),IF(AND($G24&lt;Hta_27,$G24&gt;=Hba_27,Input!AA$47&lt;&gt;""),Input!$B$47&amp;";",""),IF(AND($G24&lt;Hta_28,$G24&gt;=Hba_28,Input!AA$48&lt;&gt;""),Input!$B$48&amp;";",""),IF(AND($G24&lt;Hta_29,$G24&gt;=Hba_29,Input!AA$49&lt;&gt;""),Input!$B$49&amp;";",""),IF(AND($G24&lt;Hta_30,$G24&gt;=Hba_30,Input!AA$50&lt;&gt;""),Input!$B$50&amp;";","")),"")</f>
        <v/>
      </c>
      <c r="CC24" s="25" t="str">
        <f>IFERROR(CONCATENATE(IF(AND($G24&lt;Hta_1,$G24&gt;=Hba_1,Input!AB$21&lt;&gt;""),Input!$B$21&amp;";",""),IF(AND($G24&lt;Hta_2,$G24&gt;=Hba_2,Input!AB$22&lt;&gt;""),Input!$B$22&amp;";",""),IF(AND($G24&lt;Hta_3,$G24&gt;=Hba_3,Input!AB$23&lt;&gt;""),Input!$B$23&amp;";",""),IF(AND($G24&lt;Hta_4,$G24&gt;=Hba_4,Input!AB$24&lt;&gt;""),Input!$B$24&amp;";",""),IF(AND($G24&lt;Hta_5,$G24&gt;=Hba_5,Input!AB$25&lt;&gt;""),Input!$B$25&amp;";",""),IF(AND($G24&lt;Hta_6,$G24&gt;=Hba_6,Input!AB$26&lt;&gt;""),Input!$B$26&amp;";",""),IF(AND($G24&lt;Hta_7,$G24&gt;=Hba_7,Input!AB$27&lt;&gt;""),Input!$B$27&amp;";",""),IF(AND($G24&lt;Hta_8,$G24&gt;=Hba_8,Input!AB$28&lt;&gt;""),Input!$B$28&amp;";",""),IF(AND($G24&lt;Hta_9,$G24&gt;=Hba_9,Input!AB$29&lt;&gt;""),Input!$B$29&amp;";",""),IF(AND($G24&lt;Hta_10,$G24&gt;=Hba_10,Input!AB$30&lt;&gt;""),Input!$B$30&amp;";",""),IF(AND($G24&lt;Hta_11,$G24&gt;=Hba_11,Input!AB$31&lt;&gt;""),Input!$B$31&amp;";",""),IF(AND($G24&lt;Hta_12,$G24&gt;=Hba_12,Input!AB$32&lt;&gt;""),Input!$B$32&amp;";",""),IF(AND($G24&lt;Hta_13,$G24&gt;=Hba_13,Input!AB$33&lt;&gt;""),Input!$B$33&amp;";",""),IF(AND($G24&lt;Hta_14,$G24&gt;=Hba_14,Input!AB$34&lt;&gt;""),Input!$B$34&amp;";",""),IF(AND($G24&lt;Hta_15,$G24&gt;=Hba_15,Input!AB$35&lt;&gt;""),Input!$B$35&amp;";",""),IF(AND($G24&lt;Hta_16,$G24&gt;=Hba_16,Input!AB$36&lt;&gt;""),Input!$B$36&amp;";",""),IF(AND($G24&lt;Hta_17,$G24&gt;=Hba_17,Input!AB$37&lt;&gt;""),Input!$B$37&amp;";",""),IF(AND($G24&lt;Hta_18,$G24&gt;=Hba_18,Input!AB$38&lt;&gt;""),Input!$B$38&amp;";",""),IF(AND($G24&lt;Hta_19,$G24&gt;=Hba_19,Input!AB$39&lt;&gt;""),Input!$B$39&amp;";",""),IF(AND($G24&lt;Hta_20,$G24&gt;=Hba_20,Input!AB$40&lt;&gt;""),Input!$B$40&amp;";",""),IF(AND($G24&lt;Hta_21,$G24&gt;=Hba_21,Input!AB$41&lt;&gt;""),Input!$B$41&amp;";",""),IF(AND($G24&lt;Hta_22,$G24&gt;=Hba_22,Input!AB$42&lt;&gt;""),Input!$B$42&amp;";",""),IF(AND($G24&lt;Hta_23,$G24&gt;=Hba_23,Input!AB$43&lt;&gt;""),Input!$B$43&amp;";",""),IF(AND($G24&lt;Hta_24,$G24&gt;=Hba_24,Input!AB$44&lt;&gt;""),Input!$B$44&amp;";",""),IF(AND($G24&lt;Hta_25,$G24&gt;=Hba_25,Input!AB$45&lt;&gt;""),Input!$B$45&amp;";",""),IF(AND($G24&lt;Hta_26,$G24&gt;=Hba_26,Input!AB$46&lt;&gt;""),Input!$B$46&amp;";",""),IF(AND($G24&lt;Hta_27,$G24&gt;=Hba_27,Input!AB$47&lt;&gt;""),Input!$B$47&amp;";",""),IF(AND($G24&lt;Hta_28,$G24&gt;=Hba_28,Input!AB$48&lt;&gt;""),Input!$B$48&amp;";",""),IF(AND($G24&lt;Hta_29,$G24&gt;=Hba_29,Input!AB$49&lt;&gt;""),Input!$B$49&amp;";",""),IF(AND($G24&lt;Hta_30,$G24&gt;=Hba_30,Input!AB$50&lt;&gt;""),Input!$B$50&amp;";","")),"")</f>
        <v/>
      </c>
      <c r="CD24" s="25" t="str">
        <f>IFERROR(CONCATENATE(IF(AND($G24&lt;Hta_1,$G24&gt;=Hba_1,Input!AC$21&lt;&gt;""),Input!$B$21&amp;";",""),IF(AND($G24&lt;Hta_2,$G24&gt;=Hba_2,Input!AC$22&lt;&gt;""),Input!$B$22&amp;";",""),IF(AND($G24&lt;Hta_3,$G24&gt;=Hba_3,Input!AC$23&lt;&gt;""),Input!$B$23&amp;";",""),IF(AND($G24&lt;Hta_4,$G24&gt;=Hba_4,Input!AC$24&lt;&gt;""),Input!$B$24&amp;";",""),IF(AND($G24&lt;Hta_5,$G24&gt;=Hba_5,Input!AC$25&lt;&gt;""),Input!$B$25&amp;";",""),IF(AND($G24&lt;Hta_6,$G24&gt;=Hba_6,Input!AC$26&lt;&gt;""),Input!$B$26&amp;";",""),IF(AND($G24&lt;Hta_7,$G24&gt;=Hba_7,Input!AC$27&lt;&gt;""),Input!$B$27&amp;";",""),IF(AND($G24&lt;Hta_8,$G24&gt;=Hba_8,Input!AC$28&lt;&gt;""),Input!$B$28&amp;";",""),IF(AND($G24&lt;Hta_9,$G24&gt;=Hba_9,Input!AC$29&lt;&gt;""),Input!$B$29&amp;";",""),IF(AND($G24&lt;Hta_10,$G24&gt;=Hba_10,Input!AC$30&lt;&gt;""),Input!$B$30&amp;";",""),IF(AND($G24&lt;Hta_11,$G24&gt;=Hba_11,Input!AC$31&lt;&gt;""),Input!$B$31&amp;";",""),IF(AND($G24&lt;Hta_12,$G24&gt;=Hba_12,Input!AC$32&lt;&gt;""),Input!$B$32&amp;";",""),IF(AND($G24&lt;Hta_13,$G24&gt;=Hba_13,Input!AC$33&lt;&gt;""),Input!$B$33&amp;";",""),IF(AND($G24&lt;Hta_14,$G24&gt;=Hba_14,Input!AC$34&lt;&gt;""),Input!$B$34&amp;";",""),IF(AND($G24&lt;Hta_15,$G24&gt;=Hba_15,Input!AC$35&lt;&gt;""),Input!$B$35&amp;";",""),IF(AND($G24&lt;Hta_16,$G24&gt;=Hba_16,Input!AC$36&lt;&gt;""),Input!$B$36&amp;";",""),IF(AND($G24&lt;Hta_17,$G24&gt;=Hba_17,Input!AC$37&lt;&gt;""),Input!$B$37&amp;";",""),IF(AND($G24&lt;Hta_18,$G24&gt;=Hba_18,Input!AC$38&lt;&gt;""),Input!$B$38&amp;";",""),IF(AND($G24&lt;Hta_19,$G24&gt;=Hba_19,Input!AC$39&lt;&gt;""),Input!$B$39&amp;";",""),IF(AND($G24&lt;Hta_20,$G24&gt;=Hba_20,Input!AC$40&lt;&gt;""),Input!$B$40&amp;";",""),IF(AND($G24&lt;Hta_21,$G24&gt;=Hba_21,Input!AC$41&lt;&gt;""),Input!$B$41&amp;";",""),IF(AND($G24&lt;Hta_22,$G24&gt;=Hba_22,Input!AC$42&lt;&gt;""),Input!$B$42&amp;";",""),IF(AND($G24&lt;Hta_23,$G24&gt;=Hba_23,Input!AC$43&lt;&gt;""),Input!$B$43&amp;";",""),IF(AND($G24&lt;Hta_24,$G24&gt;=Hba_24,Input!AC$44&lt;&gt;""),Input!$B$44&amp;";",""),IF(AND($G24&lt;Hta_25,$G24&gt;=Hba_25,Input!AC$45&lt;&gt;""),Input!$B$45&amp;";",""),IF(AND($G24&lt;Hta_26,$G24&gt;=Hba_26,Input!AC$46&lt;&gt;""),Input!$B$46&amp;";",""),IF(AND($G24&lt;Hta_27,$G24&gt;=Hba_27,Input!AC$47&lt;&gt;""),Input!$B$47&amp;";",""),IF(AND($G24&lt;Hta_28,$G24&gt;=Hba_28,Input!AC$48&lt;&gt;""),Input!$B$48&amp;";",""),IF(AND($G24&lt;Hta_29,$G24&gt;=Hba_29,Input!AC$49&lt;&gt;""),Input!$B$49&amp;";",""),IF(AND($G24&lt;Hta_30,$G24&gt;=Hba_30,Input!AC$50&lt;&gt;""),Input!$B$50&amp;";","")),"")</f>
        <v/>
      </c>
      <c r="CE24" s="25" t="str">
        <f>IFERROR(CONCATENATE(IF(AND($G24&lt;Hta_1,$G24&gt;=Hba_1,Input!AD$21&lt;&gt;""),Input!$B$21&amp;";",""),IF(AND($G24&lt;Hta_2,$G24&gt;=Hba_2,Input!AD$22&lt;&gt;""),Input!$B$22&amp;";",""),IF(AND($G24&lt;Hta_3,$G24&gt;=Hba_3,Input!AD$23&lt;&gt;""),Input!$B$23&amp;";",""),IF(AND($G24&lt;Hta_4,$G24&gt;=Hba_4,Input!AD$24&lt;&gt;""),Input!$B$24&amp;";",""),IF(AND($G24&lt;Hta_5,$G24&gt;=Hba_5,Input!AD$25&lt;&gt;""),Input!$B$25&amp;";",""),IF(AND($G24&lt;Hta_6,$G24&gt;=Hba_6,Input!AD$26&lt;&gt;""),Input!$B$26&amp;";",""),IF(AND($G24&lt;Hta_7,$G24&gt;=Hba_7,Input!AD$27&lt;&gt;""),Input!$B$27&amp;";",""),IF(AND($G24&lt;Hta_8,$G24&gt;=Hba_8,Input!AD$28&lt;&gt;""),Input!$B$28&amp;";",""),IF(AND($G24&lt;Hta_9,$G24&gt;=Hba_9,Input!AD$29&lt;&gt;""),Input!$B$29&amp;";",""),IF(AND($G24&lt;Hta_10,$G24&gt;=Hba_10,Input!AD$30&lt;&gt;""),Input!$B$30&amp;";",""),IF(AND($G24&lt;Hta_11,$G24&gt;=Hba_11,Input!AD$31&lt;&gt;""),Input!$B$31&amp;";",""),IF(AND($G24&lt;Hta_12,$G24&gt;=Hba_12,Input!AD$32&lt;&gt;""),Input!$B$32&amp;";",""),IF(AND($G24&lt;Hta_13,$G24&gt;=Hba_13,Input!AD$33&lt;&gt;""),Input!$B$33&amp;";",""),IF(AND($G24&lt;Hta_14,$G24&gt;=Hba_14,Input!AD$34&lt;&gt;""),Input!$B$34&amp;";",""),IF(AND($G24&lt;Hta_15,$G24&gt;=Hba_15,Input!AD$35&lt;&gt;""),Input!$B$35&amp;";",""),IF(AND($G24&lt;Hta_16,$G24&gt;=Hba_16,Input!AD$36&lt;&gt;""),Input!$B$36&amp;";",""),IF(AND($G24&lt;Hta_17,$G24&gt;=Hba_17,Input!AD$37&lt;&gt;""),Input!$B$37&amp;";",""),IF(AND($G24&lt;Hta_18,$G24&gt;=Hba_18,Input!AD$38&lt;&gt;""),Input!$B$38&amp;";",""),IF(AND($G24&lt;Hta_19,$G24&gt;=Hba_19,Input!AD$39&lt;&gt;""),Input!$B$39&amp;";",""),IF(AND($G24&lt;Hta_20,$G24&gt;=Hba_20,Input!AD$40&lt;&gt;""),Input!$B$40&amp;";",""),IF(AND($G24&lt;Hta_21,$G24&gt;=Hba_21,Input!AD$41&lt;&gt;""),Input!$B$41&amp;";",""),IF(AND($G24&lt;Hta_22,$G24&gt;=Hba_22,Input!AD$42&lt;&gt;""),Input!$B$42&amp;";",""),IF(AND($G24&lt;Hta_23,$G24&gt;=Hba_23,Input!AD$43&lt;&gt;""),Input!$B$43&amp;";",""),IF(AND($G24&lt;Hta_24,$G24&gt;=Hba_24,Input!AD$44&lt;&gt;""),Input!$B$44&amp;";",""),IF(AND($G24&lt;Hta_25,$G24&gt;=Hba_25,Input!AD$45&lt;&gt;""),Input!$B$45&amp;";",""),IF(AND($G24&lt;Hta_26,$G24&gt;=Hba_26,Input!AD$46&lt;&gt;""),Input!$B$46&amp;";",""),IF(AND($G24&lt;Hta_27,$G24&gt;=Hba_27,Input!AD$47&lt;&gt;""),Input!$B$47&amp;";",""),IF(AND($G24&lt;Hta_28,$G24&gt;=Hba_28,Input!AD$48&lt;&gt;""),Input!$B$48&amp;";",""),IF(AND($G24&lt;Hta_29,$G24&gt;=Hba_29,Input!AD$49&lt;&gt;""),Input!$B$49&amp;";",""),IF(AND($G24&lt;Hta_30,$G24&gt;=Hba_30,Input!AD$50&lt;&gt;""),Input!$B$50&amp;";","")),"")</f>
        <v/>
      </c>
      <c r="CF24" s="25" t="str">
        <f>IFERROR(CONCATENATE(IF(AND($G24&lt;Hta_1,$G24&gt;=Hba_1,Input!AE$21&lt;&gt;""),Input!$B$21&amp;";",""),IF(AND($G24&lt;Hta_2,$G24&gt;=Hba_2,Input!AE$22&lt;&gt;""),Input!$B$22&amp;";",""),IF(AND($G24&lt;Hta_3,$G24&gt;=Hba_3,Input!AE$23&lt;&gt;""),Input!$B$23&amp;";",""),IF(AND($G24&lt;Hta_4,$G24&gt;=Hba_4,Input!AE$24&lt;&gt;""),Input!$B$24&amp;";",""),IF(AND($G24&lt;Hta_5,$G24&gt;=Hba_5,Input!AE$25&lt;&gt;""),Input!$B$25&amp;";",""),IF(AND($G24&lt;Hta_6,$G24&gt;=Hba_6,Input!AE$26&lt;&gt;""),Input!$B$26&amp;";",""),IF(AND($G24&lt;Hta_7,$G24&gt;=Hba_7,Input!AE$27&lt;&gt;""),Input!$B$27&amp;";",""),IF(AND($G24&lt;Hta_8,$G24&gt;=Hba_8,Input!AE$28&lt;&gt;""),Input!$B$28&amp;";",""),IF(AND($G24&lt;Hta_9,$G24&gt;=Hba_9,Input!AE$29&lt;&gt;""),Input!$B$29&amp;";",""),IF(AND($G24&lt;Hta_10,$G24&gt;=Hba_10,Input!AE$30&lt;&gt;""),Input!$B$30&amp;";",""),IF(AND($G24&lt;Hta_11,$G24&gt;=Hba_11,Input!AE$31&lt;&gt;""),Input!$B$31&amp;";",""),IF(AND($G24&lt;Hta_12,$G24&gt;=Hba_12,Input!AE$32&lt;&gt;""),Input!$B$32&amp;";",""),IF(AND($G24&lt;Hta_13,$G24&gt;=Hba_13,Input!AE$33&lt;&gt;""),Input!$B$33&amp;";",""),IF(AND($G24&lt;Hta_14,$G24&gt;=Hba_14,Input!AE$34&lt;&gt;""),Input!$B$34&amp;";",""),IF(AND($G24&lt;Hta_15,$G24&gt;=Hba_15,Input!AE$35&lt;&gt;""),Input!$B$35&amp;";",""),IF(AND($G24&lt;Hta_16,$G24&gt;=Hba_16,Input!AE$36&lt;&gt;""),Input!$B$36&amp;";",""),IF(AND($G24&lt;Hta_17,$G24&gt;=Hba_17,Input!AE$37&lt;&gt;""),Input!$B$37&amp;";",""),IF(AND($G24&lt;Hta_18,$G24&gt;=Hba_18,Input!AE$38&lt;&gt;""),Input!$B$38&amp;";",""),IF(AND($G24&lt;Hta_19,$G24&gt;=Hba_19,Input!AE$39&lt;&gt;""),Input!$B$39&amp;";",""),IF(AND($G24&lt;Hta_20,$G24&gt;=Hba_20,Input!AE$40&lt;&gt;""),Input!$B$40&amp;";",""),IF(AND($G24&lt;Hta_21,$G24&gt;=Hba_21,Input!AE$41&lt;&gt;""),Input!$B$41&amp;";",""),IF(AND($G24&lt;Hta_22,$G24&gt;=Hba_22,Input!AE$42&lt;&gt;""),Input!$B$42&amp;";",""),IF(AND($G24&lt;Hta_23,$G24&gt;=Hba_23,Input!AE$43&lt;&gt;""),Input!$B$43&amp;";",""),IF(AND($G24&lt;Hta_24,$G24&gt;=Hba_24,Input!AE$44&lt;&gt;""),Input!$B$44&amp;";",""),IF(AND($G24&lt;Hta_25,$G24&gt;=Hba_25,Input!AE$45&lt;&gt;""),Input!$B$45&amp;";",""),IF(AND($G24&lt;Hta_26,$G24&gt;=Hba_26,Input!AE$46&lt;&gt;""),Input!$B$46&amp;";",""),IF(AND($G24&lt;Hta_27,$G24&gt;=Hba_27,Input!AE$47&lt;&gt;""),Input!$B$47&amp;";",""),IF(AND($G24&lt;Hta_28,$G24&gt;=Hba_28,Input!AE$48&lt;&gt;""),Input!$B$48&amp;";",""),IF(AND($G24&lt;Hta_29,$G24&gt;=Hba_29,Input!AE$49&lt;&gt;""),Input!$B$49&amp;";",""),IF(AND($G24&lt;Hta_30,$G24&gt;=Hba_30,Input!AE$50&lt;&gt;""),Input!$B$50&amp;";","")),"")</f>
        <v/>
      </c>
      <c r="CG24" s="25" t="str">
        <f>IFERROR(CONCATENATE(IF(AND($G24&lt;Hta_1,$G24&gt;=Hba_1,Input!AF$21&lt;&gt;""),Input!$B$21&amp;";",""),IF(AND($G24&lt;Hta_2,$G24&gt;=Hba_2,Input!AF$22&lt;&gt;""),Input!$B$22&amp;";",""),IF(AND($G24&lt;Hta_3,$G24&gt;=Hba_3,Input!AF$23&lt;&gt;""),Input!$B$23&amp;";",""),IF(AND($G24&lt;Hta_4,$G24&gt;=Hba_4,Input!AF$24&lt;&gt;""),Input!$B$24&amp;";",""),IF(AND($G24&lt;Hta_5,$G24&gt;=Hba_5,Input!AF$25&lt;&gt;""),Input!$B$25&amp;";",""),IF(AND($G24&lt;Hta_6,$G24&gt;=Hba_6,Input!AF$26&lt;&gt;""),Input!$B$26&amp;";",""),IF(AND($G24&lt;Hta_7,$G24&gt;=Hba_7,Input!AF$27&lt;&gt;""),Input!$B$27&amp;";",""),IF(AND($G24&lt;Hta_8,$G24&gt;=Hba_8,Input!AF$28&lt;&gt;""),Input!$B$28&amp;";",""),IF(AND($G24&lt;Hta_9,$G24&gt;=Hba_9,Input!AF$29&lt;&gt;""),Input!$B$29&amp;";",""),IF(AND($G24&lt;Hta_10,$G24&gt;=Hba_10,Input!AF$30&lt;&gt;""),Input!$B$30&amp;";",""),IF(AND($G24&lt;Hta_11,$G24&gt;=Hba_11,Input!AF$31&lt;&gt;""),Input!$B$31&amp;";",""),IF(AND($G24&lt;Hta_12,$G24&gt;=Hba_12,Input!AF$32&lt;&gt;""),Input!$B$32&amp;";",""),IF(AND($G24&lt;Hta_13,$G24&gt;=Hba_13,Input!AF$33&lt;&gt;""),Input!$B$33&amp;";",""),IF(AND($G24&lt;Hta_14,$G24&gt;=Hba_14,Input!AF$34&lt;&gt;""),Input!$B$34&amp;";",""),IF(AND($G24&lt;Hta_15,$G24&gt;=Hba_15,Input!AF$35&lt;&gt;""),Input!$B$35&amp;";",""),IF(AND($G24&lt;Hta_16,$G24&gt;=Hba_16,Input!AF$36&lt;&gt;""),Input!$B$36&amp;";",""),IF(AND($G24&lt;Hta_17,$G24&gt;=Hba_17,Input!AF$37&lt;&gt;""),Input!$B$37&amp;";",""),IF(AND($G24&lt;Hta_18,$G24&gt;=Hba_18,Input!AF$38&lt;&gt;""),Input!$B$38&amp;";",""),IF(AND($G24&lt;Hta_19,$G24&gt;=Hba_19,Input!AF$39&lt;&gt;""),Input!$B$39&amp;";",""),IF(AND($G24&lt;Hta_20,$G24&gt;=Hba_20,Input!AF$40&lt;&gt;""),Input!$B$40&amp;";",""),IF(AND($G24&lt;Hta_21,$G24&gt;=Hba_21,Input!AF$41&lt;&gt;""),Input!$B$41&amp;";",""),IF(AND($G24&lt;Hta_22,$G24&gt;=Hba_22,Input!AF$42&lt;&gt;""),Input!$B$42&amp;";",""),IF(AND($G24&lt;Hta_23,$G24&gt;=Hba_23,Input!AF$43&lt;&gt;""),Input!$B$43&amp;";",""),IF(AND($G24&lt;Hta_24,$G24&gt;=Hba_24,Input!AF$44&lt;&gt;""),Input!$B$44&amp;";",""),IF(AND($G24&lt;Hta_25,$G24&gt;=Hba_25,Input!AF$45&lt;&gt;""),Input!$B$45&amp;";",""),IF(AND($G24&lt;Hta_26,$G24&gt;=Hba_26,Input!AF$46&lt;&gt;""),Input!$B$46&amp;";",""),IF(AND($G24&lt;Hta_27,$G24&gt;=Hba_27,Input!AF$47&lt;&gt;""),Input!$B$47&amp;";",""),IF(AND($G24&lt;Hta_28,$G24&gt;=Hba_28,Input!AF$48&lt;&gt;""),Input!$B$48&amp;";",""),IF(AND($G24&lt;Hta_29,$G24&gt;=Hba_29,Input!AF$49&lt;&gt;""),Input!$B$49&amp;";",""),IF(AND($G24&lt;Hta_30,$G24&gt;=Hba_30,Input!AF$50&lt;&gt;""),Input!$B$50&amp;";","")),"")</f>
        <v/>
      </c>
      <c r="CH24" s="25" t="str">
        <f>IFERROR(CONCATENATE(IF(AND($G24&lt;Hta_1,$G24&gt;=Hba_1,Input!AG$21&lt;&gt;""),Input!$B$21&amp;";",""),IF(AND($G24&lt;Hta_2,$G24&gt;=Hba_2,Input!AG$22&lt;&gt;""),Input!$B$22&amp;";",""),IF(AND($G24&lt;Hta_3,$G24&gt;=Hba_3,Input!AG$23&lt;&gt;""),Input!$B$23&amp;";",""),IF(AND($G24&lt;Hta_4,$G24&gt;=Hba_4,Input!AG$24&lt;&gt;""),Input!$B$24&amp;";",""),IF(AND($G24&lt;Hta_5,$G24&gt;=Hba_5,Input!AG$25&lt;&gt;""),Input!$B$25&amp;";",""),IF(AND($G24&lt;Hta_6,$G24&gt;=Hba_6,Input!AG$26&lt;&gt;""),Input!$B$26&amp;";",""),IF(AND($G24&lt;Hta_7,$G24&gt;=Hba_7,Input!AG$27&lt;&gt;""),Input!$B$27&amp;";",""),IF(AND($G24&lt;Hta_8,$G24&gt;=Hba_8,Input!AG$28&lt;&gt;""),Input!$B$28&amp;";",""),IF(AND($G24&lt;Hta_9,$G24&gt;=Hba_9,Input!AG$29&lt;&gt;""),Input!$B$29&amp;";",""),IF(AND($G24&lt;Hta_10,$G24&gt;=Hba_10,Input!AG$30&lt;&gt;""),Input!$B$30&amp;";",""),IF(AND($G24&lt;Hta_11,$G24&gt;=Hba_11,Input!AG$31&lt;&gt;""),Input!$B$31&amp;";",""),IF(AND($G24&lt;Hta_12,$G24&gt;=Hba_12,Input!AG$32&lt;&gt;""),Input!$B$32&amp;";",""),IF(AND($G24&lt;Hta_13,$G24&gt;=Hba_13,Input!AG$33&lt;&gt;""),Input!$B$33&amp;";",""),IF(AND($G24&lt;Hta_14,$G24&gt;=Hba_14,Input!AG$34&lt;&gt;""),Input!$B$34&amp;";",""),IF(AND($G24&lt;Hta_15,$G24&gt;=Hba_15,Input!AG$35&lt;&gt;""),Input!$B$35&amp;";",""),IF(AND($G24&lt;Hta_16,$G24&gt;=Hba_16,Input!AG$36&lt;&gt;""),Input!$B$36&amp;";",""),IF(AND($G24&lt;Hta_17,$G24&gt;=Hba_17,Input!AG$37&lt;&gt;""),Input!$B$37&amp;";",""),IF(AND($G24&lt;Hta_18,$G24&gt;=Hba_18,Input!AG$38&lt;&gt;""),Input!$B$38&amp;";",""),IF(AND($G24&lt;Hta_19,$G24&gt;=Hba_19,Input!AG$39&lt;&gt;""),Input!$B$39&amp;";",""),IF(AND($G24&lt;Hta_20,$G24&gt;=Hba_20,Input!AG$40&lt;&gt;""),Input!$B$40&amp;";",""),IF(AND($G24&lt;Hta_21,$G24&gt;=Hba_21,Input!AG$41&lt;&gt;""),Input!$B$41&amp;";",""),IF(AND($G24&lt;Hta_22,$G24&gt;=Hba_22,Input!AG$42&lt;&gt;""),Input!$B$42&amp;";",""),IF(AND($G24&lt;Hta_23,$G24&gt;=Hba_23,Input!AG$43&lt;&gt;""),Input!$B$43&amp;";",""),IF(AND($G24&lt;Hta_24,$G24&gt;=Hba_24,Input!AG$44&lt;&gt;""),Input!$B$44&amp;";",""),IF(AND($G24&lt;Hta_25,$G24&gt;=Hba_25,Input!AG$45&lt;&gt;""),Input!$B$45&amp;";",""),IF(AND($G24&lt;Hta_26,$G24&gt;=Hba_26,Input!AG$46&lt;&gt;""),Input!$B$46&amp;";",""),IF(AND($G24&lt;Hta_27,$G24&gt;=Hba_27,Input!AG$47&lt;&gt;""),Input!$B$47&amp;";",""),IF(AND($G24&lt;Hta_28,$G24&gt;=Hba_28,Input!AG$48&lt;&gt;""),Input!$B$48&amp;";",""),IF(AND($G24&lt;Hta_29,$G24&gt;=Hba_29,Input!AG$49&lt;&gt;""),Input!$B$49&amp;";",""),IF(AND($G24&lt;Hta_30,$G24&gt;=Hba_30,Input!AG$50&lt;&gt;""),Input!$B$50&amp;";","")),"")</f>
        <v/>
      </c>
      <c r="CI24" s="25" t="str">
        <f>IFERROR(CONCATENATE(IF(AND($G24&lt;Hta_1,$G24&gt;=Hba_1,Input!AH$21&lt;&gt;""),Input!$B$21&amp;";",""),IF(AND($G24&lt;Hta_2,$G24&gt;=Hba_2,Input!AH$22&lt;&gt;""),Input!$B$22&amp;";",""),IF(AND($G24&lt;Hta_3,$G24&gt;=Hba_3,Input!AH$23&lt;&gt;""),Input!$B$23&amp;";",""),IF(AND($G24&lt;Hta_4,$G24&gt;=Hba_4,Input!AH$24&lt;&gt;""),Input!$B$24&amp;";",""),IF(AND($G24&lt;Hta_5,$G24&gt;=Hba_5,Input!AH$25&lt;&gt;""),Input!$B$25&amp;";",""),IF(AND($G24&lt;Hta_6,$G24&gt;=Hba_6,Input!AH$26&lt;&gt;""),Input!$B$26&amp;";",""),IF(AND($G24&lt;Hta_7,$G24&gt;=Hba_7,Input!AH$27&lt;&gt;""),Input!$B$27&amp;";",""),IF(AND($G24&lt;Hta_8,$G24&gt;=Hba_8,Input!AH$28&lt;&gt;""),Input!$B$28&amp;";",""),IF(AND($G24&lt;Hta_9,$G24&gt;=Hba_9,Input!AH$29&lt;&gt;""),Input!$B$29&amp;";",""),IF(AND($G24&lt;Hta_10,$G24&gt;=Hba_10,Input!AH$30&lt;&gt;""),Input!$B$30&amp;";",""),IF(AND($G24&lt;Hta_11,$G24&gt;=Hba_11,Input!AH$31&lt;&gt;""),Input!$B$31&amp;";",""),IF(AND($G24&lt;Hta_12,$G24&gt;=Hba_12,Input!AH$32&lt;&gt;""),Input!$B$32&amp;";",""),IF(AND($G24&lt;Hta_13,$G24&gt;=Hba_13,Input!AH$33&lt;&gt;""),Input!$B$33&amp;";",""),IF(AND($G24&lt;Hta_14,$G24&gt;=Hba_14,Input!AH$34&lt;&gt;""),Input!$B$34&amp;";",""),IF(AND($G24&lt;Hta_15,$G24&gt;=Hba_15,Input!AH$35&lt;&gt;""),Input!$B$35&amp;";",""),IF(AND($G24&lt;Hta_16,$G24&gt;=Hba_16,Input!AH$36&lt;&gt;""),Input!$B$36&amp;";",""),IF(AND($G24&lt;Hta_17,$G24&gt;=Hba_17,Input!AH$37&lt;&gt;""),Input!$B$37&amp;";",""),IF(AND($G24&lt;Hta_18,$G24&gt;=Hba_18,Input!AH$38&lt;&gt;""),Input!$B$38&amp;";",""),IF(AND($G24&lt;Hta_19,$G24&gt;=Hba_19,Input!AH$39&lt;&gt;""),Input!$B$39&amp;";",""),IF(AND($G24&lt;Hta_20,$G24&gt;=Hba_20,Input!AH$40&lt;&gt;""),Input!$B$40&amp;";",""),IF(AND($G24&lt;Hta_21,$G24&gt;=Hba_21,Input!AH$41&lt;&gt;""),Input!$B$41&amp;";",""),IF(AND($G24&lt;Hta_22,$G24&gt;=Hba_22,Input!AH$42&lt;&gt;""),Input!$B$42&amp;";",""),IF(AND($G24&lt;Hta_23,$G24&gt;=Hba_23,Input!AH$43&lt;&gt;""),Input!$B$43&amp;";",""),IF(AND($G24&lt;Hta_24,$G24&gt;=Hba_24,Input!AH$44&lt;&gt;""),Input!$B$44&amp;";",""),IF(AND($G24&lt;Hta_25,$G24&gt;=Hba_25,Input!AH$45&lt;&gt;""),Input!$B$45&amp;";",""),IF(AND($G24&lt;Hta_26,$G24&gt;=Hba_26,Input!AH$46&lt;&gt;""),Input!$B$46&amp;";",""),IF(AND($G24&lt;Hta_27,$G24&gt;=Hba_27,Input!AH$47&lt;&gt;""),Input!$B$47&amp;";",""),IF(AND($G24&lt;Hta_28,$G24&gt;=Hba_28,Input!AH$48&lt;&gt;""),Input!$B$48&amp;";",""),IF(AND($G24&lt;Hta_29,$G24&gt;=Hba_29,Input!AH$49&lt;&gt;""),Input!$B$49&amp;";",""),IF(AND($G24&lt;Hta_30,$G24&gt;=Hba_30,Input!AH$50&lt;&gt;""),Input!$B$50&amp;";","")),"")</f>
        <v/>
      </c>
      <c r="CJ24" s="25" t="str">
        <f>IFERROR(CONCATENATE(IF(AND($G24&lt;Hta_1,$G24&gt;=Hba_1,Input!AI$21&lt;&gt;""),Input!$B$21&amp;";",""),IF(AND($G24&lt;Hta_2,$G24&gt;=Hba_2,Input!AI$22&lt;&gt;""),Input!$B$22&amp;";",""),IF(AND($G24&lt;Hta_3,$G24&gt;=Hba_3,Input!AI$23&lt;&gt;""),Input!$B$23&amp;";",""),IF(AND($G24&lt;Hta_4,$G24&gt;=Hba_4,Input!AI$24&lt;&gt;""),Input!$B$24&amp;";",""),IF(AND($G24&lt;Hta_5,$G24&gt;=Hba_5,Input!AI$25&lt;&gt;""),Input!$B$25&amp;";",""),IF(AND($G24&lt;Hta_6,$G24&gt;=Hba_6,Input!AI$26&lt;&gt;""),Input!$B$26&amp;";",""),IF(AND($G24&lt;Hta_7,$G24&gt;=Hba_7,Input!AI$27&lt;&gt;""),Input!$B$27&amp;";",""),IF(AND($G24&lt;Hta_8,$G24&gt;=Hba_8,Input!AI$28&lt;&gt;""),Input!$B$28&amp;";",""),IF(AND($G24&lt;Hta_9,$G24&gt;=Hba_9,Input!AI$29&lt;&gt;""),Input!$B$29&amp;";",""),IF(AND($G24&lt;Hta_10,$G24&gt;=Hba_10,Input!AI$30&lt;&gt;""),Input!$B$30&amp;";",""),IF(AND($G24&lt;Hta_11,$G24&gt;=Hba_11,Input!AI$31&lt;&gt;""),Input!$B$31&amp;";",""),IF(AND($G24&lt;Hta_12,$G24&gt;=Hba_12,Input!AI$32&lt;&gt;""),Input!$B$32&amp;";",""),IF(AND($G24&lt;Hta_13,$G24&gt;=Hba_13,Input!AI$33&lt;&gt;""),Input!$B$33&amp;";",""),IF(AND($G24&lt;Hta_14,$G24&gt;=Hba_14,Input!AI$34&lt;&gt;""),Input!$B$34&amp;";",""),IF(AND($G24&lt;Hta_15,$G24&gt;=Hba_15,Input!AI$35&lt;&gt;""),Input!$B$35&amp;";",""),IF(AND($G24&lt;Hta_16,$G24&gt;=Hba_16,Input!AI$36&lt;&gt;""),Input!$B$36&amp;";",""),IF(AND($G24&lt;Hta_17,$G24&gt;=Hba_17,Input!AI$37&lt;&gt;""),Input!$B$37&amp;";",""),IF(AND($G24&lt;Hta_18,$G24&gt;=Hba_18,Input!AI$38&lt;&gt;""),Input!$B$38&amp;";",""),IF(AND($G24&lt;Hta_19,$G24&gt;=Hba_19,Input!AI$39&lt;&gt;""),Input!$B$39&amp;";",""),IF(AND($G24&lt;Hta_20,$G24&gt;=Hba_20,Input!AI$40&lt;&gt;""),Input!$B$40&amp;";",""),IF(AND($G24&lt;Hta_21,$G24&gt;=Hba_21,Input!AI$41&lt;&gt;""),Input!$B$41&amp;";",""),IF(AND($G24&lt;Hta_22,$G24&gt;=Hba_22,Input!AI$42&lt;&gt;""),Input!$B$42&amp;";",""),IF(AND($G24&lt;Hta_23,$G24&gt;=Hba_23,Input!AI$43&lt;&gt;""),Input!$B$43&amp;";",""),IF(AND($G24&lt;Hta_24,$G24&gt;=Hba_24,Input!AI$44&lt;&gt;""),Input!$B$44&amp;";",""),IF(AND($G24&lt;Hta_25,$G24&gt;=Hba_25,Input!AI$45&lt;&gt;""),Input!$B$45&amp;";",""),IF(AND($G24&lt;Hta_26,$G24&gt;=Hba_26,Input!AI$46&lt;&gt;""),Input!$B$46&amp;";",""),IF(AND($G24&lt;Hta_27,$G24&gt;=Hba_27,Input!AI$47&lt;&gt;""),Input!$B$47&amp;";",""),IF(AND($G24&lt;Hta_28,$G24&gt;=Hba_28,Input!AI$48&lt;&gt;""),Input!$B$48&amp;";",""),IF(AND($G24&lt;Hta_29,$G24&gt;=Hba_29,Input!AI$49&lt;&gt;""),Input!$B$49&amp;";",""),IF(AND($G24&lt;Hta_30,$G24&gt;=Hba_30,Input!AI$50&lt;&gt;""),Input!$B$50&amp;";","")),"")</f>
        <v/>
      </c>
      <c r="CK24" s="25" t="str">
        <f>IFERROR(CONCATENATE(IF(AND($G24&lt;Hta_1,$G24&gt;=Hba_1,Input!AJ$21&lt;&gt;""),Input!$B$21&amp;";",""),IF(AND($G24&lt;Hta_2,$G24&gt;=Hba_2,Input!AJ$22&lt;&gt;""),Input!$B$22&amp;";",""),IF(AND($G24&lt;Hta_3,$G24&gt;=Hba_3,Input!AJ$23&lt;&gt;""),Input!$B$23&amp;";",""),IF(AND($G24&lt;Hta_4,$G24&gt;=Hba_4,Input!AJ$24&lt;&gt;""),Input!$B$24&amp;";",""),IF(AND($G24&lt;Hta_5,$G24&gt;=Hba_5,Input!AJ$25&lt;&gt;""),Input!$B$25&amp;";",""),IF(AND($G24&lt;Hta_6,$G24&gt;=Hba_6,Input!AJ$26&lt;&gt;""),Input!$B$26&amp;";",""),IF(AND($G24&lt;Hta_7,$G24&gt;=Hba_7,Input!AJ$27&lt;&gt;""),Input!$B$27&amp;";",""),IF(AND($G24&lt;Hta_8,$G24&gt;=Hba_8,Input!AJ$28&lt;&gt;""),Input!$B$28&amp;";",""),IF(AND($G24&lt;Hta_9,$G24&gt;=Hba_9,Input!AJ$29&lt;&gt;""),Input!$B$29&amp;";",""),IF(AND($G24&lt;Hta_10,$G24&gt;=Hba_10,Input!AJ$30&lt;&gt;""),Input!$B$30&amp;";",""),IF(AND($G24&lt;Hta_11,$G24&gt;=Hba_11,Input!AJ$31&lt;&gt;""),Input!$B$31&amp;";",""),IF(AND($G24&lt;Hta_12,$G24&gt;=Hba_12,Input!AJ$32&lt;&gt;""),Input!$B$32&amp;";",""),IF(AND($G24&lt;Hta_13,$G24&gt;=Hba_13,Input!AJ$33&lt;&gt;""),Input!$B$33&amp;";",""),IF(AND($G24&lt;Hta_14,$G24&gt;=Hba_14,Input!AJ$34&lt;&gt;""),Input!$B$34&amp;";",""),IF(AND($G24&lt;Hta_15,$G24&gt;=Hba_15,Input!AJ$35&lt;&gt;""),Input!$B$35&amp;";",""),IF(AND($G24&lt;Hta_16,$G24&gt;=Hba_16,Input!AJ$36&lt;&gt;""),Input!$B$36&amp;";",""),IF(AND($G24&lt;Hta_17,$G24&gt;=Hba_17,Input!AJ$37&lt;&gt;""),Input!$B$37&amp;";",""),IF(AND($G24&lt;Hta_18,$G24&gt;=Hba_18,Input!AJ$38&lt;&gt;""),Input!$B$38&amp;";",""),IF(AND($G24&lt;Hta_19,$G24&gt;=Hba_19,Input!AJ$39&lt;&gt;""),Input!$B$39&amp;";",""),IF(AND($G24&lt;Hta_20,$G24&gt;=Hba_20,Input!AJ$40&lt;&gt;""),Input!$B$40&amp;";",""),IF(AND($G24&lt;Hta_21,$G24&gt;=Hba_21,Input!AJ$41&lt;&gt;""),Input!$B$41&amp;";",""),IF(AND($G24&lt;Hta_22,$G24&gt;=Hba_22,Input!AJ$42&lt;&gt;""),Input!$B$42&amp;";",""),IF(AND($G24&lt;Hta_23,$G24&gt;=Hba_23,Input!AJ$43&lt;&gt;""),Input!$B$43&amp;";",""),IF(AND($G24&lt;Hta_24,$G24&gt;=Hba_24,Input!AJ$44&lt;&gt;""),Input!$B$44&amp;";",""),IF(AND($G24&lt;Hta_25,$G24&gt;=Hba_25,Input!AJ$45&lt;&gt;""),Input!$B$45&amp;";",""),IF(AND($G24&lt;Hta_26,$G24&gt;=Hba_26,Input!AJ$46&lt;&gt;""),Input!$B$46&amp;";",""),IF(AND($G24&lt;Hta_27,$G24&gt;=Hba_27,Input!AJ$47&lt;&gt;""),Input!$B$47&amp;";",""),IF(AND($G24&lt;Hta_28,$G24&gt;=Hba_28,Input!AJ$48&lt;&gt;""),Input!$B$48&amp;";",""),IF(AND($G24&lt;Hta_29,$G24&gt;=Hba_29,Input!AJ$49&lt;&gt;""),Input!$B$49&amp;";",""),IF(AND($G24&lt;Hta_30,$G24&gt;=Hba_30,Input!AJ$50&lt;&gt;""),Input!$B$50&amp;";","")),"")</f>
        <v/>
      </c>
      <c r="CL24" s="25" t="str">
        <f>IFERROR(CONCATENATE(IF(AND($G24&lt;Hta_1,$G24&gt;=Hba_1,Input!AK$21&lt;&gt;""),Input!$B$21&amp;";",""),IF(AND($G24&lt;Hta_2,$G24&gt;=Hba_2,Input!AK$22&lt;&gt;""),Input!$B$22&amp;";",""),IF(AND($G24&lt;Hta_3,$G24&gt;=Hba_3,Input!AK$23&lt;&gt;""),Input!$B$23&amp;";",""),IF(AND($G24&lt;Hta_4,$G24&gt;=Hba_4,Input!AK$24&lt;&gt;""),Input!$B$24&amp;";",""),IF(AND($G24&lt;Hta_5,$G24&gt;=Hba_5,Input!AK$25&lt;&gt;""),Input!$B$25&amp;";",""),IF(AND($G24&lt;Hta_6,$G24&gt;=Hba_6,Input!AK$26&lt;&gt;""),Input!$B$26&amp;";",""),IF(AND($G24&lt;Hta_7,$G24&gt;=Hba_7,Input!AK$27&lt;&gt;""),Input!$B$27&amp;";",""),IF(AND($G24&lt;Hta_8,$G24&gt;=Hba_8,Input!AK$28&lt;&gt;""),Input!$B$28&amp;";",""),IF(AND($G24&lt;Hta_9,$G24&gt;=Hba_9,Input!AK$29&lt;&gt;""),Input!$B$29&amp;";",""),IF(AND($G24&lt;Hta_10,$G24&gt;=Hba_10,Input!AK$30&lt;&gt;""),Input!$B$30&amp;";",""),IF(AND($G24&lt;Hta_11,$G24&gt;=Hba_11,Input!AK$31&lt;&gt;""),Input!$B$31&amp;";",""),IF(AND($G24&lt;Hta_12,$G24&gt;=Hba_12,Input!AK$32&lt;&gt;""),Input!$B$32&amp;";",""),IF(AND($G24&lt;Hta_13,$G24&gt;=Hba_13,Input!AK$33&lt;&gt;""),Input!$B$33&amp;";",""),IF(AND($G24&lt;Hta_14,$G24&gt;=Hba_14,Input!AK$34&lt;&gt;""),Input!$B$34&amp;";",""),IF(AND($G24&lt;Hta_15,$G24&gt;=Hba_15,Input!AK$35&lt;&gt;""),Input!$B$35&amp;";",""),IF(AND($G24&lt;Hta_16,$G24&gt;=Hba_16,Input!AK$36&lt;&gt;""),Input!$B$36&amp;";",""),IF(AND($G24&lt;Hta_17,$G24&gt;=Hba_17,Input!AK$37&lt;&gt;""),Input!$B$37&amp;";",""),IF(AND($G24&lt;Hta_18,$G24&gt;=Hba_18,Input!AK$38&lt;&gt;""),Input!$B$38&amp;";",""),IF(AND($G24&lt;Hta_19,$G24&gt;=Hba_19,Input!AK$39&lt;&gt;""),Input!$B$39&amp;";",""),IF(AND($G24&lt;Hta_20,$G24&gt;=Hba_20,Input!AK$40&lt;&gt;""),Input!$B$40&amp;";",""),IF(AND($G24&lt;Hta_21,$G24&gt;=Hba_21,Input!AK$41&lt;&gt;""),Input!$B$41&amp;";",""),IF(AND($G24&lt;Hta_22,$G24&gt;=Hba_22,Input!AK$42&lt;&gt;""),Input!$B$42&amp;";",""),IF(AND($G24&lt;Hta_23,$G24&gt;=Hba_23,Input!AK$43&lt;&gt;""),Input!$B$43&amp;";",""),IF(AND($G24&lt;Hta_24,$G24&gt;=Hba_24,Input!AK$44&lt;&gt;""),Input!$B$44&amp;";",""),IF(AND($G24&lt;Hta_25,$G24&gt;=Hba_25,Input!AK$45&lt;&gt;""),Input!$B$45&amp;";",""),IF(AND($G24&lt;Hta_26,$G24&gt;=Hba_26,Input!AK$46&lt;&gt;""),Input!$B$46&amp;";",""),IF(AND($G24&lt;Hta_27,$G24&gt;=Hba_27,Input!AK$47&lt;&gt;""),Input!$B$47&amp;";",""),IF(AND($G24&lt;Hta_28,$G24&gt;=Hba_28,Input!AK$48&lt;&gt;""),Input!$B$48&amp;";",""),IF(AND($G24&lt;Hta_29,$G24&gt;=Hba_29,Input!AK$49&lt;&gt;""),Input!$B$49&amp;";",""),IF(AND($G24&lt;Hta_30,$G24&gt;=Hba_30,Input!AK$50&lt;&gt;""),Input!$B$50&amp;";","")),"")</f>
        <v/>
      </c>
      <c r="CM24" s="25" t="str">
        <f>IFERROR(CONCATENATE(IF(AND($G24&lt;Hta_1,$G24&gt;=Hba_1,Input!AL$21&lt;&gt;""),Input!$B$21&amp;";",""),IF(AND($G24&lt;Hta_2,$G24&gt;=Hba_2,Input!AL$22&lt;&gt;""),Input!$B$22&amp;";",""),IF(AND($G24&lt;Hta_3,$G24&gt;=Hba_3,Input!AL$23&lt;&gt;""),Input!$B$23&amp;";",""),IF(AND($G24&lt;Hta_4,$G24&gt;=Hba_4,Input!AL$24&lt;&gt;""),Input!$B$24&amp;";",""),IF(AND($G24&lt;Hta_5,$G24&gt;=Hba_5,Input!AL$25&lt;&gt;""),Input!$B$25&amp;";",""),IF(AND($G24&lt;Hta_6,$G24&gt;=Hba_6,Input!AL$26&lt;&gt;""),Input!$B$26&amp;";",""),IF(AND($G24&lt;Hta_7,$G24&gt;=Hba_7,Input!AL$27&lt;&gt;""),Input!$B$27&amp;";",""),IF(AND($G24&lt;Hta_8,$G24&gt;=Hba_8,Input!AL$28&lt;&gt;""),Input!$B$28&amp;";",""),IF(AND($G24&lt;Hta_9,$G24&gt;=Hba_9,Input!AL$29&lt;&gt;""),Input!$B$29&amp;";",""),IF(AND($G24&lt;Hta_10,$G24&gt;=Hba_10,Input!AL$30&lt;&gt;""),Input!$B$30&amp;";",""),IF(AND($G24&lt;Hta_11,$G24&gt;=Hba_11,Input!AL$31&lt;&gt;""),Input!$B$31&amp;";",""),IF(AND($G24&lt;Hta_12,$G24&gt;=Hba_12,Input!AL$32&lt;&gt;""),Input!$B$32&amp;";",""),IF(AND($G24&lt;Hta_13,$G24&gt;=Hba_13,Input!AL$33&lt;&gt;""),Input!$B$33&amp;";",""),IF(AND($G24&lt;Hta_14,$G24&gt;=Hba_14,Input!AL$34&lt;&gt;""),Input!$B$34&amp;";",""),IF(AND($G24&lt;Hta_15,$G24&gt;=Hba_15,Input!AL$35&lt;&gt;""),Input!$B$35&amp;";",""),IF(AND($G24&lt;Hta_16,$G24&gt;=Hba_16,Input!AL$36&lt;&gt;""),Input!$B$36&amp;";",""),IF(AND($G24&lt;Hta_17,$G24&gt;=Hba_17,Input!AL$37&lt;&gt;""),Input!$B$37&amp;";",""),IF(AND($G24&lt;Hta_18,$G24&gt;=Hba_18,Input!AL$38&lt;&gt;""),Input!$B$38&amp;";",""),IF(AND($G24&lt;Hta_19,$G24&gt;=Hba_19,Input!AL$39&lt;&gt;""),Input!$B$39&amp;";",""),IF(AND($G24&lt;Hta_20,$G24&gt;=Hba_20,Input!AL$40&lt;&gt;""),Input!$B$40&amp;";",""),IF(AND($G24&lt;Hta_21,$G24&gt;=Hba_21,Input!AL$41&lt;&gt;""),Input!$B$41&amp;";",""),IF(AND($G24&lt;Hta_22,$G24&gt;=Hba_22,Input!AL$42&lt;&gt;""),Input!$B$42&amp;";",""),IF(AND($G24&lt;Hta_23,$G24&gt;=Hba_23,Input!AL$43&lt;&gt;""),Input!$B$43&amp;";",""),IF(AND($G24&lt;Hta_24,$G24&gt;=Hba_24,Input!AL$44&lt;&gt;""),Input!$B$44&amp;";",""),IF(AND($G24&lt;Hta_25,$G24&gt;=Hba_25,Input!AL$45&lt;&gt;""),Input!$B$45&amp;";",""),IF(AND($G24&lt;Hta_26,$G24&gt;=Hba_26,Input!AL$46&lt;&gt;""),Input!$B$46&amp;";",""),IF(AND($G24&lt;Hta_27,$G24&gt;=Hba_27,Input!AL$47&lt;&gt;""),Input!$B$47&amp;";",""),IF(AND($G24&lt;Hta_28,$G24&gt;=Hba_28,Input!AL$48&lt;&gt;""),Input!$B$48&amp;";",""),IF(AND($G24&lt;Hta_29,$G24&gt;=Hba_29,Input!AL$49&lt;&gt;""),Input!$B$49&amp;";",""),IF(AND($G24&lt;Hta_30,$G24&gt;=Hba_30,Input!AL$50&lt;&gt;""),Input!$B$50&amp;";","")),"")</f>
        <v/>
      </c>
      <c r="CN24" s="59" t="str">
        <f t="shared" si="6"/>
        <v/>
      </c>
      <c r="CO24" s="791"/>
      <c r="CP24" s="792"/>
      <c r="CQ24" s="793"/>
      <c r="CR24" s="791"/>
      <c r="CS24" s="792"/>
      <c r="CT24" s="793"/>
      <c r="CU24" s="791" t="str">
        <f t="shared" si="7"/>
        <v/>
      </c>
      <c r="CV24" s="792"/>
      <c r="CW24" s="807"/>
      <c r="CX24" s="808"/>
      <c r="CY24" s="730"/>
      <c r="CZ24" s="809"/>
      <c r="DA24" s="733"/>
      <c r="DB24" s="734"/>
      <c r="DC24" s="735"/>
      <c r="DD24" s="729" t="str">
        <f t="shared" si="8"/>
        <v/>
      </c>
      <c r="DE24" s="730"/>
      <c r="DF24" s="731"/>
      <c r="DG24" s="55"/>
      <c r="DH24" s="56"/>
      <c r="DI24" s="56"/>
      <c r="DJ24" s="56"/>
      <c r="DK24" s="56"/>
      <c r="DL24" s="56"/>
      <c r="DM24" s="56"/>
      <c r="DN24" s="56"/>
      <c r="DO24" s="56"/>
      <c r="DP24" s="56"/>
      <c r="DQ24" s="58"/>
      <c r="DR24" s="58"/>
      <c r="DS24" s="58"/>
      <c r="DT24" s="58"/>
      <c r="DU24" s="58"/>
      <c r="DV24" s="58"/>
      <c r="DW24" s="58"/>
      <c r="DX24" s="58"/>
      <c r="DY24" s="58"/>
      <c r="DZ24" s="58"/>
      <c r="EA24" s="58"/>
      <c r="EB24" s="58"/>
      <c r="EC24" s="58"/>
      <c r="ED24" s="58"/>
      <c r="EE24" s="58"/>
      <c r="EF24" s="58"/>
      <c r="EG24" s="58"/>
      <c r="EH24" s="58"/>
      <c r="EI24" s="58"/>
      <c r="EJ24" s="58"/>
      <c r="EK24" s="58"/>
      <c r="EL24" s="134"/>
      <c r="EM24" s="134"/>
      <c r="EN24" s="134"/>
      <c r="EO24" s="134"/>
      <c r="EP24" s="134"/>
      <c r="EQ24" s="134"/>
      <c r="ER24" s="134"/>
      <c r="ES24" s="134"/>
      <c r="ET24" s="134"/>
      <c r="EU24" s="134"/>
      <c r="EV24" s="134"/>
      <c r="EW24" s="134"/>
      <c r="EX24" s="134"/>
      <c r="EY24" s="134"/>
      <c r="EZ24" s="134"/>
      <c r="FA24" s="134"/>
      <c r="FB24" s="134"/>
      <c r="FC24" s="134"/>
      <c r="FD24" s="134"/>
      <c r="FE24" s="134"/>
      <c r="FF24" s="134"/>
      <c r="FG24" s="134"/>
      <c r="FH24" s="134"/>
      <c r="FI24" s="134"/>
      <c r="FJ24" s="134"/>
      <c r="FK24" s="134"/>
      <c r="FL24" s="134"/>
      <c r="FM24" s="134"/>
      <c r="FN24" s="134"/>
      <c r="FO24" s="134"/>
      <c r="FP24" s="65"/>
      <c r="FQ24" s="124"/>
      <c r="FR24" s="122"/>
      <c r="FS24" s="120"/>
      <c r="FT24" s="119"/>
    </row>
    <row r="25" spans="2:176" ht="15.75" hidden="1" customHeight="1" thickBot="1" x14ac:dyDescent="0.3">
      <c r="B25" s="62" t="b">
        <f>IF(OR(AND(G25&gt;='Geometry 2'!$AK$5,G25&lt;'Geometry 2'!$AL$5),AND(G25&gt;='Geometry 2'!$AK$6,G25&lt;'Geometry 2'!$AL$6),AND(G25&gt;='Geometry 2'!$AK$7,G25&lt;'Geometry 2'!$AL$7),AND(G25&gt;='Geometry 2'!$AK$8,G25&lt;'Geometry 2'!$AL$8),AND(G25&gt;='Geometry 2'!$AK$9,G25&lt;'Geometry 2'!$AL$9),AND(G25&gt;='Geometry 2'!$AK$10,G25&lt;'Geometry 2'!$AL$10),AND(G25&gt;='Geometry 2'!$AK$11,G25&lt;'Geometry 2'!$AL$11),AND(G25&gt;='Geometry 2'!$AK$12,G25&lt;'Geometry 2'!$AL$12),AND(G25&gt;='Geometry 2'!$AK$13,G25&lt;'Geometry 2'!$AL$13),AND(G25&gt;='Geometry 2'!$AK$14,G25&lt;'Geometry 2'!$AL$14)),TRUE,FALSE)</f>
        <v>0</v>
      </c>
      <c r="C25" s="4" t="str">
        <f t="shared" si="3"/>
        <v/>
      </c>
      <c r="D25" s="766" t="str">
        <f t="shared" si="4"/>
        <v/>
      </c>
      <c r="E25" s="767"/>
      <c r="F25" s="17" t="str">
        <f t="shared" si="2"/>
        <v/>
      </c>
      <c r="G25" s="768" t="str">
        <f>IF(D25="","",MAX(0,G24-IF(inc="n/a",999,inc),MAX(IF(G24&lt;=Hta_1,0,Hta_1),IF(G24&lt;=Hta_2,0,Hta_2),IF(G24&lt;=Hta_3,0,Hta_3),IF(G24&lt;=Hta_4,0,Hta_4),IF(G24&lt;=Hta_5,0,Hta_5),IF(G24&lt;=Hta_6,0,Hta_6),IF(G24&lt;=Hta_7,0,Hta_7),IF(G24&lt;=Hta_8,0,Hta_8),IF(G24&lt;=Hta_9,0,Hta_9),IF(G24&lt;=Hta_10,0,Hta_10),IF(G24&lt;=Hta_11,0,Hta_11),IF(G24&lt;=Hta_12,0,Hta_12),IF(G24&lt;=Hta_13,0,Hta_13),IF(G24&lt;=Hta_14,0,Hta_14),IF(G24&lt;=Hta_15,0,Hta_15),IF(G24&lt;=Hta_16,0,Hta_16),IF(G24&lt;=Hta_17,0,Hta_17),IF(G24&lt;=Hta_18,0,Hta_18),IF(G24&lt;=Hta_19,0,Hta_19),IF(G24&lt;=Hta_20,0,Hta_20),IF(G24&lt;=Hta_21,0,Hta_21),IF(G24&lt;=Hta_22,0,Hta_22),IF(G24&lt;=Hta_23,0,Hta_23),IF(G24&lt;=Hta_24,0,Hta_24),IF(G24&lt;=Hta_25,0,Hta_25),IF(G24&lt;=Hta_26,0,Hta_26),IF(G24&lt;=Hta_27,0,Hta_27),IF(G24&lt;=Hta_28,0,Hta_28),IF(G24&lt;=Hta_29,0,Hta_29),IF(G24&lt;=Hta_30,0,Hta_30)),MAX(IF(G24&lt;=Hta_1-0.25,0,Hta_1-0.25),IF(G24&lt;=Hta_2-0.25,0,Hta_2-0.25),IF(G24&lt;=Hta_3-0.25,0,Hta_3-0.25),IF(G24&lt;=Hta_4-0.25,0,Hta_4-0.25),IF(G24&lt;=Hta_5-0.25,0,Hta_5-0.25),IF(G24&lt;=Hta_6-0.25,0,Hta_6-0.25),IF(G24&lt;=Hta_7-0.25,0,Hta_7-0.25),IF(G24&lt;=Hta_8-0.25,0,Hta_8-0.25),IF(G24&lt;=Hta_9-0.25,0,Hta_9-0.25),IF(G24&lt;=Hta_10-0.25,0,Hta_10-0.25),IF(G24&lt;=Hta_11-0.25,0,Hta_11-0.25),IF(G24&lt;=Hta_12-0.25,0,Hta_12-0.25),IF(G24&lt;=Hta_13-0.25,0,Hta_13-0.25),IF(G24&lt;=Hta_14-0.25,0,Hta_14-0.25),IF(G24&lt;=Hta_15-0.25,0,Hta_15-0.25),IF(G24&lt;=Hta_16-0.25,0,Hta_16-0.25),IF(G24&lt;=Hta_17-0.25,0,Hta_17-0.25),IF(G24&lt;=Hta_18-0.25,0,Hta_18-0.25),IF(G24&lt;=Hta_19-0.25,0,Hta_19-0.25),IF(G24&lt;=Hta_20-0.25,0,Hta_20-0.25),IF(G24&lt;=Hta_21-0.25,0,Hta_21-0.25),IF(G24&lt;=Hta_22-0.25,0,Hta_22-0.25),IF(G24&lt;=Hta_23-0.25,0,Hta_23-0.25),IF(G24&lt;=Hta_24-0.25,0,Hta_24-0.25),IF(G24&lt;=Hta_25-0.25,0,Hta_25-0.25),IF(G24&lt;=Hta_26-0.25,0,Hta_26-0.25),IF(G24&lt;=Hta_27-0.25,0,Hta_27-0.25),IF(G24&lt;=Hta_28-0.25,0,Hta_28-0.25),IF(G24&lt;=Hta_29-0.25,0,Hta_29-0.25),IF(G24&lt;=Hta_30-0.25,0,Hta_30-0.25)),MAX(IF(G24&lt;=Hba_1,0,Hba_1),IF(G24&lt;=Hba_2,0,Hba_2),IF(G24&lt;=Hba_3,0,Hba_3),IF(G24&lt;=Hba_4,0,Hba_4),IF(G24&lt;=Hba_5,0,Hba_5),IF(G24&lt;=Hba_6,0,Hba_6),IF(G24&lt;=Hba_7,0,Hba_7),IF(G24&lt;=Hba_8,0,Hba_8),IF(G24&lt;=Hba_9,0,Hba_9),IF(G24&lt;=Hba_10,0,Hba_10),IF(G24&lt;=Hba_11,0,Hba_11),IF(G24&lt;=Hba_12,0,Hba_12),IF(G24&lt;=Hba_13,0,Hba_13),IF(G24&lt;=Hba_14,0,Hba_14),IF(G24&lt;=Hba_15,0,Hba_15),IF(G24&lt;=Hba_16,0,Hba_16),IF(G24&lt;=Hba_17,0,Hba_17),IF(G24&lt;=Hba_18,0,Hba_18),IF(G24&lt;=Hba_19,0,Hba_19),IF(G24&lt;=Hba_20,0,Hba_20),IF(G24&lt;=Hba_21,0,Hba_21),IF(G24&lt;=Hba_22,0,Hba_22),IF(G24&lt;=Hba_23,0,Hba_23),IF(G24&lt;=Hba_24,0,Hba_24),IF(G24&lt;=Hba_25,0,Hba_25),IF(G24&lt;=Hba_26,0,Hba_26),IF(G24&lt;=Hba_27,0,Hba_27),IF(G24&lt;=Hba_28,0,Hba_28),IF(G24&lt;=Hba_29,0,Hba_29),IF(G24&lt;=Hba_30,0,Hba_30)),MAX(IF(G24&lt;=Input!$C$8,0,Input!$C$8),IF(G24&lt;=Input!$C$9,0,Input!$C$9),IF(G24&lt;=Input!$C$10,0,Input!$C$10),IF(G24&lt;=Input!$C$11,0,Input!$C$11),IF(G24&lt;=Input!$C$12,0,Input!$C$12),IF(G24&lt;=Input!$C$13,0,Input!$C$13),IF(G24&lt;=Input!$C$14,0,Input!$C$14),IF(G24&lt;=Input!$C$15,0,Input!$C$15),IF(G24&lt;=Input!$C$16,0,Input!$C$16)),MAX(IF(G24&lt;=Hba_1-0.25,0,Hba_1-0.25),IF(G24&lt;=Hba_2-0.25,0,Hba_2-0.25),IF(G24&lt;=Hba_3-0.25,0,Hba_3-0.25),IF(G24&lt;=Hba_4-0.25,0,Hba_4-0.25),IF(G24&lt;=Hba_5-0.25,0,Hba_5-0.25),IF(G24&lt;=Hba_6-0.25,0,Hba_6-0.25),IF(G24&lt;=Hba_7-0.25,0,Hba_7-0.25),IF(G24&lt;=Hba_8-0.25,0,Hba_8-0.25),IF(G24&lt;=Hba_9-0.25,0,Hba_9-0.25),IF(G24&lt;=Hba_10-0.25,0,Hba_10-0.25),IF(G24&lt;=Hba_11-0.25,0,Hba_11-0.25),IF(G24&lt;=Hba_12-0.25,0,Hba_12-0.25),IF(G24&lt;=Hba_13-0.25,0,Hba_13-0.25),IF(G24&lt;=Hba_14-0.25,0,Hba_14-0.25),IF(G24&lt;=Hba_15-0.25,0,Hba_15-0.25),IF(G24&lt;=Hba_16-0.25,0,Hba_16-0.25),IF(G24&lt;=Hba_17-0.25,0,Hba_17-0.25),IF(G24&lt;=Hba_18-0.25,0,Hba_18-0.25),IF(G24&lt;=Hba_19-0.25,0,Hba_19-0.25),IF(G24&lt;=Hba_20-0.25,0,Hba_20-0.25),IF(G24&lt;=Hba_21-0.25,0,Hba_21-0.25),IF(G24&lt;=Hba_22-0.25,0,Hba_22-0.25),IF(G24&lt;=Hba_23-0.25,0,Hba_23-0.25),IF(G24&lt;=Hba_24-0.25,0,Hba_24-0.25),IF(G24&lt;=Hba_25-0.25,0,Hba_25-0.25),IF(G24&lt;=Hba_26-0.25,0,Hba_26-0.25),IF(G24&lt;=Hba_27-0.25,0,Hba_27-0.25),IF(G24&lt;=Hba_28-0.25,0,Hba_28-0.25),IF(G24&lt;=Hba_29-0.25,0,Hba_29-0.25),IF(G24&lt;=Hba_30-0.25,0,Hba_30-0.25)),IF(G24&lt;='Macro References'!$A$38,0,'Macro References'!$A$38)))</f>
        <v/>
      </c>
      <c r="H25" s="769"/>
      <c r="I25" s="228"/>
      <c r="J25" s="228"/>
      <c r="K25" s="228"/>
      <c r="L25" s="717" t="str">
        <f t="shared" si="0"/>
        <v/>
      </c>
      <c r="M25" s="717"/>
      <c r="N25" s="717"/>
      <c r="O25" s="717"/>
      <c r="P25" s="717" t="str">
        <f>IF(OR(G25=0,G25=""),"",IF(VLOOKUP(G25,'Geometry 2'!$C$4:$AI$14,1,TRUE)=VLOOKUP(G26,'Geometry 2'!$C$4:$AI$14,1,TRUE),"",IF(VLOOKUP(G25,'Geometry 2'!$C$4:$AI$14,33,TRUE)&lt;&gt;"n/a",MIN(G25,VLOOKUP(G25,'Geometry 2'!$C$4:$AI$14,1,TRUE))-VLOOKUP(G25,'Geometry 2'!$C$4:$AI$14,33,TRUE),"check")))</f>
        <v/>
      </c>
      <c r="Q25" s="717"/>
      <c r="R25" s="717"/>
      <c r="S25" s="717"/>
      <c r="T25" s="717" t="str">
        <f>IF($G25="","",VLOOKUP($G25,'Geometry 2'!$E$4:$AH$14,11,TRUE))</f>
        <v/>
      </c>
      <c r="U25" s="717"/>
      <c r="V25" s="717"/>
      <c r="W25" s="717"/>
      <c r="X25" s="716" t="str">
        <f>IF($G25="","",VLOOKUP($G25,'Geometry 2'!$E$4:$AJ$14,19,TRUE)-12*VLOOKUP($G25,'Geometry 2'!$E$4:$AJ$14,32,TRUE)*($D25-VLOOKUP($G25,'Geometry 2'!$E$5:$AH$14,1,TRUE)))</f>
        <v/>
      </c>
      <c r="Y25" s="716"/>
      <c r="Z25" s="716"/>
      <c r="AA25" s="716"/>
      <c r="AB25" s="757" t="str">
        <f>IF($G25="","",VLOOKUP($G25,'Geometry 2'!$E$4:$AJ$14,19,TRUE)-12*VLOOKUP($G25,'Geometry 2'!$E$4:$AJ$14,32,TRUE)*($G25-VLOOKUP($G25,'Geometry 2'!$E$5:$AH$14,1,TRUE)))</f>
        <v/>
      </c>
      <c r="AC25" s="758"/>
      <c r="AD25" s="758"/>
      <c r="AE25" s="759"/>
      <c r="AF25" s="716" t="str">
        <f>IF($G25="","",VLOOKUP($G25,'Geometry 2'!$E$4:$AJ$14,19,TRUE)-12*VLOOKUP($G25,'Geometry 2'!$E$4:$AJ$14,32,TRUE)*($G25-IF($P25="",0,$P25)-VLOOKUP($G25,'Geometry 2'!$E$5:$AH$14,1,TRUE)))</f>
        <v/>
      </c>
      <c r="AG25" s="716"/>
      <c r="AH25" s="716"/>
      <c r="AI25" s="716"/>
      <c r="AJ25" s="746" t="str">
        <f>IF($G25="","",VLOOKUP($G25,'Geometry 2'!$E$4:$AH$14,23,TRUE))</f>
        <v/>
      </c>
      <c r="AK25" s="747"/>
      <c r="AL25" s="747"/>
      <c r="AM25" s="748"/>
      <c r="AN25" s="717"/>
      <c r="AO25" s="717"/>
      <c r="AP25" s="717"/>
      <c r="AQ25" s="717"/>
      <c r="AR25" s="717" t="str">
        <f>IF($G25="","",VLOOKUP($G25,'Geometry 2'!$E$4:$AH$14,27,TRUE))</f>
        <v/>
      </c>
      <c r="AS25" s="717"/>
      <c r="AT25" s="717"/>
      <c r="AU25" s="718"/>
      <c r="AV25" s="715"/>
      <c r="AW25" s="716"/>
      <c r="AX25" s="716"/>
      <c r="AZ25" s="722" t="str">
        <f t="shared" si="5"/>
        <v/>
      </c>
      <c r="BA25" s="723"/>
      <c r="BB25" s="723"/>
      <c r="BC25" s="724"/>
      <c r="BD25" s="722"/>
      <c r="BE25" s="723"/>
      <c r="BF25" s="723"/>
      <c r="BG25" s="722" t="str">
        <f t="shared" si="9"/>
        <v/>
      </c>
      <c r="BH25" s="723"/>
      <c r="BI25" s="723"/>
      <c r="BJ25" s="723"/>
      <c r="BK25" s="724"/>
      <c r="BL25" s="722"/>
      <c r="BM25" s="723"/>
      <c r="BN25" s="723"/>
      <c r="BO25" s="723"/>
      <c r="BP25" s="725"/>
      <c r="BQ25" s="725"/>
      <c r="BR25" s="722" t="str">
        <f>IF(BP25="","",IF(OR(AND(Rev="H",Calculations!$F$27=TRUE),AND(Rev&lt;&gt;"H",Calculations!$F$30=TRUE)),IF(BP25&lt;=1,"Pass","Fail"),IF(BP25&lt;=1.05,"Pass","Fail")))</f>
        <v/>
      </c>
      <c r="BS25" s="723"/>
      <c r="BT25" s="724"/>
      <c r="BU25" s="49"/>
      <c r="BV25" s="25" t="str">
        <f>IFERROR(CONCATENATE(IF(AND($G25&lt;Hta_1,$G25&gt;=Hba_1,Input!U$21&lt;&gt;""),Input!$B$21&amp;";",""),IF(AND($G25&lt;Hta_2,$G25&gt;=Hba_2,Input!U$22&lt;&gt;""),Input!$B$22&amp;";",""),IF(AND($G25&lt;Hta_3,$G25&gt;=Hba_3,Input!U$23&lt;&gt;""),Input!$B$23&amp;";",""),IF(AND($G25&lt;Hta_4,$G25&gt;=Hba_4,Input!U$24&lt;&gt;""),Input!$B$24&amp;";",""),IF(AND($G25&lt;Hta_5,$G25&gt;=Hba_5,Input!U$25&lt;&gt;""),Input!$B$25&amp;";",""),IF(AND($G25&lt;Hta_6,$G25&gt;=Hba_6,Input!U$26&lt;&gt;""),Input!$B$26&amp;";",""),IF(AND($G25&lt;Hta_7,$G25&gt;=Hba_7,Input!U$27&lt;&gt;""),Input!$B$27&amp;";",""),IF(AND($G25&lt;Hta_8,$G25&gt;=Hba_8,Input!U$28&lt;&gt;""),Input!$B$28&amp;";",""),IF(AND($G25&lt;Hta_9,$G25&gt;=Hba_9,Input!U$29&lt;&gt;""),Input!$B$29&amp;";",""),IF(AND($G25&lt;Hta_10,$G25&gt;=Hba_10,Input!U$30&lt;&gt;""),Input!$B$30&amp;";",""),IF(AND($G25&lt;Hta_11,$G25&gt;=Hba_11,Input!U$31&lt;&gt;""),Input!$B$31&amp;";",""),IF(AND($G25&lt;Hta_12,$G25&gt;=Hba_12,Input!U$32&lt;&gt;""),Input!$B$32&amp;";",""),IF(AND($G25&lt;Hta_13,$G25&gt;=Hba_13,Input!U$33&lt;&gt;""),Input!$B$33&amp;";",""),IF(AND($G25&lt;Hta_14,$G25&gt;=Hba_14,Input!U$34&lt;&gt;""),Input!$B$34&amp;";",""),IF(AND($G25&lt;Hta_15,$G25&gt;=Hba_15,Input!U$35&lt;&gt;""),Input!$B$35&amp;";",""),IF(AND($G25&lt;Hta_16,$G25&gt;=Hba_16,Input!U$36&lt;&gt;""),Input!$B$36&amp;";",""),IF(AND($G25&lt;Hta_17,$G25&gt;=Hba_17,Input!U$37&lt;&gt;""),Input!$B$37&amp;";",""),IF(AND($G25&lt;Hta_18,$G25&gt;=Hba_18,Input!U$38&lt;&gt;""),Input!$B$38&amp;";",""),IF(AND($G25&lt;Hta_19,$G25&gt;=Hba_19,Input!U$39&lt;&gt;""),Input!$B$39&amp;";",""),IF(AND($G25&lt;Hta_20,$G25&gt;=Hba_20,Input!U$40&lt;&gt;""),Input!$B$40&amp;";",""),IF(AND($G25&lt;Hta_21,$G25&gt;=Hba_21,Input!U$41&lt;&gt;""),Input!$B$41&amp;";",""),IF(AND($G25&lt;Hta_22,$G25&gt;=Hba_22,Input!U$42&lt;&gt;""),Input!$B$42&amp;";",""),IF(AND($G25&lt;Hta_23,$G25&gt;=Hba_23,Input!U$43&lt;&gt;""),Input!$B$43&amp;";",""),IF(AND($G25&lt;Hta_24,$G25&gt;=Hba_24,Input!U$44&lt;&gt;""),Input!$B$44&amp;";",""),IF(AND($G25&lt;Hta_25,$G25&gt;=Hba_25,Input!U$45&lt;&gt;""),Input!$B$45&amp;";",""),IF(AND($G25&lt;Hta_26,$G25&gt;=Hba_26,Input!U$46&lt;&gt;""),Input!$B$46&amp;";",""),IF(AND($G25&lt;Hta_27,$G25&gt;=Hba_27,Input!U$47&lt;&gt;""),Input!$B$47&amp;";",""),IF(AND($G25&lt;Hta_28,$G25&gt;=Hba_28,Input!U$48&lt;&gt;""),Input!$B$48&amp;";",""),IF(AND($G25&lt;Hta_29,$G25&gt;=Hba_29,Input!U$49&lt;&gt;""),Input!$B$49&amp;";",""),IF(AND($G25&lt;Hta_30,$G25&gt;=Hba_30,Input!U$50&lt;&gt;""),Input!$B$50&amp;";","")),"")</f>
        <v/>
      </c>
      <c r="BW25" s="25" t="str">
        <f>IFERROR(CONCATENATE(IF(AND($G25&lt;Hta_1,$G25&gt;=Hba_1,Input!V$21&lt;&gt;""),Input!$B$21&amp;";",""),IF(AND($G25&lt;Hta_2,$G25&gt;=Hba_2,Input!V$22&lt;&gt;""),Input!$B$22&amp;";",""),IF(AND($G25&lt;Hta_3,$G25&gt;=Hba_3,Input!V$23&lt;&gt;""),Input!$B$23&amp;";",""),IF(AND($G25&lt;Hta_4,$G25&gt;=Hba_4,Input!V$24&lt;&gt;""),Input!$B$24&amp;";",""),IF(AND($G25&lt;Hta_5,$G25&gt;=Hba_5,Input!V$25&lt;&gt;""),Input!$B$25&amp;";",""),IF(AND($G25&lt;Hta_6,$G25&gt;=Hba_6,Input!V$26&lt;&gt;""),Input!$B$26&amp;";",""),IF(AND($G25&lt;Hta_7,$G25&gt;=Hba_7,Input!V$27&lt;&gt;""),Input!$B$27&amp;";",""),IF(AND($G25&lt;Hta_8,$G25&gt;=Hba_8,Input!V$28&lt;&gt;""),Input!$B$28&amp;";",""),IF(AND($G25&lt;Hta_9,$G25&gt;=Hba_9,Input!V$29&lt;&gt;""),Input!$B$29&amp;";",""),IF(AND($G25&lt;Hta_10,$G25&gt;=Hba_10,Input!V$30&lt;&gt;""),Input!$B$30&amp;";",""),IF(AND($G25&lt;Hta_11,$G25&gt;=Hba_11,Input!V$31&lt;&gt;""),Input!$B$31&amp;";",""),IF(AND($G25&lt;Hta_12,$G25&gt;=Hba_12,Input!V$32&lt;&gt;""),Input!$B$32&amp;";",""),IF(AND($G25&lt;Hta_13,$G25&gt;=Hba_13,Input!V$33&lt;&gt;""),Input!$B$33&amp;";",""),IF(AND($G25&lt;Hta_14,$G25&gt;=Hba_14,Input!V$34&lt;&gt;""),Input!$B$34&amp;";",""),IF(AND($G25&lt;Hta_15,$G25&gt;=Hba_15,Input!V$35&lt;&gt;""),Input!$B$35&amp;";",""),IF(AND($G25&lt;Hta_16,$G25&gt;=Hba_16,Input!V$36&lt;&gt;""),Input!$B$36&amp;";",""),IF(AND($G25&lt;Hta_17,$G25&gt;=Hba_17,Input!V$37&lt;&gt;""),Input!$B$37&amp;";",""),IF(AND($G25&lt;Hta_18,$G25&gt;=Hba_18,Input!V$38&lt;&gt;""),Input!$B$38&amp;";",""),IF(AND($G25&lt;Hta_19,$G25&gt;=Hba_19,Input!V$39&lt;&gt;""),Input!$B$39&amp;";",""),IF(AND($G25&lt;Hta_20,$G25&gt;=Hba_20,Input!V$40&lt;&gt;""),Input!$B$40&amp;";",""),IF(AND($G25&lt;Hta_21,$G25&gt;=Hba_21,Input!V$41&lt;&gt;""),Input!$B$41&amp;";",""),IF(AND($G25&lt;Hta_22,$G25&gt;=Hba_22,Input!V$42&lt;&gt;""),Input!$B$42&amp;";",""),IF(AND($G25&lt;Hta_23,$G25&gt;=Hba_23,Input!V$43&lt;&gt;""),Input!$B$43&amp;";",""),IF(AND($G25&lt;Hta_24,$G25&gt;=Hba_24,Input!V$44&lt;&gt;""),Input!$B$44&amp;";",""),IF(AND($G25&lt;Hta_25,$G25&gt;=Hba_25,Input!V$45&lt;&gt;""),Input!$B$45&amp;";",""),IF(AND($G25&lt;Hta_26,$G25&gt;=Hba_26,Input!V$46&lt;&gt;""),Input!$B$46&amp;";",""),IF(AND($G25&lt;Hta_27,$G25&gt;=Hba_27,Input!V$47&lt;&gt;""),Input!$B$47&amp;";",""),IF(AND($G25&lt;Hta_28,$G25&gt;=Hba_28,Input!V$48&lt;&gt;""),Input!$B$48&amp;";",""),IF(AND($G25&lt;Hta_29,$G25&gt;=Hba_29,Input!V$49&lt;&gt;""),Input!$B$49&amp;";",""),IF(AND($G25&lt;Hta_30,$G25&gt;=Hba_30,Input!V$50&lt;&gt;""),Input!$B$50&amp;";","")),"")</f>
        <v/>
      </c>
      <c r="BX25" s="25" t="str">
        <f>IFERROR(CONCATENATE(IF(AND($G25&lt;Hta_1,$G25&gt;=Hba_1,Input!W$21&lt;&gt;""),Input!$B$21&amp;";",""),IF(AND($G25&lt;Hta_2,$G25&gt;=Hba_2,Input!W$22&lt;&gt;""),Input!$B$22&amp;";",""),IF(AND($G25&lt;Hta_3,$G25&gt;=Hba_3,Input!W$23&lt;&gt;""),Input!$B$23&amp;";",""),IF(AND($G25&lt;Hta_4,$G25&gt;=Hba_4,Input!W$24&lt;&gt;""),Input!$B$24&amp;";",""),IF(AND($G25&lt;Hta_5,$G25&gt;=Hba_5,Input!W$25&lt;&gt;""),Input!$B$25&amp;";",""),IF(AND($G25&lt;Hta_6,$G25&gt;=Hba_6,Input!W$26&lt;&gt;""),Input!$B$26&amp;";",""),IF(AND($G25&lt;Hta_7,$G25&gt;=Hba_7,Input!W$27&lt;&gt;""),Input!$B$27&amp;";",""),IF(AND($G25&lt;Hta_8,$G25&gt;=Hba_8,Input!W$28&lt;&gt;""),Input!$B$28&amp;";",""),IF(AND($G25&lt;Hta_9,$G25&gt;=Hba_9,Input!W$29&lt;&gt;""),Input!$B$29&amp;";",""),IF(AND($G25&lt;Hta_10,$G25&gt;=Hba_10,Input!W$30&lt;&gt;""),Input!$B$30&amp;";",""),IF(AND($G25&lt;Hta_11,$G25&gt;=Hba_11,Input!W$31&lt;&gt;""),Input!$B$31&amp;";",""),IF(AND($G25&lt;Hta_12,$G25&gt;=Hba_12,Input!W$32&lt;&gt;""),Input!$B$32&amp;";",""),IF(AND($G25&lt;Hta_13,$G25&gt;=Hba_13,Input!W$33&lt;&gt;""),Input!$B$33&amp;";",""),IF(AND($G25&lt;Hta_14,$G25&gt;=Hba_14,Input!W$34&lt;&gt;""),Input!$B$34&amp;";",""),IF(AND($G25&lt;Hta_15,$G25&gt;=Hba_15,Input!W$35&lt;&gt;""),Input!$B$35&amp;";",""),IF(AND($G25&lt;Hta_16,$G25&gt;=Hba_16,Input!W$36&lt;&gt;""),Input!$B$36&amp;";",""),IF(AND($G25&lt;Hta_17,$G25&gt;=Hba_17,Input!W$37&lt;&gt;""),Input!$B$37&amp;";",""),IF(AND($G25&lt;Hta_18,$G25&gt;=Hba_18,Input!W$38&lt;&gt;""),Input!$B$38&amp;";",""),IF(AND($G25&lt;Hta_19,$G25&gt;=Hba_19,Input!W$39&lt;&gt;""),Input!$B$39&amp;";",""),IF(AND($G25&lt;Hta_20,$G25&gt;=Hba_20,Input!W$40&lt;&gt;""),Input!$B$40&amp;";",""),IF(AND($G25&lt;Hta_21,$G25&gt;=Hba_21,Input!W$41&lt;&gt;""),Input!$B$41&amp;";",""),IF(AND($G25&lt;Hta_22,$G25&gt;=Hba_22,Input!W$42&lt;&gt;""),Input!$B$42&amp;";",""),IF(AND($G25&lt;Hta_23,$G25&gt;=Hba_23,Input!W$43&lt;&gt;""),Input!$B$43&amp;";",""),IF(AND($G25&lt;Hta_24,$G25&gt;=Hba_24,Input!W$44&lt;&gt;""),Input!$B$44&amp;";",""),IF(AND($G25&lt;Hta_25,$G25&gt;=Hba_25,Input!W$45&lt;&gt;""),Input!$B$45&amp;";",""),IF(AND($G25&lt;Hta_26,$G25&gt;=Hba_26,Input!W$46&lt;&gt;""),Input!$B$46&amp;";",""),IF(AND($G25&lt;Hta_27,$G25&gt;=Hba_27,Input!W$47&lt;&gt;""),Input!$B$47&amp;";",""),IF(AND($G25&lt;Hta_28,$G25&gt;=Hba_28,Input!W$48&lt;&gt;""),Input!$B$48&amp;";",""),IF(AND($G25&lt;Hta_29,$G25&gt;=Hba_29,Input!W$49&lt;&gt;""),Input!$B$49&amp;";",""),IF(AND($G25&lt;Hta_30,$G25&gt;=Hba_30,Input!W$50&lt;&gt;""),Input!$B$50&amp;";","")),"")</f>
        <v/>
      </c>
      <c r="BY25" s="25" t="str">
        <f>IFERROR(CONCATENATE(IF(AND($G25&lt;Hta_1,$G25&gt;=Hba_1,Input!X$21&lt;&gt;""),Input!$B$21&amp;";",""),IF(AND($G25&lt;Hta_2,$G25&gt;=Hba_2,Input!X$22&lt;&gt;""),Input!$B$22&amp;";",""),IF(AND($G25&lt;Hta_3,$G25&gt;=Hba_3,Input!X$23&lt;&gt;""),Input!$B$23&amp;";",""),IF(AND($G25&lt;Hta_4,$G25&gt;=Hba_4,Input!X$24&lt;&gt;""),Input!$B$24&amp;";",""),IF(AND($G25&lt;Hta_5,$G25&gt;=Hba_5,Input!X$25&lt;&gt;""),Input!$B$25&amp;";",""),IF(AND($G25&lt;Hta_6,$G25&gt;=Hba_6,Input!X$26&lt;&gt;""),Input!$B$26&amp;";",""),IF(AND($G25&lt;Hta_7,$G25&gt;=Hba_7,Input!X$27&lt;&gt;""),Input!$B$27&amp;";",""),IF(AND($G25&lt;Hta_8,$G25&gt;=Hba_8,Input!X$28&lt;&gt;""),Input!$B$28&amp;";",""),IF(AND($G25&lt;Hta_9,$G25&gt;=Hba_9,Input!X$29&lt;&gt;""),Input!$B$29&amp;";",""),IF(AND($G25&lt;Hta_10,$G25&gt;=Hba_10,Input!X$30&lt;&gt;""),Input!$B$30&amp;";",""),IF(AND($G25&lt;Hta_11,$G25&gt;=Hba_11,Input!X$31&lt;&gt;""),Input!$B$31&amp;";",""),IF(AND($G25&lt;Hta_12,$G25&gt;=Hba_12,Input!X$32&lt;&gt;""),Input!$B$32&amp;";",""),IF(AND($G25&lt;Hta_13,$G25&gt;=Hba_13,Input!X$33&lt;&gt;""),Input!$B$33&amp;";",""),IF(AND($G25&lt;Hta_14,$G25&gt;=Hba_14,Input!X$34&lt;&gt;""),Input!$B$34&amp;";",""),IF(AND($G25&lt;Hta_15,$G25&gt;=Hba_15,Input!X$35&lt;&gt;""),Input!$B$35&amp;";",""),IF(AND($G25&lt;Hta_16,$G25&gt;=Hba_16,Input!X$36&lt;&gt;""),Input!$B$36&amp;";",""),IF(AND($G25&lt;Hta_17,$G25&gt;=Hba_17,Input!X$37&lt;&gt;""),Input!$B$37&amp;";",""),IF(AND($G25&lt;Hta_18,$G25&gt;=Hba_18,Input!X$38&lt;&gt;""),Input!$B$38&amp;";",""),IF(AND($G25&lt;Hta_19,$G25&gt;=Hba_19,Input!X$39&lt;&gt;""),Input!$B$39&amp;";",""),IF(AND($G25&lt;Hta_20,$G25&gt;=Hba_20,Input!X$40&lt;&gt;""),Input!$B$40&amp;";",""),IF(AND($G25&lt;Hta_21,$G25&gt;=Hba_21,Input!X$41&lt;&gt;""),Input!$B$41&amp;";",""),IF(AND($G25&lt;Hta_22,$G25&gt;=Hba_22,Input!X$42&lt;&gt;""),Input!$B$42&amp;";",""),IF(AND($G25&lt;Hta_23,$G25&gt;=Hba_23,Input!X$43&lt;&gt;""),Input!$B$43&amp;";",""),IF(AND($G25&lt;Hta_24,$G25&gt;=Hba_24,Input!X$44&lt;&gt;""),Input!$B$44&amp;";",""),IF(AND($G25&lt;Hta_25,$G25&gt;=Hba_25,Input!X$45&lt;&gt;""),Input!$B$45&amp;";",""),IF(AND($G25&lt;Hta_26,$G25&gt;=Hba_26,Input!X$46&lt;&gt;""),Input!$B$46&amp;";",""),IF(AND($G25&lt;Hta_27,$G25&gt;=Hba_27,Input!X$47&lt;&gt;""),Input!$B$47&amp;";",""),IF(AND($G25&lt;Hta_28,$G25&gt;=Hba_28,Input!X$48&lt;&gt;""),Input!$B$48&amp;";",""),IF(AND($G25&lt;Hta_29,$G25&gt;=Hba_29,Input!X$49&lt;&gt;""),Input!$B$49&amp;";",""),IF(AND($G25&lt;Hta_30,$G25&gt;=Hba_30,Input!X$50&lt;&gt;""),Input!$B$50&amp;";","")),"")</f>
        <v/>
      </c>
      <c r="BZ25" s="25" t="str">
        <f>IFERROR(CONCATENATE(IF(AND($G25&lt;Hta_1,$G25&gt;=Hba_1,Input!Y$21&lt;&gt;""),Input!$B$21&amp;";",""),IF(AND($G25&lt;Hta_2,$G25&gt;=Hba_2,Input!Y$22&lt;&gt;""),Input!$B$22&amp;";",""),IF(AND($G25&lt;Hta_3,$G25&gt;=Hba_3,Input!Y$23&lt;&gt;""),Input!$B$23&amp;";",""),IF(AND($G25&lt;Hta_4,$G25&gt;=Hba_4,Input!Y$24&lt;&gt;""),Input!$B$24&amp;";",""),IF(AND($G25&lt;Hta_5,$G25&gt;=Hba_5,Input!Y$25&lt;&gt;""),Input!$B$25&amp;";",""),IF(AND($G25&lt;Hta_6,$G25&gt;=Hba_6,Input!Y$26&lt;&gt;""),Input!$B$26&amp;";",""),IF(AND($G25&lt;Hta_7,$G25&gt;=Hba_7,Input!Y$27&lt;&gt;""),Input!$B$27&amp;";",""),IF(AND($G25&lt;Hta_8,$G25&gt;=Hba_8,Input!Y$28&lt;&gt;""),Input!$B$28&amp;";",""),IF(AND($G25&lt;Hta_9,$G25&gt;=Hba_9,Input!Y$29&lt;&gt;""),Input!$B$29&amp;";",""),IF(AND($G25&lt;Hta_10,$G25&gt;=Hba_10,Input!Y$30&lt;&gt;""),Input!$B$30&amp;";",""),IF(AND($G25&lt;Hta_11,$G25&gt;=Hba_11,Input!Y$31&lt;&gt;""),Input!$B$31&amp;";",""),IF(AND($G25&lt;Hta_12,$G25&gt;=Hba_12,Input!Y$32&lt;&gt;""),Input!$B$32&amp;";",""),IF(AND($G25&lt;Hta_13,$G25&gt;=Hba_13,Input!Y$33&lt;&gt;""),Input!$B$33&amp;";",""),IF(AND($G25&lt;Hta_14,$G25&gt;=Hba_14,Input!Y$34&lt;&gt;""),Input!$B$34&amp;";",""),IF(AND($G25&lt;Hta_15,$G25&gt;=Hba_15,Input!Y$35&lt;&gt;""),Input!$B$35&amp;";",""),IF(AND($G25&lt;Hta_16,$G25&gt;=Hba_16,Input!Y$36&lt;&gt;""),Input!$B$36&amp;";",""),IF(AND($G25&lt;Hta_17,$G25&gt;=Hba_17,Input!Y$37&lt;&gt;""),Input!$B$37&amp;";",""),IF(AND($G25&lt;Hta_18,$G25&gt;=Hba_18,Input!Y$38&lt;&gt;""),Input!$B$38&amp;";",""),IF(AND($G25&lt;Hta_19,$G25&gt;=Hba_19,Input!Y$39&lt;&gt;""),Input!$B$39&amp;";",""),IF(AND($G25&lt;Hta_20,$G25&gt;=Hba_20,Input!Y$40&lt;&gt;""),Input!$B$40&amp;";",""),IF(AND($G25&lt;Hta_21,$G25&gt;=Hba_21,Input!Y$41&lt;&gt;""),Input!$B$41&amp;";",""),IF(AND($G25&lt;Hta_22,$G25&gt;=Hba_22,Input!Y$42&lt;&gt;""),Input!$B$42&amp;";",""),IF(AND($G25&lt;Hta_23,$G25&gt;=Hba_23,Input!Y$43&lt;&gt;""),Input!$B$43&amp;";",""),IF(AND($G25&lt;Hta_24,$G25&gt;=Hba_24,Input!Y$44&lt;&gt;""),Input!$B$44&amp;";",""),IF(AND($G25&lt;Hta_25,$G25&gt;=Hba_25,Input!Y$45&lt;&gt;""),Input!$B$45&amp;";",""),IF(AND($G25&lt;Hta_26,$G25&gt;=Hba_26,Input!Y$46&lt;&gt;""),Input!$B$46&amp;";",""),IF(AND($G25&lt;Hta_27,$G25&gt;=Hba_27,Input!Y$47&lt;&gt;""),Input!$B$47&amp;";",""),IF(AND($G25&lt;Hta_28,$G25&gt;=Hba_28,Input!Y$48&lt;&gt;""),Input!$B$48&amp;";",""),IF(AND($G25&lt;Hta_29,$G25&gt;=Hba_29,Input!Y$49&lt;&gt;""),Input!$B$49&amp;";",""),IF(AND($G25&lt;Hta_30,$G25&gt;=Hba_30,Input!Y$50&lt;&gt;""),Input!$B$50&amp;";","")),"")</f>
        <v/>
      </c>
      <c r="CA25" s="25" t="str">
        <f>IFERROR(CONCATENATE(IF(AND($G25&lt;Hta_1,$G25&gt;=Hba_1,Input!Z$21&lt;&gt;""),Input!$B$21&amp;";",""),IF(AND($G25&lt;Hta_2,$G25&gt;=Hba_2,Input!Z$22&lt;&gt;""),Input!$B$22&amp;";",""),IF(AND($G25&lt;Hta_3,$G25&gt;=Hba_3,Input!Z$23&lt;&gt;""),Input!$B$23&amp;";",""),IF(AND($G25&lt;Hta_4,$G25&gt;=Hba_4,Input!Z$24&lt;&gt;""),Input!$B$24&amp;";",""),IF(AND($G25&lt;Hta_5,$G25&gt;=Hba_5,Input!Z$25&lt;&gt;""),Input!$B$25&amp;";",""),IF(AND($G25&lt;Hta_6,$G25&gt;=Hba_6,Input!Z$26&lt;&gt;""),Input!$B$26&amp;";",""),IF(AND($G25&lt;Hta_7,$G25&gt;=Hba_7,Input!Z$27&lt;&gt;""),Input!$B$27&amp;";",""),IF(AND($G25&lt;Hta_8,$G25&gt;=Hba_8,Input!Z$28&lt;&gt;""),Input!$B$28&amp;";",""),IF(AND($G25&lt;Hta_9,$G25&gt;=Hba_9,Input!Z$29&lt;&gt;""),Input!$B$29&amp;";",""),IF(AND($G25&lt;Hta_10,$G25&gt;=Hba_10,Input!Z$30&lt;&gt;""),Input!$B$30&amp;";",""),IF(AND($G25&lt;Hta_11,$G25&gt;=Hba_11,Input!Z$31&lt;&gt;""),Input!$B$31&amp;";",""),IF(AND($G25&lt;Hta_12,$G25&gt;=Hba_12,Input!Z$32&lt;&gt;""),Input!$B$32&amp;";",""),IF(AND($G25&lt;Hta_13,$G25&gt;=Hba_13,Input!Z$33&lt;&gt;""),Input!$B$33&amp;";",""),IF(AND($G25&lt;Hta_14,$G25&gt;=Hba_14,Input!Z$34&lt;&gt;""),Input!$B$34&amp;";",""),IF(AND($G25&lt;Hta_15,$G25&gt;=Hba_15,Input!Z$35&lt;&gt;""),Input!$B$35&amp;";",""),IF(AND($G25&lt;Hta_16,$G25&gt;=Hba_16,Input!Z$36&lt;&gt;""),Input!$B$36&amp;";",""),IF(AND($G25&lt;Hta_17,$G25&gt;=Hba_17,Input!Z$37&lt;&gt;""),Input!$B$37&amp;";",""),IF(AND($G25&lt;Hta_18,$G25&gt;=Hba_18,Input!Z$38&lt;&gt;""),Input!$B$38&amp;";",""),IF(AND($G25&lt;Hta_19,$G25&gt;=Hba_19,Input!Z$39&lt;&gt;""),Input!$B$39&amp;";",""),IF(AND($G25&lt;Hta_20,$G25&gt;=Hba_20,Input!Z$40&lt;&gt;""),Input!$B$40&amp;";",""),IF(AND($G25&lt;Hta_21,$G25&gt;=Hba_21,Input!Z$41&lt;&gt;""),Input!$B$41&amp;";",""),IF(AND($G25&lt;Hta_22,$G25&gt;=Hba_22,Input!Z$42&lt;&gt;""),Input!$B$42&amp;";",""),IF(AND($G25&lt;Hta_23,$G25&gt;=Hba_23,Input!Z$43&lt;&gt;""),Input!$B$43&amp;";",""),IF(AND($G25&lt;Hta_24,$G25&gt;=Hba_24,Input!Z$44&lt;&gt;""),Input!$B$44&amp;";",""),IF(AND($G25&lt;Hta_25,$G25&gt;=Hba_25,Input!Z$45&lt;&gt;""),Input!$B$45&amp;";",""),IF(AND($G25&lt;Hta_26,$G25&gt;=Hba_26,Input!Z$46&lt;&gt;""),Input!$B$46&amp;";",""),IF(AND($G25&lt;Hta_27,$G25&gt;=Hba_27,Input!Z$47&lt;&gt;""),Input!$B$47&amp;";",""),IF(AND($G25&lt;Hta_28,$G25&gt;=Hba_28,Input!Z$48&lt;&gt;""),Input!$B$48&amp;";",""),IF(AND($G25&lt;Hta_29,$G25&gt;=Hba_29,Input!Z$49&lt;&gt;""),Input!$B$49&amp;";",""),IF(AND($G25&lt;Hta_30,$G25&gt;=Hba_30,Input!Z$50&lt;&gt;""),Input!$B$50&amp;";","")),"")</f>
        <v/>
      </c>
      <c r="CB25" s="25" t="str">
        <f>IFERROR(CONCATENATE(IF(AND($G25&lt;Hta_1,$G25&gt;=Hba_1,Input!AA$21&lt;&gt;""),Input!$B$21&amp;";",""),IF(AND($G25&lt;Hta_2,$G25&gt;=Hba_2,Input!AA$22&lt;&gt;""),Input!$B$22&amp;";",""),IF(AND($G25&lt;Hta_3,$G25&gt;=Hba_3,Input!AA$23&lt;&gt;""),Input!$B$23&amp;";",""),IF(AND($G25&lt;Hta_4,$G25&gt;=Hba_4,Input!AA$24&lt;&gt;""),Input!$B$24&amp;";",""),IF(AND($G25&lt;Hta_5,$G25&gt;=Hba_5,Input!AA$25&lt;&gt;""),Input!$B$25&amp;";",""),IF(AND($G25&lt;Hta_6,$G25&gt;=Hba_6,Input!AA$26&lt;&gt;""),Input!$B$26&amp;";",""),IF(AND($G25&lt;Hta_7,$G25&gt;=Hba_7,Input!AA$27&lt;&gt;""),Input!$B$27&amp;";",""),IF(AND($G25&lt;Hta_8,$G25&gt;=Hba_8,Input!AA$28&lt;&gt;""),Input!$B$28&amp;";",""),IF(AND($G25&lt;Hta_9,$G25&gt;=Hba_9,Input!AA$29&lt;&gt;""),Input!$B$29&amp;";",""),IF(AND($G25&lt;Hta_10,$G25&gt;=Hba_10,Input!AA$30&lt;&gt;""),Input!$B$30&amp;";",""),IF(AND($G25&lt;Hta_11,$G25&gt;=Hba_11,Input!AA$31&lt;&gt;""),Input!$B$31&amp;";",""),IF(AND($G25&lt;Hta_12,$G25&gt;=Hba_12,Input!AA$32&lt;&gt;""),Input!$B$32&amp;";",""),IF(AND($G25&lt;Hta_13,$G25&gt;=Hba_13,Input!AA$33&lt;&gt;""),Input!$B$33&amp;";",""),IF(AND($G25&lt;Hta_14,$G25&gt;=Hba_14,Input!AA$34&lt;&gt;""),Input!$B$34&amp;";",""),IF(AND($G25&lt;Hta_15,$G25&gt;=Hba_15,Input!AA$35&lt;&gt;""),Input!$B$35&amp;";",""),IF(AND($G25&lt;Hta_16,$G25&gt;=Hba_16,Input!AA$36&lt;&gt;""),Input!$B$36&amp;";",""),IF(AND($G25&lt;Hta_17,$G25&gt;=Hba_17,Input!AA$37&lt;&gt;""),Input!$B$37&amp;";",""),IF(AND($G25&lt;Hta_18,$G25&gt;=Hba_18,Input!AA$38&lt;&gt;""),Input!$B$38&amp;";",""),IF(AND($G25&lt;Hta_19,$G25&gt;=Hba_19,Input!AA$39&lt;&gt;""),Input!$B$39&amp;";",""),IF(AND($G25&lt;Hta_20,$G25&gt;=Hba_20,Input!AA$40&lt;&gt;""),Input!$B$40&amp;";",""),IF(AND($G25&lt;Hta_21,$G25&gt;=Hba_21,Input!AA$41&lt;&gt;""),Input!$B$41&amp;";",""),IF(AND($G25&lt;Hta_22,$G25&gt;=Hba_22,Input!AA$42&lt;&gt;""),Input!$B$42&amp;";",""),IF(AND($G25&lt;Hta_23,$G25&gt;=Hba_23,Input!AA$43&lt;&gt;""),Input!$B$43&amp;";",""),IF(AND($G25&lt;Hta_24,$G25&gt;=Hba_24,Input!AA$44&lt;&gt;""),Input!$B$44&amp;";",""),IF(AND($G25&lt;Hta_25,$G25&gt;=Hba_25,Input!AA$45&lt;&gt;""),Input!$B$45&amp;";",""),IF(AND($G25&lt;Hta_26,$G25&gt;=Hba_26,Input!AA$46&lt;&gt;""),Input!$B$46&amp;";",""),IF(AND($G25&lt;Hta_27,$G25&gt;=Hba_27,Input!AA$47&lt;&gt;""),Input!$B$47&amp;";",""),IF(AND($G25&lt;Hta_28,$G25&gt;=Hba_28,Input!AA$48&lt;&gt;""),Input!$B$48&amp;";",""),IF(AND($G25&lt;Hta_29,$G25&gt;=Hba_29,Input!AA$49&lt;&gt;""),Input!$B$49&amp;";",""),IF(AND($G25&lt;Hta_30,$G25&gt;=Hba_30,Input!AA$50&lt;&gt;""),Input!$B$50&amp;";","")),"")</f>
        <v/>
      </c>
      <c r="CC25" s="25" t="str">
        <f>IFERROR(CONCATENATE(IF(AND($G25&lt;Hta_1,$G25&gt;=Hba_1,Input!AB$21&lt;&gt;""),Input!$B$21&amp;";",""),IF(AND($G25&lt;Hta_2,$G25&gt;=Hba_2,Input!AB$22&lt;&gt;""),Input!$B$22&amp;";",""),IF(AND($G25&lt;Hta_3,$G25&gt;=Hba_3,Input!AB$23&lt;&gt;""),Input!$B$23&amp;";",""),IF(AND($G25&lt;Hta_4,$G25&gt;=Hba_4,Input!AB$24&lt;&gt;""),Input!$B$24&amp;";",""),IF(AND($G25&lt;Hta_5,$G25&gt;=Hba_5,Input!AB$25&lt;&gt;""),Input!$B$25&amp;";",""),IF(AND($G25&lt;Hta_6,$G25&gt;=Hba_6,Input!AB$26&lt;&gt;""),Input!$B$26&amp;";",""),IF(AND($G25&lt;Hta_7,$G25&gt;=Hba_7,Input!AB$27&lt;&gt;""),Input!$B$27&amp;";",""),IF(AND($G25&lt;Hta_8,$G25&gt;=Hba_8,Input!AB$28&lt;&gt;""),Input!$B$28&amp;";",""),IF(AND($G25&lt;Hta_9,$G25&gt;=Hba_9,Input!AB$29&lt;&gt;""),Input!$B$29&amp;";",""),IF(AND($G25&lt;Hta_10,$G25&gt;=Hba_10,Input!AB$30&lt;&gt;""),Input!$B$30&amp;";",""),IF(AND($G25&lt;Hta_11,$G25&gt;=Hba_11,Input!AB$31&lt;&gt;""),Input!$B$31&amp;";",""),IF(AND($G25&lt;Hta_12,$G25&gt;=Hba_12,Input!AB$32&lt;&gt;""),Input!$B$32&amp;";",""),IF(AND($G25&lt;Hta_13,$G25&gt;=Hba_13,Input!AB$33&lt;&gt;""),Input!$B$33&amp;";",""),IF(AND($G25&lt;Hta_14,$G25&gt;=Hba_14,Input!AB$34&lt;&gt;""),Input!$B$34&amp;";",""),IF(AND($G25&lt;Hta_15,$G25&gt;=Hba_15,Input!AB$35&lt;&gt;""),Input!$B$35&amp;";",""),IF(AND($G25&lt;Hta_16,$G25&gt;=Hba_16,Input!AB$36&lt;&gt;""),Input!$B$36&amp;";",""),IF(AND($G25&lt;Hta_17,$G25&gt;=Hba_17,Input!AB$37&lt;&gt;""),Input!$B$37&amp;";",""),IF(AND($G25&lt;Hta_18,$G25&gt;=Hba_18,Input!AB$38&lt;&gt;""),Input!$B$38&amp;";",""),IF(AND($G25&lt;Hta_19,$G25&gt;=Hba_19,Input!AB$39&lt;&gt;""),Input!$B$39&amp;";",""),IF(AND($G25&lt;Hta_20,$G25&gt;=Hba_20,Input!AB$40&lt;&gt;""),Input!$B$40&amp;";",""),IF(AND($G25&lt;Hta_21,$G25&gt;=Hba_21,Input!AB$41&lt;&gt;""),Input!$B$41&amp;";",""),IF(AND($G25&lt;Hta_22,$G25&gt;=Hba_22,Input!AB$42&lt;&gt;""),Input!$B$42&amp;";",""),IF(AND($G25&lt;Hta_23,$G25&gt;=Hba_23,Input!AB$43&lt;&gt;""),Input!$B$43&amp;";",""),IF(AND($G25&lt;Hta_24,$G25&gt;=Hba_24,Input!AB$44&lt;&gt;""),Input!$B$44&amp;";",""),IF(AND($G25&lt;Hta_25,$G25&gt;=Hba_25,Input!AB$45&lt;&gt;""),Input!$B$45&amp;";",""),IF(AND($G25&lt;Hta_26,$G25&gt;=Hba_26,Input!AB$46&lt;&gt;""),Input!$B$46&amp;";",""),IF(AND($G25&lt;Hta_27,$G25&gt;=Hba_27,Input!AB$47&lt;&gt;""),Input!$B$47&amp;";",""),IF(AND($G25&lt;Hta_28,$G25&gt;=Hba_28,Input!AB$48&lt;&gt;""),Input!$B$48&amp;";",""),IF(AND($G25&lt;Hta_29,$G25&gt;=Hba_29,Input!AB$49&lt;&gt;""),Input!$B$49&amp;";",""),IF(AND($G25&lt;Hta_30,$G25&gt;=Hba_30,Input!AB$50&lt;&gt;""),Input!$B$50&amp;";","")),"")</f>
        <v/>
      </c>
      <c r="CD25" s="25" t="str">
        <f>IFERROR(CONCATENATE(IF(AND($G25&lt;Hta_1,$G25&gt;=Hba_1,Input!AC$21&lt;&gt;""),Input!$B$21&amp;";",""),IF(AND($G25&lt;Hta_2,$G25&gt;=Hba_2,Input!AC$22&lt;&gt;""),Input!$B$22&amp;";",""),IF(AND($G25&lt;Hta_3,$G25&gt;=Hba_3,Input!AC$23&lt;&gt;""),Input!$B$23&amp;";",""),IF(AND($G25&lt;Hta_4,$G25&gt;=Hba_4,Input!AC$24&lt;&gt;""),Input!$B$24&amp;";",""),IF(AND($G25&lt;Hta_5,$G25&gt;=Hba_5,Input!AC$25&lt;&gt;""),Input!$B$25&amp;";",""),IF(AND($G25&lt;Hta_6,$G25&gt;=Hba_6,Input!AC$26&lt;&gt;""),Input!$B$26&amp;";",""),IF(AND($G25&lt;Hta_7,$G25&gt;=Hba_7,Input!AC$27&lt;&gt;""),Input!$B$27&amp;";",""),IF(AND($G25&lt;Hta_8,$G25&gt;=Hba_8,Input!AC$28&lt;&gt;""),Input!$B$28&amp;";",""),IF(AND($G25&lt;Hta_9,$G25&gt;=Hba_9,Input!AC$29&lt;&gt;""),Input!$B$29&amp;";",""),IF(AND($G25&lt;Hta_10,$G25&gt;=Hba_10,Input!AC$30&lt;&gt;""),Input!$B$30&amp;";",""),IF(AND($G25&lt;Hta_11,$G25&gt;=Hba_11,Input!AC$31&lt;&gt;""),Input!$B$31&amp;";",""),IF(AND($G25&lt;Hta_12,$G25&gt;=Hba_12,Input!AC$32&lt;&gt;""),Input!$B$32&amp;";",""),IF(AND($G25&lt;Hta_13,$G25&gt;=Hba_13,Input!AC$33&lt;&gt;""),Input!$B$33&amp;";",""),IF(AND($G25&lt;Hta_14,$G25&gt;=Hba_14,Input!AC$34&lt;&gt;""),Input!$B$34&amp;";",""),IF(AND($G25&lt;Hta_15,$G25&gt;=Hba_15,Input!AC$35&lt;&gt;""),Input!$B$35&amp;";",""),IF(AND($G25&lt;Hta_16,$G25&gt;=Hba_16,Input!AC$36&lt;&gt;""),Input!$B$36&amp;";",""),IF(AND($G25&lt;Hta_17,$G25&gt;=Hba_17,Input!AC$37&lt;&gt;""),Input!$B$37&amp;";",""),IF(AND($G25&lt;Hta_18,$G25&gt;=Hba_18,Input!AC$38&lt;&gt;""),Input!$B$38&amp;";",""),IF(AND($G25&lt;Hta_19,$G25&gt;=Hba_19,Input!AC$39&lt;&gt;""),Input!$B$39&amp;";",""),IF(AND($G25&lt;Hta_20,$G25&gt;=Hba_20,Input!AC$40&lt;&gt;""),Input!$B$40&amp;";",""),IF(AND($G25&lt;Hta_21,$G25&gt;=Hba_21,Input!AC$41&lt;&gt;""),Input!$B$41&amp;";",""),IF(AND($G25&lt;Hta_22,$G25&gt;=Hba_22,Input!AC$42&lt;&gt;""),Input!$B$42&amp;";",""),IF(AND($G25&lt;Hta_23,$G25&gt;=Hba_23,Input!AC$43&lt;&gt;""),Input!$B$43&amp;";",""),IF(AND($G25&lt;Hta_24,$G25&gt;=Hba_24,Input!AC$44&lt;&gt;""),Input!$B$44&amp;";",""),IF(AND($G25&lt;Hta_25,$G25&gt;=Hba_25,Input!AC$45&lt;&gt;""),Input!$B$45&amp;";",""),IF(AND($G25&lt;Hta_26,$G25&gt;=Hba_26,Input!AC$46&lt;&gt;""),Input!$B$46&amp;";",""),IF(AND($G25&lt;Hta_27,$G25&gt;=Hba_27,Input!AC$47&lt;&gt;""),Input!$B$47&amp;";",""),IF(AND($G25&lt;Hta_28,$G25&gt;=Hba_28,Input!AC$48&lt;&gt;""),Input!$B$48&amp;";",""),IF(AND($G25&lt;Hta_29,$G25&gt;=Hba_29,Input!AC$49&lt;&gt;""),Input!$B$49&amp;";",""),IF(AND($G25&lt;Hta_30,$G25&gt;=Hba_30,Input!AC$50&lt;&gt;""),Input!$B$50&amp;";","")),"")</f>
        <v/>
      </c>
      <c r="CE25" s="25" t="str">
        <f>IFERROR(CONCATENATE(IF(AND($G25&lt;Hta_1,$G25&gt;=Hba_1,Input!AD$21&lt;&gt;""),Input!$B$21&amp;";",""),IF(AND($G25&lt;Hta_2,$G25&gt;=Hba_2,Input!AD$22&lt;&gt;""),Input!$B$22&amp;";",""),IF(AND($G25&lt;Hta_3,$G25&gt;=Hba_3,Input!AD$23&lt;&gt;""),Input!$B$23&amp;";",""),IF(AND($G25&lt;Hta_4,$G25&gt;=Hba_4,Input!AD$24&lt;&gt;""),Input!$B$24&amp;";",""),IF(AND($G25&lt;Hta_5,$G25&gt;=Hba_5,Input!AD$25&lt;&gt;""),Input!$B$25&amp;";",""),IF(AND($G25&lt;Hta_6,$G25&gt;=Hba_6,Input!AD$26&lt;&gt;""),Input!$B$26&amp;";",""),IF(AND($G25&lt;Hta_7,$G25&gt;=Hba_7,Input!AD$27&lt;&gt;""),Input!$B$27&amp;";",""),IF(AND($G25&lt;Hta_8,$G25&gt;=Hba_8,Input!AD$28&lt;&gt;""),Input!$B$28&amp;";",""),IF(AND($G25&lt;Hta_9,$G25&gt;=Hba_9,Input!AD$29&lt;&gt;""),Input!$B$29&amp;";",""),IF(AND($G25&lt;Hta_10,$G25&gt;=Hba_10,Input!AD$30&lt;&gt;""),Input!$B$30&amp;";",""),IF(AND($G25&lt;Hta_11,$G25&gt;=Hba_11,Input!AD$31&lt;&gt;""),Input!$B$31&amp;";",""),IF(AND($G25&lt;Hta_12,$G25&gt;=Hba_12,Input!AD$32&lt;&gt;""),Input!$B$32&amp;";",""),IF(AND($G25&lt;Hta_13,$G25&gt;=Hba_13,Input!AD$33&lt;&gt;""),Input!$B$33&amp;";",""),IF(AND($G25&lt;Hta_14,$G25&gt;=Hba_14,Input!AD$34&lt;&gt;""),Input!$B$34&amp;";",""),IF(AND($G25&lt;Hta_15,$G25&gt;=Hba_15,Input!AD$35&lt;&gt;""),Input!$B$35&amp;";",""),IF(AND($G25&lt;Hta_16,$G25&gt;=Hba_16,Input!AD$36&lt;&gt;""),Input!$B$36&amp;";",""),IF(AND($G25&lt;Hta_17,$G25&gt;=Hba_17,Input!AD$37&lt;&gt;""),Input!$B$37&amp;";",""),IF(AND($G25&lt;Hta_18,$G25&gt;=Hba_18,Input!AD$38&lt;&gt;""),Input!$B$38&amp;";",""),IF(AND($G25&lt;Hta_19,$G25&gt;=Hba_19,Input!AD$39&lt;&gt;""),Input!$B$39&amp;";",""),IF(AND($G25&lt;Hta_20,$G25&gt;=Hba_20,Input!AD$40&lt;&gt;""),Input!$B$40&amp;";",""),IF(AND($G25&lt;Hta_21,$G25&gt;=Hba_21,Input!AD$41&lt;&gt;""),Input!$B$41&amp;";",""),IF(AND($G25&lt;Hta_22,$G25&gt;=Hba_22,Input!AD$42&lt;&gt;""),Input!$B$42&amp;";",""),IF(AND($G25&lt;Hta_23,$G25&gt;=Hba_23,Input!AD$43&lt;&gt;""),Input!$B$43&amp;";",""),IF(AND($G25&lt;Hta_24,$G25&gt;=Hba_24,Input!AD$44&lt;&gt;""),Input!$B$44&amp;";",""),IF(AND($G25&lt;Hta_25,$G25&gt;=Hba_25,Input!AD$45&lt;&gt;""),Input!$B$45&amp;";",""),IF(AND($G25&lt;Hta_26,$G25&gt;=Hba_26,Input!AD$46&lt;&gt;""),Input!$B$46&amp;";",""),IF(AND($G25&lt;Hta_27,$G25&gt;=Hba_27,Input!AD$47&lt;&gt;""),Input!$B$47&amp;";",""),IF(AND($G25&lt;Hta_28,$G25&gt;=Hba_28,Input!AD$48&lt;&gt;""),Input!$B$48&amp;";",""),IF(AND($G25&lt;Hta_29,$G25&gt;=Hba_29,Input!AD$49&lt;&gt;""),Input!$B$49&amp;";",""),IF(AND($G25&lt;Hta_30,$G25&gt;=Hba_30,Input!AD$50&lt;&gt;""),Input!$B$50&amp;";","")),"")</f>
        <v/>
      </c>
      <c r="CF25" s="25" t="str">
        <f>IFERROR(CONCATENATE(IF(AND($G25&lt;Hta_1,$G25&gt;=Hba_1,Input!AE$21&lt;&gt;""),Input!$B$21&amp;";",""),IF(AND($G25&lt;Hta_2,$G25&gt;=Hba_2,Input!AE$22&lt;&gt;""),Input!$B$22&amp;";",""),IF(AND($G25&lt;Hta_3,$G25&gt;=Hba_3,Input!AE$23&lt;&gt;""),Input!$B$23&amp;";",""),IF(AND($G25&lt;Hta_4,$G25&gt;=Hba_4,Input!AE$24&lt;&gt;""),Input!$B$24&amp;";",""),IF(AND($G25&lt;Hta_5,$G25&gt;=Hba_5,Input!AE$25&lt;&gt;""),Input!$B$25&amp;";",""),IF(AND($G25&lt;Hta_6,$G25&gt;=Hba_6,Input!AE$26&lt;&gt;""),Input!$B$26&amp;";",""),IF(AND($G25&lt;Hta_7,$G25&gt;=Hba_7,Input!AE$27&lt;&gt;""),Input!$B$27&amp;";",""),IF(AND($G25&lt;Hta_8,$G25&gt;=Hba_8,Input!AE$28&lt;&gt;""),Input!$B$28&amp;";",""),IF(AND($G25&lt;Hta_9,$G25&gt;=Hba_9,Input!AE$29&lt;&gt;""),Input!$B$29&amp;";",""),IF(AND($G25&lt;Hta_10,$G25&gt;=Hba_10,Input!AE$30&lt;&gt;""),Input!$B$30&amp;";",""),IF(AND($G25&lt;Hta_11,$G25&gt;=Hba_11,Input!AE$31&lt;&gt;""),Input!$B$31&amp;";",""),IF(AND($G25&lt;Hta_12,$G25&gt;=Hba_12,Input!AE$32&lt;&gt;""),Input!$B$32&amp;";",""),IF(AND($G25&lt;Hta_13,$G25&gt;=Hba_13,Input!AE$33&lt;&gt;""),Input!$B$33&amp;";",""),IF(AND($G25&lt;Hta_14,$G25&gt;=Hba_14,Input!AE$34&lt;&gt;""),Input!$B$34&amp;";",""),IF(AND($G25&lt;Hta_15,$G25&gt;=Hba_15,Input!AE$35&lt;&gt;""),Input!$B$35&amp;";",""),IF(AND($G25&lt;Hta_16,$G25&gt;=Hba_16,Input!AE$36&lt;&gt;""),Input!$B$36&amp;";",""),IF(AND($G25&lt;Hta_17,$G25&gt;=Hba_17,Input!AE$37&lt;&gt;""),Input!$B$37&amp;";",""),IF(AND($G25&lt;Hta_18,$G25&gt;=Hba_18,Input!AE$38&lt;&gt;""),Input!$B$38&amp;";",""),IF(AND($G25&lt;Hta_19,$G25&gt;=Hba_19,Input!AE$39&lt;&gt;""),Input!$B$39&amp;";",""),IF(AND($G25&lt;Hta_20,$G25&gt;=Hba_20,Input!AE$40&lt;&gt;""),Input!$B$40&amp;";",""),IF(AND($G25&lt;Hta_21,$G25&gt;=Hba_21,Input!AE$41&lt;&gt;""),Input!$B$41&amp;";",""),IF(AND($G25&lt;Hta_22,$G25&gt;=Hba_22,Input!AE$42&lt;&gt;""),Input!$B$42&amp;";",""),IF(AND($G25&lt;Hta_23,$G25&gt;=Hba_23,Input!AE$43&lt;&gt;""),Input!$B$43&amp;";",""),IF(AND($G25&lt;Hta_24,$G25&gt;=Hba_24,Input!AE$44&lt;&gt;""),Input!$B$44&amp;";",""),IF(AND($G25&lt;Hta_25,$G25&gt;=Hba_25,Input!AE$45&lt;&gt;""),Input!$B$45&amp;";",""),IF(AND($G25&lt;Hta_26,$G25&gt;=Hba_26,Input!AE$46&lt;&gt;""),Input!$B$46&amp;";",""),IF(AND($G25&lt;Hta_27,$G25&gt;=Hba_27,Input!AE$47&lt;&gt;""),Input!$B$47&amp;";",""),IF(AND($G25&lt;Hta_28,$G25&gt;=Hba_28,Input!AE$48&lt;&gt;""),Input!$B$48&amp;";",""),IF(AND($G25&lt;Hta_29,$G25&gt;=Hba_29,Input!AE$49&lt;&gt;""),Input!$B$49&amp;";",""),IF(AND($G25&lt;Hta_30,$G25&gt;=Hba_30,Input!AE$50&lt;&gt;""),Input!$B$50&amp;";","")),"")</f>
        <v/>
      </c>
      <c r="CG25" s="25" t="str">
        <f>IFERROR(CONCATENATE(IF(AND($G25&lt;Hta_1,$G25&gt;=Hba_1,Input!AF$21&lt;&gt;""),Input!$B$21&amp;";",""),IF(AND($G25&lt;Hta_2,$G25&gt;=Hba_2,Input!AF$22&lt;&gt;""),Input!$B$22&amp;";",""),IF(AND($G25&lt;Hta_3,$G25&gt;=Hba_3,Input!AF$23&lt;&gt;""),Input!$B$23&amp;";",""),IF(AND($G25&lt;Hta_4,$G25&gt;=Hba_4,Input!AF$24&lt;&gt;""),Input!$B$24&amp;";",""),IF(AND($G25&lt;Hta_5,$G25&gt;=Hba_5,Input!AF$25&lt;&gt;""),Input!$B$25&amp;";",""),IF(AND($G25&lt;Hta_6,$G25&gt;=Hba_6,Input!AF$26&lt;&gt;""),Input!$B$26&amp;";",""),IF(AND($G25&lt;Hta_7,$G25&gt;=Hba_7,Input!AF$27&lt;&gt;""),Input!$B$27&amp;";",""),IF(AND($G25&lt;Hta_8,$G25&gt;=Hba_8,Input!AF$28&lt;&gt;""),Input!$B$28&amp;";",""),IF(AND($G25&lt;Hta_9,$G25&gt;=Hba_9,Input!AF$29&lt;&gt;""),Input!$B$29&amp;";",""),IF(AND($G25&lt;Hta_10,$G25&gt;=Hba_10,Input!AF$30&lt;&gt;""),Input!$B$30&amp;";",""),IF(AND($G25&lt;Hta_11,$G25&gt;=Hba_11,Input!AF$31&lt;&gt;""),Input!$B$31&amp;";",""),IF(AND($G25&lt;Hta_12,$G25&gt;=Hba_12,Input!AF$32&lt;&gt;""),Input!$B$32&amp;";",""),IF(AND($G25&lt;Hta_13,$G25&gt;=Hba_13,Input!AF$33&lt;&gt;""),Input!$B$33&amp;";",""),IF(AND($G25&lt;Hta_14,$G25&gt;=Hba_14,Input!AF$34&lt;&gt;""),Input!$B$34&amp;";",""),IF(AND($G25&lt;Hta_15,$G25&gt;=Hba_15,Input!AF$35&lt;&gt;""),Input!$B$35&amp;";",""),IF(AND($G25&lt;Hta_16,$G25&gt;=Hba_16,Input!AF$36&lt;&gt;""),Input!$B$36&amp;";",""),IF(AND($G25&lt;Hta_17,$G25&gt;=Hba_17,Input!AF$37&lt;&gt;""),Input!$B$37&amp;";",""),IF(AND($G25&lt;Hta_18,$G25&gt;=Hba_18,Input!AF$38&lt;&gt;""),Input!$B$38&amp;";",""),IF(AND($G25&lt;Hta_19,$G25&gt;=Hba_19,Input!AF$39&lt;&gt;""),Input!$B$39&amp;";",""),IF(AND($G25&lt;Hta_20,$G25&gt;=Hba_20,Input!AF$40&lt;&gt;""),Input!$B$40&amp;";",""),IF(AND($G25&lt;Hta_21,$G25&gt;=Hba_21,Input!AF$41&lt;&gt;""),Input!$B$41&amp;";",""),IF(AND($G25&lt;Hta_22,$G25&gt;=Hba_22,Input!AF$42&lt;&gt;""),Input!$B$42&amp;";",""),IF(AND($G25&lt;Hta_23,$G25&gt;=Hba_23,Input!AF$43&lt;&gt;""),Input!$B$43&amp;";",""),IF(AND($G25&lt;Hta_24,$G25&gt;=Hba_24,Input!AF$44&lt;&gt;""),Input!$B$44&amp;";",""),IF(AND($G25&lt;Hta_25,$G25&gt;=Hba_25,Input!AF$45&lt;&gt;""),Input!$B$45&amp;";",""),IF(AND($G25&lt;Hta_26,$G25&gt;=Hba_26,Input!AF$46&lt;&gt;""),Input!$B$46&amp;";",""),IF(AND($G25&lt;Hta_27,$G25&gt;=Hba_27,Input!AF$47&lt;&gt;""),Input!$B$47&amp;";",""),IF(AND($G25&lt;Hta_28,$G25&gt;=Hba_28,Input!AF$48&lt;&gt;""),Input!$B$48&amp;";",""),IF(AND($G25&lt;Hta_29,$G25&gt;=Hba_29,Input!AF$49&lt;&gt;""),Input!$B$49&amp;";",""),IF(AND($G25&lt;Hta_30,$G25&gt;=Hba_30,Input!AF$50&lt;&gt;""),Input!$B$50&amp;";","")),"")</f>
        <v/>
      </c>
      <c r="CH25" s="25" t="str">
        <f>IFERROR(CONCATENATE(IF(AND($G25&lt;Hta_1,$G25&gt;=Hba_1,Input!AG$21&lt;&gt;""),Input!$B$21&amp;";",""),IF(AND($G25&lt;Hta_2,$G25&gt;=Hba_2,Input!AG$22&lt;&gt;""),Input!$B$22&amp;";",""),IF(AND($G25&lt;Hta_3,$G25&gt;=Hba_3,Input!AG$23&lt;&gt;""),Input!$B$23&amp;";",""),IF(AND($G25&lt;Hta_4,$G25&gt;=Hba_4,Input!AG$24&lt;&gt;""),Input!$B$24&amp;";",""),IF(AND($G25&lt;Hta_5,$G25&gt;=Hba_5,Input!AG$25&lt;&gt;""),Input!$B$25&amp;";",""),IF(AND($G25&lt;Hta_6,$G25&gt;=Hba_6,Input!AG$26&lt;&gt;""),Input!$B$26&amp;";",""),IF(AND($G25&lt;Hta_7,$G25&gt;=Hba_7,Input!AG$27&lt;&gt;""),Input!$B$27&amp;";",""),IF(AND($G25&lt;Hta_8,$G25&gt;=Hba_8,Input!AG$28&lt;&gt;""),Input!$B$28&amp;";",""),IF(AND($G25&lt;Hta_9,$G25&gt;=Hba_9,Input!AG$29&lt;&gt;""),Input!$B$29&amp;";",""),IF(AND($G25&lt;Hta_10,$G25&gt;=Hba_10,Input!AG$30&lt;&gt;""),Input!$B$30&amp;";",""),IF(AND($G25&lt;Hta_11,$G25&gt;=Hba_11,Input!AG$31&lt;&gt;""),Input!$B$31&amp;";",""),IF(AND($G25&lt;Hta_12,$G25&gt;=Hba_12,Input!AG$32&lt;&gt;""),Input!$B$32&amp;";",""),IF(AND($G25&lt;Hta_13,$G25&gt;=Hba_13,Input!AG$33&lt;&gt;""),Input!$B$33&amp;";",""),IF(AND($G25&lt;Hta_14,$G25&gt;=Hba_14,Input!AG$34&lt;&gt;""),Input!$B$34&amp;";",""),IF(AND($G25&lt;Hta_15,$G25&gt;=Hba_15,Input!AG$35&lt;&gt;""),Input!$B$35&amp;";",""),IF(AND($G25&lt;Hta_16,$G25&gt;=Hba_16,Input!AG$36&lt;&gt;""),Input!$B$36&amp;";",""),IF(AND($G25&lt;Hta_17,$G25&gt;=Hba_17,Input!AG$37&lt;&gt;""),Input!$B$37&amp;";",""),IF(AND($G25&lt;Hta_18,$G25&gt;=Hba_18,Input!AG$38&lt;&gt;""),Input!$B$38&amp;";",""),IF(AND($G25&lt;Hta_19,$G25&gt;=Hba_19,Input!AG$39&lt;&gt;""),Input!$B$39&amp;";",""),IF(AND($G25&lt;Hta_20,$G25&gt;=Hba_20,Input!AG$40&lt;&gt;""),Input!$B$40&amp;";",""),IF(AND($G25&lt;Hta_21,$G25&gt;=Hba_21,Input!AG$41&lt;&gt;""),Input!$B$41&amp;";",""),IF(AND($G25&lt;Hta_22,$G25&gt;=Hba_22,Input!AG$42&lt;&gt;""),Input!$B$42&amp;";",""),IF(AND($G25&lt;Hta_23,$G25&gt;=Hba_23,Input!AG$43&lt;&gt;""),Input!$B$43&amp;";",""),IF(AND($G25&lt;Hta_24,$G25&gt;=Hba_24,Input!AG$44&lt;&gt;""),Input!$B$44&amp;";",""),IF(AND($G25&lt;Hta_25,$G25&gt;=Hba_25,Input!AG$45&lt;&gt;""),Input!$B$45&amp;";",""),IF(AND($G25&lt;Hta_26,$G25&gt;=Hba_26,Input!AG$46&lt;&gt;""),Input!$B$46&amp;";",""),IF(AND($G25&lt;Hta_27,$G25&gt;=Hba_27,Input!AG$47&lt;&gt;""),Input!$B$47&amp;";",""),IF(AND($G25&lt;Hta_28,$G25&gt;=Hba_28,Input!AG$48&lt;&gt;""),Input!$B$48&amp;";",""),IF(AND($G25&lt;Hta_29,$G25&gt;=Hba_29,Input!AG$49&lt;&gt;""),Input!$B$49&amp;";",""),IF(AND($G25&lt;Hta_30,$G25&gt;=Hba_30,Input!AG$50&lt;&gt;""),Input!$B$50&amp;";","")),"")</f>
        <v/>
      </c>
      <c r="CI25" s="25" t="str">
        <f>IFERROR(CONCATENATE(IF(AND($G25&lt;Hta_1,$G25&gt;=Hba_1,Input!AH$21&lt;&gt;""),Input!$B$21&amp;";",""),IF(AND($G25&lt;Hta_2,$G25&gt;=Hba_2,Input!AH$22&lt;&gt;""),Input!$B$22&amp;";",""),IF(AND($G25&lt;Hta_3,$G25&gt;=Hba_3,Input!AH$23&lt;&gt;""),Input!$B$23&amp;";",""),IF(AND($G25&lt;Hta_4,$G25&gt;=Hba_4,Input!AH$24&lt;&gt;""),Input!$B$24&amp;";",""),IF(AND($G25&lt;Hta_5,$G25&gt;=Hba_5,Input!AH$25&lt;&gt;""),Input!$B$25&amp;";",""),IF(AND($G25&lt;Hta_6,$G25&gt;=Hba_6,Input!AH$26&lt;&gt;""),Input!$B$26&amp;";",""),IF(AND($G25&lt;Hta_7,$G25&gt;=Hba_7,Input!AH$27&lt;&gt;""),Input!$B$27&amp;";",""),IF(AND($G25&lt;Hta_8,$G25&gt;=Hba_8,Input!AH$28&lt;&gt;""),Input!$B$28&amp;";",""),IF(AND($G25&lt;Hta_9,$G25&gt;=Hba_9,Input!AH$29&lt;&gt;""),Input!$B$29&amp;";",""),IF(AND($G25&lt;Hta_10,$G25&gt;=Hba_10,Input!AH$30&lt;&gt;""),Input!$B$30&amp;";",""),IF(AND($G25&lt;Hta_11,$G25&gt;=Hba_11,Input!AH$31&lt;&gt;""),Input!$B$31&amp;";",""),IF(AND($G25&lt;Hta_12,$G25&gt;=Hba_12,Input!AH$32&lt;&gt;""),Input!$B$32&amp;";",""),IF(AND($G25&lt;Hta_13,$G25&gt;=Hba_13,Input!AH$33&lt;&gt;""),Input!$B$33&amp;";",""),IF(AND($G25&lt;Hta_14,$G25&gt;=Hba_14,Input!AH$34&lt;&gt;""),Input!$B$34&amp;";",""),IF(AND($G25&lt;Hta_15,$G25&gt;=Hba_15,Input!AH$35&lt;&gt;""),Input!$B$35&amp;";",""),IF(AND($G25&lt;Hta_16,$G25&gt;=Hba_16,Input!AH$36&lt;&gt;""),Input!$B$36&amp;";",""),IF(AND($G25&lt;Hta_17,$G25&gt;=Hba_17,Input!AH$37&lt;&gt;""),Input!$B$37&amp;";",""),IF(AND($G25&lt;Hta_18,$G25&gt;=Hba_18,Input!AH$38&lt;&gt;""),Input!$B$38&amp;";",""),IF(AND($G25&lt;Hta_19,$G25&gt;=Hba_19,Input!AH$39&lt;&gt;""),Input!$B$39&amp;";",""),IF(AND($G25&lt;Hta_20,$G25&gt;=Hba_20,Input!AH$40&lt;&gt;""),Input!$B$40&amp;";",""),IF(AND($G25&lt;Hta_21,$G25&gt;=Hba_21,Input!AH$41&lt;&gt;""),Input!$B$41&amp;";",""),IF(AND($G25&lt;Hta_22,$G25&gt;=Hba_22,Input!AH$42&lt;&gt;""),Input!$B$42&amp;";",""),IF(AND($G25&lt;Hta_23,$G25&gt;=Hba_23,Input!AH$43&lt;&gt;""),Input!$B$43&amp;";",""),IF(AND($G25&lt;Hta_24,$G25&gt;=Hba_24,Input!AH$44&lt;&gt;""),Input!$B$44&amp;";",""),IF(AND($G25&lt;Hta_25,$G25&gt;=Hba_25,Input!AH$45&lt;&gt;""),Input!$B$45&amp;";",""),IF(AND($G25&lt;Hta_26,$G25&gt;=Hba_26,Input!AH$46&lt;&gt;""),Input!$B$46&amp;";",""),IF(AND($G25&lt;Hta_27,$G25&gt;=Hba_27,Input!AH$47&lt;&gt;""),Input!$B$47&amp;";",""),IF(AND($G25&lt;Hta_28,$G25&gt;=Hba_28,Input!AH$48&lt;&gt;""),Input!$B$48&amp;";",""),IF(AND($G25&lt;Hta_29,$G25&gt;=Hba_29,Input!AH$49&lt;&gt;""),Input!$B$49&amp;";",""),IF(AND($G25&lt;Hta_30,$G25&gt;=Hba_30,Input!AH$50&lt;&gt;""),Input!$B$50&amp;";","")),"")</f>
        <v/>
      </c>
      <c r="CJ25" s="25" t="str">
        <f>IFERROR(CONCATENATE(IF(AND($G25&lt;Hta_1,$G25&gt;=Hba_1,Input!AI$21&lt;&gt;""),Input!$B$21&amp;";",""),IF(AND($G25&lt;Hta_2,$G25&gt;=Hba_2,Input!AI$22&lt;&gt;""),Input!$B$22&amp;";",""),IF(AND($G25&lt;Hta_3,$G25&gt;=Hba_3,Input!AI$23&lt;&gt;""),Input!$B$23&amp;";",""),IF(AND($G25&lt;Hta_4,$G25&gt;=Hba_4,Input!AI$24&lt;&gt;""),Input!$B$24&amp;";",""),IF(AND($G25&lt;Hta_5,$G25&gt;=Hba_5,Input!AI$25&lt;&gt;""),Input!$B$25&amp;";",""),IF(AND($G25&lt;Hta_6,$G25&gt;=Hba_6,Input!AI$26&lt;&gt;""),Input!$B$26&amp;";",""),IF(AND($G25&lt;Hta_7,$G25&gt;=Hba_7,Input!AI$27&lt;&gt;""),Input!$B$27&amp;";",""),IF(AND($G25&lt;Hta_8,$G25&gt;=Hba_8,Input!AI$28&lt;&gt;""),Input!$B$28&amp;";",""),IF(AND($G25&lt;Hta_9,$G25&gt;=Hba_9,Input!AI$29&lt;&gt;""),Input!$B$29&amp;";",""),IF(AND($G25&lt;Hta_10,$G25&gt;=Hba_10,Input!AI$30&lt;&gt;""),Input!$B$30&amp;";",""),IF(AND($G25&lt;Hta_11,$G25&gt;=Hba_11,Input!AI$31&lt;&gt;""),Input!$B$31&amp;";",""),IF(AND($G25&lt;Hta_12,$G25&gt;=Hba_12,Input!AI$32&lt;&gt;""),Input!$B$32&amp;";",""),IF(AND($G25&lt;Hta_13,$G25&gt;=Hba_13,Input!AI$33&lt;&gt;""),Input!$B$33&amp;";",""),IF(AND($G25&lt;Hta_14,$G25&gt;=Hba_14,Input!AI$34&lt;&gt;""),Input!$B$34&amp;";",""),IF(AND($G25&lt;Hta_15,$G25&gt;=Hba_15,Input!AI$35&lt;&gt;""),Input!$B$35&amp;";",""),IF(AND($G25&lt;Hta_16,$G25&gt;=Hba_16,Input!AI$36&lt;&gt;""),Input!$B$36&amp;";",""),IF(AND($G25&lt;Hta_17,$G25&gt;=Hba_17,Input!AI$37&lt;&gt;""),Input!$B$37&amp;";",""),IF(AND($G25&lt;Hta_18,$G25&gt;=Hba_18,Input!AI$38&lt;&gt;""),Input!$B$38&amp;";",""),IF(AND($G25&lt;Hta_19,$G25&gt;=Hba_19,Input!AI$39&lt;&gt;""),Input!$B$39&amp;";",""),IF(AND($G25&lt;Hta_20,$G25&gt;=Hba_20,Input!AI$40&lt;&gt;""),Input!$B$40&amp;";",""),IF(AND($G25&lt;Hta_21,$G25&gt;=Hba_21,Input!AI$41&lt;&gt;""),Input!$B$41&amp;";",""),IF(AND($G25&lt;Hta_22,$G25&gt;=Hba_22,Input!AI$42&lt;&gt;""),Input!$B$42&amp;";",""),IF(AND($G25&lt;Hta_23,$G25&gt;=Hba_23,Input!AI$43&lt;&gt;""),Input!$B$43&amp;";",""),IF(AND($G25&lt;Hta_24,$G25&gt;=Hba_24,Input!AI$44&lt;&gt;""),Input!$B$44&amp;";",""),IF(AND($G25&lt;Hta_25,$G25&gt;=Hba_25,Input!AI$45&lt;&gt;""),Input!$B$45&amp;";",""),IF(AND($G25&lt;Hta_26,$G25&gt;=Hba_26,Input!AI$46&lt;&gt;""),Input!$B$46&amp;";",""),IF(AND($G25&lt;Hta_27,$G25&gt;=Hba_27,Input!AI$47&lt;&gt;""),Input!$B$47&amp;";",""),IF(AND($G25&lt;Hta_28,$G25&gt;=Hba_28,Input!AI$48&lt;&gt;""),Input!$B$48&amp;";",""),IF(AND($G25&lt;Hta_29,$G25&gt;=Hba_29,Input!AI$49&lt;&gt;""),Input!$B$49&amp;";",""),IF(AND($G25&lt;Hta_30,$G25&gt;=Hba_30,Input!AI$50&lt;&gt;""),Input!$B$50&amp;";","")),"")</f>
        <v/>
      </c>
      <c r="CK25" s="25" t="str">
        <f>IFERROR(CONCATENATE(IF(AND($G25&lt;Hta_1,$G25&gt;=Hba_1,Input!AJ$21&lt;&gt;""),Input!$B$21&amp;";",""),IF(AND($G25&lt;Hta_2,$G25&gt;=Hba_2,Input!AJ$22&lt;&gt;""),Input!$B$22&amp;";",""),IF(AND($G25&lt;Hta_3,$G25&gt;=Hba_3,Input!AJ$23&lt;&gt;""),Input!$B$23&amp;";",""),IF(AND($G25&lt;Hta_4,$G25&gt;=Hba_4,Input!AJ$24&lt;&gt;""),Input!$B$24&amp;";",""),IF(AND($G25&lt;Hta_5,$G25&gt;=Hba_5,Input!AJ$25&lt;&gt;""),Input!$B$25&amp;";",""),IF(AND($G25&lt;Hta_6,$G25&gt;=Hba_6,Input!AJ$26&lt;&gt;""),Input!$B$26&amp;";",""),IF(AND($G25&lt;Hta_7,$G25&gt;=Hba_7,Input!AJ$27&lt;&gt;""),Input!$B$27&amp;";",""),IF(AND($G25&lt;Hta_8,$G25&gt;=Hba_8,Input!AJ$28&lt;&gt;""),Input!$B$28&amp;";",""),IF(AND($G25&lt;Hta_9,$G25&gt;=Hba_9,Input!AJ$29&lt;&gt;""),Input!$B$29&amp;";",""),IF(AND($G25&lt;Hta_10,$G25&gt;=Hba_10,Input!AJ$30&lt;&gt;""),Input!$B$30&amp;";",""),IF(AND($G25&lt;Hta_11,$G25&gt;=Hba_11,Input!AJ$31&lt;&gt;""),Input!$B$31&amp;";",""),IF(AND($G25&lt;Hta_12,$G25&gt;=Hba_12,Input!AJ$32&lt;&gt;""),Input!$B$32&amp;";",""),IF(AND($G25&lt;Hta_13,$G25&gt;=Hba_13,Input!AJ$33&lt;&gt;""),Input!$B$33&amp;";",""),IF(AND($G25&lt;Hta_14,$G25&gt;=Hba_14,Input!AJ$34&lt;&gt;""),Input!$B$34&amp;";",""),IF(AND($G25&lt;Hta_15,$G25&gt;=Hba_15,Input!AJ$35&lt;&gt;""),Input!$B$35&amp;";",""),IF(AND($G25&lt;Hta_16,$G25&gt;=Hba_16,Input!AJ$36&lt;&gt;""),Input!$B$36&amp;";",""),IF(AND($G25&lt;Hta_17,$G25&gt;=Hba_17,Input!AJ$37&lt;&gt;""),Input!$B$37&amp;";",""),IF(AND($G25&lt;Hta_18,$G25&gt;=Hba_18,Input!AJ$38&lt;&gt;""),Input!$B$38&amp;";",""),IF(AND($G25&lt;Hta_19,$G25&gt;=Hba_19,Input!AJ$39&lt;&gt;""),Input!$B$39&amp;";",""),IF(AND($G25&lt;Hta_20,$G25&gt;=Hba_20,Input!AJ$40&lt;&gt;""),Input!$B$40&amp;";",""),IF(AND($G25&lt;Hta_21,$G25&gt;=Hba_21,Input!AJ$41&lt;&gt;""),Input!$B$41&amp;";",""),IF(AND($G25&lt;Hta_22,$G25&gt;=Hba_22,Input!AJ$42&lt;&gt;""),Input!$B$42&amp;";",""),IF(AND($G25&lt;Hta_23,$G25&gt;=Hba_23,Input!AJ$43&lt;&gt;""),Input!$B$43&amp;";",""),IF(AND($G25&lt;Hta_24,$G25&gt;=Hba_24,Input!AJ$44&lt;&gt;""),Input!$B$44&amp;";",""),IF(AND($G25&lt;Hta_25,$G25&gt;=Hba_25,Input!AJ$45&lt;&gt;""),Input!$B$45&amp;";",""),IF(AND($G25&lt;Hta_26,$G25&gt;=Hba_26,Input!AJ$46&lt;&gt;""),Input!$B$46&amp;";",""),IF(AND($G25&lt;Hta_27,$G25&gt;=Hba_27,Input!AJ$47&lt;&gt;""),Input!$B$47&amp;";",""),IF(AND($G25&lt;Hta_28,$G25&gt;=Hba_28,Input!AJ$48&lt;&gt;""),Input!$B$48&amp;";",""),IF(AND($G25&lt;Hta_29,$G25&gt;=Hba_29,Input!AJ$49&lt;&gt;""),Input!$B$49&amp;";",""),IF(AND($G25&lt;Hta_30,$G25&gt;=Hba_30,Input!AJ$50&lt;&gt;""),Input!$B$50&amp;";","")),"")</f>
        <v/>
      </c>
      <c r="CL25" s="25" t="str">
        <f>IFERROR(CONCATENATE(IF(AND($G25&lt;Hta_1,$G25&gt;=Hba_1,Input!AK$21&lt;&gt;""),Input!$B$21&amp;";",""),IF(AND($G25&lt;Hta_2,$G25&gt;=Hba_2,Input!AK$22&lt;&gt;""),Input!$B$22&amp;";",""),IF(AND($G25&lt;Hta_3,$G25&gt;=Hba_3,Input!AK$23&lt;&gt;""),Input!$B$23&amp;";",""),IF(AND($G25&lt;Hta_4,$G25&gt;=Hba_4,Input!AK$24&lt;&gt;""),Input!$B$24&amp;";",""),IF(AND($G25&lt;Hta_5,$G25&gt;=Hba_5,Input!AK$25&lt;&gt;""),Input!$B$25&amp;";",""),IF(AND($G25&lt;Hta_6,$G25&gt;=Hba_6,Input!AK$26&lt;&gt;""),Input!$B$26&amp;";",""),IF(AND($G25&lt;Hta_7,$G25&gt;=Hba_7,Input!AK$27&lt;&gt;""),Input!$B$27&amp;";",""),IF(AND($G25&lt;Hta_8,$G25&gt;=Hba_8,Input!AK$28&lt;&gt;""),Input!$B$28&amp;";",""),IF(AND($G25&lt;Hta_9,$G25&gt;=Hba_9,Input!AK$29&lt;&gt;""),Input!$B$29&amp;";",""),IF(AND($G25&lt;Hta_10,$G25&gt;=Hba_10,Input!AK$30&lt;&gt;""),Input!$B$30&amp;";",""),IF(AND($G25&lt;Hta_11,$G25&gt;=Hba_11,Input!AK$31&lt;&gt;""),Input!$B$31&amp;";",""),IF(AND($G25&lt;Hta_12,$G25&gt;=Hba_12,Input!AK$32&lt;&gt;""),Input!$B$32&amp;";",""),IF(AND($G25&lt;Hta_13,$G25&gt;=Hba_13,Input!AK$33&lt;&gt;""),Input!$B$33&amp;";",""),IF(AND($G25&lt;Hta_14,$G25&gt;=Hba_14,Input!AK$34&lt;&gt;""),Input!$B$34&amp;";",""),IF(AND($G25&lt;Hta_15,$G25&gt;=Hba_15,Input!AK$35&lt;&gt;""),Input!$B$35&amp;";",""),IF(AND($G25&lt;Hta_16,$G25&gt;=Hba_16,Input!AK$36&lt;&gt;""),Input!$B$36&amp;";",""),IF(AND($G25&lt;Hta_17,$G25&gt;=Hba_17,Input!AK$37&lt;&gt;""),Input!$B$37&amp;";",""),IF(AND($G25&lt;Hta_18,$G25&gt;=Hba_18,Input!AK$38&lt;&gt;""),Input!$B$38&amp;";",""),IF(AND($G25&lt;Hta_19,$G25&gt;=Hba_19,Input!AK$39&lt;&gt;""),Input!$B$39&amp;";",""),IF(AND($G25&lt;Hta_20,$G25&gt;=Hba_20,Input!AK$40&lt;&gt;""),Input!$B$40&amp;";",""),IF(AND($G25&lt;Hta_21,$G25&gt;=Hba_21,Input!AK$41&lt;&gt;""),Input!$B$41&amp;";",""),IF(AND($G25&lt;Hta_22,$G25&gt;=Hba_22,Input!AK$42&lt;&gt;""),Input!$B$42&amp;";",""),IF(AND($G25&lt;Hta_23,$G25&gt;=Hba_23,Input!AK$43&lt;&gt;""),Input!$B$43&amp;";",""),IF(AND($G25&lt;Hta_24,$G25&gt;=Hba_24,Input!AK$44&lt;&gt;""),Input!$B$44&amp;";",""),IF(AND($G25&lt;Hta_25,$G25&gt;=Hba_25,Input!AK$45&lt;&gt;""),Input!$B$45&amp;";",""),IF(AND($G25&lt;Hta_26,$G25&gt;=Hba_26,Input!AK$46&lt;&gt;""),Input!$B$46&amp;";",""),IF(AND($G25&lt;Hta_27,$G25&gt;=Hba_27,Input!AK$47&lt;&gt;""),Input!$B$47&amp;";",""),IF(AND($G25&lt;Hta_28,$G25&gt;=Hba_28,Input!AK$48&lt;&gt;""),Input!$B$48&amp;";",""),IF(AND($G25&lt;Hta_29,$G25&gt;=Hba_29,Input!AK$49&lt;&gt;""),Input!$B$49&amp;";",""),IF(AND($G25&lt;Hta_30,$G25&gt;=Hba_30,Input!AK$50&lt;&gt;""),Input!$B$50&amp;";","")),"")</f>
        <v/>
      </c>
      <c r="CM25" s="25" t="str">
        <f>IFERROR(CONCATENATE(IF(AND($G25&lt;Hta_1,$G25&gt;=Hba_1,Input!AL$21&lt;&gt;""),Input!$B$21&amp;";",""),IF(AND($G25&lt;Hta_2,$G25&gt;=Hba_2,Input!AL$22&lt;&gt;""),Input!$B$22&amp;";",""),IF(AND($G25&lt;Hta_3,$G25&gt;=Hba_3,Input!AL$23&lt;&gt;""),Input!$B$23&amp;";",""),IF(AND($G25&lt;Hta_4,$G25&gt;=Hba_4,Input!AL$24&lt;&gt;""),Input!$B$24&amp;";",""),IF(AND($G25&lt;Hta_5,$G25&gt;=Hba_5,Input!AL$25&lt;&gt;""),Input!$B$25&amp;";",""),IF(AND($G25&lt;Hta_6,$G25&gt;=Hba_6,Input!AL$26&lt;&gt;""),Input!$B$26&amp;";",""),IF(AND($G25&lt;Hta_7,$G25&gt;=Hba_7,Input!AL$27&lt;&gt;""),Input!$B$27&amp;";",""),IF(AND($G25&lt;Hta_8,$G25&gt;=Hba_8,Input!AL$28&lt;&gt;""),Input!$B$28&amp;";",""),IF(AND($G25&lt;Hta_9,$G25&gt;=Hba_9,Input!AL$29&lt;&gt;""),Input!$B$29&amp;";",""),IF(AND($G25&lt;Hta_10,$G25&gt;=Hba_10,Input!AL$30&lt;&gt;""),Input!$B$30&amp;";",""),IF(AND($G25&lt;Hta_11,$G25&gt;=Hba_11,Input!AL$31&lt;&gt;""),Input!$B$31&amp;";",""),IF(AND($G25&lt;Hta_12,$G25&gt;=Hba_12,Input!AL$32&lt;&gt;""),Input!$B$32&amp;";",""),IF(AND($G25&lt;Hta_13,$G25&gt;=Hba_13,Input!AL$33&lt;&gt;""),Input!$B$33&amp;";",""),IF(AND($G25&lt;Hta_14,$G25&gt;=Hba_14,Input!AL$34&lt;&gt;""),Input!$B$34&amp;";",""),IF(AND($G25&lt;Hta_15,$G25&gt;=Hba_15,Input!AL$35&lt;&gt;""),Input!$B$35&amp;";",""),IF(AND($G25&lt;Hta_16,$G25&gt;=Hba_16,Input!AL$36&lt;&gt;""),Input!$B$36&amp;";",""),IF(AND($G25&lt;Hta_17,$G25&gt;=Hba_17,Input!AL$37&lt;&gt;""),Input!$B$37&amp;";",""),IF(AND($G25&lt;Hta_18,$G25&gt;=Hba_18,Input!AL$38&lt;&gt;""),Input!$B$38&amp;";",""),IF(AND($G25&lt;Hta_19,$G25&gt;=Hba_19,Input!AL$39&lt;&gt;""),Input!$B$39&amp;";",""),IF(AND($G25&lt;Hta_20,$G25&gt;=Hba_20,Input!AL$40&lt;&gt;""),Input!$B$40&amp;";",""),IF(AND($G25&lt;Hta_21,$G25&gt;=Hba_21,Input!AL$41&lt;&gt;""),Input!$B$41&amp;";",""),IF(AND($G25&lt;Hta_22,$G25&gt;=Hba_22,Input!AL$42&lt;&gt;""),Input!$B$42&amp;";",""),IF(AND($G25&lt;Hta_23,$G25&gt;=Hba_23,Input!AL$43&lt;&gt;""),Input!$B$43&amp;";",""),IF(AND($G25&lt;Hta_24,$G25&gt;=Hba_24,Input!AL$44&lt;&gt;""),Input!$B$44&amp;";",""),IF(AND($G25&lt;Hta_25,$G25&gt;=Hba_25,Input!AL$45&lt;&gt;""),Input!$B$45&amp;";",""),IF(AND($G25&lt;Hta_26,$G25&gt;=Hba_26,Input!AL$46&lt;&gt;""),Input!$B$46&amp;";",""),IF(AND($G25&lt;Hta_27,$G25&gt;=Hba_27,Input!AL$47&lt;&gt;""),Input!$B$47&amp;";",""),IF(AND($G25&lt;Hta_28,$G25&gt;=Hba_28,Input!AL$48&lt;&gt;""),Input!$B$48&amp;";",""),IF(AND($G25&lt;Hta_29,$G25&gt;=Hba_29,Input!AL$49&lt;&gt;""),Input!$B$49&amp;";",""),IF(AND($G25&lt;Hta_30,$G25&gt;=Hba_30,Input!AL$50&lt;&gt;""),Input!$B$50&amp;";","")),"")</f>
        <v/>
      </c>
      <c r="CN25" s="60" t="str">
        <f t="shared" si="6"/>
        <v/>
      </c>
      <c r="CO25" s="798"/>
      <c r="CP25" s="799"/>
      <c r="CQ25" s="800"/>
      <c r="CR25" s="798"/>
      <c r="CS25" s="799"/>
      <c r="CT25" s="800"/>
      <c r="CU25" s="798" t="str">
        <f t="shared" si="7"/>
        <v/>
      </c>
      <c r="CV25" s="799"/>
      <c r="CW25" s="806"/>
      <c r="CX25" s="726"/>
      <c r="CY25" s="727"/>
      <c r="CZ25" s="732"/>
      <c r="DA25" s="726"/>
      <c r="DB25" s="727"/>
      <c r="DC25" s="732"/>
      <c r="DD25" s="726" t="str">
        <f t="shared" si="8"/>
        <v/>
      </c>
      <c r="DE25" s="727"/>
      <c r="DF25" s="728"/>
      <c r="DG25" s="53"/>
      <c r="DH25" s="54"/>
      <c r="DI25" s="54"/>
      <c r="DJ25" s="54"/>
      <c r="DK25" s="54"/>
      <c r="DL25" s="54"/>
      <c r="DM25" s="54"/>
      <c r="DN25" s="54"/>
      <c r="DO25" s="54"/>
      <c r="DP25" s="54"/>
      <c r="DQ25" s="57"/>
      <c r="DR25" s="57"/>
      <c r="DS25" s="57"/>
      <c r="DT25" s="57"/>
      <c r="DU25" s="57"/>
      <c r="DV25" s="57"/>
      <c r="DW25" s="57"/>
      <c r="DX25" s="57"/>
      <c r="DY25" s="57"/>
      <c r="DZ25" s="57"/>
      <c r="EA25" s="57"/>
      <c r="EB25" s="57"/>
      <c r="EC25" s="57"/>
      <c r="ED25" s="57"/>
      <c r="EE25" s="57"/>
      <c r="EF25" s="57"/>
      <c r="EG25" s="57"/>
      <c r="EH25" s="57"/>
      <c r="EI25" s="57"/>
      <c r="EJ25" s="57"/>
      <c r="EK25" s="57"/>
      <c r="EL25" s="133"/>
      <c r="EM25" s="133"/>
      <c r="EN25" s="133"/>
      <c r="EO25" s="133"/>
      <c r="EP25" s="133"/>
      <c r="EQ25" s="133"/>
      <c r="ER25" s="133"/>
      <c r="ES25" s="133"/>
      <c r="ET25" s="133"/>
      <c r="EU25" s="133"/>
      <c r="EV25" s="133"/>
      <c r="EW25" s="133"/>
      <c r="EX25" s="133"/>
      <c r="EY25" s="133"/>
      <c r="EZ25" s="133"/>
      <c r="FA25" s="133"/>
      <c r="FB25" s="133"/>
      <c r="FC25" s="133"/>
      <c r="FD25" s="133"/>
      <c r="FE25" s="133"/>
      <c r="FF25" s="133"/>
      <c r="FG25" s="133"/>
      <c r="FH25" s="133"/>
      <c r="FI25" s="133"/>
      <c r="FJ25" s="133"/>
      <c r="FK25" s="133"/>
      <c r="FL25" s="133"/>
      <c r="FM25" s="133"/>
      <c r="FN25" s="133"/>
      <c r="FO25" s="133"/>
      <c r="FP25" s="65"/>
      <c r="FQ25" s="125"/>
      <c r="FR25" s="123"/>
      <c r="FS25" s="121"/>
      <c r="FT25" s="119"/>
    </row>
    <row r="26" spans="2:176" ht="15.75" hidden="1" customHeight="1" thickBot="1" x14ac:dyDescent="0.3">
      <c r="B26" s="62" t="b">
        <f>IF(OR(AND(G26&gt;='Geometry 2'!$AK$5,G26&lt;'Geometry 2'!$AL$5),AND(G26&gt;='Geometry 2'!$AK$6,G26&lt;'Geometry 2'!$AL$6),AND(G26&gt;='Geometry 2'!$AK$7,G26&lt;'Geometry 2'!$AL$7),AND(G26&gt;='Geometry 2'!$AK$8,G26&lt;'Geometry 2'!$AL$8),AND(G26&gt;='Geometry 2'!$AK$9,G26&lt;'Geometry 2'!$AL$9),AND(G26&gt;='Geometry 2'!$AK$10,G26&lt;'Geometry 2'!$AL$10),AND(G26&gt;='Geometry 2'!$AK$11,G26&lt;'Geometry 2'!$AL$11),AND(G26&gt;='Geometry 2'!$AK$12,G26&lt;'Geometry 2'!$AL$12),AND(G26&gt;='Geometry 2'!$AK$13,G26&lt;'Geometry 2'!$AL$13),AND(G26&gt;='Geometry 2'!$AK$14,G26&lt;'Geometry 2'!$AL$14)),TRUE,FALSE)</f>
        <v>0</v>
      </c>
      <c r="C26" s="4" t="str">
        <f t="shared" si="3"/>
        <v/>
      </c>
      <c r="D26" s="766" t="str">
        <f t="shared" si="4"/>
        <v/>
      </c>
      <c r="E26" s="767"/>
      <c r="F26" s="17" t="str">
        <f t="shared" si="2"/>
        <v/>
      </c>
      <c r="G26" s="768" t="str">
        <f>IF(D26="","",MAX(0,G25-IF(inc="n/a",999,inc),MAX(IF(G25&lt;=Hta_1,0,Hta_1),IF(G25&lt;=Hta_2,0,Hta_2),IF(G25&lt;=Hta_3,0,Hta_3),IF(G25&lt;=Hta_4,0,Hta_4),IF(G25&lt;=Hta_5,0,Hta_5),IF(G25&lt;=Hta_6,0,Hta_6),IF(G25&lt;=Hta_7,0,Hta_7),IF(G25&lt;=Hta_8,0,Hta_8),IF(G25&lt;=Hta_9,0,Hta_9),IF(G25&lt;=Hta_10,0,Hta_10),IF(G25&lt;=Hta_11,0,Hta_11),IF(G25&lt;=Hta_12,0,Hta_12),IF(G25&lt;=Hta_13,0,Hta_13),IF(G25&lt;=Hta_14,0,Hta_14),IF(G25&lt;=Hta_15,0,Hta_15),IF(G25&lt;=Hta_16,0,Hta_16),IF(G25&lt;=Hta_17,0,Hta_17),IF(G25&lt;=Hta_18,0,Hta_18),IF(G25&lt;=Hta_19,0,Hta_19),IF(G25&lt;=Hta_20,0,Hta_20),IF(G25&lt;=Hta_21,0,Hta_21),IF(G25&lt;=Hta_22,0,Hta_22),IF(G25&lt;=Hta_23,0,Hta_23),IF(G25&lt;=Hta_24,0,Hta_24),IF(G25&lt;=Hta_25,0,Hta_25),IF(G25&lt;=Hta_26,0,Hta_26),IF(G25&lt;=Hta_27,0,Hta_27),IF(G25&lt;=Hta_28,0,Hta_28),IF(G25&lt;=Hta_29,0,Hta_29),IF(G25&lt;=Hta_30,0,Hta_30)),MAX(IF(G25&lt;=Hta_1-0.25,0,Hta_1-0.25),IF(G25&lt;=Hta_2-0.25,0,Hta_2-0.25),IF(G25&lt;=Hta_3-0.25,0,Hta_3-0.25),IF(G25&lt;=Hta_4-0.25,0,Hta_4-0.25),IF(G25&lt;=Hta_5-0.25,0,Hta_5-0.25),IF(G25&lt;=Hta_6-0.25,0,Hta_6-0.25),IF(G25&lt;=Hta_7-0.25,0,Hta_7-0.25),IF(G25&lt;=Hta_8-0.25,0,Hta_8-0.25),IF(G25&lt;=Hta_9-0.25,0,Hta_9-0.25),IF(G25&lt;=Hta_10-0.25,0,Hta_10-0.25),IF(G25&lt;=Hta_11-0.25,0,Hta_11-0.25),IF(G25&lt;=Hta_12-0.25,0,Hta_12-0.25),IF(G25&lt;=Hta_13-0.25,0,Hta_13-0.25),IF(G25&lt;=Hta_14-0.25,0,Hta_14-0.25),IF(G25&lt;=Hta_15-0.25,0,Hta_15-0.25),IF(G25&lt;=Hta_16-0.25,0,Hta_16-0.25),IF(G25&lt;=Hta_17-0.25,0,Hta_17-0.25),IF(G25&lt;=Hta_18-0.25,0,Hta_18-0.25),IF(G25&lt;=Hta_19-0.25,0,Hta_19-0.25),IF(G25&lt;=Hta_20-0.25,0,Hta_20-0.25),IF(G25&lt;=Hta_21-0.25,0,Hta_21-0.25),IF(G25&lt;=Hta_22-0.25,0,Hta_22-0.25),IF(G25&lt;=Hta_23-0.25,0,Hta_23-0.25),IF(G25&lt;=Hta_24-0.25,0,Hta_24-0.25),IF(G25&lt;=Hta_25-0.25,0,Hta_25-0.25),IF(G25&lt;=Hta_26-0.25,0,Hta_26-0.25),IF(G25&lt;=Hta_27-0.25,0,Hta_27-0.25),IF(G25&lt;=Hta_28-0.25,0,Hta_28-0.25),IF(G25&lt;=Hta_29-0.25,0,Hta_29-0.25),IF(G25&lt;=Hta_30-0.25,0,Hta_30-0.25)),MAX(IF(G25&lt;=Hba_1,0,Hba_1),IF(G25&lt;=Hba_2,0,Hba_2),IF(G25&lt;=Hba_3,0,Hba_3),IF(G25&lt;=Hba_4,0,Hba_4),IF(G25&lt;=Hba_5,0,Hba_5),IF(G25&lt;=Hba_6,0,Hba_6),IF(G25&lt;=Hba_7,0,Hba_7),IF(G25&lt;=Hba_8,0,Hba_8),IF(G25&lt;=Hba_9,0,Hba_9),IF(G25&lt;=Hba_10,0,Hba_10),IF(G25&lt;=Hba_11,0,Hba_11),IF(G25&lt;=Hba_12,0,Hba_12),IF(G25&lt;=Hba_13,0,Hba_13),IF(G25&lt;=Hba_14,0,Hba_14),IF(G25&lt;=Hba_15,0,Hba_15),IF(G25&lt;=Hba_16,0,Hba_16),IF(G25&lt;=Hba_17,0,Hba_17),IF(G25&lt;=Hba_18,0,Hba_18),IF(G25&lt;=Hba_19,0,Hba_19),IF(G25&lt;=Hba_20,0,Hba_20),IF(G25&lt;=Hba_21,0,Hba_21),IF(G25&lt;=Hba_22,0,Hba_22),IF(G25&lt;=Hba_23,0,Hba_23),IF(G25&lt;=Hba_24,0,Hba_24),IF(G25&lt;=Hba_25,0,Hba_25),IF(G25&lt;=Hba_26,0,Hba_26),IF(G25&lt;=Hba_27,0,Hba_27),IF(G25&lt;=Hba_28,0,Hba_28),IF(G25&lt;=Hba_29,0,Hba_29),IF(G25&lt;=Hba_30,0,Hba_30)),MAX(IF(G25&lt;=Input!$C$8,0,Input!$C$8),IF(G25&lt;=Input!$C$9,0,Input!$C$9),IF(G25&lt;=Input!$C$10,0,Input!$C$10),IF(G25&lt;=Input!$C$11,0,Input!$C$11),IF(G25&lt;=Input!$C$12,0,Input!$C$12),IF(G25&lt;=Input!$C$13,0,Input!$C$13),IF(G25&lt;=Input!$C$14,0,Input!$C$14),IF(G25&lt;=Input!$C$15,0,Input!$C$15),IF(G25&lt;=Input!$C$16,0,Input!$C$16)),MAX(IF(G25&lt;=Hba_1-0.25,0,Hba_1-0.25),IF(G25&lt;=Hba_2-0.25,0,Hba_2-0.25),IF(G25&lt;=Hba_3-0.25,0,Hba_3-0.25),IF(G25&lt;=Hba_4-0.25,0,Hba_4-0.25),IF(G25&lt;=Hba_5-0.25,0,Hba_5-0.25),IF(G25&lt;=Hba_6-0.25,0,Hba_6-0.25),IF(G25&lt;=Hba_7-0.25,0,Hba_7-0.25),IF(G25&lt;=Hba_8-0.25,0,Hba_8-0.25),IF(G25&lt;=Hba_9-0.25,0,Hba_9-0.25),IF(G25&lt;=Hba_10-0.25,0,Hba_10-0.25),IF(G25&lt;=Hba_11-0.25,0,Hba_11-0.25),IF(G25&lt;=Hba_12-0.25,0,Hba_12-0.25),IF(G25&lt;=Hba_13-0.25,0,Hba_13-0.25),IF(G25&lt;=Hba_14-0.25,0,Hba_14-0.25),IF(G25&lt;=Hba_15-0.25,0,Hba_15-0.25),IF(G25&lt;=Hba_16-0.25,0,Hba_16-0.25),IF(G25&lt;=Hba_17-0.25,0,Hba_17-0.25),IF(G25&lt;=Hba_18-0.25,0,Hba_18-0.25),IF(G25&lt;=Hba_19-0.25,0,Hba_19-0.25),IF(G25&lt;=Hba_20-0.25,0,Hba_20-0.25),IF(G25&lt;=Hba_21-0.25,0,Hba_21-0.25),IF(G25&lt;=Hba_22-0.25,0,Hba_22-0.25),IF(G25&lt;=Hba_23-0.25,0,Hba_23-0.25),IF(G25&lt;=Hba_24-0.25,0,Hba_24-0.25),IF(G25&lt;=Hba_25-0.25,0,Hba_25-0.25),IF(G25&lt;=Hba_26-0.25,0,Hba_26-0.25),IF(G25&lt;=Hba_27-0.25,0,Hba_27-0.25),IF(G25&lt;=Hba_28-0.25,0,Hba_28-0.25),IF(G25&lt;=Hba_29-0.25,0,Hba_29-0.25),IF(G25&lt;=Hba_30-0.25,0,Hba_30-0.25)),IF(G25&lt;='Macro References'!$A$38,0,'Macro References'!$A$38)))</f>
        <v/>
      </c>
      <c r="H26" s="769"/>
      <c r="I26" s="228"/>
      <c r="J26" s="228"/>
      <c r="K26" s="228"/>
      <c r="L26" s="717" t="str">
        <f t="shared" si="0"/>
        <v/>
      </c>
      <c r="M26" s="717"/>
      <c r="N26" s="717"/>
      <c r="O26" s="717"/>
      <c r="P26" s="717" t="str">
        <f>IF(OR(G26=0,G26=""),"",IF(VLOOKUP(G26,'Geometry 2'!$C$4:$AI$14,1,TRUE)=VLOOKUP(G27,'Geometry 2'!$C$4:$AI$14,1,TRUE),"",IF(VLOOKUP(G26,'Geometry 2'!$C$4:$AI$14,33,TRUE)&lt;&gt;"n/a",MIN(G26,VLOOKUP(G26,'Geometry 2'!$C$4:$AI$14,1,TRUE))-VLOOKUP(G26,'Geometry 2'!$C$4:$AI$14,33,TRUE),"check")))</f>
        <v/>
      </c>
      <c r="Q26" s="717"/>
      <c r="R26" s="717"/>
      <c r="S26" s="717"/>
      <c r="T26" s="717" t="str">
        <f>IF($G26="","",VLOOKUP($G26,'Geometry 2'!$E$4:$AH$14,11,TRUE))</f>
        <v/>
      </c>
      <c r="U26" s="717"/>
      <c r="V26" s="717"/>
      <c r="W26" s="717"/>
      <c r="X26" s="716" t="str">
        <f>IF($G26="","",VLOOKUP($G26,'Geometry 2'!$E$4:$AJ$14,19,TRUE)-12*VLOOKUP($G26,'Geometry 2'!$E$4:$AJ$14,32,TRUE)*($D26-VLOOKUP($G26,'Geometry 2'!$E$5:$AH$14,1,TRUE)))</f>
        <v/>
      </c>
      <c r="Y26" s="716"/>
      <c r="Z26" s="716"/>
      <c r="AA26" s="716"/>
      <c r="AB26" s="757" t="str">
        <f>IF($G26="","",VLOOKUP($G26,'Geometry 2'!$E$4:$AJ$14,19,TRUE)-12*VLOOKUP($G26,'Geometry 2'!$E$4:$AJ$14,32,TRUE)*($G26-VLOOKUP($G26,'Geometry 2'!$E$5:$AH$14,1,TRUE)))</f>
        <v/>
      </c>
      <c r="AC26" s="758"/>
      <c r="AD26" s="758"/>
      <c r="AE26" s="759"/>
      <c r="AF26" s="716" t="str">
        <f>IF($G26="","",VLOOKUP($G26,'Geometry 2'!$E$4:$AJ$14,19,TRUE)-12*VLOOKUP($G26,'Geometry 2'!$E$4:$AJ$14,32,TRUE)*($G26-IF($P26="",0,$P26)-VLOOKUP($G26,'Geometry 2'!$E$5:$AH$14,1,TRUE)))</f>
        <v/>
      </c>
      <c r="AG26" s="716"/>
      <c r="AH26" s="716"/>
      <c r="AI26" s="716"/>
      <c r="AJ26" s="746" t="str">
        <f>IF($G26="","",VLOOKUP($G26,'Geometry 2'!$E$4:$AH$14,23,TRUE))</f>
        <v/>
      </c>
      <c r="AK26" s="747"/>
      <c r="AL26" s="747"/>
      <c r="AM26" s="748"/>
      <c r="AN26" s="717"/>
      <c r="AO26" s="717"/>
      <c r="AP26" s="717"/>
      <c r="AQ26" s="717"/>
      <c r="AR26" s="717" t="str">
        <f>IF($G26="","",VLOOKUP($G26,'Geometry 2'!$E$4:$AH$14,27,TRUE))</f>
        <v/>
      </c>
      <c r="AS26" s="717"/>
      <c r="AT26" s="717"/>
      <c r="AU26" s="718"/>
      <c r="AV26" s="715"/>
      <c r="AW26" s="716"/>
      <c r="AX26" s="716"/>
      <c r="AZ26" s="722" t="str">
        <f t="shared" si="5"/>
        <v/>
      </c>
      <c r="BA26" s="723"/>
      <c r="BB26" s="723"/>
      <c r="BC26" s="724"/>
      <c r="BD26" s="722"/>
      <c r="BE26" s="723"/>
      <c r="BF26" s="723"/>
      <c r="BG26" s="722" t="str">
        <f t="shared" si="9"/>
        <v/>
      </c>
      <c r="BH26" s="723"/>
      <c r="BI26" s="723"/>
      <c r="BJ26" s="723"/>
      <c r="BK26" s="724"/>
      <c r="BL26" s="722"/>
      <c r="BM26" s="723"/>
      <c r="BN26" s="723"/>
      <c r="BO26" s="723"/>
      <c r="BP26" s="725"/>
      <c r="BQ26" s="725"/>
      <c r="BR26" s="722" t="str">
        <f>IF(BP26="","",IF(OR(AND(Rev="H",Calculations!$F$27=TRUE),AND(Rev&lt;&gt;"H",Calculations!$F$30=TRUE)),IF(BP26&lt;=1,"Pass","Fail"),IF(BP26&lt;=1.05,"Pass","Fail")))</f>
        <v/>
      </c>
      <c r="BS26" s="723"/>
      <c r="BT26" s="724"/>
      <c r="BU26" s="49"/>
      <c r="BV26" s="25" t="str">
        <f>IFERROR(CONCATENATE(IF(AND($G26&lt;Hta_1,$G26&gt;=Hba_1,Input!U$21&lt;&gt;""),Input!$B$21&amp;";",""),IF(AND($G26&lt;Hta_2,$G26&gt;=Hba_2,Input!U$22&lt;&gt;""),Input!$B$22&amp;";",""),IF(AND($G26&lt;Hta_3,$G26&gt;=Hba_3,Input!U$23&lt;&gt;""),Input!$B$23&amp;";",""),IF(AND($G26&lt;Hta_4,$G26&gt;=Hba_4,Input!U$24&lt;&gt;""),Input!$B$24&amp;";",""),IF(AND($G26&lt;Hta_5,$G26&gt;=Hba_5,Input!U$25&lt;&gt;""),Input!$B$25&amp;";",""),IF(AND($G26&lt;Hta_6,$G26&gt;=Hba_6,Input!U$26&lt;&gt;""),Input!$B$26&amp;";",""),IF(AND($G26&lt;Hta_7,$G26&gt;=Hba_7,Input!U$27&lt;&gt;""),Input!$B$27&amp;";",""),IF(AND($G26&lt;Hta_8,$G26&gt;=Hba_8,Input!U$28&lt;&gt;""),Input!$B$28&amp;";",""),IF(AND($G26&lt;Hta_9,$G26&gt;=Hba_9,Input!U$29&lt;&gt;""),Input!$B$29&amp;";",""),IF(AND($G26&lt;Hta_10,$G26&gt;=Hba_10,Input!U$30&lt;&gt;""),Input!$B$30&amp;";",""),IF(AND($G26&lt;Hta_11,$G26&gt;=Hba_11,Input!U$31&lt;&gt;""),Input!$B$31&amp;";",""),IF(AND($G26&lt;Hta_12,$G26&gt;=Hba_12,Input!U$32&lt;&gt;""),Input!$B$32&amp;";",""),IF(AND($G26&lt;Hta_13,$G26&gt;=Hba_13,Input!U$33&lt;&gt;""),Input!$B$33&amp;";",""),IF(AND($G26&lt;Hta_14,$G26&gt;=Hba_14,Input!U$34&lt;&gt;""),Input!$B$34&amp;";",""),IF(AND($G26&lt;Hta_15,$G26&gt;=Hba_15,Input!U$35&lt;&gt;""),Input!$B$35&amp;";",""),IF(AND($G26&lt;Hta_16,$G26&gt;=Hba_16,Input!U$36&lt;&gt;""),Input!$B$36&amp;";",""),IF(AND($G26&lt;Hta_17,$G26&gt;=Hba_17,Input!U$37&lt;&gt;""),Input!$B$37&amp;";",""),IF(AND($G26&lt;Hta_18,$G26&gt;=Hba_18,Input!U$38&lt;&gt;""),Input!$B$38&amp;";",""),IF(AND($G26&lt;Hta_19,$G26&gt;=Hba_19,Input!U$39&lt;&gt;""),Input!$B$39&amp;";",""),IF(AND($G26&lt;Hta_20,$G26&gt;=Hba_20,Input!U$40&lt;&gt;""),Input!$B$40&amp;";",""),IF(AND($G26&lt;Hta_21,$G26&gt;=Hba_21,Input!U$41&lt;&gt;""),Input!$B$41&amp;";",""),IF(AND($G26&lt;Hta_22,$G26&gt;=Hba_22,Input!U$42&lt;&gt;""),Input!$B$42&amp;";",""),IF(AND($G26&lt;Hta_23,$G26&gt;=Hba_23,Input!U$43&lt;&gt;""),Input!$B$43&amp;";",""),IF(AND($G26&lt;Hta_24,$G26&gt;=Hba_24,Input!U$44&lt;&gt;""),Input!$B$44&amp;";",""),IF(AND($G26&lt;Hta_25,$G26&gt;=Hba_25,Input!U$45&lt;&gt;""),Input!$B$45&amp;";",""),IF(AND($G26&lt;Hta_26,$G26&gt;=Hba_26,Input!U$46&lt;&gt;""),Input!$B$46&amp;";",""),IF(AND($G26&lt;Hta_27,$G26&gt;=Hba_27,Input!U$47&lt;&gt;""),Input!$B$47&amp;";",""),IF(AND($G26&lt;Hta_28,$G26&gt;=Hba_28,Input!U$48&lt;&gt;""),Input!$B$48&amp;";",""),IF(AND($G26&lt;Hta_29,$G26&gt;=Hba_29,Input!U$49&lt;&gt;""),Input!$B$49&amp;";",""),IF(AND($G26&lt;Hta_30,$G26&gt;=Hba_30,Input!U$50&lt;&gt;""),Input!$B$50&amp;";","")),"")</f>
        <v/>
      </c>
      <c r="BW26" s="25" t="str">
        <f>IFERROR(CONCATENATE(IF(AND($G26&lt;Hta_1,$G26&gt;=Hba_1,Input!V$21&lt;&gt;""),Input!$B$21&amp;";",""),IF(AND($G26&lt;Hta_2,$G26&gt;=Hba_2,Input!V$22&lt;&gt;""),Input!$B$22&amp;";",""),IF(AND($G26&lt;Hta_3,$G26&gt;=Hba_3,Input!V$23&lt;&gt;""),Input!$B$23&amp;";",""),IF(AND($G26&lt;Hta_4,$G26&gt;=Hba_4,Input!V$24&lt;&gt;""),Input!$B$24&amp;";",""),IF(AND($G26&lt;Hta_5,$G26&gt;=Hba_5,Input!V$25&lt;&gt;""),Input!$B$25&amp;";",""),IF(AND($G26&lt;Hta_6,$G26&gt;=Hba_6,Input!V$26&lt;&gt;""),Input!$B$26&amp;";",""),IF(AND($G26&lt;Hta_7,$G26&gt;=Hba_7,Input!V$27&lt;&gt;""),Input!$B$27&amp;";",""),IF(AND($G26&lt;Hta_8,$G26&gt;=Hba_8,Input!V$28&lt;&gt;""),Input!$B$28&amp;";",""),IF(AND($G26&lt;Hta_9,$G26&gt;=Hba_9,Input!V$29&lt;&gt;""),Input!$B$29&amp;";",""),IF(AND($G26&lt;Hta_10,$G26&gt;=Hba_10,Input!V$30&lt;&gt;""),Input!$B$30&amp;";",""),IF(AND($G26&lt;Hta_11,$G26&gt;=Hba_11,Input!V$31&lt;&gt;""),Input!$B$31&amp;";",""),IF(AND($G26&lt;Hta_12,$G26&gt;=Hba_12,Input!V$32&lt;&gt;""),Input!$B$32&amp;";",""),IF(AND($G26&lt;Hta_13,$G26&gt;=Hba_13,Input!V$33&lt;&gt;""),Input!$B$33&amp;";",""),IF(AND($G26&lt;Hta_14,$G26&gt;=Hba_14,Input!V$34&lt;&gt;""),Input!$B$34&amp;";",""),IF(AND($G26&lt;Hta_15,$G26&gt;=Hba_15,Input!V$35&lt;&gt;""),Input!$B$35&amp;";",""),IF(AND($G26&lt;Hta_16,$G26&gt;=Hba_16,Input!V$36&lt;&gt;""),Input!$B$36&amp;";",""),IF(AND($G26&lt;Hta_17,$G26&gt;=Hba_17,Input!V$37&lt;&gt;""),Input!$B$37&amp;";",""),IF(AND($G26&lt;Hta_18,$G26&gt;=Hba_18,Input!V$38&lt;&gt;""),Input!$B$38&amp;";",""),IF(AND($G26&lt;Hta_19,$G26&gt;=Hba_19,Input!V$39&lt;&gt;""),Input!$B$39&amp;";",""),IF(AND($G26&lt;Hta_20,$G26&gt;=Hba_20,Input!V$40&lt;&gt;""),Input!$B$40&amp;";",""),IF(AND($G26&lt;Hta_21,$G26&gt;=Hba_21,Input!V$41&lt;&gt;""),Input!$B$41&amp;";",""),IF(AND($G26&lt;Hta_22,$G26&gt;=Hba_22,Input!V$42&lt;&gt;""),Input!$B$42&amp;";",""),IF(AND($G26&lt;Hta_23,$G26&gt;=Hba_23,Input!V$43&lt;&gt;""),Input!$B$43&amp;";",""),IF(AND($G26&lt;Hta_24,$G26&gt;=Hba_24,Input!V$44&lt;&gt;""),Input!$B$44&amp;";",""),IF(AND($G26&lt;Hta_25,$G26&gt;=Hba_25,Input!V$45&lt;&gt;""),Input!$B$45&amp;";",""),IF(AND($G26&lt;Hta_26,$G26&gt;=Hba_26,Input!V$46&lt;&gt;""),Input!$B$46&amp;";",""),IF(AND($G26&lt;Hta_27,$G26&gt;=Hba_27,Input!V$47&lt;&gt;""),Input!$B$47&amp;";",""),IF(AND($G26&lt;Hta_28,$G26&gt;=Hba_28,Input!V$48&lt;&gt;""),Input!$B$48&amp;";",""),IF(AND($G26&lt;Hta_29,$G26&gt;=Hba_29,Input!V$49&lt;&gt;""),Input!$B$49&amp;";",""),IF(AND($G26&lt;Hta_30,$G26&gt;=Hba_30,Input!V$50&lt;&gt;""),Input!$B$50&amp;";","")),"")</f>
        <v/>
      </c>
      <c r="BX26" s="25" t="str">
        <f>IFERROR(CONCATENATE(IF(AND($G26&lt;Hta_1,$G26&gt;=Hba_1,Input!W$21&lt;&gt;""),Input!$B$21&amp;";",""),IF(AND($G26&lt;Hta_2,$G26&gt;=Hba_2,Input!W$22&lt;&gt;""),Input!$B$22&amp;";",""),IF(AND($G26&lt;Hta_3,$G26&gt;=Hba_3,Input!W$23&lt;&gt;""),Input!$B$23&amp;";",""),IF(AND($G26&lt;Hta_4,$G26&gt;=Hba_4,Input!W$24&lt;&gt;""),Input!$B$24&amp;";",""),IF(AND($G26&lt;Hta_5,$G26&gt;=Hba_5,Input!W$25&lt;&gt;""),Input!$B$25&amp;";",""),IF(AND($G26&lt;Hta_6,$G26&gt;=Hba_6,Input!W$26&lt;&gt;""),Input!$B$26&amp;";",""),IF(AND($G26&lt;Hta_7,$G26&gt;=Hba_7,Input!W$27&lt;&gt;""),Input!$B$27&amp;";",""),IF(AND($G26&lt;Hta_8,$G26&gt;=Hba_8,Input!W$28&lt;&gt;""),Input!$B$28&amp;";",""),IF(AND($G26&lt;Hta_9,$G26&gt;=Hba_9,Input!W$29&lt;&gt;""),Input!$B$29&amp;";",""),IF(AND($G26&lt;Hta_10,$G26&gt;=Hba_10,Input!W$30&lt;&gt;""),Input!$B$30&amp;";",""),IF(AND($G26&lt;Hta_11,$G26&gt;=Hba_11,Input!W$31&lt;&gt;""),Input!$B$31&amp;";",""),IF(AND($G26&lt;Hta_12,$G26&gt;=Hba_12,Input!W$32&lt;&gt;""),Input!$B$32&amp;";",""),IF(AND($G26&lt;Hta_13,$G26&gt;=Hba_13,Input!W$33&lt;&gt;""),Input!$B$33&amp;";",""),IF(AND($G26&lt;Hta_14,$G26&gt;=Hba_14,Input!W$34&lt;&gt;""),Input!$B$34&amp;";",""),IF(AND($G26&lt;Hta_15,$G26&gt;=Hba_15,Input!W$35&lt;&gt;""),Input!$B$35&amp;";",""),IF(AND($G26&lt;Hta_16,$G26&gt;=Hba_16,Input!W$36&lt;&gt;""),Input!$B$36&amp;";",""),IF(AND($G26&lt;Hta_17,$G26&gt;=Hba_17,Input!W$37&lt;&gt;""),Input!$B$37&amp;";",""),IF(AND($G26&lt;Hta_18,$G26&gt;=Hba_18,Input!W$38&lt;&gt;""),Input!$B$38&amp;";",""),IF(AND($G26&lt;Hta_19,$G26&gt;=Hba_19,Input!W$39&lt;&gt;""),Input!$B$39&amp;";",""),IF(AND($G26&lt;Hta_20,$G26&gt;=Hba_20,Input!W$40&lt;&gt;""),Input!$B$40&amp;";",""),IF(AND($G26&lt;Hta_21,$G26&gt;=Hba_21,Input!W$41&lt;&gt;""),Input!$B$41&amp;";",""),IF(AND($G26&lt;Hta_22,$G26&gt;=Hba_22,Input!W$42&lt;&gt;""),Input!$B$42&amp;";",""),IF(AND($G26&lt;Hta_23,$G26&gt;=Hba_23,Input!W$43&lt;&gt;""),Input!$B$43&amp;";",""),IF(AND($G26&lt;Hta_24,$G26&gt;=Hba_24,Input!W$44&lt;&gt;""),Input!$B$44&amp;";",""),IF(AND($G26&lt;Hta_25,$G26&gt;=Hba_25,Input!W$45&lt;&gt;""),Input!$B$45&amp;";",""),IF(AND($G26&lt;Hta_26,$G26&gt;=Hba_26,Input!W$46&lt;&gt;""),Input!$B$46&amp;";",""),IF(AND($G26&lt;Hta_27,$G26&gt;=Hba_27,Input!W$47&lt;&gt;""),Input!$B$47&amp;";",""),IF(AND($G26&lt;Hta_28,$G26&gt;=Hba_28,Input!W$48&lt;&gt;""),Input!$B$48&amp;";",""),IF(AND($G26&lt;Hta_29,$G26&gt;=Hba_29,Input!W$49&lt;&gt;""),Input!$B$49&amp;";",""),IF(AND($G26&lt;Hta_30,$G26&gt;=Hba_30,Input!W$50&lt;&gt;""),Input!$B$50&amp;";","")),"")</f>
        <v/>
      </c>
      <c r="BY26" s="25" t="str">
        <f>IFERROR(CONCATENATE(IF(AND($G26&lt;Hta_1,$G26&gt;=Hba_1,Input!X$21&lt;&gt;""),Input!$B$21&amp;";",""),IF(AND($G26&lt;Hta_2,$G26&gt;=Hba_2,Input!X$22&lt;&gt;""),Input!$B$22&amp;";",""),IF(AND($G26&lt;Hta_3,$G26&gt;=Hba_3,Input!X$23&lt;&gt;""),Input!$B$23&amp;";",""),IF(AND($G26&lt;Hta_4,$G26&gt;=Hba_4,Input!X$24&lt;&gt;""),Input!$B$24&amp;";",""),IF(AND($G26&lt;Hta_5,$G26&gt;=Hba_5,Input!X$25&lt;&gt;""),Input!$B$25&amp;";",""),IF(AND($G26&lt;Hta_6,$G26&gt;=Hba_6,Input!X$26&lt;&gt;""),Input!$B$26&amp;";",""),IF(AND($G26&lt;Hta_7,$G26&gt;=Hba_7,Input!X$27&lt;&gt;""),Input!$B$27&amp;";",""),IF(AND($G26&lt;Hta_8,$G26&gt;=Hba_8,Input!X$28&lt;&gt;""),Input!$B$28&amp;";",""),IF(AND($G26&lt;Hta_9,$G26&gt;=Hba_9,Input!X$29&lt;&gt;""),Input!$B$29&amp;";",""),IF(AND($G26&lt;Hta_10,$G26&gt;=Hba_10,Input!X$30&lt;&gt;""),Input!$B$30&amp;";",""),IF(AND($G26&lt;Hta_11,$G26&gt;=Hba_11,Input!X$31&lt;&gt;""),Input!$B$31&amp;";",""),IF(AND($G26&lt;Hta_12,$G26&gt;=Hba_12,Input!X$32&lt;&gt;""),Input!$B$32&amp;";",""),IF(AND($G26&lt;Hta_13,$G26&gt;=Hba_13,Input!X$33&lt;&gt;""),Input!$B$33&amp;";",""),IF(AND($G26&lt;Hta_14,$G26&gt;=Hba_14,Input!X$34&lt;&gt;""),Input!$B$34&amp;";",""),IF(AND($G26&lt;Hta_15,$G26&gt;=Hba_15,Input!X$35&lt;&gt;""),Input!$B$35&amp;";",""),IF(AND($G26&lt;Hta_16,$G26&gt;=Hba_16,Input!X$36&lt;&gt;""),Input!$B$36&amp;";",""),IF(AND($G26&lt;Hta_17,$G26&gt;=Hba_17,Input!X$37&lt;&gt;""),Input!$B$37&amp;";",""),IF(AND($G26&lt;Hta_18,$G26&gt;=Hba_18,Input!X$38&lt;&gt;""),Input!$B$38&amp;";",""),IF(AND($G26&lt;Hta_19,$G26&gt;=Hba_19,Input!X$39&lt;&gt;""),Input!$B$39&amp;";",""),IF(AND($G26&lt;Hta_20,$G26&gt;=Hba_20,Input!X$40&lt;&gt;""),Input!$B$40&amp;";",""),IF(AND($G26&lt;Hta_21,$G26&gt;=Hba_21,Input!X$41&lt;&gt;""),Input!$B$41&amp;";",""),IF(AND($G26&lt;Hta_22,$G26&gt;=Hba_22,Input!X$42&lt;&gt;""),Input!$B$42&amp;";",""),IF(AND($G26&lt;Hta_23,$G26&gt;=Hba_23,Input!X$43&lt;&gt;""),Input!$B$43&amp;";",""),IF(AND($G26&lt;Hta_24,$G26&gt;=Hba_24,Input!X$44&lt;&gt;""),Input!$B$44&amp;";",""),IF(AND($G26&lt;Hta_25,$G26&gt;=Hba_25,Input!X$45&lt;&gt;""),Input!$B$45&amp;";",""),IF(AND($G26&lt;Hta_26,$G26&gt;=Hba_26,Input!X$46&lt;&gt;""),Input!$B$46&amp;";",""),IF(AND($G26&lt;Hta_27,$G26&gt;=Hba_27,Input!X$47&lt;&gt;""),Input!$B$47&amp;";",""),IF(AND($G26&lt;Hta_28,$G26&gt;=Hba_28,Input!X$48&lt;&gt;""),Input!$B$48&amp;";",""),IF(AND($G26&lt;Hta_29,$G26&gt;=Hba_29,Input!X$49&lt;&gt;""),Input!$B$49&amp;";",""),IF(AND($G26&lt;Hta_30,$G26&gt;=Hba_30,Input!X$50&lt;&gt;""),Input!$B$50&amp;";","")),"")</f>
        <v/>
      </c>
      <c r="BZ26" s="25" t="str">
        <f>IFERROR(CONCATENATE(IF(AND($G26&lt;Hta_1,$G26&gt;=Hba_1,Input!Y$21&lt;&gt;""),Input!$B$21&amp;";",""),IF(AND($G26&lt;Hta_2,$G26&gt;=Hba_2,Input!Y$22&lt;&gt;""),Input!$B$22&amp;";",""),IF(AND($G26&lt;Hta_3,$G26&gt;=Hba_3,Input!Y$23&lt;&gt;""),Input!$B$23&amp;";",""),IF(AND($G26&lt;Hta_4,$G26&gt;=Hba_4,Input!Y$24&lt;&gt;""),Input!$B$24&amp;";",""),IF(AND($G26&lt;Hta_5,$G26&gt;=Hba_5,Input!Y$25&lt;&gt;""),Input!$B$25&amp;";",""),IF(AND($G26&lt;Hta_6,$G26&gt;=Hba_6,Input!Y$26&lt;&gt;""),Input!$B$26&amp;";",""),IF(AND($G26&lt;Hta_7,$G26&gt;=Hba_7,Input!Y$27&lt;&gt;""),Input!$B$27&amp;";",""),IF(AND($G26&lt;Hta_8,$G26&gt;=Hba_8,Input!Y$28&lt;&gt;""),Input!$B$28&amp;";",""),IF(AND($G26&lt;Hta_9,$G26&gt;=Hba_9,Input!Y$29&lt;&gt;""),Input!$B$29&amp;";",""),IF(AND($G26&lt;Hta_10,$G26&gt;=Hba_10,Input!Y$30&lt;&gt;""),Input!$B$30&amp;";",""),IF(AND($G26&lt;Hta_11,$G26&gt;=Hba_11,Input!Y$31&lt;&gt;""),Input!$B$31&amp;";",""),IF(AND($G26&lt;Hta_12,$G26&gt;=Hba_12,Input!Y$32&lt;&gt;""),Input!$B$32&amp;";",""),IF(AND($G26&lt;Hta_13,$G26&gt;=Hba_13,Input!Y$33&lt;&gt;""),Input!$B$33&amp;";",""),IF(AND($G26&lt;Hta_14,$G26&gt;=Hba_14,Input!Y$34&lt;&gt;""),Input!$B$34&amp;";",""),IF(AND($G26&lt;Hta_15,$G26&gt;=Hba_15,Input!Y$35&lt;&gt;""),Input!$B$35&amp;";",""),IF(AND($G26&lt;Hta_16,$G26&gt;=Hba_16,Input!Y$36&lt;&gt;""),Input!$B$36&amp;";",""),IF(AND($G26&lt;Hta_17,$G26&gt;=Hba_17,Input!Y$37&lt;&gt;""),Input!$B$37&amp;";",""),IF(AND($G26&lt;Hta_18,$G26&gt;=Hba_18,Input!Y$38&lt;&gt;""),Input!$B$38&amp;";",""),IF(AND($G26&lt;Hta_19,$G26&gt;=Hba_19,Input!Y$39&lt;&gt;""),Input!$B$39&amp;";",""),IF(AND($G26&lt;Hta_20,$G26&gt;=Hba_20,Input!Y$40&lt;&gt;""),Input!$B$40&amp;";",""),IF(AND($G26&lt;Hta_21,$G26&gt;=Hba_21,Input!Y$41&lt;&gt;""),Input!$B$41&amp;";",""),IF(AND($G26&lt;Hta_22,$G26&gt;=Hba_22,Input!Y$42&lt;&gt;""),Input!$B$42&amp;";",""),IF(AND($G26&lt;Hta_23,$G26&gt;=Hba_23,Input!Y$43&lt;&gt;""),Input!$B$43&amp;";",""),IF(AND($G26&lt;Hta_24,$G26&gt;=Hba_24,Input!Y$44&lt;&gt;""),Input!$B$44&amp;";",""),IF(AND($G26&lt;Hta_25,$G26&gt;=Hba_25,Input!Y$45&lt;&gt;""),Input!$B$45&amp;";",""),IF(AND($G26&lt;Hta_26,$G26&gt;=Hba_26,Input!Y$46&lt;&gt;""),Input!$B$46&amp;";",""),IF(AND($G26&lt;Hta_27,$G26&gt;=Hba_27,Input!Y$47&lt;&gt;""),Input!$B$47&amp;";",""),IF(AND($G26&lt;Hta_28,$G26&gt;=Hba_28,Input!Y$48&lt;&gt;""),Input!$B$48&amp;";",""),IF(AND($G26&lt;Hta_29,$G26&gt;=Hba_29,Input!Y$49&lt;&gt;""),Input!$B$49&amp;";",""),IF(AND($G26&lt;Hta_30,$G26&gt;=Hba_30,Input!Y$50&lt;&gt;""),Input!$B$50&amp;";","")),"")</f>
        <v/>
      </c>
      <c r="CA26" s="25" t="str">
        <f>IFERROR(CONCATENATE(IF(AND($G26&lt;Hta_1,$G26&gt;=Hba_1,Input!Z$21&lt;&gt;""),Input!$B$21&amp;";",""),IF(AND($G26&lt;Hta_2,$G26&gt;=Hba_2,Input!Z$22&lt;&gt;""),Input!$B$22&amp;";",""),IF(AND($G26&lt;Hta_3,$G26&gt;=Hba_3,Input!Z$23&lt;&gt;""),Input!$B$23&amp;";",""),IF(AND($G26&lt;Hta_4,$G26&gt;=Hba_4,Input!Z$24&lt;&gt;""),Input!$B$24&amp;";",""),IF(AND($G26&lt;Hta_5,$G26&gt;=Hba_5,Input!Z$25&lt;&gt;""),Input!$B$25&amp;";",""),IF(AND($G26&lt;Hta_6,$G26&gt;=Hba_6,Input!Z$26&lt;&gt;""),Input!$B$26&amp;";",""),IF(AND($G26&lt;Hta_7,$G26&gt;=Hba_7,Input!Z$27&lt;&gt;""),Input!$B$27&amp;";",""),IF(AND($G26&lt;Hta_8,$G26&gt;=Hba_8,Input!Z$28&lt;&gt;""),Input!$B$28&amp;";",""),IF(AND($G26&lt;Hta_9,$G26&gt;=Hba_9,Input!Z$29&lt;&gt;""),Input!$B$29&amp;";",""),IF(AND($G26&lt;Hta_10,$G26&gt;=Hba_10,Input!Z$30&lt;&gt;""),Input!$B$30&amp;";",""),IF(AND($G26&lt;Hta_11,$G26&gt;=Hba_11,Input!Z$31&lt;&gt;""),Input!$B$31&amp;";",""),IF(AND($G26&lt;Hta_12,$G26&gt;=Hba_12,Input!Z$32&lt;&gt;""),Input!$B$32&amp;";",""),IF(AND($G26&lt;Hta_13,$G26&gt;=Hba_13,Input!Z$33&lt;&gt;""),Input!$B$33&amp;";",""),IF(AND($G26&lt;Hta_14,$G26&gt;=Hba_14,Input!Z$34&lt;&gt;""),Input!$B$34&amp;";",""),IF(AND($G26&lt;Hta_15,$G26&gt;=Hba_15,Input!Z$35&lt;&gt;""),Input!$B$35&amp;";",""),IF(AND($G26&lt;Hta_16,$G26&gt;=Hba_16,Input!Z$36&lt;&gt;""),Input!$B$36&amp;";",""),IF(AND($G26&lt;Hta_17,$G26&gt;=Hba_17,Input!Z$37&lt;&gt;""),Input!$B$37&amp;";",""),IF(AND($G26&lt;Hta_18,$G26&gt;=Hba_18,Input!Z$38&lt;&gt;""),Input!$B$38&amp;";",""),IF(AND($G26&lt;Hta_19,$G26&gt;=Hba_19,Input!Z$39&lt;&gt;""),Input!$B$39&amp;";",""),IF(AND($G26&lt;Hta_20,$G26&gt;=Hba_20,Input!Z$40&lt;&gt;""),Input!$B$40&amp;";",""),IF(AND($G26&lt;Hta_21,$G26&gt;=Hba_21,Input!Z$41&lt;&gt;""),Input!$B$41&amp;";",""),IF(AND($G26&lt;Hta_22,$G26&gt;=Hba_22,Input!Z$42&lt;&gt;""),Input!$B$42&amp;";",""),IF(AND($G26&lt;Hta_23,$G26&gt;=Hba_23,Input!Z$43&lt;&gt;""),Input!$B$43&amp;";",""),IF(AND($G26&lt;Hta_24,$G26&gt;=Hba_24,Input!Z$44&lt;&gt;""),Input!$B$44&amp;";",""),IF(AND($G26&lt;Hta_25,$G26&gt;=Hba_25,Input!Z$45&lt;&gt;""),Input!$B$45&amp;";",""),IF(AND($G26&lt;Hta_26,$G26&gt;=Hba_26,Input!Z$46&lt;&gt;""),Input!$B$46&amp;";",""),IF(AND($G26&lt;Hta_27,$G26&gt;=Hba_27,Input!Z$47&lt;&gt;""),Input!$B$47&amp;";",""),IF(AND($G26&lt;Hta_28,$G26&gt;=Hba_28,Input!Z$48&lt;&gt;""),Input!$B$48&amp;";",""),IF(AND($G26&lt;Hta_29,$G26&gt;=Hba_29,Input!Z$49&lt;&gt;""),Input!$B$49&amp;";",""),IF(AND($G26&lt;Hta_30,$G26&gt;=Hba_30,Input!Z$50&lt;&gt;""),Input!$B$50&amp;";","")),"")</f>
        <v/>
      </c>
      <c r="CB26" s="25" t="str">
        <f>IFERROR(CONCATENATE(IF(AND($G26&lt;Hta_1,$G26&gt;=Hba_1,Input!AA$21&lt;&gt;""),Input!$B$21&amp;";",""),IF(AND($G26&lt;Hta_2,$G26&gt;=Hba_2,Input!AA$22&lt;&gt;""),Input!$B$22&amp;";",""),IF(AND($G26&lt;Hta_3,$G26&gt;=Hba_3,Input!AA$23&lt;&gt;""),Input!$B$23&amp;";",""),IF(AND($G26&lt;Hta_4,$G26&gt;=Hba_4,Input!AA$24&lt;&gt;""),Input!$B$24&amp;";",""),IF(AND($G26&lt;Hta_5,$G26&gt;=Hba_5,Input!AA$25&lt;&gt;""),Input!$B$25&amp;";",""),IF(AND($G26&lt;Hta_6,$G26&gt;=Hba_6,Input!AA$26&lt;&gt;""),Input!$B$26&amp;";",""),IF(AND($G26&lt;Hta_7,$G26&gt;=Hba_7,Input!AA$27&lt;&gt;""),Input!$B$27&amp;";",""),IF(AND($G26&lt;Hta_8,$G26&gt;=Hba_8,Input!AA$28&lt;&gt;""),Input!$B$28&amp;";",""),IF(AND($G26&lt;Hta_9,$G26&gt;=Hba_9,Input!AA$29&lt;&gt;""),Input!$B$29&amp;";",""),IF(AND($G26&lt;Hta_10,$G26&gt;=Hba_10,Input!AA$30&lt;&gt;""),Input!$B$30&amp;";",""),IF(AND($G26&lt;Hta_11,$G26&gt;=Hba_11,Input!AA$31&lt;&gt;""),Input!$B$31&amp;";",""),IF(AND($G26&lt;Hta_12,$G26&gt;=Hba_12,Input!AA$32&lt;&gt;""),Input!$B$32&amp;";",""),IF(AND($G26&lt;Hta_13,$G26&gt;=Hba_13,Input!AA$33&lt;&gt;""),Input!$B$33&amp;";",""),IF(AND($G26&lt;Hta_14,$G26&gt;=Hba_14,Input!AA$34&lt;&gt;""),Input!$B$34&amp;";",""),IF(AND($G26&lt;Hta_15,$G26&gt;=Hba_15,Input!AA$35&lt;&gt;""),Input!$B$35&amp;";",""),IF(AND($G26&lt;Hta_16,$G26&gt;=Hba_16,Input!AA$36&lt;&gt;""),Input!$B$36&amp;";",""),IF(AND($G26&lt;Hta_17,$G26&gt;=Hba_17,Input!AA$37&lt;&gt;""),Input!$B$37&amp;";",""),IF(AND($G26&lt;Hta_18,$G26&gt;=Hba_18,Input!AA$38&lt;&gt;""),Input!$B$38&amp;";",""),IF(AND($G26&lt;Hta_19,$G26&gt;=Hba_19,Input!AA$39&lt;&gt;""),Input!$B$39&amp;";",""),IF(AND($G26&lt;Hta_20,$G26&gt;=Hba_20,Input!AA$40&lt;&gt;""),Input!$B$40&amp;";",""),IF(AND($G26&lt;Hta_21,$G26&gt;=Hba_21,Input!AA$41&lt;&gt;""),Input!$B$41&amp;";",""),IF(AND($G26&lt;Hta_22,$G26&gt;=Hba_22,Input!AA$42&lt;&gt;""),Input!$B$42&amp;";",""),IF(AND($G26&lt;Hta_23,$G26&gt;=Hba_23,Input!AA$43&lt;&gt;""),Input!$B$43&amp;";",""),IF(AND($G26&lt;Hta_24,$G26&gt;=Hba_24,Input!AA$44&lt;&gt;""),Input!$B$44&amp;";",""),IF(AND($G26&lt;Hta_25,$G26&gt;=Hba_25,Input!AA$45&lt;&gt;""),Input!$B$45&amp;";",""),IF(AND($G26&lt;Hta_26,$G26&gt;=Hba_26,Input!AA$46&lt;&gt;""),Input!$B$46&amp;";",""),IF(AND($G26&lt;Hta_27,$G26&gt;=Hba_27,Input!AA$47&lt;&gt;""),Input!$B$47&amp;";",""),IF(AND($G26&lt;Hta_28,$G26&gt;=Hba_28,Input!AA$48&lt;&gt;""),Input!$B$48&amp;";",""),IF(AND($G26&lt;Hta_29,$G26&gt;=Hba_29,Input!AA$49&lt;&gt;""),Input!$B$49&amp;";",""),IF(AND($G26&lt;Hta_30,$G26&gt;=Hba_30,Input!AA$50&lt;&gt;""),Input!$B$50&amp;";","")),"")</f>
        <v/>
      </c>
      <c r="CC26" s="25" t="str">
        <f>IFERROR(CONCATENATE(IF(AND($G26&lt;Hta_1,$G26&gt;=Hba_1,Input!AB$21&lt;&gt;""),Input!$B$21&amp;";",""),IF(AND($G26&lt;Hta_2,$G26&gt;=Hba_2,Input!AB$22&lt;&gt;""),Input!$B$22&amp;";",""),IF(AND($G26&lt;Hta_3,$G26&gt;=Hba_3,Input!AB$23&lt;&gt;""),Input!$B$23&amp;";",""),IF(AND($G26&lt;Hta_4,$G26&gt;=Hba_4,Input!AB$24&lt;&gt;""),Input!$B$24&amp;";",""),IF(AND($G26&lt;Hta_5,$G26&gt;=Hba_5,Input!AB$25&lt;&gt;""),Input!$B$25&amp;";",""),IF(AND($G26&lt;Hta_6,$G26&gt;=Hba_6,Input!AB$26&lt;&gt;""),Input!$B$26&amp;";",""),IF(AND($G26&lt;Hta_7,$G26&gt;=Hba_7,Input!AB$27&lt;&gt;""),Input!$B$27&amp;";",""),IF(AND($G26&lt;Hta_8,$G26&gt;=Hba_8,Input!AB$28&lt;&gt;""),Input!$B$28&amp;";",""),IF(AND($G26&lt;Hta_9,$G26&gt;=Hba_9,Input!AB$29&lt;&gt;""),Input!$B$29&amp;";",""),IF(AND($G26&lt;Hta_10,$G26&gt;=Hba_10,Input!AB$30&lt;&gt;""),Input!$B$30&amp;";",""),IF(AND($G26&lt;Hta_11,$G26&gt;=Hba_11,Input!AB$31&lt;&gt;""),Input!$B$31&amp;";",""),IF(AND($G26&lt;Hta_12,$G26&gt;=Hba_12,Input!AB$32&lt;&gt;""),Input!$B$32&amp;";",""),IF(AND($G26&lt;Hta_13,$G26&gt;=Hba_13,Input!AB$33&lt;&gt;""),Input!$B$33&amp;";",""),IF(AND($G26&lt;Hta_14,$G26&gt;=Hba_14,Input!AB$34&lt;&gt;""),Input!$B$34&amp;";",""),IF(AND($G26&lt;Hta_15,$G26&gt;=Hba_15,Input!AB$35&lt;&gt;""),Input!$B$35&amp;";",""),IF(AND($G26&lt;Hta_16,$G26&gt;=Hba_16,Input!AB$36&lt;&gt;""),Input!$B$36&amp;";",""),IF(AND($G26&lt;Hta_17,$G26&gt;=Hba_17,Input!AB$37&lt;&gt;""),Input!$B$37&amp;";",""),IF(AND($G26&lt;Hta_18,$G26&gt;=Hba_18,Input!AB$38&lt;&gt;""),Input!$B$38&amp;";",""),IF(AND($G26&lt;Hta_19,$G26&gt;=Hba_19,Input!AB$39&lt;&gt;""),Input!$B$39&amp;";",""),IF(AND($G26&lt;Hta_20,$G26&gt;=Hba_20,Input!AB$40&lt;&gt;""),Input!$B$40&amp;";",""),IF(AND($G26&lt;Hta_21,$G26&gt;=Hba_21,Input!AB$41&lt;&gt;""),Input!$B$41&amp;";",""),IF(AND($G26&lt;Hta_22,$G26&gt;=Hba_22,Input!AB$42&lt;&gt;""),Input!$B$42&amp;";",""),IF(AND($G26&lt;Hta_23,$G26&gt;=Hba_23,Input!AB$43&lt;&gt;""),Input!$B$43&amp;";",""),IF(AND($G26&lt;Hta_24,$G26&gt;=Hba_24,Input!AB$44&lt;&gt;""),Input!$B$44&amp;";",""),IF(AND($G26&lt;Hta_25,$G26&gt;=Hba_25,Input!AB$45&lt;&gt;""),Input!$B$45&amp;";",""),IF(AND($G26&lt;Hta_26,$G26&gt;=Hba_26,Input!AB$46&lt;&gt;""),Input!$B$46&amp;";",""),IF(AND($G26&lt;Hta_27,$G26&gt;=Hba_27,Input!AB$47&lt;&gt;""),Input!$B$47&amp;";",""),IF(AND($G26&lt;Hta_28,$G26&gt;=Hba_28,Input!AB$48&lt;&gt;""),Input!$B$48&amp;";",""),IF(AND($G26&lt;Hta_29,$G26&gt;=Hba_29,Input!AB$49&lt;&gt;""),Input!$B$49&amp;";",""),IF(AND($G26&lt;Hta_30,$G26&gt;=Hba_30,Input!AB$50&lt;&gt;""),Input!$B$50&amp;";","")),"")</f>
        <v/>
      </c>
      <c r="CD26" s="25" t="str">
        <f>IFERROR(CONCATENATE(IF(AND($G26&lt;Hta_1,$G26&gt;=Hba_1,Input!AC$21&lt;&gt;""),Input!$B$21&amp;";",""),IF(AND($G26&lt;Hta_2,$G26&gt;=Hba_2,Input!AC$22&lt;&gt;""),Input!$B$22&amp;";",""),IF(AND($G26&lt;Hta_3,$G26&gt;=Hba_3,Input!AC$23&lt;&gt;""),Input!$B$23&amp;";",""),IF(AND($G26&lt;Hta_4,$G26&gt;=Hba_4,Input!AC$24&lt;&gt;""),Input!$B$24&amp;";",""),IF(AND($G26&lt;Hta_5,$G26&gt;=Hba_5,Input!AC$25&lt;&gt;""),Input!$B$25&amp;";",""),IF(AND($G26&lt;Hta_6,$G26&gt;=Hba_6,Input!AC$26&lt;&gt;""),Input!$B$26&amp;";",""),IF(AND($G26&lt;Hta_7,$G26&gt;=Hba_7,Input!AC$27&lt;&gt;""),Input!$B$27&amp;";",""),IF(AND($G26&lt;Hta_8,$G26&gt;=Hba_8,Input!AC$28&lt;&gt;""),Input!$B$28&amp;";",""),IF(AND($G26&lt;Hta_9,$G26&gt;=Hba_9,Input!AC$29&lt;&gt;""),Input!$B$29&amp;";",""),IF(AND($G26&lt;Hta_10,$G26&gt;=Hba_10,Input!AC$30&lt;&gt;""),Input!$B$30&amp;";",""),IF(AND($G26&lt;Hta_11,$G26&gt;=Hba_11,Input!AC$31&lt;&gt;""),Input!$B$31&amp;";",""),IF(AND($G26&lt;Hta_12,$G26&gt;=Hba_12,Input!AC$32&lt;&gt;""),Input!$B$32&amp;";",""),IF(AND($G26&lt;Hta_13,$G26&gt;=Hba_13,Input!AC$33&lt;&gt;""),Input!$B$33&amp;";",""),IF(AND($G26&lt;Hta_14,$G26&gt;=Hba_14,Input!AC$34&lt;&gt;""),Input!$B$34&amp;";",""),IF(AND($G26&lt;Hta_15,$G26&gt;=Hba_15,Input!AC$35&lt;&gt;""),Input!$B$35&amp;";",""),IF(AND($G26&lt;Hta_16,$G26&gt;=Hba_16,Input!AC$36&lt;&gt;""),Input!$B$36&amp;";",""),IF(AND($G26&lt;Hta_17,$G26&gt;=Hba_17,Input!AC$37&lt;&gt;""),Input!$B$37&amp;";",""),IF(AND($G26&lt;Hta_18,$G26&gt;=Hba_18,Input!AC$38&lt;&gt;""),Input!$B$38&amp;";",""),IF(AND($G26&lt;Hta_19,$G26&gt;=Hba_19,Input!AC$39&lt;&gt;""),Input!$B$39&amp;";",""),IF(AND($G26&lt;Hta_20,$G26&gt;=Hba_20,Input!AC$40&lt;&gt;""),Input!$B$40&amp;";",""),IF(AND($G26&lt;Hta_21,$G26&gt;=Hba_21,Input!AC$41&lt;&gt;""),Input!$B$41&amp;";",""),IF(AND($G26&lt;Hta_22,$G26&gt;=Hba_22,Input!AC$42&lt;&gt;""),Input!$B$42&amp;";",""),IF(AND($G26&lt;Hta_23,$G26&gt;=Hba_23,Input!AC$43&lt;&gt;""),Input!$B$43&amp;";",""),IF(AND($G26&lt;Hta_24,$G26&gt;=Hba_24,Input!AC$44&lt;&gt;""),Input!$B$44&amp;";",""),IF(AND($G26&lt;Hta_25,$G26&gt;=Hba_25,Input!AC$45&lt;&gt;""),Input!$B$45&amp;";",""),IF(AND($G26&lt;Hta_26,$G26&gt;=Hba_26,Input!AC$46&lt;&gt;""),Input!$B$46&amp;";",""),IF(AND($G26&lt;Hta_27,$G26&gt;=Hba_27,Input!AC$47&lt;&gt;""),Input!$B$47&amp;";",""),IF(AND($G26&lt;Hta_28,$G26&gt;=Hba_28,Input!AC$48&lt;&gt;""),Input!$B$48&amp;";",""),IF(AND($G26&lt;Hta_29,$G26&gt;=Hba_29,Input!AC$49&lt;&gt;""),Input!$B$49&amp;";",""),IF(AND($G26&lt;Hta_30,$G26&gt;=Hba_30,Input!AC$50&lt;&gt;""),Input!$B$50&amp;";","")),"")</f>
        <v/>
      </c>
      <c r="CE26" s="25" t="str">
        <f>IFERROR(CONCATENATE(IF(AND($G26&lt;Hta_1,$G26&gt;=Hba_1,Input!AD$21&lt;&gt;""),Input!$B$21&amp;";",""),IF(AND($G26&lt;Hta_2,$G26&gt;=Hba_2,Input!AD$22&lt;&gt;""),Input!$B$22&amp;";",""),IF(AND($G26&lt;Hta_3,$G26&gt;=Hba_3,Input!AD$23&lt;&gt;""),Input!$B$23&amp;";",""),IF(AND($G26&lt;Hta_4,$G26&gt;=Hba_4,Input!AD$24&lt;&gt;""),Input!$B$24&amp;";",""),IF(AND($G26&lt;Hta_5,$G26&gt;=Hba_5,Input!AD$25&lt;&gt;""),Input!$B$25&amp;";",""),IF(AND($G26&lt;Hta_6,$G26&gt;=Hba_6,Input!AD$26&lt;&gt;""),Input!$B$26&amp;";",""),IF(AND($G26&lt;Hta_7,$G26&gt;=Hba_7,Input!AD$27&lt;&gt;""),Input!$B$27&amp;";",""),IF(AND($G26&lt;Hta_8,$G26&gt;=Hba_8,Input!AD$28&lt;&gt;""),Input!$B$28&amp;";",""),IF(AND($G26&lt;Hta_9,$G26&gt;=Hba_9,Input!AD$29&lt;&gt;""),Input!$B$29&amp;";",""),IF(AND($G26&lt;Hta_10,$G26&gt;=Hba_10,Input!AD$30&lt;&gt;""),Input!$B$30&amp;";",""),IF(AND($G26&lt;Hta_11,$G26&gt;=Hba_11,Input!AD$31&lt;&gt;""),Input!$B$31&amp;";",""),IF(AND($G26&lt;Hta_12,$G26&gt;=Hba_12,Input!AD$32&lt;&gt;""),Input!$B$32&amp;";",""),IF(AND($G26&lt;Hta_13,$G26&gt;=Hba_13,Input!AD$33&lt;&gt;""),Input!$B$33&amp;";",""),IF(AND($G26&lt;Hta_14,$G26&gt;=Hba_14,Input!AD$34&lt;&gt;""),Input!$B$34&amp;";",""),IF(AND($G26&lt;Hta_15,$G26&gt;=Hba_15,Input!AD$35&lt;&gt;""),Input!$B$35&amp;";",""),IF(AND($G26&lt;Hta_16,$G26&gt;=Hba_16,Input!AD$36&lt;&gt;""),Input!$B$36&amp;";",""),IF(AND($G26&lt;Hta_17,$G26&gt;=Hba_17,Input!AD$37&lt;&gt;""),Input!$B$37&amp;";",""),IF(AND($G26&lt;Hta_18,$G26&gt;=Hba_18,Input!AD$38&lt;&gt;""),Input!$B$38&amp;";",""),IF(AND($G26&lt;Hta_19,$G26&gt;=Hba_19,Input!AD$39&lt;&gt;""),Input!$B$39&amp;";",""),IF(AND($G26&lt;Hta_20,$G26&gt;=Hba_20,Input!AD$40&lt;&gt;""),Input!$B$40&amp;";",""),IF(AND($G26&lt;Hta_21,$G26&gt;=Hba_21,Input!AD$41&lt;&gt;""),Input!$B$41&amp;";",""),IF(AND($G26&lt;Hta_22,$G26&gt;=Hba_22,Input!AD$42&lt;&gt;""),Input!$B$42&amp;";",""),IF(AND($G26&lt;Hta_23,$G26&gt;=Hba_23,Input!AD$43&lt;&gt;""),Input!$B$43&amp;";",""),IF(AND($G26&lt;Hta_24,$G26&gt;=Hba_24,Input!AD$44&lt;&gt;""),Input!$B$44&amp;";",""),IF(AND($G26&lt;Hta_25,$G26&gt;=Hba_25,Input!AD$45&lt;&gt;""),Input!$B$45&amp;";",""),IF(AND($G26&lt;Hta_26,$G26&gt;=Hba_26,Input!AD$46&lt;&gt;""),Input!$B$46&amp;";",""),IF(AND($G26&lt;Hta_27,$G26&gt;=Hba_27,Input!AD$47&lt;&gt;""),Input!$B$47&amp;";",""),IF(AND($G26&lt;Hta_28,$G26&gt;=Hba_28,Input!AD$48&lt;&gt;""),Input!$B$48&amp;";",""),IF(AND($G26&lt;Hta_29,$G26&gt;=Hba_29,Input!AD$49&lt;&gt;""),Input!$B$49&amp;";",""),IF(AND($G26&lt;Hta_30,$G26&gt;=Hba_30,Input!AD$50&lt;&gt;""),Input!$B$50&amp;";","")),"")</f>
        <v/>
      </c>
      <c r="CF26" s="25" t="str">
        <f>IFERROR(CONCATENATE(IF(AND($G26&lt;Hta_1,$G26&gt;=Hba_1,Input!AE$21&lt;&gt;""),Input!$B$21&amp;";",""),IF(AND($G26&lt;Hta_2,$G26&gt;=Hba_2,Input!AE$22&lt;&gt;""),Input!$B$22&amp;";",""),IF(AND($G26&lt;Hta_3,$G26&gt;=Hba_3,Input!AE$23&lt;&gt;""),Input!$B$23&amp;";",""),IF(AND($G26&lt;Hta_4,$G26&gt;=Hba_4,Input!AE$24&lt;&gt;""),Input!$B$24&amp;";",""),IF(AND($G26&lt;Hta_5,$G26&gt;=Hba_5,Input!AE$25&lt;&gt;""),Input!$B$25&amp;";",""),IF(AND($G26&lt;Hta_6,$G26&gt;=Hba_6,Input!AE$26&lt;&gt;""),Input!$B$26&amp;";",""),IF(AND($G26&lt;Hta_7,$G26&gt;=Hba_7,Input!AE$27&lt;&gt;""),Input!$B$27&amp;";",""),IF(AND($G26&lt;Hta_8,$G26&gt;=Hba_8,Input!AE$28&lt;&gt;""),Input!$B$28&amp;";",""),IF(AND($G26&lt;Hta_9,$G26&gt;=Hba_9,Input!AE$29&lt;&gt;""),Input!$B$29&amp;";",""),IF(AND($G26&lt;Hta_10,$G26&gt;=Hba_10,Input!AE$30&lt;&gt;""),Input!$B$30&amp;";",""),IF(AND($G26&lt;Hta_11,$G26&gt;=Hba_11,Input!AE$31&lt;&gt;""),Input!$B$31&amp;";",""),IF(AND($G26&lt;Hta_12,$G26&gt;=Hba_12,Input!AE$32&lt;&gt;""),Input!$B$32&amp;";",""),IF(AND($G26&lt;Hta_13,$G26&gt;=Hba_13,Input!AE$33&lt;&gt;""),Input!$B$33&amp;";",""),IF(AND($G26&lt;Hta_14,$G26&gt;=Hba_14,Input!AE$34&lt;&gt;""),Input!$B$34&amp;";",""),IF(AND($G26&lt;Hta_15,$G26&gt;=Hba_15,Input!AE$35&lt;&gt;""),Input!$B$35&amp;";",""),IF(AND($G26&lt;Hta_16,$G26&gt;=Hba_16,Input!AE$36&lt;&gt;""),Input!$B$36&amp;";",""),IF(AND($G26&lt;Hta_17,$G26&gt;=Hba_17,Input!AE$37&lt;&gt;""),Input!$B$37&amp;";",""),IF(AND($G26&lt;Hta_18,$G26&gt;=Hba_18,Input!AE$38&lt;&gt;""),Input!$B$38&amp;";",""),IF(AND($G26&lt;Hta_19,$G26&gt;=Hba_19,Input!AE$39&lt;&gt;""),Input!$B$39&amp;";",""),IF(AND($G26&lt;Hta_20,$G26&gt;=Hba_20,Input!AE$40&lt;&gt;""),Input!$B$40&amp;";",""),IF(AND($G26&lt;Hta_21,$G26&gt;=Hba_21,Input!AE$41&lt;&gt;""),Input!$B$41&amp;";",""),IF(AND($G26&lt;Hta_22,$G26&gt;=Hba_22,Input!AE$42&lt;&gt;""),Input!$B$42&amp;";",""),IF(AND($G26&lt;Hta_23,$G26&gt;=Hba_23,Input!AE$43&lt;&gt;""),Input!$B$43&amp;";",""),IF(AND($G26&lt;Hta_24,$G26&gt;=Hba_24,Input!AE$44&lt;&gt;""),Input!$B$44&amp;";",""),IF(AND($G26&lt;Hta_25,$G26&gt;=Hba_25,Input!AE$45&lt;&gt;""),Input!$B$45&amp;";",""),IF(AND($G26&lt;Hta_26,$G26&gt;=Hba_26,Input!AE$46&lt;&gt;""),Input!$B$46&amp;";",""),IF(AND($G26&lt;Hta_27,$G26&gt;=Hba_27,Input!AE$47&lt;&gt;""),Input!$B$47&amp;";",""),IF(AND($G26&lt;Hta_28,$G26&gt;=Hba_28,Input!AE$48&lt;&gt;""),Input!$B$48&amp;";",""),IF(AND($G26&lt;Hta_29,$G26&gt;=Hba_29,Input!AE$49&lt;&gt;""),Input!$B$49&amp;";",""),IF(AND($G26&lt;Hta_30,$G26&gt;=Hba_30,Input!AE$50&lt;&gt;""),Input!$B$50&amp;";","")),"")</f>
        <v/>
      </c>
      <c r="CG26" s="25" t="str">
        <f>IFERROR(CONCATENATE(IF(AND($G26&lt;Hta_1,$G26&gt;=Hba_1,Input!AF$21&lt;&gt;""),Input!$B$21&amp;";",""),IF(AND($G26&lt;Hta_2,$G26&gt;=Hba_2,Input!AF$22&lt;&gt;""),Input!$B$22&amp;";",""),IF(AND($G26&lt;Hta_3,$G26&gt;=Hba_3,Input!AF$23&lt;&gt;""),Input!$B$23&amp;";",""),IF(AND($G26&lt;Hta_4,$G26&gt;=Hba_4,Input!AF$24&lt;&gt;""),Input!$B$24&amp;";",""),IF(AND($G26&lt;Hta_5,$G26&gt;=Hba_5,Input!AF$25&lt;&gt;""),Input!$B$25&amp;";",""),IF(AND($G26&lt;Hta_6,$G26&gt;=Hba_6,Input!AF$26&lt;&gt;""),Input!$B$26&amp;";",""),IF(AND($G26&lt;Hta_7,$G26&gt;=Hba_7,Input!AF$27&lt;&gt;""),Input!$B$27&amp;";",""),IF(AND($G26&lt;Hta_8,$G26&gt;=Hba_8,Input!AF$28&lt;&gt;""),Input!$B$28&amp;";",""),IF(AND($G26&lt;Hta_9,$G26&gt;=Hba_9,Input!AF$29&lt;&gt;""),Input!$B$29&amp;";",""),IF(AND($G26&lt;Hta_10,$G26&gt;=Hba_10,Input!AF$30&lt;&gt;""),Input!$B$30&amp;";",""),IF(AND($G26&lt;Hta_11,$G26&gt;=Hba_11,Input!AF$31&lt;&gt;""),Input!$B$31&amp;";",""),IF(AND($G26&lt;Hta_12,$G26&gt;=Hba_12,Input!AF$32&lt;&gt;""),Input!$B$32&amp;";",""),IF(AND($G26&lt;Hta_13,$G26&gt;=Hba_13,Input!AF$33&lt;&gt;""),Input!$B$33&amp;";",""),IF(AND($G26&lt;Hta_14,$G26&gt;=Hba_14,Input!AF$34&lt;&gt;""),Input!$B$34&amp;";",""),IF(AND($G26&lt;Hta_15,$G26&gt;=Hba_15,Input!AF$35&lt;&gt;""),Input!$B$35&amp;";",""),IF(AND($G26&lt;Hta_16,$G26&gt;=Hba_16,Input!AF$36&lt;&gt;""),Input!$B$36&amp;";",""),IF(AND($G26&lt;Hta_17,$G26&gt;=Hba_17,Input!AF$37&lt;&gt;""),Input!$B$37&amp;";",""),IF(AND($G26&lt;Hta_18,$G26&gt;=Hba_18,Input!AF$38&lt;&gt;""),Input!$B$38&amp;";",""),IF(AND($G26&lt;Hta_19,$G26&gt;=Hba_19,Input!AF$39&lt;&gt;""),Input!$B$39&amp;";",""),IF(AND($G26&lt;Hta_20,$G26&gt;=Hba_20,Input!AF$40&lt;&gt;""),Input!$B$40&amp;";",""),IF(AND($G26&lt;Hta_21,$G26&gt;=Hba_21,Input!AF$41&lt;&gt;""),Input!$B$41&amp;";",""),IF(AND($G26&lt;Hta_22,$G26&gt;=Hba_22,Input!AF$42&lt;&gt;""),Input!$B$42&amp;";",""),IF(AND($G26&lt;Hta_23,$G26&gt;=Hba_23,Input!AF$43&lt;&gt;""),Input!$B$43&amp;";",""),IF(AND($G26&lt;Hta_24,$G26&gt;=Hba_24,Input!AF$44&lt;&gt;""),Input!$B$44&amp;";",""),IF(AND($G26&lt;Hta_25,$G26&gt;=Hba_25,Input!AF$45&lt;&gt;""),Input!$B$45&amp;";",""),IF(AND($G26&lt;Hta_26,$G26&gt;=Hba_26,Input!AF$46&lt;&gt;""),Input!$B$46&amp;";",""),IF(AND($G26&lt;Hta_27,$G26&gt;=Hba_27,Input!AF$47&lt;&gt;""),Input!$B$47&amp;";",""),IF(AND($G26&lt;Hta_28,$G26&gt;=Hba_28,Input!AF$48&lt;&gt;""),Input!$B$48&amp;";",""),IF(AND($G26&lt;Hta_29,$G26&gt;=Hba_29,Input!AF$49&lt;&gt;""),Input!$B$49&amp;";",""),IF(AND($G26&lt;Hta_30,$G26&gt;=Hba_30,Input!AF$50&lt;&gt;""),Input!$B$50&amp;";","")),"")</f>
        <v/>
      </c>
      <c r="CH26" s="25" t="str">
        <f>IFERROR(CONCATENATE(IF(AND($G26&lt;Hta_1,$G26&gt;=Hba_1,Input!AG$21&lt;&gt;""),Input!$B$21&amp;";",""),IF(AND($G26&lt;Hta_2,$G26&gt;=Hba_2,Input!AG$22&lt;&gt;""),Input!$B$22&amp;";",""),IF(AND($G26&lt;Hta_3,$G26&gt;=Hba_3,Input!AG$23&lt;&gt;""),Input!$B$23&amp;";",""),IF(AND($G26&lt;Hta_4,$G26&gt;=Hba_4,Input!AG$24&lt;&gt;""),Input!$B$24&amp;";",""),IF(AND($G26&lt;Hta_5,$G26&gt;=Hba_5,Input!AG$25&lt;&gt;""),Input!$B$25&amp;";",""),IF(AND($G26&lt;Hta_6,$G26&gt;=Hba_6,Input!AG$26&lt;&gt;""),Input!$B$26&amp;";",""),IF(AND($G26&lt;Hta_7,$G26&gt;=Hba_7,Input!AG$27&lt;&gt;""),Input!$B$27&amp;";",""),IF(AND($G26&lt;Hta_8,$G26&gt;=Hba_8,Input!AG$28&lt;&gt;""),Input!$B$28&amp;";",""),IF(AND($G26&lt;Hta_9,$G26&gt;=Hba_9,Input!AG$29&lt;&gt;""),Input!$B$29&amp;";",""),IF(AND($G26&lt;Hta_10,$G26&gt;=Hba_10,Input!AG$30&lt;&gt;""),Input!$B$30&amp;";",""),IF(AND($G26&lt;Hta_11,$G26&gt;=Hba_11,Input!AG$31&lt;&gt;""),Input!$B$31&amp;";",""),IF(AND($G26&lt;Hta_12,$G26&gt;=Hba_12,Input!AG$32&lt;&gt;""),Input!$B$32&amp;";",""),IF(AND($G26&lt;Hta_13,$G26&gt;=Hba_13,Input!AG$33&lt;&gt;""),Input!$B$33&amp;";",""),IF(AND($G26&lt;Hta_14,$G26&gt;=Hba_14,Input!AG$34&lt;&gt;""),Input!$B$34&amp;";",""),IF(AND($G26&lt;Hta_15,$G26&gt;=Hba_15,Input!AG$35&lt;&gt;""),Input!$B$35&amp;";",""),IF(AND($G26&lt;Hta_16,$G26&gt;=Hba_16,Input!AG$36&lt;&gt;""),Input!$B$36&amp;";",""),IF(AND($G26&lt;Hta_17,$G26&gt;=Hba_17,Input!AG$37&lt;&gt;""),Input!$B$37&amp;";",""),IF(AND($G26&lt;Hta_18,$G26&gt;=Hba_18,Input!AG$38&lt;&gt;""),Input!$B$38&amp;";",""),IF(AND($G26&lt;Hta_19,$G26&gt;=Hba_19,Input!AG$39&lt;&gt;""),Input!$B$39&amp;";",""),IF(AND($G26&lt;Hta_20,$G26&gt;=Hba_20,Input!AG$40&lt;&gt;""),Input!$B$40&amp;";",""),IF(AND($G26&lt;Hta_21,$G26&gt;=Hba_21,Input!AG$41&lt;&gt;""),Input!$B$41&amp;";",""),IF(AND($G26&lt;Hta_22,$G26&gt;=Hba_22,Input!AG$42&lt;&gt;""),Input!$B$42&amp;";",""),IF(AND($G26&lt;Hta_23,$G26&gt;=Hba_23,Input!AG$43&lt;&gt;""),Input!$B$43&amp;";",""),IF(AND($G26&lt;Hta_24,$G26&gt;=Hba_24,Input!AG$44&lt;&gt;""),Input!$B$44&amp;";",""),IF(AND($G26&lt;Hta_25,$G26&gt;=Hba_25,Input!AG$45&lt;&gt;""),Input!$B$45&amp;";",""),IF(AND($G26&lt;Hta_26,$G26&gt;=Hba_26,Input!AG$46&lt;&gt;""),Input!$B$46&amp;";",""),IF(AND($G26&lt;Hta_27,$G26&gt;=Hba_27,Input!AG$47&lt;&gt;""),Input!$B$47&amp;";",""),IF(AND($G26&lt;Hta_28,$G26&gt;=Hba_28,Input!AG$48&lt;&gt;""),Input!$B$48&amp;";",""),IF(AND($G26&lt;Hta_29,$G26&gt;=Hba_29,Input!AG$49&lt;&gt;""),Input!$B$49&amp;";",""),IF(AND($G26&lt;Hta_30,$G26&gt;=Hba_30,Input!AG$50&lt;&gt;""),Input!$B$50&amp;";","")),"")</f>
        <v/>
      </c>
      <c r="CI26" s="25" t="str">
        <f>IFERROR(CONCATENATE(IF(AND($G26&lt;Hta_1,$G26&gt;=Hba_1,Input!AH$21&lt;&gt;""),Input!$B$21&amp;";",""),IF(AND($G26&lt;Hta_2,$G26&gt;=Hba_2,Input!AH$22&lt;&gt;""),Input!$B$22&amp;";",""),IF(AND($G26&lt;Hta_3,$G26&gt;=Hba_3,Input!AH$23&lt;&gt;""),Input!$B$23&amp;";",""),IF(AND($G26&lt;Hta_4,$G26&gt;=Hba_4,Input!AH$24&lt;&gt;""),Input!$B$24&amp;";",""),IF(AND($G26&lt;Hta_5,$G26&gt;=Hba_5,Input!AH$25&lt;&gt;""),Input!$B$25&amp;";",""),IF(AND($G26&lt;Hta_6,$G26&gt;=Hba_6,Input!AH$26&lt;&gt;""),Input!$B$26&amp;";",""),IF(AND($G26&lt;Hta_7,$G26&gt;=Hba_7,Input!AH$27&lt;&gt;""),Input!$B$27&amp;";",""),IF(AND($G26&lt;Hta_8,$G26&gt;=Hba_8,Input!AH$28&lt;&gt;""),Input!$B$28&amp;";",""),IF(AND($G26&lt;Hta_9,$G26&gt;=Hba_9,Input!AH$29&lt;&gt;""),Input!$B$29&amp;";",""),IF(AND($G26&lt;Hta_10,$G26&gt;=Hba_10,Input!AH$30&lt;&gt;""),Input!$B$30&amp;";",""),IF(AND($G26&lt;Hta_11,$G26&gt;=Hba_11,Input!AH$31&lt;&gt;""),Input!$B$31&amp;";",""),IF(AND($G26&lt;Hta_12,$G26&gt;=Hba_12,Input!AH$32&lt;&gt;""),Input!$B$32&amp;";",""),IF(AND($G26&lt;Hta_13,$G26&gt;=Hba_13,Input!AH$33&lt;&gt;""),Input!$B$33&amp;";",""),IF(AND($G26&lt;Hta_14,$G26&gt;=Hba_14,Input!AH$34&lt;&gt;""),Input!$B$34&amp;";",""),IF(AND($G26&lt;Hta_15,$G26&gt;=Hba_15,Input!AH$35&lt;&gt;""),Input!$B$35&amp;";",""),IF(AND($G26&lt;Hta_16,$G26&gt;=Hba_16,Input!AH$36&lt;&gt;""),Input!$B$36&amp;";",""),IF(AND($G26&lt;Hta_17,$G26&gt;=Hba_17,Input!AH$37&lt;&gt;""),Input!$B$37&amp;";",""),IF(AND($G26&lt;Hta_18,$G26&gt;=Hba_18,Input!AH$38&lt;&gt;""),Input!$B$38&amp;";",""),IF(AND($G26&lt;Hta_19,$G26&gt;=Hba_19,Input!AH$39&lt;&gt;""),Input!$B$39&amp;";",""),IF(AND($G26&lt;Hta_20,$G26&gt;=Hba_20,Input!AH$40&lt;&gt;""),Input!$B$40&amp;";",""),IF(AND($G26&lt;Hta_21,$G26&gt;=Hba_21,Input!AH$41&lt;&gt;""),Input!$B$41&amp;";",""),IF(AND($G26&lt;Hta_22,$G26&gt;=Hba_22,Input!AH$42&lt;&gt;""),Input!$B$42&amp;";",""),IF(AND($G26&lt;Hta_23,$G26&gt;=Hba_23,Input!AH$43&lt;&gt;""),Input!$B$43&amp;";",""),IF(AND($G26&lt;Hta_24,$G26&gt;=Hba_24,Input!AH$44&lt;&gt;""),Input!$B$44&amp;";",""),IF(AND($G26&lt;Hta_25,$G26&gt;=Hba_25,Input!AH$45&lt;&gt;""),Input!$B$45&amp;";",""),IF(AND($G26&lt;Hta_26,$G26&gt;=Hba_26,Input!AH$46&lt;&gt;""),Input!$B$46&amp;";",""),IF(AND($G26&lt;Hta_27,$G26&gt;=Hba_27,Input!AH$47&lt;&gt;""),Input!$B$47&amp;";",""),IF(AND($G26&lt;Hta_28,$G26&gt;=Hba_28,Input!AH$48&lt;&gt;""),Input!$B$48&amp;";",""),IF(AND($G26&lt;Hta_29,$G26&gt;=Hba_29,Input!AH$49&lt;&gt;""),Input!$B$49&amp;";",""),IF(AND($G26&lt;Hta_30,$G26&gt;=Hba_30,Input!AH$50&lt;&gt;""),Input!$B$50&amp;";","")),"")</f>
        <v/>
      </c>
      <c r="CJ26" s="25" t="str">
        <f>IFERROR(CONCATENATE(IF(AND($G26&lt;Hta_1,$G26&gt;=Hba_1,Input!AI$21&lt;&gt;""),Input!$B$21&amp;";",""),IF(AND($G26&lt;Hta_2,$G26&gt;=Hba_2,Input!AI$22&lt;&gt;""),Input!$B$22&amp;";",""),IF(AND($G26&lt;Hta_3,$G26&gt;=Hba_3,Input!AI$23&lt;&gt;""),Input!$B$23&amp;";",""),IF(AND($G26&lt;Hta_4,$G26&gt;=Hba_4,Input!AI$24&lt;&gt;""),Input!$B$24&amp;";",""),IF(AND($G26&lt;Hta_5,$G26&gt;=Hba_5,Input!AI$25&lt;&gt;""),Input!$B$25&amp;";",""),IF(AND($G26&lt;Hta_6,$G26&gt;=Hba_6,Input!AI$26&lt;&gt;""),Input!$B$26&amp;";",""),IF(AND($G26&lt;Hta_7,$G26&gt;=Hba_7,Input!AI$27&lt;&gt;""),Input!$B$27&amp;";",""),IF(AND($G26&lt;Hta_8,$G26&gt;=Hba_8,Input!AI$28&lt;&gt;""),Input!$B$28&amp;";",""),IF(AND($G26&lt;Hta_9,$G26&gt;=Hba_9,Input!AI$29&lt;&gt;""),Input!$B$29&amp;";",""),IF(AND($G26&lt;Hta_10,$G26&gt;=Hba_10,Input!AI$30&lt;&gt;""),Input!$B$30&amp;";",""),IF(AND($G26&lt;Hta_11,$G26&gt;=Hba_11,Input!AI$31&lt;&gt;""),Input!$B$31&amp;";",""),IF(AND($G26&lt;Hta_12,$G26&gt;=Hba_12,Input!AI$32&lt;&gt;""),Input!$B$32&amp;";",""),IF(AND($G26&lt;Hta_13,$G26&gt;=Hba_13,Input!AI$33&lt;&gt;""),Input!$B$33&amp;";",""),IF(AND($G26&lt;Hta_14,$G26&gt;=Hba_14,Input!AI$34&lt;&gt;""),Input!$B$34&amp;";",""),IF(AND($G26&lt;Hta_15,$G26&gt;=Hba_15,Input!AI$35&lt;&gt;""),Input!$B$35&amp;";",""),IF(AND($G26&lt;Hta_16,$G26&gt;=Hba_16,Input!AI$36&lt;&gt;""),Input!$B$36&amp;";",""),IF(AND($G26&lt;Hta_17,$G26&gt;=Hba_17,Input!AI$37&lt;&gt;""),Input!$B$37&amp;";",""),IF(AND($G26&lt;Hta_18,$G26&gt;=Hba_18,Input!AI$38&lt;&gt;""),Input!$B$38&amp;";",""),IF(AND($G26&lt;Hta_19,$G26&gt;=Hba_19,Input!AI$39&lt;&gt;""),Input!$B$39&amp;";",""),IF(AND($G26&lt;Hta_20,$G26&gt;=Hba_20,Input!AI$40&lt;&gt;""),Input!$B$40&amp;";",""),IF(AND($G26&lt;Hta_21,$G26&gt;=Hba_21,Input!AI$41&lt;&gt;""),Input!$B$41&amp;";",""),IF(AND($G26&lt;Hta_22,$G26&gt;=Hba_22,Input!AI$42&lt;&gt;""),Input!$B$42&amp;";",""),IF(AND($G26&lt;Hta_23,$G26&gt;=Hba_23,Input!AI$43&lt;&gt;""),Input!$B$43&amp;";",""),IF(AND($G26&lt;Hta_24,$G26&gt;=Hba_24,Input!AI$44&lt;&gt;""),Input!$B$44&amp;";",""),IF(AND($G26&lt;Hta_25,$G26&gt;=Hba_25,Input!AI$45&lt;&gt;""),Input!$B$45&amp;";",""),IF(AND($G26&lt;Hta_26,$G26&gt;=Hba_26,Input!AI$46&lt;&gt;""),Input!$B$46&amp;";",""),IF(AND($G26&lt;Hta_27,$G26&gt;=Hba_27,Input!AI$47&lt;&gt;""),Input!$B$47&amp;";",""),IF(AND($G26&lt;Hta_28,$G26&gt;=Hba_28,Input!AI$48&lt;&gt;""),Input!$B$48&amp;";",""),IF(AND($G26&lt;Hta_29,$G26&gt;=Hba_29,Input!AI$49&lt;&gt;""),Input!$B$49&amp;";",""),IF(AND($G26&lt;Hta_30,$G26&gt;=Hba_30,Input!AI$50&lt;&gt;""),Input!$B$50&amp;";","")),"")</f>
        <v/>
      </c>
      <c r="CK26" s="25" t="str">
        <f>IFERROR(CONCATENATE(IF(AND($G26&lt;Hta_1,$G26&gt;=Hba_1,Input!AJ$21&lt;&gt;""),Input!$B$21&amp;";",""),IF(AND($G26&lt;Hta_2,$G26&gt;=Hba_2,Input!AJ$22&lt;&gt;""),Input!$B$22&amp;";",""),IF(AND($G26&lt;Hta_3,$G26&gt;=Hba_3,Input!AJ$23&lt;&gt;""),Input!$B$23&amp;";",""),IF(AND($G26&lt;Hta_4,$G26&gt;=Hba_4,Input!AJ$24&lt;&gt;""),Input!$B$24&amp;";",""),IF(AND($G26&lt;Hta_5,$G26&gt;=Hba_5,Input!AJ$25&lt;&gt;""),Input!$B$25&amp;";",""),IF(AND($G26&lt;Hta_6,$G26&gt;=Hba_6,Input!AJ$26&lt;&gt;""),Input!$B$26&amp;";",""),IF(AND($G26&lt;Hta_7,$G26&gt;=Hba_7,Input!AJ$27&lt;&gt;""),Input!$B$27&amp;";",""),IF(AND($G26&lt;Hta_8,$G26&gt;=Hba_8,Input!AJ$28&lt;&gt;""),Input!$B$28&amp;";",""),IF(AND($G26&lt;Hta_9,$G26&gt;=Hba_9,Input!AJ$29&lt;&gt;""),Input!$B$29&amp;";",""),IF(AND($G26&lt;Hta_10,$G26&gt;=Hba_10,Input!AJ$30&lt;&gt;""),Input!$B$30&amp;";",""),IF(AND($G26&lt;Hta_11,$G26&gt;=Hba_11,Input!AJ$31&lt;&gt;""),Input!$B$31&amp;";",""),IF(AND($G26&lt;Hta_12,$G26&gt;=Hba_12,Input!AJ$32&lt;&gt;""),Input!$B$32&amp;";",""),IF(AND($G26&lt;Hta_13,$G26&gt;=Hba_13,Input!AJ$33&lt;&gt;""),Input!$B$33&amp;";",""),IF(AND($G26&lt;Hta_14,$G26&gt;=Hba_14,Input!AJ$34&lt;&gt;""),Input!$B$34&amp;";",""),IF(AND($G26&lt;Hta_15,$G26&gt;=Hba_15,Input!AJ$35&lt;&gt;""),Input!$B$35&amp;";",""),IF(AND($G26&lt;Hta_16,$G26&gt;=Hba_16,Input!AJ$36&lt;&gt;""),Input!$B$36&amp;";",""),IF(AND($G26&lt;Hta_17,$G26&gt;=Hba_17,Input!AJ$37&lt;&gt;""),Input!$B$37&amp;";",""),IF(AND($G26&lt;Hta_18,$G26&gt;=Hba_18,Input!AJ$38&lt;&gt;""),Input!$B$38&amp;";",""),IF(AND($G26&lt;Hta_19,$G26&gt;=Hba_19,Input!AJ$39&lt;&gt;""),Input!$B$39&amp;";",""),IF(AND($G26&lt;Hta_20,$G26&gt;=Hba_20,Input!AJ$40&lt;&gt;""),Input!$B$40&amp;";",""),IF(AND($G26&lt;Hta_21,$G26&gt;=Hba_21,Input!AJ$41&lt;&gt;""),Input!$B$41&amp;";",""),IF(AND($G26&lt;Hta_22,$G26&gt;=Hba_22,Input!AJ$42&lt;&gt;""),Input!$B$42&amp;";",""),IF(AND($G26&lt;Hta_23,$G26&gt;=Hba_23,Input!AJ$43&lt;&gt;""),Input!$B$43&amp;";",""),IF(AND($G26&lt;Hta_24,$G26&gt;=Hba_24,Input!AJ$44&lt;&gt;""),Input!$B$44&amp;";",""),IF(AND($G26&lt;Hta_25,$G26&gt;=Hba_25,Input!AJ$45&lt;&gt;""),Input!$B$45&amp;";",""),IF(AND($G26&lt;Hta_26,$G26&gt;=Hba_26,Input!AJ$46&lt;&gt;""),Input!$B$46&amp;";",""),IF(AND($G26&lt;Hta_27,$G26&gt;=Hba_27,Input!AJ$47&lt;&gt;""),Input!$B$47&amp;";",""),IF(AND($G26&lt;Hta_28,$G26&gt;=Hba_28,Input!AJ$48&lt;&gt;""),Input!$B$48&amp;";",""),IF(AND($G26&lt;Hta_29,$G26&gt;=Hba_29,Input!AJ$49&lt;&gt;""),Input!$B$49&amp;";",""),IF(AND($G26&lt;Hta_30,$G26&gt;=Hba_30,Input!AJ$50&lt;&gt;""),Input!$B$50&amp;";","")),"")</f>
        <v/>
      </c>
      <c r="CL26" s="25" t="str">
        <f>IFERROR(CONCATENATE(IF(AND($G26&lt;Hta_1,$G26&gt;=Hba_1,Input!AK$21&lt;&gt;""),Input!$B$21&amp;";",""),IF(AND($G26&lt;Hta_2,$G26&gt;=Hba_2,Input!AK$22&lt;&gt;""),Input!$B$22&amp;";",""),IF(AND($G26&lt;Hta_3,$G26&gt;=Hba_3,Input!AK$23&lt;&gt;""),Input!$B$23&amp;";",""),IF(AND($G26&lt;Hta_4,$G26&gt;=Hba_4,Input!AK$24&lt;&gt;""),Input!$B$24&amp;";",""),IF(AND($G26&lt;Hta_5,$G26&gt;=Hba_5,Input!AK$25&lt;&gt;""),Input!$B$25&amp;";",""),IF(AND($G26&lt;Hta_6,$G26&gt;=Hba_6,Input!AK$26&lt;&gt;""),Input!$B$26&amp;";",""),IF(AND($G26&lt;Hta_7,$G26&gt;=Hba_7,Input!AK$27&lt;&gt;""),Input!$B$27&amp;";",""),IF(AND($G26&lt;Hta_8,$G26&gt;=Hba_8,Input!AK$28&lt;&gt;""),Input!$B$28&amp;";",""),IF(AND($G26&lt;Hta_9,$G26&gt;=Hba_9,Input!AK$29&lt;&gt;""),Input!$B$29&amp;";",""),IF(AND($G26&lt;Hta_10,$G26&gt;=Hba_10,Input!AK$30&lt;&gt;""),Input!$B$30&amp;";",""),IF(AND($G26&lt;Hta_11,$G26&gt;=Hba_11,Input!AK$31&lt;&gt;""),Input!$B$31&amp;";",""),IF(AND($G26&lt;Hta_12,$G26&gt;=Hba_12,Input!AK$32&lt;&gt;""),Input!$B$32&amp;";",""),IF(AND($G26&lt;Hta_13,$G26&gt;=Hba_13,Input!AK$33&lt;&gt;""),Input!$B$33&amp;";",""),IF(AND($G26&lt;Hta_14,$G26&gt;=Hba_14,Input!AK$34&lt;&gt;""),Input!$B$34&amp;";",""),IF(AND($G26&lt;Hta_15,$G26&gt;=Hba_15,Input!AK$35&lt;&gt;""),Input!$B$35&amp;";",""),IF(AND($G26&lt;Hta_16,$G26&gt;=Hba_16,Input!AK$36&lt;&gt;""),Input!$B$36&amp;";",""),IF(AND($G26&lt;Hta_17,$G26&gt;=Hba_17,Input!AK$37&lt;&gt;""),Input!$B$37&amp;";",""),IF(AND($G26&lt;Hta_18,$G26&gt;=Hba_18,Input!AK$38&lt;&gt;""),Input!$B$38&amp;";",""),IF(AND($G26&lt;Hta_19,$G26&gt;=Hba_19,Input!AK$39&lt;&gt;""),Input!$B$39&amp;";",""),IF(AND($G26&lt;Hta_20,$G26&gt;=Hba_20,Input!AK$40&lt;&gt;""),Input!$B$40&amp;";",""),IF(AND($G26&lt;Hta_21,$G26&gt;=Hba_21,Input!AK$41&lt;&gt;""),Input!$B$41&amp;";",""),IF(AND($G26&lt;Hta_22,$G26&gt;=Hba_22,Input!AK$42&lt;&gt;""),Input!$B$42&amp;";",""),IF(AND($G26&lt;Hta_23,$G26&gt;=Hba_23,Input!AK$43&lt;&gt;""),Input!$B$43&amp;";",""),IF(AND($G26&lt;Hta_24,$G26&gt;=Hba_24,Input!AK$44&lt;&gt;""),Input!$B$44&amp;";",""),IF(AND($G26&lt;Hta_25,$G26&gt;=Hba_25,Input!AK$45&lt;&gt;""),Input!$B$45&amp;";",""),IF(AND($G26&lt;Hta_26,$G26&gt;=Hba_26,Input!AK$46&lt;&gt;""),Input!$B$46&amp;";",""),IF(AND($G26&lt;Hta_27,$G26&gt;=Hba_27,Input!AK$47&lt;&gt;""),Input!$B$47&amp;";",""),IF(AND($G26&lt;Hta_28,$G26&gt;=Hba_28,Input!AK$48&lt;&gt;""),Input!$B$48&amp;";",""),IF(AND($G26&lt;Hta_29,$G26&gt;=Hba_29,Input!AK$49&lt;&gt;""),Input!$B$49&amp;";",""),IF(AND($G26&lt;Hta_30,$G26&gt;=Hba_30,Input!AK$50&lt;&gt;""),Input!$B$50&amp;";","")),"")</f>
        <v/>
      </c>
      <c r="CM26" s="25" t="str">
        <f>IFERROR(CONCATENATE(IF(AND($G26&lt;Hta_1,$G26&gt;=Hba_1,Input!AL$21&lt;&gt;""),Input!$B$21&amp;";",""),IF(AND($G26&lt;Hta_2,$G26&gt;=Hba_2,Input!AL$22&lt;&gt;""),Input!$B$22&amp;";",""),IF(AND($G26&lt;Hta_3,$G26&gt;=Hba_3,Input!AL$23&lt;&gt;""),Input!$B$23&amp;";",""),IF(AND($G26&lt;Hta_4,$G26&gt;=Hba_4,Input!AL$24&lt;&gt;""),Input!$B$24&amp;";",""),IF(AND($G26&lt;Hta_5,$G26&gt;=Hba_5,Input!AL$25&lt;&gt;""),Input!$B$25&amp;";",""),IF(AND($G26&lt;Hta_6,$G26&gt;=Hba_6,Input!AL$26&lt;&gt;""),Input!$B$26&amp;";",""),IF(AND($G26&lt;Hta_7,$G26&gt;=Hba_7,Input!AL$27&lt;&gt;""),Input!$B$27&amp;";",""),IF(AND($G26&lt;Hta_8,$G26&gt;=Hba_8,Input!AL$28&lt;&gt;""),Input!$B$28&amp;";",""),IF(AND($G26&lt;Hta_9,$G26&gt;=Hba_9,Input!AL$29&lt;&gt;""),Input!$B$29&amp;";",""),IF(AND($G26&lt;Hta_10,$G26&gt;=Hba_10,Input!AL$30&lt;&gt;""),Input!$B$30&amp;";",""),IF(AND($G26&lt;Hta_11,$G26&gt;=Hba_11,Input!AL$31&lt;&gt;""),Input!$B$31&amp;";",""),IF(AND($G26&lt;Hta_12,$G26&gt;=Hba_12,Input!AL$32&lt;&gt;""),Input!$B$32&amp;";",""),IF(AND($G26&lt;Hta_13,$G26&gt;=Hba_13,Input!AL$33&lt;&gt;""),Input!$B$33&amp;";",""),IF(AND($G26&lt;Hta_14,$G26&gt;=Hba_14,Input!AL$34&lt;&gt;""),Input!$B$34&amp;";",""),IF(AND($G26&lt;Hta_15,$G26&gt;=Hba_15,Input!AL$35&lt;&gt;""),Input!$B$35&amp;";",""),IF(AND($G26&lt;Hta_16,$G26&gt;=Hba_16,Input!AL$36&lt;&gt;""),Input!$B$36&amp;";",""),IF(AND($G26&lt;Hta_17,$G26&gt;=Hba_17,Input!AL$37&lt;&gt;""),Input!$B$37&amp;";",""),IF(AND($G26&lt;Hta_18,$G26&gt;=Hba_18,Input!AL$38&lt;&gt;""),Input!$B$38&amp;";",""),IF(AND($G26&lt;Hta_19,$G26&gt;=Hba_19,Input!AL$39&lt;&gt;""),Input!$B$39&amp;";",""),IF(AND($G26&lt;Hta_20,$G26&gt;=Hba_20,Input!AL$40&lt;&gt;""),Input!$B$40&amp;";",""),IF(AND($G26&lt;Hta_21,$G26&gt;=Hba_21,Input!AL$41&lt;&gt;""),Input!$B$41&amp;";",""),IF(AND($G26&lt;Hta_22,$G26&gt;=Hba_22,Input!AL$42&lt;&gt;""),Input!$B$42&amp;";",""),IF(AND($G26&lt;Hta_23,$G26&gt;=Hba_23,Input!AL$43&lt;&gt;""),Input!$B$43&amp;";",""),IF(AND($G26&lt;Hta_24,$G26&gt;=Hba_24,Input!AL$44&lt;&gt;""),Input!$B$44&amp;";",""),IF(AND($G26&lt;Hta_25,$G26&gt;=Hba_25,Input!AL$45&lt;&gt;""),Input!$B$45&amp;";",""),IF(AND($G26&lt;Hta_26,$G26&gt;=Hba_26,Input!AL$46&lt;&gt;""),Input!$B$46&amp;";",""),IF(AND($G26&lt;Hta_27,$G26&gt;=Hba_27,Input!AL$47&lt;&gt;""),Input!$B$47&amp;";",""),IF(AND($G26&lt;Hta_28,$G26&gt;=Hba_28,Input!AL$48&lt;&gt;""),Input!$B$48&amp;";",""),IF(AND($G26&lt;Hta_29,$G26&gt;=Hba_29,Input!AL$49&lt;&gt;""),Input!$B$49&amp;";",""),IF(AND($G26&lt;Hta_30,$G26&gt;=Hba_30,Input!AL$50&lt;&gt;""),Input!$B$50&amp;";","")),"")</f>
        <v/>
      </c>
      <c r="CN26" s="59" t="str">
        <f t="shared" si="6"/>
        <v/>
      </c>
      <c r="CO26" s="791"/>
      <c r="CP26" s="792"/>
      <c r="CQ26" s="793"/>
      <c r="CR26" s="791"/>
      <c r="CS26" s="792"/>
      <c r="CT26" s="793"/>
      <c r="CU26" s="791" t="str">
        <f t="shared" si="7"/>
        <v/>
      </c>
      <c r="CV26" s="792"/>
      <c r="CW26" s="807"/>
      <c r="CX26" s="808"/>
      <c r="CY26" s="730"/>
      <c r="CZ26" s="809"/>
      <c r="DA26" s="733"/>
      <c r="DB26" s="734"/>
      <c r="DC26" s="735"/>
      <c r="DD26" s="729" t="str">
        <f t="shared" si="8"/>
        <v/>
      </c>
      <c r="DE26" s="730"/>
      <c r="DF26" s="731"/>
      <c r="DG26" s="55"/>
      <c r="DH26" s="56"/>
      <c r="DI26" s="56"/>
      <c r="DJ26" s="56"/>
      <c r="DK26" s="56"/>
      <c r="DL26" s="56"/>
      <c r="DM26" s="56"/>
      <c r="DN26" s="56"/>
      <c r="DO26" s="56"/>
      <c r="DP26" s="56"/>
      <c r="DQ26" s="58"/>
      <c r="DR26" s="58"/>
      <c r="DS26" s="58"/>
      <c r="DT26" s="58"/>
      <c r="DU26" s="58"/>
      <c r="DV26" s="58"/>
      <c r="DW26" s="58"/>
      <c r="DX26" s="58"/>
      <c r="DY26" s="58"/>
      <c r="DZ26" s="58"/>
      <c r="EA26" s="58"/>
      <c r="EB26" s="58"/>
      <c r="EC26" s="58"/>
      <c r="ED26" s="58"/>
      <c r="EE26" s="58"/>
      <c r="EF26" s="58"/>
      <c r="EG26" s="58"/>
      <c r="EH26" s="58"/>
      <c r="EI26" s="58"/>
      <c r="EJ26" s="58"/>
      <c r="EK26" s="58"/>
      <c r="EL26" s="134"/>
      <c r="EM26" s="134"/>
      <c r="EN26" s="134"/>
      <c r="EO26" s="134"/>
      <c r="EP26" s="134"/>
      <c r="EQ26" s="134"/>
      <c r="ER26" s="134"/>
      <c r="ES26" s="134"/>
      <c r="ET26" s="134"/>
      <c r="EU26" s="134"/>
      <c r="EV26" s="134"/>
      <c r="EW26" s="134"/>
      <c r="EX26" s="134"/>
      <c r="EY26" s="134"/>
      <c r="EZ26" s="134"/>
      <c r="FA26" s="134"/>
      <c r="FB26" s="134"/>
      <c r="FC26" s="134"/>
      <c r="FD26" s="134"/>
      <c r="FE26" s="134"/>
      <c r="FF26" s="134"/>
      <c r="FG26" s="134"/>
      <c r="FH26" s="134"/>
      <c r="FI26" s="134"/>
      <c r="FJ26" s="134"/>
      <c r="FK26" s="134"/>
      <c r="FL26" s="134"/>
      <c r="FM26" s="134"/>
      <c r="FN26" s="134"/>
      <c r="FO26" s="134"/>
      <c r="FP26" s="65"/>
      <c r="FQ26" s="124"/>
      <c r="FR26" s="122"/>
      <c r="FS26" s="120"/>
      <c r="FT26" s="119"/>
    </row>
    <row r="27" spans="2:176" ht="15.75" hidden="1" customHeight="1" thickBot="1" x14ac:dyDescent="0.3">
      <c r="B27" s="62" t="b">
        <f>IF(OR(AND(G27&gt;='Geometry 2'!$AK$5,G27&lt;'Geometry 2'!$AL$5),AND(G27&gt;='Geometry 2'!$AK$6,G27&lt;'Geometry 2'!$AL$6),AND(G27&gt;='Geometry 2'!$AK$7,G27&lt;'Geometry 2'!$AL$7),AND(G27&gt;='Geometry 2'!$AK$8,G27&lt;'Geometry 2'!$AL$8),AND(G27&gt;='Geometry 2'!$AK$9,G27&lt;'Geometry 2'!$AL$9),AND(G27&gt;='Geometry 2'!$AK$10,G27&lt;'Geometry 2'!$AL$10),AND(G27&gt;='Geometry 2'!$AK$11,G27&lt;'Geometry 2'!$AL$11),AND(G27&gt;='Geometry 2'!$AK$12,G27&lt;'Geometry 2'!$AL$12),AND(G27&gt;='Geometry 2'!$AK$13,G27&lt;'Geometry 2'!$AL$13),AND(G27&gt;='Geometry 2'!$AK$14,G27&lt;'Geometry 2'!$AL$14)),TRUE,FALSE)</f>
        <v>0</v>
      </c>
      <c r="C27" s="4" t="str">
        <f t="shared" si="3"/>
        <v/>
      </c>
      <c r="D27" s="766" t="str">
        <f t="shared" si="4"/>
        <v/>
      </c>
      <c r="E27" s="767"/>
      <c r="F27" s="17" t="str">
        <f t="shared" si="2"/>
        <v/>
      </c>
      <c r="G27" s="768" t="str">
        <f>IF(D27="","",MAX(0,G26-IF(inc="n/a",999,inc),MAX(IF(G26&lt;=Hta_1,0,Hta_1),IF(G26&lt;=Hta_2,0,Hta_2),IF(G26&lt;=Hta_3,0,Hta_3),IF(G26&lt;=Hta_4,0,Hta_4),IF(G26&lt;=Hta_5,0,Hta_5),IF(G26&lt;=Hta_6,0,Hta_6),IF(G26&lt;=Hta_7,0,Hta_7),IF(G26&lt;=Hta_8,0,Hta_8),IF(G26&lt;=Hta_9,0,Hta_9),IF(G26&lt;=Hta_10,0,Hta_10),IF(G26&lt;=Hta_11,0,Hta_11),IF(G26&lt;=Hta_12,0,Hta_12),IF(G26&lt;=Hta_13,0,Hta_13),IF(G26&lt;=Hta_14,0,Hta_14),IF(G26&lt;=Hta_15,0,Hta_15),IF(G26&lt;=Hta_16,0,Hta_16),IF(G26&lt;=Hta_17,0,Hta_17),IF(G26&lt;=Hta_18,0,Hta_18),IF(G26&lt;=Hta_19,0,Hta_19),IF(G26&lt;=Hta_20,0,Hta_20),IF(G26&lt;=Hta_21,0,Hta_21),IF(G26&lt;=Hta_22,0,Hta_22),IF(G26&lt;=Hta_23,0,Hta_23),IF(G26&lt;=Hta_24,0,Hta_24),IF(G26&lt;=Hta_25,0,Hta_25),IF(G26&lt;=Hta_26,0,Hta_26),IF(G26&lt;=Hta_27,0,Hta_27),IF(G26&lt;=Hta_28,0,Hta_28),IF(G26&lt;=Hta_29,0,Hta_29),IF(G26&lt;=Hta_30,0,Hta_30)),MAX(IF(G26&lt;=Hta_1-0.25,0,Hta_1-0.25),IF(G26&lt;=Hta_2-0.25,0,Hta_2-0.25),IF(G26&lt;=Hta_3-0.25,0,Hta_3-0.25),IF(G26&lt;=Hta_4-0.25,0,Hta_4-0.25),IF(G26&lt;=Hta_5-0.25,0,Hta_5-0.25),IF(G26&lt;=Hta_6-0.25,0,Hta_6-0.25),IF(G26&lt;=Hta_7-0.25,0,Hta_7-0.25),IF(G26&lt;=Hta_8-0.25,0,Hta_8-0.25),IF(G26&lt;=Hta_9-0.25,0,Hta_9-0.25),IF(G26&lt;=Hta_10-0.25,0,Hta_10-0.25),IF(G26&lt;=Hta_11-0.25,0,Hta_11-0.25),IF(G26&lt;=Hta_12-0.25,0,Hta_12-0.25),IF(G26&lt;=Hta_13-0.25,0,Hta_13-0.25),IF(G26&lt;=Hta_14-0.25,0,Hta_14-0.25),IF(G26&lt;=Hta_15-0.25,0,Hta_15-0.25),IF(G26&lt;=Hta_16-0.25,0,Hta_16-0.25),IF(G26&lt;=Hta_17-0.25,0,Hta_17-0.25),IF(G26&lt;=Hta_18-0.25,0,Hta_18-0.25),IF(G26&lt;=Hta_19-0.25,0,Hta_19-0.25),IF(G26&lt;=Hta_20-0.25,0,Hta_20-0.25),IF(G26&lt;=Hta_21-0.25,0,Hta_21-0.25),IF(G26&lt;=Hta_22-0.25,0,Hta_22-0.25),IF(G26&lt;=Hta_23-0.25,0,Hta_23-0.25),IF(G26&lt;=Hta_24-0.25,0,Hta_24-0.25),IF(G26&lt;=Hta_25-0.25,0,Hta_25-0.25),IF(G26&lt;=Hta_26-0.25,0,Hta_26-0.25),IF(G26&lt;=Hta_27-0.25,0,Hta_27-0.25),IF(G26&lt;=Hta_28-0.25,0,Hta_28-0.25),IF(G26&lt;=Hta_29-0.25,0,Hta_29-0.25),IF(G26&lt;=Hta_30-0.25,0,Hta_30-0.25)),MAX(IF(G26&lt;=Hba_1,0,Hba_1),IF(G26&lt;=Hba_2,0,Hba_2),IF(G26&lt;=Hba_3,0,Hba_3),IF(G26&lt;=Hba_4,0,Hba_4),IF(G26&lt;=Hba_5,0,Hba_5),IF(G26&lt;=Hba_6,0,Hba_6),IF(G26&lt;=Hba_7,0,Hba_7),IF(G26&lt;=Hba_8,0,Hba_8),IF(G26&lt;=Hba_9,0,Hba_9),IF(G26&lt;=Hba_10,0,Hba_10),IF(G26&lt;=Hba_11,0,Hba_11),IF(G26&lt;=Hba_12,0,Hba_12),IF(G26&lt;=Hba_13,0,Hba_13),IF(G26&lt;=Hba_14,0,Hba_14),IF(G26&lt;=Hba_15,0,Hba_15),IF(G26&lt;=Hba_16,0,Hba_16),IF(G26&lt;=Hba_17,0,Hba_17),IF(G26&lt;=Hba_18,0,Hba_18),IF(G26&lt;=Hba_19,0,Hba_19),IF(G26&lt;=Hba_20,0,Hba_20),IF(G26&lt;=Hba_21,0,Hba_21),IF(G26&lt;=Hba_22,0,Hba_22),IF(G26&lt;=Hba_23,0,Hba_23),IF(G26&lt;=Hba_24,0,Hba_24),IF(G26&lt;=Hba_25,0,Hba_25),IF(G26&lt;=Hba_26,0,Hba_26),IF(G26&lt;=Hba_27,0,Hba_27),IF(G26&lt;=Hba_28,0,Hba_28),IF(G26&lt;=Hba_29,0,Hba_29),IF(G26&lt;=Hba_30,0,Hba_30)),MAX(IF(G26&lt;=Input!$C$8,0,Input!$C$8),IF(G26&lt;=Input!$C$9,0,Input!$C$9),IF(G26&lt;=Input!$C$10,0,Input!$C$10),IF(G26&lt;=Input!$C$11,0,Input!$C$11),IF(G26&lt;=Input!$C$12,0,Input!$C$12),IF(G26&lt;=Input!$C$13,0,Input!$C$13),IF(G26&lt;=Input!$C$14,0,Input!$C$14),IF(G26&lt;=Input!$C$15,0,Input!$C$15),IF(G26&lt;=Input!$C$16,0,Input!$C$16)),MAX(IF(G26&lt;=Hba_1-0.25,0,Hba_1-0.25),IF(G26&lt;=Hba_2-0.25,0,Hba_2-0.25),IF(G26&lt;=Hba_3-0.25,0,Hba_3-0.25),IF(G26&lt;=Hba_4-0.25,0,Hba_4-0.25),IF(G26&lt;=Hba_5-0.25,0,Hba_5-0.25),IF(G26&lt;=Hba_6-0.25,0,Hba_6-0.25),IF(G26&lt;=Hba_7-0.25,0,Hba_7-0.25),IF(G26&lt;=Hba_8-0.25,0,Hba_8-0.25),IF(G26&lt;=Hba_9-0.25,0,Hba_9-0.25),IF(G26&lt;=Hba_10-0.25,0,Hba_10-0.25),IF(G26&lt;=Hba_11-0.25,0,Hba_11-0.25),IF(G26&lt;=Hba_12-0.25,0,Hba_12-0.25),IF(G26&lt;=Hba_13-0.25,0,Hba_13-0.25),IF(G26&lt;=Hba_14-0.25,0,Hba_14-0.25),IF(G26&lt;=Hba_15-0.25,0,Hba_15-0.25),IF(G26&lt;=Hba_16-0.25,0,Hba_16-0.25),IF(G26&lt;=Hba_17-0.25,0,Hba_17-0.25),IF(G26&lt;=Hba_18-0.25,0,Hba_18-0.25),IF(G26&lt;=Hba_19-0.25,0,Hba_19-0.25),IF(G26&lt;=Hba_20-0.25,0,Hba_20-0.25),IF(G26&lt;=Hba_21-0.25,0,Hba_21-0.25),IF(G26&lt;=Hba_22-0.25,0,Hba_22-0.25),IF(G26&lt;=Hba_23-0.25,0,Hba_23-0.25),IF(G26&lt;=Hba_24-0.25,0,Hba_24-0.25),IF(G26&lt;=Hba_25-0.25,0,Hba_25-0.25),IF(G26&lt;=Hba_26-0.25,0,Hba_26-0.25),IF(G26&lt;=Hba_27-0.25,0,Hba_27-0.25),IF(G26&lt;=Hba_28-0.25,0,Hba_28-0.25),IF(G26&lt;=Hba_29-0.25,0,Hba_29-0.25),IF(G26&lt;=Hba_30-0.25,0,Hba_30-0.25)),IF(G26&lt;='Macro References'!$A$38,0,'Macro References'!$A$38)))</f>
        <v/>
      </c>
      <c r="H27" s="769"/>
      <c r="I27" s="228"/>
      <c r="J27" s="228"/>
      <c r="K27" s="228"/>
      <c r="L27" s="717" t="str">
        <f t="shared" si="0"/>
        <v/>
      </c>
      <c r="M27" s="717"/>
      <c r="N27" s="717"/>
      <c r="O27" s="717"/>
      <c r="P27" s="717" t="str">
        <f>IF(OR(G27=0,G27=""),"",IF(VLOOKUP(G27,'Geometry 2'!$C$4:$AI$14,1,TRUE)=VLOOKUP(G28,'Geometry 2'!$C$4:$AI$14,1,TRUE),"",IF(VLOOKUP(G27,'Geometry 2'!$C$4:$AI$14,33,TRUE)&lt;&gt;"n/a",MIN(G27,VLOOKUP(G27,'Geometry 2'!$C$4:$AI$14,1,TRUE))-VLOOKUP(G27,'Geometry 2'!$C$4:$AI$14,33,TRUE),"check")))</f>
        <v/>
      </c>
      <c r="Q27" s="717"/>
      <c r="R27" s="717"/>
      <c r="S27" s="717"/>
      <c r="T27" s="717" t="str">
        <f>IF($G27="","",VLOOKUP($G27,'Geometry 2'!$E$4:$AH$14,11,TRUE))</f>
        <v/>
      </c>
      <c r="U27" s="717"/>
      <c r="V27" s="717"/>
      <c r="W27" s="717"/>
      <c r="X27" s="716" t="str">
        <f>IF($G27="","",VLOOKUP($G27,'Geometry 2'!$E$4:$AJ$14,19,TRUE)-12*VLOOKUP($G27,'Geometry 2'!$E$4:$AJ$14,32,TRUE)*($D27-VLOOKUP($G27,'Geometry 2'!$E$5:$AH$14,1,TRUE)))</f>
        <v/>
      </c>
      <c r="Y27" s="716"/>
      <c r="Z27" s="716"/>
      <c r="AA27" s="716"/>
      <c r="AB27" s="757" t="str">
        <f>IF($G27="","",VLOOKUP($G27,'Geometry 2'!$E$4:$AJ$14,19,TRUE)-12*VLOOKUP($G27,'Geometry 2'!$E$4:$AJ$14,32,TRUE)*($G27-VLOOKUP($G27,'Geometry 2'!$E$5:$AH$14,1,TRUE)))</f>
        <v/>
      </c>
      <c r="AC27" s="758"/>
      <c r="AD27" s="758"/>
      <c r="AE27" s="759"/>
      <c r="AF27" s="716" t="str">
        <f>IF($G27="","",VLOOKUP($G27,'Geometry 2'!$E$4:$AJ$14,19,TRUE)-12*VLOOKUP($G27,'Geometry 2'!$E$4:$AJ$14,32,TRUE)*($G27-IF($P27="",0,$P27)-VLOOKUP($G27,'Geometry 2'!$E$5:$AH$14,1,TRUE)))</f>
        <v/>
      </c>
      <c r="AG27" s="716"/>
      <c r="AH27" s="716"/>
      <c r="AI27" s="716"/>
      <c r="AJ27" s="746" t="str">
        <f>IF($G27="","",VLOOKUP($G27,'Geometry 2'!$E$4:$AH$14,23,TRUE))</f>
        <v/>
      </c>
      <c r="AK27" s="747"/>
      <c r="AL27" s="747"/>
      <c r="AM27" s="748"/>
      <c r="AN27" s="717"/>
      <c r="AO27" s="717"/>
      <c r="AP27" s="717"/>
      <c r="AQ27" s="717"/>
      <c r="AR27" s="717" t="str">
        <f>IF($G27="","",VLOOKUP($G27,'Geometry 2'!$E$4:$AH$14,27,TRUE))</f>
        <v/>
      </c>
      <c r="AS27" s="717"/>
      <c r="AT27" s="717"/>
      <c r="AU27" s="718"/>
      <c r="AV27" s="715"/>
      <c r="AW27" s="716"/>
      <c r="AX27" s="716"/>
      <c r="AZ27" s="722" t="str">
        <f t="shared" si="5"/>
        <v/>
      </c>
      <c r="BA27" s="723"/>
      <c r="BB27" s="723"/>
      <c r="BC27" s="724"/>
      <c r="BD27" s="722"/>
      <c r="BE27" s="723"/>
      <c r="BF27" s="723"/>
      <c r="BG27" s="722" t="str">
        <f t="shared" si="9"/>
        <v/>
      </c>
      <c r="BH27" s="723"/>
      <c r="BI27" s="723"/>
      <c r="BJ27" s="723"/>
      <c r="BK27" s="724"/>
      <c r="BL27" s="722"/>
      <c r="BM27" s="723"/>
      <c r="BN27" s="723"/>
      <c r="BO27" s="723"/>
      <c r="BP27" s="725"/>
      <c r="BQ27" s="725"/>
      <c r="BR27" s="722" t="str">
        <f>IF(BP27="","",IF(OR(AND(Rev="H",Calculations!$F$27=TRUE),AND(Rev&lt;&gt;"H",Calculations!$F$30=TRUE)),IF(BP27&lt;=1,"Pass","Fail"),IF(BP27&lt;=1.05,"Pass","Fail")))</f>
        <v/>
      </c>
      <c r="BS27" s="723"/>
      <c r="BT27" s="724"/>
      <c r="BU27" s="49"/>
      <c r="BV27" s="25" t="str">
        <f>IFERROR(CONCATENATE(IF(AND($G27&lt;Hta_1,$G27&gt;=Hba_1,Input!U$21&lt;&gt;""),Input!$B$21&amp;";",""),IF(AND($G27&lt;Hta_2,$G27&gt;=Hba_2,Input!U$22&lt;&gt;""),Input!$B$22&amp;";",""),IF(AND($G27&lt;Hta_3,$G27&gt;=Hba_3,Input!U$23&lt;&gt;""),Input!$B$23&amp;";",""),IF(AND($G27&lt;Hta_4,$G27&gt;=Hba_4,Input!U$24&lt;&gt;""),Input!$B$24&amp;";",""),IF(AND($G27&lt;Hta_5,$G27&gt;=Hba_5,Input!U$25&lt;&gt;""),Input!$B$25&amp;";",""),IF(AND($G27&lt;Hta_6,$G27&gt;=Hba_6,Input!U$26&lt;&gt;""),Input!$B$26&amp;";",""),IF(AND($G27&lt;Hta_7,$G27&gt;=Hba_7,Input!U$27&lt;&gt;""),Input!$B$27&amp;";",""),IF(AND($G27&lt;Hta_8,$G27&gt;=Hba_8,Input!U$28&lt;&gt;""),Input!$B$28&amp;";",""),IF(AND($G27&lt;Hta_9,$G27&gt;=Hba_9,Input!U$29&lt;&gt;""),Input!$B$29&amp;";",""),IF(AND($G27&lt;Hta_10,$G27&gt;=Hba_10,Input!U$30&lt;&gt;""),Input!$B$30&amp;";",""),IF(AND($G27&lt;Hta_11,$G27&gt;=Hba_11,Input!U$31&lt;&gt;""),Input!$B$31&amp;";",""),IF(AND($G27&lt;Hta_12,$G27&gt;=Hba_12,Input!U$32&lt;&gt;""),Input!$B$32&amp;";",""),IF(AND($G27&lt;Hta_13,$G27&gt;=Hba_13,Input!U$33&lt;&gt;""),Input!$B$33&amp;";",""),IF(AND($G27&lt;Hta_14,$G27&gt;=Hba_14,Input!U$34&lt;&gt;""),Input!$B$34&amp;";",""),IF(AND($G27&lt;Hta_15,$G27&gt;=Hba_15,Input!U$35&lt;&gt;""),Input!$B$35&amp;";",""),IF(AND($G27&lt;Hta_16,$G27&gt;=Hba_16,Input!U$36&lt;&gt;""),Input!$B$36&amp;";",""),IF(AND($G27&lt;Hta_17,$G27&gt;=Hba_17,Input!U$37&lt;&gt;""),Input!$B$37&amp;";",""),IF(AND($G27&lt;Hta_18,$G27&gt;=Hba_18,Input!U$38&lt;&gt;""),Input!$B$38&amp;";",""),IF(AND($G27&lt;Hta_19,$G27&gt;=Hba_19,Input!U$39&lt;&gt;""),Input!$B$39&amp;";",""),IF(AND($G27&lt;Hta_20,$G27&gt;=Hba_20,Input!U$40&lt;&gt;""),Input!$B$40&amp;";",""),IF(AND($G27&lt;Hta_21,$G27&gt;=Hba_21,Input!U$41&lt;&gt;""),Input!$B$41&amp;";",""),IF(AND($G27&lt;Hta_22,$G27&gt;=Hba_22,Input!U$42&lt;&gt;""),Input!$B$42&amp;";",""),IF(AND($G27&lt;Hta_23,$G27&gt;=Hba_23,Input!U$43&lt;&gt;""),Input!$B$43&amp;";",""),IF(AND($G27&lt;Hta_24,$G27&gt;=Hba_24,Input!U$44&lt;&gt;""),Input!$B$44&amp;";",""),IF(AND($G27&lt;Hta_25,$G27&gt;=Hba_25,Input!U$45&lt;&gt;""),Input!$B$45&amp;";",""),IF(AND($G27&lt;Hta_26,$G27&gt;=Hba_26,Input!U$46&lt;&gt;""),Input!$B$46&amp;";",""),IF(AND($G27&lt;Hta_27,$G27&gt;=Hba_27,Input!U$47&lt;&gt;""),Input!$B$47&amp;";",""),IF(AND($G27&lt;Hta_28,$G27&gt;=Hba_28,Input!U$48&lt;&gt;""),Input!$B$48&amp;";",""),IF(AND($G27&lt;Hta_29,$G27&gt;=Hba_29,Input!U$49&lt;&gt;""),Input!$B$49&amp;";",""),IF(AND($G27&lt;Hta_30,$G27&gt;=Hba_30,Input!U$50&lt;&gt;""),Input!$B$50&amp;";","")),"")</f>
        <v/>
      </c>
      <c r="BW27" s="25" t="str">
        <f>IFERROR(CONCATENATE(IF(AND($G27&lt;Hta_1,$G27&gt;=Hba_1,Input!V$21&lt;&gt;""),Input!$B$21&amp;";",""),IF(AND($G27&lt;Hta_2,$G27&gt;=Hba_2,Input!V$22&lt;&gt;""),Input!$B$22&amp;";",""),IF(AND($G27&lt;Hta_3,$G27&gt;=Hba_3,Input!V$23&lt;&gt;""),Input!$B$23&amp;";",""),IF(AND($G27&lt;Hta_4,$G27&gt;=Hba_4,Input!V$24&lt;&gt;""),Input!$B$24&amp;";",""),IF(AND($G27&lt;Hta_5,$G27&gt;=Hba_5,Input!V$25&lt;&gt;""),Input!$B$25&amp;";",""),IF(AND($G27&lt;Hta_6,$G27&gt;=Hba_6,Input!V$26&lt;&gt;""),Input!$B$26&amp;";",""),IF(AND($G27&lt;Hta_7,$G27&gt;=Hba_7,Input!V$27&lt;&gt;""),Input!$B$27&amp;";",""),IF(AND($G27&lt;Hta_8,$G27&gt;=Hba_8,Input!V$28&lt;&gt;""),Input!$B$28&amp;";",""),IF(AND($G27&lt;Hta_9,$G27&gt;=Hba_9,Input!V$29&lt;&gt;""),Input!$B$29&amp;";",""),IF(AND($G27&lt;Hta_10,$G27&gt;=Hba_10,Input!V$30&lt;&gt;""),Input!$B$30&amp;";",""),IF(AND($G27&lt;Hta_11,$G27&gt;=Hba_11,Input!V$31&lt;&gt;""),Input!$B$31&amp;";",""),IF(AND($G27&lt;Hta_12,$G27&gt;=Hba_12,Input!V$32&lt;&gt;""),Input!$B$32&amp;";",""),IF(AND($G27&lt;Hta_13,$G27&gt;=Hba_13,Input!V$33&lt;&gt;""),Input!$B$33&amp;";",""),IF(AND($G27&lt;Hta_14,$G27&gt;=Hba_14,Input!V$34&lt;&gt;""),Input!$B$34&amp;";",""),IF(AND($G27&lt;Hta_15,$G27&gt;=Hba_15,Input!V$35&lt;&gt;""),Input!$B$35&amp;";",""),IF(AND($G27&lt;Hta_16,$G27&gt;=Hba_16,Input!V$36&lt;&gt;""),Input!$B$36&amp;";",""),IF(AND($G27&lt;Hta_17,$G27&gt;=Hba_17,Input!V$37&lt;&gt;""),Input!$B$37&amp;";",""),IF(AND($G27&lt;Hta_18,$G27&gt;=Hba_18,Input!V$38&lt;&gt;""),Input!$B$38&amp;";",""),IF(AND($G27&lt;Hta_19,$G27&gt;=Hba_19,Input!V$39&lt;&gt;""),Input!$B$39&amp;";",""),IF(AND($G27&lt;Hta_20,$G27&gt;=Hba_20,Input!V$40&lt;&gt;""),Input!$B$40&amp;";",""),IF(AND($G27&lt;Hta_21,$G27&gt;=Hba_21,Input!V$41&lt;&gt;""),Input!$B$41&amp;";",""),IF(AND($G27&lt;Hta_22,$G27&gt;=Hba_22,Input!V$42&lt;&gt;""),Input!$B$42&amp;";",""),IF(AND($G27&lt;Hta_23,$G27&gt;=Hba_23,Input!V$43&lt;&gt;""),Input!$B$43&amp;";",""),IF(AND($G27&lt;Hta_24,$G27&gt;=Hba_24,Input!V$44&lt;&gt;""),Input!$B$44&amp;";",""),IF(AND($G27&lt;Hta_25,$G27&gt;=Hba_25,Input!V$45&lt;&gt;""),Input!$B$45&amp;";",""),IF(AND($G27&lt;Hta_26,$G27&gt;=Hba_26,Input!V$46&lt;&gt;""),Input!$B$46&amp;";",""),IF(AND($G27&lt;Hta_27,$G27&gt;=Hba_27,Input!V$47&lt;&gt;""),Input!$B$47&amp;";",""),IF(AND($G27&lt;Hta_28,$G27&gt;=Hba_28,Input!V$48&lt;&gt;""),Input!$B$48&amp;";",""),IF(AND($G27&lt;Hta_29,$G27&gt;=Hba_29,Input!V$49&lt;&gt;""),Input!$B$49&amp;";",""),IF(AND($G27&lt;Hta_30,$G27&gt;=Hba_30,Input!V$50&lt;&gt;""),Input!$B$50&amp;";","")),"")</f>
        <v/>
      </c>
      <c r="BX27" s="25" t="str">
        <f>IFERROR(CONCATENATE(IF(AND($G27&lt;Hta_1,$G27&gt;=Hba_1,Input!W$21&lt;&gt;""),Input!$B$21&amp;";",""),IF(AND($G27&lt;Hta_2,$G27&gt;=Hba_2,Input!W$22&lt;&gt;""),Input!$B$22&amp;";",""),IF(AND($G27&lt;Hta_3,$G27&gt;=Hba_3,Input!W$23&lt;&gt;""),Input!$B$23&amp;";",""),IF(AND($G27&lt;Hta_4,$G27&gt;=Hba_4,Input!W$24&lt;&gt;""),Input!$B$24&amp;";",""),IF(AND($G27&lt;Hta_5,$G27&gt;=Hba_5,Input!W$25&lt;&gt;""),Input!$B$25&amp;";",""),IF(AND($G27&lt;Hta_6,$G27&gt;=Hba_6,Input!W$26&lt;&gt;""),Input!$B$26&amp;";",""),IF(AND($G27&lt;Hta_7,$G27&gt;=Hba_7,Input!W$27&lt;&gt;""),Input!$B$27&amp;";",""),IF(AND($G27&lt;Hta_8,$G27&gt;=Hba_8,Input!W$28&lt;&gt;""),Input!$B$28&amp;";",""),IF(AND($G27&lt;Hta_9,$G27&gt;=Hba_9,Input!W$29&lt;&gt;""),Input!$B$29&amp;";",""),IF(AND($G27&lt;Hta_10,$G27&gt;=Hba_10,Input!W$30&lt;&gt;""),Input!$B$30&amp;";",""),IF(AND($G27&lt;Hta_11,$G27&gt;=Hba_11,Input!W$31&lt;&gt;""),Input!$B$31&amp;";",""),IF(AND($G27&lt;Hta_12,$G27&gt;=Hba_12,Input!W$32&lt;&gt;""),Input!$B$32&amp;";",""),IF(AND($G27&lt;Hta_13,$G27&gt;=Hba_13,Input!W$33&lt;&gt;""),Input!$B$33&amp;";",""),IF(AND($G27&lt;Hta_14,$G27&gt;=Hba_14,Input!W$34&lt;&gt;""),Input!$B$34&amp;";",""),IF(AND($G27&lt;Hta_15,$G27&gt;=Hba_15,Input!W$35&lt;&gt;""),Input!$B$35&amp;";",""),IF(AND($G27&lt;Hta_16,$G27&gt;=Hba_16,Input!W$36&lt;&gt;""),Input!$B$36&amp;";",""),IF(AND($G27&lt;Hta_17,$G27&gt;=Hba_17,Input!W$37&lt;&gt;""),Input!$B$37&amp;";",""),IF(AND($G27&lt;Hta_18,$G27&gt;=Hba_18,Input!W$38&lt;&gt;""),Input!$B$38&amp;";",""),IF(AND($G27&lt;Hta_19,$G27&gt;=Hba_19,Input!W$39&lt;&gt;""),Input!$B$39&amp;";",""),IF(AND($G27&lt;Hta_20,$G27&gt;=Hba_20,Input!W$40&lt;&gt;""),Input!$B$40&amp;";",""),IF(AND($G27&lt;Hta_21,$G27&gt;=Hba_21,Input!W$41&lt;&gt;""),Input!$B$41&amp;";",""),IF(AND($G27&lt;Hta_22,$G27&gt;=Hba_22,Input!W$42&lt;&gt;""),Input!$B$42&amp;";",""),IF(AND($G27&lt;Hta_23,$G27&gt;=Hba_23,Input!W$43&lt;&gt;""),Input!$B$43&amp;";",""),IF(AND($G27&lt;Hta_24,$G27&gt;=Hba_24,Input!W$44&lt;&gt;""),Input!$B$44&amp;";",""),IF(AND($G27&lt;Hta_25,$G27&gt;=Hba_25,Input!W$45&lt;&gt;""),Input!$B$45&amp;";",""),IF(AND($G27&lt;Hta_26,$G27&gt;=Hba_26,Input!W$46&lt;&gt;""),Input!$B$46&amp;";",""),IF(AND($G27&lt;Hta_27,$G27&gt;=Hba_27,Input!W$47&lt;&gt;""),Input!$B$47&amp;";",""),IF(AND($G27&lt;Hta_28,$G27&gt;=Hba_28,Input!W$48&lt;&gt;""),Input!$B$48&amp;";",""),IF(AND($G27&lt;Hta_29,$G27&gt;=Hba_29,Input!W$49&lt;&gt;""),Input!$B$49&amp;";",""),IF(AND($G27&lt;Hta_30,$G27&gt;=Hba_30,Input!W$50&lt;&gt;""),Input!$B$50&amp;";","")),"")</f>
        <v/>
      </c>
      <c r="BY27" s="25" t="str">
        <f>IFERROR(CONCATENATE(IF(AND($G27&lt;Hta_1,$G27&gt;=Hba_1,Input!X$21&lt;&gt;""),Input!$B$21&amp;";",""),IF(AND($G27&lt;Hta_2,$G27&gt;=Hba_2,Input!X$22&lt;&gt;""),Input!$B$22&amp;";",""),IF(AND($G27&lt;Hta_3,$G27&gt;=Hba_3,Input!X$23&lt;&gt;""),Input!$B$23&amp;";",""),IF(AND($G27&lt;Hta_4,$G27&gt;=Hba_4,Input!X$24&lt;&gt;""),Input!$B$24&amp;";",""),IF(AND($G27&lt;Hta_5,$G27&gt;=Hba_5,Input!X$25&lt;&gt;""),Input!$B$25&amp;";",""),IF(AND($G27&lt;Hta_6,$G27&gt;=Hba_6,Input!X$26&lt;&gt;""),Input!$B$26&amp;";",""),IF(AND($G27&lt;Hta_7,$G27&gt;=Hba_7,Input!X$27&lt;&gt;""),Input!$B$27&amp;";",""),IF(AND($G27&lt;Hta_8,$G27&gt;=Hba_8,Input!X$28&lt;&gt;""),Input!$B$28&amp;";",""),IF(AND($G27&lt;Hta_9,$G27&gt;=Hba_9,Input!X$29&lt;&gt;""),Input!$B$29&amp;";",""),IF(AND($G27&lt;Hta_10,$G27&gt;=Hba_10,Input!X$30&lt;&gt;""),Input!$B$30&amp;";",""),IF(AND($G27&lt;Hta_11,$G27&gt;=Hba_11,Input!X$31&lt;&gt;""),Input!$B$31&amp;";",""),IF(AND($G27&lt;Hta_12,$G27&gt;=Hba_12,Input!X$32&lt;&gt;""),Input!$B$32&amp;";",""),IF(AND($G27&lt;Hta_13,$G27&gt;=Hba_13,Input!X$33&lt;&gt;""),Input!$B$33&amp;";",""),IF(AND($G27&lt;Hta_14,$G27&gt;=Hba_14,Input!X$34&lt;&gt;""),Input!$B$34&amp;";",""),IF(AND($G27&lt;Hta_15,$G27&gt;=Hba_15,Input!X$35&lt;&gt;""),Input!$B$35&amp;";",""),IF(AND($G27&lt;Hta_16,$G27&gt;=Hba_16,Input!X$36&lt;&gt;""),Input!$B$36&amp;";",""),IF(AND($G27&lt;Hta_17,$G27&gt;=Hba_17,Input!X$37&lt;&gt;""),Input!$B$37&amp;";",""),IF(AND($G27&lt;Hta_18,$G27&gt;=Hba_18,Input!X$38&lt;&gt;""),Input!$B$38&amp;";",""),IF(AND($G27&lt;Hta_19,$G27&gt;=Hba_19,Input!X$39&lt;&gt;""),Input!$B$39&amp;";",""),IF(AND($G27&lt;Hta_20,$G27&gt;=Hba_20,Input!X$40&lt;&gt;""),Input!$B$40&amp;";",""),IF(AND($G27&lt;Hta_21,$G27&gt;=Hba_21,Input!X$41&lt;&gt;""),Input!$B$41&amp;";",""),IF(AND($G27&lt;Hta_22,$G27&gt;=Hba_22,Input!X$42&lt;&gt;""),Input!$B$42&amp;";",""),IF(AND($G27&lt;Hta_23,$G27&gt;=Hba_23,Input!X$43&lt;&gt;""),Input!$B$43&amp;";",""),IF(AND($G27&lt;Hta_24,$G27&gt;=Hba_24,Input!X$44&lt;&gt;""),Input!$B$44&amp;";",""),IF(AND($G27&lt;Hta_25,$G27&gt;=Hba_25,Input!X$45&lt;&gt;""),Input!$B$45&amp;";",""),IF(AND($G27&lt;Hta_26,$G27&gt;=Hba_26,Input!X$46&lt;&gt;""),Input!$B$46&amp;";",""),IF(AND($G27&lt;Hta_27,$G27&gt;=Hba_27,Input!X$47&lt;&gt;""),Input!$B$47&amp;";",""),IF(AND($G27&lt;Hta_28,$G27&gt;=Hba_28,Input!X$48&lt;&gt;""),Input!$B$48&amp;";",""),IF(AND($G27&lt;Hta_29,$G27&gt;=Hba_29,Input!X$49&lt;&gt;""),Input!$B$49&amp;";",""),IF(AND($G27&lt;Hta_30,$G27&gt;=Hba_30,Input!X$50&lt;&gt;""),Input!$B$50&amp;";","")),"")</f>
        <v/>
      </c>
      <c r="BZ27" s="25" t="str">
        <f>IFERROR(CONCATENATE(IF(AND($G27&lt;Hta_1,$G27&gt;=Hba_1,Input!Y$21&lt;&gt;""),Input!$B$21&amp;";",""),IF(AND($G27&lt;Hta_2,$G27&gt;=Hba_2,Input!Y$22&lt;&gt;""),Input!$B$22&amp;";",""),IF(AND($G27&lt;Hta_3,$G27&gt;=Hba_3,Input!Y$23&lt;&gt;""),Input!$B$23&amp;";",""),IF(AND($G27&lt;Hta_4,$G27&gt;=Hba_4,Input!Y$24&lt;&gt;""),Input!$B$24&amp;";",""),IF(AND($G27&lt;Hta_5,$G27&gt;=Hba_5,Input!Y$25&lt;&gt;""),Input!$B$25&amp;";",""),IF(AND($G27&lt;Hta_6,$G27&gt;=Hba_6,Input!Y$26&lt;&gt;""),Input!$B$26&amp;";",""),IF(AND($G27&lt;Hta_7,$G27&gt;=Hba_7,Input!Y$27&lt;&gt;""),Input!$B$27&amp;";",""),IF(AND($G27&lt;Hta_8,$G27&gt;=Hba_8,Input!Y$28&lt;&gt;""),Input!$B$28&amp;";",""),IF(AND($G27&lt;Hta_9,$G27&gt;=Hba_9,Input!Y$29&lt;&gt;""),Input!$B$29&amp;";",""),IF(AND($G27&lt;Hta_10,$G27&gt;=Hba_10,Input!Y$30&lt;&gt;""),Input!$B$30&amp;";",""),IF(AND($G27&lt;Hta_11,$G27&gt;=Hba_11,Input!Y$31&lt;&gt;""),Input!$B$31&amp;";",""),IF(AND($G27&lt;Hta_12,$G27&gt;=Hba_12,Input!Y$32&lt;&gt;""),Input!$B$32&amp;";",""),IF(AND($G27&lt;Hta_13,$G27&gt;=Hba_13,Input!Y$33&lt;&gt;""),Input!$B$33&amp;";",""),IF(AND($G27&lt;Hta_14,$G27&gt;=Hba_14,Input!Y$34&lt;&gt;""),Input!$B$34&amp;";",""),IF(AND($G27&lt;Hta_15,$G27&gt;=Hba_15,Input!Y$35&lt;&gt;""),Input!$B$35&amp;";",""),IF(AND($G27&lt;Hta_16,$G27&gt;=Hba_16,Input!Y$36&lt;&gt;""),Input!$B$36&amp;";",""),IF(AND($G27&lt;Hta_17,$G27&gt;=Hba_17,Input!Y$37&lt;&gt;""),Input!$B$37&amp;";",""),IF(AND($G27&lt;Hta_18,$G27&gt;=Hba_18,Input!Y$38&lt;&gt;""),Input!$B$38&amp;";",""),IF(AND($G27&lt;Hta_19,$G27&gt;=Hba_19,Input!Y$39&lt;&gt;""),Input!$B$39&amp;";",""),IF(AND($G27&lt;Hta_20,$G27&gt;=Hba_20,Input!Y$40&lt;&gt;""),Input!$B$40&amp;";",""),IF(AND($G27&lt;Hta_21,$G27&gt;=Hba_21,Input!Y$41&lt;&gt;""),Input!$B$41&amp;";",""),IF(AND($G27&lt;Hta_22,$G27&gt;=Hba_22,Input!Y$42&lt;&gt;""),Input!$B$42&amp;";",""),IF(AND($G27&lt;Hta_23,$G27&gt;=Hba_23,Input!Y$43&lt;&gt;""),Input!$B$43&amp;";",""),IF(AND($G27&lt;Hta_24,$G27&gt;=Hba_24,Input!Y$44&lt;&gt;""),Input!$B$44&amp;";",""),IF(AND($G27&lt;Hta_25,$G27&gt;=Hba_25,Input!Y$45&lt;&gt;""),Input!$B$45&amp;";",""),IF(AND($G27&lt;Hta_26,$G27&gt;=Hba_26,Input!Y$46&lt;&gt;""),Input!$B$46&amp;";",""),IF(AND($G27&lt;Hta_27,$G27&gt;=Hba_27,Input!Y$47&lt;&gt;""),Input!$B$47&amp;";",""),IF(AND($G27&lt;Hta_28,$G27&gt;=Hba_28,Input!Y$48&lt;&gt;""),Input!$B$48&amp;";",""),IF(AND($G27&lt;Hta_29,$G27&gt;=Hba_29,Input!Y$49&lt;&gt;""),Input!$B$49&amp;";",""),IF(AND($G27&lt;Hta_30,$G27&gt;=Hba_30,Input!Y$50&lt;&gt;""),Input!$B$50&amp;";","")),"")</f>
        <v/>
      </c>
      <c r="CA27" s="25" t="str">
        <f>IFERROR(CONCATENATE(IF(AND($G27&lt;Hta_1,$G27&gt;=Hba_1,Input!Z$21&lt;&gt;""),Input!$B$21&amp;";",""),IF(AND($G27&lt;Hta_2,$G27&gt;=Hba_2,Input!Z$22&lt;&gt;""),Input!$B$22&amp;";",""),IF(AND($G27&lt;Hta_3,$G27&gt;=Hba_3,Input!Z$23&lt;&gt;""),Input!$B$23&amp;";",""),IF(AND($G27&lt;Hta_4,$G27&gt;=Hba_4,Input!Z$24&lt;&gt;""),Input!$B$24&amp;";",""),IF(AND($G27&lt;Hta_5,$G27&gt;=Hba_5,Input!Z$25&lt;&gt;""),Input!$B$25&amp;";",""),IF(AND($G27&lt;Hta_6,$G27&gt;=Hba_6,Input!Z$26&lt;&gt;""),Input!$B$26&amp;";",""),IF(AND($G27&lt;Hta_7,$G27&gt;=Hba_7,Input!Z$27&lt;&gt;""),Input!$B$27&amp;";",""),IF(AND($G27&lt;Hta_8,$G27&gt;=Hba_8,Input!Z$28&lt;&gt;""),Input!$B$28&amp;";",""),IF(AND($G27&lt;Hta_9,$G27&gt;=Hba_9,Input!Z$29&lt;&gt;""),Input!$B$29&amp;";",""),IF(AND($G27&lt;Hta_10,$G27&gt;=Hba_10,Input!Z$30&lt;&gt;""),Input!$B$30&amp;";",""),IF(AND($G27&lt;Hta_11,$G27&gt;=Hba_11,Input!Z$31&lt;&gt;""),Input!$B$31&amp;";",""),IF(AND($G27&lt;Hta_12,$G27&gt;=Hba_12,Input!Z$32&lt;&gt;""),Input!$B$32&amp;";",""),IF(AND($G27&lt;Hta_13,$G27&gt;=Hba_13,Input!Z$33&lt;&gt;""),Input!$B$33&amp;";",""),IF(AND($G27&lt;Hta_14,$G27&gt;=Hba_14,Input!Z$34&lt;&gt;""),Input!$B$34&amp;";",""),IF(AND($G27&lt;Hta_15,$G27&gt;=Hba_15,Input!Z$35&lt;&gt;""),Input!$B$35&amp;";",""),IF(AND($G27&lt;Hta_16,$G27&gt;=Hba_16,Input!Z$36&lt;&gt;""),Input!$B$36&amp;";",""),IF(AND($G27&lt;Hta_17,$G27&gt;=Hba_17,Input!Z$37&lt;&gt;""),Input!$B$37&amp;";",""),IF(AND($G27&lt;Hta_18,$G27&gt;=Hba_18,Input!Z$38&lt;&gt;""),Input!$B$38&amp;";",""),IF(AND($G27&lt;Hta_19,$G27&gt;=Hba_19,Input!Z$39&lt;&gt;""),Input!$B$39&amp;";",""),IF(AND($G27&lt;Hta_20,$G27&gt;=Hba_20,Input!Z$40&lt;&gt;""),Input!$B$40&amp;";",""),IF(AND($G27&lt;Hta_21,$G27&gt;=Hba_21,Input!Z$41&lt;&gt;""),Input!$B$41&amp;";",""),IF(AND($G27&lt;Hta_22,$G27&gt;=Hba_22,Input!Z$42&lt;&gt;""),Input!$B$42&amp;";",""),IF(AND($G27&lt;Hta_23,$G27&gt;=Hba_23,Input!Z$43&lt;&gt;""),Input!$B$43&amp;";",""),IF(AND($G27&lt;Hta_24,$G27&gt;=Hba_24,Input!Z$44&lt;&gt;""),Input!$B$44&amp;";",""),IF(AND($G27&lt;Hta_25,$G27&gt;=Hba_25,Input!Z$45&lt;&gt;""),Input!$B$45&amp;";",""),IF(AND($G27&lt;Hta_26,$G27&gt;=Hba_26,Input!Z$46&lt;&gt;""),Input!$B$46&amp;";",""),IF(AND($G27&lt;Hta_27,$G27&gt;=Hba_27,Input!Z$47&lt;&gt;""),Input!$B$47&amp;";",""),IF(AND($G27&lt;Hta_28,$G27&gt;=Hba_28,Input!Z$48&lt;&gt;""),Input!$B$48&amp;";",""),IF(AND($G27&lt;Hta_29,$G27&gt;=Hba_29,Input!Z$49&lt;&gt;""),Input!$B$49&amp;";",""),IF(AND($G27&lt;Hta_30,$G27&gt;=Hba_30,Input!Z$50&lt;&gt;""),Input!$B$50&amp;";","")),"")</f>
        <v/>
      </c>
      <c r="CB27" s="25" t="str">
        <f>IFERROR(CONCATENATE(IF(AND($G27&lt;Hta_1,$G27&gt;=Hba_1,Input!AA$21&lt;&gt;""),Input!$B$21&amp;";",""),IF(AND($G27&lt;Hta_2,$G27&gt;=Hba_2,Input!AA$22&lt;&gt;""),Input!$B$22&amp;";",""),IF(AND($G27&lt;Hta_3,$G27&gt;=Hba_3,Input!AA$23&lt;&gt;""),Input!$B$23&amp;";",""),IF(AND($G27&lt;Hta_4,$G27&gt;=Hba_4,Input!AA$24&lt;&gt;""),Input!$B$24&amp;";",""),IF(AND($G27&lt;Hta_5,$G27&gt;=Hba_5,Input!AA$25&lt;&gt;""),Input!$B$25&amp;";",""),IF(AND($G27&lt;Hta_6,$G27&gt;=Hba_6,Input!AA$26&lt;&gt;""),Input!$B$26&amp;";",""),IF(AND($G27&lt;Hta_7,$G27&gt;=Hba_7,Input!AA$27&lt;&gt;""),Input!$B$27&amp;";",""),IF(AND($G27&lt;Hta_8,$G27&gt;=Hba_8,Input!AA$28&lt;&gt;""),Input!$B$28&amp;";",""),IF(AND($G27&lt;Hta_9,$G27&gt;=Hba_9,Input!AA$29&lt;&gt;""),Input!$B$29&amp;";",""),IF(AND($G27&lt;Hta_10,$G27&gt;=Hba_10,Input!AA$30&lt;&gt;""),Input!$B$30&amp;";",""),IF(AND($G27&lt;Hta_11,$G27&gt;=Hba_11,Input!AA$31&lt;&gt;""),Input!$B$31&amp;";",""),IF(AND($G27&lt;Hta_12,$G27&gt;=Hba_12,Input!AA$32&lt;&gt;""),Input!$B$32&amp;";",""),IF(AND($G27&lt;Hta_13,$G27&gt;=Hba_13,Input!AA$33&lt;&gt;""),Input!$B$33&amp;";",""),IF(AND($G27&lt;Hta_14,$G27&gt;=Hba_14,Input!AA$34&lt;&gt;""),Input!$B$34&amp;";",""),IF(AND($G27&lt;Hta_15,$G27&gt;=Hba_15,Input!AA$35&lt;&gt;""),Input!$B$35&amp;";",""),IF(AND($G27&lt;Hta_16,$G27&gt;=Hba_16,Input!AA$36&lt;&gt;""),Input!$B$36&amp;";",""),IF(AND($G27&lt;Hta_17,$G27&gt;=Hba_17,Input!AA$37&lt;&gt;""),Input!$B$37&amp;";",""),IF(AND($G27&lt;Hta_18,$G27&gt;=Hba_18,Input!AA$38&lt;&gt;""),Input!$B$38&amp;";",""),IF(AND($G27&lt;Hta_19,$G27&gt;=Hba_19,Input!AA$39&lt;&gt;""),Input!$B$39&amp;";",""),IF(AND($G27&lt;Hta_20,$G27&gt;=Hba_20,Input!AA$40&lt;&gt;""),Input!$B$40&amp;";",""),IF(AND($G27&lt;Hta_21,$G27&gt;=Hba_21,Input!AA$41&lt;&gt;""),Input!$B$41&amp;";",""),IF(AND($G27&lt;Hta_22,$G27&gt;=Hba_22,Input!AA$42&lt;&gt;""),Input!$B$42&amp;";",""),IF(AND($G27&lt;Hta_23,$G27&gt;=Hba_23,Input!AA$43&lt;&gt;""),Input!$B$43&amp;";",""),IF(AND($G27&lt;Hta_24,$G27&gt;=Hba_24,Input!AA$44&lt;&gt;""),Input!$B$44&amp;";",""),IF(AND($G27&lt;Hta_25,$G27&gt;=Hba_25,Input!AA$45&lt;&gt;""),Input!$B$45&amp;";",""),IF(AND($G27&lt;Hta_26,$G27&gt;=Hba_26,Input!AA$46&lt;&gt;""),Input!$B$46&amp;";",""),IF(AND($G27&lt;Hta_27,$G27&gt;=Hba_27,Input!AA$47&lt;&gt;""),Input!$B$47&amp;";",""),IF(AND($G27&lt;Hta_28,$G27&gt;=Hba_28,Input!AA$48&lt;&gt;""),Input!$B$48&amp;";",""),IF(AND($G27&lt;Hta_29,$G27&gt;=Hba_29,Input!AA$49&lt;&gt;""),Input!$B$49&amp;";",""),IF(AND($G27&lt;Hta_30,$G27&gt;=Hba_30,Input!AA$50&lt;&gt;""),Input!$B$50&amp;";","")),"")</f>
        <v/>
      </c>
      <c r="CC27" s="25" t="str">
        <f>IFERROR(CONCATENATE(IF(AND($G27&lt;Hta_1,$G27&gt;=Hba_1,Input!AB$21&lt;&gt;""),Input!$B$21&amp;";",""),IF(AND($G27&lt;Hta_2,$G27&gt;=Hba_2,Input!AB$22&lt;&gt;""),Input!$B$22&amp;";",""),IF(AND($G27&lt;Hta_3,$G27&gt;=Hba_3,Input!AB$23&lt;&gt;""),Input!$B$23&amp;";",""),IF(AND($G27&lt;Hta_4,$G27&gt;=Hba_4,Input!AB$24&lt;&gt;""),Input!$B$24&amp;";",""),IF(AND($G27&lt;Hta_5,$G27&gt;=Hba_5,Input!AB$25&lt;&gt;""),Input!$B$25&amp;";",""),IF(AND($G27&lt;Hta_6,$G27&gt;=Hba_6,Input!AB$26&lt;&gt;""),Input!$B$26&amp;";",""),IF(AND($G27&lt;Hta_7,$G27&gt;=Hba_7,Input!AB$27&lt;&gt;""),Input!$B$27&amp;";",""),IF(AND($G27&lt;Hta_8,$G27&gt;=Hba_8,Input!AB$28&lt;&gt;""),Input!$B$28&amp;";",""),IF(AND($G27&lt;Hta_9,$G27&gt;=Hba_9,Input!AB$29&lt;&gt;""),Input!$B$29&amp;";",""),IF(AND($G27&lt;Hta_10,$G27&gt;=Hba_10,Input!AB$30&lt;&gt;""),Input!$B$30&amp;";",""),IF(AND($G27&lt;Hta_11,$G27&gt;=Hba_11,Input!AB$31&lt;&gt;""),Input!$B$31&amp;";",""),IF(AND($G27&lt;Hta_12,$G27&gt;=Hba_12,Input!AB$32&lt;&gt;""),Input!$B$32&amp;";",""),IF(AND($G27&lt;Hta_13,$G27&gt;=Hba_13,Input!AB$33&lt;&gt;""),Input!$B$33&amp;";",""),IF(AND($G27&lt;Hta_14,$G27&gt;=Hba_14,Input!AB$34&lt;&gt;""),Input!$B$34&amp;";",""),IF(AND($G27&lt;Hta_15,$G27&gt;=Hba_15,Input!AB$35&lt;&gt;""),Input!$B$35&amp;";",""),IF(AND($G27&lt;Hta_16,$G27&gt;=Hba_16,Input!AB$36&lt;&gt;""),Input!$B$36&amp;";",""),IF(AND($G27&lt;Hta_17,$G27&gt;=Hba_17,Input!AB$37&lt;&gt;""),Input!$B$37&amp;";",""),IF(AND($G27&lt;Hta_18,$G27&gt;=Hba_18,Input!AB$38&lt;&gt;""),Input!$B$38&amp;";",""),IF(AND($G27&lt;Hta_19,$G27&gt;=Hba_19,Input!AB$39&lt;&gt;""),Input!$B$39&amp;";",""),IF(AND($G27&lt;Hta_20,$G27&gt;=Hba_20,Input!AB$40&lt;&gt;""),Input!$B$40&amp;";",""),IF(AND($G27&lt;Hta_21,$G27&gt;=Hba_21,Input!AB$41&lt;&gt;""),Input!$B$41&amp;";",""),IF(AND($G27&lt;Hta_22,$G27&gt;=Hba_22,Input!AB$42&lt;&gt;""),Input!$B$42&amp;";",""),IF(AND($G27&lt;Hta_23,$G27&gt;=Hba_23,Input!AB$43&lt;&gt;""),Input!$B$43&amp;";",""),IF(AND($G27&lt;Hta_24,$G27&gt;=Hba_24,Input!AB$44&lt;&gt;""),Input!$B$44&amp;";",""),IF(AND($G27&lt;Hta_25,$G27&gt;=Hba_25,Input!AB$45&lt;&gt;""),Input!$B$45&amp;";",""),IF(AND($G27&lt;Hta_26,$G27&gt;=Hba_26,Input!AB$46&lt;&gt;""),Input!$B$46&amp;";",""),IF(AND($G27&lt;Hta_27,$G27&gt;=Hba_27,Input!AB$47&lt;&gt;""),Input!$B$47&amp;";",""),IF(AND($G27&lt;Hta_28,$G27&gt;=Hba_28,Input!AB$48&lt;&gt;""),Input!$B$48&amp;";",""),IF(AND($G27&lt;Hta_29,$G27&gt;=Hba_29,Input!AB$49&lt;&gt;""),Input!$B$49&amp;";",""),IF(AND($G27&lt;Hta_30,$G27&gt;=Hba_30,Input!AB$50&lt;&gt;""),Input!$B$50&amp;";","")),"")</f>
        <v/>
      </c>
      <c r="CD27" s="25" t="str">
        <f>IFERROR(CONCATENATE(IF(AND($G27&lt;Hta_1,$G27&gt;=Hba_1,Input!AC$21&lt;&gt;""),Input!$B$21&amp;";",""),IF(AND($G27&lt;Hta_2,$G27&gt;=Hba_2,Input!AC$22&lt;&gt;""),Input!$B$22&amp;";",""),IF(AND($G27&lt;Hta_3,$G27&gt;=Hba_3,Input!AC$23&lt;&gt;""),Input!$B$23&amp;";",""),IF(AND($G27&lt;Hta_4,$G27&gt;=Hba_4,Input!AC$24&lt;&gt;""),Input!$B$24&amp;";",""),IF(AND($G27&lt;Hta_5,$G27&gt;=Hba_5,Input!AC$25&lt;&gt;""),Input!$B$25&amp;";",""),IF(AND($G27&lt;Hta_6,$G27&gt;=Hba_6,Input!AC$26&lt;&gt;""),Input!$B$26&amp;";",""),IF(AND($G27&lt;Hta_7,$G27&gt;=Hba_7,Input!AC$27&lt;&gt;""),Input!$B$27&amp;";",""),IF(AND($G27&lt;Hta_8,$G27&gt;=Hba_8,Input!AC$28&lt;&gt;""),Input!$B$28&amp;";",""),IF(AND($G27&lt;Hta_9,$G27&gt;=Hba_9,Input!AC$29&lt;&gt;""),Input!$B$29&amp;";",""),IF(AND($G27&lt;Hta_10,$G27&gt;=Hba_10,Input!AC$30&lt;&gt;""),Input!$B$30&amp;";",""),IF(AND($G27&lt;Hta_11,$G27&gt;=Hba_11,Input!AC$31&lt;&gt;""),Input!$B$31&amp;";",""),IF(AND($G27&lt;Hta_12,$G27&gt;=Hba_12,Input!AC$32&lt;&gt;""),Input!$B$32&amp;";",""),IF(AND($G27&lt;Hta_13,$G27&gt;=Hba_13,Input!AC$33&lt;&gt;""),Input!$B$33&amp;";",""),IF(AND($G27&lt;Hta_14,$G27&gt;=Hba_14,Input!AC$34&lt;&gt;""),Input!$B$34&amp;";",""),IF(AND($G27&lt;Hta_15,$G27&gt;=Hba_15,Input!AC$35&lt;&gt;""),Input!$B$35&amp;";",""),IF(AND($G27&lt;Hta_16,$G27&gt;=Hba_16,Input!AC$36&lt;&gt;""),Input!$B$36&amp;";",""),IF(AND($G27&lt;Hta_17,$G27&gt;=Hba_17,Input!AC$37&lt;&gt;""),Input!$B$37&amp;";",""),IF(AND($G27&lt;Hta_18,$G27&gt;=Hba_18,Input!AC$38&lt;&gt;""),Input!$B$38&amp;";",""),IF(AND($G27&lt;Hta_19,$G27&gt;=Hba_19,Input!AC$39&lt;&gt;""),Input!$B$39&amp;";",""),IF(AND($G27&lt;Hta_20,$G27&gt;=Hba_20,Input!AC$40&lt;&gt;""),Input!$B$40&amp;";",""),IF(AND($G27&lt;Hta_21,$G27&gt;=Hba_21,Input!AC$41&lt;&gt;""),Input!$B$41&amp;";",""),IF(AND($G27&lt;Hta_22,$G27&gt;=Hba_22,Input!AC$42&lt;&gt;""),Input!$B$42&amp;";",""),IF(AND($G27&lt;Hta_23,$G27&gt;=Hba_23,Input!AC$43&lt;&gt;""),Input!$B$43&amp;";",""),IF(AND($G27&lt;Hta_24,$G27&gt;=Hba_24,Input!AC$44&lt;&gt;""),Input!$B$44&amp;";",""),IF(AND($G27&lt;Hta_25,$G27&gt;=Hba_25,Input!AC$45&lt;&gt;""),Input!$B$45&amp;";",""),IF(AND($G27&lt;Hta_26,$G27&gt;=Hba_26,Input!AC$46&lt;&gt;""),Input!$B$46&amp;";",""),IF(AND($G27&lt;Hta_27,$G27&gt;=Hba_27,Input!AC$47&lt;&gt;""),Input!$B$47&amp;";",""),IF(AND($G27&lt;Hta_28,$G27&gt;=Hba_28,Input!AC$48&lt;&gt;""),Input!$B$48&amp;";",""),IF(AND($G27&lt;Hta_29,$G27&gt;=Hba_29,Input!AC$49&lt;&gt;""),Input!$B$49&amp;";",""),IF(AND($G27&lt;Hta_30,$G27&gt;=Hba_30,Input!AC$50&lt;&gt;""),Input!$B$50&amp;";","")),"")</f>
        <v/>
      </c>
      <c r="CE27" s="25" t="str">
        <f>IFERROR(CONCATENATE(IF(AND($G27&lt;Hta_1,$G27&gt;=Hba_1,Input!AD$21&lt;&gt;""),Input!$B$21&amp;";",""),IF(AND($G27&lt;Hta_2,$G27&gt;=Hba_2,Input!AD$22&lt;&gt;""),Input!$B$22&amp;";",""),IF(AND($G27&lt;Hta_3,$G27&gt;=Hba_3,Input!AD$23&lt;&gt;""),Input!$B$23&amp;";",""),IF(AND($G27&lt;Hta_4,$G27&gt;=Hba_4,Input!AD$24&lt;&gt;""),Input!$B$24&amp;";",""),IF(AND($G27&lt;Hta_5,$G27&gt;=Hba_5,Input!AD$25&lt;&gt;""),Input!$B$25&amp;";",""),IF(AND($G27&lt;Hta_6,$G27&gt;=Hba_6,Input!AD$26&lt;&gt;""),Input!$B$26&amp;";",""),IF(AND($G27&lt;Hta_7,$G27&gt;=Hba_7,Input!AD$27&lt;&gt;""),Input!$B$27&amp;";",""),IF(AND($G27&lt;Hta_8,$G27&gt;=Hba_8,Input!AD$28&lt;&gt;""),Input!$B$28&amp;";",""),IF(AND($G27&lt;Hta_9,$G27&gt;=Hba_9,Input!AD$29&lt;&gt;""),Input!$B$29&amp;";",""),IF(AND($G27&lt;Hta_10,$G27&gt;=Hba_10,Input!AD$30&lt;&gt;""),Input!$B$30&amp;";",""),IF(AND($G27&lt;Hta_11,$G27&gt;=Hba_11,Input!AD$31&lt;&gt;""),Input!$B$31&amp;";",""),IF(AND($G27&lt;Hta_12,$G27&gt;=Hba_12,Input!AD$32&lt;&gt;""),Input!$B$32&amp;";",""),IF(AND($G27&lt;Hta_13,$G27&gt;=Hba_13,Input!AD$33&lt;&gt;""),Input!$B$33&amp;";",""),IF(AND($G27&lt;Hta_14,$G27&gt;=Hba_14,Input!AD$34&lt;&gt;""),Input!$B$34&amp;";",""),IF(AND($G27&lt;Hta_15,$G27&gt;=Hba_15,Input!AD$35&lt;&gt;""),Input!$B$35&amp;";",""),IF(AND($G27&lt;Hta_16,$G27&gt;=Hba_16,Input!AD$36&lt;&gt;""),Input!$B$36&amp;";",""),IF(AND($G27&lt;Hta_17,$G27&gt;=Hba_17,Input!AD$37&lt;&gt;""),Input!$B$37&amp;";",""),IF(AND($G27&lt;Hta_18,$G27&gt;=Hba_18,Input!AD$38&lt;&gt;""),Input!$B$38&amp;";",""),IF(AND($G27&lt;Hta_19,$G27&gt;=Hba_19,Input!AD$39&lt;&gt;""),Input!$B$39&amp;";",""),IF(AND($G27&lt;Hta_20,$G27&gt;=Hba_20,Input!AD$40&lt;&gt;""),Input!$B$40&amp;";",""),IF(AND($G27&lt;Hta_21,$G27&gt;=Hba_21,Input!AD$41&lt;&gt;""),Input!$B$41&amp;";",""),IF(AND($G27&lt;Hta_22,$G27&gt;=Hba_22,Input!AD$42&lt;&gt;""),Input!$B$42&amp;";",""),IF(AND($G27&lt;Hta_23,$G27&gt;=Hba_23,Input!AD$43&lt;&gt;""),Input!$B$43&amp;";",""),IF(AND($G27&lt;Hta_24,$G27&gt;=Hba_24,Input!AD$44&lt;&gt;""),Input!$B$44&amp;";",""),IF(AND($G27&lt;Hta_25,$G27&gt;=Hba_25,Input!AD$45&lt;&gt;""),Input!$B$45&amp;";",""),IF(AND($G27&lt;Hta_26,$G27&gt;=Hba_26,Input!AD$46&lt;&gt;""),Input!$B$46&amp;";",""),IF(AND($G27&lt;Hta_27,$G27&gt;=Hba_27,Input!AD$47&lt;&gt;""),Input!$B$47&amp;";",""),IF(AND($G27&lt;Hta_28,$G27&gt;=Hba_28,Input!AD$48&lt;&gt;""),Input!$B$48&amp;";",""),IF(AND($G27&lt;Hta_29,$G27&gt;=Hba_29,Input!AD$49&lt;&gt;""),Input!$B$49&amp;";",""),IF(AND($G27&lt;Hta_30,$G27&gt;=Hba_30,Input!AD$50&lt;&gt;""),Input!$B$50&amp;";","")),"")</f>
        <v/>
      </c>
      <c r="CF27" s="25" t="str">
        <f>IFERROR(CONCATENATE(IF(AND($G27&lt;Hta_1,$G27&gt;=Hba_1,Input!AE$21&lt;&gt;""),Input!$B$21&amp;";",""),IF(AND($G27&lt;Hta_2,$G27&gt;=Hba_2,Input!AE$22&lt;&gt;""),Input!$B$22&amp;";",""),IF(AND($G27&lt;Hta_3,$G27&gt;=Hba_3,Input!AE$23&lt;&gt;""),Input!$B$23&amp;";",""),IF(AND($G27&lt;Hta_4,$G27&gt;=Hba_4,Input!AE$24&lt;&gt;""),Input!$B$24&amp;";",""),IF(AND($G27&lt;Hta_5,$G27&gt;=Hba_5,Input!AE$25&lt;&gt;""),Input!$B$25&amp;";",""),IF(AND($G27&lt;Hta_6,$G27&gt;=Hba_6,Input!AE$26&lt;&gt;""),Input!$B$26&amp;";",""),IF(AND($G27&lt;Hta_7,$G27&gt;=Hba_7,Input!AE$27&lt;&gt;""),Input!$B$27&amp;";",""),IF(AND($G27&lt;Hta_8,$G27&gt;=Hba_8,Input!AE$28&lt;&gt;""),Input!$B$28&amp;";",""),IF(AND($G27&lt;Hta_9,$G27&gt;=Hba_9,Input!AE$29&lt;&gt;""),Input!$B$29&amp;";",""),IF(AND($G27&lt;Hta_10,$G27&gt;=Hba_10,Input!AE$30&lt;&gt;""),Input!$B$30&amp;";",""),IF(AND($G27&lt;Hta_11,$G27&gt;=Hba_11,Input!AE$31&lt;&gt;""),Input!$B$31&amp;";",""),IF(AND($G27&lt;Hta_12,$G27&gt;=Hba_12,Input!AE$32&lt;&gt;""),Input!$B$32&amp;";",""),IF(AND($G27&lt;Hta_13,$G27&gt;=Hba_13,Input!AE$33&lt;&gt;""),Input!$B$33&amp;";",""),IF(AND($G27&lt;Hta_14,$G27&gt;=Hba_14,Input!AE$34&lt;&gt;""),Input!$B$34&amp;";",""),IF(AND($G27&lt;Hta_15,$G27&gt;=Hba_15,Input!AE$35&lt;&gt;""),Input!$B$35&amp;";",""),IF(AND($G27&lt;Hta_16,$G27&gt;=Hba_16,Input!AE$36&lt;&gt;""),Input!$B$36&amp;";",""),IF(AND($G27&lt;Hta_17,$G27&gt;=Hba_17,Input!AE$37&lt;&gt;""),Input!$B$37&amp;";",""),IF(AND($G27&lt;Hta_18,$G27&gt;=Hba_18,Input!AE$38&lt;&gt;""),Input!$B$38&amp;";",""),IF(AND($G27&lt;Hta_19,$G27&gt;=Hba_19,Input!AE$39&lt;&gt;""),Input!$B$39&amp;";",""),IF(AND($G27&lt;Hta_20,$G27&gt;=Hba_20,Input!AE$40&lt;&gt;""),Input!$B$40&amp;";",""),IF(AND($G27&lt;Hta_21,$G27&gt;=Hba_21,Input!AE$41&lt;&gt;""),Input!$B$41&amp;";",""),IF(AND($G27&lt;Hta_22,$G27&gt;=Hba_22,Input!AE$42&lt;&gt;""),Input!$B$42&amp;";",""),IF(AND($G27&lt;Hta_23,$G27&gt;=Hba_23,Input!AE$43&lt;&gt;""),Input!$B$43&amp;";",""),IF(AND($G27&lt;Hta_24,$G27&gt;=Hba_24,Input!AE$44&lt;&gt;""),Input!$B$44&amp;";",""),IF(AND($G27&lt;Hta_25,$G27&gt;=Hba_25,Input!AE$45&lt;&gt;""),Input!$B$45&amp;";",""),IF(AND($G27&lt;Hta_26,$G27&gt;=Hba_26,Input!AE$46&lt;&gt;""),Input!$B$46&amp;";",""),IF(AND($G27&lt;Hta_27,$G27&gt;=Hba_27,Input!AE$47&lt;&gt;""),Input!$B$47&amp;";",""),IF(AND($G27&lt;Hta_28,$G27&gt;=Hba_28,Input!AE$48&lt;&gt;""),Input!$B$48&amp;";",""),IF(AND($G27&lt;Hta_29,$G27&gt;=Hba_29,Input!AE$49&lt;&gt;""),Input!$B$49&amp;";",""),IF(AND($G27&lt;Hta_30,$G27&gt;=Hba_30,Input!AE$50&lt;&gt;""),Input!$B$50&amp;";","")),"")</f>
        <v/>
      </c>
      <c r="CG27" s="25" t="str">
        <f>IFERROR(CONCATENATE(IF(AND($G27&lt;Hta_1,$G27&gt;=Hba_1,Input!AF$21&lt;&gt;""),Input!$B$21&amp;";",""),IF(AND($G27&lt;Hta_2,$G27&gt;=Hba_2,Input!AF$22&lt;&gt;""),Input!$B$22&amp;";",""),IF(AND($G27&lt;Hta_3,$G27&gt;=Hba_3,Input!AF$23&lt;&gt;""),Input!$B$23&amp;";",""),IF(AND($G27&lt;Hta_4,$G27&gt;=Hba_4,Input!AF$24&lt;&gt;""),Input!$B$24&amp;";",""),IF(AND($G27&lt;Hta_5,$G27&gt;=Hba_5,Input!AF$25&lt;&gt;""),Input!$B$25&amp;";",""),IF(AND($G27&lt;Hta_6,$G27&gt;=Hba_6,Input!AF$26&lt;&gt;""),Input!$B$26&amp;";",""),IF(AND($G27&lt;Hta_7,$G27&gt;=Hba_7,Input!AF$27&lt;&gt;""),Input!$B$27&amp;";",""),IF(AND($G27&lt;Hta_8,$G27&gt;=Hba_8,Input!AF$28&lt;&gt;""),Input!$B$28&amp;";",""),IF(AND($G27&lt;Hta_9,$G27&gt;=Hba_9,Input!AF$29&lt;&gt;""),Input!$B$29&amp;";",""),IF(AND($G27&lt;Hta_10,$G27&gt;=Hba_10,Input!AF$30&lt;&gt;""),Input!$B$30&amp;";",""),IF(AND($G27&lt;Hta_11,$G27&gt;=Hba_11,Input!AF$31&lt;&gt;""),Input!$B$31&amp;";",""),IF(AND($G27&lt;Hta_12,$G27&gt;=Hba_12,Input!AF$32&lt;&gt;""),Input!$B$32&amp;";",""),IF(AND($G27&lt;Hta_13,$G27&gt;=Hba_13,Input!AF$33&lt;&gt;""),Input!$B$33&amp;";",""),IF(AND($G27&lt;Hta_14,$G27&gt;=Hba_14,Input!AF$34&lt;&gt;""),Input!$B$34&amp;";",""),IF(AND($G27&lt;Hta_15,$G27&gt;=Hba_15,Input!AF$35&lt;&gt;""),Input!$B$35&amp;";",""),IF(AND($G27&lt;Hta_16,$G27&gt;=Hba_16,Input!AF$36&lt;&gt;""),Input!$B$36&amp;";",""),IF(AND($G27&lt;Hta_17,$G27&gt;=Hba_17,Input!AF$37&lt;&gt;""),Input!$B$37&amp;";",""),IF(AND($G27&lt;Hta_18,$G27&gt;=Hba_18,Input!AF$38&lt;&gt;""),Input!$B$38&amp;";",""),IF(AND($G27&lt;Hta_19,$G27&gt;=Hba_19,Input!AF$39&lt;&gt;""),Input!$B$39&amp;";",""),IF(AND($G27&lt;Hta_20,$G27&gt;=Hba_20,Input!AF$40&lt;&gt;""),Input!$B$40&amp;";",""),IF(AND($G27&lt;Hta_21,$G27&gt;=Hba_21,Input!AF$41&lt;&gt;""),Input!$B$41&amp;";",""),IF(AND($G27&lt;Hta_22,$G27&gt;=Hba_22,Input!AF$42&lt;&gt;""),Input!$B$42&amp;";",""),IF(AND($G27&lt;Hta_23,$G27&gt;=Hba_23,Input!AF$43&lt;&gt;""),Input!$B$43&amp;";",""),IF(AND($G27&lt;Hta_24,$G27&gt;=Hba_24,Input!AF$44&lt;&gt;""),Input!$B$44&amp;";",""),IF(AND($G27&lt;Hta_25,$G27&gt;=Hba_25,Input!AF$45&lt;&gt;""),Input!$B$45&amp;";",""),IF(AND($G27&lt;Hta_26,$G27&gt;=Hba_26,Input!AF$46&lt;&gt;""),Input!$B$46&amp;";",""),IF(AND($G27&lt;Hta_27,$G27&gt;=Hba_27,Input!AF$47&lt;&gt;""),Input!$B$47&amp;";",""),IF(AND($G27&lt;Hta_28,$G27&gt;=Hba_28,Input!AF$48&lt;&gt;""),Input!$B$48&amp;";",""),IF(AND($G27&lt;Hta_29,$G27&gt;=Hba_29,Input!AF$49&lt;&gt;""),Input!$B$49&amp;";",""),IF(AND($G27&lt;Hta_30,$G27&gt;=Hba_30,Input!AF$50&lt;&gt;""),Input!$B$50&amp;";","")),"")</f>
        <v/>
      </c>
      <c r="CH27" s="25" t="str">
        <f>IFERROR(CONCATENATE(IF(AND($G27&lt;Hta_1,$G27&gt;=Hba_1,Input!AG$21&lt;&gt;""),Input!$B$21&amp;";",""),IF(AND($G27&lt;Hta_2,$G27&gt;=Hba_2,Input!AG$22&lt;&gt;""),Input!$B$22&amp;";",""),IF(AND($G27&lt;Hta_3,$G27&gt;=Hba_3,Input!AG$23&lt;&gt;""),Input!$B$23&amp;";",""),IF(AND($G27&lt;Hta_4,$G27&gt;=Hba_4,Input!AG$24&lt;&gt;""),Input!$B$24&amp;";",""),IF(AND($G27&lt;Hta_5,$G27&gt;=Hba_5,Input!AG$25&lt;&gt;""),Input!$B$25&amp;";",""),IF(AND($G27&lt;Hta_6,$G27&gt;=Hba_6,Input!AG$26&lt;&gt;""),Input!$B$26&amp;";",""),IF(AND($G27&lt;Hta_7,$G27&gt;=Hba_7,Input!AG$27&lt;&gt;""),Input!$B$27&amp;";",""),IF(AND($G27&lt;Hta_8,$G27&gt;=Hba_8,Input!AG$28&lt;&gt;""),Input!$B$28&amp;";",""),IF(AND($G27&lt;Hta_9,$G27&gt;=Hba_9,Input!AG$29&lt;&gt;""),Input!$B$29&amp;";",""),IF(AND($G27&lt;Hta_10,$G27&gt;=Hba_10,Input!AG$30&lt;&gt;""),Input!$B$30&amp;";",""),IF(AND($G27&lt;Hta_11,$G27&gt;=Hba_11,Input!AG$31&lt;&gt;""),Input!$B$31&amp;";",""),IF(AND($G27&lt;Hta_12,$G27&gt;=Hba_12,Input!AG$32&lt;&gt;""),Input!$B$32&amp;";",""),IF(AND($G27&lt;Hta_13,$G27&gt;=Hba_13,Input!AG$33&lt;&gt;""),Input!$B$33&amp;";",""),IF(AND($G27&lt;Hta_14,$G27&gt;=Hba_14,Input!AG$34&lt;&gt;""),Input!$B$34&amp;";",""),IF(AND($G27&lt;Hta_15,$G27&gt;=Hba_15,Input!AG$35&lt;&gt;""),Input!$B$35&amp;";",""),IF(AND($G27&lt;Hta_16,$G27&gt;=Hba_16,Input!AG$36&lt;&gt;""),Input!$B$36&amp;";",""),IF(AND($G27&lt;Hta_17,$G27&gt;=Hba_17,Input!AG$37&lt;&gt;""),Input!$B$37&amp;";",""),IF(AND($G27&lt;Hta_18,$G27&gt;=Hba_18,Input!AG$38&lt;&gt;""),Input!$B$38&amp;";",""),IF(AND($G27&lt;Hta_19,$G27&gt;=Hba_19,Input!AG$39&lt;&gt;""),Input!$B$39&amp;";",""),IF(AND($G27&lt;Hta_20,$G27&gt;=Hba_20,Input!AG$40&lt;&gt;""),Input!$B$40&amp;";",""),IF(AND($G27&lt;Hta_21,$G27&gt;=Hba_21,Input!AG$41&lt;&gt;""),Input!$B$41&amp;";",""),IF(AND($G27&lt;Hta_22,$G27&gt;=Hba_22,Input!AG$42&lt;&gt;""),Input!$B$42&amp;";",""),IF(AND($G27&lt;Hta_23,$G27&gt;=Hba_23,Input!AG$43&lt;&gt;""),Input!$B$43&amp;";",""),IF(AND($G27&lt;Hta_24,$G27&gt;=Hba_24,Input!AG$44&lt;&gt;""),Input!$B$44&amp;";",""),IF(AND($G27&lt;Hta_25,$G27&gt;=Hba_25,Input!AG$45&lt;&gt;""),Input!$B$45&amp;";",""),IF(AND($G27&lt;Hta_26,$G27&gt;=Hba_26,Input!AG$46&lt;&gt;""),Input!$B$46&amp;";",""),IF(AND($G27&lt;Hta_27,$G27&gt;=Hba_27,Input!AG$47&lt;&gt;""),Input!$B$47&amp;";",""),IF(AND($G27&lt;Hta_28,$G27&gt;=Hba_28,Input!AG$48&lt;&gt;""),Input!$B$48&amp;";",""),IF(AND($G27&lt;Hta_29,$G27&gt;=Hba_29,Input!AG$49&lt;&gt;""),Input!$B$49&amp;";",""),IF(AND($G27&lt;Hta_30,$G27&gt;=Hba_30,Input!AG$50&lt;&gt;""),Input!$B$50&amp;";","")),"")</f>
        <v/>
      </c>
      <c r="CI27" s="25" t="str">
        <f>IFERROR(CONCATENATE(IF(AND($G27&lt;Hta_1,$G27&gt;=Hba_1,Input!AH$21&lt;&gt;""),Input!$B$21&amp;";",""),IF(AND($G27&lt;Hta_2,$G27&gt;=Hba_2,Input!AH$22&lt;&gt;""),Input!$B$22&amp;";",""),IF(AND($G27&lt;Hta_3,$G27&gt;=Hba_3,Input!AH$23&lt;&gt;""),Input!$B$23&amp;";",""),IF(AND($G27&lt;Hta_4,$G27&gt;=Hba_4,Input!AH$24&lt;&gt;""),Input!$B$24&amp;";",""),IF(AND($G27&lt;Hta_5,$G27&gt;=Hba_5,Input!AH$25&lt;&gt;""),Input!$B$25&amp;";",""),IF(AND($G27&lt;Hta_6,$G27&gt;=Hba_6,Input!AH$26&lt;&gt;""),Input!$B$26&amp;";",""),IF(AND($G27&lt;Hta_7,$G27&gt;=Hba_7,Input!AH$27&lt;&gt;""),Input!$B$27&amp;";",""),IF(AND($G27&lt;Hta_8,$G27&gt;=Hba_8,Input!AH$28&lt;&gt;""),Input!$B$28&amp;";",""),IF(AND($G27&lt;Hta_9,$G27&gt;=Hba_9,Input!AH$29&lt;&gt;""),Input!$B$29&amp;";",""),IF(AND($G27&lt;Hta_10,$G27&gt;=Hba_10,Input!AH$30&lt;&gt;""),Input!$B$30&amp;";",""),IF(AND($G27&lt;Hta_11,$G27&gt;=Hba_11,Input!AH$31&lt;&gt;""),Input!$B$31&amp;";",""),IF(AND($G27&lt;Hta_12,$G27&gt;=Hba_12,Input!AH$32&lt;&gt;""),Input!$B$32&amp;";",""),IF(AND($G27&lt;Hta_13,$G27&gt;=Hba_13,Input!AH$33&lt;&gt;""),Input!$B$33&amp;";",""),IF(AND($G27&lt;Hta_14,$G27&gt;=Hba_14,Input!AH$34&lt;&gt;""),Input!$B$34&amp;";",""),IF(AND($G27&lt;Hta_15,$G27&gt;=Hba_15,Input!AH$35&lt;&gt;""),Input!$B$35&amp;";",""),IF(AND($G27&lt;Hta_16,$G27&gt;=Hba_16,Input!AH$36&lt;&gt;""),Input!$B$36&amp;";",""),IF(AND($G27&lt;Hta_17,$G27&gt;=Hba_17,Input!AH$37&lt;&gt;""),Input!$B$37&amp;";",""),IF(AND($G27&lt;Hta_18,$G27&gt;=Hba_18,Input!AH$38&lt;&gt;""),Input!$B$38&amp;";",""),IF(AND($G27&lt;Hta_19,$G27&gt;=Hba_19,Input!AH$39&lt;&gt;""),Input!$B$39&amp;";",""),IF(AND($G27&lt;Hta_20,$G27&gt;=Hba_20,Input!AH$40&lt;&gt;""),Input!$B$40&amp;";",""),IF(AND($G27&lt;Hta_21,$G27&gt;=Hba_21,Input!AH$41&lt;&gt;""),Input!$B$41&amp;";",""),IF(AND($G27&lt;Hta_22,$G27&gt;=Hba_22,Input!AH$42&lt;&gt;""),Input!$B$42&amp;";",""),IF(AND($G27&lt;Hta_23,$G27&gt;=Hba_23,Input!AH$43&lt;&gt;""),Input!$B$43&amp;";",""),IF(AND($G27&lt;Hta_24,$G27&gt;=Hba_24,Input!AH$44&lt;&gt;""),Input!$B$44&amp;";",""),IF(AND($G27&lt;Hta_25,$G27&gt;=Hba_25,Input!AH$45&lt;&gt;""),Input!$B$45&amp;";",""),IF(AND($G27&lt;Hta_26,$G27&gt;=Hba_26,Input!AH$46&lt;&gt;""),Input!$B$46&amp;";",""),IF(AND($G27&lt;Hta_27,$G27&gt;=Hba_27,Input!AH$47&lt;&gt;""),Input!$B$47&amp;";",""),IF(AND($G27&lt;Hta_28,$G27&gt;=Hba_28,Input!AH$48&lt;&gt;""),Input!$B$48&amp;";",""),IF(AND($G27&lt;Hta_29,$G27&gt;=Hba_29,Input!AH$49&lt;&gt;""),Input!$B$49&amp;";",""),IF(AND($G27&lt;Hta_30,$G27&gt;=Hba_30,Input!AH$50&lt;&gt;""),Input!$B$50&amp;";","")),"")</f>
        <v/>
      </c>
      <c r="CJ27" s="25" t="str">
        <f>IFERROR(CONCATENATE(IF(AND($G27&lt;Hta_1,$G27&gt;=Hba_1,Input!AI$21&lt;&gt;""),Input!$B$21&amp;";",""),IF(AND($G27&lt;Hta_2,$G27&gt;=Hba_2,Input!AI$22&lt;&gt;""),Input!$B$22&amp;";",""),IF(AND($G27&lt;Hta_3,$G27&gt;=Hba_3,Input!AI$23&lt;&gt;""),Input!$B$23&amp;";",""),IF(AND($G27&lt;Hta_4,$G27&gt;=Hba_4,Input!AI$24&lt;&gt;""),Input!$B$24&amp;";",""),IF(AND($G27&lt;Hta_5,$G27&gt;=Hba_5,Input!AI$25&lt;&gt;""),Input!$B$25&amp;";",""),IF(AND($G27&lt;Hta_6,$G27&gt;=Hba_6,Input!AI$26&lt;&gt;""),Input!$B$26&amp;";",""),IF(AND($G27&lt;Hta_7,$G27&gt;=Hba_7,Input!AI$27&lt;&gt;""),Input!$B$27&amp;";",""),IF(AND($G27&lt;Hta_8,$G27&gt;=Hba_8,Input!AI$28&lt;&gt;""),Input!$B$28&amp;";",""),IF(AND($G27&lt;Hta_9,$G27&gt;=Hba_9,Input!AI$29&lt;&gt;""),Input!$B$29&amp;";",""),IF(AND($G27&lt;Hta_10,$G27&gt;=Hba_10,Input!AI$30&lt;&gt;""),Input!$B$30&amp;";",""),IF(AND($G27&lt;Hta_11,$G27&gt;=Hba_11,Input!AI$31&lt;&gt;""),Input!$B$31&amp;";",""),IF(AND($G27&lt;Hta_12,$G27&gt;=Hba_12,Input!AI$32&lt;&gt;""),Input!$B$32&amp;";",""),IF(AND($G27&lt;Hta_13,$G27&gt;=Hba_13,Input!AI$33&lt;&gt;""),Input!$B$33&amp;";",""),IF(AND($G27&lt;Hta_14,$G27&gt;=Hba_14,Input!AI$34&lt;&gt;""),Input!$B$34&amp;";",""),IF(AND($G27&lt;Hta_15,$G27&gt;=Hba_15,Input!AI$35&lt;&gt;""),Input!$B$35&amp;";",""),IF(AND($G27&lt;Hta_16,$G27&gt;=Hba_16,Input!AI$36&lt;&gt;""),Input!$B$36&amp;";",""),IF(AND($G27&lt;Hta_17,$G27&gt;=Hba_17,Input!AI$37&lt;&gt;""),Input!$B$37&amp;";",""),IF(AND($G27&lt;Hta_18,$G27&gt;=Hba_18,Input!AI$38&lt;&gt;""),Input!$B$38&amp;";",""),IF(AND($G27&lt;Hta_19,$G27&gt;=Hba_19,Input!AI$39&lt;&gt;""),Input!$B$39&amp;";",""),IF(AND($G27&lt;Hta_20,$G27&gt;=Hba_20,Input!AI$40&lt;&gt;""),Input!$B$40&amp;";",""),IF(AND($G27&lt;Hta_21,$G27&gt;=Hba_21,Input!AI$41&lt;&gt;""),Input!$B$41&amp;";",""),IF(AND($G27&lt;Hta_22,$G27&gt;=Hba_22,Input!AI$42&lt;&gt;""),Input!$B$42&amp;";",""),IF(AND($G27&lt;Hta_23,$G27&gt;=Hba_23,Input!AI$43&lt;&gt;""),Input!$B$43&amp;";",""),IF(AND($G27&lt;Hta_24,$G27&gt;=Hba_24,Input!AI$44&lt;&gt;""),Input!$B$44&amp;";",""),IF(AND($G27&lt;Hta_25,$G27&gt;=Hba_25,Input!AI$45&lt;&gt;""),Input!$B$45&amp;";",""),IF(AND($G27&lt;Hta_26,$G27&gt;=Hba_26,Input!AI$46&lt;&gt;""),Input!$B$46&amp;";",""),IF(AND($G27&lt;Hta_27,$G27&gt;=Hba_27,Input!AI$47&lt;&gt;""),Input!$B$47&amp;";",""),IF(AND($G27&lt;Hta_28,$G27&gt;=Hba_28,Input!AI$48&lt;&gt;""),Input!$B$48&amp;";",""),IF(AND($G27&lt;Hta_29,$G27&gt;=Hba_29,Input!AI$49&lt;&gt;""),Input!$B$49&amp;";",""),IF(AND($G27&lt;Hta_30,$G27&gt;=Hba_30,Input!AI$50&lt;&gt;""),Input!$B$50&amp;";","")),"")</f>
        <v/>
      </c>
      <c r="CK27" s="25" t="str">
        <f>IFERROR(CONCATENATE(IF(AND($G27&lt;Hta_1,$G27&gt;=Hba_1,Input!AJ$21&lt;&gt;""),Input!$B$21&amp;";",""),IF(AND($G27&lt;Hta_2,$G27&gt;=Hba_2,Input!AJ$22&lt;&gt;""),Input!$B$22&amp;";",""),IF(AND($G27&lt;Hta_3,$G27&gt;=Hba_3,Input!AJ$23&lt;&gt;""),Input!$B$23&amp;";",""),IF(AND($G27&lt;Hta_4,$G27&gt;=Hba_4,Input!AJ$24&lt;&gt;""),Input!$B$24&amp;";",""),IF(AND($G27&lt;Hta_5,$G27&gt;=Hba_5,Input!AJ$25&lt;&gt;""),Input!$B$25&amp;";",""),IF(AND($G27&lt;Hta_6,$G27&gt;=Hba_6,Input!AJ$26&lt;&gt;""),Input!$B$26&amp;";",""),IF(AND($G27&lt;Hta_7,$G27&gt;=Hba_7,Input!AJ$27&lt;&gt;""),Input!$B$27&amp;";",""),IF(AND($G27&lt;Hta_8,$G27&gt;=Hba_8,Input!AJ$28&lt;&gt;""),Input!$B$28&amp;";",""),IF(AND($G27&lt;Hta_9,$G27&gt;=Hba_9,Input!AJ$29&lt;&gt;""),Input!$B$29&amp;";",""),IF(AND($G27&lt;Hta_10,$G27&gt;=Hba_10,Input!AJ$30&lt;&gt;""),Input!$B$30&amp;";",""),IF(AND($G27&lt;Hta_11,$G27&gt;=Hba_11,Input!AJ$31&lt;&gt;""),Input!$B$31&amp;";",""),IF(AND($G27&lt;Hta_12,$G27&gt;=Hba_12,Input!AJ$32&lt;&gt;""),Input!$B$32&amp;";",""),IF(AND($G27&lt;Hta_13,$G27&gt;=Hba_13,Input!AJ$33&lt;&gt;""),Input!$B$33&amp;";",""),IF(AND($G27&lt;Hta_14,$G27&gt;=Hba_14,Input!AJ$34&lt;&gt;""),Input!$B$34&amp;";",""),IF(AND($G27&lt;Hta_15,$G27&gt;=Hba_15,Input!AJ$35&lt;&gt;""),Input!$B$35&amp;";",""),IF(AND($G27&lt;Hta_16,$G27&gt;=Hba_16,Input!AJ$36&lt;&gt;""),Input!$B$36&amp;";",""),IF(AND($G27&lt;Hta_17,$G27&gt;=Hba_17,Input!AJ$37&lt;&gt;""),Input!$B$37&amp;";",""),IF(AND($G27&lt;Hta_18,$G27&gt;=Hba_18,Input!AJ$38&lt;&gt;""),Input!$B$38&amp;";",""),IF(AND($G27&lt;Hta_19,$G27&gt;=Hba_19,Input!AJ$39&lt;&gt;""),Input!$B$39&amp;";",""),IF(AND($G27&lt;Hta_20,$G27&gt;=Hba_20,Input!AJ$40&lt;&gt;""),Input!$B$40&amp;";",""),IF(AND($G27&lt;Hta_21,$G27&gt;=Hba_21,Input!AJ$41&lt;&gt;""),Input!$B$41&amp;";",""),IF(AND($G27&lt;Hta_22,$G27&gt;=Hba_22,Input!AJ$42&lt;&gt;""),Input!$B$42&amp;";",""),IF(AND($G27&lt;Hta_23,$G27&gt;=Hba_23,Input!AJ$43&lt;&gt;""),Input!$B$43&amp;";",""),IF(AND($G27&lt;Hta_24,$G27&gt;=Hba_24,Input!AJ$44&lt;&gt;""),Input!$B$44&amp;";",""),IF(AND($G27&lt;Hta_25,$G27&gt;=Hba_25,Input!AJ$45&lt;&gt;""),Input!$B$45&amp;";",""),IF(AND($G27&lt;Hta_26,$G27&gt;=Hba_26,Input!AJ$46&lt;&gt;""),Input!$B$46&amp;";",""),IF(AND($G27&lt;Hta_27,$G27&gt;=Hba_27,Input!AJ$47&lt;&gt;""),Input!$B$47&amp;";",""),IF(AND($G27&lt;Hta_28,$G27&gt;=Hba_28,Input!AJ$48&lt;&gt;""),Input!$B$48&amp;";",""),IF(AND($G27&lt;Hta_29,$G27&gt;=Hba_29,Input!AJ$49&lt;&gt;""),Input!$B$49&amp;";",""),IF(AND($G27&lt;Hta_30,$G27&gt;=Hba_30,Input!AJ$50&lt;&gt;""),Input!$B$50&amp;";","")),"")</f>
        <v/>
      </c>
      <c r="CL27" s="25" t="str">
        <f>IFERROR(CONCATENATE(IF(AND($G27&lt;Hta_1,$G27&gt;=Hba_1,Input!AK$21&lt;&gt;""),Input!$B$21&amp;";",""),IF(AND($G27&lt;Hta_2,$G27&gt;=Hba_2,Input!AK$22&lt;&gt;""),Input!$B$22&amp;";",""),IF(AND($G27&lt;Hta_3,$G27&gt;=Hba_3,Input!AK$23&lt;&gt;""),Input!$B$23&amp;";",""),IF(AND($G27&lt;Hta_4,$G27&gt;=Hba_4,Input!AK$24&lt;&gt;""),Input!$B$24&amp;";",""),IF(AND($G27&lt;Hta_5,$G27&gt;=Hba_5,Input!AK$25&lt;&gt;""),Input!$B$25&amp;";",""),IF(AND($G27&lt;Hta_6,$G27&gt;=Hba_6,Input!AK$26&lt;&gt;""),Input!$B$26&amp;";",""),IF(AND($G27&lt;Hta_7,$G27&gt;=Hba_7,Input!AK$27&lt;&gt;""),Input!$B$27&amp;";",""),IF(AND($G27&lt;Hta_8,$G27&gt;=Hba_8,Input!AK$28&lt;&gt;""),Input!$B$28&amp;";",""),IF(AND($G27&lt;Hta_9,$G27&gt;=Hba_9,Input!AK$29&lt;&gt;""),Input!$B$29&amp;";",""),IF(AND($G27&lt;Hta_10,$G27&gt;=Hba_10,Input!AK$30&lt;&gt;""),Input!$B$30&amp;";",""),IF(AND($G27&lt;Hta_11,$G27&gt;=Hba_11,Input!AK$31&lt;&gt;""),Input!$B$31&amp;";",""),IF(AND($G27&lt;Hta_12,$G27&gt;=Hba_12,Input!AK$32&lt;&gt;""),Input!$B$32&amp;";",""),IF(AND($G27&lt;Hta_13,$G27&gt;=Hba_13,Input!AK$33&lt;&gt;""),Input!$B$33&amp;";",""),IF(AND($G27&lt;Hta_14,$G27&gt;=Hba_14,Input!AK$34&lt;&gt;""),Input!$B$34&amp;";",""),IF(AND($G27&lt;Hta_15,$G27&gt;=Hba_15,Input!AK$35&lt;&gt;""),Input!$B$35&amp;";",""),IF(AND($G27&lt;Hta_16,$G27&gt;=Hba_16,Input!AK$36&lt;&gt;""),Input!$B$36&amp;";",""),IF(AND($G27&lt;Hta_17,$G27&gt;=Hba_17,Input!AK$37&lt;&gt;""),Input!$B$37&amp;";",""),IF(AND($G27&lt;Hta_18,$G27&gt;=Hba_18,Input!AK$38&lt;&gt;""),Input!$B$38&amp;";",""),IF(AND($G27&lt;Hta_19,$G27&gt;=Hba_19,Input!AK$39&lt;&gt;""),Input!$B$39&amp;";",""),IF(AND($G27&lt;Hta_20,$G27&gt;=Hba_20,Input!AK$40&lt;&gt;""),Input!$B$40&amp;";",""),IF(AND($G27&lt;Hta_21,$G27&gt;=Hba_21,Input!AK$41&lt;&gt;""),Input!$B$41&amp;";",""),IF(AND($G27&lt;Hta_22,$G27&gt;=Hba_22,Input!AK$42&lt;&gt;""),Input!$B$42&amp;";",""),IF(AND($G27&lt;Hta_23,$G27&gt;=Hba_23,Input!AK$43&lt;&gt;""),Input!$B$43&amp;";",""),IF(AND($G27&lt;Hta_24,$G27&gt;=Hba_24,Input!AK$44&lt;&gt;""),Input!$B$44&amp;";",""),IF(AND($G27&lt;Hta_25,$G27&gt;=Hba_25,Input!AK$45&lt;&gt;""),Input!$B$45&amp;";",""),IF(AND($G27&lt;Hta_26,$G27&gt;=Hba_26,Input!AK$46&lt;&gt;""),Input!$B$46&amp;";",""),IF(AND($G27&lt;Hta_27,$G27&gt;=Hba_27,Input!AK$47&lt;&gt;""),Input!$B$47&amp;";",""),IF(AND($G27&lt;Hta_28,$G27&gt;=Hba_28,Input!AK$48&lt;&gt;""),Input!$B$48&amp;";",""),IF(AND($G27&lt;Hta_29,$G27&gt;=Hba_29,Input!AK$49&lt;&gt;""),Input!$B$49&amp;";",""),IF(AND($G27&lt;Hta_30,$G27&gt;=Hba_30,Input!AK$50&lt;&gt;""),Input!$B$50&amp;";","")),"")</f>
        <v/>
      </c>
      <c r="CM27" s="25" t="str">
        <f>IFERROR(CONCATENATE(IF(AND($G27&lt;Hta_1,$G27&gt;=Hba_1,Input!AL$21&lt;&gt;""),Input!$B$21&amp;";",""),IF(AND($G27&lt;Hta_2,$G27&gt;=Hba_2,Input!AL$22&lt;&gt;""),Input!$B$22&amp;";",""),IF(AND($G27&lt;Hta_3,$G27&gt;=Hba_3,Input!AL$23&lt;&gt;""),Input!$B$23&amp;";",""),IF(AND($G27&lt;Hta_4,$G27&gt;=Hba_4,Input!AL$24&lt;&gt;""),Input!$B$24&amp;";",""),IF(AND($G27&lt;Hta_5,$G27&gt;=Hba_5,Input!AL$25&lt;&gt;""),Input!$B$25&amp;";",""),IF(AND($G27&lt;Hta_6,$G27&gt;=Hba_6,Input!AL$26&lt;&gt;""),Input!$B$26&amp;";",""),IF(AND($G27&lt;Hta_7,$G27&gt;=Hba_7,Input!AL$27&lt;&gt;""),Input!$B$27&amp;";",""),IF(AND($G27&lt;Hta_8,$G27&gt;=Hba_8,Input!AL$28&lt;&gt;""),Input!$B$28&amp;";",""),IF(AND($G27&lt;Hta_9,$G27&gt;=Hba_9,Input!AL$29&lt;&gt;""),Input!$B$29&amp;";",""),IF(AND($G27&lt;Hta_10,$G27&gt;=Hba_10,Input!AL$30&lt;&gt;""),Input!$B$30&amp;";",""),IF(AND($G27&lt;Hta_11,$G27&gt;=Hba_11,Input!AL$31&lt;&gt;""),Input!$B$31&amp;";",""),IF(AND($G27&lt;Hta_12,$G27&gt;=Hba_12,Input!AL$32&lt;&gt;""),Input!$B$32&amp;";",""),IF(AND($G27&lt;Hta_13,$G27&gt;=Hba_13,Input!AL$33&lt;&gt;""),Input!$B$33&amp;";",""),IF(AND($G27&lt;Hta_14,$G27&gt;=Hba_14,Input!AL$34&lt;&gt;""),Input!$B$34&amp;";",""),IF(AND($G27&lt;Hta_15,$G27&gt;=Hba_15,Input!AL$35&lt;&gt;""),Input!$B$35&amp;";",""),IF(AND($G27&lt;Hta_16,$G27&gt;=Hba_16,Input!AL$36&lt;&gt;""),Input!$B$36&amp;";",""),IF(AND($G27&lt;Hta_17,$G27&gt;=Hba_17,Input!AL$37&lt;&gt;""),Input!$B$37&amp;";",""),IF(AND($G27&lt;Hta_18,$G27&gt;=Hba_18,Input!AL$38&lt;&gt;""),Input!$B$38&amp;";",""),IF(AND($G27&lt;Hta_19,$G27&gt;=Hba_19,Input!AL$39&lt;&gt;""),Input!$B$39&amp;";",""),IF(AND($G27&lt;Hta_20,$G27&gt;=Hba_20,Input!AL$40&lt;&gt;""),Input!$B$40&amp;";",""),IF(AND($G27&lt;Hta_21,$G27&gt;=Hba_21,Input!AL$41&lt;&gt;""),Input!$B$41&amp;";",""),IF(AND($G27&lt;Hta_22,$G27&gt;=Hba_22,Input!AL$42&lt;&gt;""),Input!$B$42&amp;";",""),IF(AND($G27&lt;Hta_23,$G27&gt;=Hba_23,Input!AL$43&lt;&gt;""),Input!$B$43&amp;";",""),IF(AND($G27&lt;Hta_24,$G27&gt;=Hba_24,Input!AL$44&lt;&gt;""),Input!$B$44&amp;";",""),IF(AND($G27&lt;Hta_25,$G27&gt;=Hba_25,Input!AL$45&lt;&gt;""),Input!$B$45&amp;";",""),IF(AND($G27&lt;Hta_26,$G27&gt;=Hba_26,Input!AL$46&lt;&gt;""),Input!$B$46&amp;";",""),IF(AND($G27&lt;Hta_27,$G27&gt;=Hba_27,Input!AL$47&lt;&gt;""),Input!$B$47&amp;";",""),IF(AND($G27&lt;Hta_28,$G27&gt;=Hba_28,Input!AL$48&lt;&gt;""),Input!$B$48&amp;";",""),IF(AND($G27&lt;Hta_29,$G27&gt;=Hba_29,Input!AL$49&lt;&gt;""),Input!$B$49&amp;";",""),IF(AND($G27&lt;Hta_30,$G27&gt;=Hba_30,Input!AL$50&lt;&gt;""),Input!$B$50&amp;";","")),"")</f>
        <v/>
      </c>
      <c r="CN27" s="60" t="str">
        <f t="shared" si="6"/>
        <v/>
      </c>
      <c r="CO27" s="798"/>
      <c r="CP27" s="799"/>
      <c r="CQ27" s="800"/>
      <c r="CR27" s="798"/>
      <c r="CS27" s="799"/>
      <c r="CT27" s="800"/>
      <c r="CU27" s="798" t="str">
        <f t="shared" si="7"/>
        <v/>
      </c>
      <c r="CV27" s="799"/>
      <c r="CW27" s="806"/>
      <c r="CX27" s="726"/>
      <c r="CY27" s="727"/>
      <c r="CZ27" s="732"/>
      <c r="DA27" s="726"/>
      <c r="DB27" s="727"/>
      <c r="DC27" s="732"/>
      <c r="DD27" s="726" t="str">
        <f t="shared" si="8"/>
        <v/>
      </c>
      <c r="DE27" s="727"/>
      <c r="DF27" s="728"/>
      <c r="DG27" s="53"/>
      <c r="DH27" s="54"/>
      <c r="DI27" s="54"/>
      <c r="DJ27" s="54"/>
      <c r="DK27" s="54"/>
      <c r="DL27" s="54"/>
      <c r="DM27" s="54"/>
      <c r="DN27" s="54"/>
      <c r="DO27" s="54"/>
      <c r="DP27" s="54"/>
      <c r="DQ27" s="57"/>
      <c r="DR27" s="57"/>
      <c r="DS27" s="57"/>
      <c r="DT27" s="57"/>
      <c r="DU27" s="57"/>
      <c r="DV27" s="57"/>
      <c r="DW27" s="57"/>
      <c r="DX27" s="57"/>
      <c r="DY27" s="57"/>
      <c r="DZ27" s="57"/>
      <c r="EA27" s="57"/>
      <c r="EB27" s="57"/>
      <c r="EC27" s="57"/>
      <c r="ED27" s="57"/>
      <c r="EE27" s="57"/>
      <c r="EF27" s="57"/>
      <c r="EG27" s="57"/>
      <c r="EH27" s="57"/>
      <c r="EI27" s="57"/>
      <c r="EJ27" s="57"/>
      <c r="EK27" s="57"/>
      <c r="EL27" s="133"/>
      <c r="EM27" s="133"/>
      <c r="EN27" s="133"/>
      <c r="EO27" s="133"/>
      <c r="EP27" s="133"/>
      <c r="EQ27" s="133"/>
      <c r="ER27" s="133"/>
      <c r="ES27" s="133"/>
      <c r="ET27" s="133"/>
      <c r="EU27" s="133"/>
      <c r="EV27" s="133"/>
      <c r="EW27" s="133"/>
      <c r="EX27" s="133"/>
      <c r="EY27" s="133"/>
      <c r="EZ27" s="133"/>
      <c r="FA27" s="133"/>
      <c r="FB27" s="133"/>
      <c r="FC27" s="133"/>
      <c r="FD27" s="133"/>
      <c r="FE27" s="133"/>
      <c r="FF27" s="133"/>
      <c r="FG27" s="133"/>
      <c r="FH27" s="133"/>
      <c r="FI27" s="133"/>
      <c r="FJ27" s="133"/>
      <c r="FK27" s="133"/>
      <c r="FL27" s="133"/>
      <c r="FM27" s="133"/>
      <c r="FN27" s="133"/>
      <c r="FO27" s="133"/>
      <c r="FP27" s="65"/>
      <c r="FQ27" s="125"/>
      <c r="FR27" s="123"/>
      <c r="FS27" s="121"/>
      <c r="FT27" s="119"/>
    </row>
    <row r="28" spans="2:176" ht="15.75" hidden="1" customHeight="1" thickBot="1" x14ac:dyDescent="0.3">
      <c r="B28" s="62" t="b">
        <f>IF(OR(AND(G28&gt;='Geometry 2'!$AK$5,G28&lt;'Geometry 2'!$AL$5),AND(G28&gt;='Geometry 2'!$AK$6,G28&lt;'Geometry 2'!$AL$6),AND(G28&gt;='Geometry 2'!$AK$7,G28&lt;'Geometry 2'!$AL$7),AND(G28&gt;='Geometry 2'!$AK$8,G28&lt;'Geometry 2'!$AL$8),AND(G28&gt;='Geometry 2'!$AK$9,G28&lt;'Geometry 2'!$AL$9),AND(G28&gt;='Geometry 2'!$AK$10,G28&lt;'Geometry 2'!$AL$10),AND(G28&gt;='Geometry 2'!$AK$11,G28&lt;'Geometry 2'!$AL$11),AND(G28&gt;='Geometry 2'!$AK$12,G28&lt;'Geometry 2'!$AL$12),AND(G28&gt;='Geometry 2'!$AK$13,G28&lt;'Geometry 2'!$AL$13),AND(G28&gt;='Geometry 2'!$AK$14,G28&lt;'Geometry 2'!$AL$14)),TRUE,FALSE)</f>
        <v>0</v>
      </c>
      <c r="C28" s="4" t="str">
        <f t="shared" si="3"/>
        <v/>
      </c>
      <c r="D28" s="766" t="str">
        <f t="shared" si="4"/>
        <v/>
      </c>
      <c r="E28" s="767"/>
      <c r="F28" s="17" t="str">
        <f t="shared" si="2"/>
        <v/>
      </c>
      <c r="G28" s="768" t="str">
        <f>IF(D28="","",MAX(0,G27-IF(inc="n/a",999,inc),MAX(IF(G27&lt;=Hta_1,0,Hta_1),IF(G27&lt;=Hta_2,0,Hta_2),IF(G27&lt;=Hta_3,0,Hta_3),IF(G27&lt;=Hta_4,0,Hta_4),IF(G27&lt;=Hta_5,0,Hta_5),IF(G27&lt;=Hta_6,0,Hta_6),IF(G27&lt;=Hta_7,0,Hta_7),IF(G27&lt;=Hta_8,0,Hta_8),IF(G27&lt;=Hta_9,0,Hta_9),IF(G27&lt;=Hta_10,0,Hta_10),IF(G27&lt;=Hta_11,0,Hta_11),IF(G27&lt;=Hta_12,0,Hta_12),IF(G27&lt;=Hta_13,0,Hta_13),IF(G27&lt;=Hta_14,0,Hta_14),IF(G27&lt;=Hta_15,0,Hta_15),IF(G27&lt;=Hta_16,0,Hta_16),IF(G27&lt;=Hta_17,0,Hta_17),IF(G27&lt;=Hta_18,0,Hta_18),IF(G27&lt;=Hta_19,0,Hta_19),IF(G27&lt;=Hta_20,0,Hta_20),IF(G27&lt;=Hta_21,0,Hta_21),IF(G27&lt;=Hta_22,0,Hta_22),IF(G27&lt;=Hta_23,0,Hta_23),IF(G27&lt;=Hta_24,0,Hta_24),IF(G27&lt;=Hta_25,0,Hta_25),IF(G27&lt;=Hta_26,0,Hta_26),IF(G27&lt;=Hta_27,0,Hta_27),IF(G27&lt;=Hta_28,0,Hta_28),IF(G27&lt;=Hta_29,0,Hta_29),IF(G27&lt;=Hta_30,0,Hta_30)),MAX(IF(G27&lt;=Hta_1-0.25,0,Hta_1-0.25),IF(G27&lt;=Hta_2-0.25,0,Hta_2-0.25),IF(G27&lt;=Hta_3-0.25,0,Hta_3-0.25),IF(G27&lt;=Hta_4-0.25,0,Hta_4-0.25),IF(G27&lt;=Hta_5-0.25,0,Hta_5-0.25),IF(G27&lt;=Hta_6-0.25,0,Hta_6-0.25),IF(G27&lt;=Hta_7-0.25,0,Hta_7-0.25),IF(G27&lt;=Hta_8-0.25,0,Hta_8-0.25),IF(G27&lt;=Hta_9-0.25,0,Hta_9-0.25),IF(G27&lt;=Hta_10-0.25,0,Hta_10-0.25),IF(G27&lt;=Hta_11-0.25,0,Hta_11-0.25),IF(G27&lt;=Hta_12-0.25,0,Hta_12-0.25),IF(G27&lt;=Hta_13-0.25,0,Hta_13-0.25),IF(G27&lt;=Hta_14-0.25,0,Hta_14-0.25),IF(G27&lt;=Hta_15-0.25,0,Hta_15-0.25),IF(G27&lt;=Hta_16-0.25,0,Hta_16-0.25),IF(G27&lt;=Hta_17-0.25,0,Hta_17-0.25),IF(G27&lt;=Hta_18-0.25,0,Hta_18-0.25),IF(G27&lt;=Hta_19-0.25,0,Hta_19-0.25),IF(G27&lt;=Hta_20-0.25,0,Hta_20-0.25),IF(G27&lt;=Hta_21-0.25,0,Hta_21-0.25),IF(G27&lt;=Hta_22-0.25,0,Hta_22-0.25),IF(G27&lt;=Hta_23-0.25,0,Hta_23-0.25),IF(G27&lt;=Hta_24-0.25,0,Hta_24-0.25),IF(G27&lt;=Hta_25-0.25,0,Hta_25-0.25),IF(G27&lt;=Hta_26-0.25,0,Hta_26-0.25),IF(G27&lt;=Hta_27-0.25,0,Hta_27-0.25),IF(G27&lt;=Hta_28-0.25,0,Hta_28-0.25),IF(G27&lt;=Hta_29-0.25,0,Hta_29-0.25),IF(G27&lt;=Hta_30-0.25,0,Hta_30-0.25)),MAX(IF(G27&lt;=Hba_1,0,Hba_1),IF(G27&lt;=Hba_2,0,Hba_2),IF(G27&lt;=Hba_3,0,Hba_3),IF(G27&lt;=Hba_4,0,Hba_4),IF(G27&lt;=Hba_5,0,Hba_5),IF(G27&lt;=Hba_6,0,Hba_6),IF(G27&lt;=Hba_7,0,Hba_7),IF(G27&lt;=Hba_8,0,Hba_8),IF(G27&lt;=Hba_9,0,Hba_9),IF(G27&lt;=Hba_10,0,Hba_10),IF(G27&lt;=Hba_11,0,Hba_11),IF(G27&lt;=Hba_12,0,Hba_12),IF(G27&lt;=Hba_13,0,Hba_13),IF(G27&lt;=Hba_14,0,Hba_14),IF(G27&lt;=Hba_15,0,Hba_15),IF(G27&lt;=Hba_16,0,Hba_16),IF(G27&lt;=Hba_17,0,Hba_17),IF(G27&lt;=Hba_18,0,Hba_18),IF(G27&lt;=Hba_19,0,Hba_19),IF(G27&lt;=Hba_20,0,Hba_20),IF(G27&lt;=Hba_21,0,Hba_21),IF(G27&lt;=Hba_22,0,Hba_22),IF(G27&lt;=Hba_23,0,Hba_23),IF(G27&lt;=Hba_24,0,Hba_24),IF(G27&lt;=Hba_25,0,Hba_25),IF(G27&lt;=Hba_26,0,Hba_26),IF(G27&lt;=Hba_27,0,Hba_27),IF(G27&lt;=Hba_28,0,Hba_28),IF(G27&lt;=Hba_29,0,Hba_29),IF(G27&lt;=Hba_30,0,Hba_30)),MAX(IF(G27&lt;=Input!$C$8,0,Input!$C$8),IF(G27&lt;=Input!$C$9,0,Input!$C$9),IF(G27&lt;=Input!$C$10,0,Input!$C$10),IF(G27&lt;=Input!$C$11,0,Input!$C$11),IF(G27&lt;=Input!$C$12,0,Input!$C$12),IF(G27&lt;=Input!$C$13,0,Input!$C$13),IF(G27&lt;=Input!$C$14,0,Input!$C$14),IF(G27&lt;=Input!$C$15,0,Input!$C$15),IF(G27&lt;=Input!$C$16,0,Input!$C$16)),MAX(IF(G27&lt;=Hba_1-0.25,0,Hba_1-0.25),IF(G27&lt;=Hba_2-0.25,0,Hba_2-0.25),IF(G27&lt;=Hba_3-0.25,0,Hba_3-0.25),IF(G27&lt;=Hba_4-0.25,0,Hba_4-0.25),IF(G27&lt;=Hba_5-0.25,0,Hba_5-0.25),IF(G27&lt;=Hba_6-0.25,0,Hba_6-0.25),IF(G27&lt;=Hba_7-0.25,0,Hba_7-0.25),IF(G27&lt;=Hba_8-0.25,0,Hba_8-0.25),IF(G27&lt;=Hba_9-0.25,0,Hba_9-0.25),IF(G27&lt;=Hba_10-0.25,0,Hba_10-0.25),IF(G27&lt;=Hba_11-0.25,0,Hba_11-0.25),IF(G27&lt;=Hba_12-0.25,0,Hba_12-0.25),IF(G27&lt;=Hba_13-0.25,0,Hba_13-0.25),IF(G27&lt;=Hba_14-0.25,0,Hba_14-0.25),IF(G27&lt;=Hba_15-0.25,0,Hba_15-0.25),IF(G27&lt;=Hba_16-0.25,0,Hba_16-0.25),IF(G27&lt;=Hba_17-0.25,0,Hba_17-0.25),IF(G27&lt;=Hba_18-0.25,0,Hba_18-0.25),IF(G27&lt;=Hba_19-0.25,0,Hba_19-0.25),IF(G27&lt;=Hba_20-0.25,0,Hba_20-0.25),IF(G27&lt;=Hba_21-0.25,0,Hba_21-0.25),IF(G27&lt;=Hba_22-0.25,0,Hba_22-0.25),IF(G27&lt;=Hba_23-0.25,0,Hba_23-0.25),IF(G27&lt;=Hba_24-0.25,0,Hba_24-0.25),IF(G27&lt;=Hba_25-0.25,0,Hba_25-0.25),IF(G27&lt;=Hba_26-0.25,0,Hba_26-0.25),IF(G27&lt;=Hba_27-0.25,0,Hba_27-0.25),IF(G27&lt;=Hba_28-0.25,0,Hba_28-0.25),IF(G27&lt;=Hba_29-0.25,0,Hba_29-0.25),IF(G27&lt;=Hba_30-0.25,0,Hba_30-0.25)),IF(G27&lt;='Macro References'!$A$38,0,'Macro References'!$A$38)))</f>
        <v/>
      </c>
      <c r="H28" s="769"/>
      <c r="I28" s="228"/>
      <c r="J28" s="228"/>
      <c r="K28" s="228"/>
      <c r="L28" s="717" t="str">
        <f t="shared" si="0"/>
        <v/>
      </c>
      <c r="M28" s="717"/>
      <c r="N28" s="717"/>
      <c r="O28" s="717"/>
      <c r="P28" s="717" t="str">
        <f>IF(OR(G28=0,G28=""),"",IF(VLOOKUP(G28,'Geometry 2'!$C$4:$AI$14,1,TRUE)=VLOOKUP(G29,'Geometry 2'!$C$4:$AI$14,1,TRUE),"",IF(VLOOKUP(G28,'Geometry 2'!$C$4:$AI$14,33,TRUE)&lt;&gt;"n/a",MIN(G28,VLOOKUP(G28,'Geometry 2'!$C$4:$AI$14,1,TRUE))-VLOOKUP(G28,'Geometry 2'!$C$4:$AI$14,33,TRUE),"check")))</f>
        <v/>
      </c>
      <c r="Q28" s="717"/>
      <c r="R28" s="717"/>
      <c r="S28" s="717"/>
      <c r="T28" s="717" t="str">
        <f>IF($G28="","",VLOOKUP($G28,'Geometry 2'!$E$4:$AH$14,11,TRUE))</f>
        <v/>
      </c>
      <c r="U28" s="717"/>
      <c r="V28" s="717"/>
      <c r="W28" s="717"/>
      <c r="X28" s="716" t="str">
        <f>IF($G28="","",VLOOKUP($G28,'Geometry 2'!$E$4:$AJ$14,19,TRUE)-12*VLOOKUP($G28,'Geometry 2'!$E$4:$AJ$14,32,TRUE)*($D28-VLOOKUP($G28,'Geometry 2'!$E$5:$AH$14,1,TRUE)))</f>
        <v/>
      </c>
      <c r="Y28" s="716"/>
      <c r="Z28" s="716"/>
      <c r="AA28" s="716"/>
      <c r="AB28" s="757" t="str">
        <f>IF($G28="","",VLOOKUP($G28,'Geometry 2'!$E$4:$AJ$14,19,TRUE)-12*VLOOKUP($G28,'Geometry 2'!$E$4:$AJ$14,32,TRUE)*($G28-VLOOKUP($G28,'Geometry 2'!$E$5:$AH$14,1,TRUE)))</f>
        <v/>
      </c>
      <c r="AC28" s="758"/>
      <c r="AD28" s="758"/>
      <c r="AE28" s="759"/>
      <c r="AF28" s="716" t="str">
        <f>IF($G28="","",VLOOKUP($G28,'Geometry 2'!$E$4:$AJ$14,19,TRUE)-12*VLOOKUP($G28,'Geometry 2'!$E$4:$AJ$14,32,TRUE)*($G28-IF($P28="",0,$P28)-VLOOKUP($G28,'Geometry 2'!$E$5:$AH$14,1,TRUE)))</f>
        <v/>
      </c>
      <c r="AG28" s="716"/>
      <c r="AH28" s="716"/>
      <c r="AI28" s="716"/>
      <c r="AJ28" s="746" t="str">
        <f>IF($G28="","",VLOOKUP($G28,'Geometry 2'!$E$4:$AH$14,23,TRUE))</f>
        <v/>
      </c>
      <c r="AK28" s="747"/>
      <c r="AL28" s="747"/>
      <c r="AM28" s="748"/>
      <c r="AN28" s="717"/>
      <c r="AO28" s="717"/>
      <c r="AP28" s="717"/>
      <c r="AQ28" s="717"/>
      <c r="AR28" s="717" t="str">
        <f>IF($G28="","",VLOOKUP($G28,'Geometry 2'!$E$4:$AH$14,27,TRUE))</f>
        <v/>
      </c>
      <c r="AS28" s="717"/>
      <c r="AT28" s="717"/>
      <c r="AU28" s="718"/>
      <c r="AV28" s="715"/>
      <c r="AW28" s="716"/>
      <c r="AX28" s="716"/>
      <c r="AZ28" s="722" t="str">
        <f t="shared" si="5"/>
        <v/>
      </c>
      <c r="BA28" s="723"/>
      <c r="BB28" s="723"/>
      <c r="BC28" s="724"/>
      <c r="BD28" s="722"/>
      <c r="BE28" s="723"/>
      <c r="BF28" s="723"/>
      <c r="BG28" s="722" t="str">
        <f t="shared" si="9"/>
        <v/>
      </c>
      <c r="BH28" s="723"/>
      <c r="BI28" s="723"/>
      <c r="BJ28" s="723"/>
      <c r="BK28" s="724"/>
      <c r="BL28" s="722"/>
      <c r="BM28" s="723"/>
      <c r="BN28" s="723"/>
      <c r="BO28" s="723"/>
      <c r="BP28" s="725"/>
      <c r="BQ28" s="725"/>
      <c r="BR28" s="722" t="str">
        <f>IF(BP28="","",IF(OR(AND(Rev="H",Calculations!$F$27=TRUE),AND(Rev&lt;&gt;"H",Calculations!$F$30=TRUE)),IF(BP28&lt;=1,"Pass","Fail"),IF(BP28&lt;=1.05,"Pass","Fail")))</f>
        <v/>
      </c>
      <c r="BS28" s="723"/>
      <c r="BT28" s="724"/>
      <c r="BU28" s="49"/>
      <c r="BV28" s="25" t="str">
        <f>IFERROR(CONCATENATE(IF(AND($G28&lt;Hta_1,$G28&gt;=Hba_1,Input!U$21&lt;&gt;""),Input!$B$21&amp;";",""),IF(AND($G28&lt;Hta_2,$G28&gt;=Hba_2,Input!U$22&lt;&gt;""),Input!$B$22&amp;";",""),IF(AND($G28&lt;Hta_3,$G28&gt;=Hba_3,Input!U$23&lt;&gt;""),Input!$B$23&amp;";",""),IF(AND($G28&lt;Hta_4,$G28&gt;=Hba_4,Input!U$24&lt;&gt;""),Input!$B$24&amp;";",""),IF(AND($G28&lt;Hta_5,$G28&gt;=Hba_5,Input!U$25&lt;&gt;""),Input!$B$25&amp;";",""),IF(AND($G28&lt;Hta_6,$G28&gt;=Hba_6,Input!U$26&lt;&gt;""),Input!$B$26&amp;";",""),IF(AND($G28&lt;Hta_7,$G28&gt;=Hba_7,Input!U$27&lt;&gt;""),Input!$B$27&amp;";",""),IF(AND($G28&lt;Hta_8,$G28&gt;=Hba_8,Input!U$28&lt;&gt;""),Input!$B$28&amp;";",""),IF(AND($G28&lt;Hta_9,$G28&gt;=Hba_9,Input!U$29&lt;&gt;""),Input!$B$29&amp;";",""),IF(AND($G28&lt;Hta_10,$G28&gt;=Hba_10,Input!U$30&lt;&gt;""),Input!$B$30&amp;";",""),IF(AND($G28&lt;Hta_11,$G28&gt;=Hba_11,Input!U$31&lt;&gt;""),Input!$B$31&amp;";",""),IF(AND($G28&lt;Hta_12,$G28&gt;=Hba_12,Input!U$32&lt;&gt;""),Input!$B$32&amp;";",""),IF(AND($G28&lt;Hta_13,$G28&gt;=Hba_13,Input!U$33&lt;&gt;""),Input!$B$33&amp;";",""),IF(AND($G28&lt;Hta_14,$G28&gt;=Hba_14,Input!U$34&lt;&gt;""),Input!$B$34&amp;";",""),IF(AND($G28&lt;Hta_15,$G28&gt;=Hba_15,Input!U$35&lt;&gt;""),Input!$B$35&amp;";",""),IF(AND($G28&lt;Hta_16,$G28&gt;=Hba_16,Input!U$36&lt;&gt;""),Input!$B$36&amp;";",""),IF(AND($G28&lt;Hta_17,$G28&gt;=Hba_17,Input!U$37&lt;&gt;""),Input!$B$37&amp;";",""),IF(AND($G28&lt;Hta_18,$G28&gt;=Hba_18,Input!U$38&lt;&gt;""),Input!$B$38&amp;";",""),IF(AND($G28&lt;Hta_19,$G28&gt;=Hba_19,Input!U$39&lt;&gt;""),Input!$B$39&amp;";",""),IF(AND($G28&lt;Hta_20,$G28&gt;=Hba_20,Input!U$40&lt;&gt;""),Input!$B$40&amp;";",""),IF(AND($G28&lt;Hta_21,$G28&gt;=Hba_21,Input!U$41&lt;&gt;""),Input!$B$41&amp;";",""),IF(AND($G28&lt;Hta_22,$G28&gt;=Hba_22,Input!U$42&lt;&gt;""),Input!$B$42&amp;";",""),IF(AND($G28&lt;Hta_23,$G28&gt;=Hba_23,Input!U$43&lt;&gt;""),Input!$B$43&amp;";",""),IF(AND($G28&lt;Hta_24,$G28&gt;=Hba_24,Input!U$44&lt;&gt;""),Input!$B$44&amp;";",""),IF(AND($G28&lt;Hta_25,$G28&gt;=Hba_25,Input!U$45&lt;&gt;""),Input!$B$45&amp;";",""),IF(AND($G28&lt;Hta_26,$G28&gt;=Hba_26,Input!U$46&lt;&gt;""),Input!$B$46&amp;";",""),IF(AND($G28&lt;Hta_27,$G28&gt;=Hba_27,Input!U$47&lt;&gt;""),Input!$B$47&amp;";",""),IF(AND($G28&lt;Hta_28,$G28&gt;=Hba_28,Input!U$48&lt;&gt;""),Input!$B$48&amp;";",""),IF(AND($G28&lt;Hta_29,$G28&gt;=Hba_29,Input!U$49&lt;&gt;""),Input!$B$49&amp;";",""),IF(AND($G28&lt;Hta_30,$G28&gt;=Hba_30,Input!U$50&lt;&gt;""),Input!$B$50&amp;";","")),"")</f>
        <v/>
      </c>
      <c r="BW28" s="25" t="str">
        <f>IFERROR(CONCATENATE(IF(AND($G28&lt;Hta_1,$G28&gt;=Hba_1,Input!V$21&lt;&gt;""),Input!$B$21&amp;";",""),IF(AND($G28&lt;Hta_2,$G28&gt;=Hba_2,Input!V$22&lt;&gt;""),Input!$B$22&amp;";",""),IF(AND($G28&lt;Hta_3,$G28&gt;=Hba_3,Input!V$23&lt;&gt;""),Input!$B$23&amp;";",""),IF(AND($G28&lt;Hta_4,$G28&gt;=Hba_4,Input!V$24&lt;&gt;""),Input!$B$24&amp;";",""),IF(AND($G28&lt;Hta_5,$G28&gt;=Hba_5,Input!V$25&lt;&gt;""),Input!$B$25&amp;";",""),IF(AND($G28&lt;Hta_6,$G28&gt;=Hba_6,Input!V$26&lt;&gt;""),Input!$B$26&amp;";",""),IF(AND($G28&lt;Hta_7,$G28&gt;=Hba_7,Input!V$27&lt;&gt;""),Input!$B$27&amp;";",""),IF(AND($G28&lt;Hta_8,$G28&gt;=Hba_8,Input!V$28&lt;&gt;""),Input!$B$28&amp;";",""),IF(AND($G28&lt;Hta_9,$G28&gt;=Hba_9,Input!V$29&lt;&gt;""),Input!$B$29&amp;";",""),IF(AND($G28&lt;Hta_10,$G28&gt;=Hba_10,Input!V$30&lt;&gt;""),Input!$B$30&amp;";",""),IF(AND($G28&lt;Hta_11,$G28&gt;=Hba_11,Input!V$31&lt;&gt;""),Input!$B$31&amp;";",""),IF(AND($G28&lt;Hta_12,$G28&gt;=Hba_12,Input!V$32&lt;&gt;""),Input!$B$32&amp;";",""),IF(AND($G28&lt;Hta_13,$G28&gt;=Hba_13,Input!V$33&lt;&gt;""),Input!$B$33&amp;";",""),IF(AND($G28&lt;Hta_14,$G28&gt;=Hba_14,Input!V$34&lt;&gt;""),Input!$B$34&amp;";",""),IF(AND($G28&lt;Hta_15,$G28&gt;=Hba_15,Input!V$35&lt;&gt;""),Input!$B$35&amp;";",""),IF(AND($G28&lt;Hta_16,$G28&gt;=Hba_16,Input!V$36&lt;&gt;""),Input!$B$36&amp;";",""),IF(AND($G28&lt;Hta_17,$G28&gt;=Hba_17,Input!V$37&lt;&gt;""),Input!$B$37&amp;";",""),IF(AND($G28&lt;Hta_18,$G28&gt;=Hba_18,Input!V$38&lt;&gt;""),Input!$B$38&amp;";",""),IF(AND($G28&lt;Hta_19,$G28&gt;=Hba_19,Input!V$39&lt;&gt;""),Input!$B$39&amp;";",""),IF(AND($G28&lt;Hta_20,$G28&gt;=Hba_20,Input!V$40&lt;&gt;""),Input!$B$40&amp;";",""),IF(AND($G28&lt;Hta_21,$G28&gt;=Hba_21,Input!V$41&lt;&gt;""),Input!$B$41&amp;";",""),IF(AND($G28&lt;Hta_22,$G28&gt;=Hba_22,Input!V$42&lt;&gt;""),Input!$B$42&amp;";",""),IF(AND($G28&lt;Hta_23,$G28&gt;=Hba_23,Input!V$43&lt;&gt;""),Input!$B$43&amp;";",""),IF(AND($G28&lt;Hta_24,$G28&gt;=Hba_24,Input!V$44&lt;&gt;""),Input!$B$44&amp;";",""),IF(AND($G28&lt;Hta_25,$G28&gt;=Hba_25,Input!V$45&lt;&gt;""),Input!$B$45&amp;";",""),IF(AND($G28&lt;Hta_26,$G28&gt;=Hba_26,Input!V$46&lt;&gt;""),Input!$B$46&amp;";",""),IF(AND($G28&lt;Hta_27,$G28&gt;=Hba_27,Input!V$47&lt;&gt;""),Input!$B$47&amp;";",""),IF(AND($G28&lt;Hta_28,$G28&gt;=Hba_28,Input!V$48&lt;&gt;""),Input!$B$48&amp;";",""),IF(AND($G28&lt;Hta_29,$G28&gt;=Hba_29,Input!V$49&lt;&gt;""),Input!$B$49&amp;";",""),IF(AND($G28&lt;Hta_30,$G28&gt;=Hba_30,Input!V$50&lt;&gt;""),Input!$B$50&amp;";","")),"")</f>
        <v/>
      </c>
      <c r="BX28" s="25" t="str">
        <f>IFERROR(CONCATENATE(IF(AND($G28&lt;Hta_1,$G28&gt;=Hba_1,Input!W$21&lt;&gt;""),Input!$B$21&amp;";",""),IF(AND($G28&lt;Hta_2,$G28&gt;=Hba_2,Input!W$22&lt;&gt;""),Input!$B$22&amp;";",""),IF(AND($G28&lt;Hta_3,$G28&gt;=Hba_3,Input!W$23&lt;&gt;""),Input!$B$23&amp;";",""),IF(AND($G28&lt;Hta_4,$G28&gt;=Hba_4,Input!W$24&lt;&gt;""),Input!$B$24&amp;";",""),IF(AND($G28&lt;Hta_5,$G28&gt;=Hba_5,Input!W$25&lt;&gt;""),Input!$B$25&amp;";",""),IF(AND($G28&lt;Hta_6,$G28&gt;=Hba_6,Input!W$26&lt;&gt;""),Input!$B$26&amp;";",""),IF(AND($G28&lt;Hta_7,$G28&gt;=Hba_7,Input!W$27&lt;&gt;""),Input!$B$27&amp;";",""),IF(AND($G28&lt;Hta_8,$G28&gt;=Hba_8,Input!W$28&lt;&gt;""),Input!$B$28&amp;";",""),IF(AND($G28&lt;Hta_9,$G28&gt;=Hba_9,Input!W$29&lt;&gt;""),Input!$B$29&amp;";",""),IF(AND($G28&lt;Hta_10,$G28&gt;=Hba_10,Input!W$30&lt;&gt;""),Input!$B$30&amp;";",""),IF(AND($G28&lt;Hta_11,$G28&gt;=Hba_11,Input!W$31&lt;&gt;""),Input!$B$31&amp;";",""),IF(AND($G28&lt;Hta_12,$G28&gt;=Hba_12,Input!W$32&lt;&gt;""),Input!$B$32&amp;";",""),IF(AND($G28&lt;Hta_13,$G28&gt;=Hba_13,Input!W$33&lt;&gt;""),Input!$B$33&amp;";",""),IF(AND($G28&lt;Hta_14,$G28&gt;=Hba_14,Input!W$34&lt;&gt;""),Input!$B$34&amp;";",""),IF(AND($G28&lt;Hta_15,$G28&gt;=Hba_15,Input!W$35&lt;&gt;""),Input!$B$35&amp;";",""),IF(AND($G28&lt;Hta_16,$G28&gt;=Hba_16,Input!W$36&lt;&gt;""),Input!$B$36&amp;";",""),IF(AND($G28&lt;Hta_17,$G28&gt;=Hba_17,Input!W$37&lt;&gt;""),Input!$B$37&amp;";",""),IF(AND($G28&lt;Hta_18,$G28&gt;=Hba_18,Input!W$38&lt;&gt;""),Input!$B$38&amp;";",""),IF(AND($G28&lt;Hta_19,$G28&gt;=Hba_19,Input!W$39&lt;&gt;""),Input!$B$39&amp;";",""),IF(AND($G28&lt;Hta_20,$G28&gt;=Hba_20,Input!W$40&lt;&gt;""),Input!$B$40&amp;";",""),IF(AND($G28&lt;Hta_21,$G28&gt;=Hba_21,Input!W$41&lt;&gt;""),Input!$B$41&amp;";",""),IF(AND($G28&lt;Hta_22,$G28&gt;=Hba_22,Input!W$42&lt;&gt;""),Input!$B$42&amp;";",""),IF(AND($G28&lt;Hta_23,$G28&gt;=Hba_23,Input!W$43&lt;&gt;""),Input!$B$43&amp;";",""),IF(AND($G28&lt;Hta_24,$G28&gt;=Hba_24,Input!W$44&lt;&gt;""),Input!$B$44&amp;";",""),IF(AND($G28&lt;Hta_25,$G28&gt;=Hba_25,Input!W$45&lt;&gt;""),Input!$B$45&amp;";",""),IF(AND($G28&lt;Hta_26,$G28&gt;=Hba_26,Input!W$46&lt;&gt;""),Input!$B$46&amp;";",""),IF(AND($G28&lt;Hta_27,$G28&gt;=Hba_27,Input!W$47&lt;&gt;""),Input!$B$47&amp;";",""),IF(AND($G28&lt;Hta_28,$G28&gt;=Hba_28,Input!W$48&lt;&gt;""),Input!$B$48&amp;";",""),IF(AND($G28&lt;Hta_29,$G28&gt;=Hba_29,Input!W$49&lt;&gt;""),Input!$B$49&amp;";",""),IF(AND($G28&lt;Hta_30,$G28&gt;=Hba_30,Input!W$50&lt;&gt;""),Input!$B$50&amp;";","")),"")</f>
        <v/>
      </c>
      <c r="BY28" s="25" t="str">
        <f>IFERROR(CONCATENATE(IF(AND($G28&lt;Hta_1,$G28&gt;=Hba_1,Input!X$21&lt;&gt;""),Input!$B$21&amp;";",""),IF(AND($G28&lt;Hta_2,$G28&gt;=Hba_2,Input!X$22&lt;&gt;""),Input!$B$22&amp;";",""),IF(AND($G28&lt;Hta_3,$G28&gt;=Hba_3,Input!X$23&lt;&gt;""),Input!$B$23&amp;";",""),IF(AND($G28&lt;Hta_4,$G28&gt;=Hba_4,Input!X$24&lt;&gt;""),Input!$B$24&amp;";",""),IF(AND($G28&lt;Hta_5,$G28&gt;=Hba_5,Input!X$25&lt;&gt;""),Input!$B$25&amp;";",""),IF(AND($G28&lt;Hta_6,$G28&gt;=Hba_6,Input!X$26&lt;&gt;""),Input!$B$26&amp;";",""),IF(AND($G28&lt;Hta_7,$G28&gt;=Hba_7,Input!X$27&lt;&gt;""),Input!$B$27&amp;";",""),IF(AND($G28&lt;Hta_8,$G28&gt;=Hba_8,Input!X$28&lt;&gt;""),Input!$B$28&amp;";",""),IF(AND($G28&lt;Hta_9,$G28&gt;=Hba_9,Input!X$29&lt;&gt;""),Input!$B$29&amp;";",""),IF(AND($G28&lt;Hta_10,$G28&gt;=Hba_10,Input!X$30&lt;&gt;""),Input!$B$30&amp;";",""),IF(AND($G28&lt;Hta_11,$G28&gt;=Hba_11,Input!X$31&lt;&gt;""),Input!$B$31&amp;";",""),IF(AND($G28&lt;Hta_12,$G28&gt;=Hba_12,Input!X$32&lt;&gt;""),Input!$B$32&amp;";",""),IF(AND($G28&lt;Hta_13,$G28&gt;=Hba_13,Input!X$33&lt;&gt;""),Input!$B$33&amp;";",""),IF(AND($G28&lt;Hta_14,$G28&gt;=Hba_14,Input!X$34&lt;&gt;""),Input!$B$34&amp;";",""),IF(AND($G28&lt;Hta_15,$G28&gt;=Hba_15,Input!X$35&lt;&gt;""),Input!$B$35&amp;";",""),IF(AND($G28&lt;Hta_16,$G28&gt;=Hba_16,Input!X$36&lt;&gt;""),Input!$B$36&amp;";",""),IF(AND($G28&lt;Hta_17,$G28&gt;=Hba_17,Input!X$37&lt;&gt;""),Input!$B$37&amp;";",""),IF(AND($G28&lt;Hta_18,$G28&gt;=Hba_18,Input!X$38&lt;&gt;""),Input!$B$38&amp;";",""),IF(AND($G28&lt;Hta_19,$G28&gt;=Hba_19,Input!X$39&lt;&gt;""),Input!$B$39&amp;";",""),IF(AND($G28&lt;Hta_20,$G28&gt;=Hba_20,Input!X$40&lt;&gt;""),Input!$B$40&amp;";",""),IF(AND($G28&lt;Hta_21,$G28&gt;=Hba_21,Input!X$41&lt;&gt;""),Input!$B$41&amp;";",""),IF(AND($G28&lt;Hta_22,$G28&gt;=Hba_22,Input!X$42&lt;&gt;""),Input!$B$42&amp;";",""),IF(AND($G28&lt;Hta_23,$G28&gt;=Hba_23,Input!X$43&lt;&gt;""),Input!$B$43&amp;";",""),IF(AND($G28&lt;Hta_24,$G28&gt;=Hba_24,Input!X$44&lt;&gt;""),Input!$B$44&amp;";",""),IF(AND($G28&lt;Hta_25,$G28&gt;=Hba_25,Input!X$45&lt;&gt;""),Input!$B$45&amp;";",""),IF(AND($G28&lt;Hta_26,$G28&gt;=Hba_26,Input!X$46&lt;&gt;""),Input!$B$46&amp;";",""),IF(AND($G28&lt;Hta_27,$G28&gt;=Hba_27,Input!X$47&lt;&gt;""),Input!$B$47&amp;";",""),IF(AND($G28&lt;Hta_28,$G28&gt;=Hba_28,Input!X$48&lt;&gt;""),Input!$B$48&amp;";",""),IF(AND($G28&lt;Hta_29,$G28&gt;=Hba_29,Input!X$49&lt;&gt;""),Input!$B$49&amp;";",""),IF(AND($G28&lt;Hta_30,$G28&gt;=Hba_30,Input!X$50&lt;&gt;""),Input!$B$50&amp;";","")),"")</f>
        <v/>
      </c>
      <c r="BZ28" s="25" t="str">
        <f>IFERROR(CONCATENATE(IF(AND($G28&lt;Hta_1,$G28&gt;=Hba_1,Input!Y$21&lt;&gt;""),Input!$B$21&amp;";",""),IF(AND($G28&lt;Hta_2,$G28&gt;=Hba_2,Input!Y$22&lt;&gt;""),Input!$B$22&amp;";",""),IF(AND($G28&lt;Hta_3,$G28&gt;=Hba_3,Input!Y$23&lt;&gt;""),Input!$B$23&amp;";",""),IF(AND($G28&lt;Hta_4,$G28&gt;=Hba_4,Input!Y$24&lt;&gt;""),Input!$B$24&amp;";",""),IF(AND($G28&lt;Hta_5,$G28&gt;=Hba_5,Input!Y$25&lt;&gt;""),Input!$B$25&amp;";",""),IF(AND($G28&lt;Hta_6,$G28&gt;=Hba_6,Input!Y$26&lt;&gt;""),Input!$B$26&amp;";",""),IF(AND($G28&lt;Hta_7,$G28&gt;=Hba_7,Input!Y$27&lt;&gt;""),Input!$B$27&amp;";",""),IF(AND($G28&lt;Hta_8,$G28&gt;=Hba_8,Input!Y$28&lt;&gt;""),Input!$B$28&amp;";",""),IF(AND($G28&lt;Hta_9,$G28&gt;=Hba_9,Input!Y$29&lt;&gt;""),Input!$B$29&amp;";",""),IF(AND($G28&lt;Hta_10,$G28&gt;=Hba_10,Input!Y$30&lt;&gt;""),Input!$B$30&amp;";",""),IF(AND($G28&lt;Hta_11,$G28&gt;=Hba_11,Input!Y$31&lt;&gt;""),Input!$B$31&amp;";",""),IF(AND($G28&lt;Hta_12,$G28&gt;=Hba_12,Input!Y$32&lt;&gt;""),Input!$B$32&amp;";",""),IF(AND($G28&lt;Hta_13,$G28&gt;=Hba_13,Input!Y$33&lt;&gt;""),Input!$B$33&amp;";",""),IF(AND($G28&lt;Hta_14,$G28&gt;=Hba_14,Input!Y$34&lt;&gt;""),Input!$B$34&amp;";",""),IF(AND($G28&lt;Hta_15,$G28&gt;=Hba_15,Input!Y$35&lt;&gt;""),Input!$B$35&amp;";",""),IF(AND($G28&lt;Hta_16,$G28&gt;=Hba_16,Input!Y$36&lt;&gt;""),Input!$B$36&amp;";",""),IF(AND($G28&lt;Hta_17,$G28&gt;=Hba_17,Input!Y$37&lt;&gt;""),Input!$B$37&amp;";",""),IF(AND($G28&lt;Hta_18,$G28&gt;=Hba_18,Input!Y$38&lt;&gt;""),Input!$B$38&amp;";",""),IF(AND($G28&lt;Hta_19,$G28&gt;=Hba_19,Input!Y$39&lt;&gt;""),Input!$B$39&amp;";",""),IF(AND($G28&lt;Hta_20,$G28&gt;=Hba_20,Input!Y$40&lt;&gt;""),Input!$B$40&amp;";",""),IF(AND($G28&lt;Hta_21,$G28&gt;=Hba_21,Input!Y$41&lt;&gt;""),Input!$B$41&amp;";",""),IF(AND($G28&lt;Hta_22,$G28&gt;=Hba_22,Input!Y$42&lt;&gt;""),Input!$B$42&amp;";",""),IF(AND($G28&lt;Hta_23,$G28&gt;=Hba_23,Input!Y$43&lt;&gt;""),Input!$B$43&amp;";",""),IF(AND($G28&lt;Hta_24,$G28&gt;=Hba_24,Input!Y$44&lt;&gt;""),Input!$B$44&amp;";",""),IF(AND($G28&lt;Hta_25,$G28&gt;=Hba_25,Input!Y$45&lt;&gt;""),Input!$B$45&amp;";",""),IF(AND($G28&lt;Hta_26,$G28&gt;=Hba_26,Input!Y$46&lt;&gt;""),Input!$B$46&amp;";",""),IF(AND($G28&lt;Hta_27,$G28&gt;=Hba_27,Input!Y$47&lt;&gt;""),Input!$B$47&amp;";",""),IF(AND($G28&lt;Hta_28,$G28&gt;=Hba_28,Input!Y$48&lt;&gt;""),Input!$B$48&amp;";",""),IF(AND($G28&lt;Hta_29,$G28&gt;=Hba_29,Input!Y$49&lt;&gt;""),Input!$B$49&amp;";",""),IF(AND($G28&lt;Hta_30,$G28&gt;=Hba_30,Input!Y$50&lt;&gt;""),Input!$B$50&amp;";","")),"")</f>
        <v/>
      </c>
      <c r="CA28" s="25" t="str">
        <f>IFERROR(CONCATENATE(IF(AND($G28&lt;Hta_1,$G28&gt;=Hba_1,Input!Z$21&lt;&gt;""),Input!$B$21&amp;";",""),IF(AND($G28&lt;Hta_2,$G28&gt;=Hba_2,Input!Z$22&lt;&gt;""),Input!$B$22&amp;";",""),IF(AND($G28&lt;Hta_3,$G28&gt;=Hba_3,Input!Z$23&lt;&gt;""),Input!$B$23&amp;";",""),IF(AND($G28&lt;Hta_4,$G28&gt;=Hba_4,Input!Z$24&lt;&gt;""),Input!$B$24&amp;";",""),IF(AND($G28&lt;Hta_5,$G28&gt;=Hba_5,Input!Z$25&lt;&gt;""),Input!$B$25&amp;";",""),IF(AND($G28&lt;Hta_6,$G28&gt;=Hba_6,Input!Z$26&lt;&gt;""),Input!$B$26&amp;";",""),IF(AND($G28&lt;Hta_7,$G28&gt;=Hba_7,Input!Z$27&lt;&gt;""),Input!$B$27&amp;";",""),IF(AND($G28&lt;Hta_8,$G28&gt;=Hba_8,Input!Z$28&lt;&gt;""),Input!$B$28&amp;";",""),IF(AND($G28&lt;Hta_9,$G28&gt;=Hba_9,Input!Z$29&lt;&gt;""),Input!$B$29&amp;";",""),IF(AND($G28&lt;Hta_10,$G28&gt;=Hba_10,Input!Z$30&lt;&gt;""),Input!$B$30&amp;";",""),IF(AND($G28&lt;Hta_11,$G28&gt;=Hba_11,Input!Z$31&lt;&gt;""),Input!$B$31&amp;";",""),IF(AND($G28&lt;Hta_12,$G28&gt;=Hba_12,Input!Z$32&lt;&gt;""),Input!$B$32&amp;";",""),IF(AND($G28&lt;Hta_13,$G28&gt;=Hba_13,Input!Z$33&lt;&gt;""),Input!$B$33&amp;";",""),IF(AND($G28&lt;Hta_14,$G28&gt;=Hba_14,Input!Z$34&lt;&gt;""),Input!$B$34&amp;";",""),IF(AND($G28&lt;Hta_15,$G28&gt;=Hba_15,Input!Z$35&lt;&gt;""),Input!$B$35&amp;";",""),IF(AND($G28&lt;Hta_16,$G28&gt;=Hba_16,Input!Z$36&lt;&gt;""),Input!$B$36&amp;";",""),IF(AND($G28&lt;Hta_17,$G28&gt;=Hba_17,Input!Z$37&lt;&gt;""),Input!$B$37&amp;";",""),IF(AND($G28&lt;Hta_18,$G28&gt;=Hba_18,Input!Z$38&lt;&gt;""),Input!$B$38&amp;";",""),IF(AND($G28&lt;Hta_19,$G28&gt;=Hba_19,Input!Z$39&lt;&gt;""),Input!$B$39&amp;";",""),IF(AND($G28&lt;Hta_20,$G28&gt;=Hba_20,Input!Z$40&lt;&gt;""),Input!$B$40&amp;";",""),IF(AND($G28&lt;Hta_21,$G28&gt;=Hba_21,Input!Z$41&lt;&gt;""),Input!$B$41&amp;";",""),IF(AND($G28&lt;Hta_22,$G28&gt;=Hba_22,Input!Z$42&lt;&gt;""),Input!$B$42&amp;";",""),IF(AND($G28&lt;Hta_23,$G28&gt;=Hba_23,Input!Z$43&lt;&gt;""),Input!$B$43&amp;";",""),IF(AND($G28&lt;Hta_24,$G28&gt;=Hba_24,Input!Z$44&lt;&gt;""),Input!$B$44&amp;";",""),IF(AND($G28&lt;Hta_25,$G28&gt;=Hba_25,Input!Z$45&lt;&gt;""),Input!$B$45&amp;";",""),IF(AND($G28&lt;Hta_26,$G28&gt;=Hba_26,Input!Z$46&lt;&gt;""),Input!$B$46&amp;";",""),IF(AND($G28&lt;Hta_27,$G28&gt;=Hba_27,Input!Z$47&lt;&gt;""),Input!$B$47&amp;";",""),IF(AND($G28&lt;Hta_28,$G28&gt;=Hba_28,Input!Z$48&lt;&gt;""),Input!$B$48&amp;";",""),IF(AND($G28&lt;Hta_29,$G28&gt;=Hba_29,Input!Z$49&lt;&gt;""),Input!$B$49&amp;";",""),IF(AND($G28&lt;Hta_30,$G28&gt;=Hba_30,Input!Z$50&lt;&gt;""),Input!$B$50&amp;";","")),"")</f>
        <v/>
      </c>
      <c r="CB28" s="25" t="str">
        <f>IFERROR(CONCATENATE(IF(AND($G28&lt;Hta_1,$G28&gt;=Hba_1,Input!AA$21&lt;&gt;""),Input!$B$21&amp;";",""),IF(AND($G28&lt;Hta_2,$G28&gt;=Hba_2,Input!AA$22&lt;&gt;""),Input!$B$22&amp;";",""),IF(AND($G28&lt;Hta_3,$G28&gt;=Hba_3,Input!AA$23&lt;&gt;""),Input!$B$23&amp;";",""),IF(AND($G28&lt;Hta_4,$G28&gt;=Hba_4,Input!AA$24&lt;&gt;""),Input!$B$24&amp;";",""),IF(AND($G28&lt;Hta_5,$G28&gt;=Hba_5,Input!AA$25&lt;&gt;""),Input!$B$25&amp;";",""),IF(AND($G28&lt;Hta_6,$G28&gt;=Hba_6,Input!AA$26&lt;&gt;""),Input!$B$26&amp;";",""),IF(AND($G28&lt;Hta_7,$G28&gt;=Hba_7,Input!AA$27&lt;&gt;""),Input!$B$27&amp;";",""),IF(AND($G28&lt;Hta_8,$G28&gt;=Hba_8,Input!AA$28&lt;&gt;""),Input!$B$28&amp;";",""),IF(AND($G28&lt;Hta_9,$G28&gt;=Hba_9,Input!AA$29&lt;&gt;""),Input!$B$29&amp;";",""),IF(AND($G28&lt;Hta_10,$G28&gt;=Hba_10,Input!AA$30&lt;&gt;""),Input!$B$30&amp;";",""),IF(AND($G28&lt;Hta_11,$G28&gt;=Hba_11,Input!AA$31&lt;&gt;""),Input!$B$31&amp;";",""),IF(AND($G28&lt;Hta_12,$G28&gt;=Hba_12,Input!AA$32&lt;&gt;""),Input!$B$32&amp;";",""),IF(AND($G28&lt;Hta_13,$G28&gt;=Hba_13,Input!AA$33&lt;&gt;""),Input!$B$33&amp;";",""),IF(AND($G28&lt;Hta_14,$G28&gt;=Hba_14,Input!AA$34&lt;&gt;""),Input!$B$34&amp;";",""),IF(AND($G28&lt;Hta_15,$G28&gt;=Hba_15,Input!AA$35&lt;&gt;""),Input!$B$35&amp;";",""),IF(AND($G28&lt;Hta_16,$G28&gt;=Hba_16,Input!AA$36&lt;&gt;""),Input!$B$36&amp;";",""),IF(AND($G28&lt;Hta_17,$G28&gt;=Hba_17,Input!AA$37&lt;&gt;""),Input!$B$37&amp;";",""),IF(AND($G28&lt;Hta_18,$G28&gt;=Hba_18,Input!AA$38&lt;&gt;""),Input!$B$38&amp;";",""),IF(AND($G28&lt;Hta_19,$G28&gt;=Hba_19,Input!AA$39&lt;&gt;""),Input!$B$39&amp;";",""),IF(AND($G28&lt;Hta_20,$G28&gt;=Hba_20,Input!AA$40&lt;&gt;""),Input!$B$40&amp;";",""),IF(AND($G28&lt;Hta_21,$G28&gt;=Hba_21,Input!AA$41&lt;&gt;""),Input!$B$41&amp;";",""),IF(AND($G28&lt;Hta_22,$G28&gt;=Hba_22,Input!AA$42&lt;&gt;""),Input!$B$42&amp;";",""),IF(AND($G28&lt;Hta_23,$G28&gt;=Hba_23,Input!AA$43&lt;&gt;""),Input!$B$43&amp;";",""),IF(AND($G28&lt;Hta_24,$G28&gt;=Hba_24,Input!AA$44&lt;&gt;""),Input!$B$44&amp;";",""),IF(AND($G28&lt;Hta_25,$G28&gt;=Hba_25,Input!AA$45&lt;&gt;""),Input!$B$45&amp;";",""),IF(AND($G28&lt;Hta_26,$G28&gt;=Hba_26,Input!AA$46&lt;&gt;""),Input!$B$46&amp;";",""),IF(AND($G28&lt;Hta_27,$G28&gt;=Hba_27,Input!AA$47&lt;&gt;""),Input!$B$47&amp;";",""),IF(AND($G28&lt;Hta_28,$G28&gt;=Hba_28,Input!AA$48&lt;&gt;""),Input!$B$48&amp;";",""),IF(AND($G28&lt;Hta_29,$G28&gt;=Hba_29,Input!AA$49&lt;&gt;""),Input!$B$49&amp;";",""),IF(AND($G28&lt;Hta_30,$G28&gt;=Hba_30,Input!AA$50&lt;&gt;""),Input!$B$50&amp;";","")),"")</f>
        <v/>
      </c>
      <c r="CC28" s="25" t="str">
        <f>IFERROR(CONCATENATE(IF(AND($G28&lt;Hta_1,$G28&gt;=Hba_1,Input!AB$21&lt;&gt;""),Input!$B$21&amp;";",""),IF(AND($G28&lt;Hta_2,$G28&gt;=Hba_2,Input!AB$22&lt;&gt;""),Input!$B$22&amp;";",""),IF(AND($G28&lt;Hta_3,$G28&gt;=Hba_3,Input!AB$23&lt;&gt;""),Input!$B$23&amp;";",""),IF(AND($G28&lt;Hta_4,$G28&gt;=Hba_4,Input!AB$24&lt;&gt;""),Input!$B$24&amp;";",""),IF(AND($G28&lt;Hta_5,$G28&gt;=Hba_5,Input!AB$25&lt;&gt;""),Input!$B$25&amp;";",""),IF(AND($G28&lt;Hta_6,$G28&gt;=Hba_6,Input!AB$26&lt;&gt;""),Input!$B$26&amp;";",""),IF(AND($G28&lt;Hta_7,$G28&gt;=Hba_7,Input!AB$27&lt;&gt;""),Input!$B$27&amp;";",""),IF(AND($G28&lt;Hta_8,$G28&gt;=Hba_8,Input!AB$28&lt;&gt;""),Input!$B$28&amp;";",""),IF(AND($G28&lt;Hta_9,$G28&gt;=Hba_9,Input!AB$29&lt;&gt;""),Input!$B$29&amp;";",""),IF(AND($G28&lt;Hta_10,$G28&gt;=Hba_10,Input!AB$30&lt;&gt;""),Input!$B$30&amp;";",""),IF(AND($G28&lt;Hta_11,$G28&gt;=Hba_11,Input!AB$31&lt;&gt;""),Input!$B$31&amp;";",""),IF(AND($G28&lt;Hta_12,$G28&gt;=Hba_12,Input!AB$32&lt;&gt;""),Input!$B$32&amp;";",""),IF(AND($G28&lt;Hta_13,$G28&gt;=Hba_13,Input!AB$33&lt;&gt;""),Input!$B$33&amp;";",""),IF(AND($G28&lt;Hta_14,$G28&gt;=Hba_14,Input!AB$34&lt;&gt;""),Input!$B$34&amp;";",""),IF(AND($G28&lt;Hta_15,$G28&gt;=Hba_15,Input!AB$35&lt;&gt;""),Input!$B$35&amp;";",""),IF(AND($G28&lt;Hta_16,$G28&gt;=Hba_16,Input!AB$36&lt;&gt;""),Input!$B$36&amp;";",""),IF(AND($G28&lt;Hta_17,$G28&gt;=Hba_17,Input!AB$37&lt;&gt;""),Input!$B$37&amp;";",""),IF(AND($G28&lt;Hta_18,$G28&gt;=Hba_18,Input!AB$38&lt;&gt;""),Input!$B$38&amp;";",""),IF(AND($G28&lt;Hta_19,$G28&gt;=Hba_19,Input!AB$39&lt;&gt;""),Input!$B$39&amp;";",""),IF(AND($G28&lt;Hta_20,$G28&gt;=Hba_20,Input!AB$40&lt;&gt;""),Input!$B$40&amp;";",""),IF(AND($G28&lt;Hta_21,$G28&gt;=Hba_21,Input!AB$41&lt;&gt;""),Input!$B$41&amp;";",""),IF(AND($G28&lt;Hta_22,$G28&gt;=Hba_22,Input!AB$42&lt;&gt;""),Input!$B$42&amp;";",""),IF(AND($G28&lt;Hta_23,$G28&gt;=Hba_23,Input!AB$43&lt;&gt;""),Input!$B$43&amp;";",""),IF(AND($G28&lt;Hta_24,$G28&gt;=Hba_24,Input!AB$44&lt;&gt;""),Input!$B$44&amp;";",""),IF(AND($G28&lt;Hta_25,$G28&gt;=Hba_25,Input!AB$45&lt;&gt;""),Input!$B$45&amp;";",""),IF(AND($G28&lt;Hta_26,$G28&gt;=Hba_26,Input!AB$46&lt;&gt;""),Input!$B$46&amp;";",""),IF(AND($G28&lt;Hta_27,$G28&gt;=Hba_27,Input!AB$47&lt;&gt;""),Input!$B$47&amp;";",""),IF(AND($G28&lt;Hta_28,$G28&gt;=Hba_28,Input!AB$48&lt;&gt;""),Input!$B$48&amp;";",""),IF(AND($G28&lt;Hta_29,$G28&gt;=Hba_29,Input!AB$49&lt;&gt;""),Input!$B$49&amp;";",""),IF(AND($G28&lt;Hta_30,$G28&gt;=Hba_30,Input!AB$50&lt;&gt;""),Input!$B$50&amp;";","")),"")</f>
        <v/>
      </c>
      <c r="CD28" s="25" t="str">
        <f>IFERROR(CONCATENATE(IF(AND($G28&lt;Hta_1,$G28&gt;=Hba_1,Input!AC$21&lt;&gt;""),Input!$B$21&amp;";",""),IF(AND($G28&lt;Hta_2,$G28&gt;=Hba_2,Input!AC$22&lt;&gt;""),Input!$B$22&amp;";",""),IF(AND($G28&lt;Hta_3,$G28&gt;=Hba_3,Input!AC$23&lt;&gt;""),Input!$B$23&amp;";",""),IF(AND($G28&lt;Hta_4,$G28&gt;=Hba_4,Input!AC$24&lt;&gt;""),Input!$B$24&amp;";",""),IF(AND($G28&lt;Hta_5,$G28&gt;=Hba_5,Input!AC$25&lt;&gt;""),Input!$B$25&amp;";",""),IF(AND($G28&lt;Hta_6,$G28&gt;=Hba_6,Input!AC$26&lt;&gt;""),Input!$B$26&amp;";",""),IF(AND($G28&lt;Hta_7,$G28&gt;=Hba_7,Input!AC$27&lt;&gt;""),Input!$B$27&amp;";",""),IF(AND($G28&lt;Hta_8,$G28&gt;=Hba_8,Input!AC$28&lt;&gt;""),Input!$B$28&amp;";",""),IF(AND($G28&lt;Hta_9,$G28&gt;=Hba_9,Input!AC$29&lt;&gt;""),Input!$B$29&amp;";",""),IF(AND($G28&lt;Hta_10,$G28&gt;=Hba_10,Input!AC$30&lt;&gt;""),Input!$B$30&amp;";",""),IF(AND($G28&lt;Hta_11,$G28&gt;=Hba_11,Input!AC$31&lt;&gt;""),Input!$B$31&amp;";",""),IF(AND($G28&lt;Hta_12,$G28&gt;=Hba_12,Input!AC$32&lt;&gt;""),Input!$B$32&amp;";",""),IF(AND($G28&lt;Hta_13,$G28&gt;=Hba_13,Input!AC$33&lt;&gt;""),Input!$B$33&amp;";",""),IF(AND($G28&lt;Hta_14,$G28&gt;=Hba_14,Input!AC$34&lt;&gt;""),Input!$B$34&amp;";",""),IF(AND($G28&lt;Hta_15,$G28&gt;=Hba_15,Input!AC$35&lt;&gt;""),Input!$B$35&amp;";",""),IF(AND($G28&lt;Hta_16,$G28&gt;=Hba_16,Input!AC$36&lt;&gt;""),Input!$B$36&amp;";",""),IF(AND($G28&lt;Hta_17,$G28&gt;=Hba_17,Input!AC$37&lt;&gt;""),Input!$B$37&amp;";",""),IF(AND($G28&lt;Hta_18,$G28&gt;=Hba_18,Input!AC$38&lt;&gt;""),Input!$B$38&amp;";",""),IF(AND($G28&lt;Hta_19,$G28&gt;=Hba_19,Input!AC$39&lt;&gt;""),Input!$B$39&amp;";",""),IF(AND($G28&lt;Hta_20,$G28&gt;=Hba_20,Input!AC$40&lt;&gt;""),Input!$B$40&amp;";",""),IF(AND($G28&lt;Hta_21,$G28&gt;=Hba_21,Input!AC$41&lt;&gt;""),Input!$B$41&amp;";",""),IF(AND($G28&lt;Hta_22,$G28&gt;=Hba_22,Input!AC$42&lt;&gt;""),Input!$B$42&amp;";",""),IF(AND($G28&lt;Hta_23,$G28&gt;=Hba_23,Input!AC$43&lt;&gt;""),Input!$B$43&amp;";",""),IF(AND($G28&lt;Hta_24,$G28&gt;=Hba_24,Input!AC$44&lt;&gt;""),Input!$B$44&amp;";",""),IF(AND($G28&lt;Hta_25,$G28&gt;=Hba_25,Input!AC$45&lt;&gt;""),Input!$B$45&amp;";",""),IF(AND($G28&lt;Hta_26,$G28&gt;=Hba_26,Input!AC$46&lt;&gt;""),Input!$B$46&amp;";",""),IF(AND($G28&lt;Hta_27,$G28&gt;=Hba_27,Input!AC$47&lt;&gt;""),Input!$B$47&amp;";",""),IF(AND($G28&lt;Hta_28,$G28&gt;=Hba_28,Input!AC$48&lt;&gt;""),Input!$B$48&amp;";",""),IF(AND($G28&lt;Hta_29,$G28&gt;=Hba_29,Input!AC$49&lt;&gt;""),Input!$B$49&amp;";",""),IF(AND($G28&lt;Hta_30,$G28&gt;=Hba_30,Input!AC$50&lt;&gt;""),Input!$B$50&amp;";","")),"")</f>
        <v/>
      </c>
      <c r="CE28" s="25" t="str">
        <f>IFERROR(CONCATENATE(IF(AND($G28&lt;Hta_1,$G28&gt;=Hba_1,Input!AD$21&lt;&gt;""),Input!$B$21&amp;";",""),IF(AND($G28&lt;Hta_2,$G28&gt;=Hba_2,Input!AD$22&lt;&gt;""),Input!$B$22&amp;";",""),IF(AND($G28&lt;Hta_3,$G28&gt;=Hba_3,Input!AD$23&lt;&gt;""),Input!$B$23&amp;";",""),IF(AND($G28&lt;Hta_4,$G28&gt;=Hba_4,Input!AD$24&lt;&gt;""),Input!$B$24&amp;";",""),IF(AND($G28&lt;Hta_5,$G28&gt;=Hba_5,Input!AD$25&lt;&gt;""),Input!$B$25&amp;";",""),IF(AND($G28&lt;Hta_6,$G28&gt;=Hba_6,Input!AD$26&lt;&gt;""),Input!$B$26&amp;";",""),IF(AND($G28&lt;Hta_7,$G28&gt;=Hba_7,Input!AD$27&lt;&gt;""),Input!$B$27&amp;";",""),IF(AND($G28&lt;Hta_8,$G28&gt;=Hba_8,Input!AD$28&lt;&gt;""),Input!$B$28&amp;";",""),IF(AND($G28&lt;Hta_9,$G28&gt;=Hba_9,Input!AD$29&lt;&gt;""),Input!$B$29&amp;";",""),IF(AND($G28&lt;Hta_10,$G28&gt;=Hba_10,Input!AD$30&lt;&gt;""),Input!$B$30&amp;";",""),IF(AND($G28&lt;Hta_11,$G28&gt;=Hba_11,Input!AD$31&lt;&gt;""),Input!$B$31&amp;";",""),IF(AND($G28&lt;Hta_12,$G28&gt;=Hba_12,Input!AD$32&lt;&gt;""),Input!$B$32&amp;";",""),IF(AND($G28&lt;Hta_13,$G28&gt;=Hba_13,Input!AD$33&lt;&gt;""),Input!$B$33&amp;";",""),IF(AND($G28&lt;Hta_14,$G28&gt;=Hba_14,Input!AD$34&lt;&gt;""),Input!$B$34&amp;";",""),IF(AND($G28&lt;Hta_15,$G28&gt;=Hba_15,Input!AD$35&lt;&gt;""),Input!$B$35&amp;";",""),IF(AND($G28&lt;Hta_16,$G28&gt;=Hba_16,Input!AD$36&lt;&gt;""),Input!$B$36&amp;";",""),IF(AND($G28&lt;Hta_17,$G28&gt;=Hba_17,Input!AD$37&lt;&gt;""),Input!$B$37&amp;";",""),IF(AND($G28&lt;Hta_18,$G28&gt;=Hba_18,Input!AD$38&lt;&gt;""),Input!$B$38&amp;";",""),IF(AND($G28&lt;Hta_19,$G28&gt;=Hba_19,Input!AD$39&lt;&gt;""),Input!$B$39&amp;";",""),IF(AND($G28&lt;Hta_20,$G28&gt;=Hba_20,Input!AD$40&lt;&gt;""),Input!$B$40&amp;";",""),IF(AND($G28&lt;Hta_21,$G28&gt;=Hba_21,Input!AD$41&lt;&gt;""),Input!$B$41&amp;";",""),IF(AND($G28&lt;Hta_22,$G28&gt;=Hba_22,Input!AD$42&lt;&gt;""),Input!$B$42&amp;";",""),IF(AND($G28&lt;Hta_23,$G28&gt;=Hba_23,Input!AD$43&lt;&gt;""),Input!$B$43&amp;";",""),IF(AND($G28&lt;Hta_24,$G28&gt;=Hba_24,Input!AD$44&lt;&gt;""),Input!$B$44&amp;";",""),IF(AND($G28&lt;Hta_25,$G28&gt;=Hba_25,Input!AD$45&lt;&gt;""),Input!$B$45&amp;";",""),IF(AND($G28&lt;Hta_26,$G28&gt;=Hba_26,Input!AD$46&lt;&gt;""),Input!$B$46&amp;";",""),IF(AND($G28&lt;Hta_27,$G28&gt;=Hba_27,Input!AD$47&lt;&gt;""),Input!$B$47&amp;";",""),IF(AND($G28&lt;Hta_28,$G28&gt;=Hba_28,Input!AD$48&lt;&gt;""),Input!$B$48&amp;";",""),IF(AND($G28&lt;Hta_29,$G28&gt;=Hba_29,Input!AD$49&lt;&gt;""),Input!$B$49&amp;";",""),IF(AND($G28&lt;Hta_30,$G28&gt;=Hba_30,Input!AD$50&lt;&gt;""),Input!$B$50&amp;";","")),"")</f>
        <v/>
      </c>
      <c r="CF28" s="25" t="str">
        <f>IFERROR(CONCATENATE(IF(AND($G28&lt;Hta_1,$G28&gt;=Hba_1,Input!AE$21&lt;&gt;""),Input!$B$21&amp;";",""),IF(AND($G28&lt;Hta_2,$G28&gt;=Hba_2,Input!AE$22&lt;&gt;""),Input!$B$22&amp;";",""),IF(AND($G28&lt;Hta_3,$G28&gt;=Hba_3,Input!AE$23&lt;&gt;""),Input!$B$23&amp;";",""),IF(AND($G28&lt;Hta_4,$G28&gt;=Hba_4,Input!AE$24&lt;&gt;""),Input!$B$24&amp;";",""),IF(AND($G28&lt;Hta_5,$G28&gt;=Hba_5,Input!AE$25&lt;&gt;""),Input!$B$25&amp;";",""),IF(AND($G28&lt;Hta_6,$G28&gt;=Hba_6,Input!AE$26&lt;&gt;""),Input!$B$26&amp;";",""),IF(AND($G28&lt;Hta_7,$G28&gt;=Hba_7,Input!AE$27&lt;&gt;""),Input!$B$27&amp;";",""),IF(AND($G28&lt;Hta_8,$G28&gt;=Hba_8,Input!AE$28&lt;&gt;""),Input!$B$28&amp;";",""),IF(AND($G28&lt;Hta_9,$G28&gt;=Hba_9,Input!AE$29&lt;&gt;""),Input!$B$29&amp;";",""),IF(AND($G28&lt;Hta_10,$G28&gt;=Hba_10,Input!AE$30&lt;&gt;""),Input!$B$30&amp;";",""),IF(AND($G28&lt;Hta_11,$G28&gt;=Hba_11,Input!AE$31&lt;&gt;""),Input!$B$31&amp;";",""),IF(AND($G28&lt;Hta_12,$G28&gt;=Hba_12,Input!AE$32&lt;&gt;""),Input!$B$32&amp;";",""),IF(AND($G28&lt;Hta_13,$G28&gt;=Hba_13,Input!AE$33&lt;&gt;""),Input!$B$33&amp;";",""),IF(AND($G28&lt;Hta_14,$G28&gt;=Hba_14,Input!AE$34&lt;&gt;""),Input!$B$34&amp;";",""),IF(AND($G28&lt;Hta_15,$G28&gt;=Hba_15,Input!AE$35&lt;&gt;""),Input!$B$35&amp;";",""),IF(AND($G28&lt;Hta_16,$G28&gt;=Hba_16,Input!AE$36&lt;&gt;""),Input!$B$36&amp;";",""),IF(AND($G28&lt;Hta_17,$G28&gt;=Hba_17,Input!AE$37&lt;&gt;""),Input!$B$37&amp;";",""),IF(AND($G28&lt;Hta_18,$G28&gt;=Hba_18,Input!AE$38&lt;&gt;""),Input!$B$38&amp;";",""),IF(AND($G28&lt;Hta_19,$G28&gt;=Hba_19,Input!AE$39&lt;&gt;""),Input!$B$39&amp;";",""),IF(AND($G28&lt;Hta_20,$G28&gt;=Hba_20,Input!AE$40&lt;&gt;""),Input!$B$40&amp;";",""),IF(AND($G28&lt;Hta_21,$G28&gt;=Hba_21,Input!AE$41&lt;&gt;""),Input!$B$41&amp;";",""),IF(AND($G28&lt;Hta_22,$G28&gt;=Hba_22,Input!AE$42&lt;&gt;""),Input!$B$42&amp;";",""),IF(AND($G28&lt;Hta_23,$G28&gt;=Hba_23,Input!AE$43&lt;&gt;""),Input!$B$43&amp;";",""),IF(AND($G28&lt;Hta_24,$G28&gt;=Hba_24,Input!AE$44&lt;&gt;""),Input!$B$44&amp;";",""),IF(AND($G28&lt;Hta_25,$G28&gt;=Hba_25,Input!AE$45&lt;&gt;""),Input!$B$45&amp;";",""),IF(AND($G28&lt;Hta_26,$G28&gt;=Hba_26,Input!AE$46&lt;&gt;""),Input!$B$46&amp;";",""),IF(AND($G28&lt;Hta_27,$G28&gt;=Hba_27,Input!AE$47&lt;&gt;""),Input!$B$47&amp;";",""),IF(AND($G28&lt;Hta_28,$G28&gt;=Hba_28,Input!AE$48&lt;&gt;""),Input!$B$48&amp;";",""),IF(AND($G28&lt;Hta_29,$G28&gt;=Hba_29,Input!AE$49&lt;&gt;""),Input!$B$49&amp;";",""),IF(AND($G28&lt;Hta_30,$G28&gt;=Hba_30,Input!AE$50&lt;&gt;""),Input!$B$50&amp;";","")),"")</f>
        <v/>
      </c>
      <c r="CG28" s="25" t="str">
        <f>IFERROR(CONCATENATE(IF(AND($G28&lt;Hta_1,$G28&gt;=Hba_1,Input!AF$21&lt;&gt;""),Input!$B$21&amp;";",""),IF(AND($G28&lt;Hta_2,$G28&gt;=Hba_2,Input!AF$22&lt;&gt;""),Input!$B$22&amp;";",""),IF(AND($G28&lt;Hta_3,$G28&gt;=Hba_3,Input!AF$23&lt;&gt;""),Input!$B$23&amp;";",""),IF(AND($G28&lt;Hta_4,$G28&gt;=Hba_4,Input!AF$24&lt;&gt;""),Input!$B$24&amp;";",""),IF(AND($G28&lt;Hta_5,$G28&gt;=Hba_5,Input!AF$25&lt;&gt;""),Input!$B$25&amp;";",""),IF(AND($G28&lt;Hta_6,$G28&gt;=Hba_6,Input!AF$26&lt;&gt;""),Input!$B$26&amp;";",""),IF(AND($G28&lt;Hta_7,$G28&gt;=Hba_7,Input!AF$27&lt;&gt;""),Input!$B$27&amp;";",""),IF(AND($G28&lt;Hta_8,$G28&gt;=Hba_8,Input!AF$28&lt;&gt;""),Input!$B$28&amp;";",""),IF(AND($G28&lt;Hta_9,$G28&gt;=Hba_9,Input!AF$29&lt;&gt;""),Input!$B$29&amp;";",""),IF(AND($G28&lt;Hta_10,$G28&gt;=Hba_10,Input!AF$30&lt;&gt;""),Input!$B$30&amp;";",""),IF(AND($G28&lt;Hta_11,$G28&gt;=Hba_11,Input!AF$31&lt;&gt;""),Input!$B$31&amp;";",""),IF(AND($G28&lt;Hta_12,$G28&gt;=Hba_12,Input!AF$32&lt;&gt;""),Input!$B$32&amp;";",""),IF(AND($G28&lt;Hta_13,$G28&gt;=Hba_13,Input!AF$33&lt;&gt;""),Input!$B$33&amp;";",""),IF(AND($G28&lt;Hta_14,$G28&gt;=Hba_14,Input!AF$34&lt;&gt;""),Input!$B$34&amp;";",""),IF(AND($G28&lt;Hta_15,$G28&gt;=Hba_15,Input!AF$35&lt;&gt;""),Input!$B$35&amp;";",""),IF(AND($G28&lt;Hta_16,$G28&gt;=Hba_16,Input!AF$36&lt;&gt;""),Input!$B$36&amp;";",""),IF(AND($G28&lt;Hta_17,$G28&gt;=Hba_17,Input!AF$37&lt;&gt;""),Input!$B$37&amp;";",""),IF(AND($G28&lt;Hta_18,$G28&gt;=Hba_18,Input!AF$38&lt;&gt;""),Input!$B$38&amp;";",""),IF(AND($G28&lt;Hta_19,$G28&gt;=Hba_19,Input!AF$39&lt;&gt;""),Input!$B$39&amp;";",""),IF(AND($G28&lt;Hta_20,$G28&gt;=Hba_20,Input!AF$40&lt;&gt;""),Input!$B$40&amp;";",""),IF(AND($G28&lt;Hta_21,$G28&gt;=Hba_21,Input!AF$41&lt;&gt;""),Input!$B$41&amp;";",""),IF(AND($G28&lt;Hta_22,$G28&gt;=Hba_22,Input!AF$42&lt;&gt;""),Input!$B$42&amp;";",""),IF(AND($G28&lt;Hta_23,$G28&gt;=Hba_23,Input!AF$43&lt;&gt;""),Input!$B$43&amp;";",""),IF(AND($G28&lt;Hta_24,$G28&gt;=Hba_24,Input!AF$44&lt;&gt;""),Input!$B$44&amp;";",""),IF(AND($G28&lt;Hta_25,$G28&gt;=Hba_25,Input!AF$45&lt;&gt;""),Input!$B$45&amp;";",""),IF(AND($G28&lt;Hta_26,$G28&gt;=Hba_26,Input!AF$46&lt;&gt;""),Input!$B$46&amp;";",""),IF(AND($G28&lt;Hta_27,$G28&gt;=Hba_27,Input!AF$47&lt;&gt;""),Input!$B$47&amp;";",""),IF(AND($G28&lt;Hta_28,$G28&gt;=Hba_28,Input!AF$48&lt;&gt;""),Input!$B$48&amp;";",""),IF(AND($G28&lt;Hta_29,$G28&gt;=Hba_29,Input!AF$49&lt;&gt;""),Input!$B$49&amp;";",""),IF(AND($G28&lt;Hta_30,$G28&gt;=Hba_30,Input!AF$50&lt;&gt;""),Input!$B$50&amp;";","")),"")</f>
        <v/>
      </c>
      <c r="CH28" s="25" t="str">
        <f>IFERROR(CONCATENATE(IF(AND($G28&lt;Hta_1,$G28&gt;=Hba_1,Input!AG$21&lt;&gt;""),Input!$B$21&amp;";",""),IF(AND($G28&lt;Hta_2,$G28&gt;=Hba_2,Input!AG$22&lt;&gt;""),Input!$B$22&amp;";",""),IF(AND($G28&lt;Hta_3,$G28&gt;=Hba_3,Input!AG$23&lt;&gt;""),Input!$B$23&amp;";",""),IF(AND($G28&lt;Hta_4,$G28&gt;=Hba_4,Input!AG$24&lt;&gt;""),Input!$B$24&amp;";",""),IF(AND($G28&lt;Hta_5,$G28&gt;=Hba_5,Input!AG$25&lt;&gt;""),Input!$B$25&amp;";",""),IF(AND($G28&lt;Hta_6,$G28&gt;=Hba_6,Input!AG$26&lt;&gt;""),Input!$B$26&amp;";",""),IF(AND($G28&lt;Hta_7,$G28&gt;=Hba_7,Input!AG$27&lt;&gt;""),Input!$B$27&amp;";",""),IF(AND($G28&lt;Hta_8,$G28&gt;=Hba_8,Input!AG$28&lt;&gt;""),Input!$B$28&amp;";",""),IF(AND($G28&lt;Hta_9,$G28&gt;=Hba_9,Input!AG$29&lt;&gt;""),Input!$B$29&amp;";",""),IF(AND($G28&lt;Hta_10,$G28&gt;=Hba_10,Input!AG$30&lt;&gt;""),Input!$B$30&amp;";",""),IF(AND($G28&lt;Hta_11,$G28&gt;=Hba_11,Input!AG$31&lt;&gt;""),Input!$B$31&amp;";",""),IF(AND($G28&lt;Hta_12,$G28&gt;=Hba_12,Input!AG$32&lt;&gt;""),Input!$B$32&amp;";",""),IF(AND($G28&lt;Hta_13,$G28&gt;=Hba_13,Input!AG$33&lt;&gt;""),Input!$B$33&amp;";",""),IF(AND($G28&lt;Hta_14,$G28&gt;=Hba_14,Input!AG$34&lt;&gt;""),Input!$B$34&amp;";",""),IF(AND($G28&lt;Hta_15,$G28&gt;=Hba_15,Input!AG$35&lt;&gt;""),Input!$B$35&amp;";",""),IF(AND($G28&lt;Hta_16,$G28&gt;=Hba_16,Input!AG$36&lt;&gt;""),Input!$B$36&amp;";",""),IF(AND($G28&lt;Hta_17,$G28&gt;=Hba_17,Input!AG$37&lt;&gt;""),Input!$B$37&amp;";",""),IF(AND($G28&lt;Hta_18,$G28&gt;=Hba_18,Input!AG$38&lt;&gt;""),Input!$B$38&amp;";",""),IF(AND($G28&lt;Hta_19,$G28&gt;=Hba_19,Input!AG$39&lt;&gt;""),Input!$B$39&amp;";",""),IF(AND($G28&lt;Hta_20,$G28&gt;=Hba_20,Input!AG$40&lt;&gt;""),Input!$B$40&amp;";",""),IF(AND($G28&lt;Hta_21,$G28&gt;=Hba_21,Input!AG$41&lt;&gt;""),Input!$B$41&amp;";",""),IF(AND($G28&lt;Hta_22,$G28&gt;=Hba_22,Input!AG$42&lt;&gt;""),Input!$B$42&amp;";",""),IF(AND($G28&lt;Hta_23,$G28&gt;=Hba_23,Input!AG$43&lt;&gt;""),Input!$B$43&amp;";",""),IF(AND($G28&lt;Hta_24,$G28&gt;=Hba_24,Input!AG$44&lt;&gt;""),Input!$B$44&amp;";",""),IF(AND($G28&lt;Hta_25,$G28&gt;=Hba_25,Input!AG$45&lt;&gt;""),Input!$B$45&amp;";",""),IF(AND($G28&lt;Hta_26,$G28&gt;=Hba_26,Input!AG$46&lt;&gt;""),Input!$B$46&amp;";",""),IF(AND($G28&lt;Hta_27,$G28&gt;=Hba_27,Input!AG$47&lt;&gt;""),Input!$B$47&amp;";",""),IF(AND($G28&lt;Hta_28,$G28&gt;=Hba_28,Input!AG$48&lt;&gt;""),Input!$B$48&amp;";",""),IF(AND($G28&lt;Hta_29,$G28&gt;=Hba_29,Input!AG$49&lt;&gt;""),Input!$B$49&amp;";",""),IF(AND($G28&lt;Hta_30,$G28&gt;=Hba_30,Input!AG$50&lt;&gt;""),Input!$B$50&amp;";","")),"")</f>
        <v/>
      </c>
      <c r="CI28" s="25" t="str">
        <f>IFERROR(CONCATENATE(IF(AND($G28&lt;Hta_1,$G28&gt;=Hba_1,Input!AH$21&lt;&gt;""),Input!$B$21&amp;";",""),IF(AND($G28&lt;Hta_2,$G28&gt;=Hba_2,Input!AH$22&lt;&gt;""),Input!$B$22&amp;";",""),IF(AND($G28&lt;Hta_3,$G28&gt;=Hba_3,Input!AH$23&lt;&gt;""),Input!$B$23&amp;";",""),IF(AND($G28&lt;Hta_4,$G28&gt;=Hba_4,Input!AH$24&lt;&gt;""),Input!$B$24&amp;";",""),IF(AND($G28&lt;Hta_5,$G28&gt;=Hba_5,Input!AH$25&lt;&gt;""),Input!$B$25&amp;";",""),IF(AND($G28&lt;Hta_6,$G28&gt;=Hba_6,Input!AH$26&lt;&gt;""),Input!$B$26&amp;";",""),IF(AND($G28&lt;Hta_7,$G28&gt;=Hba_7,Input!AH$27&lt;&gt;""),Input!$B$27&amp;";",""),IF(AND($G28&lt;Hta_8,$G28&gt;=Hba_8,Input!AH$28&lt;&gt;""),Input!$B$28&amp;";",""),IF(AND($G28&lt;Hta_9,$G28&gt;=Hba_9,Input!AH$29&lt;&gt;""),Input!$B$29&amp;";",""),IF(AND($G28&lt;Hta_10,$G28&gt;=Hba_10,Input!AH$30&lt;&gt;""),Input!$B$30&amp;";",""),IF(AND($G28&lt;Hta_11,$G28&gt;=Hba_11,Input!AH$31&lt;&gt;""),Input!$B$31&amp;";",""),IF(AND($G28&lt;Hta_12,$G28&gt;=Hba_12,Input!AH$32&lt;&gt;""),Input!$B$32&amp;";",""),IF(AND($G28&lt;Hta_13,$G28&gt;=Hba_13,Input!AH$33&lt;&gt;""),Input!$B$33&amp;";",""),IF(AND($G28&lt;Hta_14,$G28&gt;=Hba_14,Input!AH$34&lt;&gt;""),Input!$B$34&amp;";",""),IF(AND($G28&lt;Hta_15,$G28&gt;=Hba_15,Input!AH$35&lt;&gt;""),Input!$B$35&amp;";",""),IF(AND($G28&lt;Hta_16,$G28&gt;=Hba_16,Input!AH$36&lt;&gt;""),Input!$B$36&amp;";",""),IF(AND($G28&lt;Hta_17,$G28&gt;=Hba_17,Input!AH$37&lt;&gt;""),Input!$B$37&amp;";",""),IF(AND($G28&lt;Hta_18,$G28&gt;=Hba_18,Input!AH$38&lt;&gt;""),Input!$B$38&amp;";",""),IF(AND($G28&lt;Hta_19,$G28&gt;=Hba_19,Input!AH$39&lt;&gt;""),Input!$B$39&amp;";",""),IF(AND($G28&lt;Hta_20,$G28&gt;=Hba_20,Input!AH$40&lt;&gt;""),Input!$B$40&amp;";",""),IF(AND($G28&lt;Hta_21,$G28&gt;=Hba_21,Input!AH$41&lt;&gt;""),Input!$B$41&amp;";",""),IF(AND($G28&lt;Hta_22,$G28&gt;=Hba_22,Input!AH$42&lt;&gt;""),Input!$B$42&amp;";",""),IF(AND($G28&lt;Hta_23,$G28&gt;=Hba_23,Input!AH$43&lt;&gt;""),Input!$B$43&amp;";",""),IF(AND($G28&lt;Hta_24,$G28&gt;=Hba_24,Input!AH$44&lt;&gt;""),Input!$B$44&amp;";",""),IF(AND($G28&lt;Hta_25,$G28&gt;=Hba_25,Input!AH$45&lt;&gt;""),Input!$B$45&amp;";",""),IF(AND($G28&lt;Hta_26,$G28&gt;=Hba_26,Input!AH$46&lt;&gt;""),Input!$B$46&amp;";",""),IF(AND($G28&lt;Hta_27,$G28&gt;=Hba_27,Input!AH$47&lt;&gt;""),Input!$B$47&amp;";",""),IF(AND($G28&lt;Hta_28,$G28&gt;=Hba_28,Input!AH$48&lt;&gt;""),Input!$B$48&amp;";",""),IF(AND($G28&lt;Hta_29,$G28&gt;=Hba_29,Input!AH$49&lt;&gt;""),Input!$B$49&amp;";",""),IF(AND($G28&lt;Hta_30,$G28&gt;=Hba_30,Input!AH$50&lt;&gt;""),Input!$B$50&amp;";","")),"")</f>
        <v/>
      </c>
      <c r="CJ28" s="25" t="str">
        <f>IFERROR(CONCATENATE(IF(AND($G28&lt;Hta_1,$G28&gt;=Hba_1,Input!AI$21&lt;&gt;""),Input!$B$21&amp;";",""),IF(AND($G28&lt;Hta_2,$G28&gt;=Hba_2,Input!AI$22&lt;&gt;""),Input!$B$22&amp;";",""),IF(AND($G28&lt;Hta_3,$G28&gt;=Hba_3,Input!AI$23&lt;&gt;""),Input!$B$23&amp;";",""),IF(AND($G28&lt;Hta_4,$G28&gt;=Hba_4,Input!AI$24&lt;&gt;""),Input!$B$24&amp;";",""),IF(AND($G28&lt;Hta_5,$G28&gt;=Hba_5,Input!AI$25&lt;&gt;""),Input!$B$25&amp;";",""),IF(AND($G28&lt;Hta_6,$G28&gt;=Hba_6,Input!AI$26&lt;&gt;""),Input!$B$26&amp;";",""),IF(AND($G28&lt;Hta_7,$G28&gt;=Hba_7,Input!AI$27&lt;&gt;""),Input!$B$27&amp;";",""),IF(AND($G28&lt;Hta_8,$G28&gt;=Hba_8,Input!AI$28&lt;&gt;""),Input!$B$28&amp;";",""),IF(AND($G28&lt;Hta_9,$G28&gt;=Hba_9,Input!AI$29&lt;&gt;""),Input!$B$29&amp;";",""),IF(AND($G28&lt;Hta_10,$G28&gt;=Hba_10,Input!AI$30&lt;&gt;""),Input!$B$30&amp;";",""),IF(AND($G28&lt;Hta_11,$G28&gt;=Hba_11,Input!AI$31&lt;&gt;""),Input!$B$31&amp;";",""),IF(AND($G28&lt;Hta_12,$G28&gt;=Hba_12,Input!AI$32&lt;&gt;""),Input!$B$32&amp;";",""),IF(AND($G28&lt;Hta_13,$G28&gt;=Hba_13,Input!AI$33&lt;&gt;""),Input!$B$33&amp;";",""),IF(AND($G28&lt;Hta_14,$G28&gt;=Hba_14,Input!AI$34&lt;&gt;""),Input!$B$34&amp;";",""),IF(AND($G28&lt;Hta_15,$G28&gt;=Hba_15,Input!AI$35&lt;&gt;""),Input!$B$35&amp;";",""),IF(AND($G28&lt;Hta_16,$G28&gt;=Hba_16,Input!AI$36&lt;&gt;""),Input!$B$36&amp;";",""),IF(AND($G28&lt;Hta_17,$G28&gt;=Hba_17,Input!AI$37&lt;&gt;""),Input!$B$37&amp;";",""),IF(AND($G28&lt;Hta_18,$G28&gt;=Hba_18,Input!AI$38&lt;&gt;""),Input!$B$38&amp;";",""),IF(AND($G28&lt;Hta_19,$G28&gt;=Hba_19,Input!AI$39&lt;&gt;""),Input!$B$39&amp;";",""),IF(AND($G28&lt;Hta_20,$G28&gt;=Hba_20,Input!AI$40&lt;&gt;""),Input!$B$40&amp;";",""),IF(AND($G28&lt;Hta_21,$G28&gt;=Hba_21,Input!AI$41&lt;&gt;""),Input!$B$41&amp;";",""),IF(AND($G28&lt;Hta_22,$G28&gt;=Hba_22,Input!AI$42&lt;&gt;""),Input!$B$42&amp;";",""),IF(AND($G28&lt;Hta_23,$G28&gt;=Hba_23,Input!AI$43&lt;&gt;""),Input!$B$43&amp;";",""),IF(AND($G28&lt;Hta_24,$G28&gt;=Hba_24,Input!AI$44&lt;&gt;""),Input!$B$44&amp;";",""),IF(AND($G28&lt;Hta_25,$G28&gt;=Hba_25,Input!AI$45&lt;&gt;""),Input!$B$45&amp;";",""),IF(AND($G28&lt;Hta_26,$G28&gt;=Hba_26,Input!AI$46&lt;&gt;""),Input!$B$46&amp;";",""),IF(AND($G28&lt;Hta_27,$G28&gt;=Hba_27,Input!AI$47&lt;&gt;""),Input!$B$47&amp;";",""),IF(AND($G28&lt;Hta_28,$G28&gt;=Hba_28,Input!AI$48&lt;&gt;""),Input!$B$48&amp;";",""),IF(AND($G28&lt;Hta_29,$G28&gt;=Hba_29,Input!AI$49&lt;&gt;""),Input!$B$49&amp;";",""),IF(AND($G28&lt;Hta_30,$G28&gt;=Hba_30,Input!AI$50&lt;&gt;""),Input!$B$50&amp;";","")),"")</f>
        <v/>
      </c>
      <c r="CK28" s="25" t="str">
        <f>IFERROR(CONCATENATE(IF(AND($G28&lt;Hta_1,$G28&gt;=Hba_1,Input!AJ$21&lt;&gt;""),Input!$B$21&amp;";",""),IF(AND($G28&lt;Hta_2,$G28&gt;=Hba_2,Input!AJ$22&lt;&gt;""),Input!$B$22&amp;";",""),IF(AND($G28&lt;Hta_3,$G28&gt;=Hba_3,Input!AJ$23&lt;&gt;""),Input!$B$23&amp;";",""),IF(AND($G28&lt;Hta_4,$G28&gt;=Hba_4,Input!AJ$24&lt;&gt;""),Input!$B$24&amp;";",""),IF(AND($G28&lt;Hta_5,$G28&gt;=Hba_5,Input!AJ$25&lt;&gt;""),Input!$B$25&amp;";",""),IF(AND($G28&lt;Hta_6,$G28&gt;=Hba_6,Input!AJ$26&lt;&gt;""),Input!$B$26&amp;";",""),IF(AND($G28&lt;Hta_7,$G28&gt;=Hba_7,Input!AJ$27&lt;&gt;""),Input!$B$27&amp;";",""),IF(AND($G28&lt;Hta_8,$G28&gt;=Hba_8,Input!AJ$28&lt;&gt;""),Input!$B$28&amp;";",""),IF(AND($G28&lt;Hta_9,$G28&gt;=Hba_9,Input!AJ$29&lt;&gt;""),Input!$B$29&amp;";",""),IF(AND($G28&lt;Hta_10,$G28&gt;=Hba_10,Input!AJ$30&lt;&gt;""),Input!$B$30&amp;";",""),IF(AND($G28&lt;Hta_11,$G28&gt;=Hba_11,Input!AJ$31&lt;&gt;""),Input!$B$31&amp;";",""),IF(AND($G28&lt;Hta_12,$G28&gt;=Hba_12,Input!AJ$32&lt;&gt;""),Input!$B$32&amp;";",""),IF(AND($G28&lt;Hta_13,$G28&gt;=Hba_13,Input!AJ$33&lt;&gt;""),Input!$B$33&amp;";",""),IF(AND($G28&lt;Hta_14,$G28&gt;=Hba_14,Input!AJ$34&lt;&gt;""),Input!$B$34&amp;";",""),IF(AND($G28&lt;Hta_15,$G28&gt;=Hba_15,Input!AJ$35&lt;&gt;""),Input!$B$35&amp;";",""),IF(AND($G28&lt;Hta_16,$G28&gt;=Hba_16,Input!AJ$36&lt;&gt;""),Input!$B$36&amp;";",""),IF(AND($G28&lt;Hta_17,$G28&gt;=Hba_17,Input!AJ$37&lt;&gt;""),Input!$B$37&amp;";",""),IF(AND($G28&lt;Hta_18,$G28&gt;=Hba_18,Input!AJ$38&lt;&gt;""),Input!$B$38&amp;";",""),IF(AND($G28&lt;Hta_19,$G28&gt;=Hba_19,Input!AJ$39&lt;&gt;""),Input!$B$39&amp;";",""),IF(AND($G28&lt;Hta_20,$G28&gt;=Hba_20,Input!AJ$40&lt;&gt;""),Input!$B$40&amp;";",""),IF(AND($G28&lt;Hta_21,$G28&gt;=Hba_21,Input!AJ$41&lt;&gt;""),Input!$B$41&amp;";",""),IF(AND($G28&lt;Hta_22,$G28&gt;=Hba_22,Input!AJ$42&lt;&gt;""),Input!$B$42&amp;";",""),IF(AND($G28&lt;Hta_23,$G28&gt;=Hba_23,Input!AJ$43&lt;&gt;""),Input!$B$43&amp;";",""),IF(AND($G28&lt;Hta_24,$G28&gt;=Hba_24,Input!AJ$44&lt;&gt;""),Input!$B$44&amp;";",""),IF(AND($G28&lt;Hta_25,$G28&gt;=Hba_25,Input!AJ$45&lt;&gt;""),Input!$B$45&amp;";",""),IF(AND($G28&lt;Hta_26,$G28&gt;=Hba_26,Input!AJ$46&lt;&gt;""),Input!$B$46&amp;";",""),IF(AND($G28&lt;Hta_27,$G28&gt;=Hba_27,Input!AJ$47&lt;&gt;""),Input!$B$47&amp;";",""),IF(AND($G28&lt;Hta_28,$G28&gt;=Hba_28,Input!AJ$48&lt;&gt;""),Input!$B$48&amp;";",""),IF(AND($G28&lt;Hta_29,$G28&gt;=Hba_29,Input!AJ$49&lt;&gt;""),Input!$B$49&amp;";",""),IF(AND($G28&lt;Hta_30,$G28&gt;=Hba_30,Input!AJ$50&lt;&gt;""),Input!$B$50&amp;";","")),"")</f>
        <v/>
      </c>
      <c r="CL28" s="25" t="str">
        <f>IFERROR(CONCATENATE(IF(AND($G28&lt;Hta_1,$G28&gt;=Hba_1,Input!AK$21&lt;&gt;""),Input!$B$21&amp;";",""),IF(AND($G28&lt;Hta_2,$G28&gt;=Hba_2,Input!AK$22&lt;&gt;""),Input!$B$22&amp;";",""),IF(AND($G28&lt;Hta_3,$G28&gt;=Hba_3,Input!AK$23&lt;&gt;""),Input!$B$23&amp;";",""),IF(AND($G28&lt;Hta_4,$G28&gt;=Hba_4,Input!AK$24&lt;&gt;""),Input!$B$24&amp;";",""),IF(AND($G28&lt;Hta_5,$G28&gt;=Hba_5,Input!AK$25&lt;&gt;""),Input!$B$25&amp;";",""),IF(AND($G28&lt;Hta_6,$G28&gt;=Hba_6,Input!AK$26&lt;&gt;""),Input!$B$26&amp;";",""),IF(AND($G28&lt;Hta_7,$G28&gt;=Hba_7,Input!AK$27&lt;&gt;""),Input!$B$27&amp;";",""),IF(AND($G28&lt;Hta_8,$G28&gt;=Hba_8,Input!AK$28&lt;&gt;""),Input!$B$28&amp;";",""),IF(AND($G28&lt;Hta_9,$G28&gt;=Hba_9,Input!AK$29&lt;&gt;""),Input!$B$29&amp;";",""),IF(AND($G28&lt;Hta_10,$G28&gt;=Hba_10,Input!AK$30&lt;&gt;""),Input!$B$30&amp;";",""),IF(AND($G28&lt;Hta_11,$G28&gt;=Hba_11,Input!AK$31&lt;&gt;""),Input!$B$31&amp;";",""),IF(AND($G28&lt;Hta_12,$G28&gt;=Hba_12,Input!AK$32&lt;&gt;""),Input!$B$32&amp;";",""),IF(AND($G28&lt;Hta_13,$G28&gt;=Hba_13,Input!AK$33&lt;&gt;""),Input!$B$33&amp;";",""),IF(AND($G28&lt;Hta_14,$G28&gt;=Hba_14,Input!AK$34&lt;&gt;""),Input!$B$34&amp;";",""),IF(AND($G28&lt;Hta_15,$G28&gt;=Hba_15,Input!AK$35&lt;&gt;""),Input!$B$35&amp;";",""),IF(AND($G28&lt;Hta_16,$G28&gt;=Hba_16,Input!AK$36&lt;&gt;""),Input!$B$36&amp;";",""),IF(AND($G28&lt;Hta_17,$G28&gt;=Hba_17,Input!AK$37&lt;&gt;""),Input!$B$37&amp;";",""),IF(AND($G28&lt;Hta_18,$G28&gt;=Hba_18,Input!AK$38&lt;&gt;""),Input!$B$38&amp;";",""),IF(AND($G28&lt;Hta_19,$G28&gt;=Hba_19,Input!AK$39&lt;&gt;""),Input!$B$39&amp;";",""),IF(AND($G28&lt;Hta_20,$G28&gt;=Hba_20,Input!AK$40&lt;&gt;""),Input!$B$40&amp;";",""),IF(AND($G28&lt;Hta_21,$G28&gt;=Hba_21,Input!AK$41&lt;&gt;""),Input!$B$41&amp;";",""),IF(AND($G28&lt;Hta_22,$G28&gt;=Hba_22,Input!AK$42&lt;&gt;""),Input!$B$42&amp;";",""),IF(AND($G28&lt;Hta_23,$G28&gt;=Hba_23,Input!AK$43&lt;&gt;""),Input!$B$43&amp;";",""),IF(AND($G28&lt;Hta_24,$G28&gt;=Hba_24,Input!AK$44&lt;&gt;""),Input!$B$44&amp;";",""),IF(AND($G28&lt;Hta_25,$G28&gt;=Hba_25,Input!AK$45&lt;&gt;""),Input!$B$45&amp;";",""),IF(AND($G28&lt;Hta_26,$G28&gt;=Hba_26,Input!AK$46&lt;&gt;""),Input!$B$46&amp;";",""),IF(AND($G28&lt;Hta_27,$G28&gt;=Hba_27,Input!AK$47&lt;&gt;""),Input!$B$47&amp;";",""),IF(AND($G28&lt;Hta_28,$G28&gt;=Hba_28,Input!AK$48&lt;&gt;""),Input!$B$48&amp;";",""),IF(AND($G28&lt;Hta_29,$G28&gt;=Hba_29,Input!AK$49&lt;&gt;""),Input!$B$49&amp;";",""),IF(AND($G28&lt;Hta_30,$G28&gt;=Hba_30,Input!AK$50&lt;&gt;""),Input!$B$50&amp;";","")),"")</f>
        <v/>
      </c>
      <c r="CM28" s="25" t="str">
        <f>IFERROR(CONCATENATE(IF(AND($G28&lt;Hta_1,$G28&gt;=Hba_1,Input!AL$21&lt;&gt;""),Input!$B$21&amp;";",""),IF(AND($G28&lt;Hta_2,$G28&gt;=Hba_2,Input!AL$22&lt;&gt;""),Input!$B$22&amp;";",""),IF(AND($G28&lt;Hta_3,$G28&gt;=Hba_3,Input!AL$23&lt;&gt;""),Input!$B$23&amp;";",""),IF(AND($G28&lt;Hta_4,$G28&gt;=Hba_4,Input!AL$24&lt;&gt;""),Input!$B$24&amp;";",""),IF(AND($G28&lt;Hta_5,$G28&gt;=Hba_5,Input!AL$25&lt;&gt;""),Input!$B$25&amp;";",""),IF(AND($G28&lt;Hta_6,$G28&gt;=Hba_6,Input!AL$26&lt;&gt;""),Input!$B$26&amp;";",""),IF(AND($G28&lt;Hta_7,$G28&gt;=Hba_7,Input!AL$27&lt;&gt;""),Input!$B$27&amp;";",""),IF(AND($G28&lt;Hta_8,$G28&gt;=Hba_8,Input!AL$28&lt;&gt;""),Input!$B$28&amp;";",""),IF(AND($G28&lt;Hta_9,$G28&gt;=Hba_9,Input!AL$29&lt;&gt;""),Input!$B$29&amp;";",""),IF(AND($G28&lt;Hta_10,$G28&gt;=Hba_10,Input!AL$30&lt;&gt;""),Input!$B$30&amp;";",""),IF(AND($G28&lt;Hta_11,$G28&gt;=Hba_11,Input!AL$31&lt;&gt;""),Input!$B$31&amp;";",""),IF(AND($G28&lt;Hta_12,$G28&gt;=Hba_12,Input!AL$32&lt;&gt;""),Input!$B$32&amp;";",""),IF(AND($G28&lt;Hta_13,$G28&gt;=Hba_13,Input!AL$33&lt;&gt;""),Input!$B$33&amp;";",""),IF(AND($G28&lt;Hta_14,$G28&gt;=Hba_14,Input!AL$34&lt;&gt;""),Input!$B$34&amp;";",""),IF(AND($G28&lt;Hta_15,$G28&gt;=Hba_15,Input!AL$35&lt;&gt;""),Input!$B$35&amp;";",""),IF(AND($G28&lt;Hta_16,$G28&gt;=Hba_16,Input!AL$36&lt;&gt;""),Input!$B$36&amp;";",""),IF(AND($G28&lt;Hta_17,$G28&gt;=Hba_17,Input!AL$37&lt;&gt;""),Input!$B$37&amp;";",""),IF(AND($G28&lt;Hta_18,$G28&gt;=Hba_18,Input!AL$38&lt;&gt;""),Input!$B$38&amp;";",""),IF(AND($G28&lt;Hta_19,$G28&gt;=Hba_19,Input!AL$39&lt;&gt;""),Input!$B$39&amp;";",""),IF(AND($G28&lt;Hta_20,$G28&gt;=Hba_20,Input!AL$40&lt;&gt;""),Input!$B$40&amp;";",""),IF(AND($G28&lt;Hta_21,$G28&gt;=Hba_21,Input!AL$41&lt;&gt;""),Input!$B$41&amp;";",""),IF(AND($G28&lt;Hta_22,$G28&gt;=Hba_22,Input!AL$42&lt;&gt;""),Input!$B$42&amp;";",""),IF(AND($G28&lt;Hta_23,$G28&gt;=Hba_23,Input!AL$43&lt;&gt;""),Input!$B$43&amp;";",""),IF(AND($G28&lt;Hta_24,$G28&gt;=Hba_24,Input!AL$44&lt;&gt;""),Input!$B$44&amp;";",""),IF(AND($G28&lt;Hta_25,$G28&gt;=Hba_25,Input!AL$45&lt;&gt;""),Input!$B$45&amp;";",""),IF(AND($G28&lt;Hta_26,$G28&gt;=Hba_26,Input!AL$46&lt;&gt;""),Input!$B$46&amp;";",""),IF(AND($G28&lt;Hta_27,$G28&gt;=Hba_27,Input!AL$47&lt;&gt;""),Input!$B$47&amp;";",""),IF(AND($G28&lt;Hta_28,$G28&gt;=Hba_28,Input!AL$48&lt;&gt;""),Input!$B$48&amp;";",""),IF(AND($G28&lt;Hta_29,$G28&gt;=Hba_29,Input!AL$49&lt;&gt;""),Input!$B$49&amp;";",""),IF(AND($G28&lt;Hta_30,$G28&gt;=Hba_30,Input!AL$50&lt;&gt;""),Input!$B$50&amp;";","")),"")</f>
        <v/>
      </c>
      <c r="CN28" s="59" t="str">
        <f t="shared" si="6"/>
        <v/>
      </c>
      <c r="CO28" s="791"/>
      <c r="CP28" s="792"/>
      <c r="CQ28" s="793"/>
      <c r="CR28" s="791"/>
      <c r="CS28" s="792"/>
      <c r="CT28" s="793"/>
      <c r="CU28" s="791" t="str">
        <f t="shared" si="7"/>
        <v/>
      </c>
      <c r="CV28" s="792"/>
      <c r="CW28" s="807"/>
      <c r="CX28" s="808"/>
      <c r="CY28" s="730"/>
      <c r="CZ28" s="809"/>
      <c r="DA28" s="733"/>
      <c r="DB28" s="734"/>
      <c r="DC28" s="735"/>
      <c r="DD28" s="729" t="str">
        <f t="shared" si="8"/>
        <v/>
      </c>
      <c r="DE28" s="730"/>
      <c r="DF28" s="731"/>
      <c r="DG28" s="55"/>
      <c r="DH28" s="56"/>
      <c r="DI28" s="56"/>
      <c r="DJ28" s="56"/>
      <c r="DK28" s="56"/>
      <c r="DL28" s="56"/>
      <c r="DM28" s="56"/>
      <c r="DN28" s="56"/>
      <c r="DO28" s="56"/>
      <c r="DP28" s="56"/>
      <c r="DQ28" s="58"/>
      <c r="DR28" s="58"/>
      <c r="DS28" s="58"/>
      <c r="DT28" s="58"/>
      <c r="DU28" s="58"/>
      <c r="DV28" s="58"/>
      <c r="DW28" s="58"/>
      <c r="DX28" s="58"/>
      <c r="DY28" s="58"/>
      <c r="DZ28" s="58"/>
      <c r="EA28" s="58"/>
      <c r="EB28" s="58"/>
      <c r="EC28" s="58"/>
      <c r="ED28" s="58"/>
      <c r="EE28" s="58"/>
      <c r="EF28" s="58"/>
      <c r="EG28" s="58"/>
      <c r="EH28" s="58"/>
      <c r="EI28" s="58"/>
      <c r="EJ28" s="58"/>
      <c r="EK28" s="58"/>
      <c r="EL28" s="134"/>
      <c r="EM28" s="134"/>
      <c r="EN28" s="134"/>
      <c r="EO28" s="134"/>
      <c r="EP28" s="134"/>
      <c r="EQ28" s="134"/>
      <c r="ER28" s="134"/>
      <c r="ES28" s="134"/>
      <c r="ET28" s="134"/>
      <c r="EU28" s="134"/>
      <c r="EV28" s="134"/>
      <c r="EW28" s="134"/>
      <c r="EX28" s="134"/>
      <c r="EY28" s="134"/>
      <c r="EZ28" s="134"/>
      <c r="FA28" s="134"/>
      <c r="FB28" s="134"/>
      <c r="FC28" s="134"/>
      <c r="FD28" s="134"/>
      <c r="FE28" s="134"/>
      <c r="FF28" s="134"/>
      <c r="FG28" s="134"/>
      <c r="FH28" s="134"/>
      <c r="FI28" s="134"/>
      <c r="FJ28" s="134"/>
      <c r="FK28" s="134"/>
      <c r="FL28" s="134"/>
      <c r="FM28" s="134"/>
      <c r="FN28" s="134"/>
      <c r="FO28" s="134"/>
      <c r="FP28" s="65"/>
      <c r="FQ28" s="124"/>
      <c r="FR28" s="122"/>
      <c r="FS28" s="120"/>
      <c r="FT28" s="119"/>
    </row>
    <row r="29" spans="2:176" ht="15.75" hidden="1" customHeight="1" thickBot="1" x14ac:dyDescent="0.3">
      <c r="B29" s="62" t="b">
        <f>IF(OR(AND(G29&gt;='Geometry 2'!$AK$5,G29&lt;'Geometry 2'!$AL$5),AND(G29&gt;='Geometry 2'!$AK$6,G29&lt;'Geometry 2'!$AL$6),AND(G29&gt;='Geometry 2'!$AK$7,G29&lt;'Geometry 2'!$AL$7),AND(G29&gt;='Geometry 2'!$AK$8,G29&lt;'Geometry 2'!$AL$8),AND(G29&gt;='Geometry 2'!$AK$9,G29&lt;'Geometry 2'!$AL$9),AND(G29&gt;='Geometry 2'!$AK$10,G29&lt;'Geometry 2'!$AL$10),AND(G29&gt;='Geometry 2'!$AK$11,G29&lt;'Geometry 2'!$AL$11),AND(G29&gt;='Geometry 2'!$AK$12,G29&lt;'Geometry 2'!$AL$12),AND(G29&gt;='Geometry 2'!$AK$13,G29&lt;'Geometry 2'!$AL$13),AND(G29&gt;='Geometry 2'!$AK$14,G29&lt;'Geometry 2'!$AL$14)),TRUE,FALSE)</f>
        <v>0</v>
      </c>
      <c r="C29" s="4" t="str">
        <f t="shared" si="3"/>
        <v/>
      </c>
      <c r="D29" s="766" t="str">
        <f t="shared" si="4"/>
        <v/>
      </c>
      <c r="E29" s="767"/>
      <c r="F29" s="17" t="str">
        <f t="shared" si="2"/>
        <v/>
      </c>
      <c r="G29" s="768" t="str">
        <f>IF(D29="","",MAX(0,G28-IF(inc="n/a",999,inc),MAX(IF(G28&lt;=Hta_1,0,Hta_1),IF(G28&lt;=Hta_2,0,Hta_2),IF(G28&lt;=Hta_3,0,Hta_3),IF(G28&lt;=Hta_4,0,Hta_4),IF(G28&lt;=Hta_5,0,Hta_5),IF(G28&lt;=Hta_6,0,Hta_6),IF(G28&lt;=Hta_7,0,Hta_7),IF(G28&lt;=Hta_8,0,Hta_8),IF(G28&lt;=Hta_9,0,Hta_9),IF(G28&lt;=Hta_10,0,Hta_10),IF(G28&lt;=Hta_11,0,Hta_11),IF(G28&lt;=Hta_12,0,Hta_12),IF(G28&lt;=Hta_13,0,Hta_13),IF(G28&lt;=Hta_14,0,Hta_14),IF(G28&lt;=Hta_15,0,Hta_15),IF(G28&lt;=Hta_16,0,Hta_16),IF(G28&lt;=Hta_17,0,Hta_17),IF(G28&lt;=Hta_18,0,Hta_18),IF(G28&lt;=Hta_19,0,Hta_19),IF(G28&lt;=Hta_20,0,Hta_20),IF(G28&lt;=Hta_21,0,Hta_21),IF(G28&lt;=Hta_22,0,Hta_22),IF(G28&lt;=Hta_23,0,Hta_23),IF(G28&lt;=Hta_24,0,Hta_24),IF(G28&lt;=Hta_25,0,Hta_25),IF(G28&lt;=Hta_26,0,Hta_26),IF(G28&lt;=Hta_27,0,Hta_27),IF(G28&lt;=Hta_28,0,Hta_28),IF(G28&lt;=Hta_29,0,Hta_29),IF(G28&lt;=Hta_30,0,Hta_30)),MAX(IF(G28&lt;=Hta_1-0.25,0,Hta_1-0.25),IF(G28&lt;=Hta_2-0.25,0,Hta_2-0.25),IF(G28&lt;=Hta_3-0.25,0,Hta_3-0.25),IF(G28&lt;=Hta_4-0.25,0,Hta_4-0.25),IF(G28&lt;=Hta_5-0.25,0,Hta_5-0.25),IF(G28&lt;=Hta_6-0.25,0,Hta_6-0.25),IF(G28&lt;=Hta_7-0.25,0,Hta_7-0.25),IF(G28&lt;=Hta_8-0.25,0,Hta_8-0.25),IF(G28&lt;=Hta_9-0.25,0,Hta_9-0.25),IF(G28&lt;=Hta_10-0.25,0,Hta_10-0.25),IF(G28&lt;=Hta_11-0.25,0,Hta_11-0.25),IF(G28&lt;=Hta_12-0.25,0,Hta_12-0.25),IF(G28&lt;=Hta_13-0.25,0,Hta_13-0.25),IF(G28&lt;=Hta_14-0.25,0,Hta_14-0.25),IF(G28&lt;=Hta_15-0.25,0,Hta_15-0.25),IF(G28&lt;=Hta_16-0.25,0,Hta_16-0.25),IF(G28&lt;=Hta_17-0.25,0,Hta_17-0.25),IF(G28&lt;=Hta_18-0.25,0,Hta_18-0.25),IF(G28&lt;=Hta_19-0.25,0,Hta_19-0.25),IF(G28&lt;=Hta_20-0.25,0,Hta_20-0.25),IF(G28&lt;=Hta_21-0.25,0,Hta_21-0.25),IF(G28&lt;=Hta_22-0.25,0,Hta_22-0.25),IF(G28&lt;=Hta_23-0.25,0,Hta_23-0.25),IF(G28&lt;=Hta_24-0.25,0,Hta_24-0.25),IF(G28&lt;=Hta_25-0.25,0,Hta_25-0.25),IF(G28&lt;=Hta_26-0.25,0,Hta_26-0.25),IF(G28&lt;=Hta_27-0.25,0,Hta_27-0.25),IF(G28&lt;=Hta_28-0.25,0,Hta_28-0.25),IF(G28&lt;=Hta_29-0.25,0,Hta_29-0.25),IF(G28&lt;=Hta_30-0.25,0,Hta_30-0.25)),MAX(IF(G28&lt;=Hba_1,0,Hba_1),IF(G28&lt;=Hba_2,0,Hba_2),IF(G28&lt;=Hba_3,0,Hba_3),IF(G28&lt;=Hba_4,0,Hba_4),IF(G28&lt;=Hba_5,0,Hba_5),IF(G28&lt;=Hba_6,0,Hba_6),IF(G28&lt;=Hba_7,0,Hba_7),IF(G28&lt;=Hba_8,0,Hba_8),IF(G28&lt;=Hba_9,0,Hba_9),IF(G28&lt;=Hba_10,0,Hba_10),IF(G28&lt;=Hba_11,0,Hba_11),IF(G28&lt;=Hba_12,0,Hba_12),IF(G28&lt;=Hba_13,0,Hba_13),IF(G28&lt;=Hba_14,0,Hba_14),IF(G28&lt;=Hba_15,0,Hba_15),IF(G28&lt;=Hba_16,0,Hba_16),IF(G28&lt;=Hba_17,0,Hba_17),IF(G28&lt;=Hba_18,0,Hba_18),IF(G28&lt;=Hba_19,0,Hba_19),IF(G28&lt;=Hba_20,0,Hba_20),IF(G28&lt;=Hba_21,0,Hba_21),IF(G28&lt;=Hba_22,0,Hba_22),IF(G28&lt;=Hba_23,0,Hba_23),IF(G28&lt;=Hba_24,0,Hba_24),IF(G28&lt;=Hba_25,0,Hba_25),IF(G28&lt;=Hba_26,0,Hba_26),IF(G28&lt;=Hba_27,0,Hba_27),IF(G28&lt;=Hba_28,0,Hba_28),IF(G28&lt;=Hba_29,0,Hba_29),IF(G28&lt;=Hba_30,0,Hba_30)),MAX(IF(G28&lt;=Input!$C$8,0,Input!$C$8),IF(G28&lt;=Input!$C$9,0,Input!$C$9),IF(G28&lt;=Input!$C$10,0,Input!$C$10),IF(G28&lt;=Input!$C$11,0,Input!$C$11),IF(G28&lt;=Input!$C$12,0,Input!$C$12),IF(G28&lt;=Input!$C$13,0,Input!$C$13),IF(G28&lt;=Input!$C$14,0,Input!$C$14),IF(G28&lt;=Input!$C$15,0,Input!$C$15),IF(G28&lt;=Input!$C$16,0,Input!$C$16)),MAX(IF(G28&lt;=Hba_1-0.25,0,Hba_1-0.25),IF(G28&lt;=Hba_2-0.25,0,Hba_2-0.25),IF(G28&lt;=Hba_3-0.25,0,Hba_3-0.25),IF(G28&lt;=Hba_4-0.25,0,Hba_4-0.25),IF(G28&lt;=Hba_5-0.25,0,Hba_5-0.25),IF(G28&lt;=Hba_6-0.25,0,Hba_6-0.25),IF(G28&lt;=Hba_7-0.25,0,Hba_7-0.25),IF(G28&lt;=Hba_8-0.25,0,Hba_8-0.25),IF(G28&lt;=Hba_9-0.25,0,Hba_9-0.25),IF(G28&lt;=Hba_10-0.25,0,Hba_10-0.25),IF(G28&lt;=Hba_11-0.25,0,Hba_11-0.25),IF(G28&lt;=Hba_12-0.25,0,Hba_12-0.25),IF(G28&lt;=Hba_13-0.25,0,Hba_13-0.25),IF(G28&lt;=Hba_14-0.25,0,Hba_14-0.25),IF(G28&lt;=Hba_15-0.25,0,Hba_15-0.25),IF(G28&lt;=Hba_16-0.25,0,Hba_16-0.25),IF(G28&lt;=Hba_17-0.25,0,Hba_17-0.25),IF(G28&lt;=Hba_18-0.25,0,Hba_18-0.25),IF(G28&lt;=Hba_19-0.25,0,Hba_19-0.25),IF(G28&lt;=Hba_20-0.25,0,Hba_20-0.25),IF(G28&lt;=Hba_21-0.25,0,Hba_21-0.25),IF(G28&lt;=Hba_22-0.25,0,Hba_22-0.25),IF(G28&lt;=Hba_23-0.25,0,Hba_23-0.25),IF(G28&lt;=Hba_24-0.25,0,Hba_24-0.25),IF(G28&lt;=Hba_25-0.25,0,Hba_25-0.25),IF(G28&lt;=Hba_26-0.25,0,Hba_26-0.25),IF(G28&lt;=Hba_27-0.25,0,Hba_27-0.25),IF(G28&lt;=Hba_28-0.25,0,Hba_28-0.25),IF(G28&lt;=Hba_29-0.25,0,Hba_29-0.25),IF(G28&lt;=Hba_30-0.25,0,Hba_30-0.25)),IF(G28&lt;='Macro References'!$A$38,0,'Macro References'!$A$38)))</f>
        <v/>
      </c>
      <c r="H29" s="769"/>
      <c r="I29" s="228"/>
      <c r="J29" s="228"/>
      <c r="K29" s="228"/>
      <c r="L29" s="717" t="str">
        <f t="shared" si="0"/>
        <v/>
      </c>
      <c r="M29" s="717"/>
      <c r="N29" s="717"/>
      <c r="O29" s="717"/>
      <c r="P29" s="717" t="str">
        <f>IF(OR(G29=0,G29=""),"",IF(VLOOKUP(G29,'Geometry 2'!$C$4:$AI$14,1,TRUE)=VLOOKUP(G30,'Geometry 2'!$C$4:$AI$14,1,TRUE),"",IF(VLOOKUP(G29,'Geometry 2'!$C$4:$AI$14,33,TRUE)&lt;&gt;"n/a",MIN(G29,VLOOKUP(G29,'Geometry 2'!$C$4:$AI$14,1,TRUE))-VLOOKUP(G29,'Geometry 2'!$C$4:$AI$14,33,TRUE),"check")))</f>
        <v/>
      </c>
      <c r="Q29" s="717"/>
      <c r="R29" s="717"/>
      <c r="S29" s="717"/>
      <c r="T29" s="717" t="str">
        <f>IF($G29="","",VLOOKUP($G29,'Geometry 2'!$E$4:$AH$14,11,TRUE))</f>
        <v/>
      </c>
      <c r="U29" s="717"/>
      <c r="V29" s="717"/>
      <c r="W29" s="717"/>
      <c r="X29" s="716" t="str">
        <f>IF($G29="","",VLOOKUP($G29,'Geometry 2'!$E$4:$AJ$14,19,TRUE)-12*VLOOKUP($G29,'Geometry 2'!$E$4:$AJ$14,32,TRUE)*($D29-VLOOKUP($G29,'Geometry 2'!$E$5:$AH$14,1,TRUE)))</f>
        <v/>
      </c>
      <c r="Y29" s="716"/>
      <c r="Z29" s="716"/>
      <c r="AA29" s="716"/>
      <c r="AB29" s="757" t="str">
        <f>IF($G29="","",VLOOKUP($G29,'Geometry 2'!$E$4:$AJ$14,19,TRUE)-12*VLOOKUP($G29,'Geometry 2'!$E$4:$AJ$14,32,TRUE)*($G29-VLOOKUP($G29,'Geometry 2'!$E$5:$AH$14,1,TRUE)))</f>
        <v/>
      </c>
      <c r="AC29" s="758"/>
      <c r="AD29" s="758"/>
      <c r="AE29" s="759"/>
      <c r="AF29" s="716" t="str">
        <f>IF($G29="","",VLOOKUP($G29,'Geometry 2'!$E$4:$AJ$14,19,TRUE)-12*VLOOKUP($G29,'Geometry 2'!$E$4:$AJ$14,32,TRUE)*($G29-IF($P29="",0,$P29)-VLOOKUP($G29,'Geometry 2'!$E$5:$AH$14,1,TRUE)))</f>
        <v/>
      </c>
      <c r="AG29" s="716"/>
      <c r="AH29" s="716"/>
      <c r="AI29" s="716"/>
      <c r="AJ29" s="746" t="str">
        <f>IF($G29="","",VLOOKUP($G29,'Geometry 2'!$E$4:$AH$14,23,TRUE))</f>
        <v/>
      </c>
      <c r="AK29" s="747"/>
      <c r="AL29" s="747"/>
      <c r="AM29" s="748"/>
      <c r="AN29" s="717"/>
      <c r="AO29" s="717"/>
      <c r="AP29" s="717"/>
      <c r="AQ29" s="717"/>
      <c r="AR29" s="717" t="str">
        <f>IF($G29="","",VLOOKUP($G29,'Geometry 2'!$E$4:$AH$14,27,TRUE))</f>
        <v/>
      </c>
      <c r="AS29" s="717"/>
      <c r="AT29" s="717"/>
      <c r="AU29" s="718"/>
      <c r="AV29" s="715"/>
      <c r="AW29" s="716"/>
      <c r="AX29" s="716"/>
      <c r="AZ29" s="722" t="str">
        <f t="shared" si="5"/>
        <v/>
      </c>
      <c r="BA29" s="723"/>
      <c r="BB29" s="723"/>
      <c r="BC29" s="724"/>
      <c r="BD29" s="722"/>
      <c r="BE29" s="723"/>
      <c r="BF29" s="723"/>
      <c r="BG29" s="722" t="str">
        <f t="shared" si="9"/>
        <v/>
      </c>
      <c r="BH29" s="723"/>
      <c r="BI29" s="723"/>
      <c r="BJ29" s="723"/>
      <c r="BK29" s="724"/>
      <c r="BL29" s="722"/>
      <c r="BM29" s="723"/>
      <c r="BN29" s="723"/>
      <c r="BO29" s="723"/>
      <c r="BP29" s="725"/>
      <c r="BQ29" s="725"/>
      <c r="BR29" s="722" t="str">
        <f>IF(BP29="","",IF(OR(AND(Rev="H",Calculations!$F$27=TRUE),AND(Rev&lt;&gt;"H",Calculations!$F$30=TRUE)),IF(BP29&lt;=1,"Pass","Fail"),IF(BP29&lt;=1.05,"Pass","Fail")))</f>
        <v/>
      </c>
      <c r="BS29" s="723"/>
      <c r="BT29" s="724"/>
      <c r="BU29" s="49"/>
      <c r="BV29" s="25" t="str">
        <f>IFERROR(CONCATENATE(IF(AND($G29&lt;Hta_1,$G29&gt;=Hba_1,Input!U$21&lt;&gt;""),Input!$B$21&amp;";",""),IF(AND($G29&lt;Hta_2,$G29&gt;=Hba_2,Input!U$22&lt;&gt;""),Input!$B$22&amp;";",""),IF(AND($G29&lt;Hta_3,$G29&gt;=Hba_3,Input!U$23&lt;&gt;""),Input!$B$23&amp;";",""),IF(AND($G29&lt;Hta_4,$G29&gt;=Hba_4,Input!U$24&lt;&gt;""),Input!$B$24&amp;";",""),IF(AND($G29&lt;Hta_5,$G29&gt;=Hba_5,Input!U$25&lt;&gt;""),Input!$B$25&amp;";",""),IF(AND($G29&lt;Hta_6,$G29&gt;=Hba_6,Input!U$26&lt;&gt;""),Input!$B$26&amp;";",""),IF(AND($G29&lt;Hta_7,$G29&gt;=Hba_7,Input!U$27&lt;&gt;""),Input!$B$27&amp;";",""),IF(AND($G29&lt;Hta_8,$G29&gt;=Hba_8,Input!U$28&lt;&gt;""),Input!$B$28&amp;";",""),IF(AND($G29&lt;Hta_9,$G29&gt;=Hba_9,Input!U$29&lt;&gt;""),Input!$B$29&amp;";",""),IF(AND($G29&lt;Hta_10,$G29&gt;=Hba_10,Input!U$30&lt;&gt;""),Input!$B$30&amp;";",""),IF(AND($G29&lt;Hta_11,$G29&gt;=Hba_11,Input!U$31&lt;&gt;""),Input!$B$31&amp;";",""),IF(AND($G29&lt;Hta_12,$G29&gt;=Hba_12,Input!U$32&lt;&gt;""),Input!$B$32&amp;";",""),IF(AND($G29&lt;Hta_13,$G29&gt;=Hba_13,Input!U$33&lt;&gt;""),Input!$B$33&amp;";",""),IF(AND($G29&lt;Hta_14,$G29&gt;=Hba_14,Input!U$34&lt;&gt;""),Input!$B$34&amp;";",""),IF(AND($G29&lt;Hta_15,$G29&gt;=Hba_15,Input!U$35&lt;&gt;""),Input!$B$35&amp;";",""),IF(AND($G29&lt;Hta_16,$G29&gt;=Hba_16,Input!U$36&lt;&gt;""),Input!$B$36&amp;";",""),IF(AND($G29&lt;Hta_17,$G29&gt;=Hba_17,Input!U$37&lt;&gt;""),Input!$B$37&amp;";",""),IF(AND($G29&lt;Hta_18,$G29&gt;=Hba_18,Input!U$38&lt;&gt;""),Input!$B$38&amp;";",""),IF(AND($G29&lt;Hta_19,$G29&gt;=Hba_19,Input!U$39&lt;&gt;""),Input!$B$39&amp;";",""),IF(AND($G29&lt;Hta_20,$G29&gt;=Hba_20,Input!U$40&lt;&gt;""),Input!$B$40&amp;";",""),IF(AND($G29&lt;Hta_21,$G29&gt;=Hba_21,Input!U$41&lt;&gt;""),Input!$B$41&amp;";",""),IF(AND($G29&lt;Hta_22,$G29&gt;=Hba_22,Input!U$42&lt;&gt;""),Input!$B$42&amp;";",""),IF(AND($G29&lt;Hta_23,$G29&gt;=Hba_23,Input!U$43&lt;&gt;""),Input!$B$43&amp;";",""),IF(AND($G29&lt;Hta_24,$G29&gt;=Hba_24,Input!U$44&lt;&gt;""),Input!$B$44&amp;";",""),IF(AND($G29&lt;Hta_25,$G29&gt;=Hba_25,Input!U$45&lt;&gt;""),Input!$B$45&amp;";",""),IF(AND($G29&lt;Hta_26,$G29&gt;=Hba_26,Input!U$46&lt;&gt;""),Input!$B$46&amp;";",""),IF(AND($G29&lt;Hta_27,$G29&gt;=Hba_27,Input!U$47&lt;&gt;""),Input!$B$47&amp;";",""),IF(AND($G29&lt;Hta_28,$G29&gt;=Hba_28,Input!U$48&lt;&gt;""),Input!$B$48&amp;";",""),IF(AND($G29&lt;Hta_29,$G29&gt;=Hba_29,Input!U$49&lt;&gt;""),Input!$B$49&amp;";",""),IF(AND($G29&lt;Hta_30,$G29&gt;=Hba_30,Input!U$50&lt;&gt;""),Input!$B$50&amp;";","")),"")</f>
        <v/>
      </c>
      <c r="BW29" s="25" t="str">
        <f>IFERROR(CONCATENATE(IF(AND($G29&lt;Hta_1,$G29&gt;=Hba_1,Input!V$21&lt;&gt;""),Input!$B$21&amp;";",""),IF(AND($G29&lt;Hta_2,$G29&gt;=Hba_2,Input!V$22&lt;&gt;""),Input!$B$22&amp;";",""),IF(AND($G29&lt;Hta_3,$G29&gt;=Hba_3,Input!V$23&lt;&gt;""),Input!$B$23&amp;";",""),IF(AND($G29&lt;Hta_4,$G29&gt;=Hba_4,Input!V$24&lt;&gt;""),Input!$B$24&amp;";",""),IF(AND($G29&lt;Hta_5,$G29&gt;=Hba_5,Input!V$25&lt;&gt;""),Input!$B$25&amp;";",""),IF(AND($G29&lt;Hta_6,$G29&gt;=Hba_6,Input!V$26&lt;&gt;""),Input!$B$26&amp;";",""),IF(AND($G29&lt;Hta_7,$G29&gt;=Hba_7,Input!V$27&lt;&gt;""),Input!$B$27&amp;";",""),IF(AND($G29&lt;Hta_8,$G29&gt;=Hba_8,Input!V$28&lt;&gt;""),Input!$B$28&amp;";",""),IF(AND($G29&lt;Hta_9,$G29&gt;=Hba_9,Input!V$29&lt;&gt;""),Input!$B$29&amp;";",""),IF(AND($G29&lt;Hta_10,$G29&gt;=Hba_10,Input!V$30&lt;&gt;""),Input!$B$30&amp;";",""),IF(AND($G29&lt;Hta_11,$G29&gt;=Hba_11,Input!V$31&lt;&gt;""),Input!$B$31&amp;";",""),IF(AND($G29&lt;Hta_12,$G29&gt;=Hba_12,Input!V$32&lt;&gt;""),Input!$B$32&amp;";",""),IF(AND($G29&lt;Hta_13,$G29&gt;=Hba_13,Input!V$33&lt;&gt;""),Input!$B$33&amp;";",""),IF(AND($G29&lt;Hta_14,$G29&gt;=Hba_14,Input!V$34&lt;&gt;""),Input!$B$34&amp;";",""),IF(AND($G29&lt;Hta_15,$G29&gt;=Hba_15,Input!V$35&lt;&gt;""),Input!$B$35&amp;";",""),IF(AND($G29&lt;Hta_16,$G29&gt;=Hba_16,Input!V$36&lt;&gt;""),Input!$B$36&amp;";",""),IF(AND($G29&lt;Hta_17,$G29&gt;=Hba_17,Input!V$37&lt;&gt;""),Input!$B$37&amp;";",""),IF(AND($G29&lt;Hta_18,$G29&gt;=Hba_18,Input!V$38&lt;&gt;""),Input!$B$38&amp;";",""),IF(AND($G29&lt;Hta_19,$G29&gt;=Hba_19,Input!V$39&lt;&gt;""),Input!$B$39&amp;";",""),IF(AND($G29&lt;Hta_20,$G29&gt;=Hba_20,Input!V$40&lt;&gt;""),Input!$B$40&amp;";",""),IF(AND($G29&lt;Hta_21,$G29&gt;=Hba_21,Input!V$41&lt;&gt;""),Input!$B$41&amp;";",""),IF(AND($G29&lt;Hta_22,$G29&gt;=Hba_22,Input!V$42&lt;&gt;""),Input!$B$42&amp;";",""),IF(AND($G29&lt;Hta_23,$G29&gt;=Hba_23,Input!V$43&lt;&gt;""),Input!$B$43&amp;";",""),IF(AND($G29&lt;Hta_24,$G29&gt;=Hba_24,Input!V$44&lt;&gt;""),Input!$B$44&amp;";",""),IF(AND($G29&lt;Hta_25,$G29&gt;=Hba_25,Input!V$45&lt;&gt;""),Input!$B$45&amp;";",""),IF(AND($G29&lt;Hta_26,$G29&gt;=Hba_26,Input!V$46&lt;&gt;""),Input!$B$46&amp;";",""),IF(AND($G29&lt;Hta_27,$G29&gt;=Hba_27,Input!V$47&lt;&gt;""),Input!$B$47&amp;";",""),IF(AND($G29&lt;Hta_28,$G29&gt;=Hba_28,Input!V$48&lt;&gt;""),Input!$B$48&amp;";",""),IF(AND($G29&lt;Hta_29,$G29&gt;=Hba_29,Input!V$49&lt;&gt;""),Input!$B$49&amp;";",""),IF(AND($G29&lt;Hta_30,$G29&gt;=Hba_30,Input!V$50&lt;&gt;""),Input!$B$50&amp;";","")),"")</f>
        <v/>
      </c>
      <c r="BX29" s="25" t="str">
        <f>IFERROR(CONCATENATE(IF(AND($G29&lt;Hta_1,$G29&gt;=Hba_1,Input!W$21&lt;&gt;""),Input!$B$21&amp;";",""),IF(AND($G29&lt;Hta_2,$G29&gt;=Hba_2,Input!W$22&lt;&gt;""),Input!$B$22&amp;";",""),IF(AND($G29&lt;Hta_3,$G29&gt;=Hba_3,Input!W$23&lt;&gt;""),Input!$B$23&amp;";",""),IF(AND($G29&lt;Hta_4,$G29&gt;=Hba_4,Input!W$24&lt;&gt;""),Input!$B$24&amp;";",""),IF(AND($G29&lt;Hta_5,$G29&gt;=Hba_5,Input!W$25&lt;&gt;""),Input!$B$25&amp;";",""),IF(AND($G29&lt;Hta_6,$G29&gt;=Hba_6,Input!W$26&lt;&gt;""),Input!$B$26&amp;";",""),IF(AND($G29&lt;Hta_7,$G29&gt;=Hba_7,Input!W$27&lt;&gt;""),Input!$B$27&amp;";",""),IF(AND($G29&lt;Hta_8,$G29&gt;=Hba_8,Input!W$28&lt;&gt;""),Input!$B$28&amp;";",""),IF(AND($G29&lt;Hta_9,$G29&gt;=Hba_9,Input!W$29&lt;&gt;""),Input!$B$29&amp;";",""),IF(AND($G29&lt;Hta_10,$G29&gt;=Hba_10,Input!W$30&lt;&gt;""),Input!$B$30&amp;";",""),IF(AND($G29&lt;Hta_11,$G29&gt;=Hba_11,Input!W$31&lt;&gt;""),Input!$B$31&amp;";",""),IF(AND($G29&lt;Hta_12,$G29&gt;=Hba_12,Input!W$32&lt;&gt;""),Input!$B$32&amp;";",""),IF(AND($G29&lt;Hta_13,$G29&gt;=Hba_13,Input!W$33&lt;&gt;""),Input!$B$33&amp;";",""),IF(AND($G29&lt;Hta_14,$G29&gt;=Hba_14,Input!W$34&lt;&gt;""),Input!$B$34&amp;";",""),IF(AND($G29&lt;Hta_15,$G29&gt;=Hba_15,Input!W$35&lt;&gt;""),Input!$B$35&amp;";",""),IF(AND($G29&lt;Hta_16,$G29&gt;=Hba_16,Input!W$36&lt;&gt;""),Input!$B$36&amp;";",""),IF(AND($G29&lt;Hta_17,$G29&gt;=Hba_17,Input!W$37&lt;&gt;""),Input!$B$37&amp;";",""),IF(AND($G29&lt;Hta_18,$G29&gt;=Hba_18,Input!W$38&lt;&gt;""),Input!$B$38&amp;";",""),IF(AND($G29&lt;Hta_19,$G29&gt;=Hba_19,Input!W$39&lt;&gt;""),Input!$B$39&amp;";",""),IF(AND($G29&lt;Hta_20,$G29&gt;=Hba_20,Input!W$40&lt;&gt;""),Input!$B$40&amp;";",""),IF(AND($G29&lt;Hta_21,$G29&gt;=Hba_21,Input!W$41&lt;&gt;""),Input!$B$41&amp;";",""),IF(AND($G29&lt;Hta_22,$G29&gt;=Hba_22,Input!W$42&lt;&gt;""),Input!$B$42&amp;";",""),IF(AND($G29&lt;Hta_23,$G29&gt;=Hba_23,Input!W$43&lt;&gt;""),Input!$B$43&amp;";",""),IF(AND($G29&lt;Hta_24,$G29&gt;=Hba_24,Input!W$44&lt;&gt;""),Input!$B$44&amp;";",""),IF(AND($G29&lt;Hta_25,$G29&gt;=Hba_25,Input!W$45&lt;&gt;""),Input!$B$45&amp;";",""),IF(AND($G29&lt;Hta_26,$G29&gt;=Hba_26,Input!W$46&lt;&gt;""),Input!$B$46&amp;";",""),IF(AND($G29&lt;Hta_27,$G29&gt;=Hba_27,Input!W$47&lt;&gt;""),Input!$B$47&amp;";",""),IF(AND($G29&lt;Hta_28,$G29&gt;=Hba_28,Input!W$48&lt;&gt;""),Input!$B$48&amp;";",""),IF(AND($G29&lt;Hta_29,$G29&gt;=Hba_29,Input!W$49&lt;&gt;""),Input!$B$49&amp;";",""),IF(AND($G29&lt;Hta_30,$G29&gt;=Hba_30,Input!W$50&lt;&gt;""),Input!$B$50&amp;";","")),"")</f>
        <v/>
      </c>
      <c r="BY29" s="25" t="str">
        <f>IFERROR(CONCATENATE(IF(AND($G29&lt;Hta_1,$G29&gt;=Hba_1,Input!X$21&lt;&gt;""),Input!$B$21&amp;";",""),IF(AND($G29&lt;Hta_2,$G29&gt;=Hba_2,Input!X$22&lt;&gt;""),Input!$B$22&amp;";",""),IF(AND($G29&lt;Hta_3,$G29&gt;=Hba_3,Input!X$23&lt;&gt;""),Input!$B$23&amp;";",""),IF(AND($G29&lt;Hta_4,$G29&gt;=Hba_4,Input!X$24&lt;&gt;""),Input!$B$24&amp;";",""),IF(AND($G29&lt;Hta_5,$G29&gt;=Hba_5,Input!X$25&lt;&gt;""),Input!$B$25&amp;";",""),IF(AND($G29&lt;Hta_6,$G29&gt;=Hba_6,Input!X$26&lt;&gt;""),Input!$B$26&amp;";",""),IF(AND($G29&lt;Hta_7,$G29&gt;=Hba_7,Input!X$27&lt;&gt;""),Input!$B$27&amp;";",""),IF(AND($G29&lt;Hta_8,$G29&gt;=Hba_8,Input!X$28&lt;&gt;""),Input!$B$28&amp;";",""),IF(AND($G29&lt;Hta_9,$G29&gt;=Hba_9,Input!X$29&lt;&gt;""),Input!$B$29&amp;";",""),IF(AND($G29&lt;Hta_10,$G29&gt;=Hba_10,Input!X$30&lt;&gt;""),Input!$B$30&amp;";",""),IF(AND($G29&lt;Hta_11,$G29&gt;=Hba_11,Input!X$31&lt;&gt;""),Input!$B$31&amp;";",""),IF(AND($G29&lt;Hta_12,$G29&gt;=Hba_12,Input!X$32&lt;&gt;""),Input!$B$32&amp;";",""),IF(AND($G29&lt;Hta_13,$G29&gt;=Hba_13,Input!X$33&lt;&gt;""),Input!$B$33&amp;";",""),IF(AND($G29&lt;Hta_14,$G29&gt;=Hba_14,Input!X$34&lt;&gt;""),Input!$B$34&amp;";",""),IF(AND($G29&lt;Hta_15,$G29&gt;=Hba_15,Input!X$35&lt;&gt;""),Input!$B$35&amp;";",""),IF(AND($G29&lt;Hta_16,$G29&gt;=Hba_16,Input!X$36&lt;&gt;""),Input!$B$36&amp;";",""),IF(AND($G29&lt;Hta_17,$G29&gt;=Hba_17,Input!X$37&lt;&gt;""),Input!$B$37&amp;";",""),IF(AND($G29&lt;Hta_18,$G29&gt;=Hba_18,Input!X$38&lt;&gt;""),Input!$B$38&amp;";",""),IF(AND($G29&lt;Hta_19,$G29&gt;=Hba_19,Input!X$39&lt;&gt;""),Input!$B$39&amp;";",""),IF(AND($G29&lt;Hta_20,$G29&gt;=Hba_20,Input!X$40&lt;&gt;""),Input!$B$40&amp;";",""),IF(AND($G29&lt;Hta_21,$G29&gt;=Hba_21,Input!X$41&lt;&gt;""),Input!$B$41&amp;";",""),IF(AND($G29&lt;Hta_22,$G29&gt;=Hba_22,Input!X$42&lt;&gt;""),Input!$B$42&amp;";",""),IF(AND($G29&lt;Hta_23,$G29&gt;=Hba_23,Input!X$43&lt;&gt;""),Input!$B$43&amp;";",""),IF(AND($G29&lt;Hta_24,$G29&gt;=Hba_24,Input!X$44&lt;&gt;""),Input!$B$44&amp;";",""),IF(AND($G29&lt;Hta_25,$G29&gt;=Hba_25,Input!X$45&lt;&gt;""),Input!$B$45&amp;";",""),IF(AND($G29&lt;Hta_26,$G29&gt;=Hba_26,Input!X$46&lt;&gt;""),Input!$B$46&amp;";",""),IF(AND($G29&lt;Hta_27,$G29&gt;=Hba_27,Input!X$47&lt;&gt;""),Input!$B$47&amp;";",""),IF(AND($G29&lt;Hta_28,$G29&gt;=Hba_28,Input!X$48&lt;&gt;""),Input!$B$48&amp;";",""),IF(AND($G29&lt;Hta_29,$G29&gt;=Hba_29,Input!X$49&lt;&gt;""),Input!$B$49&amp;";",""),IF(AND($G29&lt;Hta_30,$G29&gt;=Hba_30,Input!X$50&lt;&gt;""),Input!$B$50&amp;";","")),"")</f>
        <v/>
      </c>
      <c r="BZ29" s="25" t="str">
        <f>IFERROR(CONCATENATE(IF(AND($G29&lt;Hta_1,$G29&gt;=Hba_1,Input!Y$21&lt;&gt;""),Input!$B$21&amp;";",""),IF(AND($G29&lt;Hta_2,$G29&gt;=Hba_2,Input!Y$22&lt;&gt;""),Input!$B$22&amp;";",""),IF(AND($G29&lt;Hta_3,$G29&gt;=Hba_3,Input!Y$23&lt;&gt;""),Input!$B$23&amp;";",""),IF(AND($G29&lt;Hta_4,$G29&gt;=Hba_4,Input!Y$24&lt;&gt;""),Input!$B$24&amp;";",""),IF(AND($G29&lt;Hta_5,$G29&gt;=Hba_5,Input!Y$25&lt;&gt;""),Input!$B$25&amp;";",""),IF(AND($G29&lt;Hta_6,$G29&gt;=Hba_6,Input!Y$26&lt;&gt;""),Input!$B$26&amp;";",""),IF(AND($G29&lt;Hta_7,$G29&gt;=Hba_7,Input!Y$27&lt;&gt;""),Input!$B$27&amp;";",""),IF(AND($G29&lt;Hta_8,$G29&gt;=Hba_8,Input!Y$28&lt;&gt;""),Input!$B$28&amp;";",""),IF(AND($G29&lt;Hta_9,$G29&gt;=Hba_9,Input!Y$29&lt;&gt;""),Input!$B$29&amp;";",""),IF(AND($G29&lt;Hta_10,$G29&gt;=Hba_10,Input!Y$30&lt;&gt;""),Input!$B$30&amp;";",""),IF(AND($G29&lt;Hta_11,$G29&gt;=Hba_11,Input!Y$31&lt;&gt;""),Input!$B$31&amp;";",""),IF(AND($G29&lt;Hta_12,$G29&gt;=Hba_12,Input!Y$32&lt;&gt;""),Input!$B$32&amp;";",""),IF(AND($G29&lt;Hta_13,$G29&gt;=Hba_13,Input!Y$33&lt;&gt;""),Input!$B$33&amp;";",""),IF(AND($G29&lt;Hta_14,$G29&gt;=Hba_14,Input!Y$34&lt;&gt;""),Input!$B$34&amp;";",""),IF(AND($G29&lt;Hta_15,$G29&gt;=Hba_15,Input!Y$35&lt;&gt;""),Input!$B$35&amp;";",""),IF(AND($G29&lt;Hta_16,$G29&gt;=Hba_16,Input!Y$36&lt;&gt;""),Input!$B$36&amp;";",""),IF(AND($G29&lt;Hta_17,$G29&gt;=Hba_17,Input!Y$37&lt;&gt;""),Input!$B$37&amp;";",""),IF(AND($G29&lt;Hta_18,$G29&gt;=Hba_18,Input!Y$38&lt;&gt;""),Input!$B$38&amp;";",""),IF(AND($G29&lt;Hta_19,$G29&gt;=Hba_19,Input!Y$39&lt;&gt;""),Input!$B$39&amp;";",""),IF(AND($G29&lt;Hta_20,$G29&gt;=Hba_20,Input!Y$40&lt;&gt;""),Input!$B$40&amp;";",""),IF(AND($G29&lt;Hta_21,$G29&gt;=Hba_21,Input!Y$41&lt;&gt;""),Input!$B$41&amp;";",""),IF(AND($G29&lt;Hta_22,$G29&gt;=Hba_22,Input!Y$42&lt;&gt;""),Input!$B$42&amp;";",""),IF(AND($G29&lt;Hta_23,$G29&gt;=Hba_23,Input!Y$43&lt;&gt;""),Input!$B$43&amp;";",""),IF(AND($G29&lt;Hta_24,$G29&gt;=Hba_24,Input!Y$44&lt;&gt;""),Input!$B$44&amp;";",""),IF(AND($G29&lt;Hta_25,$G29&gt;=Hba_25,Input!Y$45&lt;&gt;""),Input!$B$45&amp;";",""),IF(AND($G29&lt;Hta_26,$G29&gt;=Hba_26,Input!Y$46&lt;&gt;""),Input!$B$46&amp;";",""),IF(AND($G29&lt;Hta_27,$G29&gt;=Hba_27,Input!Y$47&lt;&gt;""),Input!$B$47&amp;";",""),IF(AND($G29&lt;Hta_28,$G29&gt;=Hba_28,Input!Y$48&lt;&gt;""),Input!$B$48&amp;";",""),IF(AND($G29&lt;Hta_29,$G29&gt;=Hba_29,Input!Y$49&lt;&gt;""),Input!$B$49&amp;";",""),IF(AND($G29&lt;Hta_30,$G29&gt;=Hba_30,Input!Y$50&lt;&gt;""),Input!$B$50&amp;";","")),"")</f>
        <v/>
      </c>
      <c r="CA29" s="25" t="str">
        <f>IFERROR(CONCATENATE(IF(AND($G29&lt;Hta_1,$G29&gt;=Hba_1,Input!Z$21&lt;&gt;""),Input!$B$21&amp;";",""),IF(AND($G29&lt;Hta_2,$G29&gt;=Hba_2,Input!Z$22&lt;&gt;""),Input!$B$22&amp;";",""),IF(AND($G29&lt;Hta_3,$G29&gt;=Hba_3,Input!Z$23&lt;&gt;""),Input!$B$23&amp;";",""),IF(AND($G29&lt;Hta_4,$G29&gt;=Hba_4,Input!Z$24&lt;&gt;""),Input!$B$24&amp;";",""),IF(AND($G29&lt;Hta_5,$G29&gt;=Hba_5,Input!Z$25&lt;&gt;""),Input!$B$25&amp;";",""),IF(AND($G29&lt;Hta_6,$G29&gt;=Hba_6,Input!Z$26&lt;&gt;""),Input!$B$26&amp;";",""),IF(AND($G29&lt;Hta_7,$G29&gt;=Hba_7,Input!Z$27&lt;&gt;""),Input!$B$27&amp;";",""),IF(AND($G29&lt;Hta_8,$G29&gt;=Hba_8,Input!Z$28&lt;&gt;""),Input!$B$28&amp;";",""),IF(AND($G29&lt;Hta_9,$G29&gt;=Hba_9,Input!Z$29&lt;&gt;""),Input!$B$29&amp;";",""),IF(AND($G29&lt;Hta_10,$G29&gt;=Hba_10,Input!Z$30&lt;&gt;""),Input!$B$30&amp;";",""),IF(AND($G29&lt;Hta_11,$G29&gt;=Hba_11,Input!Z$31&lt;&gt;""),Input!$B$31&amp;";",""),IF(AND($G29&lt;Hta_12,$G29&gt;=Hba_12,Input!Z$32&lt;&gt;""),Input!$B$32&amp;";",""),IF(AND($G29&lt;Hta_13,$G29&gt;=Hba_13,Input!Z$33&lt;&gt;""),Input!$B$33&amp;";",""),IF(AND($G29&lt;Hta_14,$G29&gt;=Hba_14,Input!Z$34&lt;&gt;""),Input!$B$34&amp;";",""),IF(AND($G29&lt;Hta_15,$G29&gt;=Hba_15,Input!Z$35&lt;&gt;""),Input!$B$35&amp;";",""),IF(AND($G29&lt;Hta_16,$G29&gt;=Hba_16,Input!Z$36&lt;&gt;""),Input!$B$36&amp;";",""),IF(AND($G29&lt;Hta_17,$G29&gt;=Hba_17,Input!Z$37&lt;&gt;""),Input!$B$37&amp;";",""),IF(AND($G29&lt;Hta_18,$G29&gt;=Hba_18,Input!Z$38&lt;&gt;""),Input!$B$38&amp;";",""),IF(AND($G29&lt;Hta_19,$G29&gt;=Hba_19,Input!Z$39&lt;&gt;""),Input!$B$39&amp;";",""),IF(AND($G29&lt;Hta_20,$G29&gt;=Hba_20,Input!Z$40&lt;&gt;""),Input!$B$40&amp;";",""),IF(AND($G29&lt;Hta_21,$G29&gt;=Hba_21,Input!Z$41&lt;&gt;""),Input!$B$41&amp;";",""),IF(AND($G29&lt;Hta_22,$G29&gt;=Hba_22,Input!Z$42&lt;&gt;""),Input!$B$42&amp;";",""),IF(AND($G29&lt;Hta_23,$G29&gt;=Hba_23,Input!Z$43&lt;&gt;""),Input!$B$43&amp;";",""),IF(AND($G29&lt;Hta_24,$G29&gt;=Hba_24,Input!Z$44&lt;&gt;""),Input!$B$44&amp;";",""),IF(AND($G29&lt;Hta_25,$G29&gt;=Hba_25,Input!Z$45&lt;&gt;""),Input!$B$45&amp;";",""),IF(AND($G29&lt;Hta_26,$G29&gt;=Hba_26,Input!Z$46&lt;&gt;""),Input!$B$46&amp;";",""),IF(AND($G29&lt;Hta_27,$G29&gt;=Hba_27,Input!Z$47&lt;&gt;""),Input!$B$47&amp;";",""),IF(AND($G29&lt;Hta_28,$G29&gt;=Hba_28,Input!Z$48&lt;&gt;""),Input!$B$48&amp;";",""),IF(AND($G29&lt;Hta_29,$G29&gt;=Hba_29,Input!Z$49&lt;&gt;""),Input!$B$49&amp;";",""),IF(AND($G29&lt;Hta_30,$G29&gt;=Hba_30,Input!Z$50&lt;&gt;""),Input!$B$50&amp;";","")),"")</f>
        <v/>
      </c>
      <c r="CB29" s="25" t="str">
        <f>IFERROR(CONCATENATE(IF(AND($G29&lt;Hta_1,$G29&gt;=Hba_1,Input!AA$21&lt;&gt;""),Input!$B$21&amp;";",""),IF(AND($G29&lt;Hta_2,$G29&gt;=Hba_2,Input!AA$22&lt;&gt;""),Input!$B$22&amp;";",""),IF(AND($G29&lt;Hta_3,$G29&gt;=Hba_3,Input!AA$23&lt;&gt;""),Input!$B$23&amp;";",""),IF(AND($G29&lt;Hta_4,$G29&gt;=Hba_4,Input!AA$24&lt;&gt;""),Input!$B$24&amp;";",""),IF(AND($G29&lt;Hta_5,$G29&gt;=Hba_5,Input!AA$25&lt;&gt;""),Input!$B$25&amp;";",""),IF(AND($G29&lt;Hta_6,$G29&gt;=Hba_6,Input!AA$26&lt;&gt;""),Input!$B$26&amp;";",""),IF(AND($G29&lt;Hta_7,$G29&gt;=Hba_7,Input!AA$27&lt;&gt;""),Input!$B$27&amp;";",""),IF(AND($G29&lt;Hta_8,$G29&gt;=Hba_8,Input!AA$28&lt;&gt;""),Input!$B$28&amp;";",""),IF(AND($G29&lt;Hta_9,$G29&gt;=Hba_9,Input!AA$29&lt;&gt;""),Input!$B$29&amp;";",""),IF(AND($G29&lt;Hta_10,$G29&gt;=Hba_10,Input!AA$30&lt;&gt;""),Input!$B$30&amp;";",""),IF(AND($G29&lt;Hta_11,$G29&gt;=Hba_11,Input!AA$31&lt;&gt;""),Input!$B$31&amp;";",""),IF(AND($G29&lt;Hta_12,$G29&gt;=Hba_12,Input!AA$32&lt;&gt;""),Input!$B$32&amp;";",""),IF(AND($G29&lt;Hta_13,$G29&gt;=Hba_13,Input!AA$33&lt;&gt;""),Input!$B$33&amp;";",""),IF(AND($G29&lt;Hta_14,$G29&gt;=Hba_14,Input!AA$34&lt;&gt;""),Input!$B$34&amp;";",""),IF(AND($G29&lt;Hta_15,$G29&gt;=Hba_15,Input!AA$35&lt;&gt;""),Input!$B$35&amp;";",""),IF(AND($G29&lt;Hta_16,$G29&gt;=Hba_16,Input!AA$36&lt;&gt;""),Input!$B$36&amp;";",""),IF(AND($G29&lt;Hta_17,$G29&gt;=Hba_17,Input!AA$37&lt;&gt;""),Input!$B$37&amp;";",""),IF(AND($G29&lt;Hta_18,$G29&gt;=Hba_18,Input!AA$38&lt;&gt;""),Input!$B$38&amp;";",""),IF(AND($G29&lt;Hta_19,$G29&gt;=Hba_19,Input!AA$39&lt;&gt;""),Input!$B$39&amp;";",""),IF(AND($G29&lt;Hta_20,$G29&gt;=Hba_20,Input!AA$40&lt;&gt;""),Input!$B$40&amp;";",""),IF(AND($G29&lt;Hta_21,$G29&gt;=Hba_21,Input!AA$41&lt;&gt;""),Input!$B$41&amp;";",""),IF(AND($G29&lt;Hta_22,$G29&gt;=Hba_22,Input!AA$42&lt;&gt;""),Input!$B$42&amp;";",""),IF(AND($G29&lt;Hta_23,$G29&gt;=Hba_23,Input!AA$43&lt;&gt;""),Input!$B$43&amp;";",""),IF(AND($G29&lt;Hta_24,$G29&gt;=Hba_24,Input!AA$44&lt;&gt;""),Input!$B$44&amp;";",""),IF(AND($G29&lt;Hta_25,$G29&gt;=Hba_25,Input!AA$45&lt;&gt;""),Input!$B$45&amp;";",""),IF(AND($G29&lt;Hta_26,$G29&gt;=Hba_26,Input!AA$46&lt;&gt;""),Input!$B$46&amp;";",""),IF(AND($G29&lt;Hta_27,$G29&gt;=Hba_27,Input!AA$47&lt;&gt;""),Input!$B$47&amp;";",""),IF(AND($G29&lt;Hta_28,$G29&gt;=Hba_28,Input!AA$48&lt;&gt;""),Input!$B$48&amp;";",""),IF(AND($G29&lt;Hta_29,$G29&gt;=Hba_29,Input!AA$49&lt;&gt;""),Input!$B$49&amp;";",""),IF(AND($G29&lt;Hta_30,$G29&gt;=Hba_30,Input!AA$50&lt;&gt;""),Input!$B$50&amp;";","")),"")</f>
        <v/>
      </c>
      <c r="CC29" s="25" t="str">
        <f>IFERROR(CONCATENATE(IF(AND($G29&lt;Hta_1,$G29&gt;=Hba_1,Input!AB$21&lt;&gt;""),Input!$B$21&amp;";",""),IF(AND($G29&lt;Hta_2,$G29&gt;=Hba_2,Input!AB$22&lt;&gt;""),Input!$B$22&amp;";",""),IF(AND($G29&lt;Hta_3,$G29&gt;=Hba_3,Input!AB$23&lt;&gt;""),Input!$B$23&amp;";",""),IF(AND($G29&lt;Hta_4,$G29&gt;=Hba_4,Input!AB$24&lt;&gt;""),Input!$B$24&amp;";",""),IF(AND($G29&lt;Hta_5,$G29&gt;=Hba_5,Input!AB$25&lt;&gt;""),Input!$B$25&amp;";",""),IF(AND($G29&lt;Hta_6,$G29&gt;=Hba_6,Input!AB$26&lt;&gt;""),Input!$B$26&amp;";",""),IF(AND($G29&lt;Hta_7,$G29&gt;=Hba_7,Input!AB$27&lt;&gt;""),Input!$B$27&amp;";",""),IF(AND($G29&lt;Hta_8,$G29&gt;=Hba_8,Input!AB$28&lt;&gt;""),Input!$B$28&amp;";",""),IF(AND($G29&lt;Hta_9,$G29&gt;=Hba_9,Input!AB$29&lt;&gt;""),Input!$B$29&amp;";",""),IF(AND($G29&lt;Hta_10,$G29&gt;=Hba_10,Input!AB$30&lt;&gt;""),Input!$B$30&amp;";",""),IF(AND($G29&lt;Hta_11,$G29&gt;=Hba_11,Input!AB$31&lt;&gt;""),Input!$B$31&amp;";",""),IF(AND($G29&lt;Hta_12,$G29&gt;=Hba_12,Input!AB$32&lt;&gt;""),Input!$B$32&amp;";",""),IF(AND($G29&lt;Hta_13,$G29&gt;=Hba_13,Input!AB$33&lt;&gt;""),Input!$B$33&amp;";",""),IF(AND($G29&lt;Hta_14,$G29&gt;=Hba_14,Input!AB$34&lt;&gt;""),Input!$B$34&amp;";",""),IF(AND($G29&lt;Hta_15,$G29&gt;=Hba_15,Input!AB$35&lt;&gt;""),Input!$B$35&amp;";",""),IF(AND($G29&lt;Hta_16,$G29&gt;=Hba_16,Input!AB$36&lt;&gt;""),Input!$B$36&amp;";",""),IF(AND($G29&lt;Hta_17,$G29&gt;=Hba_17,Input!AB$37&lt;&gt;""),Input!$B$37&amp;";",""),IF(AND($G29&lt;Hta_18,$G29&gt;=Hba_18,Input!AB$38&lt;&gt;""),Input!$B$38&amp;";",""),IF(AND($G29&lt;Hta_19,$G29&gt;=Hba_19,Input!AB$39&lt;&gt;""),Input!$B$39&amp;";",""),IF(AND($G29&lt;Hta_20,$G29&gt;=Hba_20,Input!AB$40&lt;&gt;""),Input!$B$40&amp;";",""),IF(AND($G29&lt;Hta_21,$G29&gt;=Hba_21,Input!AB$41&lt;&gt;""),Input!$B$41&amp;";",""),IF(AND($G29&lt;Hta_22,$G29&gt;=Hba_22,Input!AB$42&lt;&gt;""),Input!$B$42&amp;";",""),IF(AND($G29&lt;Hta_23,$G29&gt;=Hba_23,Input!AB$43&lt;&gt;""),Input!$B$43&amp;";",""),IF(AND($G29&lt;Hta_24,$G29&gt;=Hba_24,Input!AB$44&lt;&gt;""),Input!$B$44&amp;";",""),IF(AND($G29&lt;Hta_25,$G29&gt;=Hba_25,Input!AB$45&lt;&gt;""),Input!$B$45&amp;";",""),IF(AND($G29&lt;Hta_26,$G29&gt;=Hba_26,Input!AB$46&lt;&gt;""),Input!$B$46&amp;";",""),IF(AND($G29&lt;Hta_27,$G29&gt;=Hba_27,Input!AB$47&lt;&gt;""),Input!$B$47&amp;";",""),IF(AND($G29&lt;Hta_28,$G29&gt;=Hba_28,Input!AB$48&lt;&gt;""),Input!$B$48&amp;";",""),IF(AND($G29&lt;Hta_29,$G29&gt;=Hba_29,Input!AB$49&lt;&gt;""),Input!$B$49&amp;";",""),IF(AND($G29&lt;Hta_30,$G29&gt;=Hba_30,Input!AB$50&lt;&gt;""),Input!$B$50&amp;";","")),"")</f>
        <v/>
      </c>
      <c r="CD29" s="25" t="str">
        <f>IFERROR(CONCATENATE(IF(AND($G29&lt;Hta_1,$G29&gt;=Hba_1,Input!AC$21&lt;&gt;""),Input!$B$21&amp;";",""),IF(AND($G29&lt;Hta_2,$G29&gt;=Hba_2,Input!AC$22&lt;&gt;""),Input!$B$22&amp;";",""),IF(AND($G29&lt;Hta_3,$G29&gt;=Hba_3,Input!AC$23&lt;&gt;""),Input!$B$23&amp;";",""),IF(AND($G29&lt;Hta_4,$G29&gt;=Hba_4,Input!AC$24&lt;&gt;""),Input!$B$24&amp;";",""),IF(AND($G29&lt;Hta_5,$G29&gt;=Hba_5,Input!AC$25&lt;&gt;""),Input!$B$25&amp;";",""),IF(AND($G29&lt;Hta_6,$G29&gt;=Hba_6,Input!AC$26&lt;&gt;""),Input!$B$26&amp;";",""),IF(AND($G29&lt;Hta_7,$G29&gt;=Hba_7,Input!AC$27&lt;&gt;""),Input!$B$27&amp;";",""),IF(AND($G29&lt;Hta_8,$G29&gt;=Hba_8,Input!AC$28&lt;&gt;""),Input!$B$28&amp;";",""),IF(AND($G29&lt;Hta_9,$G29&gt;=Hba_9,Input!AC$29&lt;&gt;""),Input!$B$29&amp;";",""),IF(AND($G29&lt;Hta_10,$G29&gt;=Hba_10,Input!AC$30&lt;&gt;""),Input!$B$30&amp;";",""),IF(AND($G29&lt;Hta_11,$G29&gt;=Hba_11,Input!AC$31&lt;&gt;""),Input!$B$31&amp;";",""),IF(AND($G29&lt;Hta_12,$G29&gt;=Hba_12,Input!AC$32&lt;&gt;""),Input!$B$32&amp;";",""),IF(AND($G29&lt;Hta_13,$G29&gt;=Hba_13,Input!AC$33&lt;&gt;""),Input!$B$33&amp;";",""),IF(AND($G29&lt;Hta_14,$G29&gt;=Hba_14,Input!AC$34&lt;&gt;""),Input!$B$34&amp;";",""),IF(AND($G29&lt;Hta_15,$G29&gt;=Hba_15,Input!AC$35&lt;&gt;""),Input!$B$35&amp;";",""),IF(AND($G29&lt;Hta_16,$G29&gt;=Hba_16,Input!AC$36&lt;&gt;""),Input!$B$36&amp;";",""),IF(AND($G29&lt;Hta_17,$G29&gt;=Hba_17,Input!AC$37&lt;&gt;""),Input!$B$37&amp;";",""),IF(AND($G29&lt;Hta_18,$G29&gt;=Hba_18,Input!AC$38&lt;&gt;""),Input!$B$38&amp;";",""),IF(AND($G29&lt;Hta_19,$G29&gt;=Hba_19,Input!AC$39&lt;&gt;""),Input!$B$39&amp;";",""),IF(AND($G29&lt;Hta_20,$G29&gt;=Hba_20,Input!AC$40&lt;&gt;""),Input!$B$40&amp;";",""),IF(AND($G29&lt;Hta_21,$G29&gt;=Hba_21,Input!AC$41&lt;&gt;""),Input!$B$41&amp;";",""),IF(AND($G29&lt;Hta_22,$G29&gt;=Hba_22,Input!AC$42&lt;&gt;""),Input!$B$42&amp;";",""),IF(AND($G29&lt;Hta_23,$G29&gt;=Hba_23,Input!AC$43&lt;&gt;""),Input!$B$43&amp;";",""),IF(AND($G29&lt;Hta_24,$G29&gt;=Hba_24,Input!AC$44&lt;&gt;""),Input!$B$44&amp;";",""),IF(AND($G29&lt;Hta_25,$G29&gt;=Hba_25,Input!AC$45&lt;&gt;""),Input!$B$45&amp;";",""),IF(AND($G29&lt;Hta_26,$G29&gt;=Hba_26,Input!AC$46&lt;&gt;""),Input!$B$46&amp;";",""),IF(AND($G29&lt;Hta_27,$G29&gt;=Hba_27,Input!AC$47&lt;&gt;""),Input!$B$47&amp;";",""),IF(AND($G29&lt;Hta_28,$G29&gt;=Hba_28,Input!AC$48&lt;&gt;""),Input!$B$48&amp;";",""),IF(AND($G29&lt;Hta_29,$G29&gt;=Hba_29,Input!AC$49&lt;&gt;""),Input!$B$49&amp;";",""),IF(AND($G29&lt;Hta_30,$G29&gt;=Hba_30,Input!AC$50&lt;&gt;""),Input!$B$50&amp;";","")),"")</f>
        <v/>
      </c>
      <c r="CE29" s="25" t="str">
        <f>IFERROR(CONCATENATE(IF(AND($G29&lt;Hta_1,$G29&gt;=Hba_1,Input!AD$21&lt;&gt;""),Input!$B$21&amp;";",""),IF(AND($G29&lt;Hta_2,$G29&gt;=Hba_2,Input!AD$22&lt;&gt;""),Input!$B$22&amp;";",""),IF(AND($G29&lt;Hta_3,$G29&gt;=Hba_3,Input!AD$23&lt;&gt;""),Input!$B$23&amp;";",""),IF(AND($G29&lt;Hta_4,$G29&gt;=Hba_4,Input!AD$24&lt;&gt;""),Input!$B$24&amp;";",""),IF(AND($G29&lt;Hta_5,$G29&gt;=Hba_5,Input!AD$25&lt;&gt;""),Input!$B$25&amp;";",""),IF(AND($G29&lt;Hta_6,$G29&gt;=Hba_6,Input!AD$26&lt;&gt;""),Input!$B$26&amp;";",""),IF(AND($G29&lt;Hta_7,$G29&gt;=Hba_7,Input!AD$27&lt;&gt;""),Input!$B$27&amp;";",""),IF(AND($G29&lt;Hta_8,$G29&gt;=Hba_8,Input!AD$28&lt;&gt;""),Input!$B$28&amp;";",""),IF(AND($G29&lt;Hta_9,$G29&gt;=Hba_9,Input!AD$29&lt;&gt;""),Input!$B$29&amp;";",""),IF(AND($G29&lt;Hta_10,$G29&gt;=Hba_10,Input!AD$30&lt;&gt;""),Input!$B$30&amp;";",""),IF(AND($G29&lt;Hta_11,$G29&gt;=Hba_11,Input!AD$31&lt;&gt;""),Input!$B$31&amp;";",""),IF(AND($G29&lt;Hta_12,$G29&gt;=Hba_12,Input!AD$32&lt;&gt;""),Input!$B$32&amp;";",""),IF(AND($G29&lt;Hta_13,$G29&gt;=Hba_13,Input!AD$33&lt;&gt;""),Input!$B$33&amp;";",""),IF(AND($G29&lt;Hta_14,$G29&gt;=Hba_14,Input!AD$34&lt;&gt;""),Input!$B$34&amp;";",""),IF(AND($G29&lt;Hta_15,$G29&gt;=Hba_15,Input!AD$35&lt;&gt;""),Input!$B$35&amp;";",""),IF(AND($G29&lt;Hta_16,$G29&gt;=Hba_16,Input!AD$36&lt;&gt;""),Input!$B$36&amp;";",""),IF(AND($G29&lt;Hta_17,$G29&gt;=Hba_17,Input!AD$37&lt;&gt;""),Input!$B$37&amp;";",""),IF(AND($G29&lt;Hta_18,$G29&gt;=Hba_18,Input!AD$38&lt;&gt;""),Input!$B$38&amp;";",""),IF(AND($G29&lt;Hta_19,$G29&gt;=Hba_19,Input!AD$39&lt;&gt;""),Input!$B$39&amp;";",""),IF(AND($G29&lt;Hta_20,$G29&gt;=Hba_20,Input!AD$40&lt;&gt;""),Input!$B$40&amp;";",""),IF(AND($G29&lt;Hta_21,$G29&gt;=Hba_21,Input!AD$41&lt;&gt;""),Input!$B$41&amp;";",""),IF(AND($G29&lt;Hta_22,$G29&gt;=Hba_22,Input!AD$42&lt;&gt;""),Input!$B$42&amp;";",""),IF(AND($G29&lt;Hta_23,$G29&gt;=Hba_23,Input!AD$43&lt;&gt;""),Input!$B$43&amp;";",""),IF(AND($G29&lt;Hta_24,$G29&gt;=Hba_24,Input!AD$44&lt;&gt;""),Input!$B$44&amp;";",""),IF(AND($G29&lt;Hta_25,$G29&gt;=Hba_25,Input!AD$45&lt;&gt;""),Input!$B$45&amp;";",""),IF(AND($G29&lt;Hta_26,$G29&gt;=Hba_26,Input!AD$46&lt;&gt;""),Input!$B$46&amp;";",""),IF(AND($G29&lt;Hta_27,$G29&gt;=Hba_27,Input!AD$47&lt;&gt;""),Input!$B$47&amp;";",""),IF(AND($G29&lt;Hta_28,$G29&gt;=Hba_28,Input!AD$48&lt;&gt;""),Input!$B$48&amp;";",""),IF(AND($G29&lt;Hta_29,$G29&gt;=Hba_29,Input!AD$49&lt;&gt;""),Input!$B$49&amp;";",""),IF(AND($G29&lt;Hta_30,$G29&gt;=Hba_30,Input!AD$50&lt;&gt;""),Input!$B$50&amp;";","")),"")</f>
        <v/>
      </c>
      <c r="CF29" s="25" t="str">
        <f>IFERROR(CONCATENATE(IF(AND($G29&lt;Hta_1,$G29&gt;=Hba_1,Input!AE$21&lt;&gt;""),Input!$B$21&amp;";",""),IF(AND($G29&lt;Hta_2,$G29&gt;=Hba_2,Input!AE$22&lt;&gt;""),Input!$B$22&amp;";",""),IF(AND($G29&lt;Hta_3,$G29&gt;=Hba_3,Input!AE$23&lt;&gt;""),Input!$B$23&amp;";",""),IF(AND($G29&lt;Hta_4,$G29&gt;=Hba_4,Input!AE$24&lt;&gt;""),Input!$B$24&amp;";",""),IF(AND($G29&lt;Hta_5,$G29&gt;=Hba_5,Input!AE$25&lt;&gt;""),Input!$B$25&amp;";",""),IF(AND($G29&lt;Hta_6,$G29&gt;=Hba_6,Input!AE$26&lt;&gt;""),Input!$B$26&amp;";",""),IF(AND($G29&lt;Hta_7,$G29&gt;=Hba_7,Input!AE$27&lt;&gt;""),Input!$B$27&amp;";",""),IF(AND($G29&lt;Hta_8,$G29&gt;=Hba_8,Input!AE$28&lt;&gt;""),Input!$B$28&amp;";",""),IF(AND($G29&lt;Hta_9,$G29&gt;=Hba_9,Input!AE$29&lt;&gt;""),Input!$B$29&amp;";",""),IF(AND($G29&lt;Hta_10,$G29&gt;=Hba_10,Input!AE$30&lt;&gt;""),Input!$B$30&amp;";",""),IF(AND($G29&lt;Hta_11,$G29&gt;=Hba_11,Input!AE$31&lt;&gt;""),Input!$B$31&amp;";",""),IF(AND($G29&lt;Hta_12,$G29&gt;=Hba_12,Input!AE$32&lt;&gt;""),Input!$B$32&amp;";",""),IF(AND($G29&lt;Hta_13,$G29&gt;=Hba_13,Input!AE$33&lt;&gt;""),Input!$B$33&amp;";",""),IF(AND($G29&lt;Hta_14,$G29&gt;=Hba_14,Input!AE$34&lt;&gt;""),Input!$B$34&amp;";",""),IF(AND($G29&lt;Hta_15,$G29&gt;=Hba_15,Input!AE$35&lt;&gt;""),Input!$B$35&amp;";",""),IF(AND($G29&lt;Hta_16,$G29&gt;=Hba_16,Input!AE$36&lt;&gt;""),Input!$B$36&amp;";",""),IF(AND($G29&lt;Hta_17,$G29&gt;=Hba_17,Input!AE$37&lt;&gt;""),Input!$B$37&amp;";",""),IF(AND($G29&lt;Hta_18,$G29&gt;=Hba_18,Input!AE$38&lt;&gt;""),Input!$B$38&amp;";",""),IF(AND($G29&lt;Hta_19,$G29&gt;=Hba_19,Input!AE$39&lt;&gt;""),Input!$B$39&amp;";",""),IF(AND($G29&lt;Hta_20,$G29&gt;=Hba_20,Input!AE$40&lt;&gt;""),Input!$B$40&amp;";",""),IF(AND($G29&lt;Hta_21,$G29&gt;=Hba_21,Input!AE$41&lt;&gt;""),Input!$B$41&amp;";",""),IF(AND($G29&lt;Hta_22,$G29&gt;=Hba_22,Input!AE$42&lt;&gt;""),Input!$B$42&amp;";",""),IF(AND($G29&lt;Hta_23,$G29&gt;=Hba_23,Input!AE$43&lt;&gt;""),Input!$B$43&amp;";",""),IF(AND($G29&lt;Hta_24,$G29&gt;=Hba_24,Input!AE$44&lt;&gt;""),Input!$B$44&amp;";",""),IF(AND($G29&lt;Hta_25,$G29&gt;=Hba_25,Input!AE$45&lt;&gt;""),Input!$B$45&amp;";",""),IF(AND($G29&lt;Hta_26,$G29&gt;=Hba_26,Input!AE$46&lt;&gt;""),Input!$B$46&amp;";",""),IF(AND($G29&lt;Hta_27,$G29&gt;=Hba_27,Input!AE$47&lt;&gt;""),Input!$B$47&amp;";",""),IF(AND($G29&lt;Hta_28,$G29&gt;=Hba_28,Input!AE$48&lt;&gt;""),Input!$B$48&amp;";",""),IF(AND($G29&lt;Hta_29,$G29&gt;=Hba_29,Input!AE$49&lt;&gt;""),Input!$B$49&amp;";",""),IF(AND($G29&lt;Hta_30,$G29&gt;=Hba_30,Input!AE$50&lt;&gt;""),Input!$B$50&amp;";","")),"")</f>
        <v/>
      </c>
      <c r="CG29" s="25" t="str">
        <f>IFERROR(CONCATENATE(IF(AND($G29&lt;Hta_1,$G29&gt;=Hba_1,Input!AF$21&lt;&gt;""),Input!$B$21&amp;";",""),IF(AND($G29&lt;Hta_2,$G29&gt;=Hba_2,Input!AF$22&lt;&gt;""),Input!$B$22&amp;";",""),IF(AND($G29&lt;Hta_3,$G29&gt;=Hba_3,Input!AF$23&lt;&gt;""),Input!$B$23&amp;";",""),IF(AND($G29&lt;Hta_4,$G29&gt;=Hba_4,Input!AF$24&lt;&gt;""),Input!$B$24&amp;";",""),IF(AND($G29&lt;Hta_5,$G29&gt;=Hba_5,Input!AF$25&lt;&gt;""),Input!$B$25&amp;";",""),IF(AND($G29&lt;Hta_6,$G29&gt;=Hba_6,Input!AF$26&lt;&gt;""),Input!$B$26&amp;";",""),IF(AND($G29&lt;Hta_7,$G29&gt;=Hba_7,Input!AF$27&lt;&gt;""),Input!$B$27&amp;";",""),IF(AND($G29&lt;Hta_8,$G29&gt;=Hba_8,Input!AF$28&lt;&gt;""),Input!$B$28&amp;";",""),IF(AND($G29&lt;Hta_9,$G29&gt;=Hba_9,Input!AF$29&lt;&gt;""),Input!$B$29&amp;";",""),IF(AND($G29&lt;Hta_10,$G29&gt;=Hba_10,Input!AF$30&lt;&gt;""),Input!$B$30&amp;";",""),IF(AND($G29&lt;Hta_11,$G29&gt;=Hba_11,Input!AF$31&lt;&gt;""),Input!$B$31&amp;";",""),IF(AND($G29&lt;Hta_12,$G29&gt;=Hba_12,Input!AF$32&lt;&gt;""),Input!$B$32&amp;";",""),IF(AND($G29&lt;Hta_13,$G29&gt;=Hba_13,Input!AF$33&lt;&gt;""),Input!$B$33&amp;";",""),IF(AND($G29&lt;Hta_14,$G29&gt;=Hba_14,Input!AF$34&lt;&gt;""),Input!$B$34&amp;";",""),IF(AND($G29&lt;Hta_15,$G29&gt;=Hba_15,Input!AF$35&lt;&gt;""),Input!$B$35&amp;";",""),IF(AND($G29&lt;Hta_16,$G29&gt;=Hba_16,Input!AF$36&lt;&gt;""),Input!$B$36&amp;";",""),IF(AND($G29&lt;Hta_17,$G29&gt;=Hba_17,Input!AF$37&lt;&gt;""),Input!$B$37&amp;";",""),IF(AND($G29&lt;Hta_18,$G29&gt;=Hba_18,Input!AF$38&lt;&gt;""),Input!$B$38&amp;";",""),IF(AND($G29&lt;Hta_19,$G29&gt;=Hba_19,Input!AF$39&lt;&gt;""),Input!$B$39&amp;";",""),IF(AND($G29&lt;Hta_20,$G29&gt;=Hba_20,Input!AF$40&lt;&gt;""),Input!$B$40&amp;";",""),IF(AND($G29&lt;Hta_21,$G29&gt;=Hba_21,Input!AF$41&lt;&gt;""),Input!$B$41&amp;";",""),IF(AND($G29&lt;Hta_22,$G29&gt;=Hba_22,Input!AF$42&lt;&gt;""),Input!$B$42&amp;";",""),IF(AND($G29&lt;Hta_23,$G29&gt;=Hba_23,Input!AF$43&lt;&gt;""),Input!$B$43&amp;";",""),IF(AND($G29&lt;Hta_24,$G29&gt;=Hba_24,Input!AF$44&lt;&gt;""),Input!$B$44&amp;";",""),IF(AND($G29&lt;Hta_25,$G29&gt;=Hba_25,Input!AF$45&lt;&gt;""),Input!$B$45&amp;";",""),IF(AND($G29&lt;Hta_26,$G29&gt;=Hba_26,Input!AF$46&lt;&gt;""),Input!$B$46&amp;";",""),IF(AND($G29&lt;Hta_27,$G29&gt;=Hba_27,Input!AF$47&lt;&gt;""),Input!$B$47&amp;";",""),IF(AND($G29&lt;Hta_28,$G29&gt;=Hba_28,Input!AF$48&lt;&gt;""),Input!$B$48&amp;";",""),IF(AND($G29&lt;Hta_29,$G29&gt;=Hba_29,Input!AF$49&lt;&gt;""),Input!$B$49&amp;";",""),IF(AND($G29&lt;Hta_30,$G29&gt;=Hba_30,Input!AF$50&lt;&gt;""),Input!$B$50&amp;";","")),"")</f>
        <v/>
      </c>
      <c r="CH29" s="25" t="str">
        <f>IFERROR(CONCATENATE(IF(AND($G29&lt;Hta_1,$G29&gt;=Hba_1,Input!AG$21&lt;&gt;""),Input!$B$21&amp;";",""),IF(AND($G29&lt;Hta_2,$G29&gt;=Hba_2,Input!AG$22&lt;&gt;""),Input!$B$22&amp;";",""),IF(AND($G29&lt;Hta_3,$G29&gt;=Hba_3,Input!AG$23&lt;&gt;""),Input!$B$23&amp;";",""),IF(AND($G29&lt;Hta_4,$G29&gt;=Hba_4,Input!AG$24&lt;&gt;""),Input!$B$24&amp;";",""),IF(AND($G29&lt;Hta_5,$G29&gt;=Hba_5,Input!AG$25&lt;&gt;""),Input!$B$25&amp;";",""),IF(AND($G29&lt;Hta_6,$G29&gt;=Hba_6,Input!AG$26&lt;&gt;""),Input!$B$26&amp;";",""),IF(AND($G29&lt;Hta_7,$G29&gt;=Hba_7,Input!AG$27&lt;&gt;""),Input!$B$27&amp;";",""),IF(AND($G29&lt;Hta_8,$G29&gt;=Hba_8,Input!AG$28&lt;&gt;""),Input!$B$28&amp;";",""),IF(AND($G29&lt;Hta_9,$G29&gt;=Hba_9,Input!AG$29&lt;&gt;""),Input!$B$29&amp;";",""),IF(AND($G29&lt;Hta_10,$G29&gt;=Hba_10,Input!AG$30&lt;&gt;""),Input!$B$30&amp;";",""),IF(AND($G29&lt;Hta_11,$G29&gt;=Hba_11,Input!AG$31&lt;&gt;""),Input!$B$31&amp;";",""),IF(AND($G29&lt;Hta_12,$G29&gt;=Hba_12,Input!AG$32&lt;&gt;""),Input!$B$32&amp;";",""),IF(AND($G29&lt;Hta_13,$G29&gt;=Hba_13,Input!AG$33&lt;&gt;""),Input!$B$33&amp;";",""),IF(AND($G29&lt;Hta_14,$G29&gt;=Hba_14,Input!AG$34&lt;&gt;""),Input!$B$34&amp;";",""),IF(AND($G29&lt;Hta_15,$G29&gt;=Hba_15,Input!AG$35&lt;&gt;""),Input!$B$35&amp;";",""),IF(AND($G29&lt;Hta_16,$G29&gt;=Hba_16,Input!AG$36&lt;&gt;""),Input!$B$36&amp;";",""),IF(AND($G29&lt;Hta_17,$G29&gt;=Hba_17,Input!AG$37&lt;&gt;""),Input!$B$37&amp;";",""),IF(AND($G29&lt;Hta_18,$G29&gt;=Hba_18,Input!AG$38&lt;&gt;""),Input!$B$38&amp;";",""),IF(AND($G29&lt;Hta_19,$G29&gt;=Hba_19,Input!AG$39&lt;&gt;""),Input!$B$39&amp;";",""),IF(AND($G29&lt;Hta_20,$G29&gt;=Hba_20,Input!AG$40&lt;&gt;""),Input!$B$40&amp;";",""),IF(AND($G29&lt;Hta_21,$G29&gt;=Hba_21,Input!AG$41&lt;&gt;""),Input!$B$41&amp;";",""),IF(AND($G29&lt;Hta_22,$G29&gt;=Hba_22,Input!AG$42&lt;&gt;""),Input!$B$42&amp;";",""),IF(AND($G29&lt;Hta_23,$G29&gt;=Hba_23,Input!AG$43&lt;&gt;""),Input!$B$43&amp;";",""),IF(AND($G29&lt;Hta_24,$G29&gt;=Hba_24,Input!AG$44&lt;&gt;""),Input!$B$44&amp;";",""),IF(AND($G29&lt;Hta_25,$G29&gt;=Hba_25,Input!AG$45&lt;&gt;""),Input!$B$45&amp;";",""),IF(AND($G29&lt;Hta_26,$G29&gt;=Hba_26,Input!AG$46&lt;&gt;""),Input!$B$46&amp;";",""),IF(AND($G29&lt;Hta_27,$G29&gt;=Hba_27,Input!AG$47&lt;&gt;""),Input!$B$47&amp;";",""),IF(AND($G29&lt;Hta_28,$G29&gt;=Hba_28,Input!AG$48&lt;&gt;""),Input!$B$48&amp;";",""),IF(AND($G29&lt;Hta_29,$G29&gt;=Hba_29,Input!AG$49&lt;&gt;""),Input!$B$49&amp;";",""),IF(AND($G29&lt;Hta_30,$G29&gt;=Hba_30,Input!AG$50&lt;&gt;""),Input!$B$50&amp;";","")),"")</f>
        <v/>
      </c>
      <c r="CI29" s="25" t="str">
        <f>IFERROR(CONCATENATE(IF(AND($G29&lt;Hta_1,$G29&gt;=Hba_1,Input!AH$21&lt;&gt;""),Input!$B$21&amp;";",""),IF(AND($G29&lt;Hta_2,$G29&gt;=Hba_2,Input!AH$22&lt;&gt;""),Input!$B$22&amp;";",""),IF(AND($G29&lt;Hta_3,$G29&gt;=Hba_3,Input!AH$23&lt;&gt;""),Input!$B$23&amp;";",""),IF(AND($G29&lt;Hta_4,$G29&gt;=Hba_4,Input!AH$24&lt;&gt;""),Input!$B$24&amp;";",""),IF(AND($G29&lt;Hta_5,$G29&gt;=Hba_5,Input!AH$25&lt;&gt;""),Input!$B$25&amp;";",""),IF(AND($G29&lt;Hta_6,$G29&gt;=Hba_6,Input!AH$26&lt;&gt;""),Input!$B$26&amp;";",""),IF(AND($G29&lt;Hta_7,$G29&gt;=Hba_7,Input!AH$27&lt;&gt;""),Input!$B$27&amp;";",""),IF(AND($G29&lt;Hta_8,$G29&gt;=Hba_8,Input!AH$28&lt;&gt;""),Input!$B$28&amp;";",""),IF(AND($G29&lt;Hta_9,$G29&gt;=Hba_9,Input!AH$29&lt;&gt;""),Input!$B$29&amp;";",""),IF(AND($G29&lt;Hta_10,$G29&gt;=Hba_10,Input!AH$30&lt;&gt;""),Input!$B$30&amp;";",""),IF(AND($G29&lt;Hta_11,$G29&gt;=Hba_11,Input!AH$31&lt;&gt;""),Input!$B$31&amp;";",""),IF(AND($G29&lt;Hta_12,$G29&gt;=Hba_12,Input!AH$32&lt;&gt;""),Input!$B$32&amp;";",""),IF(AND($G29&lt;Hta_13,$G29&gt;=Hba_13,Input!AH$33&lt;&gt;""),Input!$B$33&amp;";",""),IF(AND($G29&lt;Hta_14,$G29&gt;=Hba_14,Input!AH$34&lt;&gt;""),Input!$B$34&amp;";",""),IF(AND($G29&lt;Hta_15,$G29&gt;=Hba_15,Input!AH$35&lt;&gt;""),Input!$B$35&amp;";",""),IF(AND($G29&lt;Hta_16,$G29&gt;=Hba_16,Input!AH$36&lt;&gt;""),Input!$B$36&amp;";",""),IF(AND($G29&lt;Hta_17,$G29&gt;=Hba_17,Input!AH$37&lt;&gt;""),Input!$B$37&amp;";",""),IF(AND($G29&lt;Hta_18,$G29&gt;=Hba_18,Input!AH$38&lt;&gt;""),Input!$B$38&amp;";",""),IF(AND($G29&lt;Hta_19,$G29&gt;=Hba_19,Input!AH$39&lt;&gt;""),Input!$B$39&amp;";",""),IF(AND($G29&lt;Hta_20,$G29&gt;=Hba_20,Input!AH$40&lt;&gt;""),Input!$B$40&amp;";",""),IF(AND($G29&lt;Hta_21,$G29&gt;=Hba_21,Input!AH$41&lt;&gt;""),Input!$B$41&amp;";",""),IF(AND($G29&lt;Hta_22,$G29&gt;=Hba_22,Input!AH$42&lt;&gt;""),Input!$B$42&amp;";",""),IF(AND($G29&lt;Hta_23,$G29&gt;=Hba_23,Input!AH$43&lt;&gt;""),Input!$B$43&amp;";",""),IF(AND($G29&lt;Hta_24,$G29&gt;=Hba_24,Input!AH$44&lt;&gt;""),Input!$B$44&amp;";",""),IF(AND($G29&lt;Hta_25,$G29&gt;=Hba_25,Input!AH$45&lt;&gt;""),Input!$B$45&amp;";",""),IF(AND($G29&lt;Hta_26,$G29&gt;=Hba_26,Input!AH$46&lt;&gt;""),Input!$B$46&amp;";",""),IF(AND($G29&lt;Hta_27,$G29&gt;=Hba_27,Input!AH$47&lt;&gt;""),Input!$B$47&amp;";",""),IF(AND($G29&lt;Hta_28,$G29&gt;=Hba_28,Input!AH$48&lt;&gt;""),Input!$B$48&amp;";",""),IF(AND($G29&lt;Hta_29,$G29&gt;=Hba_29,Input!AH$49&lt;&gt;""),Input!$B$49&amp;";",""),IF(AND($G29&lt;Hta_30,$G29&gt;=Hba_30,Input!AH$50&lt;&gt;""),Input!$B$50&amp;";","")),"")</f>
        <v/>
      </c>
      <c r="CJ29" s="25" t="str">
        <f>IFERROR(CONCATENATE(IF(AND($G29&lt;Hta_1,$G29&gt;=Hba_1,Input!AI$21&lt;&gt;""),Input!$B$21&amp;";",""),IF(AND($G29&lt;Hta_2,$G29&gt;=Hba_2,Input!AI$22&lt;&gt;""),Input!$B$22&amp;";",""),IF(AND($G29&lt;Hta_3,$G29&gt;=Hba_3,Input!AI$23&lt;&gt;""),Input!$B$23&amp;";",""),IF(AND($G29&lt;Hta_4,$G29&gt;=Hba_4,Input!AI$24&lt;&gt;""),Input!$B$24&amp;";",""),IF(AND($G29&lt;Hta_5,$G29&gt;=Hba_5,Input!AI$25&lt;&gt;""),Input!$B$25&amp;";",""),IF(AND($G29&lt;Hta_6,$G29&gt;=Hba_6,Input!AI$26&lt;&gt;""),Input!$B$26&amp;";",""),IF(AND($G29&lt;Hta_7,$G29&gt;=Hba_7,Input!AI$27&lt;&gt;""),Input!$B$27&amp;";",""),IF(AND($G29&lt;Hta_8,$G29&gt;=Hba_8,Input!AI$28&lt;&gt;""),Input!$B$28&amp;";",""),IF(AND($G29&lt;Hta_9,$G29&gt;=Hba_9,Input!AI$29&lt;&gt;""),Input!$B$29&amp;";",""),IF(AND($G29&lt;Hta_10,$G29&gt;=Hba_10,Input!AI$30&lt;&gt;""),Input!$B$30&amp;";",""),IF(AND($G29&lt;Hta_11,$G29&gt;=Hba_11,Input!AI$31&lt;&gt;""),Input!$B$31&amp;";",""),IF(AND($G29&lt;Hta_12,$G29&gt;=Hba_12,Input!AI$32&lt;&gt;""),Input!$B$32&amp;";",""),IF(AND($G29&lt;Hta_13,$G29&gt;=Hba_13,Input!AI$33&lt;&gt;""),Input!$B$33&amp;";",""),IF(AND($G29&lt;Hta_14,$G29&gt;=Hba_14,Input!AI$34&lt;&gt;""),Input!$B$34&amp;";",""),IF(AND($G29&lt;Hta_15,$G29&gt;=Hba_15,Input!AI$35&lt;&gt;""),Input!$B$35&amp;";",""),IF(AND($G29&lt;Hta_16,$G29&gt;=Hba_16,Input!AI$36&lt;&gt;""),Input!$B$36&amp;";",""),IF(AND($G29&lt;Hta_17,$G29&gt;=Hba_17,Input!AI$37&lt;&gt;""),Input!$B$37&amp;";",""),IF(AND($G29&lt;Hta_18,$G29&gt;=Hba_18,Input!AI$38&lt;&gt;""),Input!$B$38&amp;";",""),IF(AND($G29&lt;Hta_19,$G29&gt;=Hba_19,Input!AI$39&lt;&gt;""),Input!$B$39&amp;";",""),IF(AND($G29&lt;Hta_20,$G29&gt;=Hba_20,Input!AI$40&lt;&gt;""),Input!$B$40&amp;";",""),IF(AND($G29&lt;Hta_21,$G29&gt;=Hba_21,Input!AI$41&lt;&gt;""),Input!$B$41&amp;";",""),IF(AND($G29&lt;Hta_22,$G29&gt;=Hba_22,Input!AI$42&lt;&gt;""),Input!$B$42&amp;";",""),IF(AND($G29&lt;Hta_23,$G29&gt;=Hba_23,Input!AI$43&lt;&gt;""),Input!$B$43&amp;";",""),IF(AND($G29&lt;Hta_24,$G29&gt;=Hba_24,Input!AI$44&lt;&gt;""),Input!$B$44&amp;";",""),IF(AND($G29&lt;Hta_25,$G29&gt;=Hba_25,Input!AI$45&lt;&gt;""),Input!$B$45&amp;";",""),IF(AND($G29&lt;Hta_26,$G29&gt;=Hba_26,Input!AI$46&lt;&gt;""),Input!$B$46&amp;";",""),IF(AND($G29&lt;Hta_27,$G29&gt;=Hba_27,Input!AI$47&lt;&gt;""),Input!$B$47&amp;";",""),IF(AND($G29&lt;Hta_28,$G29&gt;=Hba_28,Input!AI$48&lt;&gt;""),Input!$B$48&amp;";",""),IF(AND($G29&lt;Hta_29,$G29&gt;=Hba_29,Input!AI$49&lt;&gt;""),Input!$B$49&amp;";",""),IF(AND($G29&lt;Hta_30,$G29&gt;=Hba_30,Input!AI$50&lt;&gt;""),Input!$B$50&amp;";","")),"")</f>
        <v/>
      </c>
      <c r="CK29" s="25" t="str">
        <f>IFERROR(CONCATENATE(IF(AND($G29&lt;Hta_1,$G29&gt;=Hba_1,Input!AJ$21&lt;&gt;""),Input!$B$21&amp;";",""),IF(AND($G29&lt;Hta_2,$G29&gt;=Hba_2,Input!AJ$22&lt;&gt;""),Input!$B$22&amp;";",""),IF(AND($G29&lt;Hta_3,$G29&gt;=Hba_3,Input!AJ$23&lt;&gt;""),Input!$B$23&amp;";",""),IF(AND($G29&lt;Hta_4,$G29&gt;=Hba_4,Input!AJ$24&lt;&gt;""),Input!$B$24&amp;";",""),IF(AND($G29&lt;Hta_5,$G29&gt;=Hba_5,Input!AJ$25&lt;&gt;""),Input!$B$25&amp;";",""),IF(AND($G29&lt;Hta_6,$G29&gt;=Hba_6,Input!AJ$26&lt;&gt;""),Input!$B$26&amp;";",""),IF(AND($G29&lt;Hta_7,$G29&gt;=Hba_7,Input!AJ$27&lt;&gt;""),Input!$B$27&amp;";",""),IF(AND($G29&lt;Hta_8,$G29&gt;=Hba_8,Input!AJ$28&lt;&gt;""),Input!$B$28&amp;";",""),IF(AND($G29&lt;Hta_9,$G29&gt;=Hba_9,Input!AJ$29&lt;&gt;""),Input!$B$29&amp;";",""),IF(AND($G29&lt;Hta_10,$G29&gt;=Hba_10,Input!AJ$30&lt;&gt;""),Input!$B$30&amp;";",""),IF(AND($G29&lt;Hta_11,$G29&gt;=Hba_11,Input!AJ$31&lt;&gt;""),Input!$B$31&amp;";",""),IF(AND($G29&lt;Hta_12,$G29&gt;=Hba_12,Input!AJ$32&lt;&gt;""),Input!$B$32&amp;";",""),IF(AND($G29&lt;Hta_13,$G29&gt;=Hba_13,Input!AJ$33&lt;&gt;""),Input!$B$33&amp;";",""),IF(AND($G29&lt;Hta_14,$G29&gt;=Hba_14,Input!AJ$34&lt;&gt;""),Input!$B$34&amp;";",""),IF(AND($G29&lt;Hta_15,$G29&gt;=Hba_15,Input!AJ$35&lt;&gt;""),Input!$B$35&amp;";",""),IF(AND($G29&lt;Hta_16,$G29&gt;=Hba_16,Input!AJ$36&lt;&gt;""),Input!$B$36&amp;";",""),IF(AND($G29&lt;Hta_17,$G29&gt;=Hba_17,Input!AJ$37&lt;&gt;""),Input!$B$37&amp;";",""),IF(AND($G29&lt;Hta_18,$G29&gt;=Hba_18,Input!AJ$38&lt;&gt;""),Input!$B$38&amp;";",""),IF(AND($G29&lt;Hta_19,$G29&gt;=Hba_19,Input!AJ$39&lt;&gt;""),Input!$B$39&amp;";",""),IF(AND($G29&lt;Hta_20,$G29&gt;=Hba_20,Input!AJ$40&lt;&gt;""),Input!$B$40&amp;";",""),IF(AND($G29&lt;Hta_21,$G29&gt;=Hba_21,Input!AJ$41&lt;&gt;""),Input!$B$41&amp;";",""),IF(AND($G29&lt;Hta_22,$G29&gt;=Hba_22,Input!AJ$42&lt;&gt;""),Input!$B$42&amp;";",""),IF(AND($G29&lt;Hta_23,$G29&gt;=Hba_23,Input!AJ$43&lt;&gt;""),Input!$B$43&amp;";",""),IF(AND($G29&lt;Hta_24,$G29&gt;=Hba_24,Input!AJ$44&lt;&gt;""),Input!$B$44&amp;";",""),IF(AND($G29&lt;Hta_25,$G29&gt;=Hba_25,Input!AJ$45&lt;&gt;""),Input!$B$45&amp;";",""),IF(AND($G29&lt;Hta_26,$G29&gt;=Hba_26,Input!AJ$46&lt;&gt;""),Input!$B$46&amp;";",""),IF(AND($G29&lt;Hta_27,$G29&gt;=Hba_27,Input!AJ$47&lt;&gt;""),Input!$B$47&amp;";",""),IF(AND($G29&lt;Hta_28,$G29&gt;=Hba_28,Input!AJ$48&lt;&gt;""),Input!$B$48&amp;";",""),IF(AND($G29&lt;Hta_29,$G29&gt;=Hba_29,Input!AJ$49&lt;&gt;""),Input!$B$49&amp;";",""),IF(AND($G29&lt;Hta_30,$G29&gt;=Hba_30,Input!AJ$50&lt;&gt;""),Input!$B$50&amp;";","")),"")</f>
        <v/>
      </c>
      <c r="CL29" s="25" t="str">
        <f>IFERROR(CONCATENATE(IF(AND($G29&lt;Hta_1,$G29&gt;=Hba_1,Input!AK$21&lt;&gt;""),Input!$B$21&amp;";",""),IF(AND($G29&lt;Hta_2,$G29&gt;=Hba_2,Input!AK$22&lt;&gt;""),Input!$B$22&amp;";",""),IF(AND($G29&lt;Hta_3,$G29&gt;=Hba_3,Input!AK$23&lt;&gt;""),Input!$B$23&amp;";",""),IF(AND($G29&lt;Hta_4,$G29&gt;=Hba_4,Input!AK$24&lt;&gt;""),Input!$B$24&amp;";",""),IF(AND($G29&lt;Hta_5,$G29&gt;=Hba_5,Input!AK$25&lt;&gt;""),Input!$B$25&amp;";",""),IF(AND($G29&lt;Hta_6,$G29&gt;=Hba_6,Input!AK$26&lt;&gt;""),Input!$B$26&amp;";",""),IF(AND($G29&lt;Hta_7,$G29&gt;=Hba_7,Input!AK$27&lt;&gt;""),Input!$B$27&amp;";",""),IF(AND($G29&lt;Hta_8,$G29&gt;=Hba_8,Input!AK$28&lt;&gt;""),Input!$B$28&amp;";",""),IF(AND($G29&lt;Hta_9,$G29&gt;=Hba_9,Input!AK$29&lt;&gt;""),Input!$B$29&amp;";",""),IF(AND($G29&lt;Hta_10,$G29&gt;=Hba_10,Input!AK$30&lt;&gt;""),Input!$B$30&amp;";",""),IF(AND($G29&lt;Hta_11,$G29&gt;=Hba_11,Input!AK$31&lt;&gt;""),Input!$B$31&amp;";",""),IF(AND($G29&lt;Hta_12,$G29&gt;=Hba_12,Input!AK$32&lt;&gt;""),Input!$B$32&amp;";",""),IF(AND($G29&lt;Hta_13,$G29&gt;=Hba_13,Input!AK$33&lt;&gt;""),Input!$B$33&amp;";",""),IF(AND($G29&lt;Hta_14,$G29&gt;=Hba_14,Input!AK$34&lt;&gt;""),Input!$B$34&amp;";",""),IF(AND($G29&lt;Hta_15,$G29&gt;=Hba_15,Input!AK$35&lt;&gt;""),Input!$B$35&amp;";",""),IF(AND($G29&lt;Hta_16,$G29&gt;=Hba_16,Input!AK$36&lt;&gt;""),Input!$B$36&amp;";",""),IF(AND($G29&lt;Hta_17,$G29&gt;=Hba_17,Input!AK$37&lt;&gt;""),Input!$B$37&amp;";",""),IF(AND($G29&lt;Hta_18,$G29&gt;=Hba_18,Input!AK$38&lt;&gt;""),Input!$B$38&amp;";",""),IF(AND($G29&lt;Hta_19,$G29&gt;=Hba_19,Input!AK$39&lt;&gt;""),Input!$B$39&amp;";",""),IF(AND($G29&lt;Hta_20,$G29&gt;=Hba_20,Input!AK$40&lt;&gt;""),Input!$B$40&amp;";",""),IF(AND($G29&lt;Hta_21,$G29&gt;=Hba_21,Input!AK$41&lt;&gt;""),Input!$B$41&amp;";",""),IF(AND($G29&lt;Hta_22,$G29&gt;=Hba_22,Input!AK$42&lt;&gt;""),Input!$B$42&amp;";",""),IF(AND($G29&lt;Hta_23,$G29&gt;=Hba_23,Input!AK$43&lt;&gt;""),Input!$B$43&amp;";",""),IF(AND($G29&lt;Hta_24,$G29&gt;=Hba_24,Input!AK$44&lt;&gt;""),Input!$B$44&amp;";",""),IF(AND($G29&lt;Hta_25,$G29&gt;=Hba_25,Input!AK$45&lt;&gt;""),Input!$B$45&amp;";",""),IF(AND($G29&lt;Hta_26,$G29&gt;=Hba_26,Input!AK$46&lt;&gt;""),Input!$B$46&amp;";",""),IF(AND($G29&lt;Hta_27,$G29&gt;=Hba_27,Input!AK$47&lt;&gt;""),Input!$B$47&amp;";",""),IF(AND($G29&lt;Hta_28,$G29&gt;=Hba_28,Input!AK$48&lt;&gt;""),Input!$B$48&amp;";",""),IF(AND($G29&lt;Hta_29,$G29&gt;=Hba_29,Input!AK$49&lt;&gt;""),Input!$B$49&amp;";",""),IF(AND($G29&lt;Hta_30,$G29&gt;=Hba_30,Input!AK$50&lt;&gt;""),Input!$B$50&amp;";","")),"")</f>
        <v/>
      </c>
      <c r="CM29" s="25" t="str">
        <f>IFERROR(CONCATENATE(IF(AND($G29&lt;Hta_1,$G29&gt;=Hba_1,Input!AL$21&lt;&gt;""),Input!$B$21&amp;";",""),IF(AND($G29&lt;Hta_2,$G29&gt;=Hba_2,Input!AL$22&lt;&gt;""),Input!$B$22&amp;";",""),IF(AND($G29&lt;Hta_3,$G29&gt;=Hba_3,Input!AL$23&lt;&gt;""),Input!$B$23&amp;";",""),IF(AND($G29&lt;Hta_4,$G29&gt;=Hba_4,Input!AL$24&lt;&gt;""),Input!$B$24&amp;";",""),IF(AND($G29&lt;Hta_5,$G29&gt;=Hba_5,Input!AL$25&lt;&gt;""),Input!$B$25&amp;";",""),IF(AND($G29&lt;Hta_6,$G29&gt;=Hba_6,Input!AL$26&lt;&gt;""),Input!$B$26&amp;";",""),IF(AND($G29&lt;Hta_7,$G29&gt;=Hba_7,Input!AL$27&lt;&gt;""),Input!$B$27&amp;";",""),IF(AND($G29&lt;Hta_8,$G29&gt;=Hba_8,Input!AL$28&lt;&gt;""),Input!$B$28&amp;";",""),IF(AND($G29&lt;Hta_9,$G29&gt;=Hba_9,Input!AL$29&lt;&gt;""),Input!$B$29&amp;";",""),IF(AND($G29&lt;Hta_10,$G29&gt;=Hba_10,Input!AL$30&lt;&gt;""),Input!$B$30&amp;";",""),IF(AND($G29&lt;Hta_11,$G29&gt;=Hba_11,Input!AL$31&lt;&gt;""),Input!$B$31&amp;";",""),IF(AND($G29&lt;Hta_12,$G29&gt;=Hba_12,Input!AL$32&lt;&gt;""),Input!$B$32&amp;";",""),IF(AND($G29&lt;Hta_13,$G29&gt;=Hba_13,Input!AL$33&lt;&gt;""),Input!$B$33&amp;";",""),IF(AND($G29&lt;Hta_14,$G29&gt;=Hba_14,Input!AL$34&lt;&gt;""),Input!$B$34&amp;";",""),IF(AND($G29&lt;Hta_15,$G29&gt;=Hba_15,Input!AL$35&lt;&gt;""),Input!$B$35&amp;";",""),IF(AND($G29&lt;Hta_16,$G29&gt;=Hba_16,Input!AL$36&lt;&gt;""),Input!$B$36&amp;";",""),IF(AND($G29&lt;Hta_17,$G29&gt;=Hba_17,Input!AL$37&lt;&gt;""),Input!$B$37&amp;";",""),IF(AND($G29&lt;Hta_18,$G29&gt;=Hba_18,Input!AL$38&lt;&gt;""),Input!$B$38&amp;";",""),IF(AND($G29&lt;Hta_19,$G29&gt;=Hba_19,Input!AL$39&lt;&gt;""),Input!$B$39&amp;";",""),IF(AND($G29&lt;Hta_20,$G29&gt;=Hba_20,Input!AL$40&lt;&gt;""),Input!$B$40&amp;";",""),IF(AND($G29&lt;Hta_21,$G29&gt;=Hba_21,Input!AL$41&lt;&gt;""),Input!$B$41&amp;";",""),IF(AND($G29&lt;Hta_22,$G29&gt;=Hba_22,Input!AL$42&lt;&gt;""),Input!$B$42&amp;";",""),IF(AND($G29&lt;Hta_23,$G29&gt;=Hba_23,Input!AL$43&lt;&gt;""),Input!$B$43&amp;";",""),IF(AND($G29&lt;Hta_24,$G29&gt;=Hba_24,Input!AL$44&lt;&gt;""),Input!$B$44&amp;";",""),IF(AND($G29&lt;Hta_25,$G29&gt;=Hba_25,Input!AL$45&lt;&gt;""),Input!$B$45&amp;";",""),IF(AND($G29&lt;Hta_26,$G29&gt;=Hba_26,Input!AL$46&lt;&gt;""),Input!$B$46&amp;";",""),IF(AND($G29&lt;Hta_27,$G29&gt;=Hba_27,Input!AL$47&lt;&gt;""),Input!$B$47&amp;";",""),IF(AND($G29&lt;Hta_28,$G29&gt;=Hba_28,Input!AL$48&lt;&gt;""),Input!$B$48&amp;";",""),IF(AND($G29&lt;Hta_29,$G29&gt;=Hba_29,Input!AL$49&lt;&gt;""),Input!$B$49&amp;";",""),IF(AND($G29&lt;Hta_30,$G29&gt;=Hba_30,Input!AL$50&lt;&gt;""),Input!$B$50&amp;";","")),"")</f>
        <v/>
      </c>
      <c r="CN29" s="60" t="str">
        <f t="shared" si="6"/>
        <v/>
      </c>
      <c r="CO29" s="798"/>
      <c r="CP29" s="799"/>
      <c r="CQ29" s="800"/>
      <c r="CR29" s="798"/>
      <c r="CS29" s="799"/>
      <c r="CT29" s="800"/>
      <c r="CU29" s="798" t="str">
        <f t="shared" si="7"/>
        <v/>
      </c>
      <c r="CV29" s="799"/>
      <c r="CW29" s="806"/>
      <c r="CX29" s="726"/>
      <c r="CY29" s="727"/>
      <c r="CZ29" s="732"/>
      <c r="DA29" s="726"/>
      <c r="DB29" s="727"/>
      <c r="DC29" s="732"/>
      <c r="DD29" s="726" t="str">
        <f t="shared" si="8"/>
        <v/>
      </c>
      <c r="DE29" s="727"/>
      <c r="DF29" s="728"/>
      <c r="DG29" s="53"/>
      <c r="DH29" s="54"/>
      <c r="DI29" s="54"/>
      <c r="DJ29" s="54"/>
      <c r="DK29" s="54"/>
      <c r="DL29" s="54"/>
      <c r="DM29" s="54"/>
      <c r="DN29" s="54"/>
      <c r="DO29" s="54"/>
      <c r="DP29" s="54"/>
      <c r="DQ29" s="57"/>
      <c r="DR29" s="57"/>
      <c r="DS29" s="57"/>
      <c r="DT29" s="57"/>
      <c r="DU29" s="57"/>
      <c r="DV29" s="57"/>
      <c r="DW29" s="57"/>
      <c r="DX29" s="57"/>
      <c r="DY29" s="57"/>
      <c r="DZ29" s="57"/>
      <c r="EA29" s="57"/>
      <c r="EB29" s="57"/>
      <c r="EC29" s="57"/>
      <c r="ED29" s="57"/>
      <c r="EE29" s="57"/>
      <c r="EF29" s="57"/>
      <c r="EG29" s="57"/>
      <c r="EH29" s="57"/>
      <c r="EI29" s="57"/>
      <c r="EJ29" s="57"/>
      <c r="EK29" s="57"/>
      <c r="EL29" s="133"/>
      <c r="EM29" s="133"/>
      <c r="EN29" s="133"/>
      <c r="EO29" s="133"/>
      <c r="EP29" s="133"/>
      <c r="EQ29" s="133"/>
      <c r="ER29" s="133"/>
      <c r="ES29" s="133"/>
      <c r="ET29" s="133"/>
      <c r="EU29" s="133"/>
      <c r="EV29" s="133"/>
      <c r="EW29" s="133"/>
      <c r="EX29" s="133"/>
      <c r="EY29" s="133"/>
      <c r="EZ29" s="133"/>
      <c r="FA29" s="133"/>
      <c r="FB29" s="133"/>
      <c r="FC29" s="133"/>
      <c r="FD29" s="133"/>
      <c r="FE29" s="133"/>
      <c r="FF29" s="133"/>
      <c r="FG29" s="133"/>
      <c r="FH29" s="133"/>
      <c r="FI29" s="133"/>
      <c r="FJ29" s="133"/>
      <c r="FK29" s="133"/>
      <c r="FL29" s="133"/>
      <c r="FM29" s="133"/>
      <c r="FN29" s="133"/>
      <c r="FO29" s="133"/>
      <c r="FP29" s="65"/>
      <c r="FQ29" s="125"/>
      <c r="FR29" s="123"/>
      <c r="FS29" s="121"/>
      <c r="FT29" s="119"/>
    </row>
    <row r="30" spans="2:176" ht="15.75" hidden="1" customHeight="1" thickBot="1" x14ac:dyDescent="0.3">
      <c r="B30" s="62" t="b">
        <f>IF(OR(AND(G30&gt;='Geometry 2'!$AK$5,G30&lt;'Geometry 2'!$AL$5),AND(G30&gt;='Geometry 2'!$AK$6,G30&lt;'Geometry 2'!$AL$6),AND(G30&gt;='Geometry 2'!$AK$7,G30&lt;'Geometry 2'!$AL$7),AND(G30&gt;='Geometry 2'!$AK$8,G30&lt;'Geometry 2'!$AL$8),AND(G30&gt;='Geometry 2'!$AK$9,G30&lt;'Geometry 2'!$AL$9),AND(G30&gt;='Geometry 2'!$AK$10,G30&lt;'Geometry 2'!$AL$10),AND(G30&gt;='Geometry 2'!$AK$11,G30&lt;'Geometry 2'!$AL$11),AND(G30&gt;='Geometry 2'!$AK$12,G30&lt;'Geometry 2'!$AL$12),AND(G30&gt;='Geometry 2'!$AK$13,G30&lt;'Geometry 2'!$AL$13),AND(G30&gt;='Geometry 2'!$AK$14,G30&lt;'Geometry 2'!$AL$14)),TRUE,FALSE)</f>
        <v>0</v>
      </c>
      <c r="C30" s="4" t="str">
        <f t="shared" si="3"/>
        <v/>
      </c>
      <c r="D30" s="766" t="str">
        <f t="shared" si="4"/>
        <v/>
      </c>
      <c r="E30" s="767"/>
      <c r="F30" s="17" t="str">
        <f t="shared" si="2"/>
        <v/>
      </c>
      <c r="G30" s="768" t="str">
        <f>IF(D30="","",MAX(0,G29-IF(inc="n/a",999,inc),MAX(IF(G29&lt;=Hta_1,0,Hta_1),IF(G29&lt;=Hta_2,0,Hta_2),IF(G29&lt;=Hta_3,0,Hta_3),IF(G29&lt;=Hta_4,0,Hta_4),IF(G29&lt;=Hta_5,0,Hta_5),IF(G29&lt;=Hta_6,0,Hta_6),IF(G29&lt;=Hta_7,0,Hta_7),IF(G29&lt;=Hta_8,0,Hta_8),IF(G29&lt;=Hta_9,0,Hta_9),IF(G29&lt;=Hta_10,0,Hta_10),IF(G29&lt;=Hta_11,0,Hta_11),IF(G29&lt;=Hta_12,0,Hta_12),IF(G29&lt;=Hta_13,0,Hta_13),IF(G29&lt;=Hta_14,0,Hta_14),IF(G29&lt;=Hta_15,0,Hta_15),IF(G29&lt;=Hta_16,0,Hta_16),IF(G29&lt;=Hta_17,0,Hta_17),IF(G29&lt;=Hta_18,0,Hta_18),IF(G29&lt;=Hta_19,0,Hta_19),IF(G29&lt;=Hta_20,0,Hta_20),IF(G29&lt;=Hta_21,0,Hta_21),IF(G29&lt;=Hta_22,0,Hta_22),IF(G29&lt;=Hta_23,0,Hta_23),IF(G29&lt;=Hta_24,0,Hta_24),IF(G29&lt;=Hta_25,0,Hta_25),IF(G29&lt;=Hta_26,0,Hta_26),IF(G29&lt;=Hta_27,0,Hta_27),IF(G29&lt;=Hta_28,0,Hta_28),IF(G29&lt;=Hta_29,0,Hta_29),IF(G29&lt;=Hta_30,0,Hta_30)),MAX(IF(G29&lt;=Hta_1-0.25,0,Hta_1-0.25),IF(G29&lt;=Hta_2-0.25,0,Hta_2-0.25),IF(G29&lt;=Hta_3-0.25,0,Hta_3-0.25),IF(G29&lt;=Hta_4-0.25,0,Hta_4-0.25),IF(G29&lt;=Hta_5-0.25,0,Hta_5-0.25),IF(G29&lt;=Hta_6-0.25,0,Hta_6-0.25),IF(G29&lt;=Hta_7-0.25,0,Hta_7-0.25),IF(G29&lt;=Hta_8-0.25,0,Hta_8-0.25),IF(G29&lt;=Hta_9-0.25,0,Hta_9-0.25),IF(G29&lt;=Hta_10-0.25,0,Hta_10-0.25),IF(G29&lt;=Hta_11-0.25,0,Hta_11-0.25),IF(G29&lt;=Hta_12-0.25,0,Hta_12-0.25),IF(G29&lt;=Hta_13-0.25,0,Hta_13-0.25),IF(G29&lt;=Hta_14-0.25,0,Hta_14-0.25),IF(G29&lt;=Hta_15-0.25,0,Hta_15-0.25),IF(G29&lt;=Hta_16-0.25,0,Hta_16-0.25),IF(G29&lt;=Hta_17-0.25,0,Hta_17-0.25),IF(G29&lt;=Hta_18-0.25,0,Hta_18-0.25),IF(G29&lt;=Hta_19-0.25,0,Hta_19-0.25),IF(G29&lt;=Hta_20-0.25,0,Hta_20-0.25),IF(G29&lt;=Hta_21-0.25,0,Hta_21-0.25),IF(G29&lt;=Hta_22-0.25,0,Hta_22-0.25),IF(G29&lt;=Hta_23-0.25,0,Hta_23-0.25),IF(G29&lt;=Hta_24-0.25,0,Hta_24-0.25),IF(G29&lt;=Hta_25-0.25,0,Hta_25-0.25),IF(G29&lt;=Hta_26-0.25,0,Hta_26-0.25),IF(G29&lt;=Hta_27-0.25,0,Hta_27-0.25),IF(G29&lt;=Hta_28-0.25,0,Hta_28-0.25),IF(G29&lt;=Hta_29-0.25,0,Hta_29-0.25),IF(G29&lt;=Hta_30-0.25,0,Hta_30-0.25)),MAX(IF(G29&lt;=Hba_1,0,Hba_1),IF(G29&lt;=Hba_2,0,Hba_2),IF(G29&lt;=Hba_3,0,Hba_3),IF(G29&lt;=Hba_4,0,Hba_4),IF(G29&lt;=Hba_5,0,Hba_5),IF(G29&lt;=Hba_6,0,Hba_6),IF(G29&lt;=Hba_7,0,Hba_7),IF(G29&lt;=Hba_8,0,Hba_8),IF(G29&lt;=Hba_9,0,Hba_9),IF(G29&lt;=Hba_10,0,Hba_10),IF(G29&lt;=Hba_11,0,Hba_11),IF(G29&lt;=Hba_12,0,Hba_12),IF(G29&lt;=Hba_13,0,Hba_13),IF(G29&lt;=Hba_14,0,Hba_14),IF(G29&lt;=Hba_15,0,Hba_15),IF(G29&lt;=Hba_16,0,Hba_16),IF(G29&lt;=Hba_17,0,Hba_17),IF(G29&lt;=Hba_18,0,Hba_18),IF(G29&lt;=Hba_19,0,Hba_19),IF(G29&lt;=Hba_20,0,Hba_20),IF(G29&lt;=Hba_21,0,Hba_21),IF(G29&lt;=Hba_22,0,Hba_22),IF(G29&lt;=Hba_23,0,Hba_23),IF(G29&lt;=Hba_24,0,Hba_24),IF(G29&lt;=Hba_25,0,Hba_25),IF(G29&lt;=Hba_26,0,Hba_26),IF(G29&lt;=Hba_27,0,Hba_27),IF(G29&lt;=Hba_28,0,Hba_28),IF(G29&lt;=Hba_29,0,Hba_29),IF(G29&lt;=Hba_30,0,Hba_30)),MAX(IF(G29&lt;=Input!$C$8,0,Input!$C$8),IF(G29&lt;=Input!$C$9,0,Input!$C$9),IF(G29&lt;=Input!$C$10,0,Input!$C$10),IF(G29&lt;=Input!$C$11,0,Input!$C$11),IF(G29&lt;=Input!$C$12,0,Input!$C$12),IF(G29&lt;=Input!$C$13,0,Input!$C$13),IF(G29&lt;=Input!$C$14,0,Input!$C$14),IF(G29&lt;=Input!$C$15,0,Input!$C$15),IF(G29&lt;=Input!$C$16,0,Input!$C$16)),MAX(IF(G29&lt;=Hba_1-0.25,0,Hba_1-0.25),IF(G29&lt;=Hba_2-0.25,0,Hba_2-0.25),IF(G29&lt;=Hba_3-0.25,0,Hba_3-0.25),IF(G29&lt;=Hba_4-0.25,0,Hba_4-0.25),IF(G29&lt;=Hba_5-0.25,0,Hba_5-0.25),IF(G29&lt;=Hba_6-0.25,0,Hba_6-0.25),IF(G29&lt;=Hba_7-0.25,0,Hba_7-0.25),IF(G29&lt;=Hba_8-0.25,0,Hba_8-0.25),IF(G29&lt;=Hba_9-0.25,0,Hba_9-0.25),IF(G29&lt;=Hba_10-0.25,0,Hba_10-0.25),IF(G29&lt;=Hba_11-0.25,0,Hba_11-0.25),IF(G29&lt;=Hba_12-0.25,0,Hba_12-0.25),IF(G29&lt;=Hba_13-0.25,0,Hba_13-0.25),IF(G29&lt;=Hba_14-0.25,0,Hba_14-0.25),IF(G29&lt;=Hba_15-0.25,0,Hba_15-0.25),IF(G29&lt;=Hba_16-0.25,0,Hba_16-0.25),IF(G29&lt;=Hba_17-0.25,0,Hba_17-0.25),IF(G29&lt;=Hba_18-0.25,0,Hba_18-0.25),IF(G29&lt;=Hba_19-0.25,0,Hba_19-0.25),IF(G29&lt;=Hba_20-0.25,0,Hba_20-0.25),IF(G29&lt;=Hba_21-0.25,0,Hba_21-0.25),IF(G29&lt;=Hba_22-0.25,0,Hba_22-0.25),IF(G29&lt;=Hba_23-0.25,0,Hba_23-0.25),IF(G29&lt;=Hba_24-0.25,0,Hba_24-0.25),IF(G29&lt;=Hba_25-0.25,0,Hba_25-0.25),IF(G29&lt;=Hba_26-0.25,0,Hba_26-0.25),IF(G29&lt;=Hba_27-0.25,0,Hba_27-0.25),IF(G29&lt;=Hba_28-0.25,0,Hba_28-0.25),IF(G29&lt;=Hba_29-0.25,0,Hba_29-0.25),IF(G29&lt;=Hba_30-0.25,0,Hba_30-0.25)),IF(G29&lt;='Macro References'!$A$38,0,'Macro References'!$A$38)))</f>
        <v/>
      </c>
      <c r="H30" s="769"/>
      <c r="I30" s="228"/>
      <c r="J30" s="228"/>
      <c r="K30" s="228"/>
      <c r="L30" s="717" t="str">
        <f t="shared" si="0"/>
        <v/>
      </c>
      <c r="M30" s="717"/>
      <c r="N30" s="717"/>
      <c r="O30" s="717"/>
      <c r="P30" s="717" t="str">
        <f>IF(OR(G30=0,G30=""),"",IF(VLOOKUP(G30,'Geometry 2'!$C$4:$AI$14,1,TRUE)=VLOOKUP(G31,'Geometry 2'!$C$4:$AI$14,1,TRUE),"",IF(VLOOKUP(G30,'Geometry 2'!$C$4:$AI$14,33,TRUE)&lt;&gt;"n/a",MIN(G30,VLOOKUP(G30,'Geometry 2'!$C$4:$AI$14,1,TRUE))-VLOOKUP(G30,'Geometry 2'!$C$4:$AI$14,33,TRUE),"check")))</f>
        <v/>
      </c>
      <c r="Q30" s="717"/>
      <c r="R30" s="717"/>
      <c r="S30" s="717"/>
      <c r="T30" s="717" t="str">
        <f>IF($G30="","",VLOOKUP($G30,'Geometry 2'!$E$4:$AH$14,11,TRUE))</f>
        <v/>
      </c>
      <c r="U30" s="717"/>
      <c r="V30" s="717"/>
      <c r="W30" s="717"/>
      <c r="X30" s="716" t="str">
        <f>IF($G30="","",VLOOKUP($G30,'Geometry 2'!$E$4:$AJ$14,19,TRUE)-12*VLOOKUP($G30,'Geometry 2'!$E$4:$AJ$14,32,TRUE)*($D30-VLOOKUP($G30,'Geometry 2'!$E$5:$AH$14,1,TRUE)))</f>
        <v/>
      </c>
      <c r="Y30" s="716"/>
      <c r="Z30" s="716"/>
      <c r="AA30" s="716"/>
      <c r="AB30" s="757" t="str">
        <f>IF($G30="","",VLOOKUP($G30,'Geometry 2'!$E$4:$AJ$14,19,TRUE)-12*VLOOKUP($G30,'Geometry 2'!$E$4:$AJ$14,32,TRUE)*($G30-VLOOKUP($G30,'Geometry 2'!$E$5:$AH$14,1,TRUE)))</f>
        <v/>
      </c>
      <c r="AC30" s="758"/>
      <c r="AD30" s="758"/>
      <c r="AE30" s="759"/>
      <c r="AF30" s="716" t="str">
        <f>IF($G30="","",VLOOKUP($G30,'Geometry 2'!$E$4:$AJ$14,19,TRUE)-12*VLOOKUP($G30,'Geometry 2'!$E$4:$AJ$14,32,TRUE)*($G30-IF($P30="",0,$P30)-VLOOKUP($G30,'Geometry 2'!$E$5:$AH$14,1,TRUE)))</f>
        <v/>
      </c>
      <c r="AG30" s="716"/>
      <c r="AH30" s="716"/>
      <c r="AI30" s="716"/>
      <c r="AJ30" s="746" t="str">
        <f>IF($G30="","",VLOOKUP($G30,'Geometry 2'!$E$4:$AH$14,23,TRUE))</f>
        <v/>
      </c>
      <c r="AK30" s="747"/>
      <c r="AL30" s="747"/>
      <c r="AM30" s="748"/>
      <c r="AN30" s="717"/>
      <c r="AO30" s="717"/>
      <c r="AP30" s="717"/>
      <c r="AQ30" s="717"/>
      <c r="AR30" s="717" t="str">
        <f>IF($G30="","",VLOOKUP($G30,'Geometry 2'!$E$4:$AH$14,27,TRUE))</f>
        <v/>
      </c>
      <c r="AS30" s="717"/>
      <c r="AT30" s="717"/>
      <c r="AU30" s="718"/>
      <c r="AV30" s="715"/>
      <c r="AW30" s="716"/>
      <c r="AX30" s="716"/>
      <c r="AZ30" s="722" t="str">
        <f t="shared" si="5"/>
        <v/>
      </c>
      <c r="BA30" s="723"/>
      <c r="BB30" s="723"/>
      <c r="BC30" s="724"/>
      <c r="BD30" s="722"/>
      <c r="BE30" s="723"/>
      <c r="BF30" s="723"/>
      <c r="BG30" s="722" t="str">
        <f t="shared" si="9"/>
        <v/>
      </c>
      <c r="BH30" s="723"/>
      <c r="BI30" s="723"/>
      <c r="BJ30" s="723"/>
      <c r="BK30" s="724"/>
      <c r="BL30" s="722"/>
      <c r="BM30" s="723"/>
      <c r="BN30" s="723"/>
      <c r="BO30" s="723"/>
      <c r="BP30" s="725"/>
      <c r="BQ30" s="725"/>
      <c r="BR30" s="722" t="str">
        <f>IF(BP30="","",IF(OR(AND(Rev="H",Calculations!$F$27=TRUE),AND(Rev&lt;&gt;"H",Calculations!$F$30=TRUE)),IF(BP30&lt;=1,"Pass","Fail"),IF(BP30&lt;=1.05,"Pass","Fail")))</f>
        <v/>
      </c>
      <c r="BS30" s="723"/>
      <c r="BT30" s="724"/>
      <c r="BU30" s="49"/>
      <c r="BV30" s="25" t="str">
        <f>IFERROR(CONCATENATE(IF(AND($G30&lt;Hta_1,$G30&gt;=Hba_1,Input!U$21&lt;&gt;""),Input!$B$21&amp;";",""),IF(AND($G30&lt;Hta_2,$G30&gt;=Hba_2,Input!U$22&lt;&gt;""),Input!$B$22&amp;";",""),IF(AND($G30&lt;Hta_3,$G30&gt;=Hba_3,Input!U$23&lt;&gt;""),Input!$B$23&amp;";",""),IF(AND($G30&lt;Hta_4,$G30&gt;=Hba_4,Input!U$24&lt;&gt;""),Input!$B$24&amp;";",""),IF(AND($G30&lt;Hta_5,$G30&gt;=Hba_5,Input!U$25&lt;&gt;""),Input!$B$25&amp;";",""),IF(AND($G30&lt;Hta_6,$G30&gt;=Hba_6,Input!U$26&lt;&gt;""),Input!$B$26&amp;";",""),IF(AND($G30&lt;Hta_7,$G30&gt;=Hba_7,Input!U$27&lt;&gt;""),Input!$B$27&amp;";",""),IF(AND($G30&lt;Hta_8,$G30&gt;=Hba_8,Input!U$28&lt;&gt;""),Input!$B$28&amp;";",""),IF(AND($G30&lt;Hta_9,$G30&gt;=Hba_9,Input!U$29&lt;&gt;""),Input!$B$29&amp;";",""),IF(AND($G30&lt;Hta_10,$G30&gt;=Hba_10,Input!U$30&lt;&gt;""),Input!$B$30&amp;";",""),IF(AND($G30&lt;Hta_11,$G30&gt;=Hba_11,Input!U$31&lt;&gt;""),Input!$B$31&amp;";",""),IF(AND($G30&lt;Hta_12,$G30&gt;=Hba_12,Input!U$32&lt;&gt;""),Input!$B$32&amp;";",""),IF(AND($G30&lt;Hta_13,$G30&gt;=Hba_13,Input!U$33&lt;&gt;""),Input!$B$33&amp;";",""),IF(AND($G30&lt;Hta_14,$G30&gt;=Hba_14,Input!U$34&lt;&gt;""),Input!$B$34&amp;";",""),IF(AND($G30&lt;Hta_15,$G30&gt;=Hba_15,Input!U$35&lt;&gt;""),Input!$B$35&amp;";",""),IF(AND($G30&lt;Hta_16,$G30&gt;=Hba_16,Input!U$36&lt;&gt;""),Input!$B$36&amp;";",""),IF(AND($G30&lt;Hta_17,$G30&gt;=Hba_17,Input!U$37&lt;&gt;""),Input!$B$37&amp;";",""),IF(AND($G30&lt;Hta_18,$G30&gt;=Hba_18,Input!U$38&lt;&gt;""),Input!$B$38&amp;";",""),IF(AND($G30&lt;Hta_19,$G30&gt;=Hba_19,Input!U$39&lt;&gt;""),Input!$B$39&amp;";",""),IF(AND($G30&lt;Hta_20,$G30&gt;=Hba_20,Input!U$40&lt;&gt;""),Input!$B$40&amp;";",""),IF(AND($G30&lt;Hta_21,$G30&gt;=Hba_21,Input!U$41&lt;&gt;""),Input!$B$41&amp;";",""),IF(AND($G30&lt;Hta_22,$G30&gt;=Hba_22,Input!U$42&lt;&gt;""),Input!$B$42&amp;";",""),IF(AND($G30&lt;Hta_23,$G30&gt;=Hba_23,Input!U$43&lt;&gt;""),Input!$B$43&amp;";",""),IF(AND($G30&lt;Hta_24,$G30&gt;=Hba_24,Input!U$44&lt;&gt;""),Input!$B$44&amp;";",""),IF(AND($G30&lt;Hta_25,$G30&gt;=Hba_25,Input!U$45&lt;&gt;""),Input!$B$45&amp;";",""),IF(AND($G30&lt;Hta_26,$G30&gt;=Hba_26,Input!U$46&lt;&gt;""),Input!$B$46&amp;";",""),IF(AND($G30&lt;Hta_27,$G30&gt;=Hba_27,Input!U$47&lt;&gt;""),Input!$B$47&amp;";",""),IF(AND($G30&lt;Hta_28,$G30&gt;=Hba_28,Input!U$48&lt;&gt;""),Input!$B$48&amp;";",""),IF(AND($G30&lt;Hta_29,$G30&gt;=Hba_29,Input!U$49&lt;&gt;""),Input!$B$49&amp;";",""),IF(AND($G30&lt;Hta_30,$G30&gt;=Hba_30,Input!U$50&lt;&gt;""),Input!$B$50&amp;";","")),"")</f>
        <v/>
      </c>
      <c r="BW30" s="25" t="str">
        <f>IFERROR(CONCATENATE(IF(AND($G30&lt;Hta_1,$G30&gt;=Hba_1,Input!V$21&lt;&gt;""),Input!$B$21&amp;";",""),IF(AND($G30&lt;Hta_2,$G30&gt;=Hba_2,Input!V$22&lt;&gt;""),Input!$B$22&amp;";",""),IF(AND($G30&lt;Hta_3,$G30&gt;=Hba_3,Input!V$23&lt;&gt;""),Input!$B$23&amp;";",""),IF(AND($G30&lt;Hta_4,$G30&gt;=Hba_4,Input!V$24&lt;&gt;""),Input!$B$24&amp;";",""),IF(AND($G30&lt;Hta_5,$G30&gt;=Hba_5,Input!V$25&lt;&gt;""),Input!$B$25&amp;";",""),IF(AND($G30&lt;Hta_6,$G30&gt;=Hba_6,Input!V$26&lt;&gt;""),Input!$B$26&amp;";",""),IF(AND($G30&lt;Hta_7,$G30&gt;=Hba_7,Input!V$27&lt;&gt;""),Input!$B$27&amp;";",""),IF(AND($G30&lt;Hta_8,$G30&gt;=Hba_8,Input!V$28&lt;&gt;""),Input!$B$28&amp;";",""),IF(AND($G30&lt;Hta_9,$G30&gt;=Hba_9,Input!V$29&lt;&gt;""),Input!$B$29&amp;";",""),IF(AND($G30&lt;Hta_10,$G30&gt;=Hba_10,Input!V$30&lt;&gt;""),Input!$B$30&amp;";",""),IF(AND($G30&lt;Hta_11,$G30&gt;=Hba_11,Input!V$31&lt;&gt;""),Input!$B$31&amp;";",""),IF(AND($G30&lt;Hta_12,$G30&gt;=Hba_12,Input!V$32&lt;&gt;""),Input!$B$32&amp;";",""),IF(AND($G30&lt;Hta_13,$G30&gt;=Hba_13,Input!V$33&lt;&gt;""),Input!$B$33&amp;";",""),IF(AND($G30&lt;Hta_14,$G30&gt;=Hba_14,Input!V$34&lt;&gt;""),Input!$B$34&amp;";",""),IF(AND($G30&lt;Hta_15,$G30&gt;=Hba_15,Input!V$35&lt;&gt;""),Input!$B$35&amp;";",""),IF(AND($G30&lt;Hta_16,$G30&gt;=Hba_16,Input!V$36&lt;&gt;""),Input!$B$36&amp;";",""),IF(AND($G30&lt;Hta_17,$G30&gt;=Hba_17,Input!V$37&lt;&gt;""),Input!$B$37&amp;";",""),IF(AND($G30&lt;Hta_18,$G30&gt;=Hba_18,Input!V$38&lt;&gt;""),Input!$B$38&amp;";",""),IF(AND($G30&lt;Hta_19,$G30&gt;=Hba_19,Input!V$39&lt;&gt;""),Input!$B$39&amp;";",""),IF(AND($G30&lt;Hta_20,$G30&gt;=Hba_20,Input!V$40&lt;&gt;""),Input!$B$40&amp;";",""),IF(AND($G30&lt;Hta_21,$G30&gt;=Hba_21,Input!V$41&lt;&gt;""),Input!$B$41&amp;";",""),IF(AND($G30&lt;Hta_22,$G30&gt;=Hba_22,Input!V$42&lt;&gt;""),Input!$B$42&amp;";",""),IF(AND($G30&lt;Hta_23,$G30&gt;=Hba_23,Input!V$43&lt;&gt;""),Input!$B$43&amp;";",""),IF(AND($G30&lt;Hta_24,$G30&gt;=Hba_24,Input!V$44&lt;&gt;""),Input!$B$44&amp;";",""),IF(AND($G30&lt;Hta_25,$G30&gt;=Hba_25,Input!V$45&lt;&gt;""),Input!$B$45&amp;";",""),IF(AND($G30&lt;Hta_26,$G30&gt;=Hba_26,Input!V$46&lt;&gt;""),Input!$B$46&amp;";",""),IF(AND($G30&lt;Hta_27,$G30&gt;=Hba_27,Input!V$47&lt;&gt;""),Input!$B$47&amp;";",""),IF(AND($G30&lt;Hta_28,$G30&gt;=Hba_28,Input!V$48&lt;&gt;""),Input!$B$48&amp;";",""),IF(AND($G30&lt;Hta_29,$G30&gt;=Hba_29,Input!V$49&lt;&gt;""),Input!$B$49&amp;";",""),IF(AND($G30&lt;Hta_30,$G30&gt;=Hba_30,Input!V$50&lt;&gt;""),Input!$B$50&amp;";","")),"")</f>
        <v/>
      </c>
      <c r="BX30" s="25" t="str">
        <f>IFERROR(CONCATENATE(IF(AND($G30&lt;Hta_1,$G30&gt;=Hba_1,Input!W$21&lt;&gt;""),Input!$B$21&amp;";",""),IF(AND($G30&lt;Hta_2,$G30&gt;=Hba_2,Input!W$22&lt;&gt;""),Input!$B$22&amp;";",""),IF(AND($G30&lt;Hta_3,$G30&gt;=Hba_3,Input!W$23&lt;&gt;""),Input!$B$23&amp;";",""),IF(AND($G30&lt;Hta_4,$G30&gt;=Hba_4,Input!W$24&lt;&gt;""),Input!$B$24&amp;";",""),IF(AND($G30&lt;Hta_5,$G30&gt;=Hba_5,Input!W$25&lt;&gt;""),Input!$B$25&amp;";",""),IF(AND($G30&lt;Hta_6,$G30&gt;=Hba_6,Input!W$26&lt;&gt;""),Input!$B$26&amp;";",""),IF(AND($G30&lt;Hta_7,$G30&gt;=Hba_7,Input!W$27&lt;&gt;""),Input!$B$27&amp;";",""),IF(AND($G30&lt;Hta_8,$G30&gt;=Hba_8,Input!W$28&lt;&gt;""),Input!$B$28&amp;";",""),IF(AND($G30&lt;Hta_9,$G30&gt;=Hba_9,Input!W$29&lt;&gt;""),Input!$B$29&amp;";",""),IF(AND($G30&lt;Hta_10,$G30&gt;=Hba_10,Input!W$30&lt;&gt;""),Input!$B$30&amp;";",""),IF(AND($G30&lt;Hta_11,$G30&gt;=Hba_11,Input!W$31&lt;&gt;""),Input!$B$31&amp;";",""),IF(AND($G30&lt;Hta_12,$G30&gt;=Hba_12,Input!W$32&lt;&gt;""),Input!$B$32&amp;";",""),IF(AND($G30&lt;Hta_13,$G30&gt;=Hba_13,Input!W$33&lt;&gt;""),Input!$B$33&amp;";",""),IF(AND($G30&lt;Hta_14,$G30&gt;=Hba_14,Input!W$34&lt;&gt;""),Input!$B$34&amp;";",""),IF(AND($G30&lt;Hta_15,$G30&gt;=Hba_15,Input!W$35&lt;&gt;""),Input!$B$35&amp;";",""),IF(AND($G30&lt;Hta_16,$G30&gt;=Hba_16,Input!W$36&lt;&gt;""),Input!$B$36&amp;";",""),IF(AND($G30&lt;Hta_17,$G30&gt;=Hba_17,Input!W$37&lt;&gt;""),Input!$B$37&amp;";",""),IF(AND($G30&lt;Hta_18,$G30&gt;=Hba_18,Input!W$38&lt;&gt;""),Input!$B$38&amp;";",""),IF(AND($G30&lt;Hta_19,$G30&gt;=Hba_19,Input!W$39&lt;&gt;""),Input!$B$39&amp;";",""),IF(AND($G30&lt;Hta_20,$G30&gt;=Hba_20,Input!W$40&lt;&gt;""),Input!$B$40&amp;";",""),IF(AND($G30&lt;Hta_21,$G30&gt;=Hba_21,Input!W$41&lt;&gt;""),Input!$B$41&amp;";",""),IF(AND($G30&lt;Hta_22,$G30&gt;=Hba_22,Input!W$42&lt;&gt;""),Input!$B$42&amp;";",""),IF(AND($G30&lt;Hta_23,$G30&gt;=Hba_23,Input!W$43&lt;&gt;""),Input!$B$43&amp;";",""),IF(AND($G30&lt;Hta_24,$G30&gt;=Hba_24,Input!W$44&lt;&gt;""),Input!$B$44&amp;";",""),IF(AND($G30&lt;Hta_25,$G30&gt;=Hba_25,Input!W$45&lt;&gt;""),Input!$B$45&amp;";",""),IF(AND($G30&lt;Hta_26,$G30&gt;=Hba_26,Input!W$46&lt;&gt;""),Input!$B$46&amp;";",""),IF(AND($G30&lt;Hta_27,$G30&gt;=Hba_27,Input!W$47&lt;&gt;""),Input!$B$47&amp;";",""),IF(AND($G30&lt;Hta_28,$G30&gt;=Hba_28,Input!W$48&lt;&gt;""),Input!$B$48&amp;";",""),IF(AND($G30&lt;Hta_29,$G30&gt;=Hba_29,Input!W$49&lt;&gt;""),Input!$B$49&amp;";",""),IF(AND($G30&lt;Hta_30,$G30&gt;=Hba_30,Input!W$50&lt;&gt;""),Input!$B$50&amp;";","")),"")</f>
        <v/>
      </c>
      <c r="BY30" s="25" t="str">
        <f>IFERROR(CONCATENATE(IF(AND($G30&lt;Hta_1,$G30&gt;=Hba_1,Input!X$21&lt;&gt;""),Input!$B$21&amp;";",""),IF(AND($G30&lt;Hta_2,$G30&gt;=Hba_2,Input!X$22&lt;&gt;""),Input!$B$22&amp;";",""),IF(AND($G30&lt;Hta_3,$G30&gt;=Hba_3,Input!X$23&lt;&gt;""),Input!$B$23&amp;";",""),IF(AND($G30&lt;Hta_4,$G30&gt;=Hba_4,Input!X$24&lt;&gt;""),Input!$B$24&amp;";",""),IF(AND($G30&lt;Hta_5,$G30&gt;=Hba_5,Input!X$25&lt;&gt;""),Input!$B$25&amp;";",""),IF(AND($G30&lt;Hta_6,$G30&gt;=Hba_6,Input!X$26&lt;&gt;""),Input!$B$26&amp;";",""),IF(AND($G30&lt;Hta_7,$G30&gt;=Hba_7,Input!X$27&lt;&gt;""),Input!$B$27&amp;";",""),IF(AND($G30&lt;Hta_8,$G30&gt;=Hba_8,Input!X$28&lt;&gt;""),Input!$B$28&amp;";",""),IF(AND($G30&lt;Hta_9,$G30&gt;=Hba_9,Input!X$29&lt;&gt;""),Input!$B$29&amp;";",""),IF(AND($G30&lt;Hta_10,$G30&gt;=Hba_10,Input!X$30&lt;&gt;""),Input!$B$30&amp;";",""),IF(AND($G30&lt;Hta_11,$G30&gt;=Hba_11,Input!X$31&lt;&gt;""),Input!$B$31&amp;";",""),IF(AND($G30&lt;Hta_12,$G30&gt;=Hba_12,Input!X$32&lt;&gt;""),Input!$B$32&amp;";",""),IF(AND($G30&lt;Hta_13,$G30&gt;=Hba_13,Input!X$33&lt;&gt;""),Input!$B$33&amp;";",""),IF(AND($G30&lt;Hta_14,$G30&gt;=Hba_14,Input!X$34&lt;&gt;""),Input!$B$34&amp;";",""),IF(AND($G30&lt;Hta_15,$G30&gt;=Hba_15,Input!X$35&lt;&gt;""),Input!$B$35&amp;";",""),IF(AND($G30&lt;Hta_16,$G30&gt;=Hba_16,Input!X$36&lt;&gt;""),Input!$B$36&amp;";",""),IF(AND($G30&lt;Hta_17,$G30&gt;=Hba_17,Input!X$37&lt;&gt;""),Input!$B$37&amp;";",""),IF(AND($G30&lt;Hta_18,$G30&gt;=Hba_18,Input!X$38&lt;&gt;""),Input!$B$38&amp;";",""),IF(AND($G30&lt;Hta_19,$G30&gt;=Hba_19,Input!X$39&lt;&gt;""),Input!$B$39&amp;";",""),IF(AND($G30&lt;Hta_20,$G30&gt;=Hba_20,Input!X$40&lt;&gt;""),Input!$B$40&amp;";",""),IF(AND($G30&lt;Hta_21,$G30&gt;=Hba_21,Input!X$41&lt;&gt;""),Input!$B$41&amp;";",""),IF(AND($G30&lt;Hta_22,$G30&gt;=Hba_22,Input!X$42&lt;&gt;""),Input!$B$42&amp;";",""),IF(AND($G30&lt;Hta_23,$G30&gt;=Hba_23,Input!X$43&lt;&gt;""),Input!$B$43&amp;";",""),IF(AND($G30&lt;Hta_24,$G30&gt;=Hba_24,Input!X$44&lt;&gt;""),Input!$B$44&amp;";",""),IF(AND($G30&lt;Hta_25,$G30&gt;=Hba_25,Input!X$45&lt;&gt;""),Input!$B$45&amp;";",""),IF(AND($G30&lt;Hta_26,$G30&gt;=Hba_26,Input!X$46&lt;&gt;""),Input!$B$46&amp;";",""),IF(AND($G30&lt;Hta_27,$G30&gt;=Hba_27,Input!X$47&lt;&gt;""),Input!$B$47&amp;";",""),IF(AND($G30&lt;Hta_28,$G30&gt;=Hba_28,Input!X$48&lt;&gt;""),Input!$B$48&amp;";",""),IF(AND($G30&lt;Hta_29,$G30&gt;=Hba_29,Input!X$49&lt;&gt;""),Input!$B$49&amp;";",""),IF(AND($G30&lt;Hta_30,$G30&gt;=Hba_30,Input!X$50&lt;&gt;""),Input!$B$50&amp;";","")),"")</f>
        <v/>
      </c>
      <c r="BZ30" s="25" t="str">
        <f>IFERROR(CONCATENATE(IF(AND($G30&lt;Hta_1,$G30&gt;=Hba_1,Input!Y$21&lt;&gt;""),Input!$B$21&amp;";",""),IF(AND($G30&lt;Hta_2,$G30&gt;=Hba_2,Input!Y$22&lt;&gt;""),Input!$B$22&amp;";",""),IF(AND($G30&lt;Hta_3,$G30&gt;=Hba_3,Input!Y$23&lt;&gt;""),Input!$B$23&amp;";",""),IF(AND($G30&lt;Hta_4,$G30&gt;=Hba_4,Input!Y$24&lt;&gt;""),Input!$B$24&amp;";",""),IF(AND($G30&lt;Hta_5,$G30&gt;=Hba_5,Input!Y$25&lt;&gt;""),Input!$B$25&amp;";",""),IF(AND($G30&lt;Hta_6,$G30&gt;=Hba_6,Input!Y$26&lt;&gt;""),Input!$B$26&amp;";",""),IF(AND($G30&lt;Hta_7,$G30&gt;=Hba_7,Input!Y$27&lt;&gt;""),Input!$B$27&amp;";",""),IF(AND($G30&lt;Hta_8,$G30&gt;=Hba_8,Input!Y$28&lt;&gt;""),Input!$B$28&amp;";",""),IF(AND($G30&lt;Hta_9,$G30&gt;=Hba_9,Input!Y$29&lt;&gt;""),Input!$B$29&amp;";",""),IF(AND($G30&lt;Hta_10,$G30&gt;=Hba_10,Input!Y$30&lt;&gt;""),Input!$B$30&amp;";",""),IF(AND($G30&lt;Hta_11,$G30&gt;=Hba_11,Input!Y$31&lt;&gt;""),Input!$B$31&amp;";",""),IF(AND($G30&lt;Hta_12,$G30&gt;=Hba_12,Input!Y$32&lt;&gt;""),Input!$B$32&amp;";",""),IF(AND($G30&lt;Hta_13,$G30&gt;=Hba_13,Input!Y$33&lt;&gt;""),Input!$B$33&amp;";",""),IF(AND($G30&lt;Hta_14,$G30&gt;=Hba_14,Input!Y$34&lt;&gt;""),Input!$B$34&amp;";",""),IF(AND($G30&lt;Hta_15,$G30&gt;=Hba_15,Input!Y$35&lt;&gt;""),Input!$B$35&amp;";",""),IF(AND($G30&lt;Hta_16,$G30&gt;=Hba_16,Input!Y$36&lt;&gt;""),Input!$B$36&amp;";",""),IF(AND($G30&lt;Hta_17,$G30&gt;=Hba_17,Input!Y$37&lt;&gt;""),Input!$B$37&amp;";",""),IF(AND($G30&lt;Hta_18,$G30&gt;=Hba_18,Input!Y$38&lt;&gt;""),Input!$B$38&amp;";",""),IF(AND($G30&lt;Hta_19,$G30&gt;=Hba_19,Input!Y$39&lt;&gt;""),Input!$B$39&amp;";",""),IF(AND($G30&lt;Hta_20,$G30&gt;=Hba_20,Input!Y$40&lt;&gt;""),Input!$B$40&amp;";",""),IF(AND($G30&lt;Hta_21,$G30&gt;=Hba_21,Input!Y$41&lt;&gt;""),Input!$B$41&amp;";",""),IF(AND($G30&lt;Hta_22,$G30&gt;=Hba_22,Input!Y$42&lt;&gt;""),Input!$B$42&amp;";",""),IF(AND($G30&lt;Hta_23,$G30&gt;=Hba_23,Input!Y$43&lt;&gt;""),Input!$B$43&amp;";",""),IF(AND($G30&lt;Hta_24,$G30&gt;=Hba_24,Input!Y$44&lt;&gt;""),Input!$B$44&amp;";",""),IF(AND($G30&lt;Hta_25,$G30&gt;=Hba_25,Input!Y$45&lt;&gt;""),Input!$B$45&amp;";",""),IF(AND($G30&lt;Hta_26,$G30&gt;=Hba_26,Input!Y$46&lt;&gt;""),Input!$B$46&amp;";",""),IF(AND($G30&lt;Hta_27,$G30&gt;=Hba_27,Input!Y$47&lt;&gt;""),Input!$B$47&amp;";",""),IF(AND($G30&lt;Hta_28,$G30&gt;=Hba_28,Input!Y$48&lt;&gt;""),Input!$B$48&amp;";",""),IF(AND($G30&lt;Hta_29,$G30&gt;=Hba_29,Input!Y$49&lt;&gt;""),Input!$B$49&amp;";",""),IF(AND($G30&lt;Hta_30,$G30&gt;=Hba_30,Input!Y$50&lt;&gt;""),Input!$B$50&amp;";","")),"")</f>
        <v/>
      </c>
      <c r="CA30" s="25" t="str">
        <f>IFERROR(CONCATENATE(IF(AND($G30&lt;Hta_1,$G30&gt;=Hba_1,Input!Z$21&lt;&gt;""),Input!$B$21&amp;";",""),IF(AND($G30&lt;Hta_2,$G30&gt;=Hba_2,Input!Z$22&lt;&gt;""),Input!$B$22&amp;";",""),IF(AND($G30&lt;Hta_3,$G30&gt;=Hba_3,Input!Z$23&lt;&gt;""),Input!$B$23&amp;";",""),IF(AND($G30&lt;Hta_4,$G30&gt;=Hba_4,Input!Z$24&lt;&gt;""),Input!$B$24&amp;";",""),IF(AND($G30&lt;Hta_5,$G30&gt;=Hba_5,Input!Z$25&lt;&gt;""),Input!$B$25&amp;";",""),IF(AND($G30&lt;Hta_6,$G30&gt;=Hba_6,Input!Z$26&lt;&gt;""),Input!$B$26&amp;";",""),IF(AND($G30&lt;Hta_7,$G30&gt;=Hba_7,Input!Z$27&lt;&gt;""),Input!$B$27&amp;";",""),IF(AND($G30&lt;Hta_8,$G30&gt;=Hba_8,Input!Z$28&lt;&gt;""),Input!$B$28&amp;";",""),IF(AND($G30&lt;Hta_9,$G30&gt;=Hba_9,Input!Z$29&lt;&gt;""),Input!$B$29&amp;";",""),IF(AND($G30&lt;Hta_10,$G30&gt;=Hba_10,Input!Z$30&lt;&gt;""),Input!$B$30&amp;";",""),IF(AND($G30&lt;Hta_11,$G30&gt;=Hba_11,Input!Z$31&lt;&gt;""),Input!$B$31&amp;";",""),IF(AND($G30&lt;Hta_12,$G30&gt;=Hba_12,Input!Z$32&lt;&gt;""),Input!$B$32&amp;";",""),IF(AND($G30&lt;Hta_13,$G30&gt;=Hba_13,Input!Z$33&lt;&gt;""),Input!$B$33&amp;";",""),IF(AND($G30&lt;Hta_14,$G30&gt;=Hba_14,Input!Z$34&lt;&gt;""),Input!$B$34&amp;";",""),IF(AND($G30&lt;Hta_15,$G30&gt;=Hba_15,Input!Z$35&lt;&gt;""),Input!$B$35&amp;";",""),IF(AND($G30&lt;Hta_16,$G30&gt;=Hba_16,Input!Z$36&lt;&gt;""),Input!$B$36&amp;";",""),IF(AND($G30&lt;Hta_17,$G30&gt;=Hba_17,Input!Z$37&lt;&gt;""),Input!$B$37&amp;";",""),IF(AND($G30&lt;Hta_18,$G30&gt;=Hba_18,Input!Z$38&lt;&gt;""),Input!$B$38&amp;";",""),IF(AND($G30&lt;Hta_19,$G30&gt;=Hba_19,Input!Z$39&lt;&gt;""),Input!$B$39&amp;";",""),IF(AND($G30&lt;Hta_20,$G30&gt;=Hba_20,Input!Z$40&lt;&gt;""),Input!$B$40&amp;";",""),IF(AND($G30&lt;Hta_21,$G30&gt;=Hba_21,Input!Z$41&lt;&gt;""),Input!$B$41&amp;";",""),IF(AND($G30&lt;Hta_22,$G30&gt;=Hba_22,Input!Z$42&lt;&gt;""),Input!$B$42&amp;";",""),IF(AND($G30&lt;Hta_23,$G30&gt;=Hba_23,Input!Z$43&lt;&gt;""),Input!$B$43&amp;";",""),IF(AND($G30&lt;Hta_24,$G30&gt;=Hba_24,Input!Z$44&lt;&gt;""),Input!$B$44&amp;";",""),IF(AND($G30&lt;Hta_25,$G30&gt;=Hba_25,Input!Z$45&lt;&gt;""),Input!$B$45&amp;";",""),IF(AND($G30&lt;Hta_26,$G30&gt;=Hba_26,Input!Z$46&lt;&gt;""),Input!$B$46&amp;";",""),IF(AND($G30&lt;Hta_27,$G30&gt;=Hba_27,Input!Z$47&lt;&gt;""),Input!$B$47&amp;";",""),IF(AND($G30&lt;Hta_28,$G30&gt;=Hba_28,Input!Z$48&lt;&gt;""),Input!$B$48&amp;";",""),IF(AND($G30&lt;Hta_29,$G30&gt;=Hba_29,Input!Z$49&lt;&gt;""),Input!$B$49&amp;";",""),IF(AND($G30&lt;Hta_30,$G30&gt;=Hba_30,Input!Z$50&lt;&gt;""),Input!$B$50&amp;";","")),"")</f>
        <v/>
      </c>
      <c r="CB30" s="25" t="str">
        <f>IFERROR(CONCATENATE(IF(AND($G30&lt;Hta_1,$G30&gt;=Hba_1,Input!AA$21&lt;&gt;""),Input!$B$21&amp;";",""),IF(AND($G30&lt;Hta_2,$G30&gt;=Hba_2,Input!AA$22&lt;&gt;""),Input!$B$22&amp;";",""),IF(AND($G30&lt;Hta_3,$G30&gt;=Hba_3,Input!AA$23&lt;&gt;""),Input!$B$23&amp;";",""),IF(AND($G30&lt;Hta_4,$G30&gt;=Hba_4,Input!AA$24&lt;&gt;""),Input!$B$24&amp;";",""),IF(AND($G30&lt;Hta_5,$G30&gt;=Hba_5,Input!AA$25&lt;&gt;""),Input!$B$25&amp;";",""),IF(AND($G30&lt;Hta_6,$G30&gt;=Hba_6,Input!AA$26&lt;&gt;""),Input!$B$26&amp;";",""),IF(AND($G30&lt;Hta_7,$G30&gt;=Hba_7,Input!AA$27&lt;&gt;""),Input!$B$27&amp;";",""),IF(AND($G30&lt;Hta_8,$G30&gt;=Hba_8,Input!AA$28&lt;&gt;""),Input!$B$28&amp;";",""),IF(AND($G30&lt;Hta_9,$G30&gt;=Hba_9,Input!AA$29&lt;&gt;""),Input!$B$29&amp;";",""),IF(AND($G30&lt;Hta_10,$G30&gt;=Hba_10,Input!AA$30&lt;&gt;""),Input!$B$30&amp;";",""),IF(AND($G30&lt;Hta_11,$G30&gt;=Hba_11,Input!AA$31&lt;&gt;""),Input!$B$31&amp;";",""),IF(AND($G30&lt;Hta_12,$G30&gt;=Hba_12,Input!AA$32&lt;&gt;""),Input!$B$32&amp;";",""),IF(AND($G30&lt;Hta_13,$G30&gt;=Hba_13,Input!AA$33&lt;&gt;""),Input!$B$33&amp;";",""),IF(AND($G30&lt;Hta_14,$G30&gt;=Hba_14,Input!AA$34&lt;&gt;""),Input!$B$34&amp;";",""),IF(AND($G30&lt;Hta_15,$G30&gt;=Hba_15,Input!AA$35&lt;&gt;""),Input!$B$35&amp;";",""),IF(AND($G30&lt;Hta_16,$G30&gt;=Hba_16,Input!AA$36&lt;&gt;""),Input!$B$36&amp;";",""),IF(AND($G30&lt;Hta_17,$G30&gt;=Hba_17,Input!AA$37&lt;&gt;""),Input!$B$37&amp;";",""),IF(AND($G30&lt;Hta_18,$G30&gt;=Hba_18,Input!AA$38&lt;&gt;""),Input!$B$38&amp;";",""),IF(AND($G30&lt;Hta_19,$G30&gt;=Hba_19,Input!AA$39&lt;&gt;""),Input!$B$39&amp;";",""),IF(AND($G30&lt;Hta_20,$G30&gt;=Hba_20,Input!AA$40&lt;&gt;""),Input!$B$40&amp;";",""),IF(AND($G30&lt;Hta_21,$G30&gt;=Hba_21,Input!AA$41&lt;&gt;""),Input!$B$41&amp;";",""),IF(AND($G30&lt;Hta_22,$G30&gt;=Hba_22,Input!AA$42&lt;&gt;""),Input!$B$42&amp;";",""),IF(AND($G30&lt;Hta_23,$G30&gt;=Hba_23,Input!AA$43&lt;&gt;""),Input!$B$43&amp;";",""),IF(AND($G30&lt;Hta_24,$G30&gt;=Hba_24,Input!AA$44&lt;&gt;""),Input!$B$44&amp;";",""),IF(AND($G30&lt;Hta_25,$G30&gt;=Hba_25,Input!AA$45&lt;&gt;""),Input!$B$45&amp;";",""),IF(AND($G30&lt;Hta_26,$G30&gt;=Hba_26,Input!AA$46&lt;&gt;""),Input!$B$46&amp;";",""),IF(AND($G30&lt;Hta_27,$G30&gt;=Hba_27,Input!AA$47&lt;&gt;""),Input!$B$47&amp;";",""),IF(AND($G30&lt;Hta_28,$G30&gt;=Hba_28,Input!AA$48&lt;&gt;""),Input!$B$48&amp;";",""),IF(AND($G30&lt;Hta_29,$G30&gt;=Hba_29,Input!AA$49&lt;&gt;""),Input!$B$49&amp;";",""),IF(AND($G30&lt;Hta_30,$G30&gt;=Hba_30,Input!AA$50&lt;&gt;""),Input!$B$50&amp;";","")),"")</f>
        <v/>
      </c>
      <c r="CC30" s="25" t="str">
        <f>IFERROR(CONCATENATE(IF(AND($G30&lt;Hta_1,$G30&gt;=Hba_1,Input!AB$21&lt;&gt;""),Input!$B$21&amp;";",""),IF(AND($G30&lt;Hta_2,$G30&gt;=Hba_2,Input!AB$22&lt;&gt;""),Input!$B$22&amp;";",""),IF(AND($G30&lt;Hta_3,$G30&gt;=Hba_3,Input!AB$23&lt;&gt;""),Input!$B$23&amp;";",""),IF(AND($G30&lt;Hta_4,$G30&gt;=Hba_4,Input!AB$24&lt;&gt;""),Input!$B$24&amp;";",""),IF(AND($G30&lt;Hta_5,$G30&gt;=Hba_5,Input!AB$25&lt;&gt;""),Input!$B$25&amp;";",""),IF(AND($G30&lt;Hta_6,$G30&gt;=Hba_6,Input!AB$26&lt;&gt;""),Input!$B$26&amp;";",""),IF(AND($G30&lt;Hta_7,$G30&gt;=Hba_7,Input!AB$27&lt;&gt;""),Input!$B$27&amp;";",""),IF(AND($G30&lt;Hta_8,$G30&gt;=Hba_8,Input!AB$28&lt;&gt;""),Input!$B$28&amp;";",""),IF(AND($G30&lt;Hta_9,$G30&gt;=Hba_9,Input!AB$29&lt;&gt;""),Input!$B$29&amp;";",""),IF(AND($G30&lt;Hta_10,$G30&gt;=Hba_10,Input!AB$30&lt;&gt;""),Input!$B$30&amp;";",""),IF(AND($G30&lt;Hta_11,$G30&gt;=Hba_11,Input!AB$31&lt;&gt;""),Input!$B$31&amp;";",""),IF(AND($G30&lt;Hta_12,$G30&gt;=Hba_12,Input!AB$32&lt;&gt;""),Input!$B$32&amp;";",""),IF(AND($G30&lt;Hta_13,$G30&gt;=Hba_13,Input!AB$33&lt;&gt;""),Input!$B$33&amp;";",""),IF(AND($G30&lt;Hta_14,$G30&gt;=Hba_14,Input!AB$34&lt;&gt;""),Input!$B$34&amp;";",""),IF(AND($G30&lt;Hta_15,$G30&gt;=Hba_15,Input!AB$35&lt;&gt;""),Input!$B$35&amp;";",""),IF(AND($G30&lt;Hta_16,$G30&gt;=Hba_16,Input!AB$36&lt;&gt;""),Input!$B$36&amp;";",""),IF(AND($G30&lt;Hta_17,$G30&gt;=Hba_17,Input!AB$37&lt;&gt;""),Input!$B$37&amp;";",""),IF(AND($G30&lt;Hta_18,$G30&gt;=Hba_18,Input!AB$38&lt;&gt;""),Input!$B$38&amp;";",""),IF(AND($G30&lt;Hta_19,$G30&gt;=Hba_19,Input!AB$39&lt;&gt;""),Input!$B$39&amp;";",""),IF(AND($G30&lt;Hta_20,$G30&gt;=Hba_20,Input!AB$40&lt;&gt;""),Input!$B$40&amp;";",""),IF(AND($G30&lt;Hta_21,$G30&gt;=Hba_21,Input!AB$41&lt;&gt;""),Input!$B$41&amp;";",""),IF(AND($G30&lt;Hta_22,$G30&gt;=Hba_22,Input!AB$42&lt;&gt;""),Input!$B$42&amp;";",""),IF(AND($G30&lt;Hta_23,$G30&gt;=Hba_23,Input!AB$43&lt;&gt;""),Input!$B$43&amp;";",""),IF(AND($G30&lt;Hta_24,$G30&gt;=Hba_24,Input!AB$44&lt;&gt;""),Input!$B$44&amp;";",""),IF(AND($G30&lt;Hta_25,$G30&gt;=Hba_25,Input!AB$45&lt;&gt;""),Input!$B$45&amp;";",""),IF(AND($G30&lt;Hta_26,$G30&gt;=Hba_26,Input!AB$46&lt;&gt;""),Input!$B$46&amp;";",""),IF(AND($G30&lt;Hta_27,$G30&gt;=Hba_27,Input!AB$47&lt;&gt;""),Input!$B$47&amp;";",""),IF(AND($G30&lt;Hta_28,$G30&gt;=Hba_28,Input!AB$48&lt;&gt;""),Input!$B$48&amp;";",""),IF(AND($G30&lt;Hta_29,$G30&gt;=Hba_29,Input!AB$49&lt;&gt;""),Input!$B$49&amp;";",""),IF(AND($G30&lt;Hta_30,$G30&gt;=Hba_30,Input!AB$50&lt;&gt;""),Input!$B$50&amp;";","")),"")</f>
        <v/>
      </c>
      <c r="CD30" s="25" t="str">
        <f>IFERROR(CONCATENATE(IF(AND($G30&lt;Hta_1,$G30&gt;=Hba_1,Input!AC$21&lt;&gt;""),Input!$B$21&amp;";",""),IF(AND($G30&lt;Hta_2,$G30&gt;=Hba_2,Input!AC$22&lt;&gt;""),Input!$B$22&amp;";",""),IF(AND($G30&lt;Hta_3,$G30&gt;=Hba_3,Input!AC$23&lt;&gt;""),Input!$B$23&amp;";",""),IF(AND($G30&lt;Hta_4,$G30&gt;=Hba_4,Input!AC$24&lt;&gt;""),Input!$B$24&amp;";",""),IF(AND($G30&lt;Hta_5,$G30&gt;=Hba_5,Input!AC$25&lt;&gt;""),Input!$B$25&amp;";",""),IF(AND($G30&lt;Hta_6,$G30&gt;=Hba_6,Input!AC$26&lt;&gt;""),Input!$B$26&amp;";",""),IF(AND($G30&lt;Hta_7,$G30&gt;=Hba_7,Input!AC$27&lt;&gt;""),Input!$B$27&amp;";",""),IF(AND($G30&lt;Hta_8,$G30&gt;=Hba_8,Input!AC$28&lt;&gt;""),Input!$B$28&amp;";",""),IF(AND($G30&lt;Hta_9,$G30&gt;=Hba_9,Input!AC$29&lt;&gt;""),Input!$B$29&amp;";",""),IF(AND($G30&lt;Hta_10,$G30&gt;=Hba_10,Input!AC$30&lt;&gt;""),Input!$B$30&amp;";",""),IF(AND($G30&lt;Hta_11,$G30&gt;=Hba_11,Input!AC$31&lt;&gt;""),Input!$B$31&amp;";",""),IF(AND($G30&lt;Hta_12,$G30&gt;=Hba_12,Input!AC$32&lt;&gt;""),Input!$B$32&amp;";",""),IF(AND($G30&lt;Hta_13,$G30&gt;=Hba_13,Input!AC$33&lt;&gt;""),Input!$B$33&amp;";",""),IF(AND($G30&lt;Hta_14,$G30&gt;=Hba_14,Input!AC$34&lt;&gt;""),Input!$B$34&amp;";",""),IF(AND($G30&lt;Hta_15,$G30&gt;=Hba_15,Input!AC$35&lt;&gt;""),Input!$B$35&amp;";",""),IF(AND($G30&lt;Hta_16,$G30&gt;=Hba_16,Input!AC$36&lt;&gt;""),Input!$B$36&amp;";",""),IF(AND($G30&lt;Hta_17,$G30&gt;=Hba_17,Input!AC$37&lt;&gt;""),Input!$B$37&amp;";",""),IF(AND($G30&lt;Hta_18,$G30&gt;=Hba_18,Input!AC$38&lt;&gt;""),Input!$B$38&amp;";",""),IF(AND($G30&lt;Hta_19,$G30&gt;=Hba_19,Input!AC$39&lt;&gt;""),Input!$B$39&amp;";",""),IF(AND($G30&lt;Hta_20,$G30&gt;=Hba_20,Input!AC$40&lt;&gt;""),Input!$B$40&amp;";",""),IF(AND($G30&lt;Hta_21,$G30&gt;=Hba_21,Input!AC$41&lt;&gt;""),Input!$B$41&amp;";",""),IF(AND($G30&lt;Hta_22,$G30&gt;=Hba_22,Input!AC$42&lt;&gt;""),Input!$B$42&amp;";",""),IF(AND($G30&lt;Hta_23,$G30&gt;=Hba_23,Input!AC$43&lt;&gt;""),Input!$B$43&amp;";",""),IF(AND($G30&lt;Hta_24,$G30&gt;=Hba_24,Input!AC$44&lt;&gt;""),Input!$B$44&amp;";",""),IF(AND($G30&lt;Hta_25,$G30&gt;=Hba_25,Input!AC$45&lt;&gt;""),Input!$B$45&amp;";",""),IF(AND($G30&lt;Hta_26,$G30&gt;=Hba_26,Input!AC$46&lt;&gt;""),Input!$B$46&amp;";",""),IF(AND($G30&lt;Hta_27,$G30&gt;=Hba_27,Input!AC$47&lt;&gt;""),Input!$B$47&amp;";",""),IF(AND($G30&lt;Hta_28,$G30&gt;=Hba_28,Input!AC$48&lt;&gt;""),Input!$B$48&amp;";",""),IF(AND($G30&lt;Hta_29,$G30&gt;=Hba_29,Input!AC$49&lt;&gt;""),Input!$B$49&amp;";",""),IF(AND($G30&lt;Hta_30,$G30&gt;=Hba_30,Input!AC$50&lt;&gt;""),Input!$B$50&amp;";","")),"")</f>
        <v/>
      </c>
      <c r="CE30" s="25" t="str">
        <f>IFERROR(CONCATENATE(IF(AND($G30&lt;Hta_1,$G30&gt;=Hba_1,Input!AD$21&lt;&gt;""),Input!$B$21&amp;";",""),IF(AND($G30&lt;Hta_2,$G30&gt;=Hba_2,Input!AD$22&lt;&gt;""),Input!$B$22&amp;";",""),IF(AND($G30&lt;Hta_3,$G30&gt;=Hba_3,Input!AD$23&lt;&gt;""),Input!$B$23&amp;";",""),IF(AND($G30&lt;Hta_4,$G30&gt;=Hba_4,Input!AD$24&lt;&gt;""),Input!$B$24&amp;";",""),IF(AND($G30&lt;Hta_5,$G30&gt;=Hba_5,Input!AD$25&lt;&gt;""),Input!$B$25&amp;";",""),IF(AND($G30&lt;Hta_6,$G30&gt;=Hba_6,Input!AD$26&lt;&gt;""),Input!$B$26&amp;";",""),IF(AND($G30&lt;Hta_7,$G30&gt;=Hba_7,Input!AD$27&lt;&gt;""),Input!$B$27&amp;";",""),IF(AND($G30&lt;Hta_8,$G30&gt;=Hba_8,Input!AD$28&lt;&gt;""),Input!$B$28&amp;";",""),IF(AND($G30&lt;Hta_9,$G30&gt;=Hba_9,Input!AD$29&lt;&gt;""),Input!$B$29&amp;";",""),IF(AND($G30&lt;Hta_10,$G30&gt;=Hba_10,Input!AD$30&lt;&gt;""),Input!$B$30&amp;";",""),IF(AND($G30&lt;Hta_11,$G30&gt;=Hba_11,Input!AD$31&lt;&gt;""),Input!$B$31&amp;";",""),IF(AND($G30&lt;Hta_12,$G30&gt;=Hba_12,Input!AD$32&lt;&gt;""),Input!$B$32&amp;";",""),IF(AND($G30&lt;Hta_13,$G30&gt;=Hba_13,Input!AD$33&lt;&gt;""),Input!$B$33&amp;";",""),IF(AND($G30&lt;Hta_14,$G30&gt;=Hba_14,Input!AD$34&lt;&gt;""),Input!$B$34&amp;";",""),IF(AND($G30&lt;Hta_15,$G30&gt;=Hba_15,Input!AD$35&lt;&gt;""),Input!$B$35&amp;";",""),IF(AND($G30&lt;Hta_16,$G30&gt;=Hba_16,Input!AD$36&lt;&gt;""),Input!$B$36&amp;";",""),IF(AND($G30&lt;Hta_17,$G30&gt;=Hba_17,Input!AD$37&lt;&gt;""),Input!$B$37&amp;";",""),IF(AND($G30&lt;Hta_18,$G30&gt;=Hba_18,Input!AD$38&lt;&gt;""),Input!$B$38&amp;";",""),IF(AND($G30&lt;Hta_19,$G30&gt;=Hba_19,Input!AD$39&lt;&gt;""),Input!$B$39&amp;";",""),IF(AND($G30&lt;Hta_20,$G30&gt;=Hba_20,Input!AD$40&lt;&gt;""),Input!$B$40&amp;";",""),IF(AND($G30&lt;Hta_21,$G30&gt;=Hba_21,Input!AD$41&lt;&gt;""),Input!$B$41&amp;";",""),IF(AND($G30&lt;Hta_22,$G30&gt;=Hba_22,Input!AD$42&lt;&gt;""),Input!$B$42&amp;";",""),IF(AND($G30&lt;Hta_23,$G30&gt;=Hba_23,Input!AD$43&lt;&gt;""),Input!$B$43&amp;";",""),IF(AND($G30&lt;Hta_24,$G30&gt;=Hba_24,Input!AD$44&lt;&gt;""),Input!$B$44&amp;";",""),IF(AND($G30&lt;Hta_25,$G30&gt;=Hba_25,Input!AD$45&lt;&gt;""),Input!$B$45&amp;";",""),IF(AND($G30&lt;Hta_26,$G30&gt;=Hba_26,Input!AD$46&lt;&gt;""),Input!$B$46&amp;";",""),IF(AND($G30&lt;Hta_27,$G30&gt;=Hba_27,Input!AD$47&lt;&gt;""),Input!$B$47&amp;";",""),IF(AND($G30&lt;Hta_28,$G30&gt;=Hba_28,Input!AD$48&lt;&gt;""),Input!$B$48&amp;";",""),IF(AND($G30&lt;Hta_29,$G30&gt;=Hba_29,Input!AD$49&lt;&gt;""),Input!$B$49&amp;";",""),IF(AND($G30&lt;Hta_30,$G30&gt;=Hba_30,Input!AD$50&lt;&gt;""),Input!$B$50&amp;";","")),"")</f>
        <v/>
      </c>
      <c r="CF30" s="25" t="str">
        <f>IFERROR(CONCATENATE(IF(AND($G30&lt;Hta_1,$G30&gt;=Hba_1,Input!AE$21&lt;&gt;""),Input!$B$21&amp;";",""),IF(AND($G30&lt;Hta_2,$G30&gt;=Hba_2,Input!AE$22&lt;&gt;""),Input!$B$22&amp;";",""),IF(AND($G30&lt;Hta_3,$G30&gt;=Hba_3,Input!AE$23&lt;&gt;""),Input!$B$23&amp;";",""),IF(AND($G30&lt;Hta_4,$G30&gt;=Hba_4,Input!AE$24&lt;&gt;""),Input!$B$24&amp;";",""),IF(AND($G30&lt;Hta_5,$G30&gt;=Hba_5,Input!AE$25&lt;&gt;""),Input!$B$25&amp;";",""),IF(AND($G30&lt;Hta_6,$G30&gt;=Hba_6,Input!AE$26&lt;&gt;""),Input!$B$26&amp;";",""),IF(AND($G30&lt;Hta_7,$G30&gt;=Hba_7,Input!AE$27&lt;&gt;""),Input!$B$27&amp;";",""),IF(AND($G30&lt;Hta_8,$G30&gt;=Hba_8,Input!AE$28&lt;&gt;""),Input!$B$28&amp;";",""),IF(AND($G30&lt;Hta_9,$G30&gt;=Hba_9,Input!AE$29&lt;&gt;""),Input!$B$29&amp;";",""),IF(AND($G30&lt;Hta_10,$G30&gt;=Hba_10,Input!AE$30&lt;&gt;""),Input!$B$30&amp;";",""),IF(AND($G30&lt;Hta_11,$G30&gt;=Hba_11,Input!AE$31&lt;&gt;""),Input!$B$31&amp;";",""),IF(AND($G30&lt;Hta_12,$G30&gt;=Hba_12,Input!AE$32&lt;&gt;""),Input!$B$32&amp;";",""),IF(AND($G30&lt;Hta_13,$G30&gt;=Hba_13,Input!AE$33&lt;&gt;""),Input!$B$33&amp;";",""),IF(AND($G30&lt;Hta_14,$G30&gt;=Hba_14,Input!AE$34&lt;&gt;""),Input!$B$34&amp;";",""),IF(AND($G30&lt;Hta_15,$G30&gt;=Hba_15,Input!AE$35&lt;&gt;""),Input!$B$35&amp;";",""),IF(AND($G30&lt;Hta_16,$G30&gt;=Hba_16,Input!AE$36&lt;&gt;""),Input!$B$36&amp;";",""),IF(AND($G30&lt;Hta_17,$G30&gt;=Hba_17,Input!AE$37&lt;&gt;""),Input!$B$37&amp;";",""),IF(AND($G30&lt;Hta_18,$G30&gt;=Hba_18,Input!AE$38&lt;&gt;""),Input!$B$38&amp;";",""),IF(AND($G30&lt;Hta_19,$G30&gt;=Hba_19,Input!AE$39&lt;&gt;""),Input!$B$39&amp;";",""),IF(AND($G30&lt;Hta_20,$G30&gt;=Hba_20,Input!AE$40&lt;&gt;""),Input!$B$40&amp;";",""),IF(AND($G30&lt;Hta_21,$G30&gt;=Hba_21,Input!AE$41&lt;&gt;""),Input!$B$41&amp;";",""),IF(AND($G30&lt;Hta_22,$G30&gt;=Hba_22,Input!AE$42&lt;&gt;""),Input!$B$42&amp;";",""),IF(AND($G30&lt;Hta_23,$G30&gt;=Hba_23,Input!AE$43&lt;&gt;""),Input!$B$43&amp;";",""),IF(AND($G30&lt;Hta_24,$G30&gt;=Hba_24,Input!AE$44&lt;&gt;""),Input!$B$44&amp;";",""),IF(AND($G30&lt;Hta_25,$G30&gt;=Hba_25,Input!AE$45&lt;&gt;""),Input!$B$45&amp;";",""),IF(AND($G30&lt;Hta_26,$G30&gt;=Hba_26,Input!AE$46&lt;&gt;""),Input!$B$46&amp;";",""),IF(AND($G30&lt;Hta_27,$G30&gt;=Hba_27,Input!AE$47&lt;&gt;""),Input!$B$47&amp;";",""),IF(AND($G30&lt;Hta_28,$G30&gt;=Hba_28,Input!AE$48&lt;&gt;""),Input!$B$48&amp;";",""),IF(AND($G30&lt;Hta_29,$G30&gt;=Hba_29,Input!AE$49&lt;&gt;""),Input!$B$49&amp;";",""),IF(AND($G30&lt;Hta_30,$G30&gt;=Hba_30,Input!AE$50&lt;&gt;""),Input!$B$50&amp;";","")),"")</f>
        <v/>
      </c>
      <c r="CG30" s="25" t="str">
        <f>IFERROR(CONCATENATE(IF(AND($G30&lt;Hta_1,$G30&gt;=Hba_1,Input!AF$21&lt;&gt;""),Input!$B$21&amp;";",""),IF(AND($G30&lt;Hta_2,$G30&gt;=Hba_2,Input!AF$22&lt;&gt;""),Input!$B$22&amp;";",""),IF(AND($G30&lt;Hta_3,$G30&gt;=Hba_3,Input!AF$23&lt;&gt;""),Input!$B$23&amp;";",""),IF(AND($G30&lt;Hta_4,$G30&gt;=Hba_4,Input!AF$24&lt;&gt;""),Input!$B$24&amp;";",""),IF(AND($G30&lt;Hta_5,$G30&gt;=Hba_5,Input!AF$25&lt;&gt;""),Input!$B$25&amp;";",""),IF(AND($G30&lt;Hta_6,$G30&gt;=Hba_6,Input!AF$26&lt;&gt;""),Input!$B$26&amp;";",""),IF(AND($G30&lt;Hta_7,$G30&gt;=Hba_7,Input!AF$27&lt;&gt;""),Input!$B$27&amp;";",""),IF(AND($G30&lt;Hta_8,$G30&gt;=Hba_8,Input!AF$28&lt;&gt;""),Input!$B$28&amp;";",""),IF(AND($G30&lt;Hta_9,$G30&gt;=Hba_9,Input!AF$29&lt;&gt;""),Input!$B$29&amp;";",""),IF(AND($G30&lt;Hta_10,$G30&gt;=Hba_10,Input!AF$30&lt;&gt;""),Input!$B$30&amp;";",""),IF(AND($G30&lt;Hta_11,$G30&gt;=Hba_11,Input!AF$31&lt;&gt;""),Input!$B$31&amp;";",""),IF(AND($G30&lt;Hta_12,$G30&gt;=Hba_12,Input!AF$32&lt;&gt;""),Input!$B$32&amp;";",""),IF(AND($G30&lt;Hta_13,$G30&gt;=Hba_13,Input!AF$33&lt;&gt;""),Input!$B$33&amp;";",""),IF(AND($G30&lt;Hta_14,$G30&gt;=Hba_14,Input!AF$34&lt;&gt;""),Input!$B$34&amp;";",""),IF(AND($G30&lt;Hta_15,$G30&gt;=Hba_15,Input!AF$35&lt;&gt;""),Input!$B$35&amp;";",""),IF(AND($G30&lt;Hta_16,$G30&gt;=Hba_16,Input!AF$36&lt;&gt;""),Input!$B$36&amp;";",""),IF(AND($G30&lt;Hta_17,$G30&gt;=Hba_17,Input!AF$37&lt;&gt;""),Input!$B$37&amp;";",""),IF(AND($G30&lt;Hta_18,$G30&gt;=Hba_18,Input!AF$38&lt;&gt;""),Input!$B$38&amp;";",""),IF(AND($G30&lt;Hta_19,$G30&gt;=Hba_19,Input!AF$39&lt;&gt;""),Input!$B$39&amp;";",""),IF(AND($G30&lt;Hta_20,$G30&gt;=Hba_20,Input!AF$40&lt;&gt;""),Input!$B$40&amp;";",""),IF(AND($G30&lt;Hta_21,$G30&gt;=Hba_21,Input!AF$41&lt;&gt;""),Input!$B$41&amp;";",""),IF(AND($G30&lt;Hta_22,$G30&gt;=Hba_22,Input!AF$42&lt;&gt;""),Input!$B$42&amp;";",""),IF(AND($G30&lt;Hta_23,$G30&gt;=Hba_23,Input!AF$43&lt;&gt;""),Input!$B$43&amp;";",""),IF(AND($G30&lt;Hta_24,$G30&gt;=Hba_24,Input!AF$44&lt;&gt;""),Input!$B$44&amp;";",""),IF(AND($G30&lt;Hta_25,$G30&gt;=Hba_25,Input!AF$45&lt;&gt;""),Input!$B$45&amp;";",""),IF(AND($G30&lt;Hta_26,$G30&gt;=Hba_26,Input!AF$46&lt;&gt;""),Input!$B$46&amp;";",""),IF(AND($G30&lt;Hta_27,$G30&gt;=Hba_27,Input!AF$47&lt;&gt;""),Input!$B$47&amp;";",""),IF(AND($G30&lt;Hta_28,$G30&gt;=Hba_28,Input!AF$48&lt;&gt;""),Input!$B$48&amp;";",""),IF(AND($G30&lt;Hta_29,$G30&gt;=Hba_29,Input!AF$49&lt;&gt;""),Input!$B$49&amp;";",""),IF(AND($G30&lt;Hta_30,$G30&gt;=Hba_30,Input!AF$50&lt;&gt;""),Input!$B$50&amp;";","")),"")</f>
        <v/>
      </c>
      <c r="CH30" s="25" t="str">
        <f>IFERROR(CONCATENATE(IF(AND($G30&lt;Hta_1,$G30&gt;=Hba_1,Input!AG$21&lt;&gt;""),Input!$B$21&amp;";",""),IF(AND($G30&lt;Hta_2,$G30&gt;=Hba_2,Input!AG$22&lt;&gt;""),Input!$B$22&amp;";",""),IF(AND($G30&lt;Hta_3,$G30&gt;=Hba_3,Input!AG$23&lt;&gt;""),Input!$B$23&amp;";",""),IF(AND($G30&lt;Hta_4,$G30&gt;=Hba_4,Input!AG$24&lt;&gt;""),Input!$B$24&amp;";",""),IF(AND($G30&lt;Hta_5,$G30&gt;=Hba_5,Input!AG$25&lt;&gt;""),Input!$B$25&amp;";",""),IF(AND($G30&lt;Hta_6,$G30&gt;=Hba_6,Input!AG$26&lt;&gt;""),Input!$B$26&amp;";",""),IF(AND($G30&lt;Hta_7,$G30&gt;=Hba_7,Input!AG$27&lt;&gt;""),Input!$B$27&amp;";",""),IF(AND($G30&lt;Hta_8,$G30&gt;=Hba_8,Input!AG$28&lt;&gt;""),Input!$B$28&amp;";",""),IF(AND($G30&lt;Hta_9,$G30&gt;=Hba_9,Input!AG$29&lt;&gt;""),Input!$B$29&amp;";",""),IF(AND($G30&lt;Hta_10,$G30&gt;=Hba_10,Input!AG$30&lt;&gt;""),Input!$B$30&amp;";",""),IF(AND($G30&lt;Hta_11,$G30&gt;=Hba_11,Input!AG$31&lt;&gt;""),Input!$B$31&amp;";",""),IF(AND($G30&lt;Hta_12,$G30&gt;=Hba_12,Input!AG$32&lt;&gt;""),Input!$B$32&amp;";",""),IF(AND($G30&lt;Hta_13,$G30&gt;=Hba_13,Input!AG$33&lt;&gt;""),Input!$B$33&amp;";",""),IF(AND($G30&lt;Hta_14,$G30&gt;=Hba_14,Input!AG$34&lt;&gt;""),Input!$B$34&amp;";",""),IF(AND($G30&lt;Hta_15,$G30&gt;=Hba_15,Input!AG$35&lt;&gt;""),Input!$B$35&amp;";",""),IF(AND($G30&lt;Hta_16,$G30&gt;=Hba_16,Input!AG$36&lt;&gt;""),Input!$B$36&amp;";",""),IF(AND($G30&lt;Hta_17,$G30&gt;=Hba_17,Input!AG$37&lt;&gt;""),Input!$B$37&amp;";",""),IF(AND($G30&lt;Hta_18,$G30&gt;=Hba_18,Input!AG$38&lt;&gt;""),Input!$B$38&amp;";",""),IF(AND($G30&lt;Hta_19,$G30&gt;=Hba_19,Input!AG$39&lt;&gt;""),Input!$B$39&amp;";",""),IF(AND($G30&lt;Hta_20,$G30&gt;=Hba_20,Input!AG$40&lt;&gt;""),Input!$B$40&amp;";",""),IF(AND($G30&lt;Hta_21,$G30&gt;=Hba_21,Input!AG$41&lt;&gt;""),Input!$B$41&amp;";",""),IF(AND($G30&lt;Hta_22,$G30&gt;=Hba_22,Input!AG$42&lt;&gt;""),Input!$B$42&amp;";",""),IF(AND($G30&lt;Hta_23,$G30&gt;=Hba_23,Input!AG$43&lt;&gt;""),Input!$B$43&amp;";",""),IF(AND($G30&lt;Hta_24,$G30&gt;=Hba_24,Input!AG$44&lt;&gt;""),Input!$B$44&amp;";",""),IF(AND($G30&lt;Hta_25,$G30&gt;=Hba_25,Input!AG$45&lt;&gt;""),Input!$B$45&amp;";",""),IF(AND($G30&lt;Hta_26,$G30&gt;=Hba_26,Input!AG$46&lt;&gt;""),Input!$B$46&amp;";",""),IF(AND($G30&lt;Hta_27,$G30&gt;=Hba_27,Input!AG$47&lt;&gt;""),Input!$B$47&amp;";",""),IF(AND($G30&lt;Hta_28,$G30&gt;=Hba_28,Input!AG$48&lt;&gt;""),Input!$B$48&amp;";",""),IF(AND($G30&lt;Hta_29,$G30&gt;=Hba_29,Input!AG$49&lt;&gt;""),Input!$B$49&amp;";",""),IF(AND($G30&lt;Hta_30,$G30&gt;=Hba_30,Input!AG$50&lt;&gt;""),Input!$B$50&amp;";","")),"")</f>
        <v/>
      </c>
      <c r="CI30" s="25" t="str">
        <f>IFERROR(CONCATENATE(IF(AND($G30&lt;Hta_1,$G30&gt;=Hba_1,Input!AH$21&lt;&gt;""),Input!$B$21&amp;";",""),IF(AND($G30&lt;Hta_2,$G30&gt;=Hba_2,Input!AH$22&lt;&gt;""),Input!$B$22&amp;";",""),IF(AND($G30&lt;Hta_3,$G30&gt;=Hba_3,Input!AH$23&lt;&gt;""),Input!$B$23&amp;";",""),IF(AND($G30&lt;Hta_4,$G30&gt;=Hba_4,Input!AH$24&lt;&gt;""),Input!$B$24&amp;";",""),IF(AND($G30&lt;Hta_5,$G30&gt;=Hba_5,Input!AH$25&lt;&gt;""),Input!$B$25&amp;";",""),IF(AND($G30&lt;Hta_6,$G30&gt;=Hba_6,Input!AH$26&lt;&gt;""),Input!$B$26&amp;";",""),IF(AND($G30&lt;Hta_7,$G30&gt;=Hba_7,Input!AH$27&lt;&gt;""),Input!$B$27&amp;";",""),IF(AND($G30&lt;Hta_8,$G30&gt;=Hba_8,Input!AH$28&lt;&gt;""),Input!$B$28&amp;";",""),IF(AND($G30&lt;Hta_9,$G30&gt;=Hba_9,Input!AH$29&lt;&gt;""),Input!$B$29&amp;";",""),IF(AND($G30&lt;Hta_10,$G30&gt;=Hba_10,Input!AH$30&lt;&gt;""),Input!$B$30&amp;";",""),IF(AND($G30&lt;Hta_11,$G30&gt;=Hba_11,Input!AH$31&lt;&gt;""),Input!$B$31&amp;";",""),IF(AND($G30&lt;Hta_12,$G30&gt;=Hba_12,Input!AH$32&lt;&gt;""),Input!$B$32&amp;";",""),IF(AND($G30&lt;Hta_13,$G30&gt;=Hba_13,Input!AH$33&lt;&gt;""),Input!$B$33&amp;";",""),IF(AND($G30&lt;Hta_14,$G30&gt;=Hba_14,Input!AH$34&lt;&gt;""),Input!$B$34&amp;";",""),IF(AND($G30&lt;Hta_15,$G30&gt;=Hba_15,Input!AH$35&lt;&gt;""),Input!$B$35&amp;";",""),IF(AND($G30&lt;Hta_16,$G30&gt;=Hba_16,Input!AH$36&lt;&gt;""),Input!$B$36&amp;";",""),IF(AND($G30&lt;Hta_17,$G30&gt;=Hba_17,Input!AH$37&lt;&gt;""),Input!$B$37&amp;";",""),IF(AND($G30&lt;Hta_18,$G30&gt;=Hba_18,Input!AH$38&lt;&gt;""),Input!$B$38&amp;";",""),IF(AND($G30&lt;Hta_19,$G30&gt;=Hba_19,Input!AH$39&lt;&gt;""),Input!$B$39&amp;";",""),IF(AND($G30&lt;Hta_20,$G30&gt;=Hba_20,Input!AH$40&lt;&gt;""),Input!$B$40&amp;";",""),IF(AND($G30&lt;Hta_21,$G30&gt;=Hba_21,Input!AH$41&lt;&gt;""),Input!$B$41&amp;";",""),IF(AND($G30&lt;Hta_22,$G30&gt;=Hba_22,Input!AH$42&lt;&gt;""),Input!$B$42&amp;";",""),IF(AND($G30&lt;Hta_23,$G30&gt;=Hba_23,Input!AH$43&lt;&gt;""),Input!$B$43&amp;";",""),IF(AND($G30&lt;Hta_24,$G30&gt;=Hba_24,Input!AH$44&lt;&gt;""),Input!$B$44&amp;";",""),IF(AND($G30&lt;Hta_25,$G30&gt;=Hba_25,Input!AH$45&lt;&gt;""),Input!$B$45&amp;";",""),IF(AND($G30&lt;Hta_26,$G30&gt;=Hba_26,Input!AH$46&lt;&gt;""),Input!$B$46&amp;";",""),IF(AND($G30&lt;Hta_27,$G30&gt;=Hba_27,Input!AH$47&lt;&gt;""),Input!$B$47&amp;";",""),IF(AND($G30&lt;Hta_28,$G30&gt;=Hba_28,Input!AH$48&lt;&gt;""),Input!$B$48&amp;";",""),IF(AND($G30&lt;Hta_29,$G30&gt;=Hba_29,Input!AH$49&lt;&gt;""),Input!$B$49&amp;";",""),IF(AND($G30&lt;Hta_30,$G30&gt;=Hba_30,Input!AH$50&lt;&gt;""),Input!$B$50&amp;";","")),"")</f>
        <v/>
      </c>
      <c r="CJ30" s="25" t="str">
        <f>IFERROR(CONCATENATE(IF(AND($G30&lt;Hta_1,$G30&gt;=Hba_1,Input!AI$21&lt;&gt;""),Input!$B$21&amp;";",""),IF(AND($G30&lt;Hta_2,$G30&gt;=Hba_2,Input!AI$22&lt;&gt;""),Input!$B$22&amp;";",""),IF(AND($G30&lt;Hta_3,$G30&gt;=Hba_3,Input!AI$23&lt;&gt;""),Input!$B$23&amp;";",""),IF(AND($G30&lt;Hta_4,$G30&gt;=Hba_4,Input!AI$24&lt;&gt;""),Input!$B$24&amp;";",""),IF(AND($G30&lt;Hta_5,$G30&gt;=Hba_5,Input!AI$25&lt;&gt;""),Input!$B$25&amp;";",""),IF(AND($G30&lt;Hta_6,$G30&gt;=Hba_6,Input!AI$26&lt;&gt;""),Input!$B$26&amp;";",""),IF(AND($G30&lt;Hta_7,$G30&gt;=Hba_7,Input!AI$27&lt;&gt;""),Input!$B$27&amp;";",""),IF(AND($G30&lt;Hta_8,$G30&gt;=Hba_8,Input!AI$28&lt;&gt;""),Input!$B$28&amp;";",""),IF(AND($G30&lt;Hta_9,$G30&gt;=Hba_9,Input!AI$29&lt;&gt;""),Input!$B$29&amp;";",""),IF(AND($G30&lt;Hta_10,$G30&gt;=Hba_10,Input!AI$30&lt;&gt;""),Input!$B$30&amp;";",""),IF(AND($G30&lt;Hta_11,$G30&gt;=Hba_11,Input!AI$31&lt;&gt;""),Input!$B$31&amp;";",""),IF(AND($G30&lt;Hta_12,$G30&gt;=Hba_12,Input!AI$32&lt;&gt;""),Input!$B$32&amp;";",""),IF(AND($G30&lt;Hta_13,$G30&gt;=Hba_13,Input!AI$33&lt;&gt;""),Input!$B$33&amp;";",""),IF(AND($G30&lt;Hta_14,$G30&gt;=Hba_14,Input!AI$34&lt;&gt;""),Input!$B$34&amp;";",""),IF(AND($G30&lt;Hta_15,$G30&gt;=Hba_15,Input!AI$35&lt;&gt;""),Input!$B$35&amp;";",""),IF(AND($G30&lt;Hta_16,$G30&gt;=Hba_16,Input!AI$36&lt;&gt;""),Input!$B$36&amp;";",""),IF(AND($G30&lt;Hta_17,$G30&gt;=Hba_17,Input!AI$37&lt;&gt;""),Input!$B$37&amp;";",""),IF(AND($G30&lt;Hta_18,$G30&gt;=Hba_18,Input!AI$38&lt;&gt;""),Input!$B$38&amp;";",""),IF(AND($G30&lt;Hta_19,$G30&gt;=Hba_19,Input!AI$39&lt;&gt;""),Input!$B$39&amp;";",""),IF(AND($G30&lt;Hta_20,$G30&gt;=Hba_20,Input!AI$40&lt;&gt;""),Input!$B$40&amp;";",""),IF(AND($G30&lt;Hta_21,$G30&gt;=Hba_21,Input!AI$41&lt;&gt;""),Input!$B$41&amp;";",""),IF(AND($G30&lt;Hta_22,$G30&gt;=Hba_22,Input!AI$42&lt;&gt;""),Input!$B$42&amp;";",""),IF(AND($G30&lt;Hta_23,$G30&gt;=Hba_23,Input!AI$43&lt;&gt;""),Input!$B$43&amp;";",""),IF(AND($G30&lt;Hta_24,$G30&gt;=Hba_24,Input!AI$44&lt;&gt;""),Input!$B$44&amp;";",""),IF(AND($G30&lt;Hta_25,$G30&gt;=Hba_25,Input!AI$45&lt;&gt;""),Input!$B$45&amp;";",""),IF(AND($G30&lt;Hta_26,$G30&gt;=Hba_26,Input!AI$46&lt;&gt;""),Input!$B$46&amp;";",""),IF(AND($G30&lt;Hta_27,$G30&gt;=Hba_27,Input!AI$47&lt;&gt;""),Input!$B$47&amp;";",""),IF(AND($G30&lt;Hta_28,$G30&gt;=Hba_28,Input!AI$48&lt;&gt;""),Input!$B$48&amp;";",""),IF(AND($G30&lt;Hta_29,$G30&gt;=Hba_29,Input!AI$49&lt;&gt;""),Input!$B$49&amp;";",""),IF(AND($G30&lt;Hta_30,$G30&gt;=Hba_30,Input!AI$50&lt;&gt;""),Input!$B$50&amp;";","")),"")</f>
        <v/>
      </c>
      <c r="CK30" s="25" t="str">
        <f>IFERROR(CONCATENATE(IF(AND($G30&lt;Hta_1,$G30&gt;=Hba_1,Input!AJ$21&lt;&gt;""),Input!$B$21&amp;";",""),IF(AND($G30&lt;Hta_2,$G30&gt;=Hba_2,Input!AJ$22&lt;&gt;""),Input!$B$22&amp;";",""),IF(AND($G30&lt;Hta_3,$G30&gt;=Hba_3,Input!AJ$23&lt;&gt;""),Input!$B$23&amp;";",""),IF(AND($G30&lt;Hta_4,$G30&gt;=Hba_4,Input!AJ$24&lt;&gt;""),Input!$B$24&amp;";",""),IF(AND($G30&lt;Hta_5,$G30&gt;=Hba_5,Input!AJ$25&lt;&gt;""),Input!$B$25&amp;";",""),IF(AND($G30&lt;Hta_6,$G30&gt;=Hba_6,Input!AJ$26&lt;&gt;""),Input!$B$26&amp;";",""),IF(AND($G30&lt;Hta_7,$G30&gt;=Hba_7,Input!AJ$27&lt;&gt;""),Input!$B$27&amp;";",""),IF(AND($G30&lt;Hta_8,$G30&gt;=Hba_8,Input!AJ$28&lt;&gt;""),Input!$B$28&amp;";",""),IF(AND($G30&lt;Hta_9,$G30&gt;=Hba_9,Input!AJ$29&lt;&gt;""),Input!$B$29&amp;";",""),IF(AND($G30&lt;Hta_10,$G30&gt;=Hba_10,Input!AJ$30&lt;&gt;""),Input!$B$30&amp;";",""),IF(AND($G30&lt;Hta_11,$G30&gt;=Hba_11,Input!AJ$31&lt;&gt;""),Input!$B$31&amp;";",""),IF(AND($G30&lt;Hta_12,$G30&gt;=Hba_12,Input!AJ$32&lt;&gt;""),Input!$B$32&amp;";",""),IF(AND($G30&lt;Hta_13,$G30&gt;=Hba_13,Input!AJ$33&lt;&gt;""),Input!$B$33&amp;";",""),IF(AND($G30&lt;Hta_14,$G30&gt;=Hba_14,Input!AJ$34&lt;&gt;""),Input!$B$34&amp;";",""),IF(AND($G30&lt;Hta_15,$G30&gt;=Hba_15,Input!AJ$35&lt;&gt;""),Input!$B$35&amp;";",""),IF(AND($G30&lt;Hta_16,$G30&gt;=Hba_16,Input!AJ$36&lt;&gt;""),Input!$B$36&amp;";",""),IF(AND($G30&lt;Hta_17,$G30&gt;=Hba_17,Input!AJ$37&lt;&gt;""),Input!$B$37&amp;";",""),IF(AND($G30&lt;Hta_18,$G30&gt;=Hba_18,Input!AJ$38&lt;&gt;""),Input!$B$38&amp;";",""),IF(AND($G30&lt;Hta_19,$G30&gt;=Hba_19,Input!AJ$39&lt;&gt;""),Input!$B$39&amp;";",""),IF(AND($G30&lt;Hta_20,$G30&gt;=Hba_20,Input!AJ$40&lt;&gt;""),Input!$B$40&amp;";",""),IF(AND($G30&lt;Hta_21,$G30&gt;=Hba_21,Input!AJ$41&lt;&gt;""),Input!$B$41&amp;";",""),IF(AND($G30&lt;Hta_22,$G30&gt;=Hba_22,Input!AJ$42&lt;&gt;""),Input!$B$42&amp;";",""),IF(AND($G30&lt;Hta_23,$G30&gt;=Hba_23,Input!AJ$43&lt;&gt;""),Input!$B$43&amp;";",""),IF(AND($G30&lt;Hta_24,$G30&gt;=Hba_24,Input!AJ$44&lt;&gt;""),Input!$B$44&amp;";",""),IF(AND($G30&lt;Hta_25,$G30&gt;=Hba_25,Input!AJ$45&lt;&gt;""),Input!$B$45&amp;";",""),IF(AND($G30&lt;Hta_26,$G30&gt;=Hba_26,Input!AJ$46&lt;&gt;""),Input!$B$46&amp;";",""),IF(AND($G30&lt;Hta_27,$G30&gt;=Hba_27,Input!AJ$47&lt;&gt;""),Input!$B$47&amp;";",""),IF(AND($G30&lt;Hta_28,$G30&gt;=Hba_28,Input!AJ$48&lt;&gt;""),Input!$B$48&amp;";",""),IF(AND($G30&lt;Hta_29,$G30&gt;=Hba_29,Input!AJ$49&lt;&gt;""),Input!$B$49&amp;";",""),IF(AND($G30&lt;Hta_30,$G30&gt;=Hba_30,Input!AJ$50&lt;&gt;""),Input!$B$50&amp;";","")),"")</f>
        <v/>
      </c>
      <c r="CL30" s="25" t="str">
        <f>IFERROR(CONCATENATE(IF(AND($G30&lt;Hta_1,$G30&gt;=Hba_1,Input!AK$21&lt;&gt;""),Input!$B$21&amp;";",""),IF(AND($G30&lt;Hta_2,$G30&gt;=Hba_2,Input!AK$22&lt;&gt;""),Input!$B$22&amp;";",""),IF(AND($G30&lt;Hta_3,$G30&gt;=Hba_3,Input!AK$23&lt;&gt;""),Input!$B$23&amp;";",""),IF(AND($G30&lt;Hta_4,$G30&gt;=Hba_4,Input!AK$24&lt;&gt;""),Input!$B$24&amp;";",""),IF(AND($G30&lt;Hta_5,$G30&gt;=Hba_5,Input!AK$25&lt;&gt;""),Input!$B$25&amp;";",""),IF(AND($G30&lt;Hta_6,$G30&gt;=Hba_6,Input!AK$26&lt;&gt;""),Input!$B$26&amp;";",""),IF(AND($G30&lt;Hta_7,$G30&gt;=Hba_7,Input!AK$27&lt;&gt;""),Input!$B$27&amp;";",""),IF(AND($G30&lt;Hta_8,$G30&gt;=Hba_8,Input!AK$28&lt;&gt;""),Input!$B$28&amp;";",""),IF(AND($G30&lt;Hta_9,$G30&gt;=Hba_9,Input!AK$29&lt;&gt;""),Input!$B$29&amp;";",""),IF(AND($G30&lt;Hta_10,$G30&gt;=Hba_10,Input!AK$30&lt;&gt;""),Input!$B$30&amp;";",""),IF(AND($G30&lt;Hta_11,$G30&gt;=Hba_11,Input!AK$31&lt;&gt;""),Input!$B$31&amp;";",""),IF(AND($G30&lt;Hta_12,$G30&gt;=Hba_12,Input!AK$32&lt;&gt;""),Input!$B$32&amp;";",""),IF(AND($G30&lt;Hta_13,$G30&gt;=Hba_13,Input!AK$33&lt;&gt;""),Input!$B$33&amp;";",""),IF(AND($G30&lt;Hta_14,$G30&gt;=Hba_14,Input!AK$34&lt;&gt;""),Input!$B$34&amp;";",""),IF(AND($G30&lt;Hta_15,$G30&gt;=Hba_15,Input!AK$35&lt;&gt;""),Input!$B$35&amp;";",""),IF(AND($G30&lt;Hta_16,$G30&gt;=Hba_16,Input!AK$36&lt;&gt;""),Input!$B$36&amp;";",""),IF(AND($G30&lt;Hta_17,$G30&gt;=Hba_17,Input!AK$37&lt;&gt;""),Input!$B$37&amp;";",""),IF(AND($G30&lt;Hta_18,$G30&gt;=Hba_18,Input!AK$38&lt;&gt;""),Input!$B$38&amp;";",""),IF(AND($G30&lt;Hta_19,$G30&gt;=Hba_19,Input!AK$39&lt;&gt;""),Input!$B$39&amp;";",""),IF(AND($G30&lt;Hta_20,$G30&gt;=Hba_20,Input!AK$40&lt;&gt;""),Input!$B$40&amp;";",""),IF(AND($G30&lt;Hta_21,$G30&gt;=Hba_21,Input!AK$41&lt;&gt;""),Input!$B$41&amp;";",""),IF(AND($G30&lt;Hta_22,$G30&gt;=Hba_22,Input!AK$42&lt;&gt;""),Input!$B$42&amp;";",""),IF(AND($G30&lt;Hta_23,$G30&gt;=Hba_23,Input!AK$43&lt;&gt;""),Input!$B$43&amp;";",""),IF(AND($G30&lt;Hta_24,$G30&gt;=Hba_24,Input!AK$44&lt;&gt;""),Input!$B$44&amp;";",""),IF(AND($G30&lt;Hta_25,$G30&gt;=Hba_25,Input!AK$45&lt;&gt;""),Input!$B$45&amp;";",""),IF(AND($G30&lt;Hta_26,$G30&gt;=Hba_26,Input!AK$46&lt;&gt;""),Input!$B$46&amp;";",""),IF(AND($G30&lt;Hta_27,$G30&gt;=Hba_27,Input!AK$47&lt;&gt;""),Input!$B$47&amp;";",""),IF(AND($G30&lt;Hta_28,$G30&gt;=Hba_28,Input!AK$48&lt;&gt;""),Input!$B$48&amp;";",""),IF(AND($G30&lt;Hta_29,$G30&gt;=Hba_29,Input!AK$49&lt;&gt;""),Input!$B$49&amp;";",""),IF(AND($G30&lt;Hta_30,$G30&gt;=Hba_30,Input!AK$50&lt;&gt;""),Input!$B$50&amp;";","")),"")</f>
        <v/>
      </c>
      <c r="CM30" s="25" t="str">
        <f>IFERROR(CONCATENATE(IF(AND($G30&lt;Hta_1,$G30&gt;=Hba_1,Input!AL$21&lt;&gt;""),Input!$B$21&amp;";",""),IF(AND($G30&lt;Hta_2,$G30&gt;=Hba_2,Input!AL$22&lt;&gt;""),Input!$B$22&amp;";",""),IF(AND($G30&lt;Hta_3,$G30&gt;=Hba_3,Input!AL$23&lt;&gt;""),Input!$B$23&amp;";",""),IF(AND($G30&lt;Hta_4,$G30&gt;=Hba_4,Input!AL$24&lt;&gt;""),Input!$B$24&amp;";",""),IF(AND($G30&lt;Hta_5,$G30&gt;=Hba_5,Input!AL$25&lt;&gt;""),Input!$B$25&amp;";",""),IF(AND($G30&lt;Hta_6,$G30&gt;=Hba_6,Input!AL$26&lt;&gt;""),Input!$B$26&amp;";",""),IF(AND($G30&lt;Hta_7,$G30&gt;=Hba_7,Input!AL$27&lt;&gt;""),Input!$B$27&amp;";",""),IF(AND($G30&lt;Hta_8,$G30&gt;=Hba_8,Input!AL$28&lt;&gt;""),Input!$B$28&amp;";",""),IF(AND($G30&lt;Hta_9,$G30&gt;=Hba_9,Input!AL$29&lt;&gt;""),Input!$B$29&amp;";",""),IF(AND($G30&lt;Hta_10,$G30&gt;=Hba_10,Input!AL$30&lt;&gt;""),Input!$B$30&amp;";",""),IF(AND($G30&lt;Hta_11,$G30&gt;=Hba_11,Input!AL$31&lt;&gt;""),Input!$B$31&amp;";",""),IF(AND($G30&lt;Hta_12,$G30&gt;=Hba_12,Input!AL$32&lt;&gt;""),Input!$B$32&amp;";",""),IF(AND($G30&lt;Hta_13,$G30&gt;=Hba_13,Input!AL$33&lt;&gt;""),Input!$B$33&amp;";",""),IF(AND($G30&lt;Hta_14,$G30&gt;=Hba_14,Input!AL$34&lt;&gt;""),Input!$B$34&amp;";",""),IF(AND($G30&lt;Hta_15,$G30&gt;=Hba_15,Input!AL$35&lt;&gt;""),Input!$B$35&amp;";",""),IF(AND($G30&lt;Hta_16,$G30&gt;=Hba_16,Input!AL$36&lt;&gt;""),Input!$B$36&amp;";",""),IF(AND($G30&lt;Hta_17,$G30&gt;=Hba_17,Input!AL$37&lt;&gt;""),Input!$B$37&amp;";",""),IF(AND($G30&lt;Hta_18,$G30&gt;=Hba_18,Input!AL$38&lt;&gt;""),Input!$B$38&amp;";",""),IF(AND($G30&lt;Hta_19,$G30&gt;=Hba_19,Input!AL$39&lt;&gt;""),Input!$B$39&amp;";",""),IF(AND($G30&lt;Hta_20,$G30&gt;=Hba_20,Input!AL$40&lt;&gt;""),Input!$B$40&amp;";",""),IF(AND($G30&lt;Hta_21,$G30&gt;=Hba_21,Input!AL$41&lt;&gt;""),Input!$B$41&amp;";",""),IF(AND($G30&lt;Hta_22,$G30&gt;=Hba_22,Input!AL$42&lt;&gt;""),Input!$B$42&amp;";",""),IF(AND($G30&lt;Hta_23,$G30&gt;=Hba_23,Input!AL$43&lt;&gt;""),Input!$B$43&amp;";",""),IF(AND($G30&lt;Hta_24,$G30&gt;=Hba_24,Input!AL$44&lt;&gt;""),Input!$B$44&amp;";",""),IF(AND($G30&lt;Hta_25,$G30&gt;=Hba_25,Input!AL$45&lt;&gt;""),Input!$B$45&amp;";",""),IF(AND($G30&lt;Hta_26,$G30&gt;=Hba_26,Input!AL$46&lt;&gt;""),Input!$B$46&amp;";",""),IF(AND($G30&lt;Hta_27,$G30&gt;=Hba_27,Input!AL$47&lt;&gt;""),Input!$B$47&amp;";",""),IF(AND($G30&lt;Hta_28,$G30&gt;=Hba_28,Input!AL$48&lt;&gt;""),Input!$B$48&amp;";",""),IF(AND($G30&lt;Hta_29,$G30&gt;=Hba_29,Input!AL$49&lt;&gt;""),Input!$B$49&amp;";",""),IF(AND($G30&lt;Hta_30,$G30&gt;=Hba_30,Input!AL$50&lt;&gt;""),Input!$B$50&amp;";","")),"")</f>
        <v/>
      </c>
      <c r="CN30" s="59" t="str">
        <f t="shared" si="6"/>
        <v/>
      </c>
      <c r="CO30" s="791"/>
      <c r="CP30" s="792"/>
      <c r="CQ30" s="793"/>
      <c r="CR30" s="791"/>
      <c r="CS30" s="792"/>
      <c r="CT30" s="793"/>
      <c r="CU30" s="791" t="str">
        <f t="shared" si="7"/>
        <v/>
      </c>
      <c r="CV30" s="792"/>
      <c r="CW30" s="807"/>
      <c r="CX30" s="808"/>
      <c r="CY30" s="730"/>
      <c r="CZ30" s="809"/>
      <c r="DA30" s="733"/>
      <c r="DB30" s="734"/>
      <c r="DC30" s="735"/>
      <c r="DD30" s="729" t="str">
        <f t="shared" si="8"/>
        <v/>
      </c>
      <c r="DE30" s="730"/>
      <c r="DF30" s="731"/>
      <c r="DG30" s="55"/>
      <c r="DH30" s="56"/>
      <c r="DI30" s="56"/>
      <c r="DJ30" s="56"/>
      <c r="DK30" s="56"/>
      <c r="DL30" s="56"/>
      <c r="DM30" s="56"/>
      <c r="DN30" s="56"/>
      <c r="DO30" s="56"/>
      <c r="DP30" s="56"/>
      <c r="DQ30" s="58"/>
      <c r="DR30" s="58"/>
      <c r="DS30" s="58"/>
      <c r="DT30" s="58"/>
      <c r="DU30" s="58"/>
      <c r="DV30" s="58"/>
      <c r="DW30" s="58"/>
      <c r="DX30" s="58"/>
      <c r="DY30" s="58"/>
      <c r="DZ30" s="58"/>
      <c r="EA30" s="58"/>
      <c r="EB30" s="58"/>
      <c r="EC30" s="58"/>
      <c r="ED30" s="58"/>
      <c r="EE30" s="58"/>
      <c r="EF30" s="58"/>
      <c r="EG30" s="58"/>
      <c r="EH30" s="58"/>
      <c r="EI30" s="58"/>
      <c r="EJ30" s="58"/>
      <c r="EK30" s="58"/>
      <c r="EL30" s="134"/>
      <c r="EM30" s="134"/>
      <c r="EN30" s="134"/>
      <c r="EO30" s="134"/>
      <c r="EP30" s="134"/>
      <c r="EQ30" s="134"/>
      <c r="ER30" s="134"/>
      <c r="ES30" s="134"/>
      <c r="ET30" s="134"/>
      <c r="EU30" s="134"/>
      <c r="EV30" s="134"/>
      <c r="EW30" s="134"/>
      <c r="EX30" s="134"/>
      <c r="EY30" s="134"/>
      <c r="EZ30" s="134"/>
      <c r="FA30" s="134"/>
      <c r="FB30" s="134"/>
      <c r="FC30" s="134"/>
      <c r="FD30" s="134"/>
      <c r="FE30" s="134"/>
      <c r="FF30" s="134"/>
      <c r="FG30" s="134"/>
      <c r="FH30" s="134"/>
      <c r="FI30" s="134"/>
      <c r="FJ30" s="134"/>
      <c r="FK30" s="134"/>
      <c r="FL30" s="134"/>
      <c r="FM30" s="134"/>
      <c r="FN30" s="134"/>
      <c r="FO30" s="134"/>
      <c r="FP30" s="65"/>
      <c r="FQ30" s="124"/>
      <c r="FR30" s="122"/>
      <c r="FS30" s="120"/>
      <c r="FT30" s="119"/>
    </row>
    <row r="31" spans="2:176" ht="15.75" hidden="1" customHeight="1" thickBot="1" x14ac:dyDescent="0.3">
      <c r="B31" s="62" t="b">
        <f>IF(OR(AND(G31&gt;='Geometry 2'!$AK$5,G31&lt;'Geometry 2'!$AL$5),AND(G31&gt;='Geometry 2'!$AK$6,G31&lt;'Geometry 2'!$AL$6),AND(G31&gt;='Geometry 2'!$AK$7,G31&lt;'Geometry 2'!$AL$7),AND(G31&gt;='Geometry 2'!$AK$8,G31&lt;'Geometry 2'!$AL$8),AND(G31&gt;='Geometry 2'!$AK$9,G31&lt;'Geometry 2'!$AL$9),AND(G31&gt;='Geometry 2'!$AK$10,G31&lt;'Geometry 2'!$AL$10),AND(G31&gt;='Geometry 2'!$AK$11,G31&lt;'Geometry 2'!$AL$11),AND(G31&gt;='Geometry 2'!$AK$12,G31&lt;'Geometry 2'!$AL$12),AND(G31&gt;='Geometry 2'!$AK$13,G31&lt;'Geometry 2'!$AL$13),AND(G31&gt;='Geometry 2'!$AK$14,G31&lt;'Geometry 2'!$AL$14)),TRUE,FALSE)</f>
        <v>0</v>
      </c>
      <c r="C31" s="4" t="str">
        <f t="shared" si="3"/>
        <v/>
      </c>
      <c r="D31" s="766" t="str">
        <f t="shared" si="4"/>
        <v/>
      </c>
      <c r="E31" s="767"/>
      <c r="F31" s="17" t="str">
        <f t="shared" si="2"/>
        <v/>
      </c>
      <c r="G31" s="768" t="str">
        <f>IF(D31="","",MAX(0,G30-IF(inc="n/a",999,inc),MAX(IF(G30&lt;=Hta_1,0,Hta_1),IF(G30&lt;=Hta_2,0,Hta_2),IF(G30&lt;=Hta_3,0,Hta_3),IF(G30&lt;=Hta_4,0,Hta_4),IF(G30&lt;=Hta_5,0,Hta_5),IF(G30&lt;=Hta_6,0,Hta_6),IF(G30&lt;=Hta_7,0,Hta_7),IF(G30&lt;=Hta_8,0,Hta_8),IF(G30&lt;=Hta_9,0,Hta_9),IF(G30&lt;=Hta_10,0,Hta_10),IF(G30&lt;=Hta_11,0,Hta_11),IF(G30&lt;=Hta_12,0,Hta_12),IF(G30&lt;=Hta_13,0,Hta_13),IF(G30&lt;=Hta_14,0,Hta_14),IF(G30&lt;=Hta_15,0,Hta_15),IF(G30&lt;=Hta_16,0,Hta_16),IF(G30&lt;=Hta_17,0,Hta_17),IF(G30&lt;=Hta_18,0,Hta_18),IF(G30&lt;=Hta_19,0,Hta_19),IF(G30&lt;=Hta_20,0,Hta_20),IF(G30&lt;=Hta_21,0,Hta_21),IF(G30&lt;=Hta_22,0,Hta_22),IF(G30&lt;=Hta_23,0,Hta_23),IF(G30&lt;=Hta_24,0,Hta_24),IF(G30&lt;=Hta_25,0,Hta_25),IF(G30&lt;=Hta_26,0,Hta_26),IF(G30&lt;=Hta_27,0,Hta_27),IF(G30&lt;=Hta_28,0,Hta_28),IF(G30&lt;=Hta_29,0,Hta_29),IF(G30&lt;=Hta_30,0,Hta_30)),MAX(IF(G30&lt;=Hta_1-0.25,0,Hta_1-0.25),IF(G30&lt;=Hta_2-0.25,0,Hta_2-0.25),IF(G30&lt;=Hta_3-0.25,0,Hta_3-0.25),IF(G30&lt;=Hta_4-0.25,0,Hta_4-0.25),IF(G30&lt;=Hta_5-0.25,0,Hta_5-0.25),IF(G30&lt;=Hta_6-0.25,0,Hta_6-0.25),IF(G30&lt;=Hta_7-0.25,0,Hta_7-0.25),IF(G30&lt;=Hta_8-0.25,0,Hta_8-0.25),IF(G30&lt;=Hta_9-0.25,0,Hta_9-0.25),IF(G30&lt;=Hta_10-0.25,0,Hta_10-0.25),IF(G30&lt;=Hta_11-0.25,0,Hta_11-0.25),IF(G30&lt;=Hta_12-0.25,0,Hta_12-0.25),IF(G30&lt;=Hta_13-0.25,0,Hta_13-0.25),IF(G30&lt;=Hta_14-0.25,0,Hta_14-0.25),IF(G30&lt;=Hta_15-0.25,0,Hta_15-0.25),IF(G30&lt;=Hta_16-0.25,0,Hta_16-0.25),IF(G30&lt;=Hta_17-0.25,0,Hta_17-0.25),IF(G30&lt;=Hta_18-0.25,0,Hta_18-0.25),IF(G30&lt;=Hta_19-0.25,0,Hta_19-0.25),IF(G30&lt;=Hta_20-0.25,0,Hta_20-0.25),IF(G30&lt;=Hta_21-0.25,0,Hta_21-0.25),IF(G30&lt;=Hta_22-0.25,0,Hta_22-0.25),IF(G30&lt;=Hta_23-0.25,0,Hta_23-0.25),IF(G30&lt;=Hta_24-0.25,0,Hta_24-0.25),IF(G30&lt;=Hta_25-0.25,0,Hta_25-0.25),IF(G30&lt;=Hta_26-0.25,0,Hta_26-0.25),IF(G30&lt;=Hta_27-0.25,0,Hta_27-0.25),IF(G30&lt;=Hta_28-0.25,0,Hta_28-0.25),IF(G30&lt;=Hta_29-0.25,0,Hta_29-0.25),IF(G30&lt;=Hta_30-0.25,0,Hta_30-0.25)),MAX(IF(G30&lt;=Hba_1,0,Hba_1),IF(G30&lt;=Hba_2,0,Hba_2),IF(G30&lt;=Hba_3,0,Hba_3),IF(G30&lt;=Hba_4,0,Hba_4),IF(G30&lt;=Hba_5,0,Hba_5),IF(G30&lt;=Hba_6,0,Hba_6),IF(G30&lt;=Hba_7,0,Hba_7),IF(G30&lt;=Hba_8,0,Hba_8),IF(G30&lt;=Hba_9,0,Hba_9),IF(G30&lt;=Hba_10,0,Hba_10),IF(G30&lt;=Hba_11,0,Hba_11),IF(G30&lt;=Hba_12,0,Hba_12),IF(G30&lt;=Hba_13,0,Hba_13),IF(G30&lt;=Hba_14,0,Hba_14),IF(G30&lt;=Hba_15,0,Hba_15),IF(G30&lt;=Hba_16,0,Hba_16),IF(G30&lt;=Hba_17,0,Hba_17),IF(G30&lt;=Hba_18,0,Hba_18),IF(G30&lt;=Hba_19,0,Hba_19),IF(G30&lt;=Hba_20,0,Hba_20),IF(G30&lt;=Hba_21,0,Hba_21),IF(G30&lt;=Hba_22,0,Hba_22),IF(G30&lt;=Hba_23,0,Hba_23),IF(G30&lt;=Hba_24,0,Hba_24),IF(G30&lt;=Hba_25,0,Hba_25),IF(G30&lt;=Hba_26,0,Hba_26),IF(G30&lt;=Hba_27,0,Hba_27),IF(G30&lt;=Hba_28,0,Hba_28),IF(G30&lt;=Hba_29,0,Hba_29),IF(G30&lt;=Hba_30,0,Hba_30)),MAX(IF(G30&lt;=Input!$C$8,0,Input!$C$8),IF(G30&lt;=Input!$C$9,0,Input!$C$9),IF(G30&lt;=Input!$C$10,0,Input!$C$10),IF(G30&lt;=Input!$C$11,0,Input!$C$11),IF(G30&lt;=Input!$C$12,0,Input!$C$12),IF(G30&lt;=Input!$C$13,0,Input!$C$13),IF(G30&lt;=Input!$C$14,0,Input!$C$14),IF(G30&lt;=Input!$C$15,0,Input!$C$15),IF(G30&lt;=Input!$C$16,0,Input!$C$16)),MAX(IF(G30&lt;=Hba_1-0.25,0,Hba_1-0.25),IF(G30&lt;=Hba_2-0.25,0,Hba_2-0.25),IF(G30&lt;=Hba_3-0.25,0,Hba_3-0.25),IF(G30&lt;=Hba_4-0.25,0,Hba_4-0.25),IF(G30&lt;=Hba_5-0.25,0,Hba_5-0.25),IF(G30&lt;=Hba_6-0.25,0,Hba_6-0.25),IF(G30&lt;=Hba_7-0.25,0,Hba_7-0.25),IF(G30&lt;=Hba_8-0.25,0,Hba_8-0.25),IF(G30&lt;=Hba_9-0.25,0,Hba_9-0.25),IF(G30&lt;=Hba_10-0.25,0,Hba_10-0.25),IF(G30&lt;=Hba_11-0.25,0,Hba_11-0.25),IF(G30&lt;=Hba_12-0.25,0,Hba_12-0.25),IF(G30&lt;=Hba_13-0.25,0,Hba_13-0.25),IF(G30&lt;=Hba_14-0.25,0,Hba_14-0.25),IF(G30&lt;=Hba_15-0.25,0,Hba_15-0.25),IF(G30&lt;=Hba_16-0.25,0,Hba_16-0.25),IF(G30&lt;=Hba_17-0.25,0,Hba_17-0.25),IF(G30&lt;=Hba_18-0.25,0,Hba_18-0.25),IF(G30&lt;=Hba_19-0.25,0,Hba_19-0.25),IF(G30&lt;=Hba_20-0.25,0,Hba_20-0.25),IF(G30&lt;=Hba_21-0.25,0,Hba_21-0.25),IF(G30&lt;=Hba_22-0.25,0,Hba_22-0.25),IF(G30&lt;=Hba_23-0.25,0,Hba_23-0.25),IF(G30&lt;=Hba_24-0.25,0,Hba_24-0.25),IF(G30&lt;=Hba_25-0.25,0,Hba_25-0.25),IF(G30&lt;=Hba_26-0.25,0,Hba_26-0.25),IF(G30&lt;=Hba_27-0.25,0,Hba_27-0.25),IF(G30&lt;=Hba_28-0.25,0,Hba_28-0.25),IF(G30&lt;=Hba_29-0.25,0,Hba_29-0.25),IF(G30&lt;=Hba_30-0.25,0,Hba_30-0.25)),IF(G30&lt;='Macro References'!$A$38,0,'Macro References'!$A$38)))</f>
        <v/>
      </c>
      <c r="H31" s="769"/>
      <c r="I31" s="228"/>
      <c r="J31" s="228"/>
      <c r="K31" s="228"/>
      <c r="L31" s="717" t="str">
        <f t="shared" si="0"/>
        <v/>
      </c>
      <c r="M31" s="717"/>
      <c r="N31" s="717"/>
      <c r="O31" s="717"/>
      <c r="P31" s="717" t="str">
        <f>IF(OR(G31=0,G31=""),"",IF(VLOOKUP(G31,'Geometry 2'!$C$4:$AI$14,1,TRUE)=VLOOKUP(G32,'Geometry 2'!$C$4:$AI$14,1,TRUE),"",IF(VLOOKUP(G31,'Geometry 2'!$C$4:$AI$14,33,TRUE)&lt;&gt;"n/a",MIN(G31,VLOOKUP(G31,'Geometry 2'!$C$4:$AI$14,1,TRUE))-VLOOKUP(G31,'Geometry 2'!$C$4:$AI$14,33,TRUE),"check")))</f>
        <v/>
      </c>
      <c r="Q31" s="717"/>
      <c r="R31" s="717"/>
      <c r="S31" s="717"/>
      <c r="T31" s="717" t="str">
        <f>IF($G31="","",VLOOKUP($G31,'Geometry 2'!$E$4:$AH$14,11,TRUE))</f>
        <v/>
      </c>
      <c r="U31" s="717"/>
      <c r="V31" s="717"/>
      <c r="W31" s="717"/>
      <c r="X31" s="716" t="str">
        <f>IF($G31="","",VLOOKUP($G31,'Geometry 2'!$E$4:$AJ$14,19,TRUE)-12*VLOOKUP($G31,'Geometry 2'!$E$4:$AJ$14,32,TRUE)*($D31-VLOOKUP($G31,'Geometry 2'!$E$5:$AH$14,1,TRUE)))</f>
        <v/>
      </c>
      <c r="Y31" s="716"/>
      <c r="Z31" s="716"/>
      <c r="AA31" s="716"/>
      <c r="AB31" s="757" t="str">
        <f>IF($G31="","",VLOOKUP($G31,'Geometry 2'!$E$4:$AJ$14,19,TRUE)-12*VLOOKUP($G31,'Geometry 2'!$E$4:$AJ$14,32,TRUE)*($G31-VLOOKUP($G31,'Geometry 2'!$E$5:$AH$14,1,TRUE)))</f>
        <v/>
      </c>
      <c r="AC31" s="758"/>
      <c r="AD31" s="758"/>
      <c r="AE31" s="759"/>
      <c r="AF31" s="716" t="str">
        <f>IF($G31="","",VLOOKUP($G31,'Geometry 2'!$E$4:$AJ$14,19,TRUE)-12*VLOOKUP($G31,'Geometry 2'!$E$4:$AJ$14,32,TRUE)*($G31-IF($P31="",0,$P31)-VLOOKUP($G31,'Geometry 2'!$E$5:$AH$14,1,TRUE)))</f>
        <v/>
      </c>
      <c r="AG31" s="716"/>
      <c r="AH31" s="716"/>
      <c r="AI31" s="716"/>
      <c r="AJ31" s="746" t="str">
        <f>IF($G31="","",VLOOKUP($G31,'Geometry 2'!$E$4:$AH$14,23,TRUE))</f>
        <v/>
      </c>
      <c r="AK31" s="747"/>
      <c r="AL31" s="747"/>
      <c r="AM31" s="748"/>
      <c r="AN31" s="717"/>
      <c r="AO31" s="717"/>
      <c r="AP31" s="717"/>
      <c r="AQ31" s="717"/>
      <c r="AR31" s="717" t="str">
        <f>IF($G31="","",VLOOKUP($G31,'Geometry 2'!$E$4:$AH$14,27,TRUE))</f>
        <v/>
      </c>
      <c r="AS31" s="717"/>
      <c r="AT31" s="717"/>
      <c r="AU31" s="718"/>
      <c r="AV31" s="715"/>
      <c r="AW31" s="716"/>
      <c r="AX31" s="716"/>
      <c r="AZ31" s="722" t="str">
        <f t="shared" si="5"/>
        <v/>
      </c>
      <c r="BA31" s="723"/>
      <c r="BB31" s="723"/>
      <c r="BC31" s="724"/>
      <c r="BD31" s="722"/>
      <c r="BE31" s="723"/>
      <c r="BF31" s="723"/>
      <c r="BG31" s="722" t="str">
        <f t="shared" si="9"/>
        <v/>
      </c>
      <c r="BH31" s="723"/>
      <c r="BI31" s="723"/>
      <c r="BJ31" s="723"/>
      <c r="BK31" s="724"/>
      <c r="BL31" s="722"/>
      <c r="BM31" s="723"/>
      <c r="BN31" s="723"/>
      <c r="BO31" s="723"/>
      <c r="BP31" s="725"/>
      <c r="BQ31" s="725"/>
      <c r="BR31" s="722" t="str">
        <f>IF(BP31="","",IF(OR(AND(Rev="H",Calculations!$F$27=TRUE),AND(Rev&lt;&gt;"H",Calculations!$F$30=TRUE)),IF(BP31&lt;=1,"Pass","Fail"),IF(BP31&lt;=1.05,"Pass","Fail")))</f>
        <v/>
      </c>
      <c r="BS31" s="723"/>
      <c r="BT31" s="724"/>
      <c r="BU31" s="49"/>
      <c r="BV31" s="25" t="str">
        <f>IFERROR(CONCATENATE(IF(AND($G31&lt;Hta_1,$G31&gt;=Hba_1,Input!U$21&lt;&gt;""),Input!$B$21&amp;";",""),IF(AND($G31&lt;Hta_2,$G31&gt;=Hba_2,Input!U$22&lt;&gt;""),Input!$B$22&amp;";",""),IF(AND($G31&lt;Hta_3,$G31&gt;=Hba_3,Input!U$23&lt;&gt;""),Input!$B$23&amp;";",""),IF(AND($G31&lt;Hta_4,$G31&gt;=Hba_4,Input!U$24&lt;&gt;""),Input!$B$24&amp;";",""),IF(AND($G31&lt;Hta_5,$G31&gt;=Hba_5,Input!U$25&lt;&gt;""),Input!$B$25&amp;";",""),IF(AND($G31&lt;Hta_6,$G31&gt;=Hba_6,Input!U$26&lt;&gt;""),Input!$B$26&amp;";",""),IF(AND($G31&lt;Hta_7,$G31&gt;=Hba_7,Input!U$27&lt;&gt;""),Input!$B$27&amp;";",""),IF(AND($G31&lt;Hta_8,$G31&gt;=Hba_8,Input!U$28&lt;&gt;""),Input!$B$28&amp;";",""),IF(AND($G31&lt;Hta_9,$G31&gt;=Hba_9,Input!U$29&lt;&gt;""),Input!$B$29&amp;";",""),IF(AND($G31&lt;Hta_10,$G31&gt;=Hba_10,Input!U$30&lt;&gt;""),Input!$B$30&amp;";",""),IF(AND($G31&lt;Hta_11,$G31&gt;=Hba_11,Input!U$31&lt;&gt;""),Input!$B$31&amp;";",""),IF(AND($G31&lt;Hta_12,$G31&gt;=Hba_12,Input!U$32&lt;&gt;""),Input!$B$32&amp;";",""),IF(AND($G31&lt;Hta_13,$G31&gt;=Hba_13,Input!U$33&lt;&gt;""),Input!$B$33&amp;";",""),IF(AND($G31&lt;Hta_14,$G31&gt;=Hba_14,Input!U$34&lt;&gt;""),Input!$B$34&amp;";",""),IF(AND($G31&lt;Hta_15,$G31&gt;=Hba_15,Input!U$35&lt;&gt;""),Input!$B$35&amp;";",""),IF(AND($G31&lt;Hta_16,$G31&gt;=Hba_16,Input!U$36&lt;&gt;""),Input!$B$36&amp;";",""),IF(AND($G31&lt;Hta_17,$G31&gt;=Hba_17,Input!U$37&lt;&gt;""),Input!$B$37&amp;";",""),IF(AND($G31&lt;Hta_18,$G31&gt;=Hba_18,Input!U$38&lt;&gt;""),Input!$B$38&amp;";",""),IF(AND($G31&lt;Hta_19,$G31&gt;=Hba_19,Input!U$39&lt;&gt;""),Input!$B$39&amp;";",""),IF(AND($G31&lt;Hta_20,$G31&gt;=Hba_20,Input!U$40&lt;&gt;""),Input!$B$40&amp;";",""),IF(AND($G31&lt;Hta_21,$G31&gt;=Hba_21,Input!U$41&lt;&gt;""),Input!$B$41&amp;";",""),IF(AND($G31&lt;Hta_22,$G31&gt;=Hba_22,Input!U$42&lt;&gt;""),Input!$B$42&amp;";",""),IF(AND($G31&lt;Hta_23,$G31&gt;=Hba_23,Input!U$43&lt;&gt;""),Input!$B$43&amp;";",""),IF(AND($G31&lt;Hta_24,$G31&gt;=Hba_24,Input!U$44&lt;&gt;""),Input!$B$44&amp;";",""),IF(AND($G31&lt;Hta_25,$G31&gt;=Hba_25,Input!U$45&lt;&gt;""),Input!$B$45&amp;";",""),IF(AND($G31&lt;Hta_26,$G31&gt;=Hba_26,Input!U$46&lt;&gt;""),Input!$B$46&amp;";",""),IF(AND($G31&lt;Hta_27,$G31&gt;=Hba_27,Input!U$47&lt;&gt;""),Input!$B$47&amp;";",""),IF(AND($G31&lt;Hta_28,$G31&gt;=Hba_28,Input!U$48&lt;&gt;""),Input!$B$48&amp;";",""),IF(AND($G31&lt;Hta_29,$G31&gt;=Hba_29,Input!U$49&lt;&gt;""),Input!$B$49&amp;";",""),IF(AND($G31&lt;Hta_30,$G31&gt;=Hba_30,Input!U$50&lt;&gt;""),Input!$B$50&amp;";","")),"")</f>
        <v/>
      </c>
      <c r="BW31" s="25" t="str">
        <f>IFERROR(CONCATENATE(IF(AND($G31&lt;Hta_1,$G31&gt;=Hba_1,Input!V$21&lt;&gt;""),Input!$B$21&amp;";",""),IF(AND($G31&lt;Hta_2,$G31&gt;=Hba_2,Input!V$22&lt;&gt;""),Input!$B$22&amp;";",""),IF(AND($G31&lt;Hta_3,$G31&gt;=Hba_3,Input!V$23&lt;&gt;""),Input!$B$23&amp;";",""),IF(AND($G31&lt;Hta_4,$G31&gt;=Hba_4,Input!V$24&lt;&gt;""),Input!$B$24&amp;";",""),IF(AND($G31&lt;Hta_5,$G31&gt;=Hba_5,Input!V$25&lt;&gt;""),Input!$B$25&amp;";",""),IF(AND($G31&lt;Hta_6,$G31&gt;=Hba_6,Input!V$26&lt;&gt;""),Input!$B$26&amp;";",""),IF(AND($G31&lt;Hta_7,$G31&gt;=Hba_7,Input!V$27&lt;&gt;""),Input!$B$27&amp;";",""),IF(AND($G31&lt;Hta_8,$G31&gt;=Hba_8,Input!V$28&lt;&gt;""),Input!$B$28&amp;";",""),IF(AND($G31&lt;Hta_9,$G31&gt;=Hba_9,Input!V$29&lt;&gt;""),Input!$B$29&amp;";",""),IF(AND($G31&lt;Hta_10,$G31&gt;=Hba_10,Input!V$30&lt;&gt;""),Input!$B$30&amp;";",""),IF(AND($G31&lt;Hta_11,$G31&gt;=Hba_11,Input!V$31&lt;&gt;""),Input!$B$31&amp;";",""),IF(AND($G31&lt;Hta_12,$G31&gt;=Hba_12,Input!V$32&lt;&gt;""),Input!$B$32&amp;";",""),IF(AND($G31&lt;Hta_13,$G31&gt;=Hba_13,Input!V$33&lt;&gt;""),Input!$B$33&amp;";",""),IF(AND($G31&lt;Hta_14,$G31&gt;=Hba_14,Input!V$34&lt;&gt;""),Input!$B$34&amp;";",""),IF(AND($G31&lt;Hta_15,$G31&gt;=Hba_15,Input!V$35&lt;&gt;""),Input!$B$35&amp;";",""),IF(AND($G31&lt;Hta_16,$G31&gt;=Hba_16,Input!V$36&lt;&gt;""),Input!$B$36&amp;";",""),IF(AND($G31&lt;Hta_17,$G31&gt;=Hba_17,Input!V$37&lt;&gt;""),Input!$B$37&amp;";",""),IF(AND($G31&lt;Hta_18,$G31&gt;=Hba_18,Input!V$38&lt;&gt;""),Input!$B$38&amp;";",""),IF(AND($G31&lt;Hta_19,$G31&gt;=Hba_19,Input!V$39&lt;&gt;""),Input!$B$39&amp;";",""),IF(AND($G31&lt;Hta_20,$G31&gt;=Hba_20,Input!V$40&lt;&gt;""),Input!$B$40&amp;";",""),IF(AND($G31&lt;Hta_21,$G31&gt;=Hba_21,Input!V$41&lt;&gt;""),Input!$B$41&amp;";",""),IF(AND($G31&lt;Hta_22,$G31&gt;=Hba_22,Input!V$42&lt;&gt;""),Input!$B$42&amp;";",""),IF(AND($G31&lt;Hta_23,$G31&gt;=Hba_23,Input!V$43&lt;&gt;""),Input!$B$43&amp;";",""),IF(AND($G31&lt;Hta_24,$G31&gt;=Hba_24,Input!V$44&lt;&gt;""),Input!$B$44&amp;";",""),IF(AND($G31&lt;Hta_25,$G31&gt;=Hba_25,Input!V$45&lt;&gt;""),Input!$B$45&amp;";",""),IF(AND($G31&lt;Hta_26,$G31&gt;=Hba_26,Input!V$46&lt;&gt;""),Input!$B$46&amp;";",""),IF(AND($G31&lt;Hta_27,$G31&gt;=Hba_27,Input!V$47&lt;&gt;""),Input!$B$47&amp;";",""),IF(AND($G31&lt;Hta_28,$G31&gt;=Hba_28,Input!V$48&lt;&gt;""),Input!$B$48&amp;";",""),IF(AND($G31&lt;Hta_29,$G31&gt;=Hba_29,Input!V$49&lt;&gt;""),Input!$B$49&amp;";",""),IF(AND($G31&lt;Hta_30,$G31&gt;=Hba_30,Input!V$50&lt;&gt;""),Input!$B$50&amp;";","")),"")</f>
        <v/>
      </c>
      <c r="BX31" s="25" t="str">
        <f>IFERROR(CONCATENATE(IF(AND($G31&lt;Hta_1,$G31&gt;=Hba_1,Input!W$21&lt;&gt;""),Input!$B$21&amp;";",""),IF(AND($G31&lt;Hta_2,$G31&gt;=Hba_2,Input!W$22&lt;&gt;""),Input!$B$22&amp;";",""),IF(AND($G31&lt;Hta_3,$G31&gt;=Hba_3,Input!W$23&lt;&gt;""),Input!$B$23&amp;";",""),IF(AND($G31&lt;Hta_4,$G31&gt;=Hba_4,Input!W$24&lt;&gt;""),Input!$B$24&amp;";",""),IF(AND($G31&lt;Hta_5,$G31&gt;=Hba_5,Input!W$25&lt;&gt;""),Input!$B$25&amp;";",""),IF(AND($G31&lt;Hta_6,$G31&gt;=Hba_6,Input!W$26&lt;&gt;""),Input!$B$26&amp;";",""),IF(AND($G31&lt;Hta_7,$G31&gt;=Hba_7,Input!W$27&lt;&gt;""),Input!$B$27&amp;";",""),IF(AND($G31&lt;Hta_8,$G31&gt;=Hba_8,Input!W$28&lt;&gt;""),Input!$B$28&amp;";",""),IF(AND($G31&lt;Hta_9,$G31&gt;=Hba_9,Input!W$29&lt;&gt;""),Input!$B$29&amp;";",""),IF(AND($G31&lt;Hta_10,$G31&gt;=Hba_10,Input!W$30&lt;&gt;""),Input!$B$30&amp;";",""),IF(AND($G31&lt;Hta_11,$G31&gt;=Hba_11,Input!W$31&lt;&gt;""),Input!$B$31&amp;";",""),IF(AND($G31&lt;Hta_12,$G31&gt;=Hba_12,Input!W$32&lt;&gt;""),Input!$B$32&amp;";",""),IF(AND($G31&lt;Hta_13,$G31&gt;=Hba_13,Input!W$33&lt;&gt;""),Input!$B$33&amp;";",""),IF(AND($G31&lt;Hta_14,$G31&gt;=Hba_14,Input!W$34&lt;&gt;""),Input!$B$34&amp;";",""),IF(AND($G31&lt;Hta_15,$G31&gt;=Hba_15,Input!W$35&lt;&gt;""),Input!$B$35&amp;";",""),IF(AND($G31&lt;Hta_16,$G31&gt;=Hba_16,Input!W$36&lt;&gt;""),Input!$B$36&amp;";",""),IF(AND($G31&lt;Hta_17,$G31&gt;=Hba_17,Input!W$37&lt;&gt;""),Input!$B$37&amp;";",""),IF(AND($G31&lt;Hta_18,$G31&gt;=Hba_18,Input!W$38&lt;&gt;""),Input!$B$38&amp;";",""),IF(AND($G31&lt;Hta_19,$G31&gt;=Hba_19,Input!W$39&lt;&gt;""),Input!$B$39&amp;";",""),IF(AND($G31&lt;Hta_20,$G31&gt;=Hba_20,Input!W$40&lt;&gt;""),Input!$B$40&amp;";",""),IF(AND($G31&lt;Hta_21,$G31&gt;=Hba_21,Input!W$41&lt;&gt;""),Input!$B$41&amp;";",""),IF(AND($G31&lt;Hta_22,$G31&gt;=Hba_22,Input!W$42&lt;&gt;""),Input!$B$42&amp;";",""),IF(AND($G31&lt;Hta_23,$G31&gt;=Hba_23,Input!W$43&lt;&gt;""),Input!$B$43&amp;";",""),IF(AND($G31&lt;Hta_24,$G31&gt;=Hba_24,Input!W$44&lt;&gt;""),Input!$B$44&amp;";",""),IF(AND($G31&lt;Hta_25,$G31&gt;=Hba_25,Input!W$45&lt;&gt;""),Input!$B$45&amp;";",""),IF(AND($G31&lt;Hta_26,$G31&gt;=Hba_26,Input!W$46&lt;&gt;""),Input!$B$46&amp;";",""),IF(AND($G31&lt;Hta_27,$G31&gt;=Hba_27,Input!W$47&lt;&gt;""),Input!$B$47&amp;";",""),IF(AND($G31&lt;Hta_28,$G31&gt;=Hba_28,Input!W$48&lt;&gt;""),Input!$B$48&amp;";",""),IF(AND($G31&lt;Hta_29,$G31&gt;=Hba_29,Input!W$49&lt;&gt;""),Input!$B$49&amp;";",""),IF(AND($G31&lt;Hta_30,$G31&gt;=Hba_30,Input!W$50&lt;&gt;""),Input!$B$50&amp;";","")),"")</f>
        <v/>
      </c>
      <c r="BY31" s="25" t="str">
        <f>IFERROR(CONCATENATE(IF(AND($G31&lt;Hta_1,$G31&gt;=Hba_1,Input!X$21&lt;&gt;""),Input!$B$21&amp;";",""),IF(AND($G31&lt;Hta_2,$G31&gt;=Hba_2,Input!X$22&lt;&gt;""),Input!$B$22&amp;";",""),IF(AND($G31&lt;Hta_3,$G31&gt;=Hba_3,Input!X$23&lt;&gt;""),Input!$B$23&amp;";",""),IF(AND($G31&lt;Hta_4,$G31&gt;=Hba_4,Input!X$24&lt;&gt;""),Input!$B$24&amp;";",""),IF(AND($G31&lt;Hta_5,$G31&gt;=Hba_5,Input!X$25&lt;&gt;""),Input!$B$25&amp;";",""),IF(AND($G31&lt;Hta_6,$G31&gt;=Hba_6,Input!X$26&lt;&gt;""),Input!$B$26&amp;";",""),IF(AND($G31&lt;Hta_7,$G31&gt;=Hba_7,Input!X$27&lt;&gt;""),Input!$B$27&amp;";",""),IF(AND($G31&lt;Hta_8,$G31&gt;=Hba_8,Input!X$28&lt;&gt;""),Input!$B$28&amp;";",""),IF(AND($G31&lt;Hta_9,$G31&gt;=Hba_9,Input!X$29&lt;&gt;""),Input!$B$29&amp;";",""),IF(AND($G31&lt;Hta_10,$G31&gt;=Hba_10,Input!X$30&lt;&gt;""),Input!$B$30&amp;";",""),IF(AND($G31&lt;Hta_11,$G31&gt;=Hba_11,Input!X$31&lt;&gt;""),Input!$B$31&amp;";",""),IF(AND($G31&lt;Hta_12,$G31&gt;=Hba_12,Input!X$32&lt;&gt;""),Input!$B$32&amp;";",""),IF(AND($G31&lt;Hta_13,$G31&gt;=Hba_13,Input!X$33&lt;&gt;""),Input!$B$33&amp;";",""),IF(AND($G31&lt;Hta_14,$G31&gt;=Hba_14,Input!X$34&lt;&gt;""),Input!$B$34&amp;";",""),IF(AND($G31&lt;Hta_15,$G31&gt;=Hba_15,Input!X$35&lt;&gt;""),Input!$B$35&amp;";",""),IF(AND($G31&lt;Hta_16,$G31&gt;=Hba_16,Input!X$36&lt;&gt;""),Input!$B$36&amp;";",""),IF(AND($G31&lt;Hta_17,$G31&gt;=Hba_17,Input!X$37&lt;&gt;""),Input!$B$37&amp;";",""),IF(AND($G31&lt;Hta_18,$G31&gt;=Hba_18,Input!X$38&lt;&gt;""),Input!$B$38&amp;";",""),IF(AND($G31&lt;Hta_19,$G31&gt;=Hba_19,Input!X$39&lt;&gt;""),Input!$B$39&amp;";",""),IF(AND($G31&lt;Hta_20,$G31&gt;=Hba_20,Input!X$40&lt;&gt;""),Input!$B$40&amp;";",""),IF(AND($G31&lt;Hta_21,$G31&gt;=Hba_21,Input!X$41&lt;&gt;""),Input!$B$41&amp;";",""),IF(AND($G31&lt;Hta_22,$G31&gt;=Hba_22,Input!X$42&lt;&gt;""),Input!$B$42&amp;";",""),IF(AND($G31&lt;Hta_23,$G31&gt;=Hba_23,Input!X$43&lt;&gt;""),Input!$B$43&amp;";",""),IF(AND($G31&lt;Hta_24,$G31&gt;=Hba_24,Input!X$44&lt;&gt;""),Input!$B$44&amp;";",""),IF(AND($G31&lt;Hta_25,$G31&gt;=Hba_25,Input!X$45&lt;&gt;""),Input!$B$45&amp;";",""),IF(AND($G31&lt;Hta_26,$G31&gt;=Hba_26,Input!X$46&lt;&gt;""),Input!$B$46&amp;";",""),IF(AND($G31&lt;Hta_27,$G31&gt;=Hba_27,Input!X$47&lt;&gt;""),Input!$B$47&amp;";",""),IF(AND($G31&lt;Hta_28,$G31&gt;=Hba_28,Input!X$48&lt;&gt;""),Input!$B$48&amp;";",""),IF(AND($G31&lt;Hta_29,$G31&gt;=Hba_29,Input!X$49&lt;&gt;""),Input!$B$49&amp;";",""),IF(AND($G31&lt;Hta_30,$G31&gt;=Hba_30,Input!X$50&lt;&gt;""),Input!$B$50&amp;";","")),"")</f>
        <v/>
      </c>
      <c r="BZ31" s="25" t="str">
        <f>IFERROR(CONCATENATE(IF(AND($G31&lt;Hta_1,$G31&gt;=Hba_1,Input!Y$21&lt;&gt;""),Input!$B$21&amp;";",""),IF(AND($G31&lt;Hta_2,$G31&gt;=Hba_2,Input!Y$22&lt;&gt;""),Input!$B$22&amp;";",""),IF(AND($G31&lt;Hta_3,$G31&gt;=Hba_3,Input!Y$23&lt;&gt;""),Input!$B$23&amp;";",""),IF(AND($G31&lt;Hta_4,$G31&gt;=Hba_4,Input!Y$24&lt;&gt;""),Input!$B$24&amp;";",""),IF(AND($G31&lt;Hta_5,$G31&gt;=Hba_5,Input!Y$25&lt;&gt;""),Input!$B$25&amp;";",""),IF(AND($G31&lt;Hta_6,$G31&gt;=Hba_6,Input!Y$26&lt;&gt;""),Input!$B$26&amp;";",""),IF(AND($G31&lt;Hta_7,$G31&gt;=Hba_7,Input!Y$27&lt;&gt;""),Input!$B$27&amp;";",""),IF(AND($G31&lt;Hta_8,$G31&gt;=Hba_8,Input!Y$28&lt;&gt;""),Input!$B$28&amp;";",""),IF(AND($G31&lt;Hta_9,$G31&gt;=Hba_9,Input!Y$29&lt;&gt;""),Input!$B$29&amp;";",""),IF(AND($G31&lt;Hta_10,$G31&gt;=Hba_10,Input!Y$30&lt;&gt;""),Input!$B$30&amp;";",""),IF(AND($G31&lt;Hta_11,$G31&gt;=Hba_11,Input!Y$31&lt;&gt;""),Input!$B$31&amp;";",""),IF(AND($G31&lt;Hta_12,$G31&gt;=Hba_12,Input!Y$32&lt;&gt;""),Input!$B$32&amp;";",""),IF(AND($G31&lt;Hta_13,$G31&gt;=Hba_13,Input!Y$33&lt;&gt;""),Input!$B$33&amp;";",""),IF(AND($G31&lt;Hta_14,$G31&gt;=Hba_14,Input!Y$34&lt;&gt;""),Input!$B$34&amp;";",""),IF(AND($G31&lt;Hta_15,$G31&gt;=Hba_15,Input!Y$35&lt;&gt;""),Input!$B$35&amp;";",""),IF(AND($G31&lt;Hta_16,$G31&gt;=Hba_16,Input!Y$36&lt;&gt;""),Input!$B$36&amp;";",""),IF(AND($G31&lt;Hta_17,$G31&gt;=Hba_17,Input!Y$37&lt;&gt;""),Input!$B$37&amp;";",""),IF(AND($G31&lt;Hta_18,$G31&gt;=Hba_18,Input!Y$38&lt;&gt;""),Input!$B$38&amp;";",""),IF(AND($G31&lt;Hta_19,$G31&gt;=Hba_19,Input!Y$39&lt;&gt;""),Input!$B$39&amp;";",""),IF(AND($G31&lt;Hta_20,$G31&gt;=Hba_20,Input!Y$40&lt;&gt;""),Input!$B$40&amp;";",""),IF(AND($G31&lt;Hta_21,$G31&gt;=Hba_21,Input!Y$41&lt;&gt;""),Input!$B$41&amp;";",""),IF(AND($G31&lt;Hta_22,$G31&gt;=Hba_22,Input!Y$42&lt;&gt;""),Input!$B$42&amp;";",""),IF(AND($G31&lt;Hta_23,$G31&gt;=Hba_23,Input!Y$43&lt;&gt;""),Input!$B$43&amp;";",""),IF(AND($G31&lt;Hta_24,$G31&gt;=Hba_24,Input!Y$44&lt;&gt;""),Input!$B$44&amp;";",""),IF(AND($G31&lt;Hta_25,$G31&gt;=Hba_25,Input!Y$45&lt;&gt;""),Input!$B$45&amp;";",""),IF(AND($G31&lt;Hta_26,$G31&gt;=Hba_26,Input!Y$46&lt;&gt;""),Input!$B$46&amp;";",""),IF(AND($G31&lt;Hta_27,$G31&gt;=Hba_27,Input!Y$47&lt;&gt;""),Input!$B$47&amp;";",""),IF(AND($G31&lt;Hta_28,$G31&gt;=Hba_28,Input!Y$48&lt;&gt;""),Input!$B$48&amp;";",""),IF(AND($G31&lt;Hta_29,$G31&gt;=Hba_29,Input!Y$49&lt;&gt;""),Input!$B$49&amp;";",""),IF(AND($G31&lt;Hta_30,$G31&gt;=Hba_30,Input!Y$50&lt;&gt;""),Input!$B$50&amp;";","")),"")</f>
        <v/>
      </c>
      <c r="CA31" s="25" t="str">
        <f>IFERROR(CONCATENATE(IF(AND($G31&lt;Hta_1,$G31&gt;=Hba_1,Input!Z$21&lt;&gt;""),Input!$B$21&amp;";",""),IF(AND($G31&lt;Hta_2,$G31&gt;=Hba_2,Input!Z$22&lt;&gt;""),Input!$B$22&amp;";",""),IF(AND($G31&lt;Hta_3,$G31&gt;=Hba_3,Input!Z$23&lt;&gt;""),Input!$B$23&amp;";",""),IF(AND($G31&lt;Hta_4,$G31&gt;=Hba_4,Input!Z$24&lt;&gt;""),Input!$B$24&amp;";",""),IF(AND($G31&lt;Hta_5,$G31&gt;=Hba_5,Input!Z$25&lt;&gt;""),Input!$B$25&amp;";",""),IF(AND($G31&lt;Hta_6,$G31&gt;=Hba_6,Input!Z$26&lt;&gt;""),Input!$B$26&amp;";",""),IF(AND($G31&lt;Hta_7,$G31&gt;=Hba_7,Input!Z$27&lt;&gt;""),Input!$B$27&amp;";",""),IF(AND($G31&lt;Hta_8,$G31&gt;=Hba_8,Input!Z$28&lt;&gt;""),Input!$B$28&amp;";",""),IF(AND($G31&lt;Hta_9,$G31&gt;=Hba_9,Input!Z$29&lt;&gt;""),Input!$B$29&amp;";",""),IF(AND($G31&lt;Hta_10,$G31&gt;=Hba_10,Input!Z$30&lt;&gt;""),Input!$B$30&amp;";",""),IF(AND($G31&lt;Hta_11,$G31&gt;=Hba_11,Input!Z$31&lt;&gt;""),Input!$B$31&amp;";",""),IF(AND($G31&lt;Hta_12,$G31&gt;=Hba_12,Input!Z$32&lt;&gt;""),Input!$B$32&amp;";",""),IF(AND($G31&lt;Hta_13,$G31&gt;=Hba_13,Input!Z$33&lt;&gt;""),Input!$B$33&amp;";",""),IF(AND($G31&lt;Hta_14,$G31&gt;=Hba_14,Input!Z$34&lt;&gt;""),Input!$B$34&amp;";",""),IF(AND($G31&lt;Hta_15,$G31&gt;=Hba_15,Input!Z$35&lt;&gt;""),Input!$B$35&amp;";",""),IF(AND($G31&lt;Hta_16,$G31&gt;=Hba_16,Input!Z$36&lt;&gt;""),Input!$B$36&amp;";",""),IF(AND($G31&lt;Hta_17,$G31&gt;=Hba_17,Input!Z$37&lt;&gt;""),Input!$B$37&amp;";",""),IF(AND($G31&lt;Hta_18,$G31&gt;=Hba_18,Input!Z$38&lt;&gt;""),Input!$B$38&amp;";",""),IF(AND($G31&lt;Hta_19,$G31&gt;=Hba_19,Input!Z$39&lt;&gt;""),Input!$B$39&amp;";",""),IF(AND($G31&lt;Hta_20,$G31&gt;=Hba_20,Input!Z$40&lt;&gt;""),Input!$B$40&amp;";",""),IF(AND($G31&lt;Hta_21,$G31&gt;=Hba_21,Input!Z$41&lt;&gt;""),Input!$B$41&amp;";",""),IF(AND($G31&lt;Hta_22,$G31&gt;=Hba_22,Input!Z$42&lt;&gt;""),Input!$B$42&amp;";",""),IF(AND($G31&lt;Hta_23,$G31&gt;=Hba_23,Input!Z$43&lt;&gt;""),Input!$B$43&amp;";",""),IF(AND($G31&lt;Hta_24,$G31&gt;=Hba_24,Input!Z$44&lt;&gt;""),Input!$B$44&amp;";",""),IF(AND($G31&lt;Hta_25,$G31&gt;=Hba_25,Input!Z$45&lt;&gt;""),Input!$B$45&amp;";",""),IF(AND($G31&lt;Hta_26,$G31&gt;=Hba_26,Input!Z$46&lt;&gt;""),Input!$B$46&amp;";",""),IF(AND($G31&lt;Hta_27,$G31&gt;=Hba_27,Input!Z$47&lt;&gt;""),Input!$B$47&amp;";",""),IF(AND($G31&lt;Hta_28,$G31&gt;=Hba_28,Input!Z$48&lt;&gt;""),Input!$B$48&amp;";",""),IF(AND($G31&lt;Hta_29,$G31&gt;=Hba_29,Input!Z$49&lt;&gt;""),Input!$B$49&amp;";",""),IF(AND($G31&lt;Hta_30,$G31&gt;=Hba_30,Input!Z$50&lt;&gt;""),Input!$B$50&amp;";","")),"")</f>
        <v/>
      </c>
      <c r="CB31" s="25" t="str">
        <f>IFERROR(CONCATENATE(IF(AND($G31&lt;Hta_1,$G31&gt;=Hba_1,Input!AA$21&lt;&gt;""),Input!$B$21&amp;";",""),IF(AND($G31&lt;Hta_2,$G31&gt;=Hba_2,Input!AA$22&lt;&gt;""),Input!$B$22&amp;";",""),IF(AND($G31&lt;Hta_3,$G31&gt;=Hba_3,Input!AA$23&lt;&gt;""),Input!$B$23&amp;";",""),IF(AND($G31&lt;Hta_4,$G31&gt;=Hba_4,Input!AA$24&lt;&gt;""),Input!$B$24&amp;";",""),IF(AND($G31&lt;Hta_5,$G31&gt;=Hba_5,Input!AA$25&lt;&gt;""),Input!$B$25&amp;";",""),IF(AND($G31&lt;Hta_6,$G31&gt;=Hba_6,Input!AA$26&lt;&gt;""),Input!$B$26&amp;";",""),IF(AND($G31&lt;Hta_7,$G31&gt;=Hba_7,Input!AA$27&lt;&gt;""),Input!$B$27&amp;";",""),IF(AND($G31&lt;Hta_8,$G31&gt;=Hba_8,Input!AA$28&lt;&gt;""),Input!$B$28&amp;";",""),IF(AND($G31&lt;Hta_9,$G31&gt;=Hba_9,Input!AA$29&lt;&gt;""),Input!$B$29&amp;";",""),IF(AND($G31&lt;Hta_10,$G31&gt;=Hba_10,Input!AA$30&lt;&gt;""),Input!$B$30&amp;";",""),IF(AND($G31&lt;Hta_11,$G31&gt;=Hba_11,Input!AA$31&lt;&gt;""),Input!$B$31&amp;";",""),IF(AND($G31&lt;Hta_12,$G31&gt;=Hba_12,Input!AA$32&lt;&gt;""),Input!$B$32&amp;";",""),IF(AND($G31&lt;Hta_13,$G31&gt;=Hba_13,Input!AA$33&lt;&gt;""),Input!$B$33&amp;";",""),IF(AND($G31&lt;Hta_14,$G31&gt;=Hba_14,Input!AA$34&lt;&gt;""),Input!$B$34&amp;";",""),IF(AND($G31&lt;Hta_15,$G31&gt;=Hba_15,Input!AA$35&lt;&gt;""),Input!$B$35&amp;";",""),IF(AND($G31&lt;Hta_16,$G31&gt;=Hba_16,Input!AA$36&lt;&gt;""),Input!$B$36&amp;";",""),IF(AND($G31&lt;Hta_17,$G31&gt;=Hba_17,Input!AA$37&lt;&gt;""),Input!$B$37&amp;";",""),IF(AND($G31&lt;Hta_18,$G31&gt;=Hba_18,Input!AA$38&lt;&gt;""),Input!$B$38&amp;";",""),IF(AND($G31&lt;Hta_19,$G31&gt;=Hba_19,Input!AA$39&lt;&gt;""),Input!$B$39&amp;";",""),IF(AND($G31&lt;Hta_20,$G31&gt;=Hba_20,Input!AA$40&lt;&gt;""),Input!$B$40&amp;";",""),IF(AND($G31&lt;Hta_21,$G31&gt;=Hba_21,Input!AA$41&lt;&gt;""),Input!$B$41&amp;";",""),IF(AND($G31&lt;Hta_22,$G31&gt;=Hba_22,Input!AA$42&lt;&gt;""),Input!$B$42&amp;";",""),IF(AND($G31&lt;Hta_23,$G31&gt;=Hba_23,Input!AA$43&lt;&gt;""),Input!$B$43&amp;";",""),IF(AND($G31&lt;Hta_24,$G31&gt;=Hba_24,Input!AA$44&lt;&gt;""),Input!$B$44&amp;";",""),IF(AND($G31&lt;Hta_25,$G31&gt;=Hba_25,Input!AA$45&lt;&gt;""),Input!$B$45&amp;";",""),IF(AND($G31&lt;Hta_26,$G31&gt;=Hba_26,Input!AA$46&lt;&gt;""),Input!$B$46&amp;";",""),IF(AND($G31&lt;Hta_27,$G31&gt;=Hba_27,Input!AA$47&lt;&gt;""),Input!$B$47&amp;";",""),IF(AND($G31&lt;Hta_28,$G31&gt;=Hba_28,Input!AA$48&lt;&gt;""),Input!$B$48&amp;";",""),IF(AND($G31&lt;Hta_29,$G31&gt;=Hba_29,Input!AA$49&lt;&gt;""),Input!$B$49&amp;";",""),IF(AND($G31&lt;Hta_30,$G31&gt;=Hba_30,Input!AA$50&lt;&gt;""),Input!$B$50&amp;";","")),"")</f>
        <v/>
      </c>
      <c r="CC31" s="25" t="str">
        <f>IFERROR(CONCATENATE(IF(AND($G31&lt;Hta_1,$G31&gt;=Hba_1,Input!AB$21&lt;&gt;""),Input!$B$21&amp;";",""),IF(AND($G31&lt;Hta_2,$G31&gt;=Hba_2,Input!AB$22&lt;&gt;""),Input!$B$22&amp;";",""),IF(AND($G31&lt;Hta_3,$G31&gt;=Hba_3,Input!AB$23&lt;&gt;""),Input!$B$23&amp;";",""),IF(AND($G31&lt;Hta_4,$G31&gt;=Hba_4,Input!AB$24&lt;&gt;""),Input!$B$24&amp;";",""),IF(AND($G31&lt;Hta_5,$G31&gt;=Hba_5,Input!AB$25&lt;&gt;""),Input!$B$25&amp;";",""),IF(AND($G31&lt;Hta_6,$G31&gt;=Hba_6,Input!AB$26&lt;&gt;""),Input!$B$26&amp;";",""),IF(AND($G31&lt;Hta_7,$G31&gt;=Hba_7,Input!AB$27&lt;&gt;""),Input!$B$27&amp;";",""),IF(AND($G31&lt;Hta_8,$G31&gt;=Hba_8,Input!AB$28&lt;&gt;""),Input!$B$28&amp;";",""),IF(AND($G31&lt;Hta_9,$G31&gt;=Hba_9,Input!AB$29&lt;&gt;""),Input!$B$29&amp;";",""),IF(AND($G31&lt;Hta_10,$G31&gt;=Hba_10,Input!AB$30&lt;&gt;""),Input!$B$30&amp;";",""),IF(AND($G31&lt;Hta_11,$G31&gt;=Hba_11,Input!AB$31&lt;&gt;""),Input!$B$31&amp;";",""),IF(AND($G31&lt;Hta_12,$G31&gt;=Hba_12,Input!AB$32&lt;&gt;""),Input!$B$32&amp;";",""),IF(AND($G31&lt;Hta_13,$G31&gt;=Hba_13,Input!AB$33&lt;&gt;""),Input!$B$33&amp;";",""),IF(AND($G31&lt;Hta_14,$G31&gt;=Hba_14,Input!AB$34&lt;&gt;""),Input!$B$34&amp;";",""),IF(AND($G31&lt;Hta_15,$G31&gt;=Hba_15,Input!AB$35&lt;&gt;""),Input!$B$35&amp;";",""),IF(AND($G31&lt;Hta_16,$G31&gt;=Hba_16,Input!AB$36&lt;&gt;""),Input!$B$36&amp;";",""),IF(AND($G31&lt;Hta_17,$G31&gt;=Hba_17,Input!AB$37&lt;&gt;""),Input!$B$37&amp;";",""),IF(AND($G31&lt;Hta_18,$G31&gt;=Hba_18,Input!AB$38&lt;&gt;""),Input!$B$38&amp;";",""),IF(AND($G31&lt;Hta_19,$G31&gt;=Hba_19,Input!AB$39&lt;&gt;""),Input!$B$39&amp;";",""),IF(AND($G31&lt;Hta_20,$G31&gt;=Hba_20,Input!AB$40&lt;&gt;""),Input!$B$40&amp;";",""),IF(AND($G31&lt;Hta_21,$G31&gt;=Hba_21,Input!AB$41&lt;&gt;""),Input!$B$41&amp;";",""),IF(AND($G31&lt;Hta_22,$G31&gt;=Hba_22,Input!AB$42&lt;&gt;""),Input!$B$42&amp;";",""),IF(AND($G31&lt;Hta_23,$G31&gt;=Hba_23,Input!AB$43&lt;&gt;""),Input!$B$43&amp;";",""),IF(AND($G31&lt;Hta_24,$G31&gt;=Hba_24,Input!AB$44&lt;&gt;""),Input!$B$44&amp;";",""),IF(AND($G31&lt;Hta_25,$G31&gt;=Hba_25,Input!AB$45&lt;&gt;""),Input!$B$45&amp;";",""),IF(AND($G31&lt;Hta_26,$G31&gt;=Hba_26,Input!AB$46&lt;&gt;""),Input!$B$46&amp;";",""),IF(AND($G31&lt;Hta_27,$G31&gt;=Hba_27,Input!AB$47&lt;&gt;""),Input!$B$47&amp;";",""),IF(AND($G31&lt;Hta_28,$G31&gt;=Hba_28,Input!AB$48&lt;&gt;""),Input!$B$48&amp;";",""),IF(AND($G31&lt;Hta_29,$G31&gt;=Hba_29,Input!AB$49&lt;&gt;""),Input!$B$49&amp;";",""),IF(AND($G31&lt;Hta_30,$G31&gt;=Hba_30,Input!AB$50&lt;&gt;""),Input!$B$50&amp;";","")),"")</f>
        <v/>
      </c>
      <c r="CD31" s="25" t="str">
        <f>IFERROR(CONCATENATE(IF(AND($G31&lt;Hta_1,$G31&gt;=Hba_1,Input!AC$21&lt;&gt;""),Input!$B$21&amp;";",""),IF(AND($G31&lt;Hta_2,$G31&gt;=Hba_2,Input!AC$22&lt;&gt;""),Input!$B$22&amp;";",""),IF(AND($G31&lt;Hta_3,$G31&gt;=Hba_3,Input!AC$23&lt;&gt;""),Input!$B$23&amp;";",""),IF(AND($G31&lt;Hta_4,$G31&gt;=Hba_4,Input!AC$24&lt;&gt;""),Input!$B$24&amp;";",""),IF(AND($G31&lt;Hta_5,$G31&gt;=Hba_5,Input!AC$25&lt;&gt;""),Input!$B$25&amp;";",""),IF(AND($G31&lt;Hta_6,$G31&gt;=Hba_6,Input!AC$26&lt;&gt;""),Input!$B$26&amp;";",""),IF(AND($G31&lt;Hta_7,$G31&gt;=Hba_7,Input!AC$27&lt;&gt;""),Input!$B$27&amp;";",""),IF(AND($G31&lt;Hta_8,$G31&gt;=Hba_8,Input!AC$28&lt;&gt;""),Input!$B$28&amp;";",""),IF(AND($G31&lt;Hta_9,$G31&gt;=Hba_9,Input!AC$29&lt;&gt;""),Input!$B$29&amp;";",""),IF(AND($G31&lt;Hta_10,$G31&gt;=Hba_10,Input!AC$30&lt;&gt;""),Input!$B$30&amp;";",""),IF(AND($G31&lt;Hta_11,$G31&gt;=Hba_11,Input!AC$31&lt;&gt;""),Input!$B$31&amp;";",""),IF(AND($G31&lt;Hta_12,$G31&gt;=Hba_12,Input!AC$32&lt;&gt;""),Input!$B$32&amp;";",""),IF(AND($G31&lt;Hta_13,$G31&gt;=Hba_13,Input!AC$33&lt;&gt;""),Input!$B$33&amp;";",""),IF(AND($G31&lt;Hta_14,$G31&gt;=Hba_14,Input!AC$34&lt;&gt;""),Input!$B$34&amp;";",""),IF(AND($G31&lt;Hta_15,$G31&gt;=Hba_15,Input!AC$35&lt;&gt;""),Input!$B$35&amp;";",""),IF(AND($G31&lt;Hta_16,$G31&gt;=Hba_16,Input!AC$36&lt;&gt;""),Input!$B$36&amp;";",""),IF(AND($G31&lt;Hta_17,$G31&gt;=Hba_17,Input!AC$37&lt;&gt;""),Input!$B$37&amp;";",""),IF(AND($G31&lt;Hta_18,$G31&gt;=Hba_18,Input!AC$38&lt;&gt;""),Input!$B$38&amp;";",""),IF(AND($G31&lt;Hta_19,$G31&gt;=Hba_19,Input!AC$39&lt;&gt;""),Input!$B$39&amp;";",""),IF(AND($G31&lt;Hta_20,$G31&gt;=Hba_20,Input!AC$40&lt;&gt;""),Input!$B$40&amp;";",""),IF(AND($G31&lt;Hta_21,$G31&gt;=Hba_21,Input!AC$41&lt;&gt;""),Input!$B$41&amp;";",""),IF(AND($G31&lt;Hta_22,$G31&gt;=Hba_22,Input!AC$42&lt;&gt;""),Input!$B$42&amp;";",""),IF(AND($G31&lt;Hta_23,$G31&gt;=Hba_23,Input!AC$43&lt;&gt;""),Input!$B$43&amp;";",""),IF(AND($G31&lt;Hta_24,$G31&gt;=Hba_24,Input!AC$44&lt;&gt;""),Input!$B$44&amp;";",""),IF(AND($G31&lt;Hta_25,$G31&gt;=Hba_25,Input!AC$45&lt;&gt;""),Input!$B$45&amp;";",""),IF(AND($G31&lt;Hta_26,$G31&gt;=Hba_26,Input!AC$46&lt;&gt;""),Input!$B$46&amp;";",""),IF(AND($G31&lt;Hta_27,$G31&gt;=Hba_27,Input!AC$47&lt;&gt;""),Input!$B$47&amp;";",""),IF(AND($G31&lt;Hta_28,$G31&gt;=Hba_28,Input!AC$48&lt;&gt;""),Input!$B$48&amp;";",""),IF(AND($G31&lt;Hta_29,$G31&gt;=Hba_29,Input!AC$49&lt;&gt;""),Input!$B$49&amp;";",""),IF(AND($G31&lt;Hta_30,$G31&gt;=Hba_30,Input!AC$50&lt;&gt;""),Input!$B$50&amp;";","")),"")</f>
        <v/>
      </c>
      <c r="CE31" s="25" t="str">
        <f>IFERROR(CONCATENATE(IF(AND($G31&lt;Hta_1,$G31&gt;=Hba_1,Input!AD$21&lt;&gt;""),Input!$B$21&amp;";",""),IF(AND($G31&lt;Hta_2,$G31&gt;=Hba_2,Input!AD$22&lt;&gt;""),Input!$B$22&amp;";",""),IF(AND($G31&lt;Hta_3,$G31&gt;=Hba_3,Input!AD$23&lt;&gt;""),Input!$B$23&amp;";",""),IF(AND($G31&lt;Hta_4,$G31&gt;=Hba_4,Input!AD$24&lt;&gt;""),Input!$B$24&amp;";",""),IF(AND($G31&lt;Hta_5,$G31&gt;=Hba_5,Input!AD$25&lt;&gt;""),Input!$B$25&amp;";",""),IF(AND($G31&lt;Hta_6,$G31&gt;=Hba_6,Input!AD$26&lt;&gt;""),Input!$B$26&amp;";",""),IF(AND($G31&lt;Hta_7,$G31&gt;=Hba_7,Input!AD$27&lt;&gt;""),Input!$B$27&amp;";",""),IF(AND($G31&lt;Hta_8,$G31&gt;=Hba_8,Input!AD$28&lt;&gt;""),Input!$B$28&amp;";",""),IF(AND($G31&lt;Hta_9,$G31&gt;=Hba_9,Input!AD$29&lt;&gt;""),Input!$B$29&amp;";",""),IF(AND($G31&lt;Hta_10,$G31&gt;=Hba_10,Input!AD$30&lt;&gt;""),Input!$B$30&amp;";",""),IF(AND($G31&lt;Hta_11,$G31&gt;=Hba_11,Input!AD$31&lt;&gt;""),Input!$B$31&amp;";",""),IF(AND($G31&lt;Hta_12,$G31&gt;=Hba_12,Input!AD$32&lt;&gt;""),Input!$B$32&amp;";",""),IF(AND($G31&lt;Hta_13,$G31&gt;=Hba_13,Input!AD$33&lt;&gt;""),Input!$B$33&amp;";",""),IF(AND($G31&lt;Hta_14,$G31&gt;=Hba_14,Input!AD$34&lt;&gt;""),Input!$B$34&amp;";",""),IF(AND($G31&lt;Hta_15,$G31&gt;=Hba_15,Input!AD$35&lt;&gt;""),Input!$B$35&amp;";",""),IF(AND($G31&lt;Hta_16,$G31&gt;=Hba_16,Input!AD$36&lt;&gt;""),Input!$B$36&amp;";",""),IF(AND($G31&lt;Hta_17,$G31&gt;=Hba_17,Input!AD$37&lt;&gt;""),Input!$B$37&amp;";",""),IF(AND($G31&lt;Hta_18,$G31&gt;=Hba_18,Input!AD$38&lt;&gt;""),Input!$B$38&amp;";",""),IF(AND($G31&lt;Hta_19,$G31&gt;=Hba_19,Input!AD$39&lt;&gt;""),Input!$B$39&amp;";",""),IF(AND($G31&lt;Hta_20,$G31&gt;=Hba_20,Input!AD$40&lt;&gt;""),Input!$B$40&amp;";",""),IF(AND($G31&lt;Hta_21,$G31&gt;=Hba_21,Input!AD$41&lt;&gt;""),Input!$B$41&amp;";",""),IF(AND($G31&lt;Hta_22,$G31&gt;=Hba_22,Input!AD$42&lt;&gt;""),Input!$B$42&amp;";",""),IF(AND($G31&lt;Hta_23,$G31&gt;=Hba_23,Input!AD$43&lt;&gt;""),Input!$B$43&amp;";",""),IF(AND($G31&lt;Hta_24,$G31&gt;=Hba_24,Input!AD$44&lt;&gt;""),Input!$B$44&amp;";",""),IF(AND($G31&lt;Hta_25,$G31&gt;=Hba_25,Input!AD$45&lt;&gt;""),Input!$B$45&amp;";",""),IF(AND($G31&lt;Hta_26,$G31&gt;=Hba_26,Input!AD$46&lt;&gt;""),Input!$B$46&amp;";",""),IF(AND($G31&lt;Hta_27,$G31&gt;=Hba_27,Input!AD$47&lt;&gt;""),Input!$B$47&amp;";",""),IF(AND($G31&lt;Hta_28,$G31&gt;=Hba_28,Input!AD$48&lt;&gt;""),Input!$B$48&amp;";",""),IF(AND($G31&lt;Hta_29,$G31&gt;=Hba_29,Input!AD$49&lt;&gt;""),Input!$B$49&amp;";",""),IF(AND($G31&lt;Hta_30,$G31&gt;=Hba_30,Input!AD$50&lt;&gt;""),Input!$B$50&amp;";","")),"")</f>
        <v/>
      </c>
      <c r="CF31" s="25" t="str">
        <f>IFERROR(CONCATENATE(IF(AND($G31&lt;Hta_1,$G31&gt;=Hba_1,Input!AE$21&lt;&gt;""),Input!$B$21&amp;";",""),IF(AND($G31&lt;Hta_2,$G31&gt;=Hba_2,Input!AE$22&lt;&gt;""),Input!$B$22&amp;";",""),IF(AND($G31&lt;Hta_3,$G31&gt;=Hba_3,Input!AE$23&lt;&gt;""),Input!$B$23&amp;";",""),IF(AND($G31&lt;Hta_4,$G31&gt;=Hba_4,Input!AE$24&lt;&gt;""),Input!$B$24&amp;";",""),IF(AND($G31&lt;Hta_5,$G31&gt;=Hba_5,Input!AE$25&lt;&gt;""),Input!$B$25&amp;";",""),IF(AND($G31&lt;Hta_6,$G31&gt;=Hba_6,Input!AE$26&lt;&gt;""),Input!$B$26&amp;";",""),IF(AND($G31&lt;Hta_7,$G31&gt;=Hba_7,Input!AE$27&lt;&gt;""),Input!$B$27&amp;";",""),IF(AND($G31&lt;Hta_8,$G31&gt;=Hba_8,Input!AE$28&lt;&gt;""),Input!$B$28&amp;";",""),IF(AND($G31&lt;Hta_9,$G31&gt;=Hba_9,Input!AE$29&lt;&gt;""),Input!$B$29&amp;";",""),IF(AND($G31&lt;Hta_10,$G31&gt;=Hba_10,Input!AE$30&lt;&gt;""),Input!$B$30&amp;";",""),IF(AND($G31&lt;Hta_11,$G31&gt;=Hba_11,Input!AE$31&lt;&gt;""),Input!$B$31&amp;";",""),IF(AND($G31&lt;Hta_12,$G31&gt;=Hba_12,Input!AE$32&lt;&gt;""),Input!$B$32&amp;";",""),IF(AND($G31&lt;Hta_13,$G31&gt;=Hba_13,Input!AE$33&lt;&gt;""),Input!$B$33&amp;";",""),IF(AND($G31&lt;Hta_14,$G31&gt;=Hba_14,Input!AE$34&lt;&gt;""),Input!$B$34&amp;";",""),IF(AND($G31&lt;Hta_15,$G31&gt;=Hba_15,Input!AE$35&lt;&gt;""),Input!$B$35&amp;";",""),IF(AND($G31&lt;Hta_16,$G31&gt;=Hba_16,Input!AE$36&lt;&gt;""),Input!$B$36&amp;";",""),IF(AND($G31&lt;Hta_17,$G31&gt;=Hba_17,Input!AE$37&lt;&gt;""),Input!$B$37&amp;";",""),IF(AND($G31&lt;Hta_18,$G31&gt;=Hba_18,Input!AE$38&lt;&gt;""),Input!$B$38&amp;";",""),IF(AND($G31&lt;Hta_19,$G31&gt;=Hba_19,Input!AE$39&lt;&gt;""),Input!$B$39&amp;";",""),IF(AND($G31&lt;Hta_20,$G31&gt;=Hba_20,Input!AE$40&lt;&gt;""),Input!$B$40&amp;";",""),IF(AND($G31&lt;Hta_21,$G31&gt;=Hba_21,Input!AE$41&lt;&gt;""),Input!$B$41&amp;";",""),IF(AND($G31&lt;Hta_22,$G31&gt;=Hba_22,Input!AE$42&lt;&gt;""),Input!$B$42&amp;";",""),IF(AND($G31&lt;Hta_23,$G31&gt;=Hba_23,Input!AE$43&lt;&gt;""),Input!$B$43&amp;";",""),IF(AND($G31&lt;Hta_24,$G31&gt;=Hba_24,Input!AE$44&lt;&gt;""),Input!$B$44&amp;";",""),IF(AND($G31&lt;Hta_25,$G31&gt;=Hba_25,Input!AE$45&lt;&gt;""),Input!$B$45&amp;";",""),IF(AND($G31&lt;Hta_26,$G31&gt;=Hba_26,Input!AE$46&lt;&gt;""),Input!$B$46&amp;";",""),IF(AND($G31&lt;Hta_27,$G31&gt;=Hba_27,Input!AE$47&lt;&gt;""),Input!$B$47&amp;";",""),IF(AND($G31&lt;Hta_28,$G31&gt;=Hba_28,Input!AE$48&lt;&gt;""),Input!$B$48&amp;";",""),IF(AND($G31&lt;Hta_29,$G31&gt;=Hba_29,Input!AE$49&lt;&gt;""),Input!$B$49&amp;";",""),IF(AND($G31&lt;Hta_30,$G31&gt;=Hba_30,Input!AE$50&lt;&gt;""),Input!$B$50&amp;";","")),"")</f>
        <v/>
      </c>
      <c r="CG31" s="25" t="str">
        <f>IFERROR(CONCATENATE(IF(AND($G31&lt;Hta_1,$G31&gt;=Hba_1,Input!AF$21&lt;&gt;""),Input!$B$21&amp;";",""),IF(AND($G31&lt;Hta_2,$G31&gt;=Hba_2,Input!AF$22&lt;&gt;""),Input!$B$22&amp;";",""),IF(AND($G31&lt;Hta_3,$G31&gt;=Hba_3,Input!AF$23&lt;&gt;""),Input!$B$23&amp;";",""),IF(AND($G31&lt;Hta_4,$G31&gt;=Hba_4,Input!AF$24&lt;&gt;""),Input!$B$24&amp;";",""),IF(AND($G31&lt;Hta_5,$G31&gt;=Hba_5,Input!AF$25&lt;&gt;""),Input!$B$25&amp;";",""),IF(AND($G31&lt;Hta_6,$G31&gt;=Hba_6,Input!AF$26&lt;&gt;""),Input!$B$26&amp;";",""),IF(AND($G31&lt;Hta_7,$G31&gt;=Hba_7,Input!AF$27&lt;&gt;""),Input!$B$27&amp;";",""),IF(AND($G31&lt;Hta_8,$G31&gt;=Hba_8,Input!AF$28&lt;&gt;""),Input!$B$28&amp;";",""),IF(AND($G31&lt;Hta_9,$G31&gt;=Hba_9,Input!AF$29&lt;&gt;""),Input!$B$29&amp;";",""),IF(AND($G31&lt;Hta_10,$G31&gt;=Hba_10,Input!AF$30&lt;&gt;""),Input!$B$30&amp;";",""),IF(AND($G31&lt;Hta_11,$G31&gt;=Hba_11,Input!AF$31&lt;&gt;""),Input!$B$31&amp;";",""),IF(AND($G31&lt;Hta_12,$G31&gt;=Hba_12,Input!AF$32&lt;&gt;""),Input!$B$32&amp;";",""),IF(AND($G31&lt;Hta_13,$G31&gt;=Hba_13,Input!AF$33&lt;&gt;""),Input!$B$33&amp;";",""),IF(AND($G31&lt;Hta_14,$G31&gt;=Hba_14,Input!AF$34&lt;&gt;""),Input!$B$34&amp;";",""),IF(AND($G31&lt;Hta_15,$G31&gt;=Hba_15,Input!AF$35&lt;&gt;""),Input!$B$35&amp;";",""),IF(AND($G31&lt;Hta_16,$G31&gt;=Hba_16,Input!AF$36&lt;&gt;""),Input!$B$36&amp;";",""),IF(AND($G31&lt;Hta_17,$G31&gt;=Hba_17,Input!AF$37&lt;&gt;""),Input!$B$37&amp;";",""),IF(AND($G31&lt;Hta_18,$G31&gt;=Hba_18,Input!AF$38&lt;&gt;""),Input!$B$38&amp;";",""),IF(AND($G31&lt;Hta_19,$G31&gt;=Hba_19,Input!AF$39&lt;&gt;""),Input!$B$39&amp;";",""),IF(AND($G31&lt;Hta_20,$G31&gt;=Hba_20,Input!AF$40&lt;&gt;""),Input!$B$40&amp;";",""),IF(AND($G31&lt;Hta_21,$G31&gt;=Hba_21,Input!AF$41&lt;&gt;""),Input!$B$41&amp;";",""),IF(AND($G31&lt;Hta_22,$G31&gt;=Hba_22,Input!AF$42&lt;&gt;""),Input!$B$42&amp;";",""),IF(AND($G31&lt;Hta_23,$G31&gt;=Hba_23,Input!AF$43&lt;&gt;""),Input!$B$43&amp;";",""),IF(AND($G31&lt;Hta_24,$G31&gt;=Hba_24,Input!AF$44&lt;&gt;""),Input!$B$44&amp;";",""),IF(AND($G31&lt;Hta_25,$G31&gt;=Hba_25,Input!AF$45&lt;&gt;""),Input!$B$45&amp;";",""),IF(AND($G31&lt;Hta_26,$G31&gt;=Hba_26,Input!AF$46&lt;&gt;""),Input!$B$46&amp;";",""),IF(AND($G31&lt;Hta_27,$G31&gt;=Hba_27,Input!AF$47&lt;&gt;""),Input!$B$47&amp;";",""),IF(AND($G31&lt;Hta_28,$G31&gt;=Hba_28,Input!AF$48&lt;&gt;""),Input!$B$48&amp;";",""),IF(AND($G31&lt;Hta_29,$G31&gt;=Hba_29,Input!AF$49&lt;&gt;""),Input!$B$49&amp;";",""),IF(AND($G31&lt;Hta_30,$G31&gt;=Hba_30,Input!AF$50&lt;&gt;""),Input!$B$50&amp;";","")),"")</f>
        <v/>
      </c>
      <c r="CH31" s="25" t="str">
        <f>IFERROR(CONCATENATE(IF(AND($G31&lt;Hta_1,$G31&gt;=Hba_1,Input!AG$21&lt;&gt;""),Input!$B$21&amp;";",""),IF(AND($G31&lt;Hta_2,$G31&gt;=Hba_2,Input!AG$22&lt;&gt;""),Input!$B$22&amp;";",""),IF(AND($G31&lt;Hta_3,$G31&gt;=Hba_3,Input!AG$23&lt;&gt;""),Input!$B$23&amp;";",""),IF(AND($G31&lt;Hta_4,$G31&gt;=Hba_4,Input!AG$24&lt;&gt;""),Input!$B$24&amp;";",""),IF(AND($G31&lt;Hta_5,$G31&gt;=Hba_5,Input!AG$25&lt;&gt;""),Input!$B$25&amp;";",""),IF(AND($G31&lt;Hta_6,$G31&gt;=Hba_6,Input!AG$26&lt;&gt;""),Input!$B$26&amp;";",""),IF(AND($G31&lt;Hta_7,$G31&gt;=Hba_7,Input!AG$27&lt;&gt;""),Input!$B$27&amp;";",""),IF(AND($G31&lt;Hta_8,$G31&gt;=Hba_8,Input!AG$28&lt;&gt;""),Input!$B$28&amp;";",""),IF(AND($G31&lt;Hta_9,$G31&gt;=Hba_9,Input!AG$29&lt;&gt;""),Input!$B$29&amp;";",""),IF(AND($G31&lt;Hta_10,$G31&gt;=Hba_10,Input!AG$30&lt;&gt;""),Input!$B$30&amp;";",""),IF(AND($G31&lt;Hta_11,$G31&gt;=Hba_11,Input!AG$31&lt;&gt;""),Input!$B$31&amp;";",""),IF(AND($G31&lt;Hta_12,$G31&gt;=Hba_12,Input!AG$32&lt;&gt;""),Input!$B$32&amp;";",""),IF(AND($G31&lt;Hta_13,$G31&gt;=Hba_13,Input!AG$33&lt;&gt;""),Input!$B$33&amp;";",""),IF(AND($G31&lt;Hta_14,$G31&gt;=Hba_14,Input!AG$34&lt;&gt;""),Input!$B$34&amp;";",""),IF(AND($G31&lt;Hta_15,$G31&gt;=Hba_15,Input!AG$35&lt;&gt;""),Input!$B$35&amp;";",""),IF(AND($G31&lt;Hta_16,$G31&gt;=Hba_16,Input!AG$36&lt;&gt;""),Input!$B$36&amp;";",""),IF(AND($G31&lt;Hta_17,$G31&gt;=Hba_17,Input!AG$37&lt;&gt;""),Input!$B$37&amp;";",""),IF(AND($G31&lt;Hta_18,$G31&gt;=Hba_18,Input!AG$38&lt;&gt;""),Input!$B$38&amp;";",""),IF(AND($G31&lt;Hta_19,$G31&gt;=Hba_19,Input!AG$39&lt;&gt;""),Input!$B$39&amp;";",""),IF(AND($G31&lt;Hta_20,$G31&gt;=Hba_20,Input!AG$40&lt;&gt;""),Input!$B$40&amp;";",""),IF(AND($G31&lt;Hta_21,$G31&gt;=Hba_21,Input!AG$41&lt;&gt;""),Input!$B$41&amp;";",""),IF(AND($G31&lt;Hta_22,$G31&gt;=Hba_22,Input!AG$42&lt;&gt;""),Input!$B$42&amp;";",""),IF(AND($G31&lt;Hta_23,$G31&gt;=Hba_23,Input!AG$43&lt;&gt;""),Input!$B$43&amp;";",""),IF(AND($G31&lt;Hta_24,$G31&gt;=Hba_24,Input!AG$44&lt;&gt;""),Input!$B$44&amp;";",""),IF(AND($G31&lt;Hta_25,$G31&gt;=Hba_25,Input!AG$45&lt;&gt;""),Input!$B$45&amp;";",""),IF(AND($G31&lt;Hta_26,$G31&gt;=Hba_26,Input!AG$46&lt;&gt;""),Input!$B$46&amp;";",""),IF(AND($G31&lt;Hta_27,$G31&gt;=Hba_27,Input!AG$47&lt;&gt;""),Input!$B$47&amp;";",""),IF(AND($G31&lt;Hta_28,$G31&gt;=Hba_28,Input!AG$48&lt;&gt;""),Input!$B$48&amp;";",""),IF(AND($G31&lt;Hta_29,$G31&gt;=Hba_29,Input!AG$49&lt;&gt;""),Input!$B$49&amp;";",""),IF(AND($G31&lt;Hta_30,$G31&gt;=Hba_30,Input!AG$50&lt;&gt;""),Input!$B$50&amp;";","")),"")</f>
        <v/>
      </c>
      <c r="CI31" s="25" t="str">
        <f>IFERROR(CONCATENATE(IF(AND($G31&lt;Hta_1,$G31&gt;=Hba_1,Input!AH$21&lt;&gt;""),Input!$B$21&amp;";",""),IF(AND($G31&lt;Hta_2,$G31&gt;=Hba_2,Input!AH$22&lt;&gt;""),Input!$B$22&amp;";",""),IF(AND($G31&lt;Hta_3,$G31&gt;=Hba_3,Input!AH$23&lt;&gt;""),Input!$B$23&amp;";",""),IF(AND($G31&lt;Hta_4,$G31&gt;=Hba_4,Input!AH$24&lt;&gt;""),Input!$B$24&amp;";",""),IF(AND($G31&lt;Hta_5,$G31&gt;=Hba_5,Input!AH$25&lt;&gt;""),Input!$B$25&amp;";",""),IF(AND($G31&lt;Hta_6,$G31&gt;=Hba_6,Input!AH$26&lt;&gt;""),Input!$B$26&amp;";",""),IF(AND($G31&lt;Hta_7,$G31&gt;=Hba_7,Input!AH$27&lt;&gt;""),Input!$B$27&amp;";",""),IF(AND($G31&lt;Hta_8,$G31&gt;=Hba_8,Input!AH$28&lt;&gt;""),Input!$B$28&amp;";",""),IF(AND($G31&lt;Hta_9,$G31&gt;=Hba_9,Input!AH$29&lt;&gt;""),Input!$B$29&amp;";",""),IF(AND($G31&lt;Hta_10,$G31&gt;=Hba_10,Input!AH$30&lt;&gt;""),Input!$B$30&amp;";",""),IF(AND($G31&lt;Hta_11,$G31&gt;=Hba_11,Input!AH$31&lt;&gt;""),Input!$B$31&amp;";",""),IF(AND($G31&lt;Hta_12,$G31&gt;=Hba_12,Input!AH$32&lt;&gt;""),Input!$B$32&amp;";",""),IF(AND($G31&lt;Hta_13,$G31&gt;=Hba_13,Input!AH$33&lt;&gt;""),Input!$B$33&amp;";",""),IF(AND($G31&lt;Hta_14,$G31&gt;=Hba_14,Input!AH$34&lt;&gt;""),Input!$B$34&amp;";",""),IF(AND($G31&lt;Hta_15,$G31&gt;=Hba_15,Input!AH$35&lt;&gt;""),Input!$B$35&amp;";",""),IF(AND($G31&lt;Hta_16,$G31&gt;=Hba_16,Input!AH$36&lt;&gt;""),Input!$B$36&amp;";",""),IF(AND($G31&lt;Hta_17,$G31&gt;=Hba_17,Input!AH$37&lt;&gt;""),Input!$B$37&amp;";",""),IF(AND($G31&lt;Hta_18,$G31&gt;=Hba_18,Input!AH$38&lt;&gt;""),Input!$B$38&amp;";",""),IF(AND($G31&lt;Hta_19,$G31&gt;=Hba_19,Input!AH$39&lt;&gt;""),Input!$B$39&amp;";",""),IF(AND($G31&lt;Hta_20,$G31&gt;=Hba_20,Input!AH$40&lt;&gt;""),Input!$B$40&amp;";",""),IF(AND($G31&lt;Hta_21,$G31&gt;=Hba_21,Input!AH$41&lt;&gt;""),Input!$B$41&amp;";",""),IF(AND($G31&lt;Hta_22,$G31&gt;=Hba_22,Input!AH$42&lt;&gt;""),Input!$B$42&amp;";",""),IF(AND($G31&lt;Hta_23,$G31&gt;=Hba_23,Input!AH$43&lt;&gt;""),Input!$B$43&amp;";",""),IF(AND($G31&lt;Hta_24,$G31&gt;=Hba_24,Input!AH$44&lt;&gt;""),Input!$B$44&amp;";",""),IF(AND($G31&lt;Hta_25,$G31&gt;=Hba_25,Input!AH$45&lt;&gt;""),Input!$B$45&amp;";",""),IF(AND($G31&lt;Hta_26,$G31&gt;=Hba_26,Input!AH$46&lt;&gt;""),Input!$B$46&amp;";",""),IF(AND($G31&lt;Hta_27,$G31&gt;=Hba_27,Input!AH$47&lt;&gt;""),Input!$B$47&amp;";",""),IF(AND($G31&lt;Hta_28,$G31&gt;=Hba_28,Input!AH$48&lt;&gt;""),Input!$B$48&amp;";",""),IF(AND($G31&lt;Hta_29,$G31&gt;=Hba_29,Input!AH$49&lt;&gt;""),Input!$B$49&amp;";",""),IF(AND($G31&lt;Hta_30,$G31&gt;=Hba_30,Input!AH$50&lt;&gt;""),Input!$B$50&amp;";","")),"")</f>
        <v/>
      </c>
      <c r="CJ31" s="25" t="str">
        <f>IFERROR(CONCATENATE(IF(AND($G31&lt;Hta_1,$G31&gt;=Hba_1,Input!AI$21&lt;&gt;""),Input!$B$21&amp;";",""),IF(AND($G31&lt;Hta_2,$G31&gt;=Hba_2,Input!AI$22&lt;&gt;""),Input!$B$22&amp;";",""),IF(AND($G31&lt;Hta_3,$G31&gt;=Hba_3,Input!AI$23&lt;&gt;""),Input!$B$23&amp;";",""),IF(AND($G31&lt;Hta_4,$G31&gt;=Hba_4,Input!AI$24&lt;&gt;""),Input!$B$24&amp;";",""),IF(AND($G31&lt;Hta_5,$G31&gt;=Hba_5,Input!AI$25&lt;&gt;""),Input!$B$25&amp;";",""),IF(AND($G31&lt;Hta_6,$G31&gt;=Hba_6,Input!AI$26&lt;&gt;""),Input!$B$26&amp;";",""),IF(AND($G31&lt;Hta_7,$G31&gt;=Hba_7,Input!AI$27&lt;&gt;""),Input!$B$27&amp;";",""),IF(AND($G31&lt;Hta_8,$G31&gt;=Hba_8,Input!AI$28&lt;&gt;""),Input!$B$28&amp;";",""),IF(AND($G31&lt;Hta_9,$G31&gt;=Hba_9,Input!AI$29&lt;&gt;""),Input!$B$29&amp;";",""),IF(AND($G31&lt;Hta_10,$G31&gt;=Hba_10,Input!AI$30&lt;&gt;""),Input!$B$30&amp;";",""),IF(AND($G31&lt;Hta_11,$G31&gt;=Hba_11,Input!AI$31&lt;&gt;""),Input!$B$31&amp;";",""),IF(AND($G31&lt;Hta_12,$G31&gt;=Hba_12,Input!AI$32&lt;&gt;""),Input!$B$32&amp;";",""),IF(AND($G31&lt;Hta_13,$G31&gt;=Hba_13,Input!AI$33&lt;&gt;""),Input!$B$33&amp;";",""),IF(AND($G31&lt;Hta_14,$G31&gt;=Hba_14,Input!AI$34&lt;&gt;""),Input!$B$34&amp;";",""),IF(AND($G31&lt;Hta_15,$G31&gt;=Hba_15,Input!AI$35&lt;&gt;""),Input!$B$35&amp;";",""),IF(AND($G31&lt;Hta_16,$G31&gt;=Hba_16,Input!AI$36&lt;&gt;""),Input!$B$36&amp;";",""),IF(AND($G31&lt;Hta_17,$G31&gt;=Hba_17,Input!AI$37&lt;&gt;""),Input!$B$37&amp;";",""),IF(AND($G31&lt;Hta_18,$G31&gt;=Hba_18,Input!AI$38&lt;&gt;""),Input!$B$38&amp;";",""),IF(AND($G31&lt;Hta_19,$G31&gt;=Hba_19,Input!AI$39&lt;&gt;""),Input!$B$39&amp;";",""),IF(AND($G31&lt;Hta_20,$G31&gt;=Hba_20,Input!AI$40&lt;&gt;""),Input!$B$40&amp;";",""),IF(AND($G31&lt;Hta_21,$G31&gt;=Hba_21,Input!AI$41&lt;&gt;""),Input!$B$41&amp;";",""),IF(AND($G31&lt;Hta_22,$G31&gt;=Hba_22,Input!AI$42&lt;&gt;""),Input!$B$42&amp;";",""),IF(AND($G31&lt;Hta_23,$G31&gt;=Hba_23,Input!AI$43&lt;&gt;""),Input!$B$43&amp;";",""),IF(AND($G31&lt;Hta_24,$G31&gt;=Hba_24,Input!AI$44&lt;&gt;""),Input!$B$44&amp;";",""),IF(AND($G31&lt;Hta_25,$G31&gt;=Hba_25,Input!AI$45&lt;&gt;""),Input!$B$45&amp;";",""),IF(AND($G31&lt;Hta_26,$G31&gt;=Hba_26,Input!AI$46&lt;&gt;""),Input!$B$46&amp;";",""),IF(AND($G31&lt;Hta_27,$G31&gt;=Hba_27,Input!AI$47&lt;&gt;""),Input!$B$47&amp;";",""),IF(AND($G31&lt;Hta_28,$G31&gt;=Hba_28,Input!AI$48&lt;&gt;""),Input!$B$48&amp;";",""),IF(AND($G31&lt;Hta_29,$G31&gt;=Hba_29,Input!AI$49&lt;&gt;""),Input!$B$49&amp;";",""),IF(AND($G31&lt;Hta_30,$G31&gt;=Hba_30,Input!AI$50&lt;&gt;""),Input!$B$50&amp;";","")),"")</f>
        <v/>
      </c>
      <c r="CK31" s="25" t="str">
        <f>IFERROR(CONCATENATE(IF(AND($G31&lt;Hta_1,$G31&gt;=Hba_1,Input!AJ$21&lt;&gt;""),Input!$B$21&amp;";",""),IF(AND($G31&lt;Hta_2,$G31&gt;=Hba_2,Input!AJ$22&lt;&gt;""),Input!$B$22&amp;";",""),IF(AND($G31&lt;Hta_3,$G31&gt;=Hba_3,Input!AJ$23&lt;&gt;""),Input!$B$23&amp;";",""),IF(AND($G31&lt;Hta_4,$G31&gt;=Hba_4,Input!AJ$24&lt;&gt;""),Input!$B$24&amp;";",""),IF(AND($G31&lt;Hta_5,$G31&gt;=Hba_5,Input!AJ$25&lt;&gt;""),Input!$B$25&amp;";",""),IF(AND($G31&lt;Hta_6,$G31&gt;=Hba_6,Input!AJ$26&lt;&gt;""),Input!$B$26&amp;";",""),IF(AND($G31&lt;Hta_7,$G31&gt;=Hba_7,Input!AJ$27&lt;&gt;""),Input!$B$27&amp;";",""),IF(AND($G31&lt;Hta_8,$G31&gt;=Hba_8,Input!AJ$28&lt;&gt;""),Input!$B$28&amp;";",""),IF(AND($G31&lt;Hta_9,$G31&gt;=Hba_9,Input!AJ$29&lt;&gt;""),Input!$B$29&amp;";",""),IF(AND($G31&lt;Hta_10,$G31&gt;=Hba_10,Input!AJ$30&lt;&gt;""),Input!$B$30&amp;";",""),IF(AND($G31&lt;Hta_11,$G31&gt;=Hba_11,Input!AJ$31&lt;&gt;""),Input!$B$31&amp;";",""),IF(AND($G31&lt;Hta_12,$G31&gt;=Hba_12,Input!AJ$32&lt;&gt;""),Input!$B$32&amp;";",""),IF(AND($G31&lt;Hta_13,$G31&gt;=Hba_13,Input!AJ$33&lt;&gt;""),Input!$B$33&amp;";",""),IF(AND($G31&lt;Hta_14,$G31&gt;=Hba_14,Input!AJ$34&lt;&gt;""),Input!$B$34&amp;";",""),IF(AND($G31&lt;Hta_15,$G31&gt;=Hba_15,Input!AJ$35&lt;&gt;""),Input!$B$35&amp;";",""),IF(AND($G31&lt;Hta_16,$G31&gt;=Hba_16,Input!AJ$36&lt;&gt;""),Input!$B$36&amp;";",""),IF(AND($G31&lt;Hta_17,$G31&gt;=Hba_17,Input!AJ$37&lt;&gt;""),Input!$B$37&amp;";",""),IF(AND($G31&lt;Hta_18,$G31&gt;=Hba_18,Input!AJ$38&lt;&gt;""),Input!$B$38&amp;";",""),IF(AND($G31&lt;Hta_19,$G31&gt;=Hba_19,Input!AJ$39&lt;&gt;""),Input!$B$39&amp;";",""),IF(AND($G31&lt;Hta_20,$G31&gt;=Hba_20,Input!AJ$40&lt;&gt;""),Input!$B$40&amp;";",""),IF(AND($G31&lt;Hta_21,$G31&gt;=Hba_21,Input!AJ$41&lt;&gt;""),Input!$B$41&amp;";",""),IF(AND($G31&lt;Hta_22,$G31&gt;=Hba_22,Input!AJ$42&lt;&gt;""),Input!$B$42&amp;";",""),IF(AND($G31&lt;Hta_23,$G31&gt;=Hba_23,Input!AJ$43&lt;&gt;""),Input!$B$43&amp;";",""),IF(AND($G31&lt;Hta_24,$G31&gt;=Hba_24,Input!AJ$44&lt;&gt;""),Input!$B$44&amp;";",""),IF(AND($G31&lt;Hta_25,$G31&gt;=Hba_25,Input!AJ$45&lt;&gt;""),Input!$B$45&amp;";",""),IF(AND($G31&lt;Hta_26,$G31&gt;=Hba_26,Input!AJ$46&lt;&gt;""),Input!$B$46&amp;";",""),IF(AND($G31&lt;Hta_27,$G31&gt;=Hba_27,Input!AJ$47&lt;&gt;""),Input!$B$47&amp;";",""),IF(AND($G31&lt;Hta_28,$G31&gt;=Hba_28,Input!AJ$48&lt;&gt;""),Input!$B$48&amp;";",""),IF(AND($G31&lt;Hta_29,$G31&gt;=Hba_29,Input!AJ$49&lt;&gt;""),Input!$B$49&amp;";",""),IF(AND($G31&lt;Hta_30,$G31&gt;=Hba_30,Input!AJ$50&lt;&gt;""),Input!$B$50&amp;";","")),"")</f>
        <v/>
      </c>
      <c r="CL31" s="25" t="str">
        <f>IFERROR(CONCATENATE(IF(AND($G31&lt;Hta_1,$G31&gt;=Hba_1,Input!AK$21&lt;&gt;""),Input!$B$21&amp;";",""),IF(AND($G31&lt;Hta_2,$G31&gt;=Hba_2,Input!AK$22&lt;&gt;""),Input!$B$22&amp;";",""),IF(AND($G31&lt;Hta_3,$G31&gt;=Hba_3,Input!AK$23&lt;&gt;""),Input!$B$23&amp;";",""),IF(AND($G31&lt;Hta_4,$G31&gt;=Hba_4,Input!AK$24&lt;&gt;""),Input!$B$24&amp;";",""),IF(AND($G31&lt;Hta_5,$G31&gt;=Hba_5,Input!AK$25&lt;&gt;""),Input!$B$25&amp;";",""),IF(AND($G31&lt;Hta_6,$G31&gt;=Hba_6,Input!AK$26&lt;&gt;""),Input!$B$26&amp;";",""),IF(AND($G31&lt;Hta_7,$G31&gt;=Hba_7,Input!AK$27&lt;&gt;""),Input!$B$27&amp;";",""),IF(AND($G31&lt;Hta_8,$G31&gt;=Hba_8,Input!AK$28&lt;&gt;""),Input!$B$28&amp;";",""),IF(AND($G31&lt;Hta_9,$G31&gt;=Hba_9,Input!AK$29&lt;&gt;""),Input!$B$29&amp;";",""),IF(AND($G31&lt;Hta_10,$G31&gt;=Hba_10,Input!AK$30&lt;&gt;""),Input!$B$30&amp;";",""),IF(AND($G31&lt;Hta_11,$G31&gt;=Hba_11,Input!AK$31&lt;&gt;""),Input!$B$31&amp;";",""),IF(AND($G31&lt;Hta_12,$G31&gt;=Hba_12,Input!AK$32&lt;&gt;""),Input!$B$32&amp;";",""),IF(AND($G31&lt;Hta_13,$G31&gt;=Hba_13,Input!AK$33&lt;&gt;""),Input!$B$33&amp;";",""),IF(AND($G31&lt;Hta_14,$G31&gt;=Hba_14,Input!AK$34&lt;&gt;""),Input!$B$34&amp;";",""),IF(AND($G31&lt;Hta_15,$G31&gt;=Hba_15,Input!AK$35&lt;&gt;""),Input!$B$35&amp;";",""),IF(AND($G31&lt;Hta_16,$G31&gt;=Hba_16,Input!AK$36&lt;&gt;""),Input!$B$36&amp;";",""),IF(AND($G31&lt;Hta_17,$G31&gt;=Hba_17,Input!AK$37&lt;&gt;""),Input!$B$37&amp;";",""),IF(AND($G31&lt;Hta_18,$G31&gt;=Hba_18,Input!AK$38&lt;&gt;""),Input!$B$38&amp;";",""),IF(AND($G31&lt;Hta_19,$G31&gt;=Hba_19,Input!AK$39&lt;&gt;""),Input!$B$39&amp;";",""),IF(AND($G31&lt;Hta_20,$G31&gt;=Hba_20,Input!AK$40&lt;&gt;""),Input!$B$40&amp;";",""),IF(AND($G31&lt;Hta_21,$G31&gt;=Hba_21,Input!AK$41&lt;&gt;""),Input!$B$41&amp;";",""),IF(AND($G31&lt;Hta_22,$G31&gt;=Hba_22,Input!AK$42&lt;&gt;""),Input!$B$42&amp;";",""),IF(AND($G31&lt;Hta_23,$G31&gt;=Hba_23,Input!AK$43&lt;&gt;""),Input!$B$43&amp;";",""),IF(AND($G31&lt;Hta_24,$G31&gt;=Hba_24,Input!AK$44&lt;&gt;""),Input!$B$44&amp;";",""),IF(AND($G31&lt;Hta_25,$G31&gt;=Hba_25,Input!AK$45&lt;&gt;""),Input!$B$45&amp;";",""),IF(AND($G31&lt;Hta_26,$G31&gt;=Hba_26,Input!AK$46&lt;&gt;""),Input!$B$46&amp;";",""),IF(AND($G31&lt;Hta_27,$G31&gt;=Hba_27,Input!AK$47&lt;&gt;""),Input!$B$47&amp;";",""),IF(AND($G31&lt;Hta_28,$G31&gt;=Hba_28,Input!AK$48&lt;&gt;""),Input!$B$48&amp;";",""),IF(AND($G31&lt;Hta_29,$G31&gt;=Hba_29,Input!AK$49&lt;&gt;""),Input!$B$49&amp;";",""),IF(AND($G31&lt;Hta_30,$G31&gt;=Hba_30,Input!AK$50&lt;&gt;""),Input!$B$50&amp;";","")),"")</f>
        <v/>
      </c>
      <c r="CM31" s="25" t="str">
        <f>IFERROR(CONCATENATE(IF(AND($G31&lt;Hta_1,$G31&gt;=Hba_1,Input!AL$21&lt;&gt;""),Input!$B$21&amp;";",""),IF(AND($G31&lt;Hta_2,$G31&gt;=Hba_2,Input!AL$22&lt;&gt;""),Input!$B$22&amp;";",""),IF(AND($G31&lt;Hta_3,$G31&gt;=Hba_3,Input!AL$23&lt;&gt;""),Input!$B$23&amp;";",""),IF(AND($G31&lt;Hta_4,$G31&gt;=Hba_4,Input!AL$24&lt;&gt;""),Input!$B$24&amp;";",""),IF(AND($G31&lt;Hta_5,$G31&gt;=Hba_5,Input!AL$25&lt;&gt;""),Input!$B$25&amp;";",""),IF(AND($G31&lt;Hta_6,$G31&gt;=Hba_6,Input!AL$26&lt;&gt;""),Input!$B$26&amp;";",""),IF(AND($G31&lt;Hta_7,$G31&gt;=Hba_7,Input!AL$27&lt;&gt;""),Input!$B$27&amp;";",""),IF(AND($G31&lt;Hta_8,$G31&gt;=Hba_8,Input!AL$28&lt;&gt;""),Input!$B$28&amp;";",""),IF(AND($G31&lt;Hta_9,$G31&gt;=Hba_9,Input!AL$29&lt;&gt;""),Input!$B$29&amp;";",""),IF(AND($G31&lt;Hta_10,$G31&gt;=Hba_10,Input!AL$30&lt;&gt;""),Input!$B$30&amp;";",""),IF(AND($G31&lt;Hta_11,$G31&gt;=Hba_11,Input!AL$31&lt;&gt;""),Input!$B$31&amp;";",""),IF(AND($G31&lt;Hta_12,$G31&gt;=Hba_12,Input!AL$32&lt;&gt;""),Input!$B$32&amp;";",""),IF(AND($G31&lt;Hta_13,$G31&gt;=Hba_13,Input!AL$33&lt;&gt;""),Input!$B$33&amp;";",""),IF(AND($G31&lt;Hta_14,$G31&gt;=Hba_14,Input!AL$34&lt;&gt;""),Input!$B$34&amp;";",""),IF(AND($G31&lt;Hta_15,$G31&gt;=Hba_15,Input!AL$35&lt;&gt;""),Input!$B$35&amp;";",""),IF(AND($G31&lt;Hta_16,$G31&gt;=Hba_16,Input!AL$36&lt;&gt;""),Input!$B$36&amp;";",""),IF(AND($G31&lt;Hta_17,$G31&gt;=Hba_17,Input!AL$37&lt;&gt;""),Input!$B$37&amp;";",""),IF(AND($G31&lt;Hta_18,$G31&gt;=Hba_18,Input!AL$38&lt;&gt;""),Input!$B$38&amp;";",""),IF(AND($G31&lt;Hta_19,$G31&gt;=Hba_19,Input!AL$39&lt;&gt;""),Input!$B$39&amp;";",""),IF(AND($G31&lt;Hta_20,$G31&gt;=Hba_20,Input!AL$40&lt;&gt;""),Input!$B$40&amp;";",""),IF(AND($G31&lt;Hta_21,$G31&gt;=Hba_21,Input!AL$41&lt;&gt;""),Input!$B$41&amp;";",""),IF(AND($G31&lt;Hta_22,$G31&gt;=Hba_22,Input!AL$42&lt;&gt;""),Input!$B$42&amp;";",""),IF(AND($G31&lt;Hta_23,$G31&gt;=Hba_23,Input!AL$43&lt;&gt;""),Input!$B$43&amp;";",""),IF(AND($G31&lt;Hta_24,$G31&gt;=Hba_24,Input!AL$44&lt;&gt;""),Input!$B$44&amp;";",""),IF(AND($G31&lt;Hta_25,$G31&gt;=Hba_25,Input!AL$45&lt;&gt;""),Input!$B$45&amp;";",""),IF(AND($G31&lt;Hta_26,$G31&gt;=Hba_26,Input!AL$46&lt;&gt;""),Input!$B$46&amp;";",""),IF(AND($G31&lt;Hta_27,$G31&gt;=Hba_27,Input!AL$47&lt;&gt;""),Input!$B$47&amp;";",""),IF(AND($G31&lt;Hta_28,$G31&gt;=Hba_28,Input!AL$48&lt;&gt;""),Input!$B$48&amp;";",""),IF(AND($G31&lt;Hta_29,$G31&gt;=Hba_29,Input!AL$49&lt;&gt;""),Input!$B$49&amp;";",""),IF(AND($G31&lt;Hta_30,$G31&gt;=Hba_30,Input!AL$50&lt;&gt;""),Input!$B$50&amp;";","")),"")</f>
        <v/>
      </c>
      <c r="CN31" s="60" t="str">
        <f t="shared" si="6"/>
        <v/>
      </c>
      <c r="CO31" s="798"/>
      <c r="CP31" s="799"/>
      <c r="CQ31" s="800"/>
      <c r="CR31" s="798"/>
      <c r="CS31" s="799"/>
      <c r="CT31" s="800"/>
      <c r="CU31" s="798" t="str">
        <f t="shared" si="7"/>
        <v/>
      </c>
      <c r="CV31" s="799"/>
      <c r="CW31" s="806"/>
      <c r="CX31" s="726"/>
      <c r="CY31" s="727"/>
      <c r="CZ31" s="732"/>
      <c r="DA31" s="726"/>
      <c r="DB31" s="727"/>
      <c r="DC31" s="732"/>
      <c r="DD31" s="726" t="str">
        <f t="shared" si="8"/>
        <v/>
      </c>
      <c r="DE31" s="727"/>
      <c r="DF31" s="728"/>
      <c r="DG31" s="53"/>
      <c r="DH31" s="54"/>
      <c r="DI31" s="54"/>
      <c r="DJ31" s="54"/>
      <c r="DK31" s="54"/>
      <c r="DL31" s="54"/>
      <c r="DM31" s="54"/>
      <c r="DN31" s="54"/>
      <c r="DO31" s="54"/>
      <c r="DP31" s="54"/>
      <c r="DQ31" s="57"/>
      <c r="DR31" s="57"/>
      <c r="DS31" s="57"/>
      <c r="DT31" s="57"/>
      <c r="DU31" s="57"/>
      <c r="DV31" s="57"/>
      <c r="DW31" s="57"/>
      <c r="DX31" s="57"/>
      <c r="DY31" s="57"/>
      <c r="DZ31" s="57"/>
      <c r="EA31" s="57"/>
      <c r="EB31" s="57"/>
      <c r="EC31" s="57"/>
      <c r="ED31" s="57"/>
      <c r="EE31" s="57"/>
      <c r="EF31" s="57"/>
      <c r="EG31" s="57"/>
      <c r="EH31" s="57"/>
      <c r="EI31" s="57"/>
      <c r="EJ31" s="57"/>
      <c r="EK31" s="57"/>
      <c r="EL31" s="133"/>
      <c r="EM31" s="133"/>
      <c r="EN31" s="133"/>
      <c r="EO31" s="133"/>
      <c r="EP31" s="133"/>
      <c r="EQ31" s="133"/>
      <c r="ER31" s="133"/>
      <c r="ES31" s="133"/>
      <c r="ET31" s="133"/>
      <c r="EU31" s="133"/>
      <c r="EV31" s="133"/>
      <c r="EW31" s="133"/>
      <c r="EX31" s="133"/>
      <c r="EY31" s="133"/>
      <c r="EZ31" s="133"/>
      <c r="FA31" s="133"/>
      <c r="FB31" s="133"/>
      <c r="FC31" s="133"/>
      <c r="FD31" s="133"/>
      <c r="FE31" s="133"/>
      <c r="FF31" s="133"/>
      <c r="FG31" s="133"/>
      <c r="FH31" s="133"/>
      <c r="FI31" s="133"/>
      <c r="FJ31" s="133"/>
      <c r="FK31" s="133"/>
      <c r="FL31" s="133"/>
      <c r="FM31" s="133"/>
      <c r="FN31" s="133"/>
      <c r="FO31" s="133"/>
      <c r="FP31" s="65"/>
      <c r="FQ31" s="125"/>
      <c r="FR31" s="123"/>
      <c r="FS31" s="121"/>
      <c r="FT31" s="119"/>
    </row>
    <row r="32" spans="2:176" ht="15.75" hidden="1" customHeight="1" thickBot="1" x14ac:dyDescent="0.3">
      <c r="B32" s="62" t="b">
        <f>IF(OR(AND(G32&gt;='Geometry 2'!$AK$5,G32&lt;'Geometry 2'!$AL$5),AND(G32&gt;='Geometry 2'!$AK$6,G32&lt;'Geometry 2'!$AL$6),AND(G32&gt;='Geometry 2'!$AK$7,G32&lt;'Geometry 2'!$AL$7),AND(G32&gt;='Geometry 2'!$AK$8,G32&lt;'Geometry 2'!$AL$8),AND(G32&gt;='Geometry 2'!$AK$9,G32&lt;'Geometry 2'!$AL$9),AND(G32&gt;='Geometry 2'!$AK$10,G32&lt;'Geometry 2'!$AL$10),AND(G32&gt;='Geometry 2'!$AK$11,G32&lt;'Geometry 2'!$AL$11),AND(G32&gt;='Geometry 2'!$AK$12,G32&lt;'Geometry 2'!$AL$12),AND(G32&gt;='Geometry 2'!$AK$13,G32&lt;'Geometry 2'!$AL$13),AND(G32&gt;='Geometry 2'!$AK$14,G32&lt;'Geometry 2'!$AL$14)),TRUE,FALSE)</f>
        <v>0</v>
      </c>
      <c r="C32" s="4" t="str">
        <f t="shared" si="3"/>
        <v/>
      </c>
      <c r="D32" s="766" t="str">
        <f t="shared" si="4"/>
        <v/>
      </c>
      <c r="E32" s="767"/>
      <c r="F32" s="17" t="str">
        <f t="shared" si="2"/>
        <v/>
      </c>
      <c r="G32" s="768" t="str">
        <f>IF(D32="","",MAX(0,G31-IF(inc="n/a",999,inc),MAX(IF(G31&lt;=Hta_1,0,Hta_1),IF(G31&lt;=Hta_2,0,Hta_2),IF(G31&lt;=Hta_3,0,Hta_3),IF(G31&lt;=Hta_4,0,Hta_4),IF(G31&lt;=Hta_5,0,Hta_5),IF(G31&lt;=Hta_6,0,Hta_6),IF(G31&lt;=Hta_7,0,Hta_7),IF(G31&lt;=Hta_8,0,Hta_8),IF(G31&lt;=Hta_9,0,Hta_9),IF(G31&lt;=Hta_10,0,Hta_10),IF(G31&lt;=Hta_11,0,Hta_11),IF(G31&lt;=Hta_12,0,Hta_12),IF(G31&lt;=Hta_13,0,Hta_13),IF(G31&lt;=Hta_14,0,Hta_14),IF(G31&lt;=Hta_15,0,Hta_15),IF(G31&lt;=Hta_16,0,Hta_16),IF(G31&lt;=Hta_17,0,Hta_17),IF(G31&lt;=Hta_18,0,Hta_18),IF(G31&lt;=Hta_19,0,Hta_19),IF(G31&lt;=Hta_20,0,Hta_20),IF(G31&lt;=Hta_21,0,Hta_21),IF(G31&lt;=Hta_22,0,Hta_22),IF(G31&lt;=Hta_23,0,Hta_23),IF(G31&lt;=Hta_24,0,Hta_24),IF(G31&lt;=Hta_25,0,Hta_25),IF(G31&lt;=Hta_26,0,Hta_26),IF(G31&lt;=Hta_27,0,Hta_27),IF(G31&lt;=Hta_28,0,Hta_28),IF(G31&lt;=Hta_29,0,Hta_29),IF(G31&lt;=Hta_30,0,Hta_30)),MAX(IF(G31&lt;=Hta_1-0.25,0,Hta_1-0.25),IF(G31&lt;=Hta_2-0.25,0,Hta_2-0.25),IF(G31&lt;=Hta_3-0.25,0,Hta_3-0.25),IF(G31&lt;=Hta_4-0.25,0,Hta_4-0.25),IF(G31&lt;=Hta_5-0.25,0,Hta_5-0.25),IF(G31&lt;=Hta_6-0.25,0,Hta_6-0.25),IF(G31&lt;=Hta_7-0.25,0,Hta_7-0.25),IF(G31&lt;=Hta_8-0.25,0,Hta_8-0.25),IF(G31&lt;=Hta_9-0.25,0,Hta_9-0.25),IF(G31&lt;=Hta_10-0.25,0,Hta_10-0.25),IF(G31&lt;=Hta_11-0.25,0,Hta_11-0.25),IF(G31&lt;=Hta_12-0.25,0,Hta_12-0.25),IF(G31&lt;=Hta_13-0.25,0,Hta_13-0.25),IF(G31&lt;=Hta_14-0.25,0,Hta_14-0.25),IF(G31&lt;=Hta_15-0.25,0,Hta_15-0.25),IF(G31&lt;=Hta_16-0.25,0,Hta_16-0.25),IF(G31&lt;=Hta_17-0.25,0,Hta_17-0.25),IF(G31&lt;=Hta_18-0.25,0,Hta_18-0.25),IF(G31&lt;=Hta_19-0.25,0,Hta_19-0.25),IF(G31&lt;=Hta_20-0.25,0,Hta_20-0.25),IF(G31&lt;=Hta_21-0.25,0,Hta_21-0.25),IF(G31&lt;=Hta_22-0.25,0,Hta_22-0.25),IF(G31&lt;=Hta_23-0.25,0,Hta_23-0.25),IF(G31&lt;=Hta_24-0.25,0,Hta_24-0.25),IF(G31&lt;=Hta_25-0.25,0,Hta_25-0.25),IF(G31&lt;=Hta_26-0.25,0,Hta_26-0.25),IF(G31&lt;=Hta_27-0.25,0,Hta_27-0.25),IF(G31&lt;=Hta_28-0.25,0,Hta_28-0.25),IF(G31&lt;=Hta_29-0.25,0,Hta_29-0.25),IF(G31&lt;=Hta_30-0.25,0,Hta_30-0.25)),MAX(IF(G31&lt;=Hba_1,0,Hba_1),IF(G31&lt;=Hba_2,0,Hba_2),IF(G31&lt;=Hba_3,0,Hba_3),IF(G31&lt;=Hba_4,0,Hba_4),IF(G31&lt;=Hba_5,0,Hba_5),IF(G31&lt;=Hba_6,0,Hba_6),IF(G31&lt;=Hba_7,0,Hba_7),IF(G31&lt;=Hba_8,0,Hba_8),IF(G31&lt;=Hba_9,0,Hba_9),IF(G31&lt;=Hba_10,0,Hba_10),IF(G31&lt;=Hba_11,0,Hba_11),IF(G31&lt;=Hba_12,0,Hba_12),IF(G31&lt;=Hba_13,0,Hba_13),IF(G31&lt;=Hba_14,0,Hba_14),IF(G31&lt;=Hba_15,0,Hba_15),IF(G31&lt;=Hba_16,0,Hba_16),IF(G31&lt;=Hba_17,0,Hba_17),IF(G31&lt;=Hba_18,0,Hba_18),IF(G31&lt;=Hba_19,0,Hba_19),IF(G31&lt;=Hba_20,0,Hba_20),IF(G31&lt;=Hba_21,0,Hba_21),IF(G31&lt;=Hba_22,0,Hba_22),IF(G31&lt;=Hba_23,0,Hba_23),IF(G31&lt;=Hba_24,0,Hba_24),IF(G31&lt;=Hba_25,0,Hba_25),IF(G31&lt;=Hba_26,0,Hba_26),IF(G31&lt;=Hba_27,0,Hba_27),IF(G31&lt;=Hba_28,0,Hba_28),IF(G31&lt;=Hba_29,0,Hba_29),IF(G31&lt;=Hba_30,0,Hba_30)),MAX(IF(G31&lt;=Input!$C$8,0,Input!$C$8),IF(G31&lt;=Input!$C$9,0,Input!$C$9),IF(G31&lt;=Input!$C$10,0,Input!$C$10),IF(G31&lt;=Input!$C$11,0,Input!$C$11),IF(G31&lt;=Input!$C$12,0,Input!$C$12),IF(G31&lt;=Input!$C$13,0,Input!$C$13),IF(G31&lt;=Input!$C$14,0,Input!$C$14),IF(G31&lt;=Input!$C$15,0,Input!$C$15),IF(G31&lt;=Input!$C$16,0,Input!$C$16)),MAX(IF(G31&lt;=Hba_1-0.25,0,Hba_1-0.25),IF(G31&lt;=Hba_2-0.25,0,Hba_2-0.25),IF(G31&lt;=Hba_3-0.25,0,Hba_3-0.25),IF(G31&lt;=Hba_4-0.25,0,Hba_4-0.25),IF(G31&lt;=Hba_5-0.25,0,Hba_5-0.25),IF(G31&lt;=Hba_6-0.25,0,Hba_6-0.25),IF(G31&lt;=Hba_7-0.25,0,Hba_7-0.25),IF(G31&lt;=Hba_8-0.25,0,Hba_8-0.25),IF(G31&lt;=Hba_9-0.25,0,Hba_9-0.25),IF(G31&lt;=Hba_10-0.25,0,Hba_10-0.25),IF(G31&lt;=Hba_11-0.25,0,Hba_11-0.25),IF(G31&lt;=Hba_12-0.25,0,Hba_12-0.25),IF(G31&lt;=Hba_13-0.25,0,Hba_13-0.25),IF(G31&lt;=Hba_14-0.25,0,Hba_14-0.25),IF(G31&lt;=Hba_15-0.25,0,Hba_15-0.25),IF(G31&lt;=Hba_16-0.25,0,Hba_16-0.25),IF(G31&lt;=Hba_17-0.25,0,Hba_17-0.25),IF(G31&lt;=Hba_18-0.25,0,Hba_18-0.25),IF(G31&lt;=Hba_19-0.25,0,Hba_19-0.25),IF(G31&lt;=Hba_20-0.25,0,Hba_20-0.25),IF(G31&lt;=Hba_21-0.25,0,Hba_21-0.25),IF(G31&lt;=Hba_22-0.25,0,Hba_22-0.25),IF(G31&lt;=Hba_23-0.25,0,Hba_23-0.25),IF(G31&lt;=Hba_24-0.25,0,Hba_24-0.25),IF(G31&lt;=Hba_25-0.25,0,Hba_25-0.25),IF(G31&lt;=Hba_26-0.25,0,Hba_26-0.25),IF(G31&lt;=Hba_27-0.25,0,Hba_27-0.25),IF(G31&lt;=Hba_28-0.25,0,Hba_28-0.25),IF(G31&lt;=Hba_29-0.25,0,Hba_29-0.25),IF(G31&lt;=Hba_30-0.25,0,Hba_30-0.25)),IF(G31&lt;='Macro References'!$A$38,0,'Macro References'!$A$38)))</f>
        <v/>
      </c>
      <c r="H32" s="769"/>
      <c r="I32" s="228"/>
      <c r="J32" s="228"/>
      <c r="K32" s="228"/>
      <c r="L32" s="717" t="str">
        <f t="shared" si="0"/>
        <v/>
      </c>
      <c r="M32" s="717"/>
      <c r="N32" s="717"/>
      <c r="O32" s="717"/>
      <c r="P32" s="717" t="str">
        <f>IF(OR(G32=0,G32=""),"",IF(VLOOKUP(G32,'Geometry 2'!$C$4:$AI$14,1,TRUE)=VLOOKUP(G33,'Geometry 2'!$C$4:$AI$14,1,TRUE),"",IF(VLOOKUP(G32,'Geometry 2'!$C$4:$AI$14,33,TRUE)&lt;&gt;"n/a",MIN(G32,VLOOKUP(G32,'Geometry 2'!$C$4:$AI$14,1,TRUE))-VLOOKUP(G32,'Geometry 2'!$C$4:$AI$14,33,TRUE),"check")))</f>
        <v/>
      </c>
      <c r="Q32" s="717"/>
      <c r="R32" s="717"/>
      <c r="S32" s="717"/>
      <c r="T32" s="717" t="str">
        <f>IF($G32="","",VLOOKUP($G32,'Geometry 2'!$E$4:$AH$14,11,TRUE))</f>
        <v/>
      </c>
      <c r="U32" s="717"/>
      <c r="V32" s="717"/>
      <c r="W32" s="717"/>
      <c r="X32" s="716" t="str">
        <f>IF($G32="","",VLOOKUP($G32,'Geometry 2'!$E$4:$AJ$14,19,TRUE)-12*VLOOKUP($G32,'Geometry 2'!$E$4:$AJ$14,32,TRUE)*($D32-VLOOKUP($G32,'Geometry 2'!$E$5:$AH$14,1,TRUE)))</f>
        <v/>
      </c>
      <c r="Y32" s="716"/>
      <c r="Z32" s="716"/>
      <c r="AA32" s="716"/>
      <c r="AB32" s="757" t="str">
        <f>IF($G32="","",VLOOKUP($G32,'Geometry 2'!$E$4:$AJ$14,19,TRUE)-12*VLOOKUP($G32,'Geometry 2'!$E$4:$AJ$14,32,TRUE)*($G32-VLOOKUP($G32,'Geometry 2'!$E$5:$AH$14,1,TRUE)))</f>
        <v/>
      </c>
      <c r="AC32" s="758"/>
      <c r="AD32" s="758"/>
      <c r="AE32" s="759"/>
      <c r="AF32" s="716" t="str">
        <f>IF($G32="","",VLOOKUP($G32,'Geometry 2'!$E$4:$AJ$14,19,TRUE)-12*VLOOKUP($G32,'Geometry 2'!$E$4:$AJ$14,32,TRUE)*($G32-IF($P32="",0,$P32)-VLOOKUP($G32,'Geometry 2'!$E$5:$AH$14,1,TRUE)))</f>
        <v/>
      </c>
      <c r="AG32" s="716"/>
      <c r="AH32" s="716"/>
      <c r="AI32" s="716"/>
      <c r="AJ32" s="746" t="str">
        <f>IF($G32="","",VLOOKUP($G32,'Geometry 2'!$E$4:$AH$14,23,TRUE))</f>
        <v/>
      </c>
      <c r="AK32" s="747"/>
      <c r="AL32" s="747"/>
      <c r="AM32" s="748"/>
      <c r="AN32" s="717"/>
      <c r="AO32" s="717"/>
      <c r="AP32" s="717"/>
      <c r="AQ32" s="717"/>
      <c r="AR32" s="717" t="str">
        <f>IF($G32="","",VLOOKUP($G32,'Geometry 2'!$E$4:$AH$14,27,TRUE))</f>
        <v/>
      </c>
      <c r="AS32" s="717"/>
      <c r="AT32" s="717"/>
      <c r="AU32" s="718"/>
      <c r="AV32" s="715"/>
      <c r="AW32" s="716"/>
      <c r="AX32" s="716"/>
      <c r="AZ32" s="722" t="str">
        <f t="shared" si="5"/>
        <v/>
      </c>
      <c r="BA32" s="723"/>
      <c r="BB32" s="723"/>
      <c r="BC32" s="724"/>
      <c r="BD32" s="722"/>
      <c r="BE32" s="723"/>
      <c r="BF32" s="723"/>
      <c r="BG32" s="722" t="str">
        <f t="shared" si="9"/>
        <v/>
      </c>
      <c r="BH32" s="723"/>
      <c r="BI32" s="723"/>
      <c r="BJ32" s="723"/>
      <c r="BK32" s="724"/>
      <c r="BL32" s="722"/>
      <c r="BM32" s="723"/>
      <c r="BN32" s="723"/>
      <c r="BO32" s="723"/>
      <c r="BP32" s="725"/>
      <c r="BQ32" s="725"/>
      <c r="BR32" s="722" t="str">
        <f>IF(BP32="","",IF(OR(AND(Rev="H",Calculations!$F$27=TRUE),AND(Rev&lt;&gt;"H",Calculations!$F$30=TRUE)),IF(BP32&lt;=1,"Pass","Fail"),IF(BP32&lt;=1.05,"Pass","Fail")))</f>
        <v/>
      </c>
      <c r="BS32" s="723"/>
      <c r="BT32" s="724"/>
      <c r="BU32" s="49"/>
      <c r="BV32" s="25" t="str">
        <f>IFERROR(CONCATENATE(IF(AND($G32&lt;Hta_1,$G32&gt;=Hba_1,Input!U$21&lt;&gt;""),Input!$B$21&amp;";",""),IF(AND($G32&lt;Hta_2,$G32&gt;=Hba_2,Input!U$22&lt;&gt;""),Input!$B$22&amp;";",""),IF(AND($G32&lt;Hta_3,$G32&gt;=Hba_3,Input!U$23&lt;&gt;""),Input!$B$23&amp;";",""),IF(AND($G32&lt;Hta_4,$G32&gt;=Hba_4,Input!U$24&lt;&gt;""),Input!$B$24&amp;";",""),IF(AND($G32&lt;Hta_5,$G32&gt;=Hba_5,Input!U$25&lt;&gt;""),Input!$B$25&amp;";",""),IF(AND($G32&lt;Hta_6,$G32&gt;=Hba_6,Input!U$26&lt;&gt;""),Input!$B$26&amp;";",""),IF(AND($G32&lt;Hta_7,$G32&gt;=Hba_7,Input!U$27&lt;&gt;""),Input!$B$27&amp;";",""),IF(AND($G32&lt;Hta_8,$G32&gt;=Hba_8,Input!U$28&lt;&gt;""),Input!$B$28&amp;";",""),IF(AND($G32&lt;Hta_9,$G32&gt;=Hba_9,Input!U$29&lt;&gt;""),Input!$B$29&amp;";",""),IF(AND($G32&lt;Hta_10,$G32&gt;=Hba_10,Input!U$30&lt;&gt;""),Input!$B$30&amp;";",""),IF(AND($G32&lt;Hta_11,$G32&gt;=Hba_11,Input!U$31&lt;&gt;""),Input!$B$31&amp;";",""),IF(AND($G32&lt;Hta_12,$G32&gt;=Hba_12,Input!U$32&lt;&gt;""),Input!$B$32&amp;";",""),IF(AND($G32&lt;Hta_13,$G32&gt;=Hba_13,Input!U$33&lt;&gt;""),Input!$B$33&amp;";",""),IF(AND($G32&lt;Hta_14,$G32&gt;=Hba_14,Input!U$34&lt;&gt;""),Input!$B$34&amp;";",""),IF(AND($G32&lt;Hta_15,$G32&gt;=Hba_15,Input!U$35&lt;&gt;""),Input!$B$35&amp;";",""),IF(AND($G32&lt;Hta_16,$G32&gt;=Hba_16,Input!U$36&lt;&gt;""),Input!$B$36&amp;";",""),IF(AND($G32&lt;Hta_17,$G32&gt;=Hba_17,Input!U$37&lt;&gt;""),Input!$B$37&amp;";",""),IF(AND($G32&lt;Hta_18,$G32&gt;=Hba_18,Input!U$38&lt;&gt;""),Input!$B$38&amp;";",""),IF(AND($G32&lt;Hta_19,$G32&gt;=Hba_19,Input!U$39&lt;&gt;""),Input!$B$39&amp;";",""),IF(AND($G32&lt;Hta_20,$G32&gt;=Hba_20,Input!U$40&lt;&gt;""),Input!$B$40&amp;";",""),IF(AND($G32&lt;Hta_21,$G32&gt;=Hba_21,Input!U$41&lt;&gt;""),Input!$B$41&amp;";",""),IF(AND($G32&lt;Hta_22,$G32&gt;=Hba_22,Input!U$42&lt;&gt;""),Input!$B$42&amp;";",""),IF(AND($G32&lt;Hta_23,$G32&gt;=Hba_23,Input!U$43&lt;&gt;""),Input!$B$43&amp;";",""),IF(AND($G32&lt;Hta_24,$G32&gt;=Hba_24,Input!U$44&lt;&gt;""),Input!$B$44&amp;";",""),IF(AND($G32&lt;Hta_25,$G32&gt;=Hba_25,Input!U$45&lt;&gt;""),Input!$B$45&amp;";",""),IF(AND($G32&lt;Hta_26,$G32&gt;=Hba_26,Input!U$46&lt;&gt;""),Input!$B$46&amp;";",""),IF(AND($G32&lt;Hta_27,$G32&gt;=Hba_27,Input!U$47&lt;&gt;""),Input!$B$47&amp;";",""),IF(AND($G32&lt;Hta_28,$G32&gt;=Hba_28,Input!U$48&lt;&gt;""),Input!$B$48&amp;";",""),IF(AND($G32&lt;Hta_29,$G32&gt;=Hba_29,Input!U$49&lt;&gt;""),Input!$B$49&amp;";",""),IF(AND($G32&lt;Hta_30,$G32&gt;=Hba_30,Input!U$50&lt;&gt;""),Input!$B$50&amp;";","")),"")</f>
        <v/>
      </c>
      <c r="BW32" s="25" t="str">
        <f>IFERROR(CONCATENATE(IF(AND($G32&lt;Hta_1,$G32&gt;=Hba_1,Input!V$21&lt;&gt;""),Input!$B$21&amp;";",""),IF(AND($G32&lt;Hta_2,$G32&gt;=Hba_2,Input!V$22&lt;&gt;""),Input!$B$22&amp;";",""),IF(AND($G32&lt;Hta_3,$G32&gt;=Hba_3,Input!V$23&lt;&gt;""),Input!$B$23&amp;";",""),IF(AND($G32&lt;Hta_4,$G32&gt;=Hba_4,Input!V$24&lt;&gt;""),Input!$B$24&amp;";",""),IF(AND($G32&lt;Hta_5,$G32&gt;=Hba_5,Input!V$25&lt;&gt;""),Input!$B$25&amp;";",""),IF(AND($G32&lt;Hta_6,$G32&gt;=Hba_6,Input!V$26&lt;&gt;""),Input!$B$26&amp;";",""),IF(AND($G32&lt;Hta_7,$G32&gt;=Hba_7,Input!V$27&lt;&gt;""),Input!$B$27&amp;";",""),IF(AND($G32&lt;Hta_8,$G32&gt;=Hba_8,Input!V$28&lt;&gt;""),Input!$B$28&amp;";",""),IF(AND($G32&lt;Hta_9,$G32&gt;=Hba_9,Input!V$29&lt;&gt;""),Input!$B$29&amp;";",""),IF(AND($G32&lt;Hta_10,$G32&gt;=Hba_10,Input!V$30&lt;&gt;""),Input!$B$30&amp;";",""),IF(AND($G32&lt;Hta_11,$G32&gt;=Hba_11,Input!V$31&lt;&gt;""),Input!$B$31&amp;";",""),IF(AND($G32&lt;Hta_12,$G32&gt;=Hba_12,Input!V$32&lt;&gt;""),Input!$B$32&amp;";",""),IF(AND($G32&lt;Hta_13,$G32&gt;=Hba_13,Input!V$33&lt;&gt;""),Input!$B$33&amp;";",""),IF(AND($G32&lt;Hta_14,$G32&gt;=Hba_14,Input!V$34&lt;&gt;""),Input!$B$34&amp;";",""),IF(AND($G32&lt;Hta_15,$G32&gt;=Hba_15,Input!V$35&lt;&gt;""),Input!$B$35&amp;";",""),IF(AND($G32&lt;Hta_16,$G32&gt;=Hba_16,Input!V$36&lt;&gt;""),Input!$B$36&amp;";",""),IF(AND($G32&lt;Hta_17,$G32&gt;=Hba_17,Input!V$37&lt;&gt;""),Input!$B$37&amp;";",""),IF(AND($G32&lt;Hta_18,$G32&gt;=Hba_18,Input!V$38&lt;&gt;""),Input!$B$38&amp;";",""),IF(AND($G32&lt;Hta_19,$G32&gt;=Hba_19,Input!V$39&lt;&gt;""),Input!$B$39&amp;";",""),IF(AND($G32&lt;Hta_20,$G32&gt;=Hba_20,Input!V$40&lt;&gt;""),Input!$B$40&amp;";",""),IF(AND($G32&lt;Hta_21,$G32&gt;=Hba_21,Input!V$41&lt;&gt;""),Input!$B$41&amp;";",""),IF(AND($G32&lt;Hta_22,$G32&gt;=Hba_22,Input!V$42&lt;&gt;""),Input!$B$42&amp;";",""),IF(AND($G32&lt;Hta_23,$G32&gt;=Hba_23,Input!V$43&lt;&gt;""),Input!$B$43&amp;";",""),IF(AND($G32&lt;Hta_24,$G32&gt;=Hba_24,Input!V$44&lt;&gt;""),Input!$B$44&amp;";",""),IF(AND($G32&lt;Hta_25,$G32&gt;=Hba_25,Input!V$45&lt;&gt;""),Input!$B$45&amp;";",""),IF(AND($G32&lt;Hta_26,$G32&gt;=Hba_26,Input!V$46&lt;&gt;""),Input!$B$46&amp;";",""),IF(AND($G32&lt;Hta_27,$G32&gt;=Hba_27,Input!V$47&lt;&gt;""),Input!$B$47&amp;";",""),IF(AND($G32&lt;Hta_28,$G32&gt;=Hba_28,Input!V$48&lt;&gt;""),Input!$B$48&amp;";",""),IF(AND($G32&lt;Hta_29,$G32&gt;=Hba_29,Input!V$49&lt;&gt;""),Input!$B$49&amp;";",""),IF(AND($G32&lt;Hta_30,$G32&gt;=Hba_30,Input!V$50&lt;&gt;""),Input!$B$50&amp;";","")),"")</f>
        <v/>
      </c>
      <c r="BX32" s="25" t="str">
        <f>IFERROR(CONCATENATE(IF(AND($G32&lt;Hta_1,$G32&gt;=Hba_1,Input!W$21&lt;&gt;""),Input!$B$21&amp;";",""),IF(AND($G32&lt;Hta_2,$G32&gt;=Hba_2,Input!W$22&lt;&gt;""),Input!$B$22&amp;";",""),IF(AND($G32&lt;Hta_3,$G32&gt;=Hba_3,Input!W$23&lt;&gt;""),Input!$B$23&amp;";",""),IF(AND($G32&lt;Hta_4,$G32&gt;=Hba_4,Input!W$24&lt;&gt;""),Input!$B$24&amp;";",""),IF(AND($G32&lt;Hta_5,$G32&gt;=Hba_5,Input!W$25&lt;&gt;""),Input!$B$25&amp;";",""),IF(AND($G32&lt;Hta_6,$G32&gt;=Hba_6,Input!W$26&lt;&gt;""),Input!$B$26&amp;";",""),IF(AND($G32&lt;Hta_7,$G32&gt;=Hba_7,Input!W$27&lt;&gt;""),Input!$B$27&amp;";",""),IF(AND($G32&lt;Hta_8,$G32&gt;=Hba_8,Input!W$28&lt;&gt;""),Input!$B$28&amp;";",""),IF(AND($G32&lt;Hta_9,$G32&gt;=Hba_9,Input!W$29&lt;&gt;""),Input!$B$29&amp;";",""),IF(AND($G32&lt;Hta_10,$G32&gt;=Hba_10,Input!W$30&lt;&gt;""),Input!$B$30&amp;";",""),IF(AND($G32&lt;Hta_11,$G32&gt;=Hba_11,Input!W$31&lt;&gt;""),Input!$B$31&amp;";",""),IF(AND($G32&lt;Hta_12,$G32&gt;=Hba_12,Input!W$32&lt;&gt;""),Input!$B$32&amp;";",""),IF(AND($G32&lt;Hta_13,$G32&gt;=Hba_13,Input!W$33&lt;&gt;""),Input!$B$33&amp;";",""),IF(AND($G32&lt;Hta_14,$G32&gt;=Hba_14,Input!W$34&lt;&gt;""),Input!$B$34&amp;";",""),IF(AND($G32&lt;Hta_15,$G32&gt;=Hba_15,Input!W$35&lt;&gt;""),Input!$B$35&amp;";",""),IF(AND($G32&lt;Hta_16,$G32&gt;=Hba_16,Input!W$36&lt;&gt;""),Input!$B$36&amp;";",""),IF(AND($G32&lt;Hta_17,$G32&gt;=Hba_17,Input!W$37&lt;&gt;""),Input!$B$37&amp;";",""),IF(AND($G32&lt;Hta_18,$G32&gt;=Hba_18,Input!W$38&lt;&gt;""),Input!$B$38&amp;";",""),IF(AND($G32&lt;Hta_19,$G32&gt;=Hba_19,Input!W$39&lt;&gt;""),Input!$B$39&amp;";",""),IF(AND($G32&lt;Hta_20,$G32&gt;=Hba_20,Input!W$40&lt;&gt;""),Input!$B$40&amp;";",""),IF(AND($G32&lt;Hta_21,$G32&gt;=Hba_21,Input!W$41&lt;&gt;""),Input!$B$41&amp;";",""),IF(AND($G32&lt;Hta_22,$G32&gt;=Hba_22,Input!W$42&lt;&gt;""),Input!$B$42&amp;";",""),IF(AND($G32&lt;Hta_23,$G32&gt;=Hba_23,Input!W$43&lt;&gt;""),Input!$B$43&amp;";",""),IF(AND($G32&lt;Hta_24,$G32&gt;=Hba_24,Input!W$44&lt;&gt;""),Input!$B$44&amp;";",""),IF(AND($G32&lt;Hta_25,$G32&gt;=Hba_25,Input!W$45&lt;&gt;""),Input!$B$45&amp;";",""),IF(AND($G32&lt;Hta_26,$G32&gt;=Hba_26,Input!W$46&lt;&gt;""),Input!$B$46&amp;";",""),IF(AND($G32&lt;Hta_27,$G32&gt;=Hba_27,Input!W$47&lt;&gt;""),Input!$B$47&amp;";",""),IF(AND($G32&lt;Hta_28,$G32&gt;=Hba_28,Input!W$48&lt;&gt;""),Input!$B$48&amp;";",""),IF(AND($G32&lt;Hta_29,$G32&gt;=Hba_29,Input!W$49&lt;&gt;""),Input!$B$49&amp;";",""),IF(AND($G32&lt;Hta_30,$G32&gt;=Hba_30,Input!W$50&lt;&gt;""),Input!$B$50&amp;";","")),"")</f>
        <v/>
      </c>
      <c r="BY32" s="25" t="str">
        <f>IFERROR(CONCATENATE(IF(AND($G32&lt;Hta_1,$G32&gt;=Hba_1,Input!X$21&lt;&gt;""),Input!$B$21&amp;";",""),IF(AND($G32&lt;Hta_2,$G32&gt;=Hba_2,Input!X$22&lt;&gt;""),Input!$B$22&amp;";",""),IF(AND($G32&lt;Hta_3,$G32&gt;=Hba_3,Input!X$23&lt;&gt;""),Input!$B$23&amp;";",""),IF(AND($G32&lt;Hta_4,$G32&gt;=Hba_4,Input!X$24&lt;&gt;""),Input!$B$24&amp;";",""),IF(AND($G32&lt;Hta_5,$G32&gt;=Hba_5,Input!X$25&lt;&gt;""),Input!$B$25&amp;";",""),IF(AND($G32&lt;Hta_6,$G32&gt;=Hba_6,Input!X$26&lt;&gt;""),Input!$B$26&amp;";",""),IF(AND($G32&lt;Hta_7,$G32&gt;=Hba_7,Input!X$27&lt;&gt;""),Input!$B$27&amp;";",""),IF(AND($G32&lt;Hta_8,$G32&gt;=Hba_8,Input!X$28&lt;&gt;""),Input!$B$28&amp;";",""),IF(AND($G32&lt;Hta_9,$G32&gt;=Hba_9,Input!X$29&lt;&gt;""),Input!$B$29&amp;";",""),IF(AND($G32&lt;Hta_10,$G32&gt;=Hba_10,Input!X$30&lt;&gt;""),Input!$B$30&amp;";",""),IF(AND($G32&lt;Hta_11,$G32&gt;=Hba_11,Input!X$31&lt;&gt;""),Input!$B$31&amp;";",""),IF(AND($G32&lt;Hta_12,$G32&gt;=Hba_12,Input!X$32&lt;&gt;""),Input!$B$32&amp;";",""),IF(AND($G32&lt;Hta_13,$G32&gt;=Hba_13,Input!X$33&lt;&gt;""),Input!$B$33&amp;";",""),IF(AND($G32&lt;Hta_14,$G32&gt;=Hba_14,Input!X$34&lt;&gt;""),Input!$B$34&amp;";",""),IF(AND($G32&lt;Hta_15,$G32&gt;=Hba_15,Input!X$35&lt;&gt;""),Input!$B$35&amp;";",""),IF(AND($G32&lt;Hta_16,$G32&gt;=Hba_16,Input!X$36&lt;&gt;""),Input!$B$36&amp;";",""),IF(AND($G32&lt;Hta_17,$G32&gt;=Hba_17,Input!X$37&lt;&gt;""),Input!$B$37&amp;";",""),IF(AND($G32&lt;Hta_18,$G32&gt;=Hba_18,Input!X$38&lt;&gt;""),Input!$B$38&amp;";",""),IF(AND($G32&lt;Hta_19,$G32&gt;=Hba_19,Input!X$39&lt;&gt;""),Input!$B$39&amp;";",""),IF(AND($G32&lt;Hta_20,$G32&gt;=Hba_20,Input!X$40&lt;&gt;""),Input!$B$40&amp;";",""),IF(AND($G32&lt;Hta_21,$G32&gt;=Hba_21,Input!X$41&lt;&gt;""),Input!$B$41&amp;";",""),IF(AND($G32&lt;Hta_22,$G32&gt;=Hba_22,Input!X$42&lt;&gt;""),Input!$B$42&amp;";",""),IF(AND($G32&lt;Hta_23,$G32&gt;=Hba_23,Input!X$43&lt;&gt;""),Input!$B$43&amp;";",""),IF(AND($G32&lt;Hta_24,$G32&gt;=Hba_24,Input!X$44&lt;&gt;""),Input!$B$44&amp;";",""),IF(AND($G32&lt;Hta_25,$G32&gt;=Hba_25,Input!X$45&lt;&gt;""),Input!$B$45&amp;";",""),IF(AND($G32&lt;Hta_26,$G32&gt;=Hba_26,Input!X$46&lt;&gt;""),Input!$B$46&amp;";",""),IF(AND($G32&lt;Hta_27,$G32&gt;=Hba_27,Input!X$47&lt;&gt;""),Input!$B$47&amp;";",""),IF(AND($G32&lt;Hta_28,$G32&gt;=Hba_28,Input!X$48&lt;&gt;""),Input!$B$48&amp;";",""),IF(AND($G32&lt;Hta_29,$G32&gt;=Hba_29,Input!X$49&lt;&gt;""),Input!$B$49&amp;";",""),IF(AND($G32&lt;Hta_30,$G32&gt;=Hba_30,Input!X$50&lt;&gt;""),Input!$B$50&amp;";","")),"")</f>
        <v/>
      </c>
      <c r="BZ32" s="25" t="str">
        <f>IFERROR(CONCATENATE(IF(AND($G32&lt;Hta_1,$G32&gt;=Hba_1,Input!Y$21&lt;&gt;""),Input!$B$21&amp;";",""),IF(AND($G32&lt;Hta_2,$G32&gt;=Hba_2,Input!Y$22&lt;&gt;""),Input!$B$22&amp;";",""),IF(AND($G32&lt;Hta_3,$G32&gt;=Hba_3,Input!Y$23&lt;&gt;""),Input!$B$23&amp;";",""),IF(AND($G32&lt;Hta_4,$G32&gt;=Hba_4,Input!Y$24&lt;&gt;""),Input!$B$24&amp;";",""),IF(AND($G32&lt;Hta_5,$G32&gt;=Hba_5,Input!Y$25&lt;&gt;""),Input!$B$25&amp;";",""),IF(AND($G32&lt;Hta_6,$G32&gt;=Hba_6,Input!Y$26&lt;&gt;""),Input!$B$26&amp;";",""),IF(AND($G32&lt;Hta_7,$G32&gt;=Hba_7,Input!Y$27&lt;&gt;""),Input!$B$27&amp;";",""),IF(AND($G32&lt;Hta_8,$G32&gt;=Hba_8,Input!Y$28&lt;&gt;""),Input!$B$28&amp;";",""),IF(AND($G32&lt;Hta_9,$G32&gt;=Hba_9,Input!Y$29&lt;&gt;""),Input!$B$29&amp;";",""),IF(AND($G32&lt;Hta_10,$G32&gt;=Hba_10,Input!Y$30&lt;&gt;""),Input!$B$30&amp;";",""),IF(AND($G32&lt;Hta_11,$G32&gt;=Hba_11,Input!Y$31&lt;&gt;""),Input!$B$31&amp;";",""),IF(AND($G32&lt;Hta_12,$G32&gt;=Hba_12,Input!Y$32&lt;&gt;""),Input!$B$32&amp;";",""),IF(AND($G32&lt;Hta_13,$G32&gt;=Hba_13,Input!Y$33&lt;&gt;""),Input!$B$33&amp;";",""),IF(AND($G32&lt;Hta_14,$G32&gt;=Hba_14,Input!Y$34&lt;&gt;""),Input!$B$34&amp;";",""),IF(AND($G32&lt;Hta_15,$G32&gt;=Hba_15,Input!Y$35&lt;&gt;""),Input!$B$35&amp;";",""),IF(AND($G32&lt;Hta_16,$G32&gt;=Hba_16,Input!Y$36&lt;&gt;""),Input!$B$36&amp;";",""),IF(AND($G32&lt;Hta_17,$G32&gt;=Hba_17,Input!Y$37&lt;&gt;""),Input!$B$37&amp;";",""),IF(AND($G32&lt;Hta_18,$G32&gt;=Hba_18,Input!Y$38&lt;&gt;""),Input!$B$38&amp;";",""),IF(AND($G32&lt;Hta_19,$G32&gt;=Hba_19,Input!Y$39&lt;&gt;""),Input!$B$39&amp;";",""),IF(AND($G32&lt;Hta_20,$G32&gt;=Hba_20,Input!Y$40&lt;&gt;""),Input!$B$40&amp;";",""),IF(AND($G32&lt;Hta_21,$G32&gt;=Hba_21,Input!Y$41&lt;&gt;""),Input!$B$41&amp;";",""),IF(AND($G32&lt;Hta_22,$G32&gt;=Hba_22,Input!Y$42&lt;&gt;""),Input!$B$42&amp;";",""),IF(AND($G32&lt;Hta_23,$G32&gt;=Hba_23,Input!Y$43&lt;&gt;""),Input!$B$43&amp;";",""),IF(AND($G32&lt;Hta_24,$G32&gt;=Hba_24,Input!Y$44&lt;&gt;""),Input!$B$44&amp;";",""),IF(AND($G32&lt;Hta_25,$G32&gt;=Hba_25,Input!Y$45&lt;&gt;""),Input!$B$45&amp;";",""),IF(AND($G32&lt;Hta_26,$G32&gt;=Hba_26,Input!Y$46&lt;&gt;""),Input!$B$46&amp;";",""),IF(AND($G32&lt;Hta_27,$G32&gt;=Hba_27,Input!Y$47&lt;&gt;""),Input!$B$47&amp;";",""),IF(AND($G32&lt;Hta_28,$G32&gt;=Hba_28,Input!Y$48&lt;&gt;""),Input!$B$48&amp;";",""),IF(AND($G32&lt;Hta_29,$G32&gt;=Hba_29,Input!Y$49&lt;&gt;""),Input!$B$49&amp;";",""),IF(AND($G32&lt;Hta_30,$G32&gt;=Hba_30,Input!Y$50&lt;&gt;""),Input!$B$50&amp;";","")),"")</f>
        <v/>
      </c>
      <c r="CA32" s="25" t="str">
        <f>IFERROR(CONCATENATE(IF(AND($G32&lt;Hta_1,$G32&gt;=Hba_1,Input!Z$21&lt;&gt;""),Input!$B$21&amp;";",""),IF(AND($G32&lt;Hta_2,$G32&gt;=Hba_2,Input!Z$22&lt;&gt;""),Input!$B$22&amp;";",""),IF(AND($G32&lt;Hta_3,$G32&gt;=Hba_3,Input!Z$23&lt;&gt;""),Input!$B$23&amp;";",""),IF(AND($G32&lt;Hta_4,$G32&gt;=Hba_4,Input!Z$24&lt;&gt;""),Input!$B$24&amp;";",""),IF(AND($G32&lt;Hta_5,$G32&gt;=Hba_5,Input!Z$25&lt;&gt;""),Input!$B$25&amp;";",""),IF(AND($G32&lt;Hta_6,$G32&gt;=Hba_6,Input!Z$26&lt;&gt;""),Input!$B$26&amp;";",""),IF(AND($G32&lt;Hta_7,$G32&gt;=Hba_7,Input!Z$27&lt;&gt;""),Input!$B$27&amp;";",""),IF(AND($G32&lt;Hta_8,$G32&gt;=Hba_8,Input!Z$28&lt;&gt;""),Input!$B$28&amp;";",""),IF(AND($G32&lt;Hta_9,$G32&gt;=Hba_9,Input!Z$29&lt;&gt;""),Input!$B$29&amp;";",""),IF(AND($G32&lt;Hta_10,$G32&gt;=Hba_10,Input!Z$30&lt;&gt;""),Input!$B$30&amp;";",""),IF(AND($G32&lt;Hta_11,$G32&gt;=Hba_11,Input!Z$31&lt;&gt;""),Input!$B$31&amp;";",""),IF(AND($G32&lt;Hta_12,$G32&gt;=Hba_12,Input!Z$32&lt;&gt;""),Input!$B$32&amp;";",""),IF(AND($G32&lt;Hta_13,$G32&gt;=Hba_13,Input!Z$33&lt;&gt;""),Input!$B$33&amp;";",""),IF(AND($G32&lt;Hta_14,$G32&gt;=Hba_14,Input!Z$34&lt;&gt;""),Input!$B$34&amp;";",""),IF(AND($G32&lt;Hta_15,$G32&gt;=Hba_15,Input!Z$35&lt;&gt;""),Input!$B$35&amp;";",""),IF(AND($G32&lt;Hta_16,$G32&gt;=Hba_16,Input!Z$36&lt;&gt;""),Input!$B$36&amp;";",""),IF(AND($G32&lt;Hta_17,$G32&gt;=Hba_17,Input!Z$37&lt;&gt;""),Input!$B$37&amp;";",""),IF(AND($G32&lt;Hta_18,$G32&gt;=Hba_18,Input!Z$38&lt;&gt;""),Input!$B$38&amp;";",""),IF(AND($G32&lt;Hta_19,$G32&gt;=Hba_19,Input!Z$39&lt;&gt;""),Input!$B$39&amp;";",""),IF(AND($G32&lt;Hta_20,$G32&gt;=Hba_20,Input!Z$40&lt;&gt;""),Input!$B$40&amp;";",""),IF(AND($G32&lt;Hta_21,$G32&gt;=Hba_21,Input!Z$41&lt;&gt;""),Input!$B$41&amp;";",""),IF(AND($G32&lt;Hta_22,$G32&gt;=Hba_22,Input!Z$42&lt;&gt;""),Input!$B$42&amp;";",""),IF(AND($G32&lt;Hta_23,$G32&gt;=Hba_23,Input!Z$43&lt;&gt;""),Input!$B$43&amp;";",""),IF(AND($G32&lt;Hta_24,$G32&gt;=Hba_24,Input!Z$44&lt;&gt;""),Input!$B$44&amp;";",""),IF(AND($G32&lt;Hta_25,$G32&gt;=Hba_25,Input!Z$45&lt;&gt;""),Input!$B$45&amp;";",""),IF(AND($G32&lt;Hta_26,$G32&gt;=Hba_26,Input!Z$46&lt;&gt;""),Input!$B$46&amp;";",""),IF(AND($G32&lt;Hta_27,$G32&gt;=Hba_27,Input!Z$47&lt;&gt;""),Input!$B$47&amp;";",""),IF(AND($G32&lt;Hta_28,$G32&gt;=Hba_28,Input!Z$48&lt;&gt;""),Input!$B$48&amp;";",""),IF(AND($G32&lt;Hta_29,$G32&gt;=Hba_29,Input!Z$49&lt;&gt;""),Input!$B$49&amp;";",""),IF(AND($G32&lt;Hta_30,$G32&gt;=Hba_30,Input!Z$50&lt;&gt;""),Input!$B$50&amp;";","")),"")</f>
        <v/>
      </c>
      <c r="CB32" s="25" t="str">
        <f>IFERROR(CONCATENATE(IF(AND($G32&lt;Hta_1,$G32&gt;=Hba_1,Input!AA$21&lt;&gt;""),Input!$B$21&amp;";",""),IF(AND($G32&lt;Hta_2,$G32&gt;=Hba_2,Input!AA$22&lt;&gt;""),Input!$B$22&amp;";",""),IF(AND($G32&lt;Hta_3,$G32&gt;=Hba_3,Input!AA$23&lt;&gt;""),Input!$B$23&amp;";",""),IF(AND($G32&lt;Hta_4,$G32&gt;=Hba_4,Input!AA$24&lt;&gt;""),Input!$B$24&amp;";",""),IF(AND($G32&lt;Hta_5,$G32&gt;=Hba_5,Input!AA$25&lt;&gt;""),Input!$B$25&amp;";",""),IF(AND($G32&lt;Hta_6,$G32&gt;=Hba_6,Input!AA$26&lt;&gt;""),Input!$B$26&amp;";",""),IF(AND($G32&lt;Hta_7,$G32&gt;=Hba_7,Input!AA$27&lt;&gt;""),Input!$B$27&amp;";",""),IF(AND($G32&lt;Hta_8,$G32&gt;=Hba_8,Input!AA$28&lt;&gt;""),Input!$B$28&amp;";",""),IF(AND($G32&lt;Hta_9,$G32&gt;=Hba_9,Input!AA$29&lt;&gt;""),Input!$B$29&amp;";",""),IF(AND($G32&lt;Hta_10,$G32&gt;=Hba_10,Input!AA$30&lt;&gt;""),Input!$B$30&amp;";",""),IF(AND($G32&lt;Hta_11,$G32&gt;=Hba_11,Input!AA$31&lt;&gt;""),Input!$B$31&amp;";",""),IF(AND($G32&lt;Hta_12,$G32&gt;=Hba_12,Input!AA$32&lt;&gt;""),Input!$B$32&amp;";",""),IF(AND($G32&lt;Hta_13,$G32&gt;=Hba_13,Input!AA$33&lt;&gt;""),Input!$B$33&amp;";",""),IF(AND($G32&lt;Hta_14,$G32&gt;=Hba_14,Input!AA$34&lt;&gt;""),Input!$B$34&amp;";",""),IF(AND($G32&lt;Hta_15,$G32&gt;=Hba_15,Input!AA$35&lt;&gt;""),Input!$B$35&amp;";",""),IF(AND($G32&lt;Hta_16,$G32&gt;=Hba_16,Input!AA$36&lt;&gt;""),Input!$B$36&amp;";",""),IF(AND($G32&lt;Hta_17,$G32&gt;=Hba_17,Input!AA$37&lt;&gt;""),Input!$B$37&amp;";",""),IF(AND($G32&lt;Hta_18,$G32&gt;=Hba_18,Input!AA$38&lt;&gt;""),Input!$B$38&amp;";",""),IF(AND($G32&lt;Hta_19,$G32&gt;=Hba_19,Input!AA$39&lt;&gt;""),Input!$B$39&amp;";",""),IF(AND($G32&lt;Hta_20,$G32&gt;=Hba_20,Input!AA$40&lt;&gt;""),Input!$B$40&amp;";",""),IF(AND($G32&lt;Hta_21,$G32&gt;=Hba_21,Input!AA$41&lt;&gt;""),Input!$B$41&amp;";",""),IF(AND($G32&lt;Hta_22,$G32&gt;=Hba_22,Input!AA$42&lt;&gt;""),Input!$B$42&amp;";",""),IF(AND($G32&lt;Hta_23,$G32&gt;=Hba_23,Input!AA$43&lt;&gt;""),Input!$B$43&amp;";",""),IF(AND($G32&lt;Hta_24,$G32&gt;=Hba_24,Input!AA$44&lt;&gt;""),Input!$B$44&amp;";",""),IF(AND($G32&lt;Hta_25,$G32&gt;=Hba_25,Input!AA$45&lt;&gt;""),Input!$B$45&amp;";",""),IF(AND($G32&lt;Hta_26,$G32&gt;=Hba_26,Input!AA$46&lt;&gt;""),Input!$B$46&amp;";",""),IF(AND($G32&lt;Hta_27,$G32&gt;=Hba_27,Input!AA$47&lt;&gt;""),Input!$B$47&amp;";",""),IF(AND($G32&lt;Hta_28,$G32&gt;=Hba_28,Input!AA$48&lt;&gt;""),Input!$B$48&amp;";",""),IF(AND($G32&lt;Hta_29,$G32&gt;=Hba_29,Input!AA$49&lt;&gt;""),Input!$B$49&amp;";",""),IF(AND($G32&lt;Hta_30,$G32&gt;=Hba_30,Input!AA$50&lt;&gt;""),Input!$B$50&amp;";","")),"")</f>
        <v/>
      </c>
      <c r="CC32" s="25" t="str">
        <f>IFERROR(CONCATENATE(IF(AND($G32&lt;Hta_1,$G32&gt;=Hba_1,Input!AB$21&lt;&gt;""),Input!$B$21&amp;";",""),IF(AND($G32&lt;Hta_2,$G32&gt;=Hba_2,Input!AB$22&lt;&gt;""),Input!$B$22&amp;";",""),IF(AND($G32&lt;Hta_3,$G32&gt;=Hba_3,Input!AB$23&lt;&gt;""),Input!$B$23&amp;";",""),IF(AND($G32&lt;Hta_4,$G32&gt;=Hba_4,Input!AB$24&lt;&gt;""),Input!$B$24&amp;";",""),IF(AND($G32&lt;Hta_5,$G32&gt;=Hba_5,Input!AB$25&lt;&gt;""),Input!$B$25&amp;";",""),IF(AND($G32&lt;Hta_6,$G32&gt;=Hba_6,Input!AB$26&lt;&gt;""),Input!$B$26&amp;";",""),IF(AND($G32&lt;Hta_7,$G32&gt;=Hba_7,Input!AB$27&lt;&gt;""),Input!$B$27&amp;";",""),IF(AND($G32&lt;Hta_8,$G32&gt;=Hba_8,Input!AB$28&lt;&gt;""),Input!$B$28&amp;";",""),IF(AND($G32&lt;Hta_9,$G32&gt;=Hba_9,Input!AB$29&lt;&gt;""),Input!$B$29&amp;";",""),IF(AND($G32&lt;Hta_10,$G32&gt;=Hba_10,Input!AB$30&lt;&gt;""),Input!$B$30&amp;";",""),IF(AND($G32&lt;Hta_11,$G32&gt;=Hba_11,Input!AB$31&lt;&gt;""),Input!$B$31&amp;";",""),IF(AND($G32&lt;Hta_12,$G32&gt;=Hba_12,Input!AB$32&lt;&gt;""),Input!$B$32&amp;";",""),IF(AND($G32&lt;Hta_13,$G32&gt;=Hba_13,Input!AB$33&lt;&gt;""),Input!$B$33&amp;";",""),IF(AND($G32&lt;Hta_14,$G32&gt;=Hba_14,Input!AB$34&lt;&gt;""),Input!$B$34&amp;";",""),IF(AND($G32&lt;Hta_15,$G32&gt;=Hba_15,Input!AB$35&lt;&gt;""),Input!$B$35&amp;";",""),IF(AND($G32&lt;Hta_16,$G32&gt;=Hba_16,Input!AB$36&lt;&gt;""),Input!$B$36&amp;";",""),IF(AND($G32&lt;Hta_17,$G32&gt;=Hba_17,Input!AB$37&lt;&gt;""),Input!$B$37&amp;";",""),IF(AND($G32&lt;Hta_18,$G32&gt;=Hba_18,Input!AB$38&lt;&gt;""),Input!$B$38&amp;";",""),IF(AND($G32&lt;Hta_19,$G32&gt;=Hba_19,Input!AB$39&lt;&gt;""),Input!$B$39&amp;";",""),IF(AND($G32&lt;Hta_20,$G32&gt;=Hba_20,Input!AB$40&lt;&gt;""),Input!$B$40&amp;";",""),IF(AND($G32&lt;Hta_21,$G32&gt;=Hba_21,Input!AB$41&lt;&gt;""),Input!$B$41&amp;";",""),IF(AND($G32&lt;Hta_22,$G32&gt;=Hba_22,Input!AB$42&lt;&gt;""),Input!$B$42&amp;";",""),IF(AND($G32&lt;Hta_23,$G32&gt;=Hba_23,Input!AB$43&lt;&gt;""),Input!$B$43&amp;";",""),IF(AND($G32&lt;Hta_24,$G32&gt;=Hba_24,Input!AB$44&lt;&gt;""),Input!$B$44&amp;";",""),IF(AND($G32&lt;Hta_25,$G32&gt;=Hba_25,Input!AB$45&lt;&gt;""),Input!$B$45&amp;";",""),IF(AND($G32&lt;Hta_26,$G32&gt;=Hba_26,Input!AB$46&lt;&gt;""),Input!$B$46&amp;";",""),IF(AND($G32&lt;Hta_27,$G32&gt;=Hba_27,Input!AB$47&lt;&gt;""),Input!$B$47&amp;";",""),IF(AND($G32&lt;Hta_28,$G32&gt;=Hba_28,Input!AB$48&lt;&gt;""),Input!$B$48&amp;";",""),IF(AND($G32&lt;Hta_29,$G32&gt;=Hba_29,Input!AB$49&lt;&gt;""),Input!$B$49&amp;";",""),IF(AND($G32&lt;Hta_30,$G32&gt;=Hba_30,Input!AB$50&lt;&gt;""),Input!$B$50&amp;";","")),"")</f>
        <v/>
      </c>
      <c r="CD32" s="25" t="str">
        <f>IFERROR(CONCATENATE(IF(AND($G32&lt;Hta_1,$G32&gt;=Hba_1,Input!AC$21&lt;&gt;""),Input!$B$21&amp;";",""),IF(AND($G32&lt;Hta_2,$G32&gt;=Hba_2,Input!AC$22&lt;&gt;""),Input!$B$22&amp;";",""),IF(AND($G32&lt;Hta_3,$G32&gt;=Hba_3,Input!AC$23&lt;&gt;""),Input!$B$23&amp;";",""),IF(AND($G32&lt;Hta_4,$G32&gt;=Hba_4,Input!AC$24&lt;&gt;""),Input!$B$24&amp;";",""),IF(AND($G32&lt;Hta_5,$G32&gt;=Hba_5,Input!AC$25&lt;&gt;""),Input!$B$25&amp;";",""),IF(AND($G32&lt;Hta_6,$G32&gt;=Hba_6,Input!AC$26&lt;&gt;""),Input!$B$26&amp;";",""),IF(AND($G32&lt;Hta_7,$G32&gt;=Hba_7,Input!AC$27&lt;&gt;""),Input!$B$27&amp;";",""),IF(AND($G32&lt;Hta_8,$G32&gt;=Hba_8,Input!AC$28&lt;&gt;""),Input!$B$28&amp;";",""),IF(AND($G32&lt;Hta_9,$G32&gt;=Hba_9,Input!AC$29&lt;&gt;""),Input!$B$29&amp;";",""),IF(AND($G32&lt;Hta_10,$G32&gt;=Hba_10,Input!AC$30&lt;&gt;""),Input!$B$30&amp;";",""),IF(AND($G32&lt;Hta_11,$G32&gt;=Hba_11,Input!AC$31&lt;&gt;""),Input!$B$31&amp;";",""),IF(AND($G32&lt;Hta_12,$G32&gt;=Hba_12,Input!AC$32&lt;&gt;""),Input!$B$32&amp;";",""),IF(AND($G32&lt;Hta_13,$G32&gt;=Hba_13,Input!AC$33&lt;&gt;""),Input!$B$33&amp;";",""),IF(AND($G32&lt;Hta_14,$G32&gt;=Hba_14,Input!AC$34&lt;&gt;""),Input!$B$34&amp;";",""),IF(AND($G32&lt;Hta_15,$G32&gt;=Hba_15,Input!AC$35&lt;&gt;""),Input!$B$35&amp;";",""),IF(AND($G32&lt;Hta_16,$G32&gt;=Hba_16,Input!AC$36&lt;&gt;""),Input!$B$36&amp;";",""),IF(AND($G32&lt;Hta_17,$G32&gt;=Hba_17,Input!AC$37&lt;&gt;""),Input!$B$37&amp;";",""),IF(AND($G32&lt;Hta_18,$G32&gt;=Hba_18,Input!AC$38&lt;&gt;""),Input!$B$38&amp;";",""),IF(AND($G32&lt;Hta_19,$G32&gt;=Hba_19,Input!AC$39&lt;&gt;""),Input!$B$39&amp;";",""),IF(AND($G32&lt;Hta_20,$G32&gt;=Hba_20,Input!AC$40&lt;&gt;""),Input!$B$40&amp;";",""),IF(AND($G32&lt;Hta_21,$G32&gt;=Hba_21,Input!AC$41&lt;&gt;""),Input!$B$41&amp;";",""),IF(AND($G32&lt;Hta_22,$G32&gt;=Hba_22,Input!AC$42&lt;&gt;""),Input!$B$42&amp;";",""),IF(AND($G32&lt;Hta_23,$G32&gt;=Hba_23,Input!AC$43&lt;&gt;""),Input!$B$43&amp;";",""),IF(AND($G32&lt;Hta_24,$G32&gt;=Hba_24,Input!AC$44&lt;&gt;""),Input!$B$44&amp;";",""),IF(AND($G32&lt;Hta_25,$G32&gt;=Hba_25,Input!AC$45&lt;&gt;""),Input!$B$45&amp;";",""),IF(AND($G32&lt;Hta_26,$G32&gt;=Hba_26,Input!AC$46&lt;&gt;""),Input!$B$46&amp;";",""),IF(AND($G32&lt;Hta_27,$G32&gt;=Hba_27,Input!AC$47&lt;&gt;""),Input!$B$47&amp;";",""),IF(AND($G32&lt;Hta_28,$G32&gt;=Hba_28,Input!AC$48&lt;&gt;""),Input!$B$48&amp;";",""),IF(AND($G32&lt;Hta_29,$G32&gt;=Hba_29,Input!AC$49&lt;&gt;""),Input!$B$49&amp;";",""),IF(AND($G32&lt;Hta_30,$G32&gt;=Hba_30,Input!AC$50&lt;&gt;""),Input!$B$50&amp;";","")),"")</f>
        <v/>
      </c>
      <c r="CE32" s="25" t="str">
        <f>IFERROR(CONCATENATE(IF(AND($G32&lt;Hta_1,$G32&gt;=Hba_1,Input!AD$21&lt;&gt;""),Input!$B$21&amp;";",""),IF(AND($G32&lt;Hta_2,$G32&gt;=Hba_2,Input!AD$22&lt;&gt;""),Input!$B$22&amp;";",""),IF(AND($G32&lt;Hta_3,$G32&gt;=Hba_3,Input!AD$23&lt;&gt;""),Input!$B$23&amp;";",""),IF(AND($G32&lt;Hta_4,$G32&gt;=Hba_4,Input!AD$24&lt;&gt;""),Input!$B$24&amp;";",""),IF(AND($G32&lt;Hta_5,$G32&gt;=Hba_5,Input!AD$25&lt;&gt;""),Input!$B$25&amp;";",""),IF(AND($G32&lt;Hta_6,$G32&gt;=Hba_6,Input!AD$26&lt;&gt;""),Input!$B$26&amp;";",""),IF(AND($G32&lt;Hta_7,$G32&gt;=Hba_7,Input!AD$27&lt;&gt;""),Input!$B$27&amp;";",""),IF(AND($G32&lt;Hta_8,$G32&gt;=Hba_8,Input!AD$28&lt;&gt;""),Input!$B$28&amp;";",""),IF(AND($G32&lt;Hta_9,$G32&gt;=Hba_9,Input!AD$29&lt;&gt;""),Input!$B$29&amp;";",""),IF(AND($G32&lt;Hta_10,$G32&gt;=Hba_10,Input!AD$30&lt;&gt;""),Input!$B$30&amp;";",""),IF(AND($G32&lt;Hta_11,$G32&gt;=Hba_11,Input!AD$31&lt;&gt;""),Input!$B$31&amp;";",""),IF(AND($G32&lt;Hta_12,$G32&gt;=Hba_12,Input!AD$32&lt;&gt;""),Input!$B$32&amp;";",""),IF(AND($G32&lt;Hta_13,$G32&gt;=Hba_13,Input!AD$33&lt;&gt;""),Input!$B$33&amp;";",""),IF(AND($G32&lt;Hta_14,$G32&gt;=Hba_14,Input!AD$34&lt;&gt;""),Input!$B$34&amp;";",""),IF(AND($G32&lt;Hta_15,$G32&gt;=Hba_15,Input!AD$35&lt;&gt;""),Input!$B$35&amp;";",""),IF(AND($G32&lt;Hta_16,$G32&gt;=Hba_16,Input!AD$36&lt;&gt;""),Input!$B$36&amp;";",""),IF(AND($G32&lt;Hta_17,$G32&gt;=Hba_17,Input!AD$37&lt;&gt;""),Input!$B$37&amp;";",""),IF(AND($G32&lt;Hta_18,$G32&gt;=Hba_18,Input!AD$38&lt;&gt;""),Input!$B$38&amp;";",""),IF(AND($G32&lt;Hta_19,$G32&gt;=Hba_19,Input!AD$39&lt;&gt;""),Input!$B$39&amp;";",""),IF(AND($G32&lt;Hta_20,$G32&gt;=Hba_20,Input!AD$40&lt;&gt;""),Input!$B$40&amp;";",""),IF(AND($G32&lt;Hta_21,$G32&gt;=Hba_21,Input!AD$41&lt;&gt;""),Input!$B$41&amp;";",""),IF(AND($G32&lt;Hta_22,$G32&gt;=Hba_22,Input!AD$42&lt;&gt;""),Input!$B$42&amp;";",""),IF(AND($G32&lt;Hta_23,$G32&gt;=Hba_23,Input!AD$43&lt;&gt;""),Input!$B$43&amp;";",""),IF(AND($G32&lt;Hta_24,$G32&gt;=Hba_24,Input!AD$44&lt;&gt;""),Input!$B$44&amp;";",""),IF(AND($G32&lt;Hta_25,$G32&gt;=Hba_25,Input!AD$45&lt;&gt;""),Input!$B$45&amp;";",""),IF(AND($G32&lt;Hta_26,$G32&gt;=Hba_26,Input!AD$46&lt;&gt;""),Input!$B$46&amp;";",""),IF(AND($G32&lt;Hta_27,$G32&gt;=Hba_27,Input!AD$47&lt;&gt;""),Input!$B$47&amp;";",""),IF(AND($G32&lt;Hta_28,$G32&gt;=Hba_28,Input!AD$48&lt;&gt;""),Input!$B$48&amp;";",""),IF(AND($G32&lt;Hta_29,$G32&gt;=Hba_29,Input!AD$49&lt;&gt;""),Input!$B$49&amp;";",""),IF(AND($G32&lt;Hta_30,$G32&gt;=Hba_30,Input!AD$50&lt;&gt;""),Input!$B$50&amp;";","")),"")</f>
        <v/>
      </c>
      <c r="CF32" s="25" t="str">
        <f>IFERROR(CONCATENATE(IF(AND($G32&lt;Hta_1,$G32&gt;=Hba_1,Input!AE$21&lt;&gt;""),Input!$B$21&amp;";",""),IF(AND($G32&lt;Hta_2,$G32&gt;=Hba_2,Input!AE$22&lt;&gt;""),Input!$B$22&amp;";",""),IF(AND($G32&lt;Hta_3,$G32&gt;=Hba_3,Input!AE$23&lt;&gt;""),Input!$B$23&amp;";",""),IF(AND($G32&lt;Hta_4,$G32&gt;=Hba_4,Input!AE$24&lt;&gt;""),Input!$B$24&amp;";",""),IF(AND($G32&lt;Hta_5,$G32&gt;=Hba_5,Input!AE$25&lt;&gt;""),Input!$B$25&amp;";",""),IF(AND($G32&lt;Hta_6,$G32&gt;=Hba_6,Input!AE$26&lt;&gt;""),Input!$B$26&amp;";",""),IF(AND($G32&lt;Hta_7,$G32&gt;=Hba_7,Input!AE$27&lt;&gt;""),Input!$B$27&amp;";",""),IF(AND($G32&lt;Hta_8,$G32&gt;=Hba_8,Input!AE$28&lt;&gt;""),Input!$B$28&amp;";",""),IF(AND($G32&lt;Hta_9,$G32&gt;=Hba_9,Input!AE$29&lt;&gt;""),Input!$B$29&amp;";",""),IF(AND($G32&lt;Hta_10,$G32&gt;=Hba_10,Input!AE$30&lt;&gt;""),Input!$B$30&amp;";",""),IF(AND($G32&lt;Hta_11,$G32&gt;=Hba_11,Input!AE$31&lt;&gt;""),Input!$B$31&amp;";",""),IF(AND($G32&lt;Hta_12,$G32&gt;=Hba_12,Input!AE$32&lt;&gt;""),Input!$B$32&amp;";",""),IF(AND($G32&lt;Hta_13,$G32&gt;=Hba_13,Input!AE$33&lt;&gt;""),Input!$B$33&amp;";",""),IF(AND($G32&lt;Hta_14,$G32&gt;=Hba_14,Input!AE$34&lt;&gt;""),Input!$B$34&amp;";",""),IF(AND($G32&lt;Hta_15,$G32&gt;=Hba_15,Input!AE$35&lt;&gt;""),Input!$B$35&amp;";",""),IF(AND($G32&lt;Hta_16,$G32&gt;=Hba_16,Input!AE$36&lt;&gt;""),Input!$B$36&amp;";",""),IF(AND($G32&lt;Hta_17,$G32&gt;=Hba_17,Input!AE$37&lt;&gt;""),Input!$B$37&amp;";",""),IF(AND($G32&lt;Hta_18,$G32&gt;=Hba_18,Input!AE$38&lt;&gt;""),Input!$B$38&amp;";",""),IF(AND($G32&lt;Hta_19,$G32&gt;=Hba_19,Input!AE$39&lt;&gt;""),Input!$B$39&amp;";",""),IF(AND($G32&lt;Hta_20,$G32&gt;=Hba_20,Input!AE$40&lt;&gt;""),Input!$B$40&amp;";",""),IF(AND($G32&lt;Hta_21,$G32&gt;=Hba_21,Input!AE$41&lt;&gt;""),Input!$B$41&amp;";",""),IF(AND($G32&lt;Hta_22,$G32&gt;=Hba_22,Input!AE$42&lt;&gt;""),Input!$B$42&amp;";",""),IF(AND($G32&lt;Hta_23,$G32&gt;=Hba_23,Input!AE$43&lt;&gt;""),Input!$B$43&amp;";",""),IF(AND($G32&lt;Hta_24,$G32&gt;=Hba_24,Input!AE$44&lt;&gt;""),Input!$B$44&amp;";",""),IF(AND($G32&lt;Hta_25,$G32&gt;=Hba_25,Input!AE$45&lt;&gt;""),Input!$B$45&amp;";",""),IF(AND($G32&lt;Hta_26,$G32&gt;=Hba_26,Input!AE$46&lt;&gt;""),Input!$B$46&amp;";",""),IF(AND($G32&lt;Hta_27,$G32&gt;=Hba_27,Input!AE$47&lt;&gt;""),Input!$B$47&amp;";",""),IF(AND($G32&lt;Hta_28,$G32&gt;=Hba_28,Input!AE$48&lt;&gt;""),Input!$B$48&amp;";",""),IF(AND($G32&lt;Hta_29,$G32&gt;=Hba_29,Input!AE$49&lt;&gt;""),Input!$B$49&amp;";",""),IF(AND($G32&lt;Hta_30,$G32&gt;=Hba_30,Input!AE$50&lt;&gt;""),Input!$B$50&amp;";","")),"")</f>
        <v/>
      </c>
      <c r="CG32" s="25" t="str">
        <f>IFERROR(CONCATENATE(IF(AND($G32&lt;Hta_1,$G32&gt;=Hba_1,Input!AF$21&lt;&gt;""),Input!$B$21&amp;";",""),IF(AND($G32&lt;Hta_2,$G32&gt;=Hba_2,Input!AF$22&lt;&gt;""),Input!$B$22&amp;";",""),IF(AND($G32&lt;Hta_3,$G32&gt;=Hba_3,Input!AF$23&lt;&gt;""),Input!$B$23&amp;";",""),IF(AND($G32&lt;Hta_4,$G32&gt;=Hba_4,Input!AF$24&lt;&gt;""),Input!$B$24&amp;";",""),IF(AND($G32&lt;Hta_5,$G32&gt;=Hba_5,Input!AF$25&lt;&gt;""),Input!$B$25&amp;";",""),IF(AND($G32&lt;Hta_6,$G32&gt;=Hba_6,Input!AF$26&lt;&gt;""),Input!$B$26&amp;";",""),IF(AND($G32&lt;Hta_7,$G32&gt;=Hba_7,Input!AF$27&lt;&gt;""),Input!$B$27&amp;";",""),IF(AND($G32&lt;Hta_8,$G32&gt;=Hba_8,Input!AF$28&lt;&gt;""),Input!$B$28&amp;";",""),IF(AND($G32&lt;Hta_9,$G32&gt;=Hba_9,Input!AF$29&lt;&gt;""),Input!$B$29&amp;";",""),IF(AND($G32&lt;Hta_10,$G32&gt;=Hba_10,Input!AF$30&lt;&gt;""),Input!$B$30&amp;";",""),IF(AND($G32&lt;Hta_11,$G32&gt;=Hba_11,Input!AF$31&lt;&gt;""),Input!$B$31&amp;";",""),IF(AND($G32&lt;Hta_12,$G32&gt;=Hba_12,Input!AF$32&lt;&gt;""),Input!$B$32&amp;";",""),IF(AND($G32&lt;Hta_13,$G32&gt;=Hba_13,Input!AF$33&lt;&gt;""),Input!$B$33&amp;";",""),IF(AND($G32&lt;Hta_14,$G32&gt;=Hba_14,Input!AF$34&lt;&gt;""),Input!$B$34&amp;";",""),IF(AND($G32&lt;Hta_15,$G32&gt;=Hba_15,Input!AF$35&lt;&gt;""),Input!$B$35&amp;";",""),IF(AND($G32&lt;Hta_16,$G32&gt;=Hba_16,Input!AF$36&lt;&gt;""),Input!$B$36&amp;";",""),IF(AND($G32&lt;Hta_17,$G32&gt;=Hba_17,Input!AF$37&lt;&gt;""),Input!$B$37&amp;";",""),IF(AND($G32&lt;Hta_18,$G32&gt;=Hba_18,Input!AF$38&lt;&gt;""),Input!$B$38&amp;";",""),IF(AND($G32&lt;Hta_19,$G32&gt;=Hba_19,Input!AF$39&lt;&gt;""),Input!$B$39&amp;";",""),IF(AND($G32&lt;Hta_20,$G32&gt;=Hba_20,Input!AF$40&lt;&gt;""),Input!$B$40&amp;";",""),IF(AND($G32&lt;Hta_21,$G32&gt;=Hba_21,Input!AF$41&lt;&gt;""),Input!$B$41&amp;";",""),IF(AND($G32&lt;Hta_22,$G32&gt;=Hba_22,Input!AF$42&lt;&gt;""),Input!$B$42&amp;";",""),IF(AND($G32&lt;Hta_23,$G32&gt;=Hba_23,Input!AF$43&lt;&gt;""),Input!$B$43&amp;";",""),IF(AND($G32&lt;Hta_24,$G32&gt;=Hba_24,Input!AF$44&lt;&gt;""),Input!$B$44&amp;";",""),IF(AND($G32&lt;Hta_25,$G32&gt;=Hba_25,Input!AF$45&lt;&gt;""),Input!$B$45&amp;";",""),IF(AND($G32&lt;Hta_26,$G32&gt;=Hba_26,Input!AF$46&lt;&gt;""),Input!$B$46&amp;";",""),IF(AND($G32&lt;Hta_27,$G32&gt;=Hba_27,Input!AF$47&lt;&gt;""),Input!$B$47&amp;";",""),IF(AND($G32&lt;Hta_28,$G32&gt;=Hba_28,Input!AF$48&lt;&gt;""),Input!$B$48&amp;";",""),IF(AND($G32&lt;Hta_29,$G32&gt;=Hba_29,Input!AF$49&lt;&gt;""),Input!$B$49&amp;";",""),IF(AND($G32&lt;Hta_30,$G32&gt;=Hba_30,Input!AF$50&lt;&gt;""),Input!$B$50&amp;";","")),"")</f>
        <v/>
      </c>
      <c r="CH32" s="25" t="str">
        <f>IFERROR(CONCATENATE(IF(AND($G32&lt;Hta_1,$G32&gt;=Hba_1,Input!AG$21&lt;&gt;""),Input!$B$21&amp;";",""),IF(AND($G32&lt;Hta_2,$G32&gt;=Hba_2,Input!AG$22&lt;&gt;""),Input!$B$22&amp;";",""),IF(AND($G32&lt;Hta_3,$G32&gt;=Hba_3,Input!AG$23&lt;&gt;""),Input!$B$23&amp;";",""),IF(AND($G32&lt;Hta_4,$G32&gt;=Hba_4,Input!AG$24&lt;&gt;""),Input!$B$24&amp;";",""),IF(AND($G32&lt;Hta_5,$G32&gt;=Hba_5,Input!AG$25&lt;&gt;""),Input!$B$25&amp;";",""),IF(AND($G32&lt;Hta_6,$G32&gt;=Hba_6,Input!AG$26&lt;&gt;""),Input!$B$26&amp;";",""),IF(AND($G32&lt;Hta_7,$G32&gt;=Hba_7,Input!AG$27&lt;&gt;""),Input!$B$27&amp;";",""),IF(AND($G32&lt;Hta_8,$G32&gt;=Hba_8,Input!AG$28&lt;&gt;""),Input!$B$28&amp;";",""),IF(AND($G32&lt;Hta_9,$G32&gt;=Hba_9,Input!AG$29&lt;&gt;""),Input!$B$29&amp;";",""),IF(AND($G32&lt;Hta_10,$G32&gt;=Hba_10,Input!AG$30&lt;&gt;""),Input!$B$30&amp;";",""),IF(AND($G32&lt;Hta_11,$G32&gt;=Hba_11,Input!AG$31&lt;&gt;""),Input!$B$31&amp;";",""),IF(AND($G32&lt;Hta_12,$G32&gt;=Hba_12,Input!AG$32&lt;&gt;""),Input!$B$32&amp;";",""),IF(AND($G32&lt;Hta_13,$G32&gt;=Hba_13,Input!AG$33&lt;&gt;""),Input!$B$33&amp;";",""),IF(AND($G32&lt;Hta_14,$G32&gt;=Hba_14,Input!AG$34&lt;&gt;""),Input!$B$34&amp;";",""),IF(AND($G32&lt;Hta_15,$G32&gt;=Hba_15,Input!AG$35&lt;&gt;""),Input!$B$35&amp;";",""),IF(AND($G32&lt;Hta_16,$G32&gt;=Hba_16,Input!AG$36&lt;&gt;""),Input!$B$36&amp;";",""),IF(AND($G32&lt;Hta_17,$G32&gt;=Hba_17,Input!AG$37&lt;&gt;""),Input!$B$37&amp;";",""),IF(AND($G32&lt;Hta_18,$G32&gt;=Hba_18,Input!AG$38&lt;&gt;""),Input!$B$38&amp;";",""),IF(AND($G32&lt;Hta_19,$G32&gt;=Hba_19,Input!AG$39&lt;&gt;""),Input!$B$39&amp;";",""),IF(AND($G32&lt;Hta_20,$G32&gt;=Hba_20,Input!AG$40&lt;&gt;""),Input!$B$40&amp;";",""),IF(AND($G32&lt;Hta_21,$G32&gt;=Hba_21,Input!AG$41&lt;&gt;""),Input!$B$41&amp;";",""),IF(AND($G32&lt;Hta_22,$G32&gt;=Hba_22,Input!AG$42&lt;&gt;""),Input!$B$42&amp;";",""),IF(AND($G32&lt;Hta_23,$G32&gt;=Hba_23,Input!AG$43&lt;&gt;""),Input!$B$43&amp;";",""),IF(AND($G32&lt;Hta_24,$G32&gt;=Hba_24,Input!AG$44&lt;&gt;""),Input!$B$44&amp;";",""),IF(AND($G32&lt;Hta_25,$G32&gt;=Hba_25,Input!AG$45&lt;&gt;""),Input!$B$45&amp;";",""),IF(AND($G32&lt;Hta_26,$G32&gt;=Hba_26,Input!AG$46&lt;&gt;""),Input!$B$46&amp;";",""),IF(AND($G32&lt;Hta_27,$G32&gt;=Hba_27,Input!AG$47&lt;&gt;""),Input!$B$47&amp;";",""),IF(AND($G32&lt;Hta_28,$G32&gt;=Hba_28,Input!AG$48&lt;&gt;""),Input!$B$48&amp;";",""),IF(AND($G32&lt;Hta_29,$G32&gt;=Hba_29,Input!AG$49&lt;&gt;""),Input!$B$49&amp;";",""),IF(AND($G32&lt;Hta_30,$G32&gt;=Hba_30,Input!AG$50&lt;&gt;""),Input!$B$50&amp;";","")),"")</f>
        <v/>
      </c>
      <c r="CI32" s="25" t="str">
        <f>IFERROR(CONCATENATE(IF(AND($G32&lt;Hta_1,$G32&gt;=Hba_1,Input!AH$21&lt;&gt;""),Input!$B$21&amp;";",""),IF(AND($G32&lt;Hta_2,$G32&gt;=Hba_2,Input!AH$22&lt;&gt;""),Input!$B$22&amp;";",""),IF(AND($G32&lt;Hta_3,$G32&gt;=Hba_3,Input!AH$23&lt;&gt;""),Input!$B$23&amp;";",""),IF(AND($G32&lt;Hta_4,$G32&gt;=Hba_4,Input!AH$24&lt;&gt;""),Input!$B$24&amp;";",""),IF(AND($G32&lt;Hta_5,$G32&gt;=Hba_5,Input!AH$25&lt;&gt;""),Input!$B$25&amp;";",""),IF(AND($G32&lt;Hta_6,$G32&gt;=Hba_6,Input!AH$26&lt;&gt;""),Input!$B$26&amp;";",""),IF(AND($G32&lt;Hta_7,$G32&gt;=Hba_7,Input!AH$27&lt;&gt;""),Input!$B$27&amp;";",""),IF(AND($G32&lt;Hta_8,$G32&gt;=Hba_8,Input!AH$28&lt;&gt;""),Input!$B$28&amp;";",""),IF(AND($G32&lt;Hta_9,$G32&gt;=Hba_9,Input!AH$29&lt;&gt;""),Input!$B$29&amp;";",""),IF(AND($G32&lt;Hta_10,$G32&gt;=Hba_10,Input!AH$30&lt;&gt;""),Input!$B$30&amp;";",""),IF(AND($G32&lt;Hta_11,$G32&gt;=Hba_11,Input!AH$31&lt;&gt;""),Input!$B$31&amp;";",""),IF(AND($G32&lt;Hta_12,$G32&gt;=Hba_12,Input!AH$32&lt;&gt;""),Input!$B$32&amp;";",""),IF(AND($G32&lt;Hta_13,$G32&gt;=Hba_13,Input!AH$33&lt;&gt;""),Input!$B$33&amp;";",""),IF(AND($G32&lt;Hta_14,$G32&gt;=Hba_14,Input!AH$34&lt;&gt;""),Input!$B$34&amp;";",""),IF(AND($G32&lt;Hta_15,$G32&gt;=Hba_15,Input!AH$35&lt;&gt;""),Input!$B$35&amp;";",""),IF(AND($G32&lt;Hta_16,$G32&gt;=Hba_16,Input!AH$36&lt;&gt;""),Input!$B$36&amp;";",""),IF(AND($G32&lt;Hta_17,$G32&gt;=Hba_17,Input!AH$37&lt;&gt;""),Input!$B$37&amp;";",""),IF(AND($G32&lt;Hta_18,$G32&gt;=Hba_18,Input!AH$38&lt;&gt;""),Input!$B$38&amp;";",""),IF(AND($G32&lt;Hta_19,$G32&gt;=Hba_19,Input!AH$39&lt;&gt;""),Input!$B$39&amp;";",""),IF(AND($G32&lt;Hta_20,$G32&gt;=Hba_20,Input!AH$40&lt;&gt;""),Input!$B$40&amp;";",""),IF(AND($G32&lt;Hta_21,$G32&gt;=Hba_21,Input!AH$41&lt;&gt;""),Input!$B$41&amp;";",""),IF(AND($G32&lt;Hta_22,$G32&gt;=Hba_22,Input!AH$42&lt;&gt;""),Input!$B$42&amp;";",""),IF(AND($G32&lt;Hta_23,$G32&gt;=Hba_23,Input!AH$43&lt;&gt;""),Input!$B$43&amp;";",""),IF(AND($G32&lt;Hta_24,$G32&gt;=Hba_24,Input!AH$44&lt;&gt;""),Input!$B$44&amp;";",""),IF(AND($G32&lt;Hta_25,$G32&gt;=Hba_25,Input!AH$45&lt;&gt;""),Input!$B$45&amp;";",""),IF(AND($G32&lt;Hta_26,$G32&gt;=Hba_26,Input!AH$46&lt;&gt;""),Input!$B$46&amp;";",""),IF(AND($G32&lt;Hta_27,$G32&gt;=Hba_27,Input!AH$47&lt;&gt;""),Input!$B$47&amp;";",""),IF(AND($G32&lt;Hta_28,$G32&gt;=Hba_28,Input!AH$48&lt;&gt;""),Input!$B$48&amp;";",""),IF(AND($G32&lt;Hta_29,$G32&gt;=Hba_29,Input!AH$49&lt;&gt;""),Input!$B$49&amp;";",""),IF(AND($G32&lt;Hta_30,$G32&gt;=Hba_30,Input!AH$50&lt;&gt;""),Input!$B$50&amp;";","")),"")</f>
        <v/>
      </c>
      <c r="CJ32" s="25" t="str">
        <f>IFERROR(CONCATENATE(IF(AND($G32&lt;Hta_1,$G32&gt;=Hba_1,Input!AI$21&lt;&gt;""),Input!$B$21&amp;";",""),IF(AND($G32&lt;Hta_2,$G32&gt;=Hba_2,Input!AI$22&lt;&gt;""),Input!$B$22&amp;";",""),IF(AND($G32&lt;Hta_3,$G32&gt;=Hba_3,Input!AI$23&lt;&gt;""),Input!$B$23&amp;";",""),IF(AND($G32&lt;Hta_4,$G32&gt;=Hba_4,Input!AI$24&lt;&gt;""),Input!$B$24&amp;";",""),IF(AND($G32&lt;Hta_5,$G32&gt;=Hba_5,Input!AI$25&lt;&gt;""),Input!$B$25&amp;";",""),IF(AND($G32&lt;Hta_6,$G32&gt;=Hba_6,Input!AI$26&lt;&gt;""),Input!$B$26&amp;";",""),IF(AND($G32&lt;Hta_7,$G32&gt;=Hba_7,Input!AI$27&lt;&gt;""),Input!$B$27&amp;";",""),IF(AND($G32&lt;Hta_8,$G32&gt;=Hba_8,Input!AI$28&lt;&gt;""),Input!$B$28&amp;";",""),IF(AND($G32&lt;Hta_9,$G32&gt;=Hba_9,Input!AI$29&lt;&gt;""),Input!$B$29&amp;";",""),IF(AND($G32&lt;Hta_10,$G32&gt;=Hba_10,Input!AI$30&lt;&gt;""),Input!$B$30&amp;";",""),IF(AND($G32&lt;Hta_11,$G32&gt;=Hba_11,Input!AI$31&lt;&gt;""),Input!$B$31&amp;";",""),IF(AND($G32&lt;Hta_12,$G32&gt;=Hba_12,Input!AI$32&lt;&gt;""),Input!$B$32&amp;";",""),IF(AND($G32&lt;Hta_13,$G32&gt;=Hba_13,Input!AI$33&lt;&gt;""),Input!$B$33&amp;";",""),IF(AND($G32&lt;Hta_14,$G32&gt;=Hba_14,Input!AI$34&lt;&gt;""),Input!$B$34&amp;";",""),IF(AND($G32&lt;Hta_15,$G32&gt;=Hba_15,Input!AI$35&lt;&gt;""),Input!$B$35&amp;";",""),IF(AND($G32&lt;Hta_16,$G32&gt;=Hba_16,Input!AI$36&lt;&gt;""),Input!$B$36&amp;";",""),IF(AND($G32&lt;Hta_17,$G32&gt;=Hba_17,Input!AI$37&lt;&gt;""),Input!$B$37&amp;";",""),IF(AND($G32&lt;Hta_18,$G32&gt;=Hba_18,Input!AI$38&lt;&gt;""),Input!$B$38&amp;";",""),IF(AND($G32&lt;Hta_19,$G32&gt;=Hba_19,Input!AI$39&lt;&gt;""),Input!$B$39&amp;";",""),IF(AND($G32&lt;Hta_20,$G32&gt;=Hba_20,Input!AI$40&lt;&gt;""),Input!$B$40&amp;";",""),IF(AND($G32&lt;Hta_21,$G32&gt;=Hba_21,Input!AI$41&lt;&gt;""),Input!$B$41&amp;";",""),IF(AND($G32&lt;Hta_22,$G32&gt;=Hba_22,Input!AI$42&lt;&gt;""),Input!$B$42&amp;";",""),IF(AND($G32&lt;Hta_23,$G32&gt;=Hba_23,Input!AI$43&lt;&gt;""),Input!$B$43&amp;";",""),IF(AND($G32&lt;Hta_24,$G32&gt;=Hba_24,Input!AI$44&lt;&gt;""),Input!$B$44&amp;";",""),IF(AND($G32&lt;Hta_25,$G32&gt;=Hba_25,Input!AI$45&lt;&gt;""),Input!$B$45&amp;";",""),IF(AND($G32&lt;Hta_26,$G32&gt;=Hba_26,Input!AI$46&lt;&gt;""),Input!$B$46&amp;";",""),IF(AND($G32&lt;Hta_27,$G32&gt;=Hba_27,Input!AI$47&lt;&gt;""),Input!$B$47&amp;";",""),IF(AND($G32&lt;Hta_28,$G32&gt;=Hba_28,Input!AI$48&lt;&gt;""),Input!$B$48&amp;";",""),IF(AND($G32&lt;Hta_29,$G32&gt;=Hba_29,Input!AI$49&lt;&gt;""),Input!$B$49&amp;";",""),IF(AND($G32&lt;Hta_30,$G32&gt;=Hba_30,Input!AI$50&lt;&gt;""),Input!$B$50&amp;";","")),"")</f>
        <v/>
      </c>
      <c r="CK32" s="25" t="str">
        <f>IFERROR(CONCATENATE(IF(AND($G32&lt;Hta_1,$G32&gt;=Hba_1,Input!AJ$21&lt;&gt;""),Input!$B$21&amp;";",""),IF(AND($G32&lt;Hta_2,$G32&gt;=Hba_2,Input!AJ$22&lt;&gt;""),Input!$B$22&amp;";",""),IF(AND($G32&lt;Hta_3,$G32&gt;=Hba_3,Input!AJ$23&lt;&gt;""),Input!$B$23&amp;";",""),IF(AND($G32&lt;Hta_4,$G32&gt;=Hba_4,Input!AJ$24&lt;&gt;""),Input!$B$24&amp;";",""),IF(AND($G32&lt;Hta_5,$G32&gt;=Hba_5,Input!AJ$25&lt;&gt;""),Input!$B$25&amp;";",""),IF(AND($G32&lt;Hta_6,$G32&gt;=Hba_6,Input!AJ$26&lt;&gt;""),Input!$B$26&amp;";",""),IF(AND($G32&lt;Hta_7,$G32&gt;=Hba_7,Input!AJ$27&lt;&gt;""),Input!$B$27&amp;";",""),IF(AND($G32&lt;Hta_8,$G32&gt;=Hba_8,Input!AJ$28&lt;&gt;""),Input!$B$28&amp;";",""),IF(AND($G32&lt;Hta_9,$G32&gt;=Hba_9,Input!AJ$29&lt;&gt;""),Input!$B$29&amp;";",""),IF(AND($G32&lt;Hta_10,$G32&gt;=Hba_10,Input!AJ$30&lt;&gt;""),Input!$B$30&amp;";",""),IF(AND($G32&lt;Hta_11,$G32&gt;=Hba_11,Input!AJ$31&lt;&gt;""),Input!$B$31&amp;";",""),IF(AND($G32&lt;Hta_12,$G32&gt;=Hba_12,Input!AJ$32&lt;&gt;""),Input!$B$32&amp;";",""),IF(AND($G32&lt;Hta_13,$G32&gt;=Hba_13,Input!AJ$33&lt;&gt;""),Input!$B$33&amp;";",""),IF(AND($G32&lt;Hta_14,$G32&gt;=Hba_14,Input!AJ$34&lt;&gt;""),Input!$B$34&amp;";",""),IF(AND($G32&lt;Hta_15,$G32&gt;=Hba_15,Input!AJ$35&lt;&gt;""),Input!$B$35&amp;";",""),IF(AND($G32&lt;Hta_16,$G32&gt;=Hba_16,Input!AJ$36&lt;&gt;""),Input!$B$36&amp;";",""),IF(AND($G32&lt;Hta_17,$G32&gt;=Hba_17,Input!AJ$37&lt;&gt;""),Input!$B$37&amp;";",""),IF(AND($G32&lt;Hta_18,$G32&gt;=Hba_18,Input!AJ$38&lt;&gt;""),Input!$B$38&amp;";",""),IF(AND($G32&lt;Hta_19,$G32&gt;=Hba_19,Input!AJ$39&lt;&gt;""),Input!$B$39&amp;";",""),IF(AND($G32&lt;Hta_20,$G32&gt;=Hba_20,Input!AJ$40&lt;&gt;""),Input!$B$40&amp;";",""),IF(AND($G32&lt;Hta_21,$G32&gt;=Hba_21,Input!AJ$41&lt;&gt;""),Input!$B$41&amp;";",""),IF(AND($G32&lt;Hta_22,$G32&gt;=Hba_22,Input!AJ$42&lt;&gt;""),Input!$B$42&amp;";",""),IF(AND($G32&lt;Hta_23,$G32&gt;=Hba_23,Input!AJ$43&lt;&gt;""),Input!$B$43&amp;";",""),IF(AND($G32&lt;Hta_24,$G32&gt;=Hba_24,Input!AJ$44&lt;&gt;""),Input!$B$44&amp;";",""),IF(AND($G32&lt;Hta_25,$G32&gt;=Hba_25,Input!AJ$45&lt;&gt;""),Input!$B$45&amp;";",""),IF(AND($G32&lt;Hta_26,$G32&gt;=Hba_26,Input!AJ$46&lt;&gt;""),Input!$B$46&amp;";",""),IF(AND($G32&lt;Hta_27,$G32&gt;=Hba_27,Input!AJ$47&lt;&gt;""),Input!$B$47&amp;";",""),IF(AND($G32&lt;Hta_28,$G32&gt;=Hba_28,Input!AJ$48&lt;&gt;""),Input!$B$48&amp;";",""),IF(AND($G32&lt;Hta_29,$G32&gt;=Hba_29,Input!AJ$49&lt;&gt;""),Input!$B$49&amp;";",""),IF(AND($G32&lt;Hta_30,$G32&gt;=Hba_30,Input!AJ$50&lt;&gt;""),Input!$B$50&amp;";","")),"")</f>
        <v/>
      </c>
      <c r="CL32" s="25" t="str">
        <f>IFERROR(CONCATENATE(IF(AND($G32&lt;Hta_1,$G32&gt;=Hba_1,Input!AK$21&lt;&gt;""),Input!$B$21&amp;";",""),IF(AND($G32&lt;Hta_2,$G32&gt;=Hba_2,Input!AK$22&lt;&gt;""),Input!$B$22&amp;";",""),IF(AND($G32&lt;Hta_3,$G32&gt;=Hba_3,Input!AK$23&lt;&gt;""),Input!$B$23&amp;";",""),IF(AND($G32&lt;Hta_4,$G32&gt;=Hba_4,Input!AK$24&lt;&gt;""),Input!$B$24&amp;";",""),IF(AND($G32&lt;Hta_5,$G32&gt;=Hba_5,Input!AK$25&lt;&gt;""),Input!$B$25&amp;";",""),IF(AND($G32&lt;Hta_6,$G32&gt;=Hba_6,Input!AK$26&lt;&gt;""),Input!$B$26&amp;";",""),IF(AND($G32&lt;Hta_7,$G32&gt;=Hba_7,Input!AK$27&lt;&gt;""),Input!$B$27&amp;";",""),IF(AND($G32&lt;Hta_8,$G32&gt;=Hba_8,Input!AK$28&lt;&gt;""),Input!$B$28&amp;";",""),IF(AND($G32&lt;Hta_9,$G32&gt;=Hba_9,Input!AK$29&lt;&gt;""),Input!$B$29&amp;";",""),IF(AND($G32&lt;Hta_10,$G32&gt;=Hba_10,Input!AK$30&lt;&gt;""),Input!$B$30&amp;";",""),IF(AND($G32&lt;Hta_11,$G32&gt;=Hba_11,Input!AK$31&lt;&gt;""),Input!$B$31&amp;";",""),IF(AND($G32&lt;Hta_12,$G32&gt;=Hba_12,Input!AK$32&lt;&gt;""),Input!$B$32&amp;";",""),IF(AND($G32&lt;Hta_13,$G32&gt;=Hba_13,Input!AK$33&lt;&gt;""),Input!$B$33&amp;";",""),IF(AND($G32&lt;Hta_14,$G32&gt;=Hba_14,Input!AK$34&lt;&gt;""),Input!$B$34&amp;";",""),IF(AND($G32&lt;Hta_15,$G32&gt;=Hba_15,Input!AK$35&lt;&gt;""),Input!$B$35&amp;";",""),IF(AND($G32&lt;Hta_16,$G32&gt;=Hba_16,Input!AK$36&lt;&gt;""),Input!$B$36&amp;";",""),IF(AND($G32&lt;Hta_17,$G32&gt;=Hba_17,Input!AK$37&lt;&gt;""),Input!$B$37&amp;";",""),IF(AND($G32&lt;Hta_18,$G32&gt;=Hba_18,Input!AK$38&lt;&gt;""),Input!$B$38&amp;";",""),IF(AND($G32&lt;Hta_19,$G32&gt;=Hba_19,Input!AK$39&lt;&gt;""),Input!$B$39&amp;";",""),IF(AND($G32&lt;Hta_20,$G32&gt;=Hba_20,Input!AK$40&lt;&gt;""),Input!$B$40&amp;";",""),IF(AND($G32&lt;Hta_21,$G32&gt;=Hba_21,Input!AK$41&lt;&gt;""),Input!$B$41&amp;";",""),IF(AND($G32&lt;Hta_22,$G32&gt;=Hba_22,Input!AK$42&lt;&gt;""),Input!$B$42&amp;";",""),IF(AND($G32&lt;Hta_23,$G32&gt;=Hba_23,Input!AK$43&lt;&gt;""),Input!$B$43&amp;";",""),IF(AND($G32&lt;Hta_24,$G32&gt;=Hba_24,Input!AK$44&lt;&gt;""),Input!$B$44&amp;";",""),IF(AND($G32&lt;Hta_25,$G32&gt;=Hba_25,Input!AK$45&lt;&gt;""),Input!$B$45&amp;";",""),IF(AND($G32&lt;Hta_26,$G32&gt;=Hba_26,Input!AK$46&lt;&gt;""),Input!$B$46&amp;";",""),IF(AND($G32&lt;Hta_27,$G32&gt;=Hba_27,Input!AK$47&lt;&gt;""),Input!$B$47&amp;";",""),IF(AND($G32&lt;Hta_28,$G32&gt;=Hba_28,Input!AK$48&lt;&gt;""),Input!$B$48&amp;";",""),IF(AND($G32&lt;Hta_29,$G32&gt;=Hba_29,Input!AK$49&lt;&gt;""),Input!$B$49&amp;";",""),IF(AND($G32&lt;Hta_30,$G32&gt;=Hba_30,Input!AK$50&lt;&gt;""),Input!$B$50&amp;";","")),"")</f>
        <v/>
      </c>
      <c r="CM32" s="25" t="str">
        <f>IFERROR(CONCATENATE(IF(AND($G32&lt;Hta_1,$G32&gt;=Hba_1,Input!AL$21&lt;&gt;""),Input!$B$21&amp;";",""),IF(AND($G32&lt;Hta_2,$G32&gt;=Hba_2,Input!AL$22&lt;&gt;""),Input!$B$22&amp;";",""),IF(AND($G32&lt;Hta_3,$G32&gt;=Hba_3,Input!AL$23&lt;&gt;""),Input!$B$23&amp;";",""),IF(AND($G32&lt;Hta_4,$G32&gt;=Hba_4,Input!AL$24&lt;&gt;""),Input!$B$24&amp;";",""),IF(AND($G32&lt;Hta_5,$G32&gt;=Hba_5,Input!AL$25&lt;&gt;""),Input!$B$25&amp;";",""),IF(AND($G32&lt;Hta_6,$G32&gt;=Hba_6,Input!AL$26&lt;&gt;""),Input!$B$26&amp;";",""),IF(AND($G32&lt;Hta_7,$G32&gt;=Hba_7,Input!AL$27&lt;&gt;""),Input!$B$27&amp;";",""),IF(AND($G32&lt;Hta_8,$G32&gt;=Hba_8,Input!AL$28&lt;&gt;""),Input!$B$28&amp;";",""),IF(AND($G32&lt;Hta_9,$G32&gt;=Hba_9,Input!AL$29&lt;&gt;""),Input!$B$29&amp;";",""),IF(AND($G32&lt;Hta_10,$G32&gt;=Hba_10,Input!AL$30&lt;&gt;""),Input!$B$30&amp;";",""),IF(AND($G32&lt;Hta_11,$G32&gt;=Hba_11,Input!AL$31&lt;&gt;""),Input!$B$31&amp;";",""),IF(AND($G32&lt;Hta_12,$G32&gt;=Hba_12,Input!AL$32&lt;&gt;""),Input!$B$32&amp;";",""),IF(AND($G32&lt;Hta_13,$G32&gt;=Hba_13,Input!AL$33&lt;&gt;""),Input!$B$33&amp;";",""),IF(AND($G32&lt;Hta_14,$G32&gt;=Hba_14,Input!AL$34&lt;&gt;""),Input!$B$34&amp;";",""),IF(AND($G32&lt;Hta_15,$G32&gt;=Hba_15,Input!AL$35&lt;&gt;""),Input!$B$35&amp;";",""),IF(AND($G32&lt;Hta_16,$G32&gt;=Hba_16,Input!AL$36&lt;&gt;""),Input!$B$36&amp;";",""),IF(AND($G32&lt;Hta_17,$G32&gt;=Hba_17,Input!AL$37&lt;&gt;""),Input!$B$37&amp;";",""),IF(AND($G32&lt;Hta_18,$G32&gt;=Hba_18,Input!AL$38&lt;&gt;""),Input!$B$38&amp;";",""),IF(AND($G32&lt;Hta_19,$G32&gt;=Hba_19,Input!AL$39&lt;&gt;""),Input!$B$39&amp;";",""),IF(AND($G32&lt;Hta_20,$G32&gt;=Hba_20,Input!AL$40&lt;&gt;""),Input!$B$40&amp;";",""),IF(AND($G32&lt;Hta_21,$G32&gt;=Hba_21,Input!AL$41&lt;&gt;""),Input!$B$41&amp;";",""),IF(AND($G32&lt;Hta_22,$G32&gt;=Hba_22,Input!AL$42&lt;&gt;""),Input!$B$42&amp;";",""),IF(AND($G32&lt;Hta_23,$G32&gt;=Hba_23,Input!AL$43&lt;&gt;""),Input!$B$43&amp;";",""),IF(AND($G32&lt;Hta_24,$G32&gt;=Hba_24,Input!AL$44&lt;&gt;""),Input!$B$44&amp;";",""),IF(AND($G32&lt;Hta_25,$G32&gt;=Hba_25,Input!AL$45&lt;&gt;""),Input!$B$45&amp;";",""),IF(AND($G32&lt;Hta_26,$G32&gt;=Hba_26,Input!AL$46&lt;&gt;""),Input!$B$46&amp;";",""),IF(AND($G32&lt;Hta_27,$G32&gt;=Hba_27,Input!AL$47&lt;&gt;""),Input!$B$47&amp;";",""),IF(AND($G32&lt;Hta_28,$G32&gt;=Hba_28,Input!AL$48&lt;&gt;""),Input!$B$48&amp;";",""),IF(AND($G32&lt;Hta_29,$G32&gt;=Hba_29,Input!AL$49&lt;&gt;""),Input!$B$49&amp;";",""),IF(AND($G32&lt;Hta_30,$G32&gt;=Hba_30,Input!AL$50&lt;&gt;""),Input!$B$50&amp;";","")),"")</f>
        <v/>
      </c>
      <c r="CN32" s="59" t="str">
        <f t="shared" si="6"/>
        <v/>
      </c>
      <c r="CO32" s="791"/>
      <c r="CP32" s="792"/>
      <c r="CQ32" s="793"/>
      <c r="CR32" s="791"/>
      <c r="CS32" s="792"/>
      <c r="CT32" s="793"/>
      <c r="CU32" s="791" t="str">
        <f t="shared" si="7"/>
        <v/>
      </c>
      <c r="CV32" s="792"/>
      <c r="CW32" s="807"/>
      <c r="CX32" s="808"/>
      <c r="CY32" s="730"/>
      <c r="CZ32" s="809"/>
      <c r="DA32" s="733"/>
      <c r="DB32" s="734"/>
      <c r="DC32" s="735"/>
      <c r="DD32" s="729" t="str">
        <f t="shared" si="8"/>
        <v/>
      </c>
      <c r="DE32" s="730"/>
      <c r="DF32" s="731"/>
      <c r="DG32" s="55"/>
      <c r="DH32" s="56"/>
      <c r="DI32" s="56"/>
      <c r="DJ32" s="56"/>
      <c r="DK32" s="56"/>
      <c r="DL32" s="56"/>
      <c r="DM32" s="56"/>
      <c r="DN32" s="56"/>
      <c r="DO32" s="56"/>
      <c r="DP32" s="56"/>
      <c r="DQ32" s="58"/>
      <c r="DR32" s="58"/>
      <c r="DS32" s="58"/>
      <c r="DT32" s="58"/>
      <c r="DU32" s="58"/>
      <c r="DV32" s="58"/>
      <c r="DW32" s="58"/>
      <c r="DX32" s="58"/>
      <c r="DY32" s="58"/>
      <c r="DZ32" s="58"/>
      <c r="EA32" s="58"/>
      <c r="EB32" s="58"/>
      <c r="EC32" s="58"/>
      <c r="ED32" s="58"/>
      <c r="EE32" s="58"/>
      <c r="EF32" s="58"/>
      <c r="EG32" s="58"/>
      <c r="EH32" s="58"/>
      <c r="EI32" s="58"/>
      <c r="EJ32" s="58"/>
      <c r="EK32" s="58"/>
      <c r="EL32" s="134"/>
      <c r="EM32" s="134"/>
      <c r="EN32" s="134"/>
      <c r="EO32" s="134"/>
      <c r="EP32" s="134"/>
      <c r="EQ32" s="134"/>
      <c r="ER32" s="134"/>
      <c r="ES32" s="134"/>
      <c r="ET32" s="134"/>
      <c r="EU32" s="134"/>
      <c r="EV32" s="134"/>
      <c r="EW32" s="134"/>
      <c r="EX32" s="134"/>
      <c r="EY32" s="134"/>
      <c r="EZ32" s="134"/>
      <c r="FA32" s="134"/>
      <c r="FB32" s="134"/>
      <c r="FC32" s="134"/>
      <c r="FD32" s="134"/>
      <c r="FE32" s="134"/>
      <c r="FF32" s="134"/>
      <c r="FG32" s="134"/>
      <c r="FH32" s="134"/>
      <c r="FI32" s="134"/>
      <c r="FJ32" s="134"/>
      <c r="FK32" s="134"/>
      <c r="FL32" s="134"/>
      <c r="FM32" s="134"/>
      <c r="FN32" s="134"/>
      <c r="FO32" s="134"/>
      <c r="FP32" s="65"/>
      <c r="FQ32" s="124"/>
      <c r="FR32" s="122"/>
      <c r="FS32" s="120"/>
      <c r="FT32" s="119"/>
    </row>
    <row r="33" spans="2:176" ht="15.75" hidden="1" customHeight="1" thickBot="1" x14ac:dyDescent="0.3">
      <c r="B33" s="62" t="b">
        <f>IF(OR(AND(G33&gt;='Geometry 2'!$AK$5,G33&lt;'Geometry 2'!$AL$5),AND(G33&gt;='Geometry 2'!$AK$6,G33&lt;'Geometry 2'!$AL$6),AND(G33&gt;='Geometry 2'!$AK$7,G33&lt;'Geometry 2'!$AL$7),AND(G33&gt;='Geometry 2'!$AK$8,G33&lt;'Geometry 2'!$AL$8),AND(G33&gt;='Geometry 2'!$AK$9,G33&lt;'Geometry 2'!$AL$9),AND(G33&gt;='Geometry 2'!$AK$10,G33&lt;'Geometry 2'!$AL$10),AND(G33&gt;='Geometry 2'!$AK$11,G33&lt;'Geometry 2'!$AL$11),AND(G33&gt;='Geometry 2'!$AK$12,G33&lt;'Geometry 2'!$AL$12),AND(G33&gt;='Geometry 2'!$AK$13,G33&lt;'Geometry 2'!$AL$13),AND(G33&gt;='Geometry 2'!$AK$14,G33&lt;'Geometry 2'!$AL$14)),TRUE,FALSE)</f>
        <v>0</v>
      </c>
      <c r="C33" s="4" t="str">
        <f t="shared" si="3"/>
        <v/>
      </c>
      <c r="D33" s="766" t="str">
        <f t="shared" si="4"/>
        <v/>
      </c>
      <c r="E33" s="767"/>
      <c r="F33" s="17" t="str">
        <f t="shared" si="2"/>
        <v/>
      </c>
      <c r="G33" s="768" t="str">
        <f>IF(D33="","",MAX(0,G32-IF(inc="n/a",999,inc),MAX(IF(G32&lt;=Hta_1,0,Hta_1),IF(G32&lt;=Hta_2,0,Hta_2),IF(G32&lt;=Hta_3,0,Hta_3),IF(G32&lt;=Hta_4,0,Hta_4),IF(G32&lt;=Hta_5,0,Hta_5),IF(G32&lt;=Hta_6,0,Hta_6),IF(G32&lt;=Hta_7,0,Hta_7),IF(G32&lt;=Hta_8,0,Hta_8),IF(G32&lt;=Hta_9,0,Hta_9),IF(G32&lt;=Hta_10,0,Hta_10),IF(G32&lt;=Hta_11,0,Hta_11),IF(G32&lt;=Hta_12,0,Hta_12),IF(G32&lt;=Hta_13,0,Hta_13),IF(G32&lt;=Hta_14,0,Hta_14),IF(G32&lt;=Hta_15,0,Hta_15),IF(G32&lt;=Hta_16,0,Hta_16),IF(G32&lt;=Hta_17,0,Hta_17),IF(G32&lt;=Hta_18,0,Hta_18),IF(G32&lt;=Hta_19,0,Hta_19),IF(G32&lt;=Hta_20,0,Hta_20),IF(G32&lt;=Hta_21,0,Hta_21),IF(G32&lt;=Hta_22,0,Hta_22),IF(G32&lt;=Hta_23,0,Hta_23),IF(G32&lt;=Hta_24,0,Hta_24),IF(G32&lt;=Hta_25,0,Hta_25),IF(G32&lt;=Hta_26,0,Hta_26),IF(G32&lt;=Hta_27,0,Hta_27),IF(G32&lt;=Hta_28,0,Hta_28),IF(G32&lt;=Hta_29,0,Hta_29),IF(G32&lt;=Hta_30,0,Hta_30)),MAX(IF(G32&lt;=Hta_1-0.25,0,Hta_1-0.25),IF(G32&lt;=Hta_2-0.25,0,Hta_2-0.25),IF(G32&lt;=Hta_3-0.25,0,Hta_3-0.25),IF(G32&lt;=Hta_4-0.25,0,Hta_4-0.25),IF(G32&lt;=Hta_5-0.25,0,Hta_5-0.25),IF(G32&lt;=Hta_6-0.25,0,Hta_6-0.25),IF(G32&lt;=Hta_7-0.25,0,Hta_7-0.25),IF(G32&lt;=Hta_8-0.25,0,Hta_8-0.25),IF(G32&lt;=Hta_9-0.25,0,Hta_9-0.25),IF(G32&lt;=Hta_10-0.25,0,Hta_10-0.25),IF(G32&lt;=Hta_11-0.25,0,Hta_11-0.25),IF(G32&lt;=Hta_12-0.25,0,Hta_12-0.25),IF(G32&lt;=Hta_13-0.25,0,Hta_13-0.25),IF(G32&lt;=Hta_14-0.25,0,Hta_14-0.25),IF(G32&lt;=Hta_15-0.25,0,Hta_15-0.25),IF(G32&lt;=Hta_16-0.25,0,Hta_16-0.25),IF(G32&lt;=Hta_17-0.25,0,Hta_17-0.25),IF(G32&lt;=Hta_18-0.25,0,Hta_18-0.25),IF(G32&lt;=Hta_19-0.25,0,Hta_19-0.25),IF(G32&lt;=Hta_20-0.25,0,Hta_20-0.25),IF(G32&lt;=Hta_21-0.25,0,Hta_21-0.25),IF(G32&lt;=Hta_22-0.25,0,Hta_22-0.25),IF(G32&lt;=Hta_23-0.25,0,Hta_23-0.25),IF(G32&lt;=Hta_24-0.25,0,Hta_24-0.25),IF(G32&lt;=Hta_25-0.25,0,Hta_25-0.25),IF(G32&lt;=Hta_26-0.25,0,Hta_26-0.25),IF(G32&lt;=Hta_27-0.25,0,Hta_27-0.25),IF(G32&lt;=Hta_28-0.25,0,Hta_28-0.25),IF(G32&lt;=Hta_29-0.25,0,Hta_29-0.25),IF(G32&lt;=Hta_30-0.25,0,Hta_30-0.25)),MAX(IF(G32&lt;=Hba_1,0,Hba_1),IF(G32&lt;=Hba_2,0,Hba_2),IF(G32&lt;=Hba_3,0,Hba_3),IF(G32&lt;=Hba_4,0,Hba_4),IF(G32&lt;=Hba_5,0,Hba_5),IF(G32&lt;=Hba_6,0,Hba_6),IF(G32&lt;=Hba_7,0,Hba_7),IF(G32&lt;=Hba_8,0,Hba_8),IF(G32&lt;=Hba_9,0,Hba_9),IF(G32&lt;=Hba_10,0,Hba_10),IF(G32&lt;=Hba_11,0,Hba_11),IF(G32&lt;=Hba_12,0,Hba_12),IF(G32&lt;=Hba_13,0,Hba_13),IF(G32&lt;=Hba_14,0,Hba_14),IF(G32&lt;=Hba_15,0,Hba_15),IF(G32&lt;=Hba_16,0,Hba_16),IF(G32&lt;=Hba_17,0,Hba_17),IF(G32&lt;=Hba_18,0,Hba_18),IF(G32&lt;=Hba_19,0,Hba_19),IF(G32&lt;=Hba_20,0,Hba_20),IF(G32&lt;=Hba_21,0,Hba_21),IF(G32&lt;=Hba_22,0,Hba_22),IF(G32&lt;=Hba_23,0,Hba_23),IF(G32&lt;=Hba_24,0,Hba_24),IF(G32&lt;=Hba_25,0,Hba_25),IF(G32&lt;=Hba_26,0,Hba_26),IF(G32&lt;=Hba_27,0,Hba_27),IF(G32&lt;=Hba_28,0,Hba_28),IF(G32&lt;=Hba_29,0,Hba_29),IF(G32&lt;=Hba_30,0,Hba_30)),MAX(IF(G32&lt;=Input!$C$8,0,Input!$C$8),IF(G32&lt;=Input!$C$9,0,Input!$C$9),IF(G32&lt;=Input!$C$10,0,Input!$C$10),IF(G32&lt;=Input!$C$11,0,Input!$C$11),IF(G32&lt;=Input!$C$12,0,Input!$C$12),IF(G32&lt;=Input!$C$13,0,Input!$C$13),IF(G32&lt;=Input!$C$14,0,Input!$C$14),IF(G32&lt;=Input!$C$15,0,Input!$C$15),IF(G32&lt;=Input!$C$16,0,Input!$C$16)),MAX(IF(G32&lt;=Hba_1-0.25,0,Hba_1-0.25),IF(G32&lt;=Hba_2-0.25,0,Hba_2-0.25),IF(G32&lt;=Hba_3-0.25,0,Hba_3-0.25),IF(G32&lt;=Hba_4-0.25,0,Hba_4-0.25),IF(G32&lt;=Hba_5-0.25,0,Hba_5-0.25),IF(G32&lt;=Hba_6-0.25,0,Hba_6-0.25),IF(G32&lt;=Hba_7-0.25,0,Hba_7-0.25),IF(G32&lt;=Hba_8-0.25,0,Hba_8-0.25),IF(G32&lt;=Hba_9-0.25,0,Hba_9-0.25),IF(G32&lt;=Hba_10-0.25,0,Hba_10-0.25),IF(G32&lt;=Hba_11-0.25,0,Hba_11-0.25),IF(G32&lt;=Hba_12-0.25,0,Hba_12-0.25),IF(G32&lt;=Hba_13-0.25,0,Hba_13-0.25),IF(G32&lt;=Hba_14-0.25,0,Hba_14-0.25),IF(G32&lt;=Hba_15-0.25,0,Hba_15-0.25),IF(G32&lt;=Hba_16-0.25,0,Hba_16-0.25),IF(G32&lt;=Hba_17-0.25,0,Hba_17-0.25),IF(G32&lt;=Hba_18-0.25,0,Hba_18-0.25),IF(G32&lt;=Hba_19-0.25,0,Hba_19-0.25),IF(G32&lt;=Hba_20-0.25,0,Hba_20-0.25),IF(G32&lt;=Hba_21-0.25,0,Hba_21-0.25),IF(G32&lt;=Hba_22-0.25,0,Hba_22-0.25),IF(G32&lt;=Hba_23-0.25,0,Hba_23-0.25),IF(G32&lt;=Hba_24-0.25,0,Hba_24-0.25),IF(G32&lt;=Hba_25-0.25,0,Hba_25-0.25),IF(G32&lt;=Hba_26-0.25,0,Hba_26-0.25),IF(G32&lt;=Hba_27-0.25,0,Hba_27-0.25),IF(G32&lt;=Hba_28-0.25,0,Hba_28-0.25),IF(G32&lt;=Hba_29-0.25,0,Hba_29-0.25),IF(G32&lt;=Hba_30-0.25,0,Hba_30-0.25)),IF(G32&lt;='Macro References'!$A$38,0,'Macro References'!$A$38)))</f>
        <v/>
      </c>
      <c r="H33" s="769"/>
      <c r="I33" s="228"/>
      <c r="J33" s="228"/>
      <c r="K33" s="228"/>
      <c r="L33" s="717" t="str">
        <f t="shared" si="0"/>
        <v/>
      </c>
      <c r="M33" s="717"/>
      <c r="N33" s="717"/>
      <c r="O33" s="717"/>
      <c r="P33" s="717" t="str">
        <f>IF(OR(G33=0,G33=""),"",IF(VLOOKUP(G33,'Geometry 2'!$C$4:$AI$14,1,TRUE)=VLOOKUP(G34,'Geometry 2'!$C$4:$AI$14,1,TRUE),"",IF(VLOOKUP(G33,'Geometry 2'!$C$4:$AI$14,33,TRUE)&lt;&gt;"n/a",MIN(G33,VLOOKUP(G33,'Geometry 2'!$C$4:$AI$14,1,TRUE))-VLOOKUP(G33,'Geometry 2'!$C$4:$AI$14,33,TRUE),"check")))</f>
        <v/>
      </c>
      <c r="Q33" s="717"/>
      <c r="R33" s="717"/>
      <c r="S33" s="717"/>
      <c r="T33" s="717" t="str">
        <f>IF($G33="","",VLOOKUP($G33,'Geometry 2'!$E$4:$AH$14,11,TRUE))</f>
        <v/>
      </c>
      <c r="U33" s="717"/>
      <c r="V33" s="717"/>
      <c r="W33" s="717"/>
      <c r="X33" s="716" t="str">
        <f>IF($G33="","",VLOOKUP($G33,'Geometry 2'!$E$4:$AJ$14,19,TRUE)-12*VLOOKUP($G33,'Geometry 2'!$E$4:$AJ$14,32,TRUE)*($D33-VLOOKUP($G33,'Geometry 2'!$E$5:$AH$14,1,TRUE)))</f>
        <v/>
      </c>
      <c r="Y33" s="716"/>
      <c r="Z33" s="716"/>
      <c r="AA33" s="716"/>
      <c r="AB33" s="757" t="str">
        <f>IF($G33="","",VLOOKUP($G33,'Geometry 2'!$E$4:$AJ$14,19,TRUE)-12*VLOOKUP($G33,'Geometry 2'!$E$4:$AJ$14,32,TRUE)*($G33-VLOOKUP($G33,'Geometry 2'!$E$5:$AH$14,1,TRUE)))</f>
        <v/>
      </c>
      <c r="AC33" s="758"/>
      <c r="AD33" s="758"/>
      <c r="AE33" s="759"/>
      <c r="AF33" s="716" t="str">
        <f>IF($G33="","",VLOOKUP($G33,'Geometry 2'!$E$4:$AJ$14,19,TRUE)-12*VLOOKUP($G33,'Geometry 2'!$E$4:$AJ$14,32,TRUE)*($G33-IF($P33="",0,$P33)-VLOOKUP($G33,'Geometry 2'!$E$5:$AH$14,1,TRUE)))</f>
        <v/>
      </c>
      <c r="AG33" s="716"/>
      <c r="AH33" s="716"/>
      <c r="AI33" s="716"/>
      <c r="AJ33" s="746" t="str">
        <f>IF($G33="","",VLOOKUP($G33,'Geometry 2'!$E$4:$AH$14,23,TRUE))</f>
        <v/>
      </c>
      <c r="AK33" s="747"/>
      <c r="AL33" s="747"/>
      <c r="AM33" s="748"/>
      <c r="AN33" s="717"/>
      <c r="AO33" s="717"/>
      <c r="AP33" s="717"/>
      <c r="AQ33" s="717"/>
      <c r="AR33" s="717" t="str">
        <f>IF($G33="","",VLOOKUP($G33,'Geometry 2'!$E$4:$AH$14,27,TRUE))</f>
        <v/>
      </c>
      <c r="AS33" s="717"/>
      <c r="AT33" s="717"/>
      <c r="AU33" s="718"/>
      <c r="AV33" s="715"/>
      <c r="AW33" s="716"/>
      <c r="AX33" s="716"/>
      <c r="AZ33" s="722" t="str">
        <f t="shared" si="5"/>
        <v/>
      </c>
      <c r="BA33" s="723"/>
      <c r="BB33" s="723"/>
      <c r="BC33" s="724"/>
      <c r="BD33" s="722"/>
      <c r="BE33" s="723"/>
      <c r="BF33" s="723"/>
      <c r="BG33" s="722" t="str">
        <f t="shared" si="9"/>
        <v/>
      </c>
      <c r="BH33" s="723"/>
      <c r="BI33" s="723"/>
      <c r="BJ33" s="723"/>
      <c r="BK33" s="724"/>
      <c r="BL33" s="722"/>
      <c r="BM33" s="723"/>
      <c r="BN33" s="723"/>
      <c r="BO33" s="723"/>
      <c r="BP33" s="725"/>
      <c r="BQ33" s="725"/>
      <c r="BR33" s="722" t="str">
        <f>IF(BP33="","",IF(OR(AND(Rev="H",Calculations!$F$27=TRUE),AND(Rev&lt;&gt;"H",Calculations!$F$30=TRUE)),IF(BP33&lt;=1,"Pass","Fail"),IF(BP33&lt;=1.05,"Pass","Fail")))</f>
        <v/>
      </c>
      <c r="BS33" s="723"/>
      <c r="BT33" s="724"/>
      <c r="BU33" s="49"/>
      <c r="BV33" s="25" t="str">
        <f>IFERROR(CONCATENATE(IF(AND($G33&lt;Hta_1,$G33&gt;=Hba_1,Input!U$21&lt;&gt;""),Input!$B$21&amp;";",""),IF(AND($G33&lt;Hta_2,$G33&gt;=Hba_2,Input!U$22&lt;&gt;""),Input!$B$22&amp;";",""),IF(AND($G33&lt;Hta_3,$G33&gt;=Hba_3,Input!U$23&lt;&gt;""),Input!$B$23&amp;";",""),IF(AND($G33&lt;Hta_4,$G33&gt;=Hba_4,Input!U$24&lt;&gt;""),Input!$B$24&amp;";",""),IF(AND($G33&lt;Hta_5,$G33&gt;=Hba_5,Input!U$25&lt;&gt;""),Input!$B$25&amp;";",""),IF(AND($G33&lt;Hta_6,$G33&gt;=Hba_6,Input!U$26&lt;&gt;""),Input!$B$26&amp;";",""),IF(AND($G33&lt;Hta_7,$G33&gt;=Hba_7,Input!U$27&lt;&gt;""),Input!$B$27&amp;";",""),IF(AND($G33&lt;Hta_8,$G33&gt;=Hba_8,Input!U$28&lt;&gt;""),Input!$B$28&amp;";",""),IF(AND($G33&lt;Hta_9,$G33&gt;=Hba_9,Input!U$29&lt;&gt;""),Input!$B$29&amp;";",""),IF(AND($G33&lt;Hta_10,$G33&gt;=Hba_10,Input!U$30&lt;&gt;""),Input!$B$30&amp;";",""),IF(AND($G33&lt;Hta_11,$G33&gt;=Hba_11,Input!U$31&lt;&gt;""),Input!$B$31&amp;";",""),IF(AND($G33&lt;Hta_12,$G33&gt;=Hba_12,Input!U$32&lt;&gt;""),Input!$B$32&amp;";",""),IF(AND($G33&lt;Hta_13,$G33&gt;=Hba_13,Input!U$33&lt;&gt;""),Input!$B$33&amp;";",""),IF(AND($G33&lt;Hta_14,$G33&gt;=Hba_14,Input!U$34&lt;&gt;""),Input!$B$34&amp;";",""),IF(AND($G33&lt;Hta_15,$G33&gt;=Hba_15,Input!U$35&lt;&gt;""),Input!$B$35&amp;";",""),IF(AND($G33&lt;Hta_16,$G33&gt;=Hba_16,Input!U$36&lt;&gt;""),Input!$B$36&amp;";",""),IF(AND($G33&lt;Hta_17,$G33&gt;=Hba_17,Input!U$37&lt;&gt;""),Input!$B$37&amp;";",""),IF(AND($G33&lt;Hta_18,$G33&gt;=Hba_18,Input!U$38&lt;&gt;""),Input!$B$38&amp;";",""),IF(AND($G33&lt;Hta_19,$G33&gt;=Hba_19,Input!U$39&lt;&gt;""),Input!$B$39&amp;";",""),IF(AND($G33&lt;Hta_20,$G33&gt;=Hba_20,Input!U$40&lt;&gt;""),Input!$B$40&amp;";",""),IF(AND($G33&lt;Hta_21,$G33&gt;=Hba_21,Input!U$41&lt;&gt;""),Input!$B$41&amp;";",""),IF(AND($G33&lt;Hta_22,$G33&gt;=Hba_22,Input!U$42&lt;&gt;""),Input!$B$42&amp;";",""),IF(AND($G33&lt;Hta_23,$G33&gt;=Hba_23,Input!U$43&lt;&gt;""),Input!$B$43&amp;";",""),IF(AND($G33&lt;Hta_24,$G33&gt;=Hba_24,Input!U$44&lt;&gt;""),Input!$B$44&amp;";",""),IF(AND($G33&lt;Hta_25,$G33&gt;=Hba_25,Input!U$45&lt;&gt;""),Input!$B$45&amp;";",""),IF(AND($G33&lt;Hta_26,$G33&gt;=Hba_26,Input!U$46&lt;&gt;""),Input!$B$46&amp;";",""),IF(AND($G33&lt;Hta_27,$G33&gt;=Hba_27,Input!U$47&lt;&gt;""),Input!$B$47&amp;";",""),IF(AND($G33&lt;Hta_28,$G33&gt;=Hba_28,Input!U$48&lt;&gt;""),Input!$B$48&amp;";",""),IF(AND($G33&lt;Hta_29,$G33&gt;=Hba_29,Input!U$49&lt;&gt;""),Input!$B$49&amp;";",""),IF(AND($G33&lt;Hta_30,$G33&gt;=Hba_30,Input!U$50&lt;&gt;""),Input!$B$50&amp;";","")),"")</f>
        <v/>
      </c>
      <c r="BW33" s="25" t="str">
        <f>IFERROR(CONCATENATE(IF(AND($G33&lt;Hta_1,$G33&gt;=Hba_1,Input!V$21&lt;&gt;""),Input!$B$21&amp;";",""),IF(AND($G33&lt;Hta_2,$G33&gt;=Hba_2,Input!V$22&lt;&gt;""),Input!$B$22&amp;";",""),IF(AND($G33&lt;Hta_3,$G33&gt;=Hba_3,Input!V$23&lt;&gt;""),Input!$B$23&amp;";",""),IF(AND($G33&lt;Hta_4,$G33&gt;=Hba_4,Input!V$24&lt;&gt;""),Input!$B$24&amp;";",""),IF(AND($G33&lt;Hta_5,$G33&gt;=Hba_5,Input!V$25&lt;&gt;""),Input!$B$25&amp;";",""),IF(AND($G33&lt;Hta_6,$G33&gt;=Hba_6,Input!V$26&lt;&gt;""),Input!$B$26&amp;";",""),IF(AND($G33&lt;Hta_7,$G33&gt;=Hba_7,Input!V$27&lt;&gt;""),Input!$B$27&amp;";",""),IF(AND($G33&lt;Hta_8,$G33&gt;=Hba_8,Input!V$28&lt;&gt;""),Input!$B$28&amp;";",""),IF(AND($G33&lt;Hta_9,$G33&gt;=Hba_9,Input!V$29&lt;&gt;""),Input!$B$29&amp;";",""),IF(AND($G33&lt;Hta_10,$G33&gt;=Hba_10,Input!V$30&lt;&gt;""),Input!$B$30&amp;";",""),IF(AND($G33&lt;Hta_11,$G33&gt;=Hba_11,Input!V$31&lt;&gt;""),Input!$B$31&amp;";",""),IF(AND($G33&lt;Hta_12,$G33&gt;=Hba_12,Input!V$32&lt;&gt;""),Input!$B$32&amp;";",""),IF(AND($G33&lt;Hta_13,$G33&gt;=Hba_13,Input!V$33&lt;&gt;""),Input!$B$33&amp;";",""),IF(AND($G33&lt;Hta_14,$G33&gt;=Hba_14,Input!V$34&lt;&gt;""),Input!$B$34&amp;";",""),IF(AND($G33&lt;Hta_15,$G33&gt;=Hba_15,Input!V$35&lt;&gt;""),Input!$B$35&amp;";",""),IF(AND($G33&lt;Hta_16,$G33&gt;=Hba_16,Input!V$36&lt;&gt;""),Input!$B$36&amp;";",""),IF(AND($G33&lt;Hta_17,$G33&gt;=Hba_17,Input!V$37&lt;&gt;""),Input!$B$37&amp;";",""),IF(AND($G33&lt;Hta_18,$G33&gt;=Hba_18,Input!V$38&lt;&gt;""),Input!$B$38&amp;";",""),IF(AND($G33&lt;Hta_19,$G33&gt;=Hba_19,Input!V$39&lt;&gt;""),Input!$B$39&amp;";",""),IF(AND($G33&lt;Hta_20,$G33&gt;=Hba_20,Input!V$40&lt;&gt;""),Input!$B$40&amp;";",""),IF(AND($G33&lt;Hta_21,$G33&gt;=Hba_21,Input!V$41&lt;&gt;""),Input!$B$41&amp;";",""),IF(AND($G33&lt;Hta_22,$G33&gt;=Hba_22,Input!V$42&lt;&gt;""),Input!$B$42&amp;";",""),IF(AND($G33&lt;Hta_23,$G33&gt;=Hba_23,Input!V$43&lt;&gt;""),Input!$B$43&amp;";",""),IF(AND($G33&lt;Hta_24,$G33&gt;=Hba_24,Input!V$44&lt;&gt;""),Input!$B$44&amp;";",""),IF(AND($G33&lt;Hta_25,$G33&gt;=Hba_25,Input!V$45&lt;&gt;""),Input!$B$45&amp;";",""),IF(AND($G33&lt;Hta_26,$G33&gt;=Hba_26,Input!V$46&lt;&gt;""),Input!$B$46&amp;";",""),IF(AND($G33&lt;Hta_27,$G33&gt;=Hba_27,Input!V$47&lt;&gt;""),Input!$B$47&amp;";",""),IF(AND($G33&lt;Hta_28,$G33&gt;=Hba_28,Input!V$48&lt;&gt;""),Input!$B$48&amp;";",""),IF(AND($G33&lt;Hta_29,$G33&gt;=Hba_29,Input!V$49&lt;&gt;""),Input!$B$49&amp;";",""),IF(AND($G33&lt;Hta_30,$G33&gt;=Hba_30,Input!V$50&lt;&gt;""),Input!$B$50&amp;";","")),"")</f>
        <v/>
      </c>
      <c r="BX33" s="25" t="str">
        <f>IFERROR(CONCATENATE(IF(AND($G33&lt;Hta_1,$G33&gt;=Hba_1,Input!W$21&lt;&gt;""),Input!$B$21&amp;";",""),IF(AND($G33&lt;Hta_2,$G33&gt;=Hba_2,Input!W$22&lt;&gt;""),Input!$B$22&amp;";",""),IF(AND($G33&lt;Hta_3,$G33&gt;=Hba_3,Input!W$23&lt;&gt;""),Input!$B$23&amp;";",""),IF(AND($G33&lt;Hta_4,$G33&gt;=Hba_4,Input!W$24&lt;&gt;""),Input!$B$24&amp;";",""),IF(AND($G33&lt;Hta_5,$G33&gt;=Hba_5,Input!W$25&lt;&gt;""),Input!$B$25&amp;";",""),IF(AND($G33&lt;Hta_6,$G33&gt;=Hba_6,Input!W$26&lt;&gt;""),Input!$B$26&amp;";",""),IF(AND($G33&lt;Hta_7,$G33&gt;=Hba_7,Input!W$27&lt;&gt;""),Input!$B$27&amp;";",""),IF(AND($G33&lt;Hta_8,$G33&gt;=Hba_8,Input!W$28&lt;&gt;""),Input!$B$28&amp;";",""),IF(AND($G33&lt;Hta_9,$G33&gt;=Hba_9,Input!W$29&lt;&gt;""),Input!$B$29&amp;";",""),IF(AND($G33&lt;Hta_10,$G33&gt;=Hba_10,Input!W$30&lt;&gt;""),Input!$B$30&amp;";",""),IF(AND($G33&lt;Hta_11,$G33&gt;=Hba_11,Input!W$31&lt;&gt;""),Input!$B$31&amp;";",""),IF(AND($G33&lt;Hta_12,$G33&gt;=Hba_12,Input!W$32&lt;&gt;""),Input!$B$32&amp;";",""),IF(AND($G33&lt;Hta_13,$G33&gt;=Hba_13,Input!W$33&lt;&gt;""),Input!$B$33&amp;";",""),IF(AND($G33&lt;Hta_14,$G33&gt;=Hba_14,Input!W$34&lt;&gt;""),Input!$B$34&amp;";",""),IF(AND($G33&lt;Hta_15,$G33&gt;=Hba_15,Input!W$35&lt;&gt;""),Input!$B$35&amp;";",""),IF(AND($G33&lt;Hta_16,$G33&gt;=Hba_16,Input!W$36&lt;&gt;""),Input!$B$36&amp;";",""),IF(AND($G33&lt;Hta_17,$G33&gt;=Hba_17,Input!W$37&lt;&gt;""),Input!$B$37&amp;";",""),IF(AND($G33&lt;Hta_18,$G33&gt;=Hba_18,Input!W$38&lt;&gt;""),Input!$B$38&amp;";",""),IF(AND($G33&lt;Hta_19,$G33&gt;=Hba_19,Input!W$39&lt;&gt;""),Input!$B$39&amp;";",""),IF(AND($G33&lt;Hta_20,$G33&gt;=Hba_20,Input!W$40&lt;&gt;""),Input!$B$40&amp;";",""),IF(AND($G33&lt;Hta_21,$G33&gt;=Hba_21,Input!W$41&lt;&gt;""),Input!$B$41&amp;";",""),IF(AND($G33&lt;Hta_22,$G33&gt;=Hba_22,Input!W$42&lt;&gt;""),Input!$B$42&amp;";",""),IF(AND($G33&lt;Hta_23,$G33&gt;=Hba_23,Input!W$43&lt;&gt;""),Input!$B$43&amp;";",""),IF(AND($G33&lt;Hta_24,$G33&gt;=Hba_24,Input!W$44&lt;&gt;""),Input!$B$44&amp;";",""),IF(AND($G33&lt;Hta_25,$G33&gt;=Hba_25,Input!W$45&lt;&gt;""),Input!$B$45&amp;";",""),IF(AND($G33&lt;Hta_26,$G33&gt;=Hba_26,Input!W$46&lt;&gt;""),Input!$B$46&amp;";",""),IF(AND($G33&lt;Hta_27,$G33&gt;=Hba_27,Input!W$47&lt;&gt;""),Input!$B$47&amp;";",""),IF(AND($G33&lt;Hta_28,$G33&gt;=Hba_28,Input!W$48&lt;&gt;""),Input!$B$48&amp;";",""),IF(AND($G33&lt;Hta_29,$G33&gt;=Hba_29,Input!W$49&lt;&gt;""),Input!$B$49&amp;";",""),IF(AND($G33&lt;Hta_30,$G33&gt;=Hba_30,Input!W$50&lt;&gt;""),Input!$B$50&amp;";","")),"")</f>
        <v/>
      </c>
      <c r="BY33" s="25" t="str">
        <f>IFERROR(CONCATENATE(IF(AND($G33&lt;Hta_1,$G33&gt;=Hba_1,Input!X$21&lt;&gt;""),Input!$B$21&amp;";",""),IF(AND($G33&lt;Hta_2,$G33&gt;=Hba_2,Input!X$22&lt;&gt;""),Input!$B$22&amp;";",""),IF(AND($G33&lt;Hta_3,$G33&gt;=Hba_3,Input!X$23&lt;&gt;""),Input!$B$23&amp;";",""),IF(AND($G33&lt;Hta_4,$G33&gt;=Hba_4,Input!X$24&lt;&gt;""),Input!$B$24&amp;";",""),IF(AND($G33&lt;Hta_5,$G33&gt;=Hba_5,Input!X$25&lt;&gt;""),Input!$B$25&amp;";",""),IF(AND($G33&lt;Hta_6,$G33&gt;=Hba_6,Input!X$26&lt;&gt;""),Input!$B$26&amp;";",""),IF(AND($G33&lt;Hta_7,$G33&gt;=Hba_7,Input!X$27&lt;&gt;""),Input!$B$27&amp;";",""),IF(AND($G33&lt;Hta_8,$G33&gt;=Hba_8,Input!X$28&lt;&gt;""),Input!$B$28&amp;";",""),IF(AND($G33&lt;Hta_9,$G33&gt;=Hba_9,Input!X$29&lt;&gt;""),Input!$B$29&amp;";",""),IF(AND($G33&lt;Hta_10,$G33&gt;=Hba_10,Input!X$30&lt;&gt;""),Input!$B$30&amp;";",""),IF(AND($G33&lt;Hta_11,$G33&gt;=Hba_11,Input!X$31&lt;&gt;""),Input!$B$31&amp;";",""),IF(AND($G33&lt;Hta_12,$G33&gt;=Hba_12,Input!X$32&lt;&gt;""),Input!$B$32&amp;";",""),IF(AND($G33&lt;Hta_13,$G33&gt;=Hba_13,Input!X$33&lt;&gt;""),Input!$B$33&amp;";",""),IF(AND($G33&lt;Hta_14,$G33&gt;=Hba_14,Input!X$34&lt;&gt;""),Input!$B$34&amp;";",""),IF(AND($G33&lt;Hta_15,$G33&gt;=Hba_15,Input!X$35&lt;&gt;""),Input!$B$35&amp;";",""),IF(AND($G33&lt;Hta_16,$G33&gt;=Hba_16,Input!X$36&lt;&gt;""),Input!$B$36&amp;";",""),IF(AND($G33&lt;Hta_17,$G33&gt;=Hba_17,Input!X$37&lt;&gt;""),Input!$B$37&amp;";",""),IF(AND($G33&lt;Hta_18,$G33&gt;=Hba_18,Input!X$38&lt;&gt;""),Input!$B$38&amp;";",""),IF(AND($G33&lt;Hta_19,$G33&gt;=Hba_19,Input!X$39&lt;&gt;""),Input!$B$39&amp;";",""),IF(AND($G33&lt;Hta_20,$G33&gt;=Hba_20,Input!X$40&lt;&gt;""),Input!$B$40&amp;";",""),IF(AND($G33&lt;Hta_21,$G33&gt;=Hba_21,Input!X$41&lt;&gt;""),Input!$B$41&amp;";",""),IF(AND($G33&lt;Hta_22,$G33&gt;=Hba_22,Input!X$42&lt;&gt;""),Input!$B$42&amp;";",""),IF(AND($G33&lt;Hta_23,$G33&gt;=Hba_23,Input!X$43&lt;&gt;""),Input!$B$43&amp;";",""),IF(AND($G33&lt;Hta_24,$G33&gt;=Hba_24,Input!X$44&lt;&gt;""),Input!$B$44&amp;";",""),IF(AND($G33&lt;Hta_25,$G33&gt;=Hba_25,Input!X$45&lt;&gt;""),Input!$B$45&amp;";",""),IF(AND($G33&lt;Hta_26,$G33&gt;=Hba_26,Input!X$46&lt;&gt;""),Input!$B$46&amp;";",""),IF(AND($G33&lt;Hta_27,$G33&gt;=Hba_27,Input!X$47&lt;&gt;""),Input!$B$47&amp;";",""),IF(AND($G33&lt;Hta_28,$G33&gt;=Hba_28,Input!X$48&lt;&gt;""),Input!$B$48&amp;";",""),IF(AND($G33&lt;Hta_29,$G33&gt;=Hba_29,Input!X$49&lt;&gt;""),Input!$B$49&amp;";",""),IF(AND($G33&lt;Hta_30,$G33&gt;=Hba_30,Input!X$50&lt;&gt;""),Input!$B$50&amp;";","")),"")</f>
        <v/>
      </c>
      <c r="BZ33" s="25" t="str">
        <f>IFERROR(CONCATENATE(IF(AND($G33&lt;Hta_1,$G33&gt;=Hba_1,Input!Y$21&lt;&gt;""),Input!$B$21&amp;";",""),IF(AND($G33&lt;Hta_2,$G33&gt;=Hba_2,Input!Y$22&lt;&gt;""),Input!$B$22&amp;";",""),IF(AND($G33&lt;Hta_3,$G33&gt;=Hba_3,Input!Y$23&lt;&gt;""),Input!$B$23&amp;";",""),IF(AND($G33&lt;Hta_4,$G33&gt;=Hba_4,Input!Y$24&lt;&gt;""),Input!$B$24&amp;";",""),IF(AND($G33&lt;Hta_5,$G33&gt;=Hba_5,Input!Y$25&lt;&gt;""),Input!$B$25&amp;";",""),IF(AND($G33&lt;Hta_6,$G33&gt;=Hba_6,Input!Y$26&lt;&gt;""),Input!$B$26&amp;";",""),IF(AND($G33&lt;Hta_7,$G33&gt;=Hba_7,Input!Y$27&lt;&gt;""),Input!$B$27&amp;";",""),IF(AND($G33&lt;Hta_8,$G33&gt;=Hba_8,Input!Y$28&lt;&gt;""),Input!$B$28&amp;";",""),IF(AND($G33&lt;Hta_9,$G33&gt;=Hba_9,Input!Y$29&lt;&gt;""),Input!$B$29&amp;";",""),IF(AND($G33&lt;Hta_10,$G33&gt;=Hba_10,Input!Y$30&lt;&gt;""),Input!$B$30&amp;";",""),IF(AND($G33&lt;Hta_11,$G33&gt;=Hba_11,Input!Y$31&lt;&gt;""),Input!$B$31&amp;";",""),IF(AND($G33&lt;Hta_12,$G33&gt;=Hba_12,Input!Y$32&lt;&gt;""),Input!$B$32&amp;";",""),IF(AND($G33&lt;Hta_13,$G33&gt;=Hba_13,Input!Y$33&lt;&gt;""),Input!$B$33&amp;";",""),IF(AND($G33&lt;Hta_14,$G33&gt;=Hba_14,Input!Y$34&lt;&gt;""),Input!$B$34&amp;";",""),IF(AND($G33&lt;Hta_15,$G33&gt;=Hba_15,Input!Y$35&lt;&gt;""),Input!$B$35&amp;";",""),IF(AND($G33&lt;Hta_16,$G33&gt;=Hba_16,Input!Y$36&lt;&gt;""),Input!$B$36&amp;";",""),IF(AND($G33&lt;Hta_17,$G33&gt;=Hba_17,Input!Y$37&lt;&gt;""),Input!$B$37&amp;";",""),IF(AND($G33&lt;Hta_18,$G33&gt;=Hba_18,Input!Y$38&lt;&gt;""),Input!$B$38&amp;";",""),IF(AND($G33&lt;Hta_19,$G33&gt;=Hba_19,Input!Y$39&lt;&gt;""),Input!$B$39&amp;";",""),IF(AND($G33&lt;Hta_20,$G33&gt;=Hba_20,Input!Y$40&lt;&gt;""),Input!$B$40&amp;";",""),IF(AND($G33&lt;Hta_21,$G33&gt;=Hba_21,Input!Y$41&lt;&gt;""),Input!$B$41&amp;";",""),IF(AND($G33&lt;Hta_22,$G33&gt;=Hba_22,Input!Y$42&lt;&gt;""),Input!$B$42&amp;";",""),IF(AND($G33&lt;Hta_23,$G33&gt;=Hba_23,Input!Y$43&lt;&gt;""),Input!$B$43&amp;";",""),IF(AND($G33&lt;Hta_24,$G33&gt;=Hba_24,Input!Y$44&lt;&gt;""),Input!$B$44&amp;";",""),IF(AND($G33&lt;Hta_25,$G33&gt;=Hba_25,Input!Y$45&lt;&gt;""),Input!$B$45&amp;";",""),IF(AND($G33&lt;Hta_26,$G33&gt;=Hba_26,Input!Y$46&lt;&gt;""),Input!$B$46&amp;";",""),IF(AND($G33&lt;Hta_27,$G33&gt;=Hba_27,Input!Y$47&lt;&gt;""),Input!$B$47&amp;";",""),IF(AND($G33&lt;Hta_28,$G33&gt;=Hba_28,Input!Y$48&lt;&gt;""),Input!$B$48&amp;";",""),IF(AND($G33&lt;Hta_29,$G33&gt;=Hba_29,Input!Y$49&lt;&gt;""),Input!$B$49&amp;";",""),IF(AND($G33&lt;Hta_30,$G33&gt;=Hba_30,Input!Y$50&lt;&gt;""),Input!$B$50&amp;";","")),"")</f>
        <v/>
      </c>
      <c r="CA33" s="25" t="str">
        <f>IFERROR(CONCATENATE(IF(AND($G33&lt;Hta_1,$G33&gt;=Hba_1,Input!Z$21&lt;&gt;""),Input!$B$21&amp;";",""),IF(AND($G33&lt;Hta_2,$G33&gt;=Hba_2,Input!Z$22&lt;&gt;""),Input!$B$22&amp;";",""),IF(AND($G33&lt;Hta_3,$G33&gt;=Hba_3,Input!Z$23&lt;&gt;""),Input!$B$23&amp;";",""),IF(AND($G33&lt;Hta_4,$G33&gt;=Hba_4,Input!Z$24&lt;&gt;""),Input!$B$24&amp;";",""),IF(AND($G33&lt;Hta_5,$G33&gt;=Hba_5,Input!Z$25&lt;&gt;""),Input!$B$25&amp;";",""),IF(AND($G33&lt;Hta_6,$G33&gt;=Hba_6,Input!Z$26&lt;&gt;""),Input!$B$26&amp;";",""),IF(AND($G33&lt;Hta_7,$G33&gt;=Hba_7,Input!Z$27&lt;&gt;""),Input!$B$27&amp;";",""),IF(AND($G33&lt;Hta_8,$G33&gt;=Hba_8,Input!Z$28&lt;&gt;""),Input!$B$28&amp;";",""),IF(AND($G33&lt;Hta_9,$G33&gt;=Hba_9,Input!Z$29&lt;&gt;""),Input!$B$29&amp;";",""),IF(AND($G33&lt;Hta_10,$G33&gt;=Hba_10,Input!Z$30&lt;&gt;""),Input!$B$30&amp;";",""),IF(AND($G33&lt;Hta_11,$G33&gt;=Hba_11,Input!Z$31&lt;&gt;""),Input!$B$31&amp;";",""),IF(AND($G33&lt;Hta_12,$G33&gt;=Hba_12,Input!Z$32&lt;&gt;""),Input!$B$32&amp;";",""),IF(AND($G33&lt;Hta_13,$G33&gt;=Hba_13,Input!Z$33&lt;&gt;""),Input!$B$33&amp;";",""),IF(AND($G33&lt;Hta_14,$G33&gt;=Hba_14,Input!Z$34&lt;&gt;""),Input!$B$34&amp;";",""),IF(AND($G33&lt;Hta_15,$G33&gt;=Hba_15,Input!Z$35&lt;&gt;""),Input!$B$35&amp;";",""),IF(AND($G33&lt;Hta_16,$G33&gt;=Hba_16,Input!Z$36&lt;&gt;""),Input!$B$36&amp;";",""),IF(AND($G33&lt;Hta_17,$G33&gt;=Hba_17,Input!Z$37&lt;&gt;""),Input!$B$37&amp;";",""),IF(AND($G33&lt;Hta_18,$G33&gt;=Hba_18,Input!Z$38&lt;&gt;""),Input!$B$38&amp;";",""),IF(AND($G33&lt;Hta_19,$G33&gt;=Hba_19,Input!Z$39&lt;&gt;""),Input!$B$39&amp;";",""),IF(AND($G33&lt;Hta_20,$G33&gt;=Hba_20,Input!Z$40&lt;&gt;""),Input!$B$40&amp;";",""),IF(AND($G33&lt;Hta_21,$G33&gt;=Hba_21,Input!Z$41&lt;&gt;""),Input!$B$41&amp;";",""),IF(AND($G33&lt;Hta_22,$G33&gt;=Hba_22,Input!Z$42&lt;&gt;""),Input!$B$42&amp;";",""),IF(AND($G33&lt;Hta_23,$G33&gt;=Hba_23,Input!Z$43&lt;&gt;""),Input!$B$43&amp;";",""),IF(AND($G33&lt;Hta_24,$G33&gt;=Hba_24,Input!Z$44&lt;&gt;""),Input!$B$44&amp;";",""),IF(AND($G33&lt;Hta_25,$G33&gt;=Hba_25,Input!Z$45&lt;&gt;""),Input!$B$45&amp;";",""),IF(AND($G33&lt;Hta_26,$G33&gt;=Hba_26,Input!Z$46&lt;&gt;""),Input!$B$46&amp;";",""),IF(AND($G33&lt;Hta_27,$G33&gt;=Hba_27,Input!Z$47&lt;&gt;""),Input!$B$47&amp;";",""),IF(AND($G33&lt;Hta_28,$G33&gt;=Hba_28,Input!Z$48&lt;&gt;""),Input!$B$48&amp;";",""),IF(AND($G33&lt;Hta_29,$G33&gt;=Hba_29,Input!Z$49&lt;&gt;""),Input!$B$49&amp;";",""),IF(AND($G33&lt;Hta_30,$G33&gt;=Hba_30,Input!Z$50&lt;&gt;""),Input!$B$50&amp;";","")),"")</f>
        <v/>
      </c>
      <c r="CB33" s="25" t="str">
        <f>IFERROR(CONCATENATE(IF(AND($G33&lt;Hta_1,$G33&gt;=Hba_1,Input!AA$21&lt;&gt;""),Input!$B$21&amp;";",""),IF(AND($G33&lt;Hta_2,$G33&gt;=Hba_2,Input!AA$22&lt;&gt;""),Input!$B$22&amp;";",""),IF(AND($G33&lt;Hta_3,$G33&gt;=Hba_3,Input!AA$23&lt;&gt;""),Input!$B$23&amp;";",""),IF(AND($G33&lt;Hta_4,$G33&gt;=Hba_4,Input!AA$24&lt;&gt;""),Input!$B$24&amp;";",""),IF(AND($G33&lt;Hta_5,$G33&gt;=Hba_5,Input!AA$25&lt;&gt;""),Input!$B$25&amp;";",""),IF(AND($G33&lt;Hta_6,$G33&gt;=Hba_6,Input!AA$26&lt;&gt;""),Input!$B$26&amp;";",""),IF(AND($G33&lt;Hta_7,$G33&gt;=Hba_7,Input!AA$27&lt;&gt;""),Input!$B$27&amp;";",""),IF(AND($G33&lt;Hta_8,$G33&gt;=Hba_8,Input!AA$28&lt;&gt;""),Input!$B$28&amp;";",""),IF(AND($G33&lt;Hta_9,$G33&gt;=Hba_9,Input!AA$29&lt;&gt;""),Input!$B$29&amp;";",""),IF(AND($G33&lt;Hta_10,$G33&gt;=Hba_10,Input!AA$30&lt;&gt;""),Input!$B$30&amp;";",""),IF(AND($G33&lt;Hta_11,$G33&gt;=Hba_11,Input!AA$31&lt;&gt;""),Input!$B$31&amp;";",""),IF(AND($G33&lt;Hta_12,$G33&gt;=Hba_12,Input!AA$32&lt;&gt;""),Input!$B$32&amp;";",""),IF(AND($G33&lt;Hta_13,$G33&gt;=Hba_13,Input!AA$33&lt;&gt;""),Input!$B$33&amp;";",""),IF(AND($G33&lt;Hta_14,$G33&gt;=Hba_14,Input!AA$34&lt;&gt;""),Input!$B$34&amp;";",""),IF(AND($G33&lt;Hta_15,$G33&gt;=Hba_15,Input!AA$35&lt;&gt;""),Input!$B$35&amp;";",""),IF(AND($G33&lt;Hta_16,$G33&gt;=Hba_16,Input!AA$36&lt;&gt;""),Input!$B$36&amp;";",""),IF(AND($G33&lt;Hta_17,$G33&gt;=Hba_17,Input!AA$37&lt;&gt;""),Input!$B$37&amp;";",""),IF(AND($G33&lt;Hta_18,$G33&gt;=Hba_18,Input!AA$38&lt;&gt;""),Input!$B$38&amp;";",""),IF(AND($G33&lt;Hta_19,$G33&gt;=Hba_19,Input!AA$39&lt;&gt;""),Input!$B$39&amp;";",""),IF(AND($G33&lt;Hta_20,$G33&gt;=Hba_20,Input!AA$40&lt;&gt;""),Input!$B$40&amp;";",""),IF(AND($G33&lt;Hta_21,$G33&gt;=Hba_21,Input!AA$41&lt;&gt;""),Input!$B$41&amp;";",""),IF(AND($G33&lt;Hta_22,$G33&gt;=Hba_22,Input!AA$42&lt;&gt;""),Input!$B$42&amp;";",""),IF(AND($G33&lt;Hta_23,$G33&gt;=Hba_23,Input!AA$43&lt;&gt;""),Input!$B$43&amp;";",""),IF(AND($G33&lt;Hta_24,$G33&gt;=Hba_24,Input!AA$44&lt;&gt;""),Input!$B$44&amp;";",""),IF(AND($G33&lt;Hta_25,$G33&gt;=Hba_25,Input!AA$45&lt;&gt;""),Input!$B$45&amp;";",""),IF(AND($G33&lt;Hta_26,$G33&gt;=Hba_26,Input!AA$46&lt;&gt;""),Input!$B$46&amp;";",""),IF(AND($G33&lt;Hta_27,$G33&gt;=Hba_27,Input!AA$47&lt;&gt;""),Input!$B$47&amp;";",""),IF(AND($G33&lt;Hta_28,$G33&gt;=Hba_28,Input!AA$48&lt;&gt;""),Input!$B$48&amp;";",""),IF(AND($G33&lt;Hta_29,$G33&gt;=Hba_29,Input!AA$49&lt;&gt;""),Input!$B$49&amp;";",""),IF(AND($G33&lt;Hta_30,$G33&gt;=Hba_30,Input!AA$50&lt;&gt;""),Input!$B$50&amp;";","")),"")</f>
        <v/>
      </c>
      <c r="CC33" s="25" t="str">
        <f>IFERROR(CONCATENATE(IF(AND($G33&lt;Hta_1,$G33&gt;=Hba_1,Input!AB$21&lt;&gt;""),Input!$B$21&amp;";",""),IF(AND($G33&lt;Hta_2,$G33&gt;=Hba_2,Input!AB$22&lt;&gt;""),Input!$B$22&amp;";",""),IF(AND($G33&lt;Hta_3,$G33&gt;=Hba_3,Input!AB$23&lt;&gt;""),Input!$B$23&amp;";",""),IF(AND($G33&lt;Hta_4,$G33&gt;=Hba_4,Input!AB$24&lt;&gt;""),Input!$B$24&amp;";",""),IF(AND($G33&lt;Hta_5,$G33&gt;=Hba_5,Input!AB$25&lt;&gt;""),Input!$B$25&amp;";",""),IF(AND($G33&lt;Hta_6,$G33&gt;=Hba_6,Input!AB$26&lt;&gt;""),Input!$B$26&amp;";",""),IF(AND($G33&lt;Hta_7,$G33&gt;=Hba_7,Input!AB$27&lt;&gt;""),Input!$B$27&amp;";",""),IF(AND($G33&lt;Hta_8,$G33&gt;=Hba_8,Input!AB$28&lt;&gt;""),Input!$B$28&amp;";",""),IF(AND($G33&lt;Hta_9,$G33&gt;=Hba_9,Input!AB$29&lt;&gt;""),Input!$B$29&amp;";",""),IF(AND($G33&lt;Hta_10,$G33&gt;=Hba_10,Input!AB$30&lt;&gt;""),Input!$B$30&amp;";",""),IF(AND($G33&lt;Hta_11,$G33&gt;=Hba_11,Input!AB$31&lt;&gt;""),Input!$B$31&amp;";",""),IF(AND($G33&lt;Hta_12,$G33&gt;=Hba_12,Input!AB$32&lt;&gt;""),Input!$B$32&amp;";",""),IF(AND($G33&lt;Hta_13,$G33&gt;=Hba_13,Input!AB$33&lt;&gt;""),Input!$B$33&amp;";",""),IF(AND($G33&lt;Hta_14,$G33&gt;=Hba_14,Input!AB$34&lt;&gt;""),Input!$B$34&amp;";",""),IF(AND($G33&lt;Hta_15,$G33&gt;=Hba_15,Input!AB$35&lt;&gt;""),Input!$B$35&amp;";",""),IF(AND($G33&lt;Hta_16,$G33&gt;=Hba_16,Input!AB$36&lt;&gt;""),Input!$B$36&amp;";",""),IF(AND($G33&lt;Hta_17,$G33&gt;=Hba_17,Input!AB$37&lt;&gt;""),Input!$B$37&amp;";",""),IF(AND($G33&lt;Hta_18,$G33&gt;=Hba_18,Input!AB$38&lt;&gt;""),Input!$B$38&amp;";",""),IF(AND($G33&lt;Hta_19,$G33&gt;=Hba_19,Input!AB$39&lt;&gt;""),Input!$B$39&amp;";",""),IF(AND($G33&lt;Hta_20,$G33&gt;=Hba_20,Input!AB$40&lt;&gt;""),Input!$B$40&amp;";",""),IF(AND($G33&lt;Hta_21,$G33&gt;=Hba_21,Input!AB$41&lt;&gt;""),Input!$B$41&amp;";",""),IF(AND($G33&lt;Hta_22,$G33&gt;=Hba_22,Input!AB$42&lt;&gt;""),Input!$B$42&amp;";",""),IF(AND($G33&lt;Hta_23,$G33&gt;=Hba_23,Input!AB$43&lt;&gt;""),Input!$B$43&amp;";",""),IF(AND($G33&lt;Hta_24,$G33&gt;=Hba_24,Input!AB$44&lt;&gt;""),Input!$B$44&amp;";",""),IF(AND($G33&lt;Hta_25,$G33&gt;=Hba_25,Input!AB$45&lt;&gt;""),Input!$B$45&amp;";",""),IF(AND($G33&lt;Hta_26,$G33&gt;=Hba_26,Input!AB$46&lt;&gt;""),Input!$B$46&amp;";",""),IF(AND($G33&lt;Hta_27,$G33&gt;=Hba_27,Input!AB$47&lt;&gt;""),Input!$B$47&amp;";",""),IF(AND($G33&lt;Hta_28,$G33&gt;=Hba_28,Input!AB$48&lt;&gt;""),Input!$B$48&amp;";",""),IF(AND($G33&lt;Hta_29,$G33&gt;=Hba_29,Input!AB$49&lt;&gt;""),Input!$B$49&amp;";",""),IF(AND($G33&lt;Hta_30,$G33&gt;=Hba_30,Input!AB$50&lt;&gt;""),Input!$B$50&amp;";","")),"")</f>
        <v/>
      </c>
      <c r="CD33" s="25" t="str">
        <f>IFERROR(CONCATENATE(IF(AND($G33&lt;Hta_1,$G33&gt;=Hba_1,Input!AC$21&lt;&gt;""),Input!$B$21&amp;";",""),IF(AND($G33&lt;Hta_2,$G33&gt;=Hba_2,Input!AC$22&lt;&gt;""),Input!$B$22&amp;";",""),IF(AND($G33&lt;Hta_3,$G33&gt;=Hba_3,Input!AC$23&lt;&gt;""),Input!$B$23&amp;";",""),IF(AND($G33&lt;Hta_4,$G33&gt;=Hba_4,Input!AC$24&lt;&gt;""),Input!$B$24&amp;";",""),IF(AND($G33&lt;Hta_5,$G33&gt;=Hba_5,Input!AC$25&lt;&gt;""),Input!$B$25&amp;";",""),IF(AND($G33&lt;Hta_6,$G33&gt;=Hba_6,Input!AC$26&lt;&gt;""),Input!$B$26&amp;";",""),IF(AND($G33&lt;Hta_7,$G33&gt;=Hba_7,Input!AC$27&lt;&gt;""),Input!$B$27&amp;";",""),IF(AND($G33&lt;Hta_8,$G33&gt;=Hba_8,Input!AC$28&lt;&gt;""),Input!$B$28&amp;";",""),IF(AND($G33&lt;Hta_9,$G33&gt;=Hba_9,Input!AC$29&lt;&gt;""),Input!$B$29&amp;";",""),IF(AND($G33&lt;Hta_10,$G33&gt;=Hba_10,Input!AC$30&lt;&gt;""),Input!$B$30&amp;";",""),IF(AND($G33&lt;Hta_11,$G33&gt;=Hba_11,Input!AC$31&lt;&gt;""),Input!$B$31&amp;";",""),IF(AND($G33&lt;Hta_12,$G33&gt;=Hba_12,Input!AC$32&lt;&gt;""),Input!$B$32&amp;";",""),IF(AND($G33&lt;Hta_13,$G33&gt;=Hba_13,Input!AC$33&lt;&gt;""),Input!$B$33&amp;";",""),IF(AND($G33&lt;Hta_14,$G33&gt;=Hba_14,Input!AC$34&lt;&gt;""),Input!$B$34&amp;";",""),IF(AND($G33&lt;Hta_15,$G33&gt;=Hba_15,Input!AC$35&lt;&gt;""),Input!$B$35&amp;";",""),IF(AND($G33&lt;Hta_16,$G33&gt;=Hba_16,Input!AC$36&lt;&gt;""),Input!$B$36&amp;";",""),IF(AND($G33&lt;Hta_17,$G33&gt;=Hba_17,Input!AC$37&lt;&gt;""),Input!$B$37&amp;";",""),IF(AND($G33&lt;Hta_18,$G33&gt;=Hba_18,Input!AC$38&lt;&gt;""),Input!$B$38&amp;";",""),IF(AND($G33&lt;Hta_19,$G33&gt;=Hba_19,Input!AC$39&lt;&gt;""),Input!$B$39&amp;";",""),IF(AND($G33&lt;Hta_20,$G33&gt;=Hba_20,Input!AC$40&lt;&gt;""),Input!$B$40&amp;";",""),IF(AND($G33&lt;Hta_21,$G33&gt;=Hba_21,Input!AC$41&lt;&gt;""),Input!$B$41&amp;";",""),IF(AND($G33&lt;Hta_22,$G33&gt;=Hba_22,Input!AC$42&lt;&gt;""),Input!$B$42&amp;";",""),IF(AND($G33&lt;Hta_23,$G33&gt;=Hba_23,Input!AC$43&lt;&gt;""),Input!$B$43&amp;";",""),IF(AND($G33&lt;Hta_24,$G33&gt;=Hba_24,Input!AC$44&lt;&gt;""),Input!$B$44&amp;";",""),IF(AND($G33&lt;Hta_25,$G33&gt;=Hba_25,Input!AC$45&lt;&gt;""),Input!$B$45&amp;";",""),IF(AND($G33&lt;Hta_26,$G33&gt;=Hba_26,Input!AC$46&lt;&gt;""),Input!$B$46&amp;";",""),IF(AND($G33&lt;Hta_27,$G33&gt;=Hba_27,Input!AC$47&lt;&gt;""),Input!$B$47&amp;";",""),IF(AND($G33&lt;Hta_28,$G33&gt;=Hba_28,Input!AC$48&lt;&gt;""),Input!$B$48&amp;";",""),IF(AND($G33&lt;Hta_29,$G33&gt;=Hba_29,Input!AC$49&lt;&gt;""),Input!$B$49&amp;";",""),IF(AND($G33&lt;Hta_30,$G33&gt;=Hba_30,Input!AC$50&lt;&gt;""),Input!$B$50&amp;";","")),"")</f>
        <v/>
      </c>
      <c r="CE33" s="25" t="str">
        <f>IFERROR(CONCATENATE(IF(AND($G33&lt;Hta_1,$G33&gt;=Hba_1,Input!AD$21&lt;&gt;""),Input!$B$21&amp;";",""),IF(AND($G33&lt;Hta_2,$G33&gt;=Hba_2,Input!AD$22&lt;&gt;""),Input!$B$22&amp;";",""),IF(AND($G33&lt;Hta_3,$G33&gt;=Hba_3,Input!AD$23&lt;&gt;""),Input!$B$23&amp;";",""),IF(AND($G33&lt;Hta_4,$G33&gt;=Hba_4,Input!AD$24&lt;&gt;""),Input!$B$24&amp;";",""),IF(AND($G33&lt;Hta_5,$G33&gt;=Hba_5,Input!AD$25&lt;&gt;""),Input!$B$25&amp;";",""),IF(AND($G33&lt;Hta_6,$G33&gt;=Hba_6,Input!AD$26&lt;&gt;""),Input!$B$26&amp;";",""),IF(AND($G33&lt;Hta_7,$G33&gt;=Hba_7,Input!AD$27&lt;&gt;""),Input!$B$27&amp;";",""),IF(AND($G33&lt;Hta_8,$G33&gt;=Hba_8,Input!AD$28&lt;&gt;""),Input!$B$28&amp;";",""),IF(AND($G33&lt;Hta_9,$G33&gt;=Hba_9,Input!AD$29&lt;&gt;""),Input!$B$29&amp;";",""),IF(AND($G33&lt;Hta_10,$G33&gt;=Hba_10,Input!AD$30&lt;&gt;""),Input!$B$30&amp;";",""),IF(AND($G33&lt;Hta_11,$G33&gt;=Hba_11,Input!AD$31&lt;&gt;""),Input!$B$31&amp;";",""),IF(AND($G33&lt;Hta_12,$G33&gt;=Hba_12,Input!AD$32&lt;&gt;""),Input!$B$32&amp;";",""),IF(AND($G33&lt;Hta_13,$G33&gt;=Hba_13,Input!AD$33&lt;&gt;""),Input!$B$33&amp;";",""),IF(AND($G33&lt;Hta_14,$G33&gt;=Hba_14,Input!AD$34&lt;&gt;""),Input!$B$34&amp;";",""),IF(AND($G33&lt;Hta_15,$G33&gt;=Hba_15,Input!AD$35&lt;&gt;""),Input!$B$35&amp;";",""),IF(AND($G33&lt;Hta_16,$G33&gt;=Hba_16,Input!AD$36&lt;&gt;""),Input!$B$36&amp;";",""),IF(AND($G33&lt;Hta_17,$G33&gt;=Hba_17,Input!AD$37&lt;&gt;""),Input!$B$37&amp;";",""),IF(AND($G33&lt;Hta_18,$G33&gt;=Hba_18,Input!AD$38&lt;&gt;""),Input!$B$38&amp;";",""),IF(AND($G33&lt;Hta_19,$G33&gt;=Hba_19,Input!AD$39&lt;&gt;""),Input!$B$39&amp;";",""),IF(AND($G33&lt;Hta_20,$G33&gt;=Hba_20,Input!AD$40&lt;&gt;""),Input!$B$40&amp;";",""),IF(AND($G33&lt;Hta_21,$G33&gt;=Hba_21,Input!AD$41&lt;&gt;""),Input!$B$41&amp;";",""),IF(AND($G33&lt;Hta_22,$G33&gt;=Hba_22,Input!AD$42&lt;&gt;""),Input!$B$42&amp;";",""),IF(AND($G33&lt;Hta_23,$G33&gt;=Hba_23,Input!AD$43&lt;&gt;""),Input!$B$43&amp;";",""),IF(AND($G33&lt;Hta_24,$G33&gt;=Hba_24,Input!AD$44&lt;&gt;""),Input!$B$44&amp;";",""),IF(AND($G33&lt;Hta_25,$G33&gt;=Hba_25,Input!AD$45&lt;&gt;""),Input!$B$45&amp;";",""),IF(AND($G33&lt;Hta_26,$G33&gt;=Hba_26,Input!AD$46&lt;&gt;""),Input!$B$46&amp;";",""),IF(AND($G33&lt;Hta_27,$G33&gt;=Hba_27,Input!AD$47&lt;&gt;""),Input!$B$47&amp;";",""),IF(AND($G33&lt;Hta_28,$G33&gt;=Hba_28,Input!AD$48&lt;&gt;""),Input!$B$48&amp;";",""),IF(AND($G33&lt;Hta_29,$G33&gt;=Hba_29,Input!AD$49&lt;&gt;""),Input!$B$49&amp;";",""),IF(AND($G33&lt;Hta_30,$G33&gt;=Hba_30,Input!AD$50&lt;&gt;""),Input!$B$50&amp;";","")),"")</f>
        <v/>
      </c>
      <c r="CF33" s="25" t="str">
        <f>IFERROR(CONCATENATE(IF(AND($G33&lt;Hta_1,$G33&gt;=Hba_1,Input!AE$21&lt;&gt;""),Input!$B$21&amp;";",""),IF(AND($G33&lt;Hta_2,$G33&gt;=Hba_2,Input!AE$22&lt;&gt;""),Input!$B$22&amp;";",""),IF(AND($G33&lt;Hta_3,$G33&gt;=Hba_3,Input!AE$23&lt;&gt;""),Input!$B$23&amp;";",""),IF(AND($G33&lt;Hta_4,$G33&gt;=Hba_4,Input!AE$24&lt;&gt;""),Input!$B$24&amp;";",""),IF(AND($G33&lt;Hta_5,$G33&gt;=Hba_5,Input!AE$25&lt;&gt;""),Input!$B$25&amp;";",""),IF(AND($G33&lt;Hta_6,$G33&gt;=Hba_6,Input!AE$26&lt;&gt;""),Input!$B$26&amp;";",""),IF(AND($G33&lt;Hta_7,$G33&gt;=Hba_7,Input!AE$27&lt;&gt;""),Input!$B$27&amp;";",""),IF(AND($G33&lt;Hta_8,$G33&gt;=Hba_8,Input!AE$28&lt;&gt;""),Input!$B$28&amp;";",""),IF(AND($G33&lt;Hta_9,$G33&gt;=Hba_9,Input!AE$29&lt;&gt;""),Input!$B$29&amp;";",""),IF(AND($G33&lt;Hta_10,$G33&gt;=Hba_10,Input!AE$30&lt;&gt;""),Input!$B$30&amp;";",""),IF(AND($G33&lt;Hta_11,$G33&gt;=Hba_11,Input!AE$31&lt;&gt;""),Input!$B$31&amp;";",""),IF(AND($G33&lt;Hta_12,$G33&gt;=Hba_12,Input!AE$32&lt;&gt;""),Input!$B$32&amp;";",""),IF(AND($G33&lt;Hta_13,$G33&gt;=Hba_13,Input!AE$33&lt;&gt;""),Input!$B$33&amp;";",""),IF(AND($G33&lt;Hta_14,$G33&gt;=Hba_14,Input!AE$34&lt;&gt;""),Input!$B$34&amp;";",""),IF(AND($G33&lt;Hta_15,$G33&gt;=Hba_15,Input!AE$35&lt;&gt;""),Input!$B$35&amp;";",""),IF(AND($G33&lt;Hta_16,$G33&gt;=Hba_16,Input!AE$36&lt;&gt;""),Input!$B$36&amp;";",""),IF(AND($G33&lt;Hta_17,$G33&gt;=Hba_17,Input!AE$37&lt;&gt;""),Input!$B$37&amp;";",""),IF(AND($G33&lt;Hta_18,$G33&gt;=Hba_18,Input!AE$38&lt;&gt;""),Input!$B$38&amp;";",""),IF(AND($G33&lt;Hta_19,$G33&gt;=Hba_19,Input!AE$39&lt;&gt;""),Input!$B$39&amp;";",""),IF(AND($G33&lt;Hta_20,$G33&gt;=Hba_20,Input!AE$40&lt;&gt;""),Input!$B$40&amp;";",""),IF(AND($G33&lt;Hta_21,$G33&gt;=Hba_21,Input!AE$41&lt;&gt;""),Input!$B$41&amp;";",""),IF(AND($G33&lt;Hta_22,$G33&gt;=Hba_22,Input!AE$42&lt;&gt;""),Input!$B$42&amp;";",""),IF(AND($G33&lt;Hta_23,$G33&gt;=Hba_23,Input!AE$43&lt;&gt;""),Input!$B$43&amp;";",""),IF(AND($G33&lt;Hta_24,$G33&gt;=Hba_24,Input!AE$44&lt;&gt;""),Input!$B$44&amp;";",""),IF(AND($G33&lt;Hta_25,$G33&gt;=Hba_25,Input!AE$45&lt;&gt;""),Input!$B$45&amp;";",""),IF(AND($G33&lt;Hta_26,$G33&gt;=Hba_26,Input!AE$46&lt;&gt;""),Input!$B$46&amp;";",""),IF(AND($G33&lt;Hta_27,$G33&gt;=Hba_27,Input!AE$47&lt;&gt;""),Input!$B$47&amp;";",""),IF(AND($G33&lt;Hta_28,$G33&gt;=Hba_28,Input!AE$48&lt;&gt;""),Input!$B$48&amp;";",""),IF(AND($G33&lt;Hta_29,$G33&gt;=Hba_29,Input!AE$49&lt;&gt;""),Input!$B$49&amp;";",""),IF(AND($G33&lt;Hta_30,$G33&gt;=Hba_30,Input!AE$50&lt;&gt;""),Input!$B$50&amp;";","")),"")</f>
        <v/>
      </c>
      <c r="CG33" s="25" t="str">
        <f>IFERROR(CONCATENATE(IF(AND($G33&lt;Hta_1,$G33&gt;=Hba_1,Input!AF$21&lt;&gt;""),Input!$B$21&amp;";",""),IF(AND($G33&lt;Hta_2,$G33&gt;=Hba_2,Input!AF$22&lt;&gt;""),Input!$B$22&amp;";",""),IF(AND($G33&lt;Hta_3,$G33&gt;=Hba_3,Input!AF$23&lt;&gt;""),Input!$B$23&amp;";",""),IF(AND($G33&lt;Hta_4,$G33&gt;=Hba_4,Input!AF$24&lt;&gt;""),Input!$B$24&amp;";",""),IF(AND($G33&lt;Hta_5,$G33&gt;=Hba_5,Input!AF$25&lt;&gt;""),Input!$B$25&amp;";",""),IF(AND($G33&lt;Hta_6,$G33&gt;=Hba_6,Input!AF$26&lt;&gt;""),Input!$B$26&amp;";",""),IF(AND($G33&lt;Hta_7,$G33&gt;=Hba_7,Input!AF$27&lt;&gt;""),Input!$B$27&amp;";",""),IF(AND($G33&lt;Hta_8,$G33&gt;=Hba_8,Input!AF$28&lt;&gt;""),Input!$B$28&amp;";",""),IF(AND($G33&lt;Hta_9,$G33&gt;=Hba_9,Input!AF$29&lt;&gt;""),Input!$B$29&amp;";",""),IF(AND($G33&lt;Hta_10,$G33&gt;=Hba_10,Input!AF$30&lt;&gt;""),Input!$B$30&amp;";",""),IF(AND($G33&lt;Hta_11,$G33&gt;=Hba_11,Input!AF$31&lt;&gt;""),Input!$B$31&amp;";",""),IF(AND($G33&lt;Hta_12,$G33&gt;=Hba_12,Input!AF$32&lt;&gt;""),Input!$B$32&amp;";",""),IF(AND($G33&lt;Hta_13,$G33&gt;=Hba_13,Input!AF$33&lt;&gt;""),Input!$B$33&amp;";",""),IF(AND($G33&lt;Hta_14,$G33&gt;=Hba_14,Input!AF$34&lt;&gt;""),Input!$B$34&amp;";",""),IF(AND($G33&lt;Hta_15,$G33&gt;=Hba_15,Input!AF$35&lt;&gt;""),Input!$B$35&amp;";",""),IF(AND($G33&lt;Hta_16,$G33&gt;=Hba_16,Input!AF$36&lt;&gt;""),Input!$B$36&amp;";",""),IF(AND($G33&lt;Hta_17,$G33&gt;=Hba_17,Input!AF$37&lt;&gt;""),Input!$B$37&amp;";",""),IF(AND($G33&lt;Hta_18,$G33&gt;=Hba_18,Input!AF$38&lt;&gt;""),Input!$B$38&amp;";",""),IF(AND($G33&lt;Hta_19,$G33&gt;=Hba_19,Input!AF$39&lt;&gt;""),Input!$B$39&amp;";",""),IF(AND($G33&lt;Hta_20,$G33&gt;=Hba_20,Input!AF$40&lt;&gt;""),Input!$B$40&amp;";",""),IF(AND($G33&lt;Hta_21,$G33&gt;=Hba_21,Input!AF$41&lt;&gt;""),Input!$B$41&amp;";",""),IF(AND($G33&lt;Hta_22,$G33&gt;=Hba_22,Input!AF$42&lt;&gt;""),Input!$B$42&amp;";",""),IF(AND($G33&lt;Hta_23,$G33&gt;=Hba_23,Input!AF$43&lt;&gt;""),Input!$B$43&amp;";",""),IF(AND($G33&lt;Hta_24,$G33&gt;=Hba_24,Input!AF$44&lt;&gt;""),Input!$B$44&amp;";",""),IF(AND($G33&lt;Hta_25,$G33&gt;=Hba_25,Input!AF$45&lt;&gt;""),Input!$B$45&amp;";",""),IF(AND($G33&lt;Hta_26,$G33&gt;=Hba_26,Input!AF$46&lt;&gt;""),Input!$B$46&amp;";",""),IF(AND($G33&lt;Hta_27,$G33&gt;=Hba_27,Input!AF$47&lt;&gt;""),Input!$B$47&amp;";",""),IF(AND($G33&lt;Hta_28,$G33&gt;=Hba_28,Input!AF$48&lt;&gt;""),Input!$B$48&amp;";",""),IF(AND($G33&lt;Hta_29,$G33&gt;=Hba_29,Input!AF$49&lt;&gt;""),Input!$B$49&amp;";",""),IF(AND($G33&lt;Hta_30,$G33&gt;=Hba_30,Input!AF$50&lt;&gt;""),Input!$B$50&amp;";","")),"")</f>
        <v/>
      </c>
      <c r="CH33" s="25" t="str">
        <f>IFERROR(CONCATENATE(IF(AND($G33&lt;Hta_1,$G33&gt;=Hba_1,Input!AG$21&lt;&gt;""),Input!$B$21&amp;";",""),IF(AND($G33&lt;Hta_2,$G33&gt;=Hba_2,Input!AG$22&lt;&gt;""),Input!$B$22&amp;";",""),IF(AND($G33&lt;Hta_3,$G33&gt;=Hba_3,Input!AG$23&lt;&gt;""),Input!$B$23&amp;";",""),IF(AND($G33&lt;Hta_4,$G33&gt;=Hba_4,Input!AG$24&lt;&gt;""),Input!$B$24&amp;";",""),IF(AND($G33&lt;Hta_5,$G33&gt;=Hba_5,Input!AG$25&lt;&gt;""),Input!$B$25&amp;";",""),IF(AND($G33&lt;Hta_6,$G33&gt;=Hba_6,Input!AG$26&lt;&gt;""),Input!$B$26&amp;";",""),IF(AND($G33&lt;Hta_7,$G33&gt;=Hba_7,Input!AG$27&lt;&gt;""),Input!$B$27&amp;";",""),IF(AND($G33&lt;Hta_8,$G33&gt;=Hba_8,Input!AG$28&lt;&gt;""),Input!$B$28&amp;";",""),IF(AND($G33&lt;Hta_9,$G33&gt;=Hba_9,Input!AG$29&lt;&gt;""),Input!$B$29&amp;";",""),IF(AND($G33&lt;Hta_10,$G33&gt;=Hba_10,Input!AG$30&lt;&gt;""),Input!$B$30&amp;";",""),IF(AND($G33&lt;Hta_11,$G33&gt;=Hba_11,Input!AG$31&lt;&gt;""),Input!$B$31&amp;";",""),IF(AND($G33&lt;Hta_12,$G33&gt;=Hba_12,Input!AG$32&lt;&gt;""),Input!$B$32&amp;";",""),IF(AND($G33&lt;Hta_13,$G33&gt;=Hba_13,Input!AG$33&lt;&gt;""),Input!$B$33&amp;";",""),IF(AND($G33&lt;Hta_14,$G33&gt;=Hba_14,Input!AG$34&lt;&gt;""),Input!$B$34&amp;";",""),IF(AND($G33&lt;Hta_15,$G33&gt;=Hba_15,Input!AG$35&lt;&gt;""),Input!$B$35&amp;";",""),IF(AND($G33&lt;Hta_16,$G33&gt;=Hba_16,Input!AG$36&lt;&gt;""),Input!$B$36&amp;";",""),IF(AND($G33&lt;Hta_17,$G33&gt;=Hba_17,Input!AG$37&lt;&gt;""),Input!$B$37&amp;";",""),IF(AND($G33&lt;Hta_18,$G33&gt;=Hba_18,Input!AG$38&lt;&gt;""),Input!$B$38&amp;";",""),IF(AND($G33&lt;Hta_19,$G33&gt;=Hba_19,Input!AG$39&lt;&gt;""),Input!$B$39&amp;";",""),IF(AND($G33&lt;Hta_20,$G33&gt;=Hba_20,Input!AG$40&lt;&gt;""),Input!$B$40&amp;";",""),IF(AND($G33&lt;Hta_21,$G33&gt;=Hba_21,Input!AG$41&lt;&gt;""),Input!$B$41&amp;";",""),IF(AND($G33&lt;Hta_22,$G33&gt;=Hba_22,Input!AG$42&lt;&gt;""),Input!$B$42&amp;";",""),IF(AND($G33&lt;Hta_23,$G33&gt;=Hba_23,Input!AG$43&lt;&gt;""),Input!$B$43&amp;";",""),IF(AND($G33&lt;Hta_24,$G33&gt;=Hba_24,Input!AG$44&lt;&gt;""),Input!$B$44&amp;";",""),IF(AND($G33&lt;Hta_25,$G33&gt;=Hba_25,Input!AG$45&lt;&gt;""),Input!$B$45&amp;";",""),IF(AND($G33&lt;Hta_26,$G33&gt;=Hba_26,Input!AG$46&lt;&gt;""),Input!$B$46&amp;";",""),IF(AND($G33&lt;Hta_27,$G33&gt;=Hba_27,Input!AG$47&lt;&gt;""),Input!$B$47&amp;";",""),IF(AND($G33&lt;Hta_28,$G33&gt;=Hba_28,Input!AG$48&lt;&gt;""),Input!$B$48&amp;";",""),IF(AND($G33&lt;Hta_29,$G33&gt;=Hba_29,Input!AG$49&lt;&gt;""),Input!$B$49&amp;";",""),IF(AND($G33&lt;Hta_30,$G33&gt;=Hba_30,Input!AG$50&lt;&gt;""),Input!$B$50&amp;";","")),"")</f>
        <v/>
      </c>
      <c r="CI33" s="25" t="str">
        <f>IFERROR(CONCATENATE(IF(AND($G33&lt;Hta_1,$G33&gt;=Hba_1,Input!AH$21&lt;&gt;""),Input!$B$21&amp;";",""),IF(AND($G33&lt;Hta_2,$G33&gt;=Hba_2,Input!AH$22&lt;&gt;""),Input!$B$22&amp;";",""),IF(AND($G33&lt;Hta_3,$G33&gt;=Hba_3,Input!AH$23&lt;&gt;""),Input!$B$23&amp;";",""),IF(AND($G33&lt;Hta_4,$G33&gt;=Hba_4,Input!AH$24&lt;&gt;""),Input!$B$24&amp;";",""),IF(AND($G33&lt;Hta_5,$G33&gt;=Hba_5,Input!AH$25&lt;&gt;""),Input!$B$25&amp;";",""),IF(AND($G33&lt;Hta_6,$G33&gt;=Hba_6,Input!AH$26&lt;&gt;""),Input!$B$26&amp;";",""),IF(AND($G33&lt;Hta_7,$G33&gt;=Hba_7,Input!AH$27&lt;&gt;""),Input!$B$27&amp;";",""),IF(AND($G33&lt;Hta_8,$G33&gt;=Hba_8,Input!AH$28&lt;&gt;""),Input!$B$28&amp;";",""),IF(AND($G33&lt;Hta_9,$G33&gt;=Hba_9,Input!AH$29&lt;&gt;""),Input!$B$29&amp;";",""),IF(AND($G33&lt;Hta_10,$G33&gt;=Hba_10,Input!AH$30&lt;&gt;""),Input!$B$30&amp;";",""),IF(AND($G33&lt;Hta_11,$G33&gt;=Hba_11,Input!AH$31&lt;&gt;""),Input!$B$31&amp;";",""),IF(AND($G33&lt;Hta_12,$G33&gt;=Hba_12,Input!AH$32&lt;&gt;""),Input!$B$32&amp;";",""),IF(AND($G33&lt;Hta_13,$G33&gt;=Hba_13,Input!AH$33&lt;&gt;""),Input!$B$33&amp;";",""),IF(AND($G33&lt;Hta_14,$G33&gt;=Hba_14,Input!AH$34&lt;&gt;""),Input!$B$34&amp;";",""),IF(AND($G33&lt;Hta_15,$G33&gt;=Hba_15,Input!AH$35&lt;&gt;""),Input!$B$35&amp;";",""),IF(AND($G33&lt;Hta_16,$G33&gt;=Hba_16,Input!AH$36&lt;&gt;""),Input!$B$36&amp;";",""),IF(AND($G33&lt;Hta_17,$G33&gt;=Hba_17,Input!AH$37&lt;&gt;""),Input!$B$37&amp;";",""),IF(AND($G33&lt;Hta_18,$G33&gt;=Hba_18,Input!AH$38&lt;&gt;""),Input!$B$38&amp;";",""),IF(AND($G33&lt;Hta_19,$G33&gt;=Hba_19,Input!AH$39&lt;&gt;""),Input!$B$39&amp;";",""),IF(AND($G33&lt;Hta_20,$G33&gt;=Hba_20,Input!AH$40&lt;&gt;""),Input!$B$40&amp;";",""),IF(AND($G33&lt;Hta_21,$G33&gt;=Hba_21,Input!AH$41&lt;&gt;""),Input!$B$41&amp;";",""),IF(AND($G33&lt;Hta_22,$G33&gt;=Hba_22,Input!AH$42&lt;&gt;""),Input!$B$42&amp;";",""),IF(AND($G33&lt;Hta_23,$G33&gt;=Hba_23,Input!AH$43&lt;&gt;""),Input!$B$43&amp;";",""),IF(AND($G33&lt;Hta_24,$G33&gt;=Hba_24,Input!AH$44&lt;&gt;""),Input!$B$44&amp;";",""),IF(AND($G33&lt;Hta_25,$G33&gt;=Hba_25,Input!AH$45&lt;&gt;""),Input!$B$45&amp;";",""),IF(AND($G33&lt;Hta_26,$G33&gt;=Hba_26,Input!AH$46&lt;&gt;""),Input!$B$46&amp;";",""),IF(AND($G33&lt;Hta_27,$G33&gt;=Hba_27,Input!AH$47&lt;&gt;""),Input!$B$47&amp;";",""),IF(AND($G33&lt;Hta_28,$G33&gt;=Hba_28,Input!AH$48&lt;&gt;""),Input!$B$48&amp;";",""),IF(AND($G33&lt;Hta_29,$G33&gt;=Hba_29,Input!AH$49&lt;&gt;""),Input!$B$49&amp;";",""),IF(AND($G33&lt;Hta_30,$G33&gt;=Hba_30,Input!AH$50&lt;&gt;""),Input!$B$50&amp;";","")),"")</f>
        <v/>
      </c>
      <c r="CJ33" s="25" t="str">
        <f>IFERROR(CONCATENATE(IF(AND($G33&lt;Hta_1,$G33&gt;=Hba_1,Input!AI$21&lt;&gt;""),Input!$B$21&amp;";",""),IF(AND($G33&lt;Hta_2,$G33&gt;=Hba_2,Input!AI$22&lt;&gt;""),Input!$B$22&amp;";",""),IF(AND($G33&lt;Hta_3,$G33&gt;=Hba_3,Input!AI$23&lt;&gt;""),Input!$B$23&amp;";",""),IF(AND($G33&lt;Hta_4,$G33&gt;=Hba_4,Input!AI$24&lt;&gt;""),Input!$B$24&amp;";",""),IF(AND($G33&lt;Hta_5,$G33&gt;=Hba_5,Input!AI$25&lt;&gt;""),Input!$B$25&amp;";",""),IF(AND($G33&lt;Hta_6,$G33&gt;=Hba_6,Input!AI$26&lt;&gt;""),Input!$B$26&amp;";",""),IF(AND($G33&lt;Hta_7,$G33&gt;=Hba_7,Input!AI$27&lt;&gt;""),Input!$B$27&amp;";",""),IF(AND($G33&lt;Hta_8,$G33&gt;=Hba_8,Input!AI$28&lt;&gt;""),Input!$B$28&amp;";",""),IF(AND($G33&lt;Hta_9,$G33&gt;=Hba_9,Input!AI$29&lt;&gt;""),Input!$B$29&amp;";",""),IF(AND($G33&lt;Hta_10,$G33&gt;=Hba_10,Input!AI$30&lt;&gt;""),Input!$B$30&amp;";",""),IF(AND($G33&lt;Hta_11,$G33&gt;=Hba_11,Input!AI$31&lt;&gt;""),Input!$B$31&amp;";",""),IF(AND($G33&lt;Hta_12,$G33&gt;=Hba_12,Input!AI$32&lt;&gt;""),Input!$B$32&amp;";",""),IF(AND($G33&lt;Hta_13,$G33&gt;=Hba_13,Input!AI$33&lt;&gt;""),Input!$B$33&amp;";",""),IF(AND($G33&lt;Hta_14,$G33&gt;=Hba_14,Input!AI$34&lt;&gt;""),Input!$B$34&amp;";",""),IF(AND($G33&lt;Hta_15,$G33&gt;=Hba_15,Input!AI$35&lt;&gt;""),Input!$B$35&amp;";",""),IF(AND($G33&lt;Hta_16,$G33&gt;=Hba_16,Input!AI$36&lt;&gt;""),Input!$B$36&amp;";",""),IF(AND($G33&lt;Hta_17,$G33&gt;=Hba_17,Input!AI$37&lt;&gt;""),Input!$B$37&amp;";",""),IF(AND($G33&lt;Hta_18,$G33&gt;=Hba_18,Input!AI$38&lt;&gt;""),Input!$B$38&amp;";",""),IF(AND($G33&lt;Hta_19,$G33&gt;=Hba_19,Input!AI$39&lt;&gt;""),Input!$B$39&amp;";",""),IF(AND($G33&lt;Hta_20,$G33&gt;=Hba_20,Input!AI$40&lt;&gt;""),Input!$B$40&amp;";",""),IF(AND($G33&lt;Hta_21,$G33&gt;=Hba_21,Input!AI$41&lt;&gt;""),Input!$B$41&amp;";",""),IF(AND($G33&lt;Hta_22,$G33&gt;=Hba_22,Input!AI$42&lt;&gt;""),Input!$B$42&amp;";",""),IF(AND($G33&lt;Hta_23,$G33&gt;=Hba_23,Input!AI$43&lt;&gt;""),Input!$B$43&amp;";",""),IF(AND($G33&lt;Hta_24,$G33&gt;=Hba_24,Input!AI$44&lt;&gt;""),Input!$B$44&amp;";",""),IF(AND($G33&lt;Hta_25,$G33&gt;=Hba_25,Input!AI$45&lt;&gt;""),Input!$B$45&amp;";",""),IF(AND($G33&lt;Hta_26,$G33&gt;=Hba_26,Input!AI$46&lt;&gt;""),Input!$B$46&amp;";",""),IF(AND($G33&lt;Hta_27,$G33&gt;=Hba_27,Input!AI$47&lt;&gt;""),Input!$B$47&amp;";",""),IF(AND($G33&lt;Hta_28,$G33&gt;=Hba_28,Input!AI$48&lt;&gt;""),Input!$B$48&amp;";",""),IF(AND($G33&lt;Hta_29,$G33&gt;=Hba_29,Input!AI$49&lt;&gt;""),Input!$B$49&amp;";",""),IF(AND($G33&lt;Hta_30,$G33&gt;=Hba_30,Input!AI$50&lt;&gt;""),Input!$B$50&amp;";","")),"")</f>
        <v/>
      </c>
      <c r="CK33" s="25" t="str">
        <f>IFERROR(CONCATENATE(IF(AND($G33&lt;Hta_1,$G33&gt;=Hba_1,Input!AJ$21&lt;&gt;""),Input!$B$21&amp;";",""),IF(AND($G33&lt;Hta_2,$G33&gt;=Hba_2,Input!AJ$22&lt;&gt;""),Input!$B$22&amp;";",""),IF(AND($G33&lt;Hta_3,$G33&gt;=Hba_3,Input!AJ$23&lt;&gt;""),Input!$B$23&amp;";",""),IF(AND($G33&lt;Hta_4,$G33&gt;=Hba_4,Input!AJ$24&lt;&gt;""),Input!$B$24&amp;";",""),IF(AND($G33&lt;Hta_5,$G33&gt;=Hba_5,Input!AJ$25&lt;&gt;""),Input!$B$25&amp;";",""),IF(AND($G33&lt;Hta_6,$G33&gt;=Hba_6,Input!AJ$26&lt;&gt;""),Input!$B$26&amp;";",""),IF(AND($G33&lt;Hta_7,$G33&gt;=Hba_7,Input!AJ$27&lt;&gt;""),Input!$B$27&amp;";",""),IF(AND($G33&lt;Hta_8,$G33&gt;=Hba_8,Input!AJ$28&lt;&gt;""),Input!$B$28&amp;";",""),IF(AND($G33&lt;Hta_9,$G33&gt;=Hba_9,Input!AJ$29&lt;&gt;""),Input!$B$29&amp;";",""),IF(AND($G33&lt;Hta_10,$G33&gt;=Hba_10,Input!AJ$30&lt;&gt;""),Input!$B$30&amp;";",""),IF(AND($G33&lt;Hta_11,$G33&gt;=Hba_11,Input!AJ$31&lt;&gt;""),Input!$B$31&amp;";",""),IF(AND($G33&lt;Hta_12,$G33&gt;=Hba_12,Input!AJ$32&lt;&gt;""),Input!$B$32&amp;";",""),IF(AND($G33&lt;Hta_13,$G33&gt;=Hba_13,Input!AJ$33&lt;&gt;""),Input!$B$33&amp;";",""),IF(AND($G33&lt;Hta_14,$G33&gt;=Hba_14,Input!AJ$34&lt;&gt;""),Input!$B$34&amp;";",""),IF(AND($G33&lt;Hta_15,$G33&gt;=Hba_15,Input!AJ$35&lt;&gt;""),Input!$B$35&amp;";",""),IF(AND($G33&lt;Hta_16,$G33&gt;=Hba_16,Input!AJ$36&lt;&gt;""),Input!$B$36&amp;";",""),IF(AND($G33&lt;Hta_17,$G33&gt;=Hba_17,Input!AJ$37&lt;&gt;""),Input!$B$37&amp;";",""),IF(AND($G33&lt;Hta_18,$G33&gt;=Hba_18,Input!AJ$38&lt;&gt;""),Input!$B$38&amp;";",""),IF(AND($G33&lt;Hta_19,$G33&gt;=Hba_19,Input!AJ$39&lt;&gt;""),Input!$B$39&amp;";",""),IF(AND($G33&lt;Hta_20,$G33&gt;=Hba_20,Input!AJ$40&lt;&gt;""),Input!$B$40&amp;";",""),IF(AND($G33&lt;Hta_21,$G33&gt;=Hba_21,Input!AJ$41&lt;&gt;""),Input!$B$41&amp;";",""),IF(AND($G33&lt;Hta_22,$G33&gt;=Hba_22,Input!AJ$42&lt;&gt;""),Input!$B$42&amp;";",""),IF(AND($G33&lt;Hta_23,$G33&gt;=Hba_23,Input!AJ$43&lt;&gt;""),Input!$B$43&amp;";",""),IF(AND($G33&lt;Hta_24,$G33&gt;=Hba_24,Input!AJ$44&lt;&gt;""),Input!$B$44&amp;";",""),IF(AND($G33&lt;Hta_25,$G33&gt;=Hba_25,Input!AJ$45&lt;&gt;""),Input!$B$45&amp;";",""),IF(AND($G33&lt;Hta_26,$G33&gt;=Hba_26,Input!AJ$46&lt;&gt;""),Input!$B$46&amp;";",""),IF(AND($G33&lt;Hta_27,$G33&gt;=Hba_27,Input!AJ$47&lt;&gt;""),Input!$B$47&amp;";",""),IF(AND($G33&lt;Hta_28,$G33&gt;=Hba_28,Input!AJ$48&lt;&gt;""),Input!$B$48&amp;";",""),IF(AND($G33&lt;Hta_29,$G33&gt;=Hba_29,Input!AJ$49&lt;&gt;""),Input!$B$49&amp;";",""),IF(AND($G33&lt;Hta_30,$G33&gt;=Hba_30,Input!AJ$50&lt;&gt;""),Input!$B$50&amp;";","")),"")</f>
        <v/>
      </c>
      <c r="CL33" s="25" t="str">
        <f>IFERROR(CONCATENATE(IF(AND($G33&lt;Hta_1,$G33&gt;=Hba_1,Input!AK$21&lt;&gt;""),Input!$B$21&amp;";",""),IF(AND($G33&lt;Hta_2,$G33&gt;=Hba_2,Input!AK$22&lt;&gt;""),Input!$B$22&amp;";",""),IF(AND($G33&lt;Hta_3,$G33&gt;=Hba_3,Input!AK$23&lt;&gt;""),Input!$B$23&amp;";",""),IF(AND($G33&lt;Hta_4,$G33&gt;=Hba_4,Input!AK$24&lt;&gt;""),Input!$B$24&amp;";",""),IF(AND($G33&lt;Hta_5,$G33&gt;=Hba_5,Input!AK$25&lt;&gt;""),Input!$B$25&amp;";",""),IF(AND($G33&lt;Hta_6,$G33&gt;=Hba_6,Input!AK$26&lt;&gt;""),Input!$B$26&amp;";",""),IF(AND($G33&lt;Hta_7,$G33&gt;=Hba_7,Input!AK$27&lt;&gt;""),Input!$B$27&amp;";",""),IF(AND($G33&lt;Hta_8,$G33&gt;=Hba_8,Input!AK$28&lt;&gt;""),Input!$B$28&amp;";",""),IF(AND($G33&lt;Hta_9,$G33&gt;=Hba_9,Input!AK$29&lt;&gt;""),Input!$B$29&amp;";",""),IF(AND($G33&lt;Hta_10,$G33&gt;=Hba_10,Input!AK$30&lt;&gt;""),Input!$B$30&amp;";",""),IF(AND($G33&lt;Hta_11,$G33&gt;=Hba_11,Input!AK$31&lt;&gt;""),Input!$B$31&amp;";",""),IF(AND($G33&lt;Hta_12,$G33&gt;=Hba_12,Input!AK$32&lt;&gt;""),Input!$B$32&amp;";",""),IF(AND($G33&lt;Hta_13,$G33&gt;=Hba_13,Input!AK$33&lt;&gt;""),Input!$B$33&amp;";",""),IF(AND($G33&lt;Hta_14,$G33&gt;=Hba_14,Input!AK$34&lt;&gt;""),Input!$B$34&amp;";",""),IF(AND($G33&lt;Hta_15,$G33&gt;=Hba_15,Input!AK$35&lt;&gt;""),Input!$B$35&amp;";",""),IF(AND($G33&lt;Hta_16,$G33&gt;=Hba_16,Input!AK$36&lt;&gt;""),Input!$B$36&amp;";",""),IF(AND($G33&lt;Hta_17,$G33&gt;=Hba_17,Input!AK$37&lt;&gt;""),Input!$B$37&amp;";",""),IF(AND($G33&lt;Hta_18,$G33&gt;=Hba_18,Input!AK$38&lt;&gt;""),Input!$B$38&amp;";",""),IF(AND($G33&lt;Hta_19,$G33&gt;=Hba_19,Input!AK$39&lt;&gt;""),Input!$B$39&amp;";",""),IF(AND($G33&lt;Hta_20,$G33&gt;=Hba_20,Input!AK$40&lt;&gt;""),Input!$B$40&amp;";",""),IF(AND($G33&lt;Hta_21,$G33&gt;=Hba_21,Input!AK$41&lt;&gt;""),Input!$B$41&amp;";",""),IF(AND($G33&lt;Hta_22,$G33&gt;=Hba_22,Input!AK$42&lt;&gt;""),Input!$B$42&amp;";",""),IF(AND($G33&lt;Hta_23,$G33&gt;=Hba_23,Input!AK$43&lt;&gt;""),Input!$B$43&amp;";",""),IF(AND($G33&lt;Hta_24,$G33&gt;=Hba_24,Input!AK$44&lt;&gt;""),Input!$B$44&amp;";",""),IF(AND($G33&lt;Hta_25,$G33&gt;=Hba_25,Input!AK$45&lt;&gt;""),Input!$B$45&amp;";",""),IF(AND($G33&lt;Hta_26,$G33&gt;=Hba_26,Input!AK$46&lt;&gt;""),Input!$B$46&amp;";",""),IF(AND($G33&lt;Hta_27,$G33&gt;=Hba_27,Input!AK$47&lt;&gt;""),Input!$B$47&amp;";",""),IF(AND($G33&lt;Hta_28,$G33&gt;=Hba_28,Input!AK$48&lt;&gt;""),Input!$B$48&amp;";",""),IF(AND($G33&lt;Hta_29,$G33&gt;=Hba_29,Input!AK$49&lt;&gt;""),Input!$B$49&amp;";",""),IF(AND($G33&lt;Hta_30,$G33&gt;=Hba_30,Input!AK$50&lt;&gt;""),Input!$B$50&amp;";","")),"")</f>
        <v/>
      </c>
      <c r="CM33" s="25" t="str">
        <f>IFERROR(CONCATENATE(IF(AND($G33&lt;Hta_1,$G33&gt;=Hba_1,Input!AL$21&lt;&gt;""),Input!$B$21&amp;";",""),IF(AND($G33&lt;Hta_2,$G33&gt;=Hba_2,Input!AL$22&lt;&gt;""),Input!$B$22&amp;";",""),IF(AND($G33&lt;Hta_3,$G33&gt;=Hba_3,Input!AL$23&lt;&gt;""),Input!$B$23&amp;";",""),IF(AND($G33&lt;Hta_4,$G33&gt;=Hba_4,Input!AL$24&lt;&gt;""),Input!$B$24&amp;";",""),IF(AND($G33&lt;Hta_5,$G33&gt;=Hba_5,Input!AL$25&lt;&gt;""),Input!$B$25&amp;";",""),IF(AND($G33&lt;Hta_6,$G33&gt;=Hba_6,Input!AL$26&lt;&gt;""),Input!$B$26&amp;";",""),IF(AND($G33&lt;Hta_7,$G33&gt;=Hba_7,Input!AL$27&lt;&gt;""),Input!$B$27&amp;";",""),IF(AND($G33&lt;Hta_8,$G33&gt;=Hba_8,Input!AL$28&lt;&gt;""),Input!$B$28&amp;";",""),IF(AND($G33&lt;Hta_9,$G33&gt;=Hba_9,Input!AL$29&lt;&gt;""),Input!$B$29&amp;";",""),IF(AND($G33&lt;Hta_10,$G33&gt;=Hba_10,Input!AL$30&lt;&gt;""),Input!$B$30&amp;";",""),IF(AND($G33&lt;Hta_11,$G33&gt;=Hba_11,Input!AL$31&lt;&gt;""),Input!$B$31&amp;";",""),IF(AND($G33&lt;Hta_12,$G33&gt;=Hba_12,Input!AL$32&lt;&gt;""),Input!$B$32&amp;";",""),IF(AND($G33&lt;Hta_13,$G33&gt;=Hba_13,Input!AL$33&lt;&gt;""),Input!$B$33&amp;";",""),IF(AND($G33&lt;Hta_14,$G33&gt;=Hba_14,Input!AL$34&lt;&gt;""),Input!$B$34&amp;";",""),IF(AND($G33&lt;Hta_15,$G33&gt;=Hba_15,Input!AL$35&lt;&gt;""),Input!$B$35&amp;";",""),IF(AND($G33&lt;Hta_16,$G33&gt;=Hba_16,Input!AL$36&lt;&gt;""),Input!$B$36&amp;";",""),IF(AND($G33&lt;Hta_17,$G33&gt;=Hba_17,Input!AL$37&lt;&gt;""),Input!$B$37&amp;";",""),IF(AND($G33&lt;Hta_18,$G33&gt;=Hba_18,Input!AL$38&lt;&gt;""),Input!$B$38&amp;";",""),IF(AND($G33&lt;Hta_19,$G33&gt;=Hba_19,Input!AL$39&lt;&gt;""),Input!$B$39&amp;";",""),IF(AND($G33&lt;Hta_20,$G33&gt;=Hba_20,Input!AL$40&lt;&gt;""),Input!$B$40&amp;";",""),IF(AND($G33&lt;Hta_21,$G33&gt;=Hba_21,Input!AL$41&lt;&gt;""),Input!$B$41&amp;";",""),IF(AND($G33&lt;Hta_22,$G33&gt;=Hba_22,Input!AL$42&lt;&gt;""),Input!$B$42&amp;";",""),IF(AND($G33&lt;Hta_23,$G33&gt;=Hba_23,Input!AL$43&lt;&gt;""),Input!$B$43&amp;";",""),IF(AND($G33&lt;Hta_24,$G33&gt;=Hba_24,Input!AL$44&lt;&gt;""),Input!$B$44&amp;";",""),IF(AND($G33&lt;Hta_25,$G33&gt;=Hba_25,Input!AL$45&lt;&gt;""),Input!$B$45&amp;";",""),IF(AND($G33&lt;Hta_26,$G33&gt;=Hba_26,Input!AL$46&lt;&gt;""),Input!$B$46&amp;";",""),IF(AND($G33&lt;Hta_27,$G33&gt;=Hba_27,Input!AL$47&lt;&gt;""),Input!$B$47&amp;";",""),IF(AND($G33&lt;Hta_28,$G33&gt;=Hba_28,Input!AL$48&lt;&gt;""),Input!$B$48&amp;";",""),IF(AND($G33&lt;Hta_29,$G33&gt;=Hba_29,Input!AL$49&lt;&gt;""),Input!$B$49&amp;";",""),IF(AND($G33&lt;Hta_30,$G33&gt;=Hba_30,Input!AL$50&lt;&gt;""),Input!$B$50&amp;";","")),"")</f>
        <v/>
      </c>
      <c r="CN33" s="60" t="str">
        <f t="shared" si="6"/>
        <v/>
      </c>
      <c r="CO33" s="798"/>
      <c r="CP33" s="799"/>
      <c r="CQ33" s="800"/>
      <c r="CR33" s="798"/>
      <c r="CS33" s="799"/>
      <c r="CT33" s="800"/>
      <c r="CU33" s="798" t="str">
        <f t="shared" si="7"/>
        <v/>
      </c>
      <c r="CV33" s="799"/>
      <c r="CW33" s="806"/>
      <c r="CX33" s="726"/>
      <c r="CY33" s="727"/>
      <c r="CZ33" s="732"/>
      <c r="DA33" s="726"/>
      <c r="DB33" s="727"/>
      <c r="DC33" s="732"/>
      <c r="DD33" s="726" t="str">
        <f t="shared" si="8"/>
        <v/>
      </c>
      <c r="DE33" s="727"/>
      <c r="DF33" s="728"/>
      <c r="DG33" s="53"/>
      <c r="DH33" s="54"/>
      <c r="DI33" s="54"/>
      <c r="DJ33" s="54"/>
      <c r="DK33" s="54"/>
      <c r="DL33" s="54"/>
      <c r="DM33" s="54"/>
      <c r="DN33" s="54"/>
      <c r="DO33" s="54"/>
      <c r="DP33" s="54"/>
      <c r="DQ33" s="57"/>
      <c r="DR33" s="57"/>
      <c r="DS33" s="57"/>
      <c r="DT33" s="57"/>
      <c r="DU33" s="57"/>
      <c r="DV33" s="57"/>
      <c r="DW33" s="57"/>
      <c r="DX33" s="57"/>
      <c r="DY33" s="57"/>
      <c r="DZ33" s="57"/>
      <c r="EA33" s="57"/>
      <c r="EB33" s="57"/>
      <c r="EC33" s="57"/>
      <c r="ED33" s="57"/>
      <c r="EE33" s="57"/>
      <c r="EF33" s="57"/>
      <c r="EG33" s="57"/>
      <c r="EH33" s="57"/>
      <c r="EI33" s="57"/>
      <c r="EJ33" s="57"/>
      <c r="EK33" s="57"/>
      <c r="EL33" s="133"/>
      <c r="EM33" s="133"/>
      <c r="EN33" s="133"/>
      <c r="EO33" s="133"/>
      <c r="EP33" s="133"/>
      <c r="EQ33" s="133"/>
      <c r="ER33" s="133"/>
      <c r="ES33" s="133"/>
      <c r="ET33" s="133"/>
      <c r="EU33" s="133"/>
      <c r="EV33" s="133"/>
      <c r="EW33" s="133"/>
      <c r="EX33" s="133"/>
      <c r="EY33" s="133"/>
      <c r="EZ33" s="133"/>
      <c r="FA33" s="133"/>
      <c r="FB33" s="133"/>
      <c r="FC33" s="133"/>
      <c r="FD33" s="133"/>
      <c r="FE33" s="133"/>
      <c r="FF33" s="133"/>
      <c r="FG33" s="133"/>
      <c r="FH33" s="133"/>
      <c r="FI33" s="133"/>
      <c r="FJ33" s="133"/>
      <c r="FK33" s="133"/>
      <c r="FL33" s="133"/>
      <c r="FM33" s="133"/>
      <c r="FN33" s="133"/>
      <c r="FO33" s="133"/>
      <c r="FP33" s="65"/>
      <c r="FQ33" s="125"/>
      <c r="FR33" s="123"/>
      <c r="FS33" s="121"/>
      <c r="FT33" s="119"/>
    </row>
    <row r="34" spans="2:176" ht="15.75" hidden="1" customHeight="1" thickBot="1" x14ac:dyDescent="0.3">
      <c r="B34" s="62" t="b">
        <f>IF(OR(AND(G34&gt;='Geometry 2'!$AK$5,G34&lt;'Geometry 2'!$AL$5),AND(G34&gt;='Geometry 2'!$AK$6,G34&lt;'Geometry 2'!$AL$6),AND(G34&gt;='Geometry 2'!$AK$7,G34&lt;'Geometry 2'!$AL$7),AND(G34&gt;='Geometry 2'!$AK$8,G34&lt;'Geometry 2'!$AL$8),AND(G34&gt;='Geometry 2'!$AK$9,G34&lt;'Geometry 2'!$AL$9),AND(G34&gt;='Geometry 2'!$AK$10,G34&lt;'Geometry 2'!$AL$10),AND(G34&gt;='Geometry 2'!$AK$11,G34&lt;'Geometry 2'!$AL$11),AND(G34&gt;='Geometry 2'!$AK$12,G34&lt;'Geometry 2'!$AL$12),AND(G34&gt;='Geometry 2'!$AK$13,G34&lt;'Geometry 2'!$AL$13),AND(G34&gt;='Geometry 2'!$AK$14,G34&lt;'Geometry 2'!$AL$14)),TRUE,FALSE)</f>
        <v>0</v>
      </c>
      <c r="C34" s="4" t="str">
        <f t="shared" si="3"/>
        <v/>
      </c>
      <c r="D34" s="766" t="str">
        <f t="shared" si="4"/>
        <v/>
      </c>
      <c r="E34" s="767"/>
      <c r="F34" s="17" t="str">
        <f t="shared" si="2"/>
        <v/>
      </c>
      <c r="G34" s="768" t="str">
        <f>IF(D34="","",MAX(0,G33-IF(inc="n/a",999,inc),MAX(IF(G33&lt;=Hta_1,0,Hta_1),IF(G33&lt;=Hta_2,0,Hta_2),IF(G33&lt;=Hta_3,0,Hta_3),IF(G33&lt;=Hta_4,0,Hta_4),IF(G33&lt;=Hta_5,0,Hta_5),IF(G33&lt;=Hta_6,0,Hta_6),IF(G33&lt;=Hta_7,0,Hta_7),IF(G33&lt;=Hta_8,0,Hta_8),IF(G33&lt;=Hta_9,0,Hta_9),IF(G33&lt;=Hta_10,0,Hta_10),IF(G33&lt;=Hta_11,0,Hta_11),IF(G33&lt;=Hta_12,0,Hta_12),IF(G33&lt;=Hta_13,0,Hta_13),IF(G33&lt;=Hta_14,0,Hta_14),IF(G33&lt;=Hta_15,0,Hta_15),IF(G33&lt;=Hta_16,0,Hta_16),IF(G33&lt;=Hta_17,0,Hta_17),IF(G33&lt;=Hta_18,0,Hta_18),IF(G33&lt;=Hta_19,0,Hta_19),IF(G33&lt;=Hta_20,0,Hta_20),IF(G33&lt;=Hta_21,0,Hta_21),IF(G33&lt;=Hta_22,0,Hta_22),IF(G33&lt;=Hta_23,0,Hta_23),IF(G33&lt;=Hta_24,0,Hta_24),IF(G33&lt;=Hta_25,0,Hta_25),IF(G33&lt;=Hta_26,0,Hta_26),IF(G33&lt;=Hta_27,0,Hta_27),IF(G33&lt;=Hta_28,0,Hta_28),IF(G33&lt;=Hta_29,0,Hta_29),IF(G33&lt;=Hta_30,0,Hta_30)),MAX(IF(G33&lt;=Hta_1-0.25,0,Hta_1-0.25),IF(G33&lt;=Hta_2-0.25,0,Hta_2-0.25),IF(G33&lt;=Hta_3-0.25,0,Hta_3-0.25),IF(G33&lt;=Hta_4-0.25,0,Hta_4-0.25),IF(G33&lt;=Hta_5-0.25,0,Hta_5-0.25),IF(G33&lt;=Hta_6-0.25,0,Hta_6-0.25),IF(G33&lt;=Hta_7-0.25,0,Hta_7-0.25),IF(G33&lt;=Hta_8-0.25,0,Hta_8-0.25),IF(G33&lt;=Hta_9-0.25,0,Hta_9-0.25),IF(G33&lt;=Hta_10-0.25,0,Hta_10-0.25),IF(G33&lt;=Hta_11-0.25,0,Hta_11-0.25),IF(G33&lt;=Hta_12-0.25,0,Hta_12-0.25),IF(G33&lt;=Hta_13-0.25,0,Hta_13-0.25),IF(G33&lt;=Hta_14-0.25,0,Hta_14-0.25),IF(G33&lt;=Hta_15-0.25,0,Hta_15-0.25),IF(G33&lt;=Hta_16-0.25,0,Hta_16-0.25),IF(G33&lt;=Hta_17-0.25,0,Hta_17-0.25),IF(G33&lt;=Hta_18-0.25,0,Hta_18-0.25),IF(G33&lt;=Hta_19-0.25,0,Hta_19-0.25),IF(G33&lt;=Hta_20-0.25,0,Hta_20-0.25),IF(G33&lt;=Hta_21-0.25,0,Hta_21-0.25),IF(G33&lt;=Hta_22-0.25,0,Hta_22-0.25),IF(G33&lt;=Hta_23-0.25,0,Hta_23-0.25),IF(G33&lt;=Hta_24-0.25,0,Hta_24-0.25),IF(G33&lt;=Hta_25-0.25,0,Hta_25-0.25),IF(G33&lt;=Hta_26-0.25,0,Hta_26-0.25),IF(G33&lt;=Hta_27-0.25,0,Hta_27-0.25),IF(G33&lt;=Hta_28-0.25,0,Hta_28-0.25),IF(G33&lt;=Hta_29-0.25,0,Hta_29-0.25),IF(G33&lt;=Hta_30-0.25,0,Hta_30-0.25)),MAX(IF(G33&lt;=Hba_1,0,Hba_1),IF(G33&lt;=Hba_2,0,Hba_2),IF(G33&lt;=Hba_3,0,Hba_3),IF(G33&lt;=Hba_4,0,Hba_4),IF(G33&lt;=Hba_5,0,Hba_5),IF(G33&lt;=Hba_6,0,Hba_6),IF(G33&lt;=Hba_7,0,Hba_7),IF(G33&lt;=Hba_8,0,Hba_8),IF(G33&lt;=Hba_9,0,Hba_9),IF(G33&lt;=Hba_10,0,Hba_10),IF(G33&lt;=Hba_11,0,Hba_11),IF(G33&lt;=Hba_12,0,Hba_12),IF(G33&lt;=Hba_13,0,Hba_13),IF(G33&lt;=Hba_14,0,Hba_14),IF(G33&lt;=Hba_15,0,Hba_15),IF(G33&lt;=Hba_16,0,Hba_16),IF(G33&lt;=Hba_17,0,Hba_17),IF(G33&lt;=Hba_18,0,Hba_18),IF(G33&lt;=Hba_19,0,Hba_19),IF(G33&lt;=Hba_20,0,Hba_20),IF(G33&lt;=Hba_21,0,Hba_21),IF(G33&lt;=Hba_22,0,Hba_22),IF(G33&lt;=Hba_23,0,Hba_23),IF(G33&lt;=Hba_24,0,Hba_24),IF(G33&lt;=Hba_25,0,Hba_25),IF(G33&lt;=Hba_26,0,Hba_26),IF(G33&lt;=Hba_27,0,Hba_27),IF(G33&lt;=Hba_28,0,Hba_28),IF(G33&lt;=Hba_29,0,Hba_29),IF(G33&lt;=Hba_30,0,Hba_30)),MAX(IF(G33&lt;=Input!$C$8,0,Input!$C$8),IF(G33&lt;=Input!$C$9,0,Input!$C$9),IF(G33&lt;=Input!$C$10,0,Input!$C$10),IF(G33&lt;=Input!$C$11,0,Input!$C$11),IF(G33&lt;=Input!$C$12,0,Input!$C$12),IF(G33&lt;=Input!$C$13,0,Input!$C$13),IF(G33&lt;=Input!$C$14,0,Input!$C$14),IF(G33&lt;=Input!$C$15,0,Input!$C$15),IF(G33&lt;=Input!$C$16,0,Input!$C$16)),MAX(IF(G33&lt;=Hba_1-0.25,0,Hba_1-0.25),IF(G33&lt;=Hba_2-0.25,0,Hba_2-0.25),IF(G33&lt;=Hba_3-0.25,0,Hba_3-0.25),IF(G33&lt;=Hba_4-0.25,0,Hba_4-0.25),IF(G33&lt;=Hba_5-0.25,0,Hba_5-0.25),IF(G33&lt;=Hba_6-0.25,0,Hba_6-0.25),IF(G33&lt;=Hba_7-0.25,0,Hba_7-0.25),IF(G33&lt;=Hba_8-0.25,0,Hba_8-0.25),IF(G33&lt;=Hba_9-0.25,0,Hba_9-0.25),IF(G33&lt;=Hba_10-0.25,0,Hba_10-0.25),IF(G33&lt;=Hba_11-0.25,0,Hba_11-0.25),IF(G33&lt;=Hba_12-0.25,0,Hba_12-0.25),IF(G33&lt;=Hba_13-0.25,0,Hba_13-0.25),IF(G33&lt;=Hba_14-0.25,0,Hba_14-0.25),IF(G33&lt;=Hba_15-0.25,0,Hba_15-0.25),IF(G33&lt;=Hba_16-0.25,0,Hba_16-0.25),IF(G33&lt;=Hba_17-0.25,0,Hba_17-0.25),IF(G33&lt;=Hba_18-0.25,0,Hba_18-0.25),IF(G33&lt;=Hba_19-0.25,0,Hba_19-0.25),IF(G33&lt;=Hba_20-0.25,0,Hba_20-0.25),IF(G33&lt;=Hba_21-0.25,0,Hba_21-0.25),IF(G33&lt;=Hba_22-0.25,0,Hba_22-0.25),IF(G33&lt;=Hba_23-0.25,0,Hba_23-0.25),IF(G33&lt;=Hba_24-0.25,0,Hba_24-0.25),IF(G33&lt;=Hba_25-0.25,0,Hba_25-0.25),IF(G33&lt;=Hba_26-0.25,0,Hba_26-0.25),IF(G33&lt;=Hba_27-0.25,0,Hba_27-0.25),IF(G33&lt;=Hba_28-0.25,0,Hba_28-0.25),IF(G33&lt;=Hba_29-0.25,0,Hba_29-0.25),IF(G33&lt;=Hba_30-0.25,0,Hba_30-0.25)),IF(G33&lt;='Macro References'!$A$38,0,'Macro References'!$A$38)))</f>
        <v/>
      </c>
      <c r="H34" s="769"/>
      <c r="I34" s="228"/>
      <c r="J34" s="228"/>
      <c r="K34" s="228"/>
      <c r="L34" s="717" t="str">
        <f t="shared" si="0"/>
        <v/>
      </c>
      <c r="M34" s="717"/>
      <c r="N34" s="717"/>
      <c r="O34" s="717"/>
      <c r="P34" s="717" t="str">
        <f>IF(OR(G34=0,G34=""),"",IF(VLOOKUP(G34,'Geometry 2'!$C$4:$AI$14,1,TRUE)=VLOOKUP(G35,'Geometry 2'!$C$4:$AI$14,1,TRUE),"",IF(VLOOKUP(G34,'Geometry 2'!$C$4:$AI$14,33,TRUE)&lt;&gt;"n/a",MIN(G34,VLOOKUP(G34,'Geometry 2'!$C$4:$AI$14,1,TRUE))-VLOOKUP(G34,'Geometry 2'!$C$4:$AI$14,33,TRUE),"check")))</f>
        <v/>
      </c>
      <c r="Q34" s="717"/>
      <c r="R34" s="717"/>
      <c r="S34" s="717"/>
      <c r="T34" s="717" t="str">
        <f>IF($G34="","",VLOOKUP($G34,'Geometry 2'!$E$4:$AH$14,11,TRUE))</f>
        <v/>
      </c>
      <c r="U34" s="717"/>
      <c r="V34" s="717"/>
      <c r="W34" s="717"/>
      <c r="X34" s="716" t="str">
        <f>IF($G34="","",VLOOKUP($G34,'Geometry 2'!$E$4:$AJ$14,19,TRUE)-12*VLOOKUP($G34,'Geometry 2'!$E$4:$AJ$14,32,TRUE)*($D34-VLOOKUP($G34,'Geometry 2'!$E$5:$AH$14,1,TRUE)))</f>
        <v/>
      </c>
      <c r="Y34" s="716"/>
      <c r="Z34" s="716"/>
      <c r="AA34" s="716"/>
      <c r="AB34" s="757" t="str">
        <f>IF($G34="","",VLOOKUP($G34,'Geometry 2'!$E$4:$AJ$14,19,TRUE)-12*VLOOKUP($G34,'Geometry 2'!$E$4:$AJ$14,32,TRUE)*($G34-VLOOKUP($G34,'Geometry 2'!$E$5:$AH$14,1,TRUE)))</f>
        <v/>
      </c>
      <c r="AC34" s="758"/>
      <c r="AD34" s="758"/>
      <c r="AE34" s="759"/>
      <c r="AF34" s="716" t="str">
        <f>IF($G34="","",VLOOKUP($G34,'Geometry 2'!$E$4:$AJ$14,19,TRUE)-12*VLOOKUP($G34,'Geometry 2'!$E$4:$AJ$14,32,TRUE)*($G34-IF($P34="",0,$P34)-VLOOKUP($G34,'Geometry 2'!$E$5:$AH$14,1,TRUE)))</f>
        <v/>
      </c>
      <c r="AG34" s="716"/>
      <c r="AH34" s="716"/>
      <c r="AI34" s="716"/>
      <c r="AJ34" s="746" t="str">
        <f>IF($G34="","",VLOOKUP($G34,'Geometry 2'!$E$4:$AH$14,23,TRUE))</f>
        <v/>
      </c>
      <c r="AK34" s="747"/>
      <c r="AL34" s="747"/>
      <c r="AM34" s="748"/>
      <c r="AN34" s="717"/>
      <c r="AO34" s="717"/>
      <c r="AP34" s="717"/>
      <c r="AQ34" s="717"/>
      <c r="AR34" s="717" t="str">
        <f>IF($G34="","",VLOOKUP($G34,'Geometry 2'!$E$4:$AH$14,27,TRUE))</f>
        <v/>
      </c>
      <c r="AS34" s="717"/>
      <c r="AT34" s="717"/>
      <c r="AU34" s="718"/>
      <c r="AV34" s="715"/>
      <c r="AW34" s="716"/>
      <c r="AX34" s="716"/>
      <c r="AZ34" s="722" t="str">
        <f t="shared" si="5"/>
        <v/>
      </c>
      <c r="BA34" s="723"/>
      <c r="BB34" s="723"/>
      <c r="BC34" s="724"/>
      <c r="BD34" s="722"/>
      <c r="BE34" s="723"/>
      <c r="BF34" s="723"/>
      <c r="BG34" s="722" t="str">
        <f t="shared" si="9"/>
        <v/>
      </c>
      <c r="BH34" s="723"/>
      <c r="BI34" s="723"/>
      <c r="BJ34" s="723"/>
      <c r="BK34" s="724"/>
      <c r="BL34" s="722"/>
      <c r="BM34" s="723"/>
      <c r="BN34" s="723"/>
      <c r="BO34" s="723"/>
      <c r="BP34" s="725"/>
      <c r="BQ34" s="725"/>
      <c r="BR34" s="722" t="str">
        <f>IF(BP34="","",IF(OR(AND(Rev="H",Calculations!$F$27=TRUE),AND(Rev&lt;&gt;"H",Calculations!$F$30=TRUE)),IF(BP34&lt;=1,"Pass","Fail"),IF(BP34&lt;=1.05,"Pass","Fail")))</f>
        <v/>
      </c>
      <c r="BS34" s="723"/>
      <c r="BT34" s="724"/>
      <c r="BU34" s="49"/>
      <c r="BV34" s="25" t="str">
        <f>IFERROR(CONCATENATE(IF(AND($G34&lt;Hta_1,$G34&gt;=Hba_1,Input!U$21&lt;&gt;""),Input!$B$21&amp;";",""),IF(AND($G34&lt;Hta_2,$G34&gt;=Hba_2,Input!U$22&lt;&gt;""),Input!$B$22&amp;";",""),IF(AND($G34&lt;Hta_3,$G34&gt;=Hba_3,Input!U$23&lt;&gt;""),Input!$B$23&amp;";",""),IF(AND($G34&lt;Hta_4,$G34&gt;=Hba_4,Input!U$24&lt;&gt;""),Input!$B$24&amp;";",""),IF(AND($G34&lt;Hta_5,$G34&gt;=Hba_5,Input!U$25&lt;&gt;""),Input!$B$25&amp;";",""),IF(AND($G34&lt;Hta_6,$G34&gt;=Hba_6,Input!U$26&lt;&gt;""),Input!$B$26&amp;";",""),IF(AND($G34&lt;Hta_7,$G34&gt;=Hba_7,Input!U$27&lt;&gt;""),Input!$B$27&amp;";",""),IF(AND($G34&lt;Hta_8,$G34&gt;=Hba_8,Input!U$28&lt;&gt;""),Input!$B$28&amp;";",""),IF(AND($G34&lt;Hta_9,$G34&gt;=Hba_9,Input!U$29&lt;&gt;""),Input!$B$29&amp;";",""),IF(AND($G34&lt;Hta_10,$G34&gt;=Hba_10,Input!U$30&lt;&gt;""),Input!$B$30&amp;";",""),IF(AND($G34&lt;Hta_11,$G34&gt;=Hba_11,Input!U$31&lt;&gt;""),Input!$B$31&amp;";",""),IF(AND($G34&lt;Hta_12,$G34&gt;=Hba_12,Input!U$32&lt;&gt;""),Input!$B$32&amp;";",""),IF(AND($G34&lt;Hta_13,$G34&gt;=Hba_13,Input!U$33&lt;&gt;""),Input!$B$33&amp;";",""),IF(AND($G34&lt;Hta_14,$G34&gt;=Hba_14,Input!U$34&lt;&gt;""),Input!$B$34&amp;";",""),IF(AND($G34&lt;Hta_15,$G34&gt;=Hba_15,Input!U$35&lt;&gt;""),Input!$B$35&amp;";",""),IF(AND($G34&lt;Hta_16,$G34&gt;=Hba_16,Input!U$36&lt;&gt;""),Input!$B$36&amp;";",""),IF(AND($G34&lt;Hta_17,$G34&gt;=Hba_17,Input!U$37&lt;&gt;""),Input!$B$37&amp;";",""),IF(AND($G34&lt;Hta_18,$G34&gt;=Hba_18,Input!U$38&lt;&gt;""),Input!$B$38&amp;";",""),IF(AND($G34&lt;Hta_19,$G34&gt;=Hba_19,Input!U$39&lt;&gt;""),Input!$B$39&amp;";",""),IF(AND($G34&lt;Hta_20,$G34&gt;=Hba_20,Input!U$40&lt;&gt;""),Input!$B$40&amp;";",""),IF(AND($G34&lt;Hta_21,$G34&gt;=Hba_21,Input!U$41&lt;&gt;""),Input!$B$41&amp;";",""),IF(AND($G34&lt;Hta_22,$G34&gt;=Hba_22,Input!U$42&lt;&gt;""),Input!$B$42&amp;";",""),IF(AND($G34&lt;Hta_23,$G34&gt;=Hba_23,Input!U$43&lt;&gt;""),Input!$B$43&amp;";",""),IF(AND($G34&lt;Hta_24,$G34&gt;=Hba_24,Input!U$44&lt;&gt;""),Input!$B$44&amp;";",""),IF(AND($G34&lt;Hta_25,$G34&gt;=Hba_25,Input!U$45&lt;&gt;""),Input!$B$45&amp;";",""),IF(AND($G34&lt;Hta_26,$G34&gt;=Hba_26,Input!U$46&lt;&gt;""),Input!$B$46&amp;";",""),IF(AND($G34&lt;Hta_27,$G34&gt;=Hba_27,Input!U$47&lt;&gt;""),Input!$B$47&amp;";",""),IF(AND($G34&lt;Hta_28,$G34&gt;=Hba_28,Input!U$48&lt;&gt;""),Input!$B$48&amp;";",""),IF(AND($G34&lt;Hta_29,$G34&gt;=Hba_29,Input!U$49&lt;&gt;""),Input!$B$49&amp;";",""),IF(AND($G34&lt;Hta_30,$G34&gt;=Hba_30,Input!U$50&lt;&gt;""),Input!$B$50&amp;";","")),"")</f>
        <v/>
      </c>
      <c r="BW34" s="25" t="str">
        <f>IFERROR(CONCATENATE(IF(AND($G34&lt;Hta_1,$G34&gt;=Hba_1,Input!V$21&lt;&gt;""),Input!$B$21&amp;";",""),IF(AND($G34&lt;Hta_2,$G34&gt;=Hba_2,Input!V$22&lt;&gt;""),Input!$B$22&amp;";",""),IF(AND($G34&lt;Hta_3,$G34&gt;=Hba_3,Input!V$23&lt;&gt;""),Input!$B$23&amp;";",""),IF(AND($G34&lt;Hta_4,$G34&gt;=Hba_4,Input!V$24&lt;&gt;""),Input!$B$24&amp;";",""),IF(AND($G34&lt;Hta_5,$G34&gt;=Hba_5,Input!V$25&lt;&gt;""),Input!$B$25&amp;";",""),IF(AND($G34&lt;Hta_6,$G34&gt;=Hba_6,Input!V$26&lt;&gt;""),Input!$B$26&amp;";",""),IF(AND($G34&lt;Hta_7,$G34&gt;=Hba_7,Input!V$27&lt;&gt;""),Input!$B$27&amp;";",""),IF(AND($G34&lt;Hta_8,$G34&gt;=Hba_8,Input!V$28&lt;&gt;""),Input!$B$28&amp;";",""),IF(AND($G34&lt;Hta_9,$G34&gt;=Hba_9,Input!V$29&lt;&gt;""),Input!$B$29&amp;";",""),IF(AND($G34&lt;Hta_10,$G34&gt;=Hba_10,Input!V$30&lt;&gt;""),Input!$B$30&amp;";",""),IF(AND($G34&lt;Hta_11,$G34&gt;=Hba_11,Input!V$31&lt;&gt;""),Input!$B$31&amp;";",""),IF(AND($G34&lt;Hta_12,$G34&gt;=Hba_12,Input!V$32&lt;&gt;""),Input!$B$32&amp;";",""),IF(AND($G34&lt;Hta_13,$G34&gt;=Hba_13,Input!V$33&lt;&gt;""),Input!$B$33&amp;";",""),IF(AND($G34&lt;Hta_14,$G34&gt;=Hba_14,Input!V$34&lt;&gt;""),Input!$B$34&amp;";",""),IF(AND($G34&lt;Hta_15,$G34&gt;=Hba_15,Input!V$35&lt;&gt;""),Input!$B$35&amp;";",""),IF(AND($G34&lt;Hta_16,$G34&gt;=Hba_16,Input!V$36&lt;&gt;""),Input!$B$36&amp;";",""),IF(AND($G34&lt;Hta_17,$G34&gt;=Hba_17,Input!V$37&lt;&gt;""),Input!$B$37&amp;";",""),IF(AND($G34&lt;Hta_18,$G34&gt;=Hba_18,Input!V$38&lt;&gt;""),Input!$B$38&amp;";",""),IF(AND($G34&lt;Hta_19,$G34&gt;=Hba_19,Input!V$39&lt;&gt;""),Input!$B$39&amp;";",""),IF(AND($G34&lt;Hta_20,$G34&gt;=Hba_20,Input!V$40&lt;&gt;""),Input!$B$40&amp;";",""),IF(AND($G34&lt;Hta_21,$G34&gt;=Hba_21,Input!V$41&lt;&gt;""),Input!$B$41&amp;";",""),IF(AND($G34&lt;Hta_22,$G34&gt;=Hba_22,Input!V$42&lt;&gt;""),Input!$B$42&amp;";",""),IF(AND($G34&lt;Hta_23,$G34&gt;=Hba_23,Input!V$43&lt;&gt;""),Input!$B$43&amp;";",""),IF(AND($G34&lt;Hta_24,$G34&gt;=Hba_24,Input!V$44&lt;&gt;""),Input!$B$44&amp;";",""),IF(AND($G34&lt;Hta_25,$G34&gt;=Hba_25,Input!V$45&lt;&gt;""),Input!$B$45&amp;";",""),IF(AND($G34&lt;Hta_26,$G34&gt;=Hba_26,Input!V$46&lt;&gt;""),Input!$B$46&amp;";",""),IF(AND($G34&lt;Hta_27,$G34&gt;=Hba_27,Input!V$47&lt;&gt;""),Input!$B$47&amp;";",""),IF(AND($G34&lt;Hta_28,$G34&gt;=Hba_28,Input!V$48&lt;&gt;""),Input!$B$48&amp;";",""),IF(AND($G34&lt;Hta_29,$G34&gt;=Hba_29,Input!V$49&lt;&gt;""),Input!$B$49&amp;";",""),IF(AND($G34&lt;Hta_30,$G34&gt;=Hba_30,Input!V$50&lt;&gt;""),Input!$B$50&amp;";","")),"")</f>
        <v/>
      </c>
      <c r="BX34" s="25" t="str">
        <f>IFERROR(CONCATENATE(IF(AND($G34&lt;Hta_1,$G34&gt;=Hba_1,Input!W$21&lt;&gt;""),Input!$B$21&amp;";",""),IF(AND($G34&lt;Hta_2,$G34&gt;=Hba_2,Input!W$22&lt;&gt;""),Input!$B$22&amp;";",""),IF(AND($G34&lt;Hta_3,$G34&gt;=Hba_3,Input!W$23&lt;&gt;""),Input!$B$23&amp;";",""),IF(AND($G34&lt;Hta_4,$G34&gt;=Hba_4,Input!W$24&lt;&gt;""),Input!$B$24&amp;";",""),IF(AND($G34&lt;Hta_5,$G34&gt;=Hba_5,Input!W$25&lt;&gt;""),Input!$B$25&amp;";",""),IF(AND($G34&lt;Hta_6,$G34&gt;=Hba_6,Input!W$26&lt;&gt;""),Input!$B$26&amp;";",""),IF(AND($G34&lt;Hta_7,$G34&gt;=Hba_7,Input!W$27&lt;&gt;""),Input!$B$27&amp;";",""),IF(AND($G34&lt;Hta_8,$G34&gt;=Hba_8,Input!W$28&lt;&gt;""),Input!$B$28&amp;";",""),IF(AND($G34&lt;Hta_9,$G34&gt;=Hba_9,Input!W$29&lt;&gt;""),Input!$B$29&amp;";",""),IF(AND($G34&lt;Hta_10,$G34&gt;=Hba_10,Input!W$30&lt;&gt;""),Input!$B$30&amp;";",""),IF(AND($G34&lt;Hta_11,$G34&gt;=Hba_11,Input!W$31&lt;&gt;""),Input!$B$31&amp;";",""),IF(AND($G34&lt;Hta_12,$G34&gt;=Hba_12,Input!W$32&lt;&gt;""),Input!$B$32&amp;";",""),IF(AND($G34&lt;Hta_13,$G34&gt;=Hba_13,Input!W$33&lt;&gt;""),Input!$B$33&amp;";",""),IF(AND($G34&lt;Hta_14,$G34&gt;=Hba_14,Input!W$34&lt;&gt;""),Input!$B$34&amp;";",""),IF(AND($G34&lt;Hta_15,$G34&gt;=Hba_15,Input!W$35&lt;&gt;""),Input!$B$35&amp;";",""),IF(AND($G34&lt;Hta_16,$G34&gt;=Hba_16,Input!W$36&lt;&gt;""),Input!$B$36&amp;";",""),IF(AND($G34&lt;Hta_17,$G34&gt;=Hba_17,Input!W$37&lt;&gt;""),Input!$B$37&amp;";",""),IF(AND($G34&lt;Hta_18,$G34&gt;=Hba_18,Input!W$38&lt;&gt;""),Input!$B$38&amp;";",""),IF(AND($G34&lt;Hta_19,$G34&gt;=Hba_19,Input!W$39&lt;&gt;""),Input!$B$39&amp;";",""),IF(AND($G34&lt;Hta_20,$G34&gt;=Hba_20,Input!W$40&lt;&gt;""),Input!$B$40&amp;";",""),IF(AND($G34&lt;Hta_21,$G34&gt;=Hba_21,Input!W$41&lt;&gt;""),Input!$B$41&amp;";",""),IF(AND($G34&lt;Hta_22,$G34&gt;=Hba_22,Input!W$42&lt;&gt;""),Input!$B$42&amp;";",""),IF(AND($G34&lt;Hta_23,$G34&gt;=Hba_23,Input!W$43&lt;&gt;""),Input!$B$43&amp;";",""),IF(AND($G34&lt;Hta_24,$G34&gt;=Hba_24,Input!W$44&lt;&gt;""),Input!$B$44&amp;";",""),IF(AND($G34&lt;Hta_25,$G34&gt;=Hba_25,Input!W$45&lt;&gt;""),Input!$B$45&amp;";",""),IF(AND($G34&lt;Hta_26,$G34&gt;=Hba_26,Input!W$46&lt;&gt;""),Input!$B$46&amp;";",""),IF(AND($G34&lt;Hta_27,$G34&gt;=Hba_27,Input!W$47&lt;&gt;""),Input!$B$47&amp;";",""),IF(AND($G34&lt;Hta_28,$G34&gt;=Hba_28,Input!W$48&lt;&gt;""),Input!$B$48&amp;";",""),IF(AND($G34&lt;Hta_29,$G34&gt;=Hba_29,Input!W$49&lt;&gt;""),Input!$B$49&amp;";",""),IF(AND($G34&lt;Hta_30,$G34&gt;=Hba_30,Input!W$50&lt;&gt;""),Input!$B$50&amp;";","")),"")</f>
        <v/>
      </c>
      <c r="BY34" s="25" t="str">
        <f>IFERROR(CONCATENATE(IF(AND($G34&lt;Hta_1,$G34&gt;=Hba_1,Input!X$21&lt;&gt;""),Input!$B$21&amp;";",""),IF(AND($G34&lt;Hta_2,$G34&gt;=Hba_2,Input!X$22&lt;&gt;""),Input!$B$22&amp;";",""),IF(AND($G34&lt;Hta_3,$G34&gt;=Hba_3,Input!X$23&lt;&gt;""),Input!$B$23&amp;";",""),IF(AND($G34&lt;Hta_4,$G34&gt;=Hba_4,Input!X$24&lt;&gt;""),Input!$B$24&amp;";",""),IF(AND($G34&lt;Hta_5,$G34&gt;=Hba_5,Input!X$25&lt;&gt;""),Input!$B$25&amp;";",""),IF(AND($G34&lt;Hta_6,$G34&gt;=Hba_6,Input!X$26&lt;&gt;""),Input!$B$26&amp;";",""),IF(AND($G34&lt;Hta_7,$G34&gt;=Hba_7,Input!X$27&lt;&gt;""),Input!$B$27&amp;";",""),IF(AND($G34&lt;Hta_8,$G34&gt;=Hba_8,Input!X$28&lt;&gt;""),Input!$B$28&amp;";",""),IF(AND($G34&lt;Hta_9,$G34&gt;=Hba_9,Input!X$29&lt;&gt;""),Input!$B$29&amp;";",""),IF(AND($G34&lt;Hta_10,$G34&gt;=Hba_10,Input!X$30&lt;&gt;""),Input!$B$30&amp;";",""),IF(AND($G34&lt;Hta_11,$G34&gt;=Hba_11,Input!X$31&lt;&gt;""),Input!$B$31&amp;";",""),IF(AND($G34&lt;Hta_12,$G34&gt;=Hba_12,Input!X$32&lt;&gt;""),Input!$B$32&amp;";",""),IF(AND($G34&lt;Hta_13,$G34&gt;=Hba_13,Input!X$33&lt;&gt;""),Input!$B$33&amp;";",""),IF(AND($G34&lt;Hta_14,$G34&gt;=Hba_14,Input!X$34&lt;&gt;""),Input!$B$34&amp;";",""),IF(AND($G34&lt;Hta_15,$G34&gt;=Hba_15,Input!X$35&lt;&gt;""),Input!$B$35&amp;";",""),IF(AND($G34&lt;Hta_16,$G34&gt;=Hba_16,Input!X$36&lt;&gt;""),Input!$B$36&amp;";",""),IF(AND($G34&lt;Hta_17,$G34&gt;=Hba_17,Input!X$37&lt;&gt;""),Input!$B$37&amp;";",""),IF(AND($G34&lt;Hta_18,$G34&gt;=Hba_18,Input!X$38&lt;&gt;""),Input!$B$38&amp;";",""),IF(AND($G34&lt;Hta_19,$G34&gt;=Hba_19,Input!X$39&lt;&gt;""),Input!$B$39&amp;";",""),IF(AND($G34&lt;Hta_20,$G34&gt;=Hba_20,Input!X$40&lt;&gt;""),Input!$B$40&amp;";",""),IF(AND($G34&lt;Hta_21,$G34&gt;=Hba_21,Input!X$41&lt;&gt;""),Input!$B$41&amp;";",""),IF(AND($G34&lt;Hta_22,$G34&gt;=Hba_22,Input!X$42&lt;&gt;""),Input!$B$42&amp;";",""),IF(AND($G34&lt;Hta_23,$G34&gt;=Hba_23,Input!X$43&lt;&gt;""),Input!$B$43&amp;";",""),IF(AND($G34&lt;Hta_24,$G34&gt;=Hba_24,Input!X$44&lt;&gt;""),Input!$B$44&amp;";",""),IF(AND($G34&lt;Hta_25,$G34&gt;=Hba_25,Input!X$45&lt;&gt;""),Input!$B$45&amp;";",""),IF(AND($G34&lt;Hta_26,$G34&gt;=Hba_26,Input!X$46&lt;&gt;""),Input!$B$46&amp;";",""),IF(AND($G34&lt;Hta_27,$G34&gt;=Hba_27,Input!X$47&lt;&gt;""),Input!$B$47&amp;";",""),IF(AND($G34&lt;Hta_28,$G34&gt;=Hba_28,Input!X$48&lt;&gt;""),Input!$B$48&amp;";",""),IF(AND($G34&lt;Hta_29,$G34&gt;=Hba_29,Input!X$49&lt;&gt;""),Input!$B$49&amp;";",""),IF(AND($G34&lt;Hta_30,$G34&gt;=Hba_30,Input!X$50&lt;&gt;""),Input!$B$50&amp;";","")),"")</f>
        <v/>
      </c>
      <c r="BZ34" s="25" t="str">
        <f>IFERROR(CONCATENATE(IF(AND($G34&lt;Hta_1,$G34&gt;=Hba_1,Input!Y$21&lt;&gt;""),Input!$B$21&amp;";",""),IF(AND($G34&lt;Hta_2,$G34&gt;=Hba_2,Input!Y$22&lt;&gt;""),Input!$B$22&amp;";",""),IF(AND($G34&lt;Hta_3,$G34&gt;=Hba_3,Input!Y$23&lt;&gt;""),Input!$B$23&amp;";",""),IF(AND($G34&lt;Hta_4,$G34&gt;=Hba_4,Input!Y$24&lt;&gt;""),Input!$B$24&amp;";",""),IF(AND($G34&lt;Hta_5,$G34&gt;=Hba_5,Input!Y$25&lt;&gt;""),Input!$B$25&amp;";",""),IF(AND($G34&lt;Hta_6,$G34&gt;=Hba_6,Input!Y$26&lt;&gt;""),Input!$B$26&amp;";",""),IF(AND($G34&lt;Hta_7,$G34&gt;=Hba_7,Input!Y$27&lt;&gt;""),Input!$B$27&amp;";",""),IF(AND($G34&lt;Hta_8,$G34&gt;=Hba_8,Input!Y$28&lt;&gt;""),Input!$B$28&amp;";",""),IF(AND($G34&lt;Hta_9,$G34&gt;=Hba_9,Input!Y$29&lt;&gt;""),Input!$B$29&amp;";",""),IF(AND($G34&lt;Hta_10,$G34&gt;=Hba_10,Input!Y$30&lt;&gt;""),Input!$B$30&amp;";",""),IF(AND($G34&lt;Hta_11,$G34&gt;=Hba_11,Input!Y$31&lt;&gt;""),Input!$B$31&amp;";",""),IF(AND($G34&lt;Hta_12,$G34&gt;=Hba_12,Input!Y$32&lt;&gt;""),Input!$B$32&amp;";",""),IF(AND($G34&lt;Hta_13,$G34&gt;=Hba_13,Input!Y$33&lt;&gt;""),Input!$B$33&amp;";",""),IF(AND($G34&lt;Hta_14,$G34&gt;=Hba_14,Input!Y$34&lt;&gt;""),Input!$B$34&amp;";",""),IF(AND($G34&lt;Hta_15,$G34&gt;=Hba_15,Input!Y$35&lt;&gt;""),Input!$B$35&amp;";",""),IF(AND($G34&lt;Hta_16,$G34&gt;=Hba_16,Input!Y$36&lt;&gt;""),Input!$B$36&amp;";",""),IF(AND($G34&lt;Hta_17,$G34&gt;=Hba_17,Input!Y$37&lt;&gt;""),Input!$B$37&amp;";",""),IF(AND($G34&lt;Hta_18,$G34&gt;=Hba_18,Input!Y$38&lt;&gt;""),Input!$B$38&amp;";",""),IF(AND($G34&lt;Hta_19,$G34&gt;=Hba_19,Input!Y$39&lt;&gt;""),Input!$B$39&amp;";",""),IF(AND($G34&lt;Hta_20,$G34&gt;=Hba_20,Input!Y$40&lt;&gt;""),Input!$B$40&amp;";",""),IF(AND($G34&lt;Hta_21,$G34&gt;=Hba_21,Input!Y$41&lt;&gt;""),Input!$B$41&amp;";",""),IF(AND($G34&lt;Hta_22,$G34&gt;=Hba_22,Input!Y$42&lt;&gt;""),Input!$B$42&amp;";",""),IF(AND($G34&lt;Hta_23,$G34&gt;=Hba_23,Input!Y$43&lt;&gt;""),Input!$B$43&amp;";",""),IF(AND($G34&lt;Hta_24,$G34&gt;=Hba_24,Input!Y$44&lt;&gt;""),Input!$B$44&amp;";",""),IF(AND($G34&lt;Hta_25,$G34&gt;=Hba_25,Input!Y$45&lt;&gt;""),Input!$B$45&amp;";",""),IF(AND($G34&lt;Hta_26,$G34&gt;=Hba_26,Input!Y$46&lt;&gt;""),Input!$B$46&amp;";",""),IF(AND($G34&lt;Hta_27,$G34&gt;=Hba_27,Input!Y$47&lt;&gt;""),Input!$B$47&amp;";",""),IF(AND($G34&lt;Hta_28,$G34&gt;=Hba_28,Input!Y$48&lt;&gt;""),Input!$B$48&amp;";",""),IF(AND($G34&lt;Hta_29,$G34&gt;=Hba_29,Input!Y$49&lt;&gt;""),Input!$B$49&amp;";",""),IF(AND($G34&lt;Hta_30,$G34&gt;=Hba_30,Input!Y$50&lt;&gt;""),Input!$B$50&amp;";","")),"")</f>
        <v/>
      </c>
      <c r="CA34" s="25" t="str">
        <f>IFERROR(CONCATENATE(IF(AND($G34&lt;Hta_1,$G34&gt;=Hba_1,Input!Z$21&lt;&gt;""),Input!$B$21&amp;";",""),IF(AND($G34&lt;Hta_2,$G34&gt;=Hba_2,Input!Z$22&lt;&gt;""),Input!$B$22&amp;";",""),IF(AND($G34&lt;Hta_3,$G34&gt;=Hba_3,Input!Z$23&lt;&gt;""),Input!$B$23&amp;";",""),IF(AND($G34&lt;Hta_4,$G34&gt;=Hba_4,Input!Z$24&lt;&gt;""),Input!$B$24&amp;";",""),IF(AND($G34&lt;Hta_5,$G34&gt;=Hba_5,Input!Z$25&lt;&gt;""),Input!$B$25&amp;";",""),IF(AND($G34&lt;Hta_6,$G34&gt;=Hba_6,Input!Z$26&lt;&gt;""),Input!$B$26&amp;";",""),IF(AND($G34&lt;Hta_7,$G34&gt;=Hba_7,Input!Z$27&lt;&gt;""),Input!$B$27&amp;";",""),IF(AND($G34&lt;Hta_8,$G34&gt;=Hba_8,Input!Z$28&lt;&gt;""),Input!$B$28&amp;";",""),IF(AND($G34&lt;Hta_9,$G34&gt;=Hba_9,Input!Z$29&lt;&gt;""),Input!$B$29&amp;";",""),IF(AND($G34&lt;Hta_10,$G34&gt;=Hba_10,Input!Z$30&lt;&gt;""),Input!$B$30&amp;";",""),IF(AND($G34&lt;Hta_11,$G34&gt;=Hba_11,Input!Z$31&lt;&gt;""),Input!$B$31&amp;";",""),IF(AND($G34&lt;Hta_12,$G34&gt;=Hba_12,Input!Z$32&lt;&gt;""),Input!$B$32&amp;";",""),IF(AND($G34&lt;Hta_13,$G34&gt;=Hba_13,Input!Z$33&lt;&gt;""),Input!$B$33&amp;";",""),IF(AND($G34&lt;Hta_14,$G34&gt;=Hba_14,Input!Z$34&lt;&gt;""),Input!$B$34&amp;";",""),IF(AND($G34&lt;Hta_15,$G34&gt;=Hba_15,Input!Z$35&lt;&gt;""),Input!$B$35&amp;";",""),IF(AND($G34&lt;Hta_16,$G34&gt;=Hba_16,Input!Z$36&lt;&gt;""),Input!$B$36&amp;";",""),IF(AND($G34&lt;Hta_17,$G34&gt;=Hba_17,Input!Z$37&lt;&gt;""),Input!$B$37&amp;";",""),IF(AND($G34&lt;Hta_18,$G34&gt;=Hba_18,Input!Z$38&lt;&gt;""),Input!$B$38&amp;";",""),IF(AND($G34&lt;Hta_19,$G34&gt;=Hba_19,Input!Z$39&lt;&gt;""),Input!$B$39&amp;";",""),IF(AND($G34&lt;Hta_20,$G34&gt;=Hba_20,Input!Z$40&lt;&gt;""),Input!$B$40&amp;";",""),IF(AND($G34&lt;Hta_21,$G34&gt;=Hba_21,Input!Z$41&lt;&gt;""),Input!$B$41&amp;";",""),IF(AND($G34&lt;Hta_22,$G34&gt;=Hba_22,Input!Z$42&lt;&gt;""),Input!$B$42&amp;";",""),IF(AND($G34&lt;Hta_23,$G34&gt;=Hba_23,Input!Z$43&lt;&gt;""),Input!$B$43&amp;";",""),IF(AND($G34&lt;Hta_24,$G34&gt;=Hba_24,Input!Z$44&lt;&gt;""),Input!$B$44&amp;";",""),IF(AND($G34&lt;Hta_25,$G34&gt;=Hba_25,Input!Z$45&lt;&gt;""),Input!$B$45&amp;";",""),IF(AND($G34&lt;Hta_26,$G34&gt;=Hba_26,Input!Z$46&lt;&gt;""),Input!$B$46&amp;";",""),IF(AND($G34&lt;Hta_27,$G34&gt;=Hba_27,Input!Z$47&lt;&gt;""),Input!$B$47&amp;";",""),IF(AND($G34&lt;Hta_28,$G34&gt;=Hba_28,Input!Z$48&lt;&gt;""),Input!$B$48&amp;";",""),IF(AND($G34&lt;Hta_29,$G34&gt;=Hba_29,Input!Z$49&lt;&gt;""),Input!$B$49&amp;";",""),IF(AND($G34&lt;Hta_30,$G34&gt;=Hba_30,Input!Z$50&lt;&gt;""),Input!$B$50&amp;";","")),"")</f>
        <v/>
      </c>
      <c r="CB34" s="25" t="str">
        <f>IFERROR(CONCATENATE(IF(AND($G34&lt;Hta_1,$G34&gt;=Hba_1,Input!AA$21&lt;&gt;""),Input!$B$21&amp;";",""),IF(AND($G34&lt;Hta_2,$G34&gt;=Hba_2,Input!AA$22&lt;&gt;""),Input!$B$22&amp;";",""),IF(AND($G34&lt;Hta_3,$G34&gt;=Hba_3,Input!AA$23&lt;&gt;""),Input!$B$23&amp;";",""),IF(AND($G34&lt;Hta_4,$G34&gt;=Hba_4,Input!AA$24&lt;&gt;""),Input!$B$24&amp;";",""),IF(AND($G34&lt;Hta_5,$G34&gt;=Hba_5,Input!AA$25&lt;&gt;""),Input!$B$25&amp;";",""),IF(AND($G34&lt;Hta_6,$G34&gt;=Hba_6,Input!AA$26&lt;&gt;""),Input!$B$26&amp;";",""),IF(AND($G34&lt;Hta_7,$G34&gt;=Hba_7,Input!AA$27&lt;&gt;""),Input!$B$27&amp;";",""),IF(AND($G34&lt;Hta_8,$G34&gt;=Hba_8,Input!AA$28&lt;&gt;""),Input!$B$28&amp;";",""),IF(AND($G34&lt;Hta_9,$G34&gt;=Hba_9,Input!AA$29&lt;&gt;""),Input!$B$29&amp;";",""),IF(AND($G34&lt;Hta_10,$G34&gt;=Hba_10,Input!AA$30&lt;&gt;""),Input!$B$30&amp;";",""),IF(AND($G34&lt;Hta_11,$G34&gt;=Hba_11,Input!AA$31&lt;&gt;""),Input!$B$31&amp;";",""),IF(AND($G34&lt;Hta_12,$G34&gt;=Hba_12,Input!AA$32&lt;&gt;""),Input!$B$32&amp;";",""),IF(AND($G34&lt;Hta_13,$G34&gt;=Hba_13,Input!AA$33&lt;&gt;""),Input!$B$33&amp;";",""),IF(AND($G34&lt;Hta_14,$G34&gt;=Hba_14,Input!AA$34&lt;&gt;""),Input!$B$34&amp;";",""),IF(AND($G34&lt;Hta_15,$G34&gt;=Hba_15,Input!AA$35&lt;&gt;""),Input!$B$35&amp;";",""),IF(AND($G34&lt;Hta_16,$G34&gt;=Hba_16,Input!AA$36&lt;&gt;""),Input!$B$36&amp;";",""),IF(AND($G34&lt;Hta_17,$G34&gt;=Hba_17,Input!AA$37&lt;&gt;""),Input!$B$37&amp;";",""),IF(AND($G34&lt;Hta_18,$G34&gt;=Hba_18,Input!AA$38&lt;&gt;""),Input!$B$38&amp;";",""),IF(AND($G34&lt;Hta_19,$G34&gt;=Hba_19,Input!AA$39&lt;&gt;""),Input!$B$39&amp;";",""),IF(AND($G34&lt;Hta_20,$G34&gt;=Hba_20,Input!AA$40&lt;&gt;""),Input!$B$40&amp;";",""),IF(AND($G34&lt;Hta_21,$G34&gt;=Hba_21,Input!AA$41&lt;&gt;""),Input!$B$41&amp;";",""),IF(AND($G34&lt;Hta_22,$G34&gt;=Hba_22,Input!AA$42&lt;&gt;""),Input!$B$42&amp;";",""),IF(AND($G34&lt;Hta_23,$G34&gt;=Hba_23,Input!AA$43&lt;&gt;""),Input!$B$43&amp;";",""),IF(AND($G34&lt;Hta_24,$G34&gt;=Hba_24,Input!AA$44&lt;&gt;""),Input!$B$44&amp;";",""),IF(AND($G34&lt;Hta_25,$G34&gt;=Hba_25,Input!AA$45&lt;&gt;""),Input!$B$45&amp;";",""),IF(AND($G34&lt;Hta_26,$G34&gt;=Hba_26,Input!AA$46&lt;&gt;""),Input!$B$46&amp;";",""),IF(AND($G34&lt;Hta_27,$G34&gt;=Hba_27,Input!AA$47&lt;&gt;""),Input!$B$47&amp;";",""),IF(AND($G34&lt;Hta_28,$G34&gt;=Hba_28,Input!AA$48&lt;&gt;""),Input!$B$48&amp;";",""),IF(AND($G34&lt;Hta_29,$G34&gt;=Hba_29,Input!AA$49&lt;&gt;""),Input!$B$49&amp;";",""),IF(AND($G34&lt;Hta_30,$G34&gt;=Hba_30,Input!AA$50&lt;&gt;""),Input!$B$50&amp;";","")),"")</f>
        <v/>
      </c>
      <c r="CC34" s="25" t="str">
        <f>IFERROR(CONCATENATE(IF(AND($G34&lt;Hta_1,$G34&gt;=Hba_1,Input!AB$21&lt;&gt;""),Input!$B$21&amp;";",""),IF(AND($G34&lt;Hta_2,$G34&gt;=Hba_2,Input!AB$22&lt;&gt;""),Input!$B$22&amp;";",""),IF(AND($G34&lt;Hta_3,$G34&gt;=Hba_3,Input!AB$23&lt;&gt;""),Input!$B$23&amp;";",""),IF(AND($G34&lt;Hta_4,$G34&gt;=Hba_4,Input!AB$24&lt;&gt;""),Input!$B$24&amp;";",""),IF(AND($G34&lt;Hta_5,$G34&gt;=Hba_5,Input!AB$25&lt;&gt;""),Input!$B$25&amp;";",""),IF(AND($G34&lt;Hta_6,$G34&gt;=Hba_6,Input!AB$26&lt;&gt;""),Input!$B$26&amp;";",""),IF(AND($G34&lt;Hta_7,$G34&gt;=Hba_7,Input!AB$27&lt;&gt;""),Input!$B$27&amp;";",""),IF(AND($G34&lt;Hta_8,$G34&gt;=Hba_8,Input!AB$28&lt;&gt;""),Input!$B$28&amp;";",""),IF(AND($G34&lt;Hta_9,$G34&gt;=Hba_9,Input!AB$29&lt;&gt;""),Input!$B$29&amp;";",""),IF(AND($G34&lt;Hta_10,$G34&gt;=Hba_10,Input!AB$30&lt;&gt;""),Input!$B$30&amp;";",""),IF(AND($G34&lt;Hta_11,$G34&gt;=Hba_11,Input!AB$31&lt;&gt;""),Input!$B$31&amp;";",""),IF(AND($G34&lt;Hta_12,$G34&gt;=Hba_12,Input!AB$32&lt;&gt;""),Input!$B$32&amp;";",""),IF(AND($G34&lt;Hta_13,$G34&gt;=Hba_13,Input!AB$33&lt;&gt;""),Input!$B$33&amp;";",""),IF(AND($G34&lt;Hta_14,$G34&gt;=Hba_14,Input!AB$34&lt;&gt;""),Input!$B$34&amp;";",""),IF(AND($G34&lt;Hta_15,$G34&gt;=Hba_15,Input!AB$35&lt;&gt;""),Input!$B$35&amp;";",""),IF(AND($G34&lt;Hta_16,$G34&gt;=Hba_16,Input!AB$36&lt;&gt;""),Input!$B$36&amp;";",""),IF(AND($G34&lt;Hta_17,$G34&gt;=Hba_17,Input!AB$37&lt;&gt;""),Input!$B$37&amp;";",""),IF(AND($G34&lt;Hta_18,$G34&gt;=Hba_18,Input!AB$38&lt;&gt;""),Input!$B$38&amp;";",""),IF(AND($G34&lt;Hta_19,$G34&gt;=Hba_19,Input!AB$39&lt;&gt;""),Input!$B$39&amp;";",""),IF(AND($G34&lt;Hta_20,$G34&gt;=Hba_20,Input!AB$40&lt;&gt;""),Input!$B$40&amp;";",""),IF(AND($G34&lt;Hta_21,$G34&gt;=Hba_21,Input!AB$41&lt;&gt;""),Input!$B$41&amp;";",""),IF(AND($G34&lt;Hta_22,$G34&gt;=Hba_22,Input!AB$42&lt;&gt;""),Input!$B$42&amp;";",""),IF(AND($G34&lt;Hta_23,$G34&gt;=Hba_23,Input!AB$43&lt;&gt;""),Input!$B$43&amp;";",""),IF(AND($G34&lt;Hta_24,$G34&gt;=Hba_24,Input!AB$44&lt;&gt;""),Input!$B$44&amp;";",""),IF(AND($G34&lt;Hta_25,$G34&gt;=Hba_25,Input!AB$45&lt;&gt;""),Input!$B$45&amp;";",""),IF(AND($G34&lt;Hta_26,$G34&gt;=Hba_26,Input!AB$46&lt;&gt;""),Input!$B$46&amp;";",""),IF(AND($G34&lt;Hta_27,$G34&gt;=Hba_27,Input!AB$47&lt;&gt;""),Input!$B$47&amp;";",""),IF(AND($G34&lt;Hta_28,$G34&gt;=Hba_28,Input!AB$48&lt;&gt;""),Input!$B$48&amp;";",""),IF(AND($G34&lt;Hta_29,$G34&gt;=Hba_29,Input!AB$49&lt;&gt;""),Input!$B$49&amp;";",""),IF(AND($G34&lt;Hta_30,$G34&gt;=Hba_30,Input!AB$50&lt;&gt;""),Input!$B$50&amp;";","")),"")</f>
        <v/>
      </c>
      <c r="CD34" s="25" t="str">
        <f>IFERROR(CONCATENATE(IF(AND($G34&lt;Hta_1,$G34&gt;=Hba_1,Input!AC$21&lt;&gt;""),Input!$B$21&amp;";",""),IF(AND($G34&lt;Hta_2,$G34&gt;=Hba_2,Input!AC$22&lt;&gt;""),Input!$B$22&amp;";",""),IF(AND($G34&lt;Hta_3,$G34&gt;=Hba_3,Input!AC$23&lt;&gt;""),Input!$B$23&amp;";",""),IF(AND($G34&lt;Hta_4,$G34&gt;=Hba_4,Input!AC$24&lt;&gt;""),Input!$B$24&amp;";",""),IF(AND($G34&lt;Hta_5,$G34&gt;=Hba_5,Input!AC$25&lt;&gt;""),Input!$B$25&amp;";",""),IF(AND($G34&lt;Hta_6,$G34&gt;=Hba_6,Input!AC$26&lt;&gt;""),Input!$B$26&amp;";",""),IF(AND($G34&lt;Hta_7,$G34&gt;=Hba_7,Input!AC$27&lt;&gt;""),Input!$B$27&amp;";",""),IF(AND($G34&lt;Hta_8,$G34&gt;=Hba_8,Input!AC$28&lt;&gt;""),Input!$B$28&amp;";",""),IF(AND($G34&lt;Hta_9,$G34&gt;=Hba_9,Input!AC$29&lt;&gt;""),Input!$B$29&amp;";",""),IF(AND($G34&lt;Hta_10,$G34&gt;=Hba_10,Input!AC$30&lt;&gt;""),Input!$B$30&amp;";",""),IF(AND($G34&lt;Hta_11,$G34&gt;=Hba_11,Input!AC$31&lt;&gt;""),Input!$B$31&amp;";",""),IF(AND($G34&lt;Hta_12,$G34&gt;=Hba_12,Input!AC$32&lt;&gt;""),Input!$B$32&amp;";",""),IF(AND($G34&lt;Hta_13,$G34&gt;=Hba_13,Input!AC$33&lt;&gt;""),Input!$B$33&amp;";",""),IF(AND($G34&lt;Hta_14,$G34&gt;=Hba_14,Input!AC$34&lt;&gt;""),Input!$B$34&amp;";",""),IF(AND($G34&lt;Hta_15,$G34&gt;=Hba_15,Input!AC$35&lt;&gt;""),Input!$B$35&amp;";",""),IF(AND($G34&lt;Hta_16,$G34&gt;=Hba_16,Input!AC$36&lt;&gt;""),Input!$B$36&amp;";",""),IF(AND($G34&lt;Hta_17,$G34&gt;=Hba_17,Input!AC$37&lt;&gt;""),Input!$B$37&amp;";",""),IF(AND($G34&lt;Hta_18,$G34&gt;=Hba_18,Input!AC$38&lt;&gt;""),Input!$B$38&amp;";",""),IF(AND($G34&lt;Hta_19,$G34&gt;=Hba_19,Input!AC$39&lt;&gt;""),Input!$B$39&amp;";",""),IF(AND($G34&lt;Hta_20,$G34&gt;=Hba_20,Input!AC$40&lt;&gt;""),Input!$B$40&amp;";",""),IF(AND($G34&lt;Hta_21,$G34&gt;=Hba_21,Input!AC$41&lt;&gt;""),Input!$B$41&amp;";",""),IF(AND($G34&lt;Hta_22,$G34&gt;=Hba_22,Input!AC$42&lt;&gt;""),Input!$B$42&amp;";",""),IF(AND($G34&lt;Hta_23,$G34&gt;=Hba_23,Input!AC$43&lt;&gt;""),Input!$B$43&amp;";",""),IF(AND($G34&lt;Hta_24,$G34&gt;=Hba_24,Input!AC$44&lt;&gt;""),Input!$B$44&amp;";",""),IF(AND($G34&lt;Hta_25,$G34&gt;=Hba_25,Input!AC$45&lt;&gt;""),Input!$B$45&amp;";",""),IF(AND($G34&lt;Hta_26,$G34&gt;=Hba_26,Input!AC$46&lt;&gt;""),Input!$B$46&amp;";",""),IF(AND($G34&lt;Hta_27,$G34&gt;=Hba_27,Input!AC$47&lt;&gt;""),Input!$B$47&amp;";",""),IF(AND($G34&lt;Hta_28,$G34&gt;=Hba_28,Input!AC$48&lt;&gt;""),Input!$B$48&amp;";",""),IF(AND($G34&lt;Hta_29,$G34&gt;=Hba_29,Input!AC$49&lt;&gt;""),Input!$B$49&amp;";",""),IF(AND($G34&lt;Hta_30,$G34&gt;=Hba_30,Input!AC$50&lt;&gt;""),Input!$B$50&amp;";","")),"")</f>
        <v/>
      </c>
      <c r="CE34" s="25" t="str">
        <f>IFERROR(CONCATENATE(IF(AND($G34&lt;Hta_1,$G34&gt;=Hba_1,Input!AD$21&lt;&gt;""),Input!$B$21&amp;";",""),IF(AND($G34&lt;Hta_2,$G34&gt;=Hba_2,Input!AD$22&lt;&gt;""),Input!$B$22&amp;";",""),IF(AND($G34&lt;Hta_3,$G34&gt;=Hba_3,Input!AD$23&lt;&gt;""),Input!$B$23&amp;";",""),IF(AND($G34&lt;Hta_4,$G34&gt;=Hba_4,Input!AD$24&lt;&gt;""),Input!$B$24&amp;";",""),IF(AND($G34&lt;Hta_5,$G34&gt;=Hba_5,Input!AD$25&lt;&gt;""),Input!$B$25&amp;";",""),IF(AND($G34&lt;Hta_6,$G34&gt;=Hba_6,Input!AD$26&lt;&gt;""),Input!$B$26&amp;";",""),IF(AND($G34&lt;Hta_7,$G34&gt;=Hba_7,Input!AD$27&lt;&gt;""),Input!$B$27&amp;";",""),IF(AND($G34&lt;Hta_8,$G34&gt;=Hba_8,Input!AD$28&lt;&gt;""),Input!$B$28&amp;";",""),IF(AND($G34&lt;Hta_9,$G34&gt;=Hba_9,Input!AD$29&lt;&gt;""),Input!$B$29&amp;";",""),IF(AND($G34&lt;Hta_10,$G34&gt;=Hba_10,Input!AD$30&lt;&gt;""),Input!$B$30&amp;";",""),IF(AND($G34&lt;Hta_11,$G34&gt;=Hba_11,Input!AD$31&lt;&gt;""),Input!$B$31&amp;";",""),IF(AND($G34&lt;Hta_12,$G34&gt;=Hba_12,Input!AD$32&lt;&gt;""),Input!$B$32&amp;";",""),IF(AND($G34&lt;Hta_13,$G34&gt;=Hba_13,Input!AD$33&lt;&gt;""),Input!$B$33&amp;";",""),IF(AND($G34&lt;Hta_14,$G34&gt;=Hba_14,Input!AD$34&lt;&gt;""),Input!$B$34&amp;";",""),IF(AND($G34&lt;Hta_15,$G34&gt;=Hba_15,Input!AD$35&lt;&gt;""),Input!$B$35&amp;";",""),IF(AND($G34&lt;Hta_16,$G34&gt;=Hba_16,Input!AD$36&lt;&gt;""),Input!$B$36&amp;";",""),IF(AND($G34&lt;Hta_17,$G34&gt;=Hba_17,Input!AD$37&lt;&gt;""),Input!$B$37&amp;";",""),IF(AND($G34&lt;Hta_18,$G34&gt;=Hba_18,Input!AD$38&lt;&gt;""),Input!$B$38&amp;";",""),IF(AND($G34&lt;Hta_19,$G34&gt;=Hba_19,Input!AD$39&lt;&gt;""),Input!$B$39&amp;";",""),IF(AND($G34&lt;Hta_20,$G34&gt;=Hba_20,Input!AD$40&lt;&gt;""),Input!$B$40&amp;";",""),IF(AND($G34&lt;Hta_21,$G34&gt;=Hba_21,Input!AD$41&lt;&gt;""),Input!$B$41&amp;";",""),IF(AND($G34&lt;Hta_22,$G34&gt;=Hba_22,Input!AD$42&lt;&gt;""),Input!$B$42&amp;";",""),IF(AND($G34&lt;Hta_23,$G34&gt;=Hba_23,Input!AD$43&lt;&gt;""),Input!$B$43&amp;";",""),IF(AND($G34&lt;Hta_24,$G34&gt;=Hba_24,Input!AD$44&lt;&gt;""),Input!$B$44&amp;";",""),IF(AND($G34&lt;Hta_25,$G34&gt;=Hba_25,Input!AD$45&lt;&gt;""),Input!$B$45&amp;";",""),IF(AND($G34&lt;Hta_26,$G34&gt;=Hba_26,Input!AD$46&lt;&gt;""),Input!$B$46&amp;";",""),IF(AND($G34&lt;Hta_27,$G34&gt;=Hba_27,Input!AD$47&lt;&gt;""),Input!$B$47&amp;";",""),IF(AND($G34&lt;Hta_28,$G34&gt;=Hba_28,Input!AD$48&lt;&gt;""),Input!$B$48&amp;";",""),IF(AND($G34&lt;Hta_29,$G34&gt;=Hba_29,Input!AD$49&lt;&gt;""),Input!$B$49&amp;";",""),IF(AND($G34&lt;Hta_30,$G34&gt;=Hba_30,Input!AD$50&lt;&gt;""),Input!$B$50&amp;";","")),"")</f>
        <v/>
      </c>
      <c r="CF34" s="25" t="str">
        <f>IFERROR(CONCATENATE(IF(AND($G34&lt;Hta_1,$G34&gt;=Hba_1,Input!AE$21&lt;&gt;""),Input!$B$21&amp;";",""),IF(AND($G34&lt;Hta_2,$G34&gt;=Hba_2,Input!AE$22&lt;&gt;""),Input!$B$22&amp;";",""),IF(AND($G34&lt;Hta_3,$G34&gt;=Hba_3,Input!AE$23&lt;&gt;""),Input!$B$23&amp;";",""),IF(AND($G34&lt;Hta_4,$G34&gt;=Hba_4,Input!AE$24&lt;&gt;""),Input!$B$24&amp;";",""),IF(AND($G34&lt;Hta_5,$G34&gt;=Hba_5,Input!AE$25&lt;&gt;""),Input!$B$25&amp;";",""),IF(AND($G34&lt;Hta_6,$G34&gt;=Hba_6,Input!AE$26&lt;&gt;""),Input!$B$26&amp;";",""),IF(AND($G34&lt;Hta_7,$G34&gt;=Hba_7,Input!AE$27&lt;&gt;""),Input!$B$27&amp;";",""),IF(AND($G34&lt;Hta_8,$G34&gt;=Hba_8,Input!AE$28&lt;&gt;""),Input!$B$28&amp;";",""),IF(AND($G34&lt;Hta_9,$G34&gt;=Hba_9,Input!AE$29&lt;&gt;""),Input!$B$29&amp;";",""),IF(AND($G34&lt;Hta_10,$G34&gt;=Hba_10,Input!AE$30&lt;&gt;""),Input!$B$30&amp;";",""),IF(AND($G34&lt;Hta_11,$G34&gt;=Hba_11,Input!AE$31&lt;&gt;""),Input!$B$31&amp;";",""),IF(AND($G34&lt;Hta_12,$G34&gt;=Hba_12,Input!AE$32&lt;&gt;""),Input!$B$32&amp;";",""),IF(AND($G34&lt;Hta_13,$G34&gt;=Hba_13,Input!AE$33&lt;&gt;""),Input!$B$33&amp;";",""),IF(AND($G34&lt;Hta_14,$G34&gt;=Hba_14,Input!AE$34&lt;&gt;""),Input!$B$34&amp;";",""),IF(AND($G34&lt;Hta_15,$G34&gt;=Hba_15,Input!AE$35&lt;&gt;""),Input!$B$35&amp;";",""),IF(AND($G34&lt;Hta_16,$G34&gt;=Hba_16,Input!AE$36&lt;&gt;""),Input!$B$36&amp;";",""),IF(AND($G34&lt;Hta_17,$G34&gt;=Hba_17,Input!AE$37&lt;&gt;""),Input!$B$37&amp;";",""),IF(AND($G34&lt;Hta_18,$G34&gt;=Hba_18,Input!AE$38&lt;&gt;""),Input!$B$38&amp;";",""),IF(AND($G34&lt;Hta_19,$G34&gt;=Hba_19,Input!AE$39&lt;&gt;""),Input!$B$39&amp;";",""),IF(AND($G34&lt;Hta_20,$G34&gt;=Hba_20,Input!AE$40&lt;&gt;""),Input!$B$40&amp;";",""),IF(AND($G34&lt;Hta_21,$G34&gt;=Hba_21,Input!AE$41&lt;&gt;""),Input!$B$41&amp;";",""),IF(AND($G34&lt;Hta_22,$G34&gt;=Hba_22,Input!AE$42&lt;&gt;""),Input!$B$42&amp;";",""),IF(AND($G34&lt;Hta_23,$G34&gt;=Hba_23,Input!AE$43&lt;&gt;""),Input!$B$43&amp;";",""),IF(AND($G34&lt;Hta_24,$G34&gt;=Hba_24,Input!AE$44&lt;&gt;""),Input!$B$44&amp;";",""),IF(AND($G34&lt;Hta_25,$G34&gt;=Hba_25,Input!AE$45&lt;&gt;""),Input!$B$45&amp;";",""),IF(AND($G34&lt;Hta_26,$G34&gt;=Hba_26,Input!AE$46&lt;&gt;""),Input!$B$46&amp;";",""),IF(AND($G34&lt;Hta_27,$G34&gt;=Hba_27,Input!AE$47&lt;&gt;""),Input!$B$47&amp;";",""),IF(AND($G34&lt;Hta_28,$G34&gt;=Hba_28,Input!AE$48&lt;&gt;""),Input!$B$48&amp;";",""),IF(AND($G34&lt;Hta_29,$G34&gt;=Hba_29,Input!AE$49&lt;&gt;""),Input!$B$49&amp;";",""),IF(AND($G34&lt;Hta_30,$G34&gt;=Hba_30,Input!AE$50&lt;&gt;""),Input!$B$50&amp;";","")),"")</f>
        <v/>
      </c>
      <c r="CG34" s="25" t="str">
        <f>IFERROR(CONCATENATE(IF(AND($G34&lt;Hta_1,$G34&gt;=Hba_1,Input!AF$21&lt;&gt;""),Input!$B$21&amp;";",""),IF(AND($G34&lt;Hta_2,$G34&gt;=Hba_2,Input!AF$22&lt;&gt;""),Input!$B$22&amp;";",""),IF(AND($G34&lt;Hta_3,$G34&gt;=Hba_3,Input!AF$23&lt;&gt;""),Input!$B$23&amp;";",""),IF(AND($G34&lt;Hta_4,$G34&gt;=Hba_4,Input!AF$24&lt;&gt;""),Input!$B$24&amp;";",""),IF(AND($G34&lt;Hta_5,$G34&gt;=Hba_5,Input!AF$25&lt;&gt;""),Input!$B$25&amp;";",""),IF(AND($G34&lt;Hta_6,$G34&gt;=Hba_6,Input!AF$26&lt;&gt;""),Input!$B$26&amp;";",""),IF(AND($G34&lt;Hta_7,$G34&gt;=Hba_7,Input!AF$27&lt;&gt;""),Input!$B$27&amp;";",""),IF(AND($G34&lt;Hta_8,$G34&gt;=Hba_8,Input!AF$28&lt;&gt;""),Input!$B$28&amp;";",""),IF(AND($G34&lt;Hta_9,$G34&gt;=Hba_9,Input!AF$29&lt;&gt;""),Input!$B$29&amp;";",""),IF(AND($G34&lt;Hta_10,$G34&gt;=Hba_10,Input!AF$30&lt;&gt;""),Input!$B$30&amp;";",""),IF(AND($G34&lt;Hta_11,$G34&gt;=Hba_11,Input!AF$31&lt;&gt;""),Input!$B$31&amp;";",""),IF(AND($G34&lt;Hta_12,$G34&gt;=Hba_12,Input!AF$32&lt;&gt;""),Input!$B$32&amp;";",""),IF(AND($G34&lt;Hta_13,$G34&gt;=Hba_13,Input!AF$33&lt;&gt;""),Input!$B$33&amp;";",""),IF(AND($G34&lt;Hta_14,$G34&gt;=Hba_14,Input!AF$34&lt;&gt;""),Input!$B$34&amp;";",""),IF(AND($G34&lt;Hta_15,$G34&gt;=Hba_15,Input!AF$35&lt;&gt;""),Input!$B$35&amp;";",""),IF(AND($G34&lt;Hta_16,$G34&gt;=Hba_16,Input!AF$36&lt;&gt;""),Input!$B$36&amp;";",""),IF(AND($G34&lt;Hta_17,$G34&gt;=Hba_17,Input!AF$37&lt;&gt;""),Input!$B$37&amp;";",""),IF(AND($G34&lt;Hta_18,$G34&gt;=Hba_18,Input!AF$38&lt;&gt;""),Input!$B$38&amp;";",""),IF(AND($G34&lt;Hta_19,$G34&gt;=Hba_19,Input!AF$39&lt;&gt;""),Input!$B$39&amp;";",""),IF(AND($G34&lt;Hta_20,$G34&gt;=Hba_20,Input!AF$40&lt;&gt;""),Input!$B$40&amp;";",""),IF(AND($G34&lt;Hta_21,$G34&gt;=Hba_21,Input!AF$41&lt;&gt;""),Input!$B$41&amp;";",""),IF(AND($G34&lt;Hta_22,$G34&gt;=Hba_22,Input!AF$42&lt;&gt;""),Input!$B$42&amp;";",""),IF(AND($G34&lt;Hta_23,$G34&gt;=Hba_23,Input!AF$43&lt;&gt;""),Input!$B$43&amp;";",""),IF(AND($G34&lt;Hta_24,$G34&gt;=Hba_24,Input!AF$44&lt;&gt;""),Input!$B$44&amp;";",""),IF(AND($G34&lt;Hta_25,$G34&gt;=Hba_25,Input!AF$45&lt;&gt;""),Input!$B$45&amp;";",""),IF(AND($G34&lt;Hta_26,$G34&gt;=Hba_26,Input!AF$46&lt;&gt;""),Input!$B$46&amp;";",""),IF(AND($G34&lt;Hta_27,$G34&gt;=Hba_27,Input!AF$47&lt;&gt;""),Input!$B$47&amp;";",""),IF(AND($G34&lt;Hta_28,$G34&gt;=Hba_28,Input!AF$48&lt;&gt;""),Input!$B$48&amp;";",""),IF(AND($G34&lt;Hta_29,$G34&gt;=Hba_29,Input!AF$49&lt;&gt;""),Input!$B$49&amp;";",""),IF(AND($G34&lt;Hta_30,$G34&gt;=Hba_30,Input!AF$50&lt;&gt;""),Input!$B$50&amp;";","")),"")</f>
        <v/>
      </c>
      <c r="CH34" s="25" t="str">
        <f>IFERROR(CONCATENATE(IF(AND($G34&lt;Hta_1,$G34&gt;=Hba_1,Input!AG$21&lt;&gt;""),Input!$B$21&amp;";",""),IF(AND($G34&lt;Hta_2,$G34&gt;=Hba_2,Input!AG$22&lt;&gt;""),Input!$B$22&amp;";",""),IF(AND($G34&lt;Hta_3,$G34&gt;=Hba_3,Input!AG$23&lt;&gt;""),Input!$B$23&amp;";",""),IF(AND($G34&lt;Hta_4,$G34&gt;=Hba_4,Input!AG$24&lt;&gt;""),Input!$B$24&amp;";",""),IF(AND($G34&lt;Hta_5,$G34&gt;=Hba_5,Input!AG$25&lt;&gt;""),Input!$B$25&amp;";",""),IF(AND($G34&lt;Hta_6,$G34&gt;=Hba_6,Input!AG$26&lt;&gt;""),Input!$B$26&amp;";",""),IF(AND($G34&lt;Hta_7,$G34&gt;=Hba_7,Input!AG$27&lt;&gt;""),Input!$B$27&amp;";",""),IF(AND($G34&lt;Hta_8,$G34&gt;=Hba_8,Input!AG$28&lt;&gt;""),Input!$B$28&amp;";",""),IF(AND($G34&lt;Hta_9,$G34&gt;=Hba_9,Input!AG$29&lt;&gt;""),Input!$B$29&amp;";",""),IF(AND($G34&lt;Hta_10,$G34&gt;=Hba_10,Input!AG$30&lt;&gt;""),Input!$B$30&amp;";",""),IF(AND($G34&lt;Hta_11,$G34&gt;=Hba_11,Input!AG$31&lt;&gt;""),Input!$B$31&amp;";",""),IF(AND($G34&lt;Hta_12,$G34&gt;=Hba_12,Input!AG$32&lt;&gt;""),Input!$B$32&amp;";",""),IF(AND($G34&lt;Hta_13,$G34&gt;=Hba_13,Input!AG$33&lt;&gt;""),Input!$B$33&amp;";",""),IF(AND($G34&lt;Hta_14,$G34&gt;=Hba_14,Input!AG$34&lt;&gt;""),Input!$B$34&amp;";",""),IF(AND($G34&lt;Hta_15,$G34&gt;=Hba_15,Input!AG$35&lt;&gt;""),Input!$B$35&amp;";",""),IF(AND($G34&lt;Hta_16,$G34&gt;=Hba_16,Input!AG$36&lt;&gt;""),Input!$B$36&amp;";",""),IF(AND($G34&lt;Hta_17,$G34&gt;=Hba_17,Input!AG$37&lt;&gt;""),Input!$B$37&amp;";",""),IF(AND($G34&lt;Hta_18,$G34&gt;=Hba_18,Input!AG$38&lt;&gt;""),Input!$B$38&amp;";",""),IF(AND($G34&lt;Hta_19,$G34&gt;=Hba_19,Input!AG$39&lt;&gt;""),Input!$B$39&amp;";",""),IF(AND($G34&lt;Hta_20,$G34&gt;=Hba_20,Input!AG$40&lt;&gt;""),Input!$B$40&amp;";",""),IF(AND($G34&lt;Hta_21,$G34&gt;=Hba_21,Input!AG$41&lt;&gt;""),Input!$B$41&amp;";",""),IF(AND($G34&lt;Hta_22,$G34&gt;=Hba_22,Input!AG$42&lt;&gt;""),Input!$B$42&amp;";",""),IF(AND($G34&lt;Hta_23,$G34&gt;=Hba_23,Input!AG$43&lt;&gt;""),Input!$B$43&amp;";",""),IF(AND($G34&lt;Hta_24,$G34&gt;=Hba_24,Input!AG$44&lt;&gt;""),Input!$B$44&amp;";",""),IF(AND($G34&lt;Hta_25,$G34&gt;=Hba_25,Input!AG$45&lt;&gt;""),Input!$B$45&amp;";",""),IF(AND($G34&lt;Hta_26,$G34&gt;=Hba_26,Input!AG$46&lt;&gt;""),Input!$B$46&amp;";",""),IF(AND($G34&lt;Hta_27,$G34&gt;=Hba_27,Input!AG$47&lt;&gt;""),Input!$B$47&amp;";",""),IF(AND($G34&lt;Hta_28,$G34&gt;=Hba_28,Input!AG$48&lt;&gt;""),Input!$B$48&amp;";",""),IF(AND($G34&lt;Hta_29,$G34&gt;=Hba_29,Input!AG$49&lt;&gt;""),Input!$B$49&amp;";",""),IF(AND($G34&lt;Hta_30,$G34&gt;=Hba_30,Input!AG$50&lt;&gt;""),Input!$B$50&amp;";","")),"")</f>
        <v/>
      </c>
      <c r="CI34" s="25" t="str">
        <f>IFERROR(CONCATENATE(IF(AND($G34&lt;Hta_1,$G34&gt;=Hba_1,Input!AH$21&lt;&gt;""),Input!$B$21&amp;";",""),IF(AND($G34&lt;Hta_2,$G34&gt;=Hba_2,Input!AH$22&lt;&gt;""),Input!$B$22&amp;";",""),IF(AND($G34&lt;Hta_3,$G34&gt;=Hba_3,Input!AH$23&lt;&gt;""),Input!$B$23&amp;";",""),IF(AND($G34&lt;Hta_4,$G34&gt;=Hba_4,Input!AH$24&lt;&gt;""),Input!$B$24&amp;";",""),IF(AND($G34&lt;Hta_5,$G34&gt;=Hba_5,Input!AH$25&lt;&gt;""),Input!$B$25&amp;";",""),IF(AND($G34&lt;Hta_6,$G34&gt;=Hba_6,Input!AH$26&lt;&gt;""),Input!$B$26&amp;";",""),IF(AND($G34&lt;Hta_7,$G34&gt;=Hba_7,Input!AH$27&lt;&gt;""),Input!$B$27&amp;";",""),IF(AND($G34&lt;Hta_8,$G34&gt;=Hba_8,Input!AH$28&lt;&gt;""),Input!$B$28&amp;";",""),IF(AND($G34&lt;Hta_9,$G34&gt;=Hba_9,Input!AH$29&lt;&gt;""),Input!$B$29&amp;";",""),IF(AND($G34&lt;Hta_10,$G34&gt;=Hba_10,Input!AH$30&lt;&gt;""),Input!$B$30&amp;";",""),IF(AND($G34&lt;Hta_11,$G34&gt;=Hba_11,Input!AH$31&lt;&gt;""),Input!$B$31&amp;";",""),IF(AND($G34&lt;Hta_12,$G34&gt;=Hba_12,Input!AH$32&lt;&gt;""),Input!$B$32&amp;";",""),IF(AND($G34&lt;Hta_13,$G34&gt;=Hba_13,Input!AH$33&lt;&gt;""),Input!$B$33&amp;";",""),IF(AND($G34&lt;Hta_14,$G34&gt;=Hba_14,Input!AH$34&lt;&gt;""),Input!$B$34&amp;";",""),IF(AND($G34&lt;Hta_15,$G34&gt;=Hba_15,Input!AH$35&lt;&gt;""),Input!$B$35&amp;";",""),IF(AND($G34&lt;Hta_16,$G34&gt;=Hba_16,Input!AH$36&lt;&gt;""),Input!$B$36&amp;";",""),IF(AND($G34&lt;Hta_17,$G34&gt;=Hba_17,Input!AH$37&lt;&gt;""),Input!$B$37&amp;";",""),IF(AND($G34&lt;Hta_18,$G34&gt;=Hba_18,Input!AH$38&lt;&gt;""),Input!$B$38&amp;";",""),IF(AND($G34&lt;Hta_19,$G34&gt;=Hba_19,Input!AH$39&lt;&gt;""),Input!$B$39&amp;";",""),IF(AND($G34&lt;Hta_20,$G34&gt;=Hba_20,Input!AH$40&lt;&gt;""),Input!$B$40&amp;";",""),IF(AND($G34&lt;Hta_21,$G34&gt;=Hba_21,Input!AH$41&lt;&gt;""),Input!$B$41&amp;";",""),IF(AND($G34&lt;Hta_22,$G34&gt;=Hba_22,Input!AH$42&lt;&gt;""),Input!$B$42&amp;";",""),IF(AND($G34&lt;Hta_23,$G34&gt;=Hba_23,Input!AH$43&lt;&gt;""),Input!$B$43&amp;";",""),IF(AND($G34&lt;Hta_24,$G34&gt;=Hba_24,Input!AH$44&lt;&gt;""),Input!$B$44&amp;";",""),IF(AND($G34&lt;Hta_25,$G34&gt;=Hba_25,Input!AH$45&lt;&gt;""),Input!$B$45&amp;";",""),IF(AND($G34&lt;Hta_26,$G34&gt;=Hba_26,Input!AH$46&lt;&gt;""),Input!$B$46&amp;";",""),IF(AND($G34&lt;Hta_27,$G34&gt;=Hba_27,Input!AH$47&lt;&gt;""),Input!$B$47&amp;";",""),IF(AND($G34&lt;Hta_28,$G34&gt;=Hba_28,Input!AH$48&lt;&gt;""),Input!$B$48&amp;";",""),IF(AND($G34&lt;Hta_29,$G34&gt;=Hba_29,Input!AH$49&lt;&gt;""),Input!$B$49&amp;";",""),IF(AND($G34&lt;Hta_30,$G34&gt;=Hba_30,Input!AH$50&lt;&gt;""),Input!$B$50&amp;";","")),"")</f>
        <v/>
      </c>
      <c r="CJ34" s="25" t="str">
        <f>IFERROR(CONCATENATE(IF(AND($G34&lt;Hta_1,$G34&gt;=Hba_1,Input!AI$21&lt;&gt;""),Input!$B$21&amp;";",""),IF(AND($G34&lt;Hta_2,$G34&gt;=Hba_2,Input!AI$22&lt;&gt;""),Input!$B$22&amp;";",""),IF(AND($G34&lt;Hta_3,$G34&gt;=Hba_3,Input!AI$23&lt;&gt;""),Input!$B$23&amp;";",""),IF(AND($G34&lt;Hta_4,$G34&gt;=Hba_4,Input!AI$24&lt;&gt;""),Input!$B$24&amp;";",""),IF(AND($G34&lt;Hta_5,$G34&gt;=Hba_5,Input!AI$25&lt;&gt;""),Input!$B$25&amp;";",""),IF(AND($G34&lt;Hta_6,$G34&gt;=Hba_6,Input!AI$26&lt;&gt;""),Input!$B$26&amp;";",""),IF(AND($G34&lt;Hta_7,$G34&gt;=Hba_7,Input!AI$27&lt;&gt;""),Input!$B$27&amp;";",""),IF(AND($G34&lt;Hta_8,$G34&gt;=Hba_8,Input!AI$28&lt;&gt;""),Input!$B$28&amp;";",""),IF(AND($G34&lt;Hta_9,$G34&gt;=Hba_9,Input!AI$29&lt;&gt;""),Input!$B$29&amp;";",""),IF(AND($G34&lt;Hta_10,$G34&gt;=Hba_10,Input!AI$30&lt;&gt;""),Input!$B$30&amp;";",""),IF(AND($G34&lt;Hta_11,$G34&gt;=Hba_11,Input!AI$31&lt;&gt;""),Input!$B$31&amp;";",""),IF(AND($G34&lt;Hta_12,$G34&gt;=Hba_12,Input!AI$32&lt;&gt;""),Input!$B$32&amp;";",""),IF(AND($G34&lt;Hta_13,$G34&gt;=Hba_13,Input!AI$33&lt;&gt;""),Input!$B$33&amp;";",""),IF(AND($G34&lt;Hta_14,$G34&gt;=Hba_14,Input!AI$34&lt;&gt;""),Input!$B$34&amp;";",""),IF(AND($G34&lt;Hta_15,$G34&gt;=Hba_15,Input!AI$35&lt;&gt;""),Input!$B$35&amp;";",""),IF(AND($G34&lt;Hta_16,$G34&gt;=Hba_16,Input!AI$36&lt;&gt;""),Input!$B$36&amp;";",""),IF(AND($G34&lt;Hta_17,$G34&gt;=Hba_17,Input!AI$37&lt;&gt;""),Input!$B$37&amp;";",""),IF(AND($G34&lt;Hta_18,$G34&gt;=Hba_18,Input!AI$38&lt;&gt;""),Input!$B$38&amp;";",""),IF(AND($G34&lt;Hta_19,$G34&gt;=Hba_19,Input!AI$39&lt;&gt;""),Input!$B$39&amp;";",""),IF(AND($G34&lt;Hta_20,$G34&gt;=Hba_20,Input!AI$40&lt;&gt;""),Input!$B$40&amp;";",""),IF(AND($G34&lt;Hta_21,$G34&gt;=Hba_21,Input!AI$41&lt;&gt;""),Input!$B$41&amp;";",""),IF(AND($G34&lt;Hta_22,$G34&gt;=Hba_22,Input!AI$42&lt;&gt;""),Input!$B$42&amp;";",""),IF(AND($G34&lt;Hta_23,$G34&gt;=Hba_23,Input!AI$43&lt;&gt;""),Input!$B$43&amp;";",""),IF(AND($G34&lt;Hta_24,$G34&gt;=Hba_24,Input!AI$44&lt;&gt;""),Input!$B$44&amp;";",""),IF(AND($G34&lt;Hta_25,$G34&gt;=Hba_25,Input!AI$45&lt;&gt;""),Input!$B$45&amp;";",""),IF(AND($G34&lt;Hta_26,$G34&gt;=Hba_26,Input!AI$46&lt;&gt;""),Input!$B$46&amp;";",""),IF(AND($G34&lt;Hta_27,$G34&gt;=Hba_27,Input!AI$47&lt;&gt;""),Input!$B$47&amp;";",""),IF(AND($G34&lt;Hta_28,$G34&gt;=Hba_28,Input!AI$48&lt;&gt;""),Input!$B$48&amp;";",""),IF(AND($G34&lt;Hta_29,$G34&gt;=Hba_29,Input!AI$49&lt;&gt;""),Input!$B$49&amp;";",""),IF(AND($G34&lt;Hta_30,$G34&gt;=Hba_30,Input!AI$50&lt;&gt;""),Input!$B$50&amp;";","")),"")</f>
        <v/>
      </c>
      <c r="CK34" s="25" t="str">
        <f>IFERROR(CONCATENATE(IF(AND($G34&lt;Hta_1,$G34&gt;=Hba_1,Input!AJ$21&lt;&gt;""),Input!$B$21&amp;";",""),IF(AND($G34&lt;Hta_2,$G34&gt;=Hba_2,Input!AJ$22&lt;&gt;""),Input!$B$22&amp;";",""),IF(AND($G34&lt;Hta_3,$G34&gt;=Hba_3,Input!AJ$23&lt;&gt;""),Input!$B$23&amp;";",""),IF(AND($G34&lt;Hta_4,$G34&gt;=Hba_4,Input!AJ$24&lt;&gt;""),Input!$B$24&amp;";",""),IF(AND($G34&lt;Hta_5,$G34&gt;=Hba_5,Input!AJ$25&lt;&gt;""),Input!$B$25&amp;";",""),IF(AND($G34&lt;Hta_6,$G34&gt;=Hba_6,Input!AJ$26&lt;&gt;""),Input!$B$26&amp;";",""),IF(AND($G34&lt;Hta_7,$G34&gt;=Hba_7,Input!AJ$27&lt;&gt;""),Input!$B$27&amp;";",""),IF(AND($G34&lt;Hta_8,$G34&gt;=Hba_8,Input!AJ$28&lt;&gt;""),Input!$B$28&amp;";",""),IF(AND($G34&lt;Hta_9,$G34&gt;=Hba_9,Input!AJ$29&lt;&gt;""),Input!$B$29&amp;";",""),IF(AND($G34&lt;Hta_10,$G34&gt;=Hba_10,Input!AJ$30&lt;&gt;""),Input!$B$30&amp;";",""),IF(AND($G34&lt;Hta_11,$G34&gt;=Hba_11,Input!AJ$31&lt;&gt;""),Input!$B$31&amp;";",""),IF(AND($G34&lt;Hta_12,$G34&gt;=Hba_12,Input!AJ$32&lt;&gt;""),Input!$B$32&amp;";",""),IF(AND($G34&lt;Hta_13,$G34&gt;=Hba_13,Input!AJ$33&lt;&gt;""),Input!$B$33&amp;";",""),IF(AND($G34&lt;Hta_14,$G34&gt;=Hba_14,Input!AJ$34&lt;&gt;""),Input!$B$34&amp;";",""),IF(AND($G34&lt;Hta_15,$G34&gt;=Hba_15,Input!AJ$35&lt;&gt;""),Input!$B$35&amp;";",""),IF(AND($G34&lt;Hta_16,$G34&gt;=Hba_16,Input!AJ$36&lt;&gt;""),Input!$B$36&amp;";",""),IF(AND($G34&lt;Hta_17,$G34&gt;=Hba_17,Input!AJ$37&lt;&gt;""),Input!$B$37&amp;";",""),IF(AND($G34&lt;Hta_18,$G34&gt;=Hba_18,Input!AJ$38&lt;&gt;""),Input!$B$38&amp;";",""),IF(AND($G34&lt;Hta_19,$G34&gt;=Hba_19,Input!AJ$39&lt;&gt;""),Input!$B$39&amp;";",""),IF(AND($G34&lt;Hta_20,$G34&gt;=Hba_20,Input!AJ$40&lt;&gt;""),Input!$B$40&amp;";",""),IF(AND($G34&lt;Hta_21,$G34&gt;=Hba_21,Input!AJ$41&lt;&gt;""),Input!$B$41&amp;";",""),IF(AND($G34&lt;Hta_22,$G34&gt;=Hba_22,Input!AJ$42&lt;&gt;""),Input!$B$42&amp;";",""),IF(AND($G34&lt;Hta_23,$G34&gt;=Hba_23,Input!AJ$43&lt;&gt;""),Input!$B$43&amp;";",""),IF(AND($G34&lt;Hta_24,$G34&gt;=Hba_24,Input!AJ$44&lt;&gt;""),Input!$B$44&amp;";",""),IF(AND($G34&lt;Hta_25,$G34&gt;=Hba_25,Input!AJ$45&lt;&gt;""),Input!$B$45&amp;";",""),IF(AND($G34&lt;Hta_26,$G34&gt;=Hba_26,Input!AJ$46&lt;&gt;""),Input!$B$46&amp;";",""),IF(AND($G34&lt;Hta_27,$G34&gt;=Hba_27,Input!AJ$47&lt;&gt;""),Input!$B$47&amp;";",""),IF(AND($G34&lt;Hta_28,$G34&gt;=Hba_28,Input!AJ$48&lt;&gt;""),Input!$B$48&amp;";",""),IF(AND($G34&lt;Hta_29,$G34&gt;=Hba_29,Input!AJ$49&lt;&gt;""),Input!$B$49&amp;";",""),IF(AND($G34&lt;Hta_30,$G34&gt;=Hba_30,Input!AJ$50&lt;&gt;""),Input!$B$50&amp;";","")),"")</f>
        <v/>
      </c>
      <c r="CL34" s="25" t="str">
        <f>IFERROR(CONCATENATE(IF(AND($G34&lt;Hta_1,$G34&gt;=Hba_1,Input!AK$21&lt;&gt;""),Input!$B$21&amp;";",""),IF(AND($G34&lt;Hta_2,$G34&gt;=Hba_2,Input!AK$22&lt;&gt;""),Input!$B$22&amp;";",""),IF(AND($G34&lt;Hta_3,$G34&gt;=Hba_3,Input!AK$23&lt;&gt;""),Input!$B$23&amp;";",""),IF(AND($G34&lt;Hta_4,$G34&gt;=Hba_4,Input!AK$24&lt;&gt;""),Input!$B$24&amp;";",""),IF(AND($G34&lt;Hta_5,$G34&gt;=Hba_5,Input!AK$25&lt;&gt;""),Input!$B$25&amp;";",""),IF(AND($G34&lt;Hta_6,$G34&gt;=Hba_6,Input!AK$26&lt;&gt;""),Input!$B$26&amp;";",""),IF(AND($G34&lt;Hta_7,$G34&gt;=Hba_7,Input!AK$27&lt;&gt;""),Input!$B$27&amp;";",""),IF(AND($G34&lt;Hta_8,$G34&gt;=Hba_8,Input!AK$28&lt;&gt;""),Input!$B$28&amp;";",""),IF(AND($G34&lt;Hta_9,$G34&gt;=Hba_9,Input!AK$29&lt;&gt;""),Input!$B$29&amp;";",""),IF(AND($G34&lt;Hta_10,$G34&gt;=Hba_10,Input!AK$30&lt;&gt;""),Input!$B$30&amp;";",""),IF(AND($G34&lt;Hta_11,$G34&gt;=Hba_11,Input!AK$31&lt;&gt;""),Input!$B$31&amp;";",""),IF(AND($G34&lt;Hta_12,$G34&gt;=Hba_12,Input!AK$32&lt;&gt;""),Input!$B$32&amp;";",""),IF(AND($G34&lt;Hta_13,$G34&gt;=Hba_13,Input!AK$33&lt;&gt;""),Input!$B$33&amp;";",""),IF(AND($G34&lt;Hta_14,$G34&gt;=Hba_14,Input!AK$34&lt;&gt;""),Input!$B$34&amp;";",""),IF(AND($G34&lt;Hta_15,$G34&gt;=Hba_15,Input!AK$35&lt;&gt;""),Input!$B$35&amp;";",""),IF(AND($G34&lt;Hta_16,$G34&gt;=Hba_16,Input!AK$36&lt;&gt;""),Input!$B$36&amp;";",""),IF(AND($G34&lt;Hta_17,$G34&gt;=Hba_17,Input!AK$37&lt;&gt;""),Input!$B$37&amp;";",""),IF(AND($G34&lt;Hta_18,$G34&gt;=Hba_18,Input!AK$38&lt;&gt;""),Input!$B$38&amp;";",""),IF(AND($G34&lt;Hta_19,$G34&gt;=Hba_19,Input!AK$39&lt;&gt;""),Input!$B$39&amp;";",""),IF(AND($G34&lt;Hta_20,$G34&gt;=Hba_20,Input!AK$40&lt;&gt;""),Input!$B$40&amp;";",""),IF(AND($G34&lt;Hta_21,$G34&gt;=Hba_21,Input!AK$41&lt;&gt;""),Input!$B$41&amp;";",""),IF(AND($G34&lt;Hta_22,$G34&gt;=Hba_22,Input!AK$42&lt;&gt;""),Input!$B$42&amp;";",""),IF(AND($G34&lt;Hta_23,$G34&gt;=Hba_23,Input!AK$43&lt;&gt;""),Input!$B$43&amp;";",""),IF(AND($G34&lt;Hta_24,$G34&gt;=Hba_24,Input!AK$44&lt;&gt;""),Input!$B$44&amp;";",""),IF(AND($G34&lt;Hta_25,$G34&gt;=Hba_25,Input!AK$45&lt;&gt;""),Input!$B$45&amp;";",""),IF(AND($G34&lt;Hta_26,$G34&gt;=Hba_26,Input!AK$46&lt;&gt;""),Input!$B$46&amp;";",""),IF(AND($G34&lt;Hta_27,$G34&gt;=Hba_27,Input!AK$47&lt;&gt;""),Input!$B$47&amp;";",""),IF(AND($G34&lt;Hta_28,$G34&gt;=Hba_28,Input!AK$48&lt;&gt;""),Input!$B$48&amp;";",""),IF(AND($G34&lt;Hta_29,$G34&gt;=Hba_29,Input!AK$49&lt;&gt;""),Input!$B$49&amp;";",""),IF(AND($G34&lt;Hta_30,$G34&gt;=Hba_30,Input!AK$50&lt;&gt;""),Input!$B$50&amp;";","")),"")</f>
        <v/>
      </c>
      <c r="CM34" s="25" t="str">
        <f>IFERROR(CONCATENATE(IF(AND($G34&lt;Hta_1,$G34&gt;=Hba_1,Input!AL$21&lt;&gt;""),Input!$B$21&amp;";",""),IF(AND($G34&lt;Hta_2,$G34&gt;=Hba_2,Input!AL$22&lt;&gt;""),Input!$B$22&amp;";",""),IF(AND($G34&lt;Hta_3,$G34&gt;=Hba_3,Input!AL$23&lt;&gt;""),Input!$B$23&amp;";",""),IF(AND($G34&lt;Hta_4,$G34&gt;=Hba_4,Input!AL$24&lt;&gt;""),Input!$B$24&amp;";",""),IF(AND($G34&lt;Hta_5,$G34&gt;=Hba_5,Input!AL$25&lt;&gt;""),Input!$B$25&amp;";",""),IF(AND($G34&lt;Hta_6,$G34&gt;=Hba_6,Input!AL$26&lt;&gt;""),Input!$B$26&amp;";",""),IF(AND($G34&lt;Hta_7,$G34&gt;=Hba_7,Input!AL$27&lt;&gt;""),Input!$B$27&amp;";",""),IF(AND($G34&lt;Hta_8,$G34&gt;=Hba_8,Input!AL$28&lt;&gt;""),Input!$B$28&amp;";",""),IF(AND($G34&lt;Hta_9,$G34&gt;=Hba_9,Input!AL$29&lt;&gt;""),Input!$B$29&amp;";",""),IF(AND($G34&lt;Hta_10,$G34&gt;=Hba_10,Input!AL$30&lt;&gt;""),Input!$B$30&amp;";",""),IF(AND($G34&lt;Hta_11,$G34&gt;=Hba_11,Input!AL$31&lt;&gt;""),Input!$B$31&amp;";",""),IF(AND($G34&lt;Hta_12,$G34&gt;=Hba_12,Input!AL$32&lt;&gt;""),Input!$B$32&amp;";",""),IF(AND($G34&lt;Hta_13,$G34&gt;=Hba_13,Input!AL$33&lt;&gt;""),Input!$B$33&amp;";",""),IF(AND($G34&lt;Hta_14,$G34&gt;=Hba_14,Input!AL$34&lt;&gt;""),Input!$B$34&amp;";",""),IF(AND($G34&lt;Hta_15,$G34&gt;=Hba_15,Input!AL$35&lt;&gt;""),Input!$B$35&amp;";",""),IF(AND($G34&lt;Hta_16,$G34&gt;=Hba_16,Input!AL$36&lt;&gt;""),Input!$B$36&amp;";",""),IF(AND($G34&lt;Hta_17,$G34&gt;=Hba_17,Input!AL$37&lt;&gt;""),Input!$B$37&amp;";",""),IF(AND($G34&lt;Hta_18,$G34&gt;=Hba_18,Input!AL$38&lt;&gt;""),Input!$B$38&amp;";",""),IF(AND($G34&lt;Hta_19,$G34&gt;=Hba_19,Input!AL$39&lt;&gt;""),Input!$B$39&amp;";",""),IF(AND($G34&lt;Hta_20,$G34&gt;=Hba_20,Input!AL$40&lt;&gt;""),Input!$B$40&amp;";",""),IF(AND($G34&lt;Hta_21,$G34&gt;=Hba_21,Input!AL$41&lt;&gt;""),Input!$B$41&amp;";",""),IF(AND($G34&lt;Hta_22,$G34&gt;=Hba_22,Input!AL$42&lt;&gt;""),Input!$B$42&amp;";",""),IF(AND($G34&lt;Hta_23,$G34&gt;=Hba_23,Input!AL$43&lt;&gt;""),Input!$B$43&amp;";",""),IF(AND($G34&lt;Hta_24,$G34&gt;=Hba_24,Input!AL$44&lt;&gt;""),Input!$B$44&amp;";",""),IF(AND($G34&lt;Hta_25,$G34&gt;=Hba_25,Input!AL$45&lt;&gt;""),Input!$B$45&amp;";",""),IF(AND($G34&lt;Hta_26,$G34&gt;=Hba_26,Input!AL$46&lt;&gt;""),Input!$B$46&amp;";",""),IF(AND($G34&lt;Hta_27,$G34&gt;=Hba_27,Input!AL$47&lt;&gt;""),Input!$B$47&amp;";",""),IF(AND($G34&lt;Hta_28,$G34&gt;=Hba_28,Input!AL$48&lt;&gt;""),Input!$B$48&amp;";",""),IF(AND($G34&lt;Hta_29,$G34&gt;=Hba_29,Input!AL$49&lt;&gt;""),Input!$B$49&amp;";",""),IF(AND($G34&lt;Hta_30,$G34&gt;=Hba_30,Input!AL$50&lt;&gt;""),Input!$B$50&amp;";","")),"")</f>
        <v/>
      </c>
      <c r="CN34" s="59" t="str">
        <f t="shared" si="6"/>
        <v/>
      </c>
      <c r="CO34" s="791"/>
      <c r="CP34" s="792"/>
      <c r="CQ34" s="793"/>
      <c r="CR34" s="791"/>
      <c r="CS34" s="792"/>
      <c r="CT34" s="793"/>
      <c r="CU34" s="791" t="str">
        <f t="shared" si="7"/>
        <v/>
      </c>
      <c r="CV34" s="792"/>
      <c r="CW34" s="807"/>
      <c r="CX34" s="808"/>
      <c r="CY34" s="730"/>
      <c r="CZ34" s="809"/>
      <c r="DA34" s="733"/>
      <c r="DB34" s="734"/>
      <c r="DC34" s="735"/>
      <c r="DD34" s="729" t="str">
        <f t="shared" si="8"/>
        <v/>
      </c>
      <c r="DE34" s="730"/>
      <c r="DF34" s="731"/>
      <c r="DG34" s="55"/>
      <c r="DH34" s="56"/>
      <c r="DI34" s="56"/>
      <c r="DJ34" s="56"/>
      <c r="DK34" s="56"/>
      <c r="DL34" s="56"/>
      <c r="DM34" s="56"/>
      <c r="DN34" s="56"/>
      <c r="DO34" s="56"/>
      <c r="DP34" s="56"/>
      <c r="DQ34" s="58"/>
      <c r="DR34" s="58"/>
      <c r="DS34" s="58"/>
      <c r="DT34" s="58"/>
      <c r="DU34" s="58"/>
      <c r="DV34" s="58"/>
      <c r="DW34" s="58"/>
      <c r="DX34" s="58"/>
      <c r="DY34" s="58"/>
      <c r="DZ34" s="58"/>
      <c r="EA34" s="58"/>
      <c r="EB34" s="58"/>
      <c r="EC34" s="58"/>
      <c r="ED34" s="58"/>
      <c r="EE34" s="58"/>
      <c r="EF34" s="58"/>
      <c r="EG34" s="58"/>
      <c r="EH34" s="58"/>
      <c r="EI34" s="58"/>
      <c r="EJ34" s="58"/>
      <c r="EK34" s="58"/>
      <c r="EL34" s="134"/>
      <c r="EM34" s="134"/>
      <c r="EN34" s="134"/>
      <c r="EO34" s="134"/>
      <c r="EP34" s="134"/>
      <c r="EQ34" s="134"/>
      <c r="ER34" s="134"/>
      <c r="ES34" s="134"/>
      <c r="ET34" s="134"/>
      <c r="EU34" s="134"/>
      <c r="EV34" s="134"/>
      <c r="EW34" s="134"/>
      <c r="EX34" s="134"/>
      <c r="EY34" s="134"/>
      <c r="EZ34" s="134"/>
      <c r="FA34" s="134"/>
      <c r="FB34" s="134"/>
      <c r="FC34" s="134"/>
      <c r="FD34" s="134"/>
      <c r="FE34" s="134"/>
      <c r="FF34" s="134"/>
      <c r="FG34" s="134"/>
      <c r="FH34" s="134"/>
      <c r="FI34" s="134"/>
      <c r="FJ34" s="134"/>
      <c r="FK34" s="134"/>
      <c r="FL34" s="134"/>
      <c r="FM34" s="134"/>
      <c r="FN34" s="134"/>
      <c r="FO34" s="134"/>
      <c r="FP34" s="65"/>
      <c r="FQ34" s="124"/>
      <c r="FR34" s="122"/>
      <c r="FS34" s="120"/>
      <c r="FT34" s="119"/>
    </row>
    <row r="35" spans="2:176" ht="15.75" hidden="1" customHeight="1" thickBot="1" x14ac:dyDescent="0.3">
      <c r="B35" s="62" t="b">
        <f>IF(OR(AND(G35&gt;='Geometry 2'!$AK$5,G35&lt;'Geometry 2'!$AL$5),AND(G35&gt;='Geometry 2'!$AK$6,G35&lt;'Geometry 2'!$AL$6),AND(G35&gt;='Geometry 2'!$AK$7,G35&lt;'Geometry 2'!$AL$7),AND(G35&gt;='Geometry 2'!$AK$8,G35&lt;'Geometry 2'!$AL$8),AND(G35&gt;='Geometry 2'!$AK$9,G35&lt;'Geometry 2'!$AL$9),AND(G35&gt;='Geometry 2'!$AK$10,G35&lt;'Geometry 2'!$AL$10),AND(G35&gt;='Geometry 2'!$AK$11,G35&lt;'Geometry 2'!$AL$11),AND(G35&gt;='Geometry 2'!$AK$12,G35&lt;'Geometry 2'!$AL$12),AND(G35&gt;='Geometry 2'!$AK$13,G35&lt;'Geometry 2'!$AL$13),AND(G35&gt;='Geometry 2'!$AK$14,G35&lt;'Geometry 2'!$AL$14)),TRUE,FALSE)</f>
        <v>0</v>
      </c>
      <c r="C35" s="4" t="str">
        <f t="shared" si="3"/>
        <v/>
      </c>
      <c r="D35" s="766" t="str">
        <f t="shared" si="4"/>
        <v/>
      </c>
      <c r="E35" s="767"/>
      <c r="F35" s="17" t="str">
        <f t="shared" si="2"/>
        <v/>
      </c>
      <c r="G35" s="768" t="str">
        <f>IF(D35="","",MAX(0,G34-IF(inc="n/a",999,inc),MAX(IF(G34&lt;=Hta_1,0,Hta_1),IF(G34&lt;=Hta_2,0,Hta_2),IF(G34&lt;=Hta_3,0,Hta_3),IF(G34&lt;=Hta_4,0,Hta_4),IF(G34&lt;=Hta_5,0,Hta_5),IF(G34&lt;=Hta_6,0,Hta_6),IF(G34&lt;=Hta_7,0,Hta_7),IF(G34&lt;=Hta_8,0,Hta_8),IF(G34&lt;=Hta_9,0,Hta_9),IF(G34&lt;=Hta_10,0,Hta_10),IF(G34&lt;=Hta_11,0,Hta_11),IF(G34&lt;=Hta_12,0,Hta_12),IF(G34&lt;=Hta_13,0,Hta_13),IF(G34&lt;=Hta_14,0,Hta_14),IF(G34&lt;=Hta_15,0,Hta_15),IF(G34&lt;=Hta_16,0,Hta_16),IF(G34&lt;=Hta_17,0,Hta_17),IF(G34&lt;=Hta_18,0,Hta_18),IF(G34&lt;=Hta_19,0,Hta_19),IF(G34&lt;=Hta_20,0,Hta_20),IF(G34&lt;=Hta_21,0,Hta_21),IF(G34&lt;=Hta_22,0,Hta_22),IF(G34&lt;=Hta_23,0,Hta_23),IF(G34&lt;=Hta_24,0,Hta_24),IF(G34&lt;=Hta_25,0,Hta_25),IF(G34&lt;=Hta_26,0,Hta_26),IF(G34&lt;=Hta_27,0,Hta_27),IF(G34&lt;=Hta_28,0,Hta_28),IF(G34&lt;=Hta_29,0,Hta_29),IF(G34&lt;=Hta_30,0,Hta_30)),MAX(IF(G34&lt;=Hta_1-0.25,0,Hta_1-0.25),IF(G34&lt;=Hta_2-0.25,0,Hta_2-0.25),IF(G34&lt;=Hta_3-0.25,0,Hta_3-0.25),IF(G34&lt;=Hta_4-0.25,0,Hta_4-0.25),IF(G34&lt;=Hta_5-0.25,0,Hta_5-0.25),IF(G34&lt;=Hta_6-0.25,0,Hta_6-0.25),IF(G34&lt;=Hta_7-0.25,0,Hta_7-0.25),IF(G34&lt;=Hta_8-0.25,0,Hta_8-0.25),IF(G34&lt;=Hta_9-0.25,0,Hta_9-0.25),IF(G34&lt;=Hta_10-0.25,0,Hta_10-0.25),IF(G34&lt;=Hta_11-0.25,0,Hta_11-0.25),IF(G34&lt;=Hta_12-0.25,0,Hta_12-0.25),IF(G34&lt;=Hta_13-0.25,0,Hta_13-0.25),IF(G34&lt;=Hta_14-0.25,0,Hta_14-0.25),IF(G34&lt;=Hta_15-0.25,0,Hta_15-0.25),IF(G34&lt;=Hta_16-0.25,0,Hta_16-0.25),IF(G34&lt;=Hta_17-0.25,0,Hta_17-0.25),IF(G34&lt;=Hta_18-0.25,0,Hta_18-0.25),IF(G34&lt;=Hta_19-0.25,0,Hta_19-0.25),IF(G34&lt;=Hta_20-0.25,0,Hta_20-0.25),IF(G34&lt;=Hta_21-0.25,0,Hta_21-0.25),IF(G34&lt;=Hta_22-0.25,0,Hta_22-0.25),IF(G34&lt;=Hta_23-0.25,0,Hta_23-0.25),IF(G34&lt;=Hta_24-0.25,0,Hta_24-0.25),IF(G34&lt;=Hta_25-0.25,0,Hta_25-0.25),IF(G34&lt;=Hta_26-0.25,0,Hta_26-0.25),IF(G34&lt;=Hta_27-0.25,0,Hta_27-0.25),IF(G34&lt;=Hta_28-0.25,0,Hta_28-0.25),IF(G34&lt;=Hta_29-0.25,0,Hta_29-0.25),IF(G34&lt;=Hta_30-0.25,0,Hta_30-0.25)),MAX(IF(G34&lt;=Hba_1,0,Hba_1),IF(G34&lt;=Hba_2,0,Hba_2),IF(G34&lt;=Hba_3,0,Hba_3),IF(G34&lt;=Hba_4,0,Hba_4),IF(G34&lt;=Hba_5,0,Hba_5),IF(G34&lt;=Hba_6,0,Hba_6),IF(G34&lt;=Hba_7,0,Hba_7),IF(G34&lt;=Hba_8,0,Hba_8),IF(G34&lt;=Hba_9,0,Hba_9),IF(G34&lt;=Hba_10,0,Hba_10),IF(G34&lt;=Hba_11,0,Hba_11),IF(G34&lt;=Hba_12,0,Hba_12),IF(G34&lt;=Hba_13,0,Hba_13),IF(G34&lt;=Hba_14,0,Hba_14),IF(G34&lt;=Hba_15,0,Hba_15),IF(G34&lt;=Hba_16,0,Hba_16),IF(G34&lt;=Hba_17,0,Hba_17),IF(G34&lt;=Hba_18,0,Hba_18),IF(G34&lt;=Hba_19,0,Hba_19),IF(G34&lt;=Hba_20,0,Hba_20),IF(G34&lt;=Hba_21,0,Hba_21),IF(G34&lt;=Hba_22,0,Hba_22),IF(G34&lt;=Hba_23,0,Hba_23),IF(G34&lt;=Hba_24,0,Hba_24),IF(G34&lt;=Hba_25,0,Hba_25),IF(G34&lt;=Hba_26,0,Hba_26),IF(G34&lt;=Hba_27,0,Hba_27),IF(G34&lt;=Hba_28,0,Hba_28),IF(G34&lt;=Hba_29,0,Hba_29),IF(G34&lt;=Hba_30,0,Hba_30)),MAX(IF(G34&lt;=Input!$C$8,0,Input!$C$8),IF(G34&lt;=Input!$C$9,0,Input!$C$9),IF(G34&lt;=Input!$C$10,0,Input!$C$10),IF(G34&lt;=Input!$C$11,0,Input!$C$11),IF(G34&lt;=Input!$C$12,0,Input!$C$12),IF(G34&lt;=Input!$C$13,0,Input!$C$13),IF(G34&lt;=Input!$C$14,0,Input!$C$14),IF(G34&lt;=Input!$C$15,0,Input!$C$15),IF(G34&lt;=Input!$C$16,0,Input!$C$16)),MAX(IF(G34&lt;=Hba_1-0.25,0,Hba_1-0.25),IF(G34&lt;=Hba_2-0.25,0,Hba_2-0.25),IF(G34&lt;=Hba_3-0.25,0,Hba_3-0.25),IF(G34&lt;=Hba_4-0.25,0,Hba_4-0.25),IF(G34&lt;=Hba_5-0.25,0,Hba_5-0.25),IF(G34&lt;=Hba_6-0.25,0,Hba_6-0.25),IF(G34&lt;=Hba_7-0.25,0,Hba_7-0.25),IF(G34&lt;=Hba_8-0.25,0,Hba_8-0.25),IF(G34&lt;=Hba_9-0.25,0,Hba_9-0.25),IF(G34&lt;=Hba_10-0.25,0,Hba_10-0.25),IF(G34&lt;=Hba_11-0.25,0,Hba_11-0.25),IF(G34&lt;=Hba_12-0.25,0,Hba_12-0.25),IF(G34&lt;=Hba_13-0.25,0,Hba_13-0.25),IF(G34&lt;=Hba_14-0.25,0,Hba_14-0.25),IF(G34&lt;=Hba_15-0.25,0,Hba_15-0.25),IF(G34&lt;=Hba_16-0.25,0,Hba_16-0.25),IF(G34&lt;=Hba_17-0.25,0,Hba_17-0.25),IF(G34&lt;=Hba_18-0.25,0,Hba_18-0.25),IF(G34&lt;=Hba_19-0.25,0,Hba_19-0.25),IF(G34&lt;=Hba_20-0.25,0,Hba_20-0.25),IF(G34&lt;=Hba_21-0.25,0,Hba_21-0.25),IF(G34&lt;=Hba_22-0.25,0,Hba_22-0.25),IF(G34&lt;=Hba_23-0.25,0,Hba_23-0.25),IF(G34&lt;=Hba_24-0.25,0,Hba_24-0.25),IF(G34&lt;=Hba_25-0.25,0,Hba_25-0.25),IF(G34&lt;=Hba_26-0.25,0,Hba_26-0.25),IF(G34&lt;=Hba_27-0.25,0,Hba_27-0.25),IF(G34&lt;=Hba_28-0.25,0,Hba_28-0.25),IF(G34&lt;=Hba_29-0.25,0,Hba_29-0.25),IF(G34&lt;=Hba_30-0.25,0,Hba_30-0.25)),IF(G34&lt;='Macro References'!$A$38,0,'Macro References'!$A$38)))</f>
        <v/>
      </c>
      <c r="H35" s="769"/>
      <c r="I35" s="228"/>
      <c r="J35" s="228"/>
      <c r="K35" s="228"/>
      <c r="L35" s="717" t="str">
        <f t="shared" si="0"/>
        <v/>
      </c>
      <c r="M35" s="717"/>
      <c r="N35" s="717"/>
      <c r="O35" s="717"/>
      <c r="P35" s="717" t="str">
        <f>IF(OR(G35=0,G35=""),"",IF(VLOOKUP(G35,'Geometry 2'!$C$4:$AI$14,1,TRUE)=VLOOKUP(G36,'Geometry 2'!$C$4:$AI$14,1,TRUE),"",IF(VLOOKUP(G35,'Geometry 2'!$C$4:$AI$14,33,TRUE)&lt;&gt;"n/a",MIN(G35,VLOOKUP(G35,'Geometry 2'!$C$4:$AI$14,1,TRUE))-VLOOKUP(G35,'Geometry 2'!$C$4:$AI$14,33,TRUE),"check")))</f>
        <v/>
      </c>
      <c r="Q35" s="717"/>
      <c r="R35" s="717"/>
      <c r="S35" s="717"/>
      <c r="T35" s="717" t="str">
        <f>IF($G35="","",VLOOKUP($G35,'Geometry 2'!$E$4:$AH$14,11,TRUE))</f>
        <v/>
      </c>
      <c r="U35" s="717"/>
      <c r="V35" s="717"/>
      <c r="W35" s="717"/>
      <c r="X35" s="716" t="str">
        <f>IF($G35="","",VLOOKUP($G35,'Geometry 2'!$E$4:$AJ$14,19,TRUE)-12*VLOOKUP($G35,'Geometry 2'!$E$4:$AJ$14,32,TRUE)*($D35-VLOOKUP($G35,'Geometry 2'!$E$5:$AH$14,1,TRUE)))</f>
        <v/>
      </c>
      <c r="Y35" s="716"/>
      <c r="Z35" s="716"/>
      <c r="AA35" s="716"/>
      <c r="AB35" s="757" t="str">
        <f>IF($G35="","",VLOOKUP($G35,'Geometry 2'!$E$4:$AJ$14,19,TRUE)-12*VLOOKUP($G35,'Geometry 2'!$E$4:$AJ$14,32,TRUE)*($G35-VLOOKUP($G35,'Geometry 2'!$E$5:$AH$14,1,TRUE)))</f>
        <v/>
      </c>
      <c r="AC35" s="758"/>
      <c r="AD35" s="758"/>
      <c r="AE35" s="759"/>
      <c r="AF35" s="716" t="str">
        <f>IF($G35="","",VLOOKUP($G35,'Geometry 2'!$E$4:$AJ$14,19,TRUE)-12*VLOOKUP($G35,'Geometry 2'!$E$4:$AJ$14,32,TRUE)*($G35-IF($P35="",0,$P35)-VLOOKUP($G35,'Geometry 2'!$E$5:$AH$14,1,TRUE)))</f>
        <v/>
      </c>
      <c r="AG35" s="716"/>
      <c r="AH35" s="716"/>
      <c r="AI35" s="716"/>
      <c r="AJ35" s="746" t="str">
        <f>IF($G35="","",VLOOKUP($G35,'Geometry 2'!$E$4:$AH$14,23,TRUE))</f>
        <v/>
      </c>
      <c r="AK35" s="747"/>
      <c r="AL35" s="747"/>
      <c r="AM35" s="748"/>
      <c r="AN35" s="717"/>
      <c r="AO35" s="717"/>
      <c r="AP35" s="717"/>
      <c r="AQ35" s="717"/>
      <c r="AR35" s="717" t="str">
        <f>IF($G35="","",VLOOKUP($G35,'Geometry 2'!$E$4:$AH$14,27,TRUE))</f>
        <v/>
      </c>
      <c r="AS35" s="717"/>
      <c r="AT35" s="717"/>
      <c r="AU35" s="718"/>
      <c r="AV35" s="715"/>
      <c r="AW35" s="716"/>
      <c r="AX35" s="716"/>
      <c r="AZ35" s="722" t="str">
        <f t="shared" si="5"/>
        <v/>
      </c>
      <c r="BA35" s="723"/>
      <c r="BB35" s="723"/>
      <c r="BC35" s="724"/>
      <c r="BD35" s="722"/>
      <c r="BE35" s="723"/>
      <c r="BF35" s="723"/>
      <c r="BG35" s="722" t="str">
        <f t="shared" si="9"/>
        <v/>
      </c>
      <c r="BH35" s="723"/>
      <c r="BI35" s="723"/>
      <c r="BJ35" s="723"/>
      <c r="BK35" s="724"/>
      <c r="BL35" s="722"/>
      <c r="BM35" s="723"/>
      <c r="BN35" s="723"/>
      <c r="BO35" s="723"/>
      <c r="BP35" s="725"/>
      <c r="BQ35" s="725"/>
      <c r="BR35" s="722" t="str">
        <f>IF(BP35="","",IF(OR(AND(Rev="H",Calculations!$F$27=TRUE),AND(Rev&lt;&gt;"H",Calculations!$F$30=TRUE)),IF(BP35&lt;=1,"Pass","Fail"),IF(BP35&lt;=1.05,"Pass","Fail")))</f>
        <v/>
      </c>
      <c r="BS35" s="723"/>
      <c r="BT35" s="724"/>
      <c r="BU35" s="49"/>
      <c r="BV35" s="25" t="str">
        <f>IFERROR(CONCATENATE(IF(AND($G35&lt;Hta_1,$G35&gt;=Hba_1,Input!U$21&lt;&gt;""),Input!$B$21&amp;";",""),IF(AND($G35&lt;Hta_2,$G35&gt;=Hba_2,Input!U$22&lt;&gt;""),Input!$B$22&amp;";",""),IF(AND($G35&lt;Hta_3,$G35&gt;=Hba_3,Input!U$23&lt;&gt;""),Input!$B$23&amp;";",""),IF(AND($G35&lt;Hta_4,$G35&gt;=Hba_4,Input!U$24&lt;&gt;""),Input!$B$24&amp;";",""),IF(AND($G35&lt;Hta_5,$G35&gt;=Hba_5,Input!U$25&lt;&gt;""),Input!$B$25&amp;";",""),IF(AND($G35&lt;Hta_6,$G35&gt;=Hba_6,Input!U$26&lt;&gt;""),Input!$B$26&amp;";",""),IF(AND($G35&lt;Hta_7,$G35&gt;=Hba_7,Input!U$27&lt;&gt;""),Input!$B$27&amp;";",""),IF(AND($G35&lt;Hta_8,$G35&gt;=Hba_8,Input!U$28&lt;&gt;""),Input!$B$28&amp;";",""),IF(AND($G35&lt;Hta_9,$G35&gt;=Hba_9,Input!U$29&lt;&gt;""),Input!$B$29&amp;";",""),IF(AND($G35&lt;Hta_10,$G35&gt;=Hba_10,Input!U$30&lt;&gt;""),Input!$B$30&amp;";",""),IF(AND($G35&lt;Hta_11,$G35&gt;=Hba_11,Input!U$31&lt;&gt;""),Input!$B$31&amp;";",""),IF(AND($G35&lt;Hta_12,$G35&gt;=Hba_12,Input!U$32&lt;&gt;""),Input!$B$32&amp;";",""),IF(AND($G35&lt;Hta_13,$G35&gt;=Hba_13,Input!U$33&lt;&gt;""),Input!$B$33&amp;";",""),IF(AND($G35&lt;Hta_14,$G35&gt;=Hba_14,Input!U$34&lt;&gt;""),Input!$B$34&amp;";",""),IF(AND($G35&lt;Hta_15,$G35&gt;=Hba_15,Input!U$35&lt;&gt;""),Input!$B$35&amp;";",""),IF(AND($G35&lt;Hta_16,$G35&gt;=Hba_16,Input!U$36&lt;&gt;""),Input!$B$36&amp;";",""),IF(AND($G35&lt;Hta_17,$G35&gt;=Hba_17,Input!U$37&lt;&gt;""),Input!$B$37&amp;";",""),IF(AND($G35&lt;Hta_18,$G35&gt;=Hba_18,Input!U$38&lt;&gt;""),Input!$B$38&amp;";",""),IF(AND($G35&lt;Hta_19,$G35&gt;=Hba_19,Input!U$39&lt;&gt;""),Input!$B$39&amp;";",""),IF(AND($G35&lt;Hta_20,$G35&gt;=Hba_20,Input!U$40&lt;&gt;""),Input!$B$40&amp;";",""),IF(AND($G35&lt;Hta_21,$G35&gt;=Hba_21,Input!U$41&lt;&gt;""),Input!$B$41&amp;";",""),IF(AND($G35&lt;Hta_22,$G35&gt;=Hba_22,Input!U$42&lt;&gt;""),Input!$B$42&amp;";",""),IF(AND($G35&lt;Hta_23,$G35&gt;=Hba_23,Input!U$43&lt;&gt;""),Input!$B$43&amp;";",""),IF(AND($G35&lt;Hta_24,$G35&gt;=Hba_24,Input!U$44&lt;&gt;""),Input!$B$44&amp;";",""),IF(AND($G35&lt;Hta_25,$G35&gt;=Hba_25,Input!U$45&lt;&gt;""),Input!$B$45&amp;";",""),IF(AND($G35&lt;Hta_26,$G35&gt;=Hba_26,Input!U$46&lt;&gt;""),Input!$B$46&amp;";",""),IF(AND($G35&lt;Hta_27,$G35&gt;=Hba_27,Input!U$47&lt;&gt;""),Input!$B$47&amp;";",""),IF(AND($G35&lt;Hta_28,$G35&gt;=Hba_28,Input!U$48&lt;&gt;""),Input!$B$48&amp;";",""),IF(AND($G35&lt;Hta_29,$G35&gt;=Hba_29,Input!U$49&lt;&gt;""),Input!$B$49&amp;";",""),IF(AND($G35&lt;Hta_30,$G35&gt;=Hba_30,Input!U$50&lt;&gt;""),Input!$B$50&amp;";","")),"")</f>
        <v/>
      </c>
      <c r="BW35" s="25" t="str">
        <f>IFERROR(CONCATENATE(IF(AND($G35&lt;Hta_1,$G35&gt;=Hba_1,Input!V$21&lt;&gt;""),Input!$B$21&amp;";",""),IF(AND($G35&lt;Hta_2,$G35&gt;=Hba_2,Input!V$22&lt;&gt;""),Input!$B$22&amp;";",""),IF(AND($G35&lt;Hta_3,$G35&gt;=Hba_3,Input!V$23&lt;&gt;""),Input!$B$23&amp;";",""),IF(AND($G35&lt;Hta_4,$G35&gt;=Hba_4,Input!V$24&lt;&gt;""),Input!$B$24&amp;";",""),IF(AND($G35&lt;Hta_5,$G35&gt;=Hba_5,Input!V$25&lt;&gt;""),Input!$B$25&amp;";",""),IF(AND($G35&lt;Hta_6,$G35&gt;=Hba_6,Input!V$26&lt;&gt;""),Input!$B$26&amp;";",""),IF(AND($G35&lt;Hta_7,$G35&gt;=Hba_7,Input!V$27&lt;&gt;""),Input!$B$27&amp;";",""),IF(AND($G35&lt;Hta_8,$G35&gt;=Hba_8,Input!V$28&lt;&gt;""),Input!$B$28&amp;";",""),IF(AND($G35&lt;Hta_9,$G35&gt;=Hba_9,Input!V$29&lt;&gt;""),Input!$B$29&amp;";",""),IF(AND($G35&lt;Hta_10,$G35&gt;=Hba_10,Input!V$30&lt;&gt;""),Input!$B$30&amp;";",""),IF(AND($G35&lt;Hta_11,$G35&gt;=Hba_11,Input!V$31&lt;&gt;""),Input!$B$31&amp;";",""),IF(AND($G35&lt;Hta_12,$G35&gt;=Hba_12,Input!V$32&lt;&gt;""),Input!$B$32&amp;";",""),IF(AND($G35&lt;Hta_13,$G35&gt;=Hba_13,Input!V$33&lt;&gt;""),Input!$B$33&amp;";",""),IF(AND($G35&lt;Hta_14,$G35&gt;=Hba_14,Input!V$34&lt;&gt;""),Input!$B$34&amp;";",""),IF(AND($G35&lt;Hta_15,$G35&gt;=Hba_15,Input!V$35&lt;&gt;""),Input!$B$35&amp;";",""),IF(AND($G35&lt;Hta_16,$G35&gt;=Hba_16,Input!V$36&lt;&gt;""),Input!$B$36&amp;";",""),IF(AND($G35&lt;Hta_17,$G35&gt;=Hba_17,Input!V$37&lt;&gt;""),Input!$B$37&amp;";",""),IF(AND($G35&lt;Hta_18,$G35&gt;=Hba_18,Input!V$38&lt;&gt;""),Input!$B$38&amp;";",""),IF(AND($G35&lt;Hta_19,$G35&gt;=Hba_19,Input!V$39&lt;&gt;""),Input!$B$39&amp;";",""),IF(AND($G35&lt;Hta_20,$G35&gt;=Hba_20,Input!V$40&lt;&gt;""),Input!$B$40&amp;";",""),IF(AND($G35&lt;Hta_21,$G35&gt;=Hba_21,Input!V$41&lt;&gt;""),Input!$B$41&amp;";",""),IF(AND($G35&lt;Hta_22,$G35&gt;=Hba_22,Input!V$42&lt;&gt;""),Input!$B$42&amp;";",""),IF(AND($G35&lt;Hta_23,$G35&gt;=Hba_23,Input!V$43&lt;&gt;""),Input!$B$43&amp;";",""),IF(AND($G35&lt;Hta_24,$G35&gt;=Hba_24,Input!V$44&lt;&gt;""),Input!$B$44&amp;";",""),IF(AND($G35&lt;Hta_25,$G35&gt;=Hba_25,Input!V$45&lt;&gt;""),Input!$B$45&amp;";",""),IF(AND($G35&lt;Hta_26,$G35&gt;=Hba_26,Input!V$46&lt;&gt;""),Input!$B$46&amp;";",""),IF(AND($G35&lt;Hta_27,$G35&gt;=Hba_27,Input!V$47&lt;&gt;""),Input!$B$47&amp;";",""),IF(AND($G35&lt;Hta_28,$G35&gt;=Hba_28,Input!V$48&lt;&gt;""),Input!$B$48&amp;";",""),IF(AND($G35&lt;Hta_29,$G35&gt;=Hba_29,Input!V$49&lt;&gt;""),Input!$B$49&amp;";",""),IF(AND($G35&lt;Hta_30,$G35&gt;=Hba_30,Input!V$50&lt;&gt;""),Input!$B$50&amp;";","")),"")</f>
        <v/>
      </c>
      <c r="BX35" s="25" t="str">
        <f>IFERROR(CONCATENATE(IF(AND($G35&lt;Hta_1,$G35&gt;=Hba_1,Input!W$21&lt;&gt;""),Input!$B$21&amp;";",""),IF(AND($G35&lt;Hta_2,$G35&gt;=Hba_2,Input!W$22&lt;&gt;""),Input!$B$22&amp;";",""),IF(AND($G35&lt;Hta_3,$G35&gt;=Hba_3,Input!W$23&lt;&gt;""),Input!$B$23&amp;";",""),IF(AND($G35&lt;Hta_4,$G35&gt;=Hba_4,Input!W$24&lt;&gt;""),Input!$B$24&amp;";",""),IF(AND($G35&lt;Hta_5,$G35&gt;=Hba_5,Input!W$25&lt;&gt;""),Input!$B$25&amp;";",""),IF(AND($G35&lt;Hta_6,$G35&gt;=Hba_6,Input!W$26&lt;&gt;""),Input!$B$26&amp;";",""),IF(AND($G35&lt;Hta_7,$G35&gt;=Hba_7,Input!W$27&lt;&gt;""),Input!$B$27&amp;";",""),IF(AND($G35&lt;Hta_8,$G35&gt;=Hba_8,Input!W$28&lt;&gt;""),Input!$B$28&amp;";",""),IF(AND($G35&lt;Hta_9,$G35&gt;=Hba_9,Input!W$29&lt;&gt;""),Input!$B$29&amp;";",""),IF(AND($G35&lt;Hta_10,$G35&gt;=Hba_10,Input!W$30&lt;&gt;""),Input!$B$30&amp;";",""),IF(AND($G35&lt;Hta_11,$G35&gt;=Hba_11,Input!W$31&lt;&gt;""),Input!$B$31&amp;";",""),IF(AND($G35&lt;Hta_12,$G35&gt;=Hba_12,Input!W$32&lt;&gt;""),Input!$B$32&amp;";",""),IF(AND($G35&lt;Hta_13,$G35&gt;=Hba_13,Input!W$33&lt;&gt;""),Input!$B$33&amp;";",""),IF(AND($G35&lt;Hta_14,$G35&gt;=Hba_14,Input!W$34&lt;&gt;""),Input!$B$34&amp;";",""),IF(AND($G35&lt;Hta_15,$G35&gt;=Hba_15,Input!W$35&lt;&gt;""),Input!$B$35&amp;";",""),IF(AND($G35&lt;Hta_16,$G35&gt;=Hba_16,Input!W$36&lt;&gt;""),Input!$B$36&amp;";",""),IF(AND($G35&lt;Hta_17,$G35&gt;=Hba_17,Input!W$37&lt;&gt;""),Input!$B$37&amp;";",""),IF(AND($G35&lt;Hta_18,$G35&gt;=Hba_18,Input!W$38&lt;&gt;""),Input!$B$38&amp;";",""),IF(AND($G35&lt;Hta_19,$G35&gt;=Hba_19,Input!W$39&lt;&gt;""),Input!$B$39&amp;";",""),IF(AND($G35&lt;Hta_20,$G35&gt;=Hba_20,Input!W$40&lt;&gt;""),Input!$B$40&amp;";",""),IF(AND($G35&lt;Hta_21,$G35&gt;=Hba_21,Input!W$41&lt;&gt;""),Input!$B$41&amp;";",""),IF(AND($G35&lt;Hta_22,$G35&gt;=Hba_22,Input!W$42&lt;&gt;""),Input!$B$42&amp;";",""),IF(AND($G35&lt;Hta_23,$G35&gt;=Hba_23,Input!W$43&lt;&gt;""),Input!$B$43&amp;";",""),IF(AND($G35&lt;Hta_24,$G35&gt;=Hba_24,Input!W$44&lt;&gt;""),Input!$B$44&amp;";",""),IF(AND($G35&lt;Hta_25,$G35&gt;=Hba_25,Input!W$45&lt;&gt;""),Input!$B$45&amp;";",""),IF(AND($G35&lt;Hta_26,$G35&gt;=Hba_26,Input!W$46&lt;&gt;""),Input!$B$46&amp;";",""),IF(AND($G35&lt;Hta_27,$G35&gt;=Hba_27,Input!W$47&lt;&gt;""),Input!$B$47&amp;";",""),IF(AND($G35&lt;Hta_28,$G35&gt;=Hba_28,Input!W$48&lt;&gt;""),Input!$B$48&amp;";",""),IF(AND($G35&lt;Hta_29,$G35&gt;=Hba_29,Input!W$49&lt;&gt;""),Input!$B$49&amp;";",""),IF(AND($G35&lt;Hta_30,$G35&gt;=Hba_30,Input!W$50&lt;&gt;""),Input!$B$50&amp;";","")),"")</f>
        <v/>
      </c>
      <c r="BY35" s="25" t="str">
        <f>IFERROR(CONCATENATE(IF(AND($G35&lt;Hta_1,$G35&gt;=Hba_1,Input!X$21&lt;&gt;""),Input!$B$21&amp;";",""),IF(AND($G35&lt;Hta_2,$G35&gt;=Hba_2,Input!X$22&lt;&gt;""),Input!$B$22&amp;";",""),IF(AND($G35&lt;Hta_3,$G35&gt;=Hba_3,Input!X$23&lt;&gt;""),Input!$B$23&amp;";",""),IF(AND($G35&lt;Hta_4,$G35&gt;=Hba_4,Input!X$24&lt;&gt;""),Input!$B$24&amp;";",""),IF(AND($G35&lt;Hta_5,$G35&gt;=Hba_5,Input!X$25&lt;&gt;""),Input!$B$25&amp;";",""),IF(AND($G35&lt;Hta_6,$G35&gt;=Hba_6,Input!X$26&lt;&gt;""),Input!$B$26&amp;";",""),IF(AND($G35&lt;Hta_7,$G35&gt;=Hba_7,Input!X$27&lt;&gt;""),Input!$B$27&amp;";",""),IF(AND($G35&lt;Hta_8,$G35&gt;=Hba_8,Input!X$28&lt;&gt;""),Input!$B$28&amp;";",""),IF(AND($G35&lt;Hta_9,$G35&gt;=Hba_9,Input!X$29&lt;&gt;""),Input!$B$29&amp;";",""),IF(AND($G35&lt;Hta_10,$G35&gt;=Hba_10,Input!X$30&lt;&gt;""),Input!$B$30&amp;";",""),IF(AND($G35&lt;Hta_11,$G35&gt;=Hba_11,Input!X$31&lt;&gt;""),Input!$B$31&amp;";",""),IF(AND($G35&lt;Hta_12,$G35&gt;=Hba_12,Input!X$32&lt;&gt;""),Input!$B$32&amp;";",""),IF(AND($G35&lt;Hta_13,$G35&gt;=Hba_13,Input!X$33&lt;&gt;""),Input!$B$33&amp;";",""),IF(AND($G35&lt;Hta_14,$G35&gt;=Hba_14,Input!X$34&lt;&gt;""),Input!$B$34&amp;";",""),IF(AND($G35&lt;Hta_15,$G35&gt;=Hba_15,Input!X$35&lt;&gt;""),Input!$B$35&amp;";",""),IF(AND($G35&lt;Hta_16,$G35&gt;=Hba_16,Input!X$36&lt;&gt;""),Input!$B$36&amp;";",""),IF(AND($G35&lt;Hta_17,$G35&gt;=Hba_17,Input!X$37&lt;&gt;""),Input!$B$37&amp;";",""),IF(AND($G35&lt;Hta_18,$G35&gt;=Hba_18,Input!X$38&lt;&gt;""),Input!$B$38&amp;";",""),IF(AND($G35&lt;Hta_19,$G35&gt;=Hba_19,Input!X$39&lt;&gt;""),Input!$B$39&amp;";",""),IF(AND($G35&lt;Hta_20,$G35&gt;=Hba_20,Input!X$40&lt;&gt;""),Input!$B$40&amp;";",""),IF(AND($G35&lt;Hta_21,$G35&gt;=Hba_21,Input!X$41&lt;&gt;""),Input!$B$41&amp;";",""),IF(AND($G35&lt;Hta_22,$G35&gt;=Hba_22,Input!X$42&lt;&gt;""),Input!$B$42&amp;";",""),IF(AND($G35&lt;Hta_23,$G35&gt;=Hba_23,Input!X$43&lt;&gt;""),Input!$B$43&amp;";",""),IF(AND($G35&lt;Hta_24,$G35&gt;=Hba_24,Input!X$44&lt;&gt;""),Input!$B$44&amp;";",""),IF(AND($G35&lt;Hta_25,$G35&gt;=Hba_25,Input!X$45&lt;&gt;""),Input!$B$45&amp;";",""),IF(AND($G35&lt;Hta_26,$G35&gt;=Hba_26,Input!X$46&lt;&gt;""),Input!$B$46&amp;";",""),IF(AND($G35&lt;Hta_27,$G35&gt;=Hba_27,Input!X$47&lt;&gt;""),Input!$B$47&amp;";",""),IF(AND($G35&lt;Hta_28,$G35&gt;=Hba_28,Input!X$48&lt;&gt;""),Input!$B$48&amp;";",""),IF(AND($G35&lt;Hta_29,$G35&gt;=Hba_29,Input!X$49&lt;&gt;""),Input!$B$49&amp;";",""),IF(AND($G35&lt;Hta_30,$G35&gt;=Hba_30,Input!X$50&lt;&gt;""),Input!$B$50&amp;";","")),"")</f>
        <v/>
      </c>
      <c r="BZ35" s="25" t="str">
        <f>IFERROR(CONCATENATE(IF(AND($G35&lt;Hta_1,$G35&gt;=Hba_1,Input!Y$21&lt;&gt;""),Input!$B$21&amp;";",""),IF(AND($G35&lt;Hta_2,$G35&gt;=Hba_2,Input!Y$22&lt;&gt;""),Input!$B$22&amp;";",""),IF(AND($G35&lt;Hta_3,$G35&gt;=Hba_3,Input!Y$23&lt;&gt;""),Input!$B$23&amp;";",""),IF(AND($G35&lt;Hta_4,$G35&gt;=Hba_4,Input!Y$24&lt;&gt;""),Input!$B$24&amp;";",""),IF(AND($G35&lt;Hta_5,$G35&gt;=Hba_5,Input!Y$25&lt;&gt;""),Input!$B$25&amp;";",""),IF(AND($G35&lt;Hta_6,$G35&gt;=Hba_6,Input!Y$26&lt;&gt;""),Input!$B$26&amp;";",""),IF(AND($G35&lt;Hta_7,$G35&gt;=Hba_7,Input!Y$27&lt;&gt;""),Input!$B$27&amp;";",""),IF(AND($G35&lt;Hta_8,$G35&gt;=Hba_8,Input!Y$28&lt;&gt;""),Input!$B$28&amp;";",""),IF(AND($G35&lt;Hta_9,$G35&gt;=Hba_9,Input!Y$29&lt;&gt;""),Input!$B$29&amp;";",""),IF(AND($G35&lt;Hta_10,$G35&gt;=Hba_10,Input!Y$30&lt;&gt;""),Input!$B$30&amp;";",""),IF(AND($G35&lt;Hta_11,$G35&gt;=Hba_11,Input!Y$31&lt;&gt;""),Input!$B$31&amp;";",""),IF(AND($G35&lt;Hta_12,$G35&gt;=Hba_12,Input!Y$32&lt;&gt;""),Input!$B$32&amp;";",""),IF(AND($G35&lt;Hta_13,$G35&gt;=Hba_13,Input!Y$33&lt;&gt;""),Input!$B$33&amp;";",""),IF(AND($G35&lt;Hta_14,$G35&gt;=Hba_14,Input!Y$34&lt;&gt;""),Input!$B$34&amp;";",""),IF(AND($G35&lt;Hta_15,$G35&gt;=Hba_15,Input!Y$35&lt;&gt;""),Input!$B$35&amp;";",""),IF(AND($G35&lt;Hta_16,$G35&gt;=Hba_16,Input!Y$36&lt;&gt;""),Input!$B$36&amp;";",""),IF(AND($G35&lt;Hta_17,$G35&gt;=Hba_17,Input!Y$37&lt;&gt;""),Input!$B$37&amp;";",""),IF(AND($G35&lt;Hta_18,$G35&gt;=Hba_18,Input!Y$38&lt;&gt;""),Input!$B$38&amp;";",""),IF(AND($G35&lt;Hta_19,$G35&gt;=Hba_19,Input!Y$39&lt;&gt;""),Input!$B$39&amp;";",""),IF(AND($G35&lt;Hta_20,$G35&gt;=Hba_20,Input!Y$40&lt;&gt;""),Input!$B$40&amp;";",""),IF(AND($G35&lt;Hta_21,$G35&gt;=Hba_21,Input!Y$41&lt;&gt;""),Input!$B$41&amp;";",""),IF(AND($G35&lt;Hta_22,$G35&gt;=Hba_22,Input!Y$42&lt;&gt;""),Input!$B$42&amp;";",""),IF(AND($G35&lt;Hta_23,$G35&gt;=Hba_23,Input!Y$43&lt;&gt;""),Input!$B$43&amp;";",""),IF(AND($G35&lt;Hta_24,$G35&gt;=Hba_24,Input!Y$44&lt;&gt;""),Input!$B$44&amp;";",""),IF(AND($G35&lt;Hta_25,$G35&gt;=Hba_25,Input!Y$45&lt;&gt;""),Input!$B$45&amp;";",""),IF(AND($G35&lt;Hta_26,$G35&gt;=Hba_26,Input!Y$46&lt;&gt;""),Input!$B$46&amp;";",""),IF(AND($G35&lt;Hta_27,$G35&gt;=Hba_27,Input!Y$47&lt;&gt;""),Input!$B$47&amp;";",""),IF(AND($G35&lt;Hta_28,$G35&gt;=Hba_28,Input!Y$48&lt;&gt;""),Input!$B$48&amp;";",""),IF(AND($G35&lt;Hta_29,$G35&gt;=Hba_29,Input!Y$49&lt;&gt;""),Input!$B$49&amp;";",""),IF(AND($G35&lt;Hta_30,$G35&gt;=Hba_30,Input!Y$50&lt;&gt;""),Input!$B$50&amp;";","")),"")</f>
        <v/>
      </c>
      <c r="CA35" s="25" t="str">
        <f>IFERROR(CONCATENATE(IF(AND($G35&lt;Hta_1,$G35&gt;=Hba_1,Input!Z$21&lt;&gt;""),Input!$B$21&amp;";",""),IF(AND($G35&lt;Hta_2,$G35&gt;=Hba_2,Input!Z$22&lt;&gt;""),Input!$B$22&amp;";",""),IF(AND($G35&lt;Hta_3,$G35&gt;=Hba_3,Input!Z$23&lt;&gt;""),Input!$B$23&amp;";",""),IF(AND($G35&lt;Hta_4,$G35&gt;=Hba_4,Input!Z$24&lt;&gt;""),Input!$B$24&amp;";",""),IF(AND($G35&lt;Hta_5,$G35&gt;=Hba_5,Input!Z$25&lt;&gt;""),Input!$B$25&amp;";",""),IF(AND($G35&lt;Hta_6,$G35&gt;=Hba_6,Input!Z$26&lt;&gt;""),Input!$B$26&amp;";",""),IF(AND($G35&lt;Hta_7,$G35&gt;=Hba_7,Input!Z$27&lt;&gt;""),Input!$B$27&amp;";",""),IF(AND($G35&lt;Hta_8,$G35&gt;=Hba_8,Input!Z$28&lt;&gt;""),Input!$B$28&amp;";",""),IF(AND($G35&lt;Hta_9,$G35&gt;=Hba_9,Input!Z$29&lt;&gt;""),Input!$B$29&amp;";",""),IF(AND($G35&lt;Hta_10,$G35&gt;=Hba_10,Input!Z$30&lt;&gt;""),Input!$B$30&amp;";",""),IF(AND($G35&lt;Hta_11,$G35&gt;=Hba_11,Input!Z$31&lt;&gt;""),Input!$B$31&amp;";",""),IF(AND($G35&lt;Hta_12,$G35&gt;=Hba_12,Input!Z$32&lt;&gt;""),Input!$B$32&amp;";",""),IF(AND($G35&lt;Hta_13,$G35&gt;=Hba_13,Input!Z$33&lt;&gt;""),Input!$B$33&amp;";",""),IF(AND($G35&lt;Hta_14,$G35&gt;=Hba_14,Input!Z$34&lt;&gt;""),Input!$B$34&amp;";",""),IF(AND($G35&lt;Hta_15,$G35&gt;=Hba_15,Input!Z$35&lt;&gt;""),Input!$B$35&amp;";",""),IF(AND($G35&lt;Hta_16,$G35&gt;=Hba_16,Input!Z$36&lt;&gt;""),Input!$B$36&amp;";",""),IF(AND($G35&lt;Hta_17,$G35&gt;=Hba_17,Input!Z$37&lt;&gt;""),Input!$B$37&amp;";",""),IF(AND($G35&lt;Hta_18,$G35&gt;=Hba_18,Input!Z$38&lt;&gt;""),Input!$B$38&amp;";",""),IF(AND($G35&lt;Hta_19,$G35&gt;=Hba_19,Input!Z$39&lt;&gt;""),Input!$B$39&amp;";",""),IF(AND($G35&lt;Hta_20,$G35&gt;=Hba_20,Input!Z$40&lt;&gt;""),Input!$B$40&amp;";",""),IF(AND($G35&lt;Hta_21,$G35&gt;=Hba_21,Input!Z$41&lt;&gt;""),Input!$B$41&amp;";",""),IF(AND($G35&lt;Hta_22,$G35&gt;=Hba_22,Input!Z$42&lt;&gt;""),Input!$B$42&amp;";",""),IF(AND($G35&lt;Hta_23,$G35&gt;=Hba_23,Input!Z$43&lt;&gt;""),Input!$B$43&amp;";",""),IF(AND($G35&lt;Hta_24,$G35&gt;=Hba_24,Input!Z$44&lt;&gt;""),Input!$B$44&amp;";",""),IF(AND($G35&lt;Hta_25,$G35&gt;=Hba_25,Input!Z$45&lt;&gt;""),Input!$B$45&amp;";",""),IF(AND($G35&lt;Hta_26,$G35&gt;=Hba_26,Input!Z$46&lt;&gt;""),Input!$B$46&amp;";",""),IF(AND($G35&lt;Hta_27,$G35&gt;=Hba_27,Input!Z$47&lt;&gt;""),Input!$B$47&amp;";",""),IF(AND($G35&lt;Hta_28,$G35&gt;=Hba_28,Input!Z$48&lt;&gt;""),Input!$B$48&amp;";",""),IF(AND($G35&lt;Hta_29,$G35&gt;=Hba_29,Input!Z$49&lt;&gt;""),Input!$B$49&amp;";",""),IF(AND($G35&lt;Hta_30,$G35&gt;=Hba_30,Input!Z$50&lt;&gt;""),Input!$B$50&amp;";","")),"")</f>
        <v/>
      </c>
      <c r="CB35" s="25" t="str">
        <f>IFERROR(CONCATENATE(IF(AND($G35&lt;Hta_1,$G35&gt;=Hba_1,Input!AA$21&lt;&gt;""),Input!$B$21&amp;";",""),IF(AND($G35&lt;Hta_2,$G35&gt;=Hba_2,Input!AA$22&lt;&gt;""),Input!$B$22&amp;";",""),IF(AND($G35&lt;Hta_3,$G35&gt;=Hba_3,Input!AA$23&lt;&gt;""),Input!$B$23&amp;";",""),IF(AND($G35&lt;Hta_4,$G35&gt;=Hba_4,Input!AA$24&lt;&gt;""),Input!$B$24&amp;";",""),IF(AND($G35&lt;Hta_5,$G35&gt;=Hba_5,Input!AA$25&lt;&gt;""),Input!$B$25&amp;";",""),IF(AND($G35&lt;Hta_6,$G35&gt;=Hba_6,Input!AA$26&lt;&gt;""),Input!$B$26&amp;";",""),IF(AND($G35&lt;Hta_7,$G35&gt;=Hba_7,Input!AA$27&lt;&gt;""),Input!$B$27&amp;";",""),IF(AND($G35&lt;Hta_8,$G35&gt;=Hba_8,Input!AA$28&lt;&gt;""),Input!$B$28&amp;";",""),IF(AND($G35&lt;Hta_9,$G35&gt;=Hba_9,Input!AA$29&lt;&gt;""),Input!$B$29&amp;";",""),IF(AND($G35&lt;Hta_10,$G35&gt;=Hba_10,Input!AA$30&lt;&gt;""),Input!$B$30&amp;";",""),IF(AND($G35&lt;Hta_11,$G35&gt;=Hba_11,Input!AA$31&lt;&gt;""),Input!$B$31&amp;";",""),IF(AND($G35&lt;Hta_12,$G35&gt;=Hba_12,Input!AA$32&lt;&gt;""),Input!$B$32&amp;";",""),IF(AND($G35&lt;Hta_13,$G35&gt;=Hba_13,Input!AA$33&lt;&gt;""),Input!$B$33&amp;";",""),IF(AND($G35&lt;Hta_14,$G35&gt;=Hba_14,Input!AA$34&lt;&gt;""),Input!$B$34&amp;";",""),IF(AND($G35&lt;Hta_15,$G35&gt;=Hba_15,Input!AA$35&lt;&gt;""),Input!$B$35&amp;";",""),IF(AND($G35&lt;Hta_16,$G35&gt;=Hba_16,Input!AA$36&lt;&gt;""),Input!$B$36&amp;";",""),IF(AND($G35&lt;Hta_17,$G35&gt;=Hba_17,Input!AA$37&lt;&gt;""),Input!$B$37&amp;";",""),IF(AND($G35&lt;Hta_18,$G35&gt;=Hba_18,Input!AA$38&lt;&gt;""),Input!$B$38&amp;";",""),IF(AND($G35&lt;Hta_19,$G35&gt;=Hba_19,Input!AA$39&lt;&gt;""),Input!$B$39&amp;";",""),IF(AND($G35&lt;Hta_20,$G35&gt;=Hba_20,Input!AA$40&lt;&gt;""),Input!$B$40&amp;";",""),IF(AND($G35&lt;Hta_21,$G35&gt;=Hba_21,Input!AA$41&lt;&gt;""),Input!$B$41&amp;";",""),IF(AND($G35&lt;Hta_22,$G35&gt;=Hba_22,Input!AA$42&lt;&gt;""),Input!$B$42&amp;";",""),IF(AND($G35&lt;Hta_23,$G35&gt;=Hba_23,Input!AA$43&lt;&gt;""),Input!$B$43&amp;";",""),IF(AND($G35&lt;Hta_24,$G35&gt;=Hba_24,Input!AA$44&lt;&gt;""),Input!$B$44&amp;";",""),IF(AND($G35&lt;Hta_25,$G35&gt;=Hba_25,Input!AA$45&lt;&gt;""),Input!$B$45&amp;";",""),IF(AND($G35&lt;Hta_26,$G35&gt;=Hba_26,Input!AA$46&lt;&gt;""),Input!$B$46&amp;";",""),IF(AND($G35&lt;Hta_27,$G35&gt;=Hba_27,Input!AA$47&lt;&gt;""),Input!$B$47&amp;";",""),IF(AND($G35&lt;Hta_28,$G35&gt;=Hba_28,Input!AA$48&lt;&gt;""),Input!$B$48&amp;";",""),IF(AND($G35&lt;Hta_29,$G35&gt;=Hba_29,Input!AA$49&lt;&gt;""),Input!$B$49&amp;";",""),IF(AND($G35&lt;Hta_30,$G35&gt;=Hba_30,Input!AA$50&lt;&gt;""),Input!$B$50&amp;";","")),"")</f>
        <v/>
      </c>
      <c r="CC35" s="25" t="str">
        <f>IFERROR(CONCATENATE(IF(AND($G35&lt;Hta_1,$G35&gt;=Hba_1,Input!AB$21&lt;&gt;""),Input!$B$21&amp;";",""),IF(AND($G35&lt;Hta_2,$G35&gt;=Hba_2,Input!AB$22&lt;&gt;""),Input!$B$22&amp;";",""),IF(AND($G35&lt;Hta_3,$G35&gt;=Hba_3,Input!AB$23&lt;&gt;""),Input!$B$23&amp;";",""),IF(AND($G35&lt;Hta_4,$G35&gt;=Hba_4,Input!AB$24&lt;&gt;""),Input!$B$24&amp;";",""),IF(AND($G35&lt;Hta_5,$G35&gt;=Hba_5,Input!AB$25&lt;&gt;""),Input!$B$25&amp;";",""),IF(AND($G35&lt;Hta_6,$G35&gt;=Hba_6,Input!AB$26&lt;&gt;""),Input!$B$26&amp;";",""),IF(AND($G35&lt;Hta_7,$G35&gt;=Hba_7,Input!AB$27&lt;&gt;""),Input!$B$27&amp;";",""),IF(AND($G35&lt;Hta_8,$G35&gt;=Hba_8,Input!AB$28&lt;&gt;""),Input!$B$28&amp;";",""),IF(AND($G35&lt;Hta_9,$G35&gt;=Hba_9,Input!AB$29&lt;&gt;""),Input!$B$29&amp;";",""),IF(AND($G35&lt;Hta_10,$G35&gt;=Hba_10,Input!AB$30&lt;&gt;""),Input!$B$30&amp;";",""),IF(AND($G35&lt;Hta_11,$G35&gt;=Hba_11,Input!AB$31&lt;&gt;""),Input!$B$31&amp;";",""),IF(AND($G35&lt;Hta_12,$G35&gt;=Hba_12,Input!AB$32&lt;&gt;""),Input!$B$32&amp;";",""),IF(AND($G35&lt;Hta_13,$G35&gt;=Hba_13,Input!AB$33&lt;&gt;""),Input!$B$33&amp;";",""),IF(AND($G35&lt;Hta_14,$G35&gt;=Hba_14,Input!AB$34&lt;&gt;""),Input!$B$34&amp;";",""),IF(AND($G35&lt;Hta_15,$G35&gt;=Hba_15,Input!AB$35&lt;&gt;""),Input!$B$35&amp;";",""),IF(AND($G35&lt;Hta_16,$G35&gt;=Hba_16,Input!AB$36&lt;&gt;""),Input!$B$36&amp;";",""),IF(AND($G35&lt;Hta_17,$G35&gt;=Hba_17,Input!AB$37&lt;&gt;""),Input!$B$37&amp;";",""),IF(AND($G35&lt;Hta_18,$G35&gt;=Hba_18,Input!AB$38&lt;&gt;""),Input!$B$38&amp;";",""),IF(AND($G35&lt;Hta_19,$G35&gt;=Hba_19,Input!AB$39&lt;&gt;""),Input!$B$39&amp;";",""),IF(AND($G35&lt;Hta_20,$G35&gt;=Hba_20,Input!AB$40&lt;&gt;""),Input!$B$40&amp;";",""),IF(AND($G35&lt;Hta_21,$G35&gt;=Hba_21,Input!AB$41&lt;&gt;""),Input!$B$41&amp;";",""),IF(AND($G35&lt;Hta_22,$G35&gt;=Hba_22,Input!AB$42&lt;&gt;""),Input!$B$42&amp;";",""),IF(AND($G35&lt;Hta_23,$G35&gt;=Hba_23,Input!AB$43&lt;&gt;""),Input!$B$43&amp;";",""),IF(AND($G35&lt;Hta_24,$G35&gt;=Hba_24,Input!AB$44&lt;&gt;""),Input!$B$44&amp;";",""),IF(AND($G35&lt;Hta_25,$G35&gt;=Hba_25,Input!AB$45&lt;&gt;""),Input!$B$45&amp;";",""),IF(AND($G35&lt;Hta_26,$G35&gt;=Hba_26,Input!AB$46&lt;&gt;""),Input!$B$46&amp;";",""),IF(AND($G35&lt;Hta_27,$G35&gt;=Hba_27,Input!AB$47&lt;&gt;""),Input!$B$47&amp;";",""),IF(AND($G35&lt;Hta_28,$G35&gt;=Hba_28,Input!AB$48&lt;&gt;""),Input!$B$48&amp;";",""),IF(AND($G35&lt;Hta_29,$G35&gt;=Hba_29,Input!AB$49&lt;&gt;""),Input!$B$49&amp;";",""),IF(AND($G35&lt;Hta_30,$G35&gt;=Hba_30,Input!AB$50&lt;&gt;""),Input!$B$50&amp;";","")),"")</f>
        <v/>
      </c>
      <c r="CD35" s="25" t="str">
        <f>IFERROR(CONCATENATE(IF(AND($G35&lt;Hta_1,$G35&gt;=Hba_1,Input!AC$21&lt;&gt;""),Input!$B$21&amp;";",""),IF(AND($G35&lt;Hta_2,$G35&gt;=Hba_2,Input!AC$22&lt;&gt;""),Input!$B$22&amp;";",""),IF(AND($G35&lt;Hta_3,$G35&gt;=Hba_3,Input!AC$23&lt;&gt;""),Input!$B$23&amp;";",""),IF(AND($G35&lt;Hta_4,$G35&gt;=Hba_4,Input!AC$24&lt;&gt;""),Input!$B$24&amp;";",""),IF(AND($G35&lt;Hta_5,$G35&gt;=Hba_5,Input!AC$25&lt;&gt;""),Input!$B$25&amp;";",""),IF(AND($G35&lt;Hta_6,$G35&gt;=Hba_6,Input!AC$26&lt;&gt;""),Input!$B$26&amp;";",""),IF(AND($G35&lt;Hta_7,$G35&gt;=Hba_7,Input!AC$27&lt;&gt;""),Input!$B$27&amp;";",""),IF(AND($G35&lt;Hta_8,$G35&gt;=Hba_8,Input!AC$28&lt;&gt;""),Input!$B$28&amp;";",""),IF(AND($G35&lt;Hta_9,$G35&gt;=Hba_9,Input!AC$29&lt;&gt;""),Input!$B$29&amp;";",""),IF(AND($G35&lt;Hta_10,$G35&gt;=Hba_10,Input!AC$30&lt;&gt;""),Input!$B$30&amp;";",""),IF(AND($G35&lt;Hta_11,$G35&gt;=Hba_11,Input!AC$31&lt;&gt;""),Input!$B$31&amp;";",""),IF(AND($G35&lt;Hta_12,$G35&gt;=Hba_12,Input!AC$32&lt;&gt;""),Input!$B$32&amp;";",""),IF(AND($G35&lt;Hta_13,$G35&gt;=Hba_13,Input!AC$33&lt;&gt;""),Input!$B$33&amp;";",""),IF(AND($G35&lt;Hta_14,$G35&gt;=Hba_14,Input!AC$34&lt;&gt;""),Input!$B$34&amp;";",""),IF(AND($G35&lt;Hta_15,$G35&gt;=Hba_15,Input!AC$35&lt;&gt;""),Input!$B$35&amp;";",""),IF(AND($G35&lt;Hta_16,$G35&gt;=Hba_16,Input!AC$36&lt;&gt;""),Input!$B$36&amp;";",""),IF(AND($G35&lt;Hta_17,$G35&gt;=Hba_17,Input!AC$37&lt;&gt;""),Input!$B$37&amp;";",""),IF(AND($G35&lt;Hta_18,$G35&gt;=Hba_18,Input!AC$38&lt;&gt;""),Input!$B$38&amp;";",""),IF(AND($G35&lt;Hta_19,$G35&gt;=Hba_19,Input!AC$39&lt;&gt;""),Input!$B$39&amp;";",""),IF(AND($G35&lt;Hta_20,$G35&gt;=Hba_20,Input!AC$40&lt;&gt;""),Input!$B$40&amp;";",""),IF(AND($G35&lt;Hta_21,$G35&gt;=Hba_21,Input!AC$41&lt;&gt;""),Input!$B$41&amp;";",""),IF(AND($G35&lt;Hta_22,$G35&gt;=Hba_22,Input!AC$42&lt;&gt;""),Input!$B$42&amp;";",""),IF(AND($G35&lt;Hta_23,$G35&gt;=Hba_23,Input!AC$43&lt;&gt;""),Input!$B$43&amp;";",""),IF(AND($G35&lt;Hta_24,$G35&gt;=Hba_24,Input!AC$44&lt;&gt;""),Input!$B$44&amp;";",""),IF(AND($G35&lt;Hta_25,$G35&gt;=Hba_25,Input!AC$45&lt;&gt;""),Input!$B$45&amp;";",""),IF(AND($G35&lt;Hta_26,$G35&gt;=Hba_26,Input!AC$46&lt;&gt;""),Input!$B$46&amp;";",""),IF(AND($G35&lt;Hta_27,$G35&gt;=Hba_27,Input!AC$47&lt;&gt;""),Input!$B$47&amp;";",""),IF(AND($G35&lt;Hta_28,$G35&gt;=Hba_28,Input!AC$48&lt;&gt;""),Input!$B$48&amp;";",""),IF(AND($G35&lt;Hta_29,$G35&gt;=Hba_29,Input!AC$49&lt;&gt;""),Input!$B$49&amp;";",""),IF(AND($G35&lt;Hta_30,$G35&gt;=Hba_30,Input!AC$50&lt;&gt;""),Input!$B$50&amp;";","")),"")</f>
        <v/>
      </c>
      <c r="CE35" s="25" t="str">
        <f>IFERROR(CONCATENATE(IF(AND($G35&lt;Hta_1,$G35&gt;=Hba_1,Input!AD$21&lt;&gt;""),Input!$B$21&amp;";",""),IF(AND($G35&lt;Hta_2,$G35&gt;=Hba_2,Input!AD$22&lt;&gt;""),Input!$B$22&amp;";",""),IF(AND($G35&lt;Hta_3,$G35&gt;=Hba_3,Input!AD$23&lt;&gt;""),Input!$B$23&amp;";",""),IF(AND($G35&lt;Hta_4,$G35&gt;=Hba_4,Input!AD$24&lt;&gt;""),Input!$B$24&amp;";",""),IF(AND($G35&lt;Hta_5,$G35&gt;=Hba_5,Input!AD$25&lt;&gt;""),Input!$B$25&amp;";",""),IF(AND($G35&lt;Hta_6,$G35&gt;=Hba_6,Input!AD$26&lt;&gt;""),Input!$B$26&amp;";",""),IF(AND($G35&lt;Hta_7,$G35&gt;=Hba_7,Input!AD$27&lt;&gt;""),Input!$B$27&amp;";",""),IF(AND($G35&lt;Hta_8,$G35&gt;=Hba_8,Input!AD$28&lt;&gt;""),Input!$B$28&amp;";",""),IF(AND($G35&lt;Hta_9,$G35&gt;=Hba_9,Input!AD$29&lt;&gt;""),Input!$B$29&amp;";",""),IF(AND($G35&lt;Hta_10,$G35&gt;=Hba_10,Input!AD$30&lt;&gt;""),Input!$B$30&amp;";",""),IF(AND($G35&lt;Hta_11,$G35&gt;=Hba_11,Input!AD$31&lt;&gt;""),Input!$B$31&amp;";",""),IF(AND($G35&lt;Hta_12,$G35&gt;=Hba_12,Input!AD$32&lt;&gt;""),Input!$B$32&amp;";",""),IF(AND($G35&lt;Hta_13,$G35&gt;=Hba_13,Input!AD$33&lt;&gt;""),Input!$B$33&amp;";",""),IF(AND($G35&lt;Hta_14,$G35&gt;=Hba_14,Input!AD$34&lt;&gt;""),Input!$B$34&amp;";",""),IF(AND($G35&lt;Hta_15,$G35&gt;=Hba_15,Input!AD$35&lt;&gt;""),Input!$B$35&amp;";",""),IF(AND($G35&lt;Hta_16,$G35&gt;=Hba_16,Input!AD$36&lt;&gt;""),Input!$B$36&amp;";",""),IF(AND($G35&lt;Hta_17,$G35&gt;=Hba_17,Input!AD$37&lt;&gt;""),Input!$B$37&amp;";",""),IF(AND($G35&lt;Hta_18,$G35&gt;=Hba_18,Input!AD$38&lt;&gt;""),Input!$B$38&amp;";",""),IF(AND($G35&lt;Hta_19,$G35&gt;=Hba_19,Input!AD$39&lt;&gt;""),Input!$B$39&amp;";",""),IF(AND($G35&lt;Hta_20,$G35&gt;=Hba_20,Input!AD$40&lt;&gt;""),Input!$B$40&amp;";",""),IF(AND($G35&lt;Hta_21,$G35&gt;=Hba_21,Input!AD$41&lt;&gt;""),Input!$B$41&amp;";",""),IF(AND($G35&lt;Hta_22,$G35&gt;=Hba_22,Input!AD$42&lt;&gt;""),Input!$B$42&amp;";",""),IF(AND($G35&lt;Hta_23,$G35&gt;=Hba_23,Input!AD$43&lt;&gt;""),Input!$B$43&amp;";",""),IF(AND($G35&lt;Hta_24,$G35&gt;=Hba_24,Input!AD$44&lt;&gt;""),Input!$B$44&amp;";",""),IF(AND($G35&lt;Hta_25,$G35&gt;=Hba_25,Input!AD$45&lt;&gt;""),Input!$B$45&amp;";",""),IF(AND($G35&lt;Hta_26,$G35&gt;=Hba_26,Input!AD$46&lt;&gt;""),Input!$B$46&amp;";",""),IF(AND($G35&lt;Hta_27,$G35&gt;=Hba_27,Input!AD$47&lt;&gt;""),Input!$B$47&amp;";",""),IF(AND($G35&lt;Hta_28,$G35&gt;=Hba_28,Input!AD$48&lt;&gt;""),Input!$B$48&amp;";",""),IF(AND($G35&lt;Hta_29,$G35&gt;=Hba_29,Input!AD$49&lt;&gt;""),Input!$B$49&amp;";",""),IF(AND($G35&lt;Hta_30,$G35&gt;=Hba_30,Input!AD$50&lt;&gt;""),Input!$B$50&amp;";","")),"")</f>
        <v/>
      </c>
      <c r="CF35" s="25" t="str">
        <f>IFERROR(CONCATENATE(IF(AND($G35&lt;Hta_1,$G35&gt;=Hba_1,Input!AE$21&lt;&gt;""),Input!$B$21&amp;";",""),IF(AND($G35&lt;Hta_2,$G35&gt;=Hba_2,Input!AE$22&lt;&gt;""),Input!$B$22&amp;";",""),IF(AND($G35&lt;Hta_3,$G35&gt;=Hba_3,Input!AE$23&lt;&gt;""),Input!$B$23&amp;";",""),IF(AND($G35&lt;Hta_4,$G35&gt;=Hba_4,Input!AE$24&lt;&gt;""),Input!$B$24&amp;";",""),IF(AND($G35&lt;Hta_5,$G35&gt;=Hba_5,Input!AE$25&lt;&gt;""),Input!$B$25&amp;";",""),IF(AND($G35&lt;Hta_6,$G35&gt;=Hba_6,Input!AE$26&lt;&gt;""),Input!$B$26&amp;";",""),IF(AND($G35&lt;Hta_7,$G35&gt;=Hba_7,Input!AE$27&lt;&gt;""),Input!$B$27&amp;";",""),IF(AND($G35&lt;Hta_8,$G35&gt;=Hba_8,Input!AE$28&lt;&gt;""),Input!$B$28&amp;";",""),IF(AND($G35&lt;Hta_9,$G35&gt;=Hba_9,Input!AE$29&lt;&gt;""),Input!$B$29&amp;";",""),IF(AND($G35&lt;Hta_10,$G35&gt;=Hba_10,Input!AE$30&lt;&gt;""),Input!$B$30&amp;";",""),IF(AND($G35&lt;Hta_11,$G35&gt;=Hba_11,Input!AE$31&lt;&gt;""),Input!$B$31&amp;";",""),IF(AND($G35&lt;Hta_12,$G35&gt;=Hba_12,Input!AE$32&lt;&gt;""),Input!$B$32&amp;";",""),IF(AND($G35&lt;Hta_13,$G35&gt;=Hba_13,Input!AE$33&lt;&gt;""),Input!$B$33&amp;";",""),IF(AND($G35&lt;Hta_14,$G35&gt;=Hba_14,Input!AE$34&lt;&gt;""),Input!$B$34&amp;";",""),IF(AND($G35&lt;Hta_15,$G35&gt;=Hba_15,Input!AE$35&lt;&gt;""),Input!$B$35&amp;";",""),IF(AND($G35&lt;Hta_16,$G35&gt;=Hba_16,Input!AE$36&lt;&gt;""),Input!$B$36&amp;";",""),IF(AND($G35&lt;Hta_17,$G35&gt;=Hba_17,Input!AE$37&lt;&gt;""),Input!$B$37&amp;";",""),IF(AND($G35&lt;Hta_18,$G35&gt;=Hba_18,Input!AE$38&lt;&gt;""),Input!$B$38&amp;";",""),IF(AND($G35&lt;Hta_19,$G35&gt;=Hba_19,Input!AE$39&lt;&gt;""),Input!$B$39&amp;";",""),IF(AND($G35&lt;Hta_20,$G35&gt;=Hba_20,Input!AE$40&lt;&gt;""),Input!$B$40&amp;";",""),IF(AND($G35&lt;Hta_21,$G35&gt;=Hba_21,Input!AE$41&lt;&gt;""),Input!$B$41&amp;";",""),IF(AND($G35&lt;Hta_22,$G35&gt;=Hba_22,Input!AE$42&lt;&gt;""),Input!$B$42&amp;";",""),IF(AND($G35&lt;Hta_23,$G35&gt;=Hba_23,Input!AE$43&lt;&gt;""),Input!$B$43&amp;";",""),IF(AND($G35&lt;Hta_24,$G35&gt;=Hba_24,Input!AE$44&lt;&gt;""),Input!$B$44&amp;";",""),IF(AND($G35&lt;Hta_25,$G35&gt;=Hba_25,Input!AE$45&lt;&gt;""),Input!$B$45&amp;";",""),IF(AND($G35&lt;Hta_26,$G35&gt;=Hba_26,Input!AE$46&lt;&gt;""),Input!$B$46&amp;";",""),IF(AND($G35&lt;Hta_27,$G35&gt;=Hba_27,Input!AE$47&lt;&gt;""),Input!$B$47&amp;";",""),IF(AND($G35&lt;Hta_28,$G35&gt;=Hba_28,Input!AE$48&lt;&gt;""),Input!$B$48&amp;";",""),IF(AND($G35&lt;Hta_29,$G35&gt;=Hba_29,Input!AE$49&lt;&gt;""),Input!$B$49&amp;";",""),IF(AND($G35&lt;Hta_30,$G35&gt;=Hba_30,Input!AE$50&lt;&gt;""),Input!$B$50&amp;";","")),"")</f>
        <v/>
      </c>
      <c r="CG35" s="25" t="str">
        <f>IFERROR(CONCATENATE(IF(AND($G35&lt;Hta_1,$G35&gt;=Hba_1,Input!AF$21&lt;&gt;""),Input!$B$21&amp;";",""),IF(AND($G35&lt;Hta_2,$G35&gt;=Hba_2,Input!AF$22&lt;&gt;""),Input!$B$22&amp;";",""),IF(AND($G35&lt;Hta_3,$G35&gt;=Hba_3,Input!AF$23&lt;&gt;""),Input!$B$23&amp;";",""),IF(AND($G35&lt;Hta_4,$G35&gt;=Hba_4,Input!AF$24&lt;&gt;""),Input!$B$24&amp;";",""),IF(AND($G35&lt;Hta_5,$G35&gt;=Hba_5,Input!AF$25&lt;&gt;""),Input!$B$25&amp;";",""),IF(AND($G35&lt;Hta_6,$G35&gt;=Hba_6,Input!AF$26&lt;&gt;""),Input!$B$26&amp;";",""),IF(AND($G35&lt;Hta_7,$G35&gt;=Hba_7,Input!AF$27&lt;&gt;""),Input!$B$27&amp;";",""),IF(AND($G35&lt;Hta_8,$G35&gt;=Hba_8,Input!AF$28&lt;&gt;""),Input!$B$28&amp;";",""),IF(AND($G35&lt;Hta_9,$G35&gt;=Hba_9,Input!AF$29&lt;&gt;""),Input!$B$29&amp;";",""),IF(AND($G35&lt;Hta_10,$G35&gt;=Hba_10,Input!AF$30&lt;&gt;""),Input!$B$30&amp;";",""),IF(AND($G35&lt;Hta_11,$G35&gt;=Hba_11,Input!AF$31&lt;&gt;""),Input!$B$31&amp;";",""),IF(AND($G35&lt;Hta_12,$G35&gt;=Hba_12,Input!AF$32&lt;&gt;""),Input!$B$32&amp;";",""),IF(AND($G35&lt;Hta_13,$G35&gt;=Hba_13,Input!AF$33&lt;&gt;""),Input!$B$33&amp;";",""),IF(AND($G35&lt;Hta_14,$G35&gt;=Hba_14,Input!AF$34&lt;&gt;""),Input!$B$34&amp;";",""),IF(AND($G35&lt;Hta_15,$G35&gt;=Hba_15,Input!AF$35&lt;&gt;""),Input!$B$35&amp;";",""),IF(AND($G35&lt;Hta_16,$G35&gt;=Hba_16,Input!AF$36&lt;&gt;""),Input!$B$36&amp;";",""),IF(AND($G35&lt;Hta_17,$G35&gt;=Hba_17,Input!AF$37&lt;&gt;""),Input!$B$37&amp;";",""),IF(AND($G35&lt;Hta_18,$G35&gt;=Hba_18,Input!AF$38&lt;&gt;""),Input!$B$38&amp;";",""),IF(AND($G35&lt;Hta_19,$G35&gt;=Hba_19,Input!AF$39&lt;&gt;""),Input!$B$39&amp;";",""),IF(AND($G35&lt;Hta_20,$G35&gt;=Hba_20,Input!AF$40&lt;&gt;""),Input!$B$40&amp;";",""),IF(AND($G35&lt;Hta_21,$G35&gt;=Hba_21,Input!AF$41&lt;&gt;""),Input!$B$41&amp;";",""),IF(AND($G35&lt;Hta_22,$G35&gt;=Hba_22,Input!AF$42&lt;&gt;""),Input!$B$42&amp;";",""),IF(AND($G35&lt;Hta_23,$G35&gt;=Hba_23,Input!AF$43&lt;&gt;""),Input!$B$43&amp;";",""),IF(AND($G35&lt;Hta_24,$G35&gt;=Hba_24,Input!AF$44&lt;&gt;""),Input!$B$44&amp;";",""),IF(AND($G35&lt;Hta_25,$G35&gt;=Hba_25,Input!AF$45&lt;&gt;""),Input!$B$45&amp;";",""),IF(AND($G35&lt;Hta_26,$G35&gt;=Hba_26,Input!AF$46&lt;&gt;""),Input!$B$46&amp;";",""),IF(AND($G35&lt;Hta_27,$G35&gt;=Hba_27,Input!AF$47&lt;&gt;""),Input!$B$47&amp;";",""),IF(AND($G35&lt;Hta_28,$G35&gt;=Hba_28,Input!AF$48&lt;&gt;""),Input!$B$48&amp;";",""),IF(AND($G35&lt;Hta_29,$G35&gt;=Hba_29,Input!AF$49&lt;&gt;""),Input!$B$49&amp;";",""),IF(AND($G35&lt;Hta_30,$G35&gt;=Hba_30,Input!AF$50&lt;&gt;""),Input!$B$50&amp;";","")),"")</f>
        <v/>
      </c>
      <c r="CH35" s="25" t="str">
        <f>IFERROR(CONCATENATE(IF(AND($G35&lt;Hta_1,$G35&gt;=Hba_1,Input!AG$21&lt;&gt;""),Input!$B$21&amp;";",""),IF(AND($G35&lt;Hta_2,$G35&gt;=Hba_2,Input!AG$22&lt;&gt;""),Input!$B$22&amp;";",""),IF(AND($G35&lt;Hta_3,$G35&gt;=Hba_3,Input!AG$23&lt;&gt;""),Input!$B$23&amp;";",""),IF(AND($G35&lt;Hta_4,$G35&gt;=Hba_4,Input!AG$24&lt;&gt;""),Input!$B$24&amp;";",""),IF(AND($G35&lt;Hta_5,$G35&gt;=Hba_5,Input!AG$25&lt;&gt;""),Input!$B$25&amp;";",""),IF(AND($G35&lt;Hta_6,$G35&gt;=Hba_6,Input!AG$26&lt;&gt;""),Input!$B$26&amp;";",""),IF(AND($G35&lt;Hta_7,$G35&gt;=Hba_7,Input!AG$27&lt;&gt;""),Input!$B$27&amp;";",""),IF(AND($G35&lt;Hta_8,$G35&gt;=Hba_8,Input!AG$28&lt;&gt;""),Input!$B$28&amp;";",""),IF(AND($G35&lt;Hta_9,$G35&gt;=Hba_9,Input!AG$29&lt;&gt;""),Input!$B$29&amp;";",""),IF(AND($G35&lt;Hta_10,$G35&gt;=Hba_10,Input!AG$30&lt;&gt;""),Input!$B$30&amp;";",""),IF(AND($G35&lt;Hta_11,$G35&gt;=Hba_11,Input!AG$31&lt;&gt;""),Input!$B$31&amp;";",""),IF(AND($G35&lt;Hta_12,$G35&gt;=Hba_12,Input!AG$32&lt;&gt;""),Input!$B$32&amp;";",""),IF(AND($G35&lt;Hta_13,$G35&gt;=Hba_13,Input!AG$33&lt;&gt;""),Input!$B$33&amp;";",""),IF(AND($G35&lt;Hta_14,$G35&gt;=Hba_14,Input!AG$34&lt;&gt;""),Input!$B$34&amp;";",""),IF(AND($G35&lt;Hta_15,$G35&gt;=Hba_15,Input!AG$35&lt;&gt;""),Input!$B$35&amp;";",""),IF(AND($G35&lt;Hta_16,$G35&gt;=Hba_16,Input!AG$36&lt;&gt;""),Input!$B$36&amp;";",""),IF(AND($G35&lt;Hta_17,$G35&gt;=Hba_17,Input!AG$37&lt;&gt;""),Input!$B$37&amp;";",""),IF(AND($G35&lt;Hta_18,$G35&gt;=Hba_18,Input!AG$38&lt;&gt;""),Input!$B$38&amp;";",""),IF(AND($G35&lt;Hta_19,$G35&gt;=Hba_19,Input!AG$39&lt;&gt;""),Input!$B$39&amp;";",""),IF(AND($G35&lt;Hta_20,$G35&gt;=Hba_20,Input!AG$40&lt;&gt;""),Input!$B$40&amp;";",""),IF(AND($G35&lt;Hta_21,$G35&gt;=Hba_21,Input!AG$41&lt;&gt;""),Input!$B$41&amp;";",""),IF(AND($G35&lt;Hta_22,$G35&gt;=Hba_22,Input!AG$42&lt;&gt;""),Input!$B$42&amp;";",""),IF(AND($G35&lt;Hta_23,$G35&gt;=Hba_23,Input!AG$43&lt;&gt;""),Input!$B$43&amp;";",""),IF(AND($G35&lt;Hta_24,$G35&gt;=Hba_24,Input!AG$44&lt;&gt;""),Input!$B$44&amp;";",""),IF(AND($G35&lt;Hta_25,$G35&gt;=Hba_25,Input!AG$45&lt;&gt;""),Input!$B$45&amp;";",""),IF(AND($G35&lt;Hta_26,$G35&gt;=Hba_26,Input!AG$46&lt;&gt;""),Input!$B$46&amp;";",""),IF(AND($G35&lt;Hta_27,$G35&gt;=Hba_27,Input!AG$47&lt;&gt;""),Input!$B$47&amp;";",""),IF(AND($G35&lt;Hta_28,$G35&gt;=Hba_28,Input!AG$48&lt;&gt;""),Input!$B$48&amp;";",""),IF(AND($G35&lt;Hta_29,$G35&gt;=Hba_29,Input!AG$49&lt;&gt;""),Input!$B$49&amp;";",""),IF(AND($G35&lt;Hta_30,$G35&gt;=Hba_30,Input!AG$50&lt;&gt;""),Input!$B$50&amp;";","")),"")</f>
        <v/>
      </c>
      <c r="CI35" s="25" t="str">
        <f>IFERROR(CONCATENATE(IF(AND($G35&lt;Hta_1,$G35&gt;=Hba_1,Input!AH$21&lt;&gt;""),Input!$B$21&amp;";",""),IF(AND($G35&lt;Hta_2,$G35&gt;=Hba_2,Input!AH$22&lt;&gt;""),Input!$B$22&amp;";",""),IF(AND($G35&lt;Hta_3,$G35&gt;=Hba_3,Input!AH$23&lt;&gt;""),Input!$B$23&amp;";",""),IF(AND($G35&lt;Hta_4,$G35&gt;=Hba_4,Input!AH$24&lt;&gt;""),Input!$B$24&amp;";",""),IF(AND($G35&lt;Hta_5,$G35&gt;=Hba_5,Input!AH$25&lt;&gt;""),Input!$B$25&amp;";",""),IF(AND($G35&lt;Hta_6,$G35&gt;=Hba_6,Input!AH$26&lt;&gt;""),Input!$B$26&amp;";",""),IF(AND($G35&lt;Hta_7,$G35&gt;=Hba_7,Input!AH$27&lt;&gt;""),Input!$B$27&amp;";",""),IF(AND($G35&lt;Hta_8,$G35&gt;=Hba_8,Input!AH$28&lt;&gt;""),Input!$B$28&amp;";",""),IF(AND($G35&lt;Hta_9,$G35&gt;=Hba_9,Input!AH$29&lt;&gt;""),Input!$B$29&amp;";",""),IF(AND($G35&lt;Hta_10,$G35&gt;=Hba_10,Input!AH$30&lt;&gt;""),Input!$B$30&amp;";",""),IF(AND($G35&lt;Hta_11,$G35&gt;=Hba_11,Input!AH$31&lt;&gt;""),Input!$B$31&amp;";",""),IF(AND($G35&lt;Hta_12,$G35&gt;=Hba_12,Input!AH$32&lt;&gt;""),Input!$B$32&amp;";",""),IF(AND($G35&lt;Hta_13,$G35&gt;=Hba_13,Input!AH$33&lt;&gt;""),Input!$B$33&amp;";",""),IF(AND($G35&lt;Hta_14,$G35&gt;=Hba_14,Input!AH$34&lt;&gt;""),Input!$B$34&amp;";",""),IF(AND($G35&lt;Hta_15,$G35&gt;=Hba_15,Input!AH$35&lt;&gt;""),Input!$B$35&amp;";",""),IF(AND($G35&lt;Hta_16,$G35&gt;=Hba_16,Input!AH$36&lt;&gt;""),Input!$B$36&amp;";",""),IF(AND($G35&lt;Hta_17,$G35&gt;=Hba_17,Input!AH$37&lt;&gt;""),Input!$B$37&amp;";",""),IF(AND($G35&lt;Hta_18,$G35&gt;=Hba_18,Input!AH$38&lt;&gt;""),Input!$B$38&amp;";",""),IF(AND($G35&lt;Hta_19,$G35&gt;=Hba_19,Input!AH$39&lt;&gt;""),Input!$B$39&amp;";",""),IF(AND($G35&lt;Hta_20,$G35&gt;=Hba_20,Input!AH$40&lt;&gt;""),Input!$B$40&amp;";",""),IF(AND($G35&lt;Hta_21,$G35&gt;=Hba_21,Input!AH$41&lt;&gt;""),Input!$B$41&amp;";",""),IF(AND($G35&lt;Hta_22,$G35&gt;=Hba_22,Input!AH$42&lt;&gt;""),Input!$B$42&amp;";",""),IF(AND($G35&lt;Hta_23,$G35&gt;=Hba_23,Input!AH$43&lt;&gt;""),Input!$B$43&amp;";",""),IF(AND($G35&lt;Hta_24,$G35&gt;=Hba_24,Input!AH$44&lt;&gt;""),Input!$B$44&amp;";",""),IF(AND($G35&lt;Hta_25,$G35&gt;=Hba_25,Input!AH$45&lt;&gt;""),Input!$B$45&amp;";",""),IF(AND($G35&lt;Hta_26,$G35&gt;=Hba_26,Input!AH$46&lt;&gt;""),Input!$B$46&amp;";",""),IF(AND($G35&lt;Hta_27,$G35&gt;=Hba_27,Input!AH$47&lt;&gt;""),Input!$B$47&amp;";",""),IF(AND($G35&lt;Hta_28,$G35&gt;=Hba_28,Input!AH$48&lt;&gt;""),Input!$B$48&amp;";",""),IF(AND($G35&lt;Hta_29,$G35&gt;=Hba_29,Input!AH$49&lt;&gt;""),Input!$B$49&amp;";",""),IF(AND($G35&lt;Hta_30,$G35&gt;=Hba_30,Input!AH$50&lt;&gt;""),Input!$B$50&amp;";","")),"")</f>
        <v/>
      </c>
      <c r="CJ35" s="25" t="str">
        <f>IFERROR(CONCATENATE(IF(AND($G35&lt;Hta_1,$G35&gt;=Hba_1,Input!AI$21&lt;&gt;""),Input!$B$21&amp;";",""),IF(AND($G35&lt;Hta_2,$G35&gt;=Hba_2,Input!AI$22&lt;&gt;""),Input!$B$22&amp;";",""),IF(AND($G35&lt;Hta_3,$G35&gt;=Hba_3,Input!AI$23&lt;&gt;""),Input!$B$23&amp;";",""),IF(AND($G35&lt;Hta_4,$G35&gt;=Hba_4,Input!AI$24&lt;&gt;""),Input!$B$24&amp;";",""),IF(AND($G35&lt;Hta_5,$G35&gt;=Hba_5,Input!AI$25&lt;&gt;""),Input!$B$25&amp;";",""),IF(AND($G35&lt;Hta_6,$G35&gt;=Hba_6,Input!AI$26&lt;&gt;""),Input!$B$26&amp;";",""),IF(AND($G35&lt;Hta_7,$G35&gt;=Hba_7,Input!AI$27&lt;&gt;""),Input!$B$27&amp;";",""),IF(AND($G35&lt;Hta_8,$G35&gt;=Hba_8,Input!AI$28&lt;&gt;""),Input!$B$28&amp;";",""),IF(AND($G35&lt;Hta_9,$G35&gt;=Hba_9,Input!AI$29&lt;&gt;""),Input!$B$29&amp;";",""),IF(AND($G35&lt;Hta_10,$G35&gt;=Hba_10,Input!AI$30&lt;&gt;""),Input!$B$30&amp;";",""),IF(AND($G35&lt;Hta_11,$G35&gt;=Hba_11,Input!AI$31&lt;&gt;""),Input!$B$31&amp;";",""),IF(AND($G35&lt;Hta_12,$G35&gt;=Hba_12,Input!AI$32&lt;&gt;""),Input!$B$32&amp;";",""),IF(AND($G35&lt;Hta_13,$G35&gt;=Hba_13,Input!AI$33&lt;&gt;""),Input!$B$33&amp;";",""),IF(AND($G35&lt;Hta_14,$G35&gt;=Hba_14,Input!AI$34&lt;&gt;""),Input!$B$34&amp;";",""),IF(AND($G35&lt;Hta_15,$G35&gt;=Hba_15,Input!AI$35&lt;&gt;""),Input!$B$35&amp;";",""),IF(AND($G35&lt;Hta_16,$G35&gt;=Hba_16,Input!AI$36&lt;&gt;""),Input!$B$36&amp;";",""),IF(AND($G35&lt;Hta_17,$G35&gt;=Hba_17,Input!AI$37&lt;&gt;""),Input!$B$37&amp;";",""),IF(AND($G35&lt;Hta_18,$G35&gt;=Hba_18,Input!AI$38&lt;&gt;""),Input!$B$38&amp;";",""),IF(AND($G35&lt;Hta_19,$G35&gt;=Hba_19,Input!AI$39&lt;&gt;""),Input!$B$39&amp;";",""),IF(AND($G35&lt;Hta_20,$G35&gt;=Hba_20,Input!AI$40&lt;&gt;""),Input!$B$40&amp;";",""),IF(AND($G35&lt;Hta_21,$G35&gt;=Hba_21,Input!AI$41&lt;&gt;""),Input!$B$41&amp;";",""),IF(AND($G35&lt;Hta_22,$G35&gt;=Hba_22,Input!AI$42&lt;&gt;""),Input!$B$42&amp;";",""),IF(AND($G35&lt;Hta_23,$G35&gt;=Hba_23,Input!AI$43&lt;&gt;""),Input!$B$43&amp;";",""),IF(AND($G35&lt;Hta_24,$G35&gt;=Hba_24,Input!AI$44&lt;&gt;""),Input!$B$44&amp;";",""),IF(AND($G35&lt;Hta_25,$G35&gt;=Hba_25,Input!AI$45&lt;&gt;""),Input!$B$45&amp;";",""),IF(AND($G35&lt;Hta_26,$G35&gt;=Hba_26,Input!AI$46&lt;&gt;""),Input!$B$46&amp;";",""),IF(AND($G35&lt;Hta_27,$G35&gt;=Hba_27,Input!AI$47&lt;&gt;""),Input!$B$47&amp;";",""),IF(AND($G35&lt;Hta_28,$G35&gt;=Hba_28,Input!AI$48&lt;&gt;""),Input!$B$48&amp;";",""),IF(AND($G35&lt;Hta_29,$G35&gt;=Hba_29,Input!AI$49&lt;&gt;""),Input!$B$49&amp;";",""),IF(AND($G35&lt;Hta_30,$G35&gt;=Hba_30,Input!AI$50&lt;&gt;""),Input!$B$50&amp;";","")),"")</f>
        <v/>
      </c>
      <c r="CK35" s="25" t="str">
        <f>IFERROR(CONCATENATE(IF(AND($G35&lt;Hta_1,$G35&gt;=Hba_1,Input!AJ$21&lt;&gt;""),Input!$B$21&amp;";",""),IF(AND($G35&lt;Hta_2,$G35&gt;=Hba_2,Input!AJ$22&lt;&gt;""),Input!$B$22&amp;";",""),IF(AND($G35&lt;Hta_3,$G35&gt;=Hba_3,Input!AJ$23&lt;&gt;""),Input!$B$23&amp;";",""),IF(AND($G35&lt;Hta_4,$G35&gt;=Hba_4,Input!AJ$24&lt;&gt;""),Input!$B$24&amp;";",""),IF(AND($G35&lt;Hta_5,$G35&gt;=Hba_5,Input!AJ$25&lt;&gt;""),Input!$B$25&amp;";",""),IF(AND($G35&lt;Hta_6,$G35&gt;=Hba_6,Input!AJ$26&lt;&gt;""),Input!$B$26&amp;";",""),IF(AND($G35&lt;Hta_7,$G35&gt;=Hba_7,Input!AJ$27&lt;&gt;""),Input!$B$27&amp;";",""),IF(AND($G35&lt;Hta_8,$G35&gt;=Hba_8,Input!AJ$28&lt;&gt;""),Input!$B$28&amp;";",""),IF(AND($G35&lt;Hta_9,$G35&gt;=Hba_9,Input!AJ$29&lt;&gt;""),Input!$B$29&amp;";",""),IF(AND($G35&lt;Hta_10,$G35&gt;=Hba_10,Input!AJ$30&lt;&gt;""),Input!$B$30&amp;";",""),IF(AND($G35&lt;Hta_11,$G35&gt;=Hba_11,Input!AJ$31&lt;&gt;""),Input!$B$31&amp;";",""),IF(AND($G35&lt;Hta_12,$G35&gt;=Hba_12,Input!AJ$32&lt;&gt;""),Input!$B$32&amp;";",""),IF(AND($G35&lt;Hta_13,$G35&gt;=Hba_13,Input!AJ$33&lt;&gt;""),Input!$B$33&amp;";",""),IF(AND($G35&lt;Hta_14,$G35&gt;=Hba_14,Input!AJ$34&lt;&gt;""),Input!$B$34&amp;";",""),IF(AND($G35&lt;Hta_15,$G35&gt;=Hba_15,Input!AJ$35&lt;&gt;""),Input!$B$35&amp;";",""),IF(AND($G35&lt;Hta_16,$G35&gt;=Hba_16,Input!AJ$36&lt;&gt;""),Input!$B$36&amp;";",""),IF(AND($G35&lt;Hta_17,$G35&gt;=Hba_17,Input!AJ$37&lt;&gt;""),Input!$B$37&amp;";",""),IF(AND($G35&lt;Hta_18,$G35&gt;=Hba_18,Input!AJ$38&lt;&gt;""),Input!$B$38&amp;";",""),IF(AND($G35&lt;Hta_19,$G35&gt;=Hba_19,Input!AJ$39&lt;&gt;""),Input!$B$39&amp;";",""),IF(AND($G35&lt;Hta_20,$G35&gt;=Hba_20,Input!AJ$40&lt;&gt;""),Input!$B$40&amp;";",""),IF(AND($G35&lt;Hta_21,$G35&gt;=Hba_21,Input!AJ$41&lt;&gt;""),Input!$B$41&amp;";",""),IF(AND($G35&lt;Hta_22,$G35&gt;=Hba_22,Input!AJ$42&lt;&gt;""),Input!$B$42&amp;";",""),IF(AND($G35&lt;Hta_23,$G35&gt;=Hba_23,Input!AJ$43&lt;&gt;""),Input!$B$43&amp;";",""),IF(AND($G35&lt;Hta_24,$G35&gt;=Hba_24,Input!AJ$44&lt;&gt;""),Input!$B$44&amp;";",""),IF(AND($G35&lt;Hta_25,$G35&gt;=Hba_25,Input!AJ$45&lt;&gt;""),Input!$B$45&amp;";",""),IF(AND($G35&lt;Hta_26,$G35&gt;=Hba_26,Input!AJ$46&lt;&gt;""),Input!$B$46&amp;";",""),IF(AND($G35&lt;Hta_27,$G35&gt;=Hba_27,Input!AJ$47&lt;&gt;""),Input!$B$47&amp;";",""),IF(AND($G35&lt;Hta_28,$G35&gt;=Hba_28,Input!AJ$48&lt;&gt;""),Input!$B$48&amp;";",""),IF(AND($G35&lt;Hta_29,$G35&gt;=Hba_29,Input!AJ$49&lt;&gt;""),Input!$B$49&amp;";",""),IF(AND($G35&lt;Hta_30,$G35&gt;=Hba_30,Input!AJ$50&lt;&gt;""),Input!$B$50&amp;";","")),"")</f>
        <v/>
      </c>
      <c r="CL35" s="25" t="str">
        <f>IFERROR(CONCATENATE(IF(AND($G35&lt;Hta_1,$G35&gt;=Hba_1,Input!AK$21&lt;&gt;""),Input!$B$21&amp;";",""),IF(AND($G35&lt;Hta_2,$G35&gt;=Hba_2,Input!AK$22&lt;&gt;""),Input!$B$22&amp;";",""),IF(AND($G35&lt;Hta_3,$G35&gt;=Hba_3,Input!AK$23&lt;&gt;""),Input!$B$23&amp;";",""),IF(AND($G35&lt;Hta_4,$G35&gt;=Hba_4,Input!AK$24&lt;&gt;""),Input!$B$24&amp;";",""),IF(AND($G35&lt;Hta_5,$G35&gt;=Hba_5,Input!AK$25&lt;&gt;""),Input!$B$25&amp;";",""),IF(AND($G35&lt;Hta_6,$G35&gt;=Hba_6,Input!AK$26&lt;&gt;""),Input!$B$26&amp;";",""),IF(AND($G35&lt;Hta_7,$G35&gt;=Hba_7,Input!AK$27&lt;&gt;""),Input!$B$27&amp;";",""),IF(AND($G35&lt;Hta_8,$G35&gt;=Hba_8,Input!AK$28&lt;&gt;""),Input!$B$28&amp;";",""),IF(AND($G35&lt;Hta_9,$G35&gt;=Hba_9,Input!AK$29&lt;&gt;""),Input!$B$29&amp;";",""),IF(AND($G35&lt;Hta_10,$G35&gt;=Hba_10,Input!AK$30&lt;&gt;""),Input!$B$30&amp;";",""),IF(AND($G35&lt;Hta_11,$G35&gt;=Hba_11,Input!AK$31&lt;&gt;""),Input!$B$31&amp;";",""),IF(AND($G35&lt;Hta_12,$G35&gt;=Hba_12,Input!AK$32&lt;&gt;""),Input!$B$32&amp;";",""),IF(AND($G35&lt;Hta_13,$G35&gt;=Hba_13,Input!AK$33&lt;&gt;""),Input!$B$33&amp;";",""),IF(AND($G35&lt;Hta_14,$G35&gt;=Hba_14,Input!AK$34&lt;&gt;""),Input!$B$34&amp;";",""),IF(AND($G35&lt;Hta_15,$G35&gt;=Hba_15,Input!AK$35&lt;&gt;""),Input!$B$35&amp;";",""),IF(AND($G35&lt;Hta_16,$G35&gt;=Hba_16,Input!AK$36&lt;&gt;""),Input!$B$36&amp;";",""),IF(AND($G35&lt;Hta_17,$G35&gt;=Hba_17,Input!AK$37&lt;&gt;""),Input!$B$37&amp;";",""),IF(AND($G35&lt;Hta_18,$G35&gt;=Hba_18,Input!AK$38&lt;&gt;""),Input!$B$38&amp;";",""),IF(AND($G35&lt;Hta_19,$G35&gt;=Hba_19,Input!AK$39&lt;&gt;""),Input!$B$39&amp;";",""),IF(AND($G35&lt;Hta_20,$G35&gt;=Hba_20,Input!AK$40&lt;&gt;""),Input!$B$40&amp;";",""),IF(AND($G35&lt;Hta_21,$G35&gt;=Hba_21,Input!AK$41&lt;&gt;""),Input!$B$41&amp;";",""),IF(AND($G35&lt;Hta_22,$G35&gt;=Hba_22,Input!AK$42&lt;&gt;""),Input!$B$42&amp;";",""),IF(AND($G35&lt;Hta_23,$G35&gt;=Hba_23,Input!AK$43&lt;&gt;""),Input!$B$43&amp;";",""),IF(AND($G35&lt;Hta_24,$G35&gt;=Hba_24,Input!AK$44&lt;&gt;""),Input!$B$44&amp;";",""),IF(AND($G35&lt;Hta_25,$G35&gt;=Hba_25,Input!AK$45&lt;&gt;""),Input!$B$45&amp;";",""),IF(AND($G35&lt;Hta_26,$G35&gt;=Hba_26,Input!AK$46&lt;&gt;""),Input!$B$46&amp;";",""),IF(AND($G35&lt;Hta_27,$G35&gt;=Hba_27,Input!AK$47&lt;&gt;""),Input!$B$47&amp;";",""),IF(AND($G35&lt;Hta_28,$G35&gt;=Hba_28,Input!AK$48&lt;&gt;""),Input!$B$48&amp;";",""),IF(AND($G35&lt;Hta_29,$G35&gt;=Hba_29,Input!AK$49&lt;&gt;""),Input!$B$49&amp;";",""),IF(AND($G35&lt;Hta_30,$G35&gt;=Hba_30,Input!AK$50&lt;&gt;""),Input!$B$50&amp;";","")),"")</f>
        <v/>
      </c>
      <c r="CM35" s="25" t="str">
        <f>IFERROR(CONCATENATE(IF(AND($G35&lt;Hta_1,$G35&gt;=Hba_1,Input!AL$21&lt;&gt;""),Input!$B$21&amp;";",""),IF(AND($G35&lt;Hta_2,$G35&gt;=Hba_2,Input!AL$22&lt;&gt;""),Input!$B$22&amp;";",""),IF(AND($G35&lt;Hta_3,$G35&gt;=Hba_3,Input!AL$23&lt;&gt;""),Input!$B$23&amp;";",""),IF(AND($G35&lt;Hta_4,$G35&gt;=Hba_4,Input!AL$24&lt;&gt;""),Input!$B$24&amp;";",""),IF(AND($G35&lt;Hta_5,$G35&gt;=Hba_5,Input!AL$25&lt;&gt;""),Input!$B$25&amp;";",""),IF(AND($G35&lt;Hta_6,$G35&gt;=Hba_6,Input!AL$26&lt;&gt;""),Input!$B$26&amp;";",""),IF(AND($G35&lt;Hta_7,$G35&gt;=Hba_7,Input!AL$27&lt;&gt;""),Input!$B$27&amp;";",""),IF(AND($G35&lt;Hta_8,$G35&gt;=Hba_8,Input!AL$28&lt;&gt;""),Input!$B$28&amp;";",""),IF(AND($G35&lt;Hta_9,$G35&gt;=Hba_9,Input!AL$29&lt;&gt;""),Input!$B$29&amp;";",""),IF(AND($G35&lt;Hta_10,$G35&gt;=Hba_10,Input!AL$30&lt;&gt;""),Input!$B$30&amp;";",""),IF(AND($G35&lt;Hta_11,$G35&gt;=Hba_11,Input!AL$31&lt;&gt;""),Input!$B$31&amp;";",""),IF(AND($G35&lt;Hta_12,$G35&gt;=Hba_12,Input!AL$32&lt;&gt;""),Input!$B$32&amp;";",""),IF(AND($G35&lt;Hta_13,$G35&gt;=Hba_13,Input!AL$33&lt;&gt;""),Input!$B$33&amp;";",""),IF(AND($G35&lt;Hta_14,$G35&gt;=Hba_14,Input!AL$34&lt;&gt;""),Input!$B$34&amp;";",""),IF(AND($G35&lt;Hta_15,$G35&gt;=Hba_15,Input!AL$35&lt;&gt;""),Input!$B$35&amp;";",""),IF(AND($G35&lt;Hta_16,$G35&gt;=Hba_16,Input!AL$36&lt;&gt;""),Input!$B$36&amp;";",""),IF(AND($G35&lt;Hta_17,$G35&gt;=Hba_17,Input!AL$37&lt;&gt;""),Input!$B$37&amp;";",""),IF(AND($G35&lt;Hta_18,$G35&gt;=Hba_18,Input!AL$38&lt;&gt;""),Input!$B$38&amp;";",""),IF(AND($G35&lt;Hta_19,$G35&gt;=Hba_19,Input!AL$39&lt;&gt;""),Input!$B$39&amp;";",""),IF(AND($G35&lt;Hta_20,$G35&gt;=Hba_20,Input!AL$40&lt;&gt;""),Input!$B$40&amp;";",""),IF(AND($G35&lt;Hta_21,$G35&gt;=Hba_21,Input!AL$41&lt;&gt;""),Input!$B$41&amp;";",""),IF(AND($G35&lt;Hta_22,$G35&gt;=Hba_22,Input!AL$42&lt;&gt;""),Input!$B$42&amp;";",""),IF(AND($G35&lt;Hta_23,$G35&gt;=Hba_23,Input!AL$43&lt;&gt;""),Input!$B$43&amp;";",""),IF(AND($G35&lt;Hta_24,$G35&gt;=Hba_24,Input!AL$44&lt;&gt;""),Input!$B$44&amp;";",""),IF(AND($G35&lt;Hta_25,$G35&gt;=Hba_25,Input!AL$45&lt;&gt;""),Input!$B$45&amp;";",""),IF(AND($G35&lt;Hta_26,$G35&gt;=Hba_26,Input!AL$46&lt;&gt;""),Input!$B$46&amp;";",""),IF(AND($G35&lt;Hta_27,$G35&gt;=Hba_27,Input!AL$47&lt;&gt;""),Input!$B$47&amp;";",""),IF(AND($G35&lt;Hta_28,$G35&gt;=Hba_28,Input!AL$48&lt;&gt;""),Input!$B$48&amp;";",""),IF(AND($G35&lt;Hta_29,$G35&gt;=Hba_29,Input!AL$49&lt;&gt;""),Input!$B$49&amp;";",""),IF(AND($G35&lt;Hta_30,$G35&gt;=Hba_30,Input!AL$50&lt;&gt;""),Input!$B$50&amp;";","")),"")</f>
        <v/>
      </c>
      <c r="CN35" s="60" t="str">
        <f t="shared" si="6"/>
        <v/>
      </c>
      <c r="CO35" s="798"/>
      <c r="CP35" s="799"/>
      <c r="CQ35" s="800"/>
      <c r="CR35" s="798"/>
      <c r="CS35" s="799"/>
      <c r="CT35" s="800"/>
      <c r="CU35" s="798" t="str">
        <f t="shared" si="7"/>
        <v/>
      </c>
      <c r="CV35" s="799"/>
      <c r="CW35" s="806"/>
      <c r="CX35" s="726"/>
      <c r="CY35" s="727"/>
      <c r="CZ35" s="732"/>
      <c r="DA35" s="726"/>
      <c r="DB35" s="727"/>
      <c r="DC35" s="732"/>
      <c r="DD35" s="726" t="str">
        <f t="shared" si="8"/>
        <v/>
      </c>
      <c r="DE35" s="727"/>
      <c r="DF35" s="728"/>
      <c r="DG35" s="53"/>
      <c r="DH35" s="54"/>
      <c r="DI35" s="54"/>
      <c r="DJ35" s="54"/>
      <c r="DK35" s="54"/>
      <c r="DL35" s="54"/>
      <c r="DM35" s="54"/>
      <c r="DN35" s="54"/>
      <c r="DO35" s="54"/>
      <c r="DP35" s="54"/>
      <c r="DQ35" s="57"/>
      <c r="DR35" s="57"/>
      <c r="DS35" s="57"/>
      <c r="DT35" s="57"/>
      <c r="DU35" s="57"/>
      <c r="DV35" s="57"/>
      <c r="DW35" s="57"/>
      <c r="DX35" s="57"/>
      <c r="DY35" s="57"/>
      <c r="DZ35" s="57"/>
      <c r="EA35" s="57"/>
      <c r="EB35" s="57"/>
      <c r="EC35" s="57"/>
      <c r="ED35" s="57"/>
      <c r="EE35" s="57"/>
      <c r="EF35" s="57"/>
      <c r="EG35" s="57"/>
      <c r="EH35" s="57"/>
      <c r="EI35" s="57"/>
      <c r="EJ35" s="57"/>
      <c r="EK35" s="57"/>
      <c r="EL35" s="133"/>
      <c r="EM35" s="133"/>
      <c r="EN35" s="133"/>
      <c r="EO35" s="133"/>
      <c r="EP35" s="133"/>
      <c r="EQ35" s="133"/>
      <c r="ER35" s="133"/>
      <c r="ES35" s="133"/>
      <c r="ET35" s="133"/>
      <c r="EU35" s="133"/>
      <c r="EV35" s="133"/>
      <c r="EW35" s="133"/>
      <c r="EX35" s="133"/>
      <c r="EY35" s="133"/>
      <c r="EZ35" s="133"/>
      <c r="FA35" s="133"/>
      <c r="FB35" s="133"/>
      <c r="FC35" s="133"/>
      <c r="FD35" s="133"/>
      <c r="FE35" s="133"/>
      <c r="FF35" s="133"/>
      <c r="FG35" s="133"/>
      <c r="FH35" s="133"/>
      <c r="FI35" s="133"/>
      <c r="FJ35" s="133"/>
      <c r="FK35" s="133"/>
      <c r="FL35" s="133"/>
      <c r="FM35" s="133"/>
      <c r="FN35" s="133"/>
      <c r="FO35" s="133"/>
      <c r="FP35" s="65"/>
      <c r="FQ35" s="125"/>
      <c r="FR35" s="123"/>
      <c r="FS35" s="121"/>
      <c r="FT35" s="119"/>
    </row>
    <row r="36" spans="2:176" ht="15.75" hidden="1" customHeight="1" thickBot="1" x14ac:dyDescent="0.3">
      <c r="B36" s="62" t="b">
        <f>IF(OR(AND(G36&gt;='Geometry 2'!$AK$5,G36&lt;'Geometry 2'!$AL$5),AND(G36&gt;='Geometry 2'!$AK$6,G36&lt;'Geometry 2'!$AL$6),AND(G36&gt;='Geometry 2'!$AK$7,G36&lt;'Geometry 2'!$AL$7),AND(G36&gt;='Geometry 2'!$AK$8,G36&lt;'Geometry 2'!$AL$8),AND(G36&gt;='Geometry 2'!$AK$9,G36&lt;'Geometry 2'!$AL$9),AND(G36&gt;='Geometry 2'!$AK$10,G36&lt;'Geometry 2'!$AL$10),AND(G36&gt;='Geometry 2'!$AK$11,G36&lt;'Geometry 2'!$AL$11),AND(G36&gt;='Geometry 2'!$AK$12,G36&lt;'Geometry 2'!$AL$12),AND(G36&gt;='Geometry 2'!$AK$13,G36&lt;'Geometry 2'!$AL$13),AND(G36&gt;='Geometry 2'!$AK$14,G36&lt;'Geometry 2'!$AL$14)),TRUE,FALSE)</f>
        <v>0</v>
      </c>
      <c r="C36" s="4" t="str">
        <f t="shared" si="3"/>
        <v/>
      </c>
      <c r="D36" s="766" t="str">
        <f t="shared" si="4"/>
        <v/>
      </c>
      <c r="E36" s="767"/>
      <c r="F36" s="17" t="str">
        <f t="shared" si="2"/>
        <v/>
      </c>
      <c r="G36" s="768" t="str">
        <f>IF(D36="","",MAX(0,G35-IF(inc="n/a",999,inc),MAX(IF(G35&lt;=Hta_1,0,Hta_1),IF(G35&lt;=Hta_2,0,Hta_2),IF(G35&lt;=Hta_3,0,Hta_3),IF(G35&lt;=Hta_4,0,Hta_4),IF(G35&lt;=Hta_5,0,Hta_5),IF(G35&lt;=Hta_6,0,Hta_6),IF(G35&lt;=Hta_7,0,Hta_7),IF(G35&lt;=Hta_8,0,Hta_8),IF(G35&lt;=Hta_9,0,Hta_9),IF(G35&lt;=Hta_10,0,Hta_10),IF(G35&lt;=Hta_11,0,Hta_11),IF(G35&lt;=Hta_12,0,Hta_12),IF(G35&lt;=Hta_13,0,Hta_13),IF(G35&lt;=Hta_14,0,Hta_14),IF(G35&lt;=Hta_15,0,Hta_15),IF(G35&lt;=Hta_16,0,Hta_16),IF(G35&lt;=Hta_17,0,Hta_17),IF(G35&lt;=Hta_18,0,Hta_18),IF(G35&lt;=Hta_19,0,Hta_19),IF(G35&lt;=Hta_20,0,Hta_20),IF(G35&lt;=Hta_21,0,Hta_21),IF(G35&lt;=Hta_22,0,Hta_22),IF(G35&lt;=Hta_23,0,Hta_23),IF(G35&lt;=Hta_24,0,Hta_24),IF(G35&lt;=Hta_25,0,Hta_25),IF(G35&lt;=Hta_26,0,Hta_26),IF(G35&lt;=Hta_27,0,Hta_27),IF(G35&lt;=Hta_28,0,Hta_28),IF(G35&lt;=Hta_29,0,Hta_29),IF(G35&lt;=Hta_30,0,Hta_30)),MAX(IF(G35&lt;=Hta_1-0.25,0,Hta_1-0.25),IF(G35&lt;=Hta_2-0.25,0,Hta_2-0.25),IF(G35&lt;=Hta_3-0.25,0,Hta_3-0.25),IF(G35&lt;=Hta_4-0.25,0,Hta_4-0.25),IF(G35&lt;=Hta_5-0.25,0,Hta_5-0.25),IF(G35&lt;=Hta_6-0.25,0,Hta_6-0.25),IF(G35&lt;=Hta_7-0.25,0,Hta_7-0.25),IF(G35&lt;=Hta_8-0.25,0,Hta_8-0.25),IF(G35&lt;=Hta_9-0.25,0,Hta_9-0.25),IF(G35&lt;=Hta_10-0.25,0,Hta_10-0.25),IF(G35&lt;=Hta_11-0.25,0,Hta_11-0.25),IF(G35&lt;=Hta_12-0.25,0,Hta_12-0.25),IF(G35&lt;=Hta_13-0.25,0,Hta_13-0.25),IF(G35&lt;=Hta_14-0.25,0,Hta_14-0.25),IF(G35&lt;=Hta_15-0.25,0,Hta_15-0.25),IF(G35&lt;=Hta_16-0.25,0,Hta_16-0.25),IF(G35&lt;=Hta_17-0.25,0,Hta_17-0.25),IF(G35&lt;=Hta_18-0.25,0,Hta_18-0.25),IF(G35&lt;=Hta_19-0.25,0,Hta_19-0.25),IF(G35&lt;=Hta_20-0.25,0,Hta_20-0.25),IF(G35&lt;=Hta_21-0.25,0,Hta_21-0.25),IF(G35&lt;=Hta_22-0.25,0,Hta_22-0.25),IF(G35&lt;=Hta_23-0.25,0,Hta_23-0.25),IF(G35&lt;=Hta_24-0.25,0,Hta_24-0.25),IF(G35&lt;=Hta_25-0.25,0,Hta_25-0.25),IF(G35&lt;=Hta_26-0.25,0,Hta_26-0.25),IF(G35&lt;=Hta_27-0.25,0,Hta_27-0.25),IF(G35&lt;=Hta_28-0.25,0,Hta_28-0.25),IF(G35&lt;=Hta_29-0.25,0,Hta_29-0.25),IF(G35&lt;=Hta_30-0.25,0,Hta_30-0.25)),MAX(IF(G35&lt;=Hba_1,0,Hba_1),IF(G35&lt;=Hba_2,0,Hba_2),IF(G35&lt;=Hba_3,0,Hba_3),IF(G35&lt;=Hba_4,0,Hba_4),IF(G35&lt;=Hba_5,0,Hba_5),IF(G35&lt;=Hba_6,0,Hba_6),IF(G35&lt;=Hba_7,0,Hba_7),IF(G35&lt;=Hba_8,0,Hba_8),IF(G35&lt;=Hba_9,0,Hba_9),IF(G35&lt;=Hba_10,0,Hba_10),IF(G35&lt;=Hba_11,0,Hba_11),IF(G35&lt;=Hba_12,0,Hba_12),IF(G35&lt;=Hba_13,0,Hba_13),IF(G35&lt;=Hba_14,0,Hba_14),IF(G35&lt;=Hba_15,0,Hba_15),IF(G35&lt;=Hba_16,0,Hba_16),IF(G35&lt;=Hba_17,0,Hba_17),IF(G35&lt;=Hba_18,0,Hba_18),IF(G35&lt;=Hba_19,0,Hba_19),IF(G35&lt;=Hba_20,0,Hba_20),IF(G35&lt;=Hba_21,0,Hba_21),IF(G35&lt;=Hba_22,0,Hba_22),IF(G35&lt;=Hba_23,0,Hba_23),IF(G35&lt;=Hba_24,0,Hba_24),IF(G35&lt;=Hba_25,0,Hba_25),IF(G35&lt;=Hba_26,0,Hba_26),IF(G35&lt;=Hba_27,0,Hba_27),IF(G35&lt;=Hba_28,0,Hba_28),IF(G35&lt;=Hba_29,0,Hba_29),IF(G35&lt;=Hba_30,0,Hba_30)),MAX(IF(G35&lt;=Input!$C$8,0,Input!$C$8),IF(G35&lt;=Input!$C$9,0,Input!$C$9),IF(G35&lt;=Input!$C$10,0,Input!$C$10),IF(G35&lt;=Input!$C$11,0,Input!$C$11),IF(G35&lt;=Input!$C$12,0,Input!$C$12),IF(G35&lt;=Input!$C$13,0,Input!$C$13),IF(G35&lt;=Input!$C$14,0,Input!$C$14),IF(G35&lt;=Input!$C$15,0,Input!$C$15),IF(G35&lt;=Input!$C$16,0,Input!$C$16)),MAX(IF(G35&lt;=Hba_1-0.25,0,Hba_1-0.25),IF(G35&lt;=Hba_2-0.25,0,Hba_2-0.25),IF(G35&lt;=Hba_3-0.25,0,Hba_3-0.25),IF(G35&lt;=Hba_4-0.25,0,Hba_4-0.25),IF(G35&lt;=Hba_5-0.25,0,Hba_5-0.25),IF(G35&lt;=Hba_6-0.25,0,Hba_6-0.25),IF(G35&lt;=Hba_7-0.25,0,Hba_7-0.25),IF(G35&lt;=Hba_8-0.25,0,Hba_8-0.25),IF(G35&lt;=Hba_9-0.25,0,Hba_9-0.25),IF(G35&lt;=Hba_10-0.25,0,Hba_10-0.25),IF(G35&lt;=Hba_11-0.25,0,Hba_11-0.25),IF(G35&lt;=Hba_12-0.25,0,Hba_12-0.25),IF(G35&lt;=Hba_13-0.25,0,Hba_13-0.25),IF(G35&lt;=Hba_14-0.25,0,Hba_14-0.25),IF(G35&lt;=Hba_15-0.25,0,Hba_15-0.25),IF(G35&lt;=Hba_16-0.25,0,Hba_16-0.25),IF(G35&lt;=Hba_17-0.25,0,Hba_17-0.25),IF(G35&lt;=Hba_18-0.25,0,Hba_18-0.25),IF(G35&lt;=Hba_19-0.25,0,Hba_19-0.25),IF(G35&lt;=Hba_20-0.25,0,Hba_20-0.25),IF(G35&lt;=Hba_21-0.25,0,Hba_21-0.25),IF(G35&lt;=Hba_22-0.25,0,Hba_22-0.25),IF(G35&lt;=Hba_23-0.25,0,Hba_23-0.25),IF(G35&lt;=Hba_24-0.25,0,Hba_24-0.25),IF(G35&lt;=Hba_25-0.25,0,Hba_25-0.25),IF(G35&lt;=Hba_26-0.25,0,Hba_26-0.25),IF(G35&lt;=Hba_27-0.25,0,Hba_27-0.25),IF(G35&lt;=Hba_28-0.25,0,Hba_28-0.25),IF(G35&lt;=Hba_29-0.25,0,Hba_29-0.25),IF(G35&lt;=Hba_30-0.25,0,Hba_30-0.25)),IF(G35&lt;='Macro References'!$A$38,0,'Macro References'!$A$38)))</f>
        <v/>
      </c>
      <c r="H36" s="769"/>
      <c r="I36" s="228"/>
      <c r="J36" s="228"/>
      <c r="K36" s="228"/>
      <c r="L36" s="717" t="str">
        <f t="shared" si="0"/>
        <v/>
      </c>
      <c r="M36" s="717"/>
      <c r="N36" s="717"/>
      <c r="O36" s="717"/>
      <c r="P36" s="717" t="str">
        <f>IF(OR(G36=0,G36=""),"",IF(VLOOKUP(G36,'Geometry 2'!$C$4:$AI$14,1,TRUE)=VLOOKUP(G37,'Geometry 2'!$C$4:$AI$14,1,TRUE),"",IF(VLOOKUP(G36,'Geometry 2'!$C$4:$AI$14,33,TRUE)&lt;&gt;"n/a",MIN(G36,VLOOKUP(G36,'Geometry 2'!$C$4:$AI$14,1,TRUE))-VLOOKUP(G36,'Geometry 2'!$C$4:$AI$14,33,TRUE),"check")))</f>
        <v/>
      </c>
      <c r="Q36" s="717"/>
      <c r="R36" s="717"/>
      <c r="S36" s="717"/>
      <c r="T36" s="717" t="str">
        <f>IF($G36="","",VLOOKUP($G36,'Geometry 2'!$E$4:$AH$14,11,TRUE))</f>
        <v/>
      </c>
      <c r="U36" s="717"/>
      <c r="V36" s="717"/>
      <c r="W36" s="717"/>
      <c r="X36" s="716" t="str">
        <f>IF($G36="","",VLOOKUP($G36,'Geometry 2'!$E$4:$AJ$14,19,TRUE)-12*VLOOKUP($G36,'Geometry 2'!$E$4:$AJ$14,32,TRUE)*($D36-VLOOKUP($G36,'Geometry 2'!$E$5:$AH$14,1,TRUE)))</f>
        <v/>
      </c>
      <c r="Y36" s="716"/>
      <c r="Z36" s="716"/>
      <c r="AA36" s="716"/>
      <c r="AB36" s="757" t="str">
        <f>IF($G36="","",VLOOKUP($G36,'Geometry 2'!$E$4:$AJ$14,19,TRUE)-12*VLOOKUP($G36,'Geometry 2'!$E$4:$AJ$14,32,TRUE)*($G36-VLOOKUP($G36,'Geometry 2'!$E$5:$AH$14,1,TRUE)))</f>
        <v/>
      </c>
      <c r="AC36" s="758"/>
      <c r="AD36" s="758"/>
      <c r="AE36" s="759"/>
      <c r="AF36" s="716" t="str">
        <f>IF($G36="","",VLOOKUP($G36,'Geometry 2'!$E$4:$AJ$14,19,TRUE)-12*VLOOKUP($G36,'Geometry 2'!$E$4:$AJ$14,32,TRUE)*($G36-IF($P36="",0,$P36)-VLOOKUP($G36,'Geometry 2'!$E$5:$AH$14,1,TRUE)))</f>
        <v/>
      </c>
      <c r="AG36" s="716"/>
      <c r="AH36" s="716"/>
      <c r="AI36" s="716"/>
      <c r="AJ36" s="746" t="str">
        <f>IF($G36="","",VLOOKUP($G36,'Geometry 2'!$E$4:$AH$14,23,TRUE))</f>
        <v/>
      </c>
      <c r="AK36" s="747"/>
      <c r="AL36" s="747"/>
      <c r="AM36" s="748"/>
      <c r="AN36" s="717"/>
      <c r="AO36" s="717"/>
      <c r="AP36" s="717"/>
      <c r="AQ36" s="717"/>
      <c r="AR36" s="717" t="str">
        <f>IF($G36="","",VLOOKUP($G36,'Geometry 2'!$E$4:$AH$14,27,TRUE))</f>
        <v/>
      </c>
      <c r="AS36" s="717"/>
      <c r="AT36" s="717"/>
      <c r="AU36" s="718"/>
      <c r="AV36" s="715"/>
      <c r="AW36" s="716"/>
      <c r="AX36" s="716"/>
      <c r="AZ36" s="722" t="str">
        <f t="shared" si="5"/>
        <v/>
      </c>
      <c r="BA36" s="723"/>
      <c r="BB36" s="723"/>
      <c r="BC36" s="724"/>
      <c r="BD36" s="722"/>
      <c r="BE36" s="723"/>
      <c r="BF36" s="723"/>
      <c r="BG36" s="722" t="str">
        <f t="shared" si="9"/>
        <v/>
      </c>
      <c r="BH36" s="723"/>
      <c r="BI36" s="723"/>
      <c r="BJ36" s="723"/>
      <c r="BK36" s="724"/>
      <c r="BL36" s="722"/>
      <c r="BM36" s="723"/>
      <c r="BN36" s="723"/>
      <c r="BO36" s="723"/>
      <c r="BP36" s="725"/>
      <c r="BQ36" s="725"/>
      <c r="BR36" s="722" t="str">
        <f>IF(BP36="","",IF(OR(AND(Rev="H",Calculations!$F$27=TRUE),AND(Rev&lt;&gt;"H",Calculations!$F$30=TRUE)),IF(BP36&lt;=1,"Pass","Fail"),IF(BP36&lt;=1.05,"Pass","Fail")))</f>
        <v/>
      </c>
      <c r="BS36" s="723"/>
      <c r="BT36" s="724"/>
      <c r="BU36" s="49"/>
      <c r="BV36" s="25" t="str">
        <f>IFERROR(CONCATENATE(IF(AND($G36&lt;Hta_1,$G36&gt;=Hba_1,Input!U$21&lt;&gt;""),Input!$B$21&amp;";",""),IF(AND($G36&lt;Hta_2,$G36&gt;=Hba_2,Input!U$22&lt;&gt;""),Input!$B$22&amp;";",""),IF(AND($G36&lt;Hta_3,$G36&gt;=Hba_3,Input!U$23&lt;&gt;""),Input!$B$23&amp;";",""),IF(AND($G36&lt;Hta_4,$G36&gt;=Hba_4,Input!U$24&lt;&gt;""),Input!$B$24&amp;";",""),IF(AND($G36&lt;Hta_5,$G36&gt;=Hba_5,Input!U$25&lt;&gt;""),Input!$B$25&amp;";",""),IF(AND($G36&lt;Hta_6,$G36&gt;=Hba_6,Input!U$26&lt;&gt;""),Input!$B$26&amp;";",""),IF(AND($G36&lt;Hta_7,$G36&gt;=Hba_7,Input!U$27&lt;&gt;""),Input!$B$27&amp;";",""),IF(AND($G36&lt;Hta_8,$G36&gt;=Hba_8,Input!U$28&lt;&gt;""),Input!$B$28&amp;";",""),IF(AND($G36&lt;Hta_9,$G36&gt;=Hba_9,Input!U$29&lt;&gt;""),Input!$B$29&amp;";",""),IF(AND($G36&lt;Hta_10,$G36&gt;=Hba_10,Input!U$30&lt;&gt;""),Input!$B$30&amp;";",""),IF(AND($G36&lt;Hta_11,$G36&gt;=Hba_11,Input!U$31&lt;&gt;""),Input!$B$31&amp;";",""),IF(AND($G36&lt;Hta_12,$G36&gt;=Hba_12,Input!U$32&lt;&gt;""),Input!$B$32&amp;";",""),IF(AND($G36&lt;Hta_13,$G36&gt;=Hba_13,Input!U$33&lt;&gt;""),Input!$B$33&amp;";",""),IF(AND($G36&lt;Hta_14,$G36&gt;=Hba_14,Input!U$34&lt;&gt;""),Input!$B$34&amp;";",""),IF(AND($G36&lt;Hta_15,$G36&gt;=Hba_15,Input!U$35&lt;&gt;""),Input!$B$35&amp;";",""),IF(AND($G36&lt;Hta_16,$G36&gt;=Hba_16,Input!U$36&lt;&gt;""),Input!$B$36&amp;";",""),IF(AND($G36&lt;Hta_17,$G36&gt;=Hba_17,Input!U$37&lt;&gt;""),Input!$B$37&amp;";",""),IF(AND($G36&lt;Hta_18,$G36&gt;=Hba_18,Input!U$38&lt;&gt;""),Input!$B$38&amp;";",""),IF(AND($G36&lt;Hta_19,$G36&gt;=Hba_19,Input!U$39&lt;&gt;""),Input!$B$39&amp;";",""),IF(AND($G36&lt;Hta_20,$G36&gt;=Hba_20,Input!U$40&lt;&gt;""),Input!$B$40&amp;";",""),IF(AND($G36&lt;Hta_21,$G36&gt;=Hba_21,Input!U$41&lt;&gt;""),Input!$B$41&amp;";",""),IF(AND($G36&lt;Hta_22,$G36&gt;=Hba_22,Input!U$42&lt;&gt;""),Input!$B$42&amp;";",""),IF(AND($G36&lt;Hta_23,$G36&gt;=Hba_23,Input!U$43&lt;&gt;""),Input!$B$43&amp;";",""),IF(AND($G36&lt;Hta_24,$G36&gt;=Hba_24,Input!U$44&lt;&gt;""),Input!$B$44&amp;";",""),IF(AND($G36&lt;Hta_25,$G36&gt;=Hba_25,Input!U$45&lt;&gt;""),Input!$B$45&amp;";",""),IF(AND($G36&lt;Hta_26,$G36&gt;=Hba_26,Input!U$46&lt;&gt;""),Input!$B$46&amp;";",""),IF(AND($G36&lt;Hta_27,$G36&gt;=Hba_27,Input!U$47&lt;&gt;""),Input!$B$47&amp;";",""),IF(AND($G36&lt;Hta_28,$G36&gt;=Hba_28,Input!U$48&lt;&gt;""),Input!$B$48&amp;";",""),IF(AND($G36&lt;Hta_29,$G36&gt;=Hba_29,Input!U$49&lt;&gt;""),Input!$B$49&amp;";",""),IF(AND($G36&lt;Hta_30,$G36&gt;=Hba_30,Input!U$50&lt;&gt;""),Input!$B$50&amp;";","")),"")</f>
        <v/>
      </c>
      <c r="BW36" s="25" t="str">
        <f>IFERROR(CONCATENATE(IF(AND($G36&lt;Hta_1,$G36&gt;=Hba_1,Input!V$21&lt;&gt;""),Input!$B$21&amp;";",""),IF(AND($G36&lt;Hta_2,$G36&gt;=Hba_2,Input!V$22&lt;&gt;""),Input!$B$22&amp;";",""),IF(AND($G36&lt;Hta_3,$G36&gt;=Hba_3,Input!V$23&lt;&gt;""),Input!$B$23&amp;";",""),IF(AND($G36&lt;Hta_4,$G36&gt;=Hba_4,Input!V$24&lt;&gt;""),Input!$B$24&amp;";",""),IF(AND($G36&lt;Hta_5,$G36&gt;=Hba_5,Input!V$25&lt;&gt;""),Input!$B$25&amp;";",""),IF(AND($G36&lt;Hta_6,$G36&gt;=Hba_6,Input!V$26&lt;&gt;""),Input!$B$26&amp;";",""),IF(AND($G36&lt;Hta_7,$G36&gt;=Hba_7,Input!V$27&lt;&gt;""),Input!$B$27&amp;";",""),IF(AND($G36&lt;Hta_8,$G36&gt;=Hba_8,Input!V$28&lt;&gt;""),Input!$B$28&amp;";",""),IF(AND($G36&lt;Hta_9,$G36&gt;=Hba_9,Input!V$29&lt;&gt;""),Input!$B$29&amp;";",""),IF(AND($G36&lt;Hta_10,$G36&gt;=Hba_10,Input!V$30&lt;&gt;""),Input!$B$30&amp;";",""),IF(AND($G36&lt;Hta_11,$G36&gt;=Hba_11,Input!V$31&lt;&gt;""),Input!$B$31&amp;";",""),IF(AND($G36&lt;Hta_12,$G36&gt;=Hba_12,Input!V$32&lt;&gt;""),Input!$B$32&amp;";",""),IF(AND($G36&lt;Hta_13,$G36&gt;=Hba_13,Input!V$33&lt;&gt;""),Input!$B$33&amp;";",""),IF(AND($G36&lt;Hta_14,$G36&gt;=Hba_14,Input!V$34&lt;&gt;""),Input!$B$34&amp;";",""),IF(AND($G36&lt;Hta_15,$G36&gt;=Hba_15,Input!V$35&lt;&gt;""),Input!$B$35&amp;";",""),IF(AND($G36&lt;Hta_16,$G36&gt;=Hba_16,Input!V$36&lt;&gt;""),Input!$B$36&amp;";",""),IF(AND($G36&lt;Hta_17,$G36&gt;=Hba_17,Input!V$37&lt;&gt;""),Input!$B$37&amp;";",""),IF(AND($G36&lt;Hta_18,$G36&gt;=Hba_18,Input!V$38&lt;&gt;""),Input!$B$38&amp;";",""),IF(AND($G36&lt;Hta_19,$G36&gt;=Hba_19,Input!V$39&lt;&gt;""),Input!$B$39&amp;";",""),IF(AND($G36&lt;Hta_20,$G36&gt;=Hba_20,Input!V$40&lt;&gt;""),Input!$B$40&amp;";",""),IF(AND($G36&lt;Hta_21,$G36&gt;=Hba_21,Input!V$41&lt;&gt;""),Input!$B$41&amp;";",""),IF(AND($G36&lt;Hta_22,$G36&gt;=Hba_22,Input!V$42&lt;&gt;""),Input!$B$42&amp;";",""),IF(AND($G36&lt;Hta_23,$G36&gt;=Hba_23,Input!V$43&lt;&gt;""),Input!$B$43&amp;";",""),IF(AND($G36&lt;Hta_24,$G36&gt;=Hba_24,Input!V$44&lt;&gt;""),Input!$B$44&amp;";",""),IF(AND($G36&lt;Hta_25,$G36&gt;=Hba_25,Input!V$45&lt;&gt;""),Input!$B$45&amp;";",""),IF(AND($G36&lt;Hta_26,$G36&gt;=Hba_26,Input!V$46&lt;&gt;""),Input!$B$46&amp;";",""),IF(AND($G36&lt;Hta_27,$G36&gt;=Hba_27,Input!V$47&lt;&gt;""),Input!$B$47&amp;";",""),IF(AND($G36&lt;Hta_28,$G36&gt;=Hba_28,Input!V$48&lt;&gt;""),Input!$B$48&amp;";",""),IF(AND($G36&lt;Hta_29,$G36&gt;=Hba_29,Input!V$49&lt;&gt;""),Input!$B$49&amp;";",""),IF(AND($G36&lt;Hta_30,$G36&gt;=Hba_30,Input!V$50&lt;&gt;""),Input!$B$50&amp;";","")),"")</f>
        <v/>
      </c>
      <c r="BX36" s="25" t="str">
        <f>IFERROR(CONCATENATE(IF(AND($G36&lt;Hta_1,$G36&gt;=Hba_1,Input!W$21&lt;&gt;""),Input!$B$21&amp;";",""),IF(AND($G36&lt;Hta_2,$G36&gt;=Hba_2,Input!W$22&lt;&gt;""),Input!$B$22&amp;";",""),IF(AND($G36&lt;Hta_3,$G36&gt;=Hba_3,Input!W$23&lt;&gt;""),Input!$B$23&amp;";",""),IF(AND($G36&lt;Hta_4,$G36&gt;=Hba_4,Input!W$24&lt;&gt;""),Input!$B$24&amp;";",""),IF(AND($G36&lt;Hta_5,$G36&gt;=Hba_5,Input!W$25&lt;&gt;""),Input!$B$25&amp;";",""),IF(AND($G36&lt;Hta_6,$G36&gt;=Hba_6,Input!W$26&lt;&gt;""),Input!$B$26&amp;";",""),IF(AND($G36&lt;Hta_7,$G36&gt;=Hba_7,Input!W$27&lt;&gt;""),Input!$B$27&amp;";",""),IF(AND($G36&lt;Hta_8,$G36&gt;=Hba_8,Input!W$28&lt;&gt;""),Input!$B$28&amp;";",""),IF(AND($G36&lt;Hta_9,$G36&gt;=Hba_9,Input!W$29&lt;&gt;""),Input!$B$29&amp;";",""),IF(AND($G36&lt;Hta_10,$G36&gt;=Hba_10,Input!W$30&lt;&gt;""),Input!$B$30&amp;";",""),IF(AND($G36&lt;Hta_11,$G36&gt;=Hba_11,Input!W$31&lt;&gt;""),Input!$B$31&amp;";",""),IF(AND($G36&lt;Hta_12,$G36&gt;=Hba_12,Input!W$32&lt;&gt;""),Input!$B$32&amp;";",""),IF(AND($G36&lt;Hta_13,$G36&gt;=Hba_13,Input!W$33&lt;&gt;""),Input!$B$33&amp;";",""),IF(AND($G36&lt;Hta_14,$G36&gt;=Hba_14,Input!W$34&lt;&gt;""),Input!$B$34&amp;";",""),IF(AND($G36&lt;Hta_15,$G36&gt;=Hba_15,Input!W$35&lt;&gt;""),Input!$B$35&amp;";",""),IF(AND($G36&lt;Hta_16,$G36&gt;=Hba_16,Input!W$36&lt;&gt;""),Input!$B$36&amp;";",""),IF(AND($G36&lt;Hta_17,$G36&gt;=Hba_17,Input!W$37&lt;&gt;""),Input!$B$37&amp;";",""),IF(AND($G36&lt;Hta_18,$G36&gt;=Hba_18,Input!W$38&lt;&gt;""),Input!$B$38&amp;";",""),IF(AND($G36&lt;Hta_19,$G36&gt;=Hba_19,Input!W$39&lt;&gt;""),Input!$B$39&amp;";",""),IF(AND($G36&lt;Hta_20,$G36&gt;=Hba_20,Input!W$40&lt;&gt;""),Input!$B$40&amp;";",""),IF(AND($G36&lt;Hta_21,$G36&gt;=Hba_21,Input!W$41&lt;&gt;""),Input!$B$41&amp;";",""),IF(AND($G36&lt;Hta_22,$G36&gt;=Hba_22,Input!W$42&lt;&gt;""),Input!$B$42&amp;";",""),IF(AND($G36&lt;Hta_23,$G36&gt;=Hba_23,Input!W$43&lt;&gt;""),Input!$B$43&amp;";",""),IF(AND($G36&lt;Hta_24,$G36&gt;=Hba_24,Input!W$44&lt;&gt;""),Input!$B$44&amp;";",""),IF(AND($G36&lt;Hta_25,$G36&gt;=Hba_25,Input!W$45&lt;&gt;""),Input!$B$45&amp;";",""),IF(AND($G36&lt;Hta_26,$G36&gt;=Hba_26,Input!W$46&lt;&gt;""),Input!$B$46&amp;";",""),IF(AND($G36&lt;Hta_27,$G36&gt;=Hba_27,Input!W$47&lt;&gt;""),Input!$B$47&amp;";",""),IF(AND($G36&lt;Hta_28,$G36&gt;=Hba_28,Input!W$48&lt;&gt;""),Input!$B$48&amp;";",""),IF(AND($G36&lt;Hta_29,$G36&gt;=Hba_29,Input!W$49&lt;&gt;""),Input!$B$49&amp;";",""),IF(AND($G36&lt;Hta_30,$G36&gt;=Hba_30,Input!W$50&lt;&gt;""),Input!$B$50&amp;";","")),"")</f>
        <v/>
      </c>
      <c r="BY36" s="25" t="str">
        <f>IFERROR(CONCATENATE(IF(AND($G36&lt;Hta_1,$G36&gt;=Hba_1,Input!X$21&lt;&gt;""),Input!$B$21&amp;";",""),IF(AND($G36&lt;Hta_2,$G36&gt;=Hba_2,Input!X$22&lt;&gt;""),Input!$B$22&amp;";",""),IF(AND($G36&lt;Hta_3,$G36&gt;=Hba_3,Input!X$23&lt;&gt;""),Input!$B$23&amp;";",""),IF(AND($G36&lt;Hta_4,$G36&gt;=Hba_4,Input!X$24&lt;&gt;""),Input!$B$24&amp;";",""),IF(AND($G36&lt;Hta_5,$G36&gt;=Hba_5,Input!X$25&lt;&gt;""),Input!$B$25&amp;";",""),IF(AND($G36&lt;Hta_6,$G36&gt;=Hba_6,Input!X$26&lt;&gt;""),Input!$B$26&amp;";",""),IF(AND($G36&lt;Hta_7,$G36&gt;=Hba_7,Input!X$27&lt;&gt;""),Input!$B$27&amp;";",""),IF(AND($G36&lt;Hta_8,$G36&gt;=Hba_8,Input!X$28&lt;&gt;""),Input!$B$28&amp;";",""),IF(AND($G36&lt;Hta_9,$G36&gt;=Hba_9,Input!X$29&lt;&gt;""),Input!$B$29&amp;";",""),IF(AND($G36&lt;Hta_10,$G36&gt;=Hba_10,Input!X$30&lt;&gt;""),Input!$B$30&amp;";",""),IF(AND($G36&lt;Hta_11,$G36&gt;=Hba_11,Input!X$31&lt;&gt;""),Input!$B$31&amp;";",""),IF(AND($G36&lt;Hta_12,$G36&gt;=Hba_12,Input!X$32&lt;&gt;""),Input!$B$32&amp;";",""),IF(AND($G36&lt;Hta_13,$G36&gt;=Hba_13,Input!X$33&lt;&gt;""),Input!$B$33&amp;";",""),IF(AND($G36&lt;Hta_14,$G36&gt;=Hba_14,Input!X$34&lt;&gt;""),Input!$B$34&amp;";",""),IF(AND($G36&lt;Hta_15,$G36&gt;=Hba_15,Input!X$35&lt;&gt;""),Input!$B$35&amp;";",""),IF(AND($G36&lt;Hta_16,$G36&gt;=Hba_16,Input!X$36&lt;&gt;""),Input!$B$36&amp;";",""),IF(AND($G36&lt;Hta_17,$G36&gt;=Hba_17,Input!X$37&lt;&gt;""),Input!$B$37&amp;";",""),IF(AND($G36&lt;Hta_18,$G36&gt;=Hba_18,Input!X$38&lt;&gt;""),Input!$B$38&amp;";",""),IF(AND($G36&lt;Hta_19,$G36&gt;=Hba_19,Input!X$39&lt;&gt;""),Input!$B$39&amp;";",""),IF(AND($G36&lt;Hta_20,$G36&gt;=Hba_20,Input!X$40&lt;&gt;""),Input!$B$40&amp;";",""),IF(AND($G36&lt;Hta_21,$G36&gt;=Hba_21,Input!X$41&lt;&gt;""),Input!$B$41&amp;";",""),IF(AND($G36&lt;Hta_22,$G36&gt;=Hba_22,Input!X$42&lt;&gt;""),Input!$B$42&amp;";",""),IF(AND($G36&lt;Hta_23,$G36&gt;=Hba_23,Input!X$43&lt;&gt;""),Input!$B$43&amp;";",""),IF(AND($G36&lt;Hta_24,$G36&gt;=Hba_24,Input!X$44&lt;&gt;""),Input!$B$44&amp;";",""),IF(AND($G36&lt;Hta_25,$G36&gt;=Hba_25,Input!X$45&lt;&gt;""),Input!$B$45&amp;";",""),IF(AND($G36&lt;Hta_26,$G36&gt;=Hba_26,Input!X$46&lt;&gt;""),Input!$B$46&amp;";",""),IF(AND($G36&lt;Hta_27,$G36&gt;=Hba_27,Input!X$47&lt;&gt;""),Input!$B$47&amp;";",""),IF(AND($G36&lt;Hta_28,$G36&gt;=Hba_28,Input!X$48&lt;&gt;""),Input!$B$48&amp;";",""),IF(AND($G36&lt;Hta_29,$G36&gt;=Hba_29,Input!X$49&lt;&gt;""),Input!$B$49&amp;";",""),IF(AND($G36&lt;Hta_30,$G36&gt;=Hba_30,Input!X$50&lt;&gt;""),Input!$B$50&amp;";","")),"")</f>
        <v/>
      </c>
      <c r="BZ36" s="25" t="str">
        <f>IFERROR(CONCATENATE(IF(AND($G36&lt;Hta_1,$G36&gt;=Hba_1,Input!Y$21&lt;&gt;""),Input!$B$21&amp;";",""),IF(AND($G36&lt;Hta_2,$G36&gt;=Hba_2,Input!Y$22&lt;&gt;""),Input!$B$22&amp;";",""),IF(AND($G36&lt;Hta_3,$G36&gt;=Hba_3,Input!Y$23&lt;&gt;""),Input!$B$23&amp;";",""),IF(AND($G36&lt;Hta_4,$G36&gt;=Hba_4,Input!Y$24&lt;&gt;""),Input!$B$24&amp;";",""),IF(AND($G36&lt;Hta_5,$G36&gt;=Hba_5,Input!Y$25&lt;&gt;""),Input!$B$25&amp;";",""),IF(AND($G36&lt;Hta_6,$G36&gt;=Hba_6,Input!Y$26&lt;&gt;""),Input!$B$26&amp;";",""),IF(AND($G36&lt;Hta_7,$G36&gt;=Hba_7,Input!Y$27&lt;&gt;""),Input!$B$27&amp;";",""),IF(AND($G36&lt;Hta_8,$G36&gt;=Hba_8,Input!Y$28&lt;&gt;""),Input!$B$28&amp;";",""),IF(AND($G36&lt;Hta_9,$G36&gt;=Hba_9,Input!Y$29&lt;&gt;""),Input!$B$29&amp;";",""),IF(AND($G36&lt;Hta_10,$G36&gt;=Hba_10,Input!Y$30&lt;&gt;""),Input!$B$30&amp;";",""),IF(AND($G36&lt;Hta_11,$G36&gt;=Hba_11,Input!Y$31&lt;&gt;""),Input!$B$31&amp;";",""),IF(AND($G36&lt;Hta_12,$G36&gt;=Hba_12,Input!Y$32&lt;&gt;""),Input!$B$32&amp;";",""),IF(AND($G36&lt;Hta_13,$G36&gt;=Hba_13,Input!Y$33&lt;&gt;""),Input!$B$33&amp;";",""),IF(AND($G36&lt;Hta_14,$G36&gt;=Hba_14,Input!Y$34&lt;&gt;""),Input!$B$34&amp;";",""),IF(AND($G36&lt;Hta_15,$G36&gt;=Hba_15,Input!Y$35&lt;&gt;""),Input!$B$35&amp;";",""),IF(AND($G36&lt;Hta_16,$G36&gt;=Hba_16,Input!Y$36&lt;&gt;""),Input!$B$36&amp;";",""),IF(AND($G36&lt;Hta_17,$G36&gt;=Hba_17,Input!Y$37&lt;&gt;""),Input!$B$37&amp;";",""),IF(AND($G36&lt;Hta_18,$G36&gt;=Hba_18,Input!Y$38&lt;&gt;""),Input!$B$38&amp;";",""),IF(AND($G36&lt;Hta_19,$G36&gt;=Hba_19,Input!Y$39&lt;&gt;""),Input!$B$39&amp;";",""),IF(AND($G36&lt;Hta_20,$G36&gt;=Hba_20,Input!Y$40&lt;&gt;""),Input!$B$40&amp;";",""),IF(AND($G36&lt;Hta_21,$G36&gt;=Hba_21,Input!Y$41&lt;&gt;""),Input!$B$41&amp;";",""),IF(AND($G36&lt;Hta_22,$G36&gt;=Hba_22,Input!Y$42&lt;&gt;""),Input!$B$42&amp;";",""),IF(AND($G36&lt;Hta_23,$G36&gt;=Hba_23,Input!Y$43&lt;&gt;""),Input!$B$43&amp;";",""),IF(AND($G36&lt;Hta_24,$G36&gt;=Hba_24,Input!Y$44&lt;&gt;""),Input!$B$44&amp;";",""),IF(AND($G36&lt;Hta_25,$G36&gt;=Hba_25,Input!Y$45&lt;&gt;""),Input!$B$45&amp;";",""),IF(AND($G36&lt;Hta_26,$G36&gt;=Hba_26,Input!Y$46&lt;&gt;""),Input!$B$46&amp;";",""),IF(AND($G36&lt;Hta_27,$G36&gt;=Hba_27,Input!Y$47&lt;&gt;""),Input!$B$47&amp;";",""),IF(AND($G36&lt;Hta_28,$G36&gt;=Hba_28,Input!Y$48&lt;&gt;""),Input!$B$48&amp;";",""),IF(AND($G36&lt;Hta_29,$G36&gt;=Hba_29,Input!Y$49&lt;&gt;""),Input!$B$49&amp;";",""),IF(AND($G36&lt;Hta_30,$G36&gt;=Hba_30,Input!Y$50&lt;&gt;""),Input!$B$50&amp;";","")),"")</f>
        <v/>
      </c>
      <c r="CA36" s="25" t="str">
        <f>IFERROR(CONCATENATE(IF(AND($G36&lt;Hta_1,$G36&gt;=Hba_1,Input!Z$21&lt;&gt;""),Input!$B$21&amp;";",""),IF(AND($G36&lt;Hta_2,$G36&gt;=Hba_2,Input!Z$22&lt;&gt;""),Input!$B$22&amp;";",""),IF(AND($G36&lt;Hta_3,$G36&gt;=Hba_3,Input!Z$23&lt;&gt;""),Input!$B$23&amp;";",""),IF(AND($G36&lt;Hta_4,$G36&gt;=Hba_4,Input!Z$24&lt;&gt;""),Input!$B$24&amp;";",""),IF(AND($G36&lt;Hta_5,$G36&gt;=Hba_5,Input!Z$25&lt;&gt;""),Input!$B$25&amp;";",""),IF(AND($G36&lt;Hta_6,$G36&gt;=Hba_6,Input!Z$26&lt;&gt;""),Input!$B$26&amp;";",""),IF(AND($G36&lt;Hta_7,$G36&gt;=Hba_7,Input!Z$27&lt;&gt;""),Input!$B$27&amp;";",""),IF(AND($G36&lt;Hta_8,$G36&gt;=Hba_8,Input!Z$28&lt;&gt;""),Input!$B$28&amp;";",""),IF(AND($G36&lt;Hta_9,$G36&gt;=Hba_9,Input!Z$29&lt;&gt;""),Input!$B$29&amp;";",""),IF(AND($G36&lt;Hta_10,$G36&gt;=Hba_10,Input!Z$30&lt;&gt;""),Input!$B$30&amp;";",""),IF(AND($G36&lt;Hta_11,$G36&gt;=Hba_11,Input!Z$31&lt;&gt;""),Input!$B$31&amp;";",""),IF(AND($G36&lt;Hta_12,$G36&gt;=Hba_12,Input!Z$32&lt;&gt;""),Input!$B$32&amp;";",""),IF(AND($G36&lt;Hta_13,$G36&gt;=Hba_13,Input!Z$33&lt;&gt;""),Input!$B$33&amp;";",""),IF(AND($G36&lt;Hta_14,$G36&gt;=Hba_14,Input!Z$34&lt;&gt;""),Input!$B$34&amp;";",""),IF(AND($G36&lt;Hta_15,$G36&gt;=Hba_15,Input!Z$35&lt;&gt;""),Input!$B$35&amp;";",""),IF(AND($G36&lt;Hta_16,$G36&gt;=Hba_16,Input!Z$36&lt;&gt;""),Input!$B$36&amp;";",""),IF(AND($G36&lt;Hta_17,$G36&gt;=Hba_17,Input!Z$37&lt;&gt;""),Input!$B$37&amp;";",""),IF(AND($G36&lt;Hta_18,$G36&gt;=Hba_18,Input!Z$38&lt;&gt;""),Input!$B$38&amp;";",""),IF(AND($G36&lt;Hta_19,$G36&gt;=Hba_19,Input!Z$39&lt;&gt;""),Input!$B$39&amp;";",""),IF(AND($G36&lt;Hta_20,$G36&gt;=Hba_20,Input!Z$40&lt;&gt;""),Input!$B$40&amp;";",""),IF(AND($G36&lt;Hta_21,$G36&gt;=Hba_21,Input!Z$41&lt;&gt;""),Input!$B$41&amp;";",""),IF(AND($G36&lt;Hta_22,$G36&gt;=Hba_22,Input!Z$42&lt;&gt;""),Input!$B$42&amp;";",""),IF(AND($G36&lt;Hta_23,$G36&gt;=Hba_23,Input!Z$43&lt;&gt;""),Input!$B$43&amp;";",""),IF(AND($G36&lt;Hta_24,$G36&gt;=Hba_24,Input!Z$44&lt;&gt;""),Input!$B$44&amp;";",""),IF(AND($G36&lt;Hta_25,$G36&gt;=Hba_25,Input!Z$45&lt;&gt;""),Input!$B$45&amp;";",""),IF(AND($G36&lt;Hta_26,$G36&gt;=Hba_26,Input!Z$46&lt;&gt;""),Input!$B$46&amp;";",""),IF(AND($G36&lt;Hta_27,$G36&gt;=Hba_27,Input!Z$47&lt;&gt;""),Input!$B$47&amp;";",""),IF(AND($G36&lt;Hta_28,$G36&gt;=Hba_28,Input!Z$48&lt;&gt;""),Input!$B$48&amp;";",""),IF(AND($G36&lt;Hta_29,$G36&gt;=Hba_29,Input!Z$49&lt;&gt;""),Input!$B$49&amp;";",""),IF(AND($G36&lt;Hta_30,$G36&gt;=Hba_30,Input!Z$50&lt;&gt;""),Input!$B$50&amp;";","")),"")</f>
        <v/>
      </c>
      <c r="CB36" s="25" t="str">
        <f>IFERROR(CONCATENATE(IF(AND($G36&lt;Hta_1,$G36&gt;=Hba_1,Input!AA$21&lt;&gt;""),Input!$B$21&amp;";",""),IF(AND($G36&lt;Hta_2,$G36&gt;=Hba_2,Input!AA$22&lt;&gt;""),Input!$B$22&amp;";",""),IF(AND($G36&lt;Hta_3,$G36&gt;=Hba_3,Input!AA$23&lt;&gt;""),Input!$B$23&amp;";",""),IF(AND($G36&lt;Hta_4,$G36&gt;=Hba_4,Input!AA$24&lt;&gt;""),Input!$B$24&amp;";",""),IF(AND($G36&lt;Hta_5,$G36&gt;=Hba_5,Input!AA$25&lt;&gt;""),Input!$B$25&amp;";",""),IF(AND($G36&lt;Hta_6,$G36&gt;=Hba_6,Input!AA$26&lt;&gt;""),Input!$B$26&amp;";",""),IF(AND($G36&lt;Hta_7,$G36&gt;=Hba_7,Input!AA$27&lt;&gt;""),Input!$B$27&amp;";",""),IF(AND($G36&lt;Hta_8,$G36&gt;=Hba_8,Input!AA$28&lt;&gt;""),Input!$B$28&amp;";",""),IF(AND($G36&lt;Hta_9,$G36&gt;=Hba_9,Input!AA$29&lt;&gt;""),Input!$B$29&amp;";",""),IF(AND($G36&lt;Hta_10,$G36&gt;=Hba_10,Input!AA$30&lt;&gt;""),Input!$B$30&amp;";",""),IF(AND($G36&lt;Hta_11,$G36&gt;=Hba_11,Input!AA$31&lt;&gt;""),Input!$B$31&amp;";",""),IF(AND($G36&lt;Hta_12,$G36&gt;=Hba_12,Input!AA$32&lt;&gt;""),Input!$B$32&amp;";",""),IF(AND($G36&lt;Hta_13,$G36&gt;=Hba_13,Input!AA$33&lt;&gt;""),Input!$B$33&amp;";",""),IF(AND($G36&lt;Hta_14,$G36&gt;=Hba_14,Input!AA$34&lt;&gt;""),Input!$B$34&amp;";",""),IF(AND($G36&lt;Hta_15,$G36&gt;=Hba_15,Input!AA$35&lt;&gt;""),Input!$B$35&amp;";",""),IF(AND($G36&lt;Hta_16,$G36&gt;=Hba_16,Input!AA$36&lt;&gt;""),Input!$B$36&amp;";",""),IF(AND($G36&lt;Hta_17,$G36&gt;=Hba_17,Input!AA$37&lt;&gt;""),Input!$B$37&amp;";",""),IF(AND($G36&lt;Hta_18,$G36&gt;=Hba_18,Input!AA$38&lt;&gt;""),Input!$B$38&amp;";",""),IF(AND($G36&lt;Hta_19,$G36&gt;=Hba_19,Input!AA$39&lt;&gt;""),Input!$B$39&amp;";",""),IF(AND($G36&lt;Hta_20,$G36&gt;=Hba_20,Input!AA$40&lt;&gt;""),Input!$B$40&amp;";",""),IF(AND($G36&lt;Hta_21,$G36&gt;=Hba_21,Input!AA$41&lt;&gt;""),Input!$B$41&amp;";",""),IF(AND($G36&lt;Hta_22,$G36&gt;=Hba_22,Input!AA$42&lt;&gt;""),Input!$B$42&amp;";",""),IF(AND($G36&lt;Hta_23,$G36&gt;=Hba_23,Input!AA$43&lt;&gt;""),Input!$B$43&amp;";",""),IF(AND($G36&lt;Hta_24,$G36&gt;=Hba_24,Input!AA$44&lt;&gt;""),Input!$B$44&amp;";",""),IF(AND($G36&lt;Hta_25,$G36&gt;=Hba_25,Input!AA$45&lt;&gt;""),Input!$B$45&amp;";",""),IF(AND($G36&lt;Hta_26,$G36&gt;=Hba_26,Input!AA$46&lt;&gt;""),Input!$B$46&amp;";",""),IF(AND($G36&lt;Hta_27,$G36&gt;=Hba_27,Input!AA$47&lt;&gt;""),Input!$B$47&amp;";",""),IF(AND($G36&lt;Hta_28,$G36&gt;=Hba_28,Input!AA$48&lt;&gt;""),Input!$B$48&amp;";",""),IF(AND($G36&lt;Hta_29,$G36&gt;=Hba_29,Input!AA$49&lt;&gt;""),Input!$B$49&amp;";",""),IF(AND($G36&lt;Hta_30,$G36&gt;=Hba_30,Input!AA$50&lt;&gt;""),Input!$B$50&amp;";","")),"")</f>
        <v/>
      </c>
      <c r="CC36" s="25" t="str">
        <f>IFERROR(CONCATENATE(IF(AND($G36&lt;Hta_1,$G36&gt;=Hba_1,Input!AB$21&lt;&gt;""),Input!$B$21&amp;";",""),IF(AND($G36&lt;Hta_2,$G36&gt;=Hba_2,Input!AB$22&lt;&gt;""),Input!$B$22&amp;";",""),IF(AND($G36&lt;Hta_3,$G36&gt;=Hba_3,Input!AB$23&lt;&gt;""),Input!$B$23&amp;";",""),IF(AND($G36&lt;Hta_4,$G36&gt;=Hba_4,Input!AB$24&lt;&gt;""),Input!$B$24&amp;";",""),IF(AND($G36&lt;Hta_5,$G36&gt;=Hba_5,Input!AB$25&lt;&gt;""),Input!$B$25&amp;";",""),IF(AND($G36&lt;Hta_6,$G36&gt;=Hba_6,Input!AB$26&lt;&gt;""),Input!$B$26&amp;";",""),IF(AND($G36&lt;Hta_7,$G36&gt;=Hba_7,Input!AB$27&lt;&gt;""),Input!$B$27&amp;";",""),IF(AND($G36&lt;Hta_8,$G36&gt;=Hba_8,Input!AB$28&lt;&gt;""),Input!$B$28&amp;";",""),IF(AND($G36&lt;Hta_9,$G36&gt;=Hba_9,Input!AB$29&lt;&gt;""),Input!$B$29&amp;";",""),IF(AND($G36&lt;Hta_10,$G36&gt;=Hba_10,Input!AB$30&lt;&gt;""),Input!$B$30&amp;";",""),IF(AND($G36&lt;Hta_11,$G36&gt;=Hba_11,Input!AB$31&lt;&gt;""),Input!$B$31&amp;";",""),IF(AND($G36&lt;Hta_12,$G36&gt;=Hba_12,Input!AB$32&lt;&gt;""),Input!$B$32&amp;";",""),IF(AND($G36&lt;Hta_13,$G36&gt;=Hba_13,Input!AB$33&lt;&gt;""),Input!$B$33&amp;";",""),IF(AND($G36&lt;Hta_14,$G36&gt;=Hba_14,Input!AB$34&lt;&gt;""),Input!$B$34&amp;";",""),IF(AND($G36&lt;Hta_15,$G36&gt;=Hba_15,Input!AB$35&lt;&gt;""),Input!$B$35&amp;";",""),IF(AND($G36&lt;Hta_16,$G36&gt;=Hba_16,Input!AB$36&lt;&gt;""),Input!$B$36&amp;";",""),IF(AND($G36&lt;Hta_17,$G36&gt;=Hba_17,Input!AB$37&lt;&gt;""),Input!$B$37&amp;";",""),IF(AND($G36&lt;Hta_18,$G36&gt;=Hba_18,Input!AB$38&lt;&gt;""),Input!$B$38&amp;";",""),IF(AND($G36&lt;Hta_19,$G36&gt;=Hba_19,Input!AB$39&lt;&gt;""),Input!$B$39&amp;";",""),IF(AND($G36&lt;Hta_20,$G36&gt;=Hba_20,Input!AB$40&lt;&gt;""),Input!$B$40&amp;";",""),IF(AND($G36&lt;Hta_21,$G36&gt;=Hba_21,Input!AB$41&lt;&gt;""),Input!$B$41&amp;";",""),IF(AND($G36&lt;Hta_22,$G36&gt;=Hba_22,Input!AB$42&lt;&gt;""),Input!$B$42&amp;";",""),IF(AND($G36&lt;Hta_23,$G36&gt;=Hba_23,Input!AB$43&lt;&gt;""),Input!$B$43&amp;";",""),IF(AND($G36&lt;Hta_24,$G36&gt;=Hba_24,Input!AB$44&lt;&gt;""),Input!$B$44&amp;";",""),IF(AND($G36&lt;Hta_25,$G36&gt;=Hba_25,Input!AB$45&lt;&gt;""),Input!$B$45&amp;";",""),IF(AND($G36&lt;Hta_26,$G36&gt;=Hba_26,Input!AB$46&lt;&gt;""),Input!$B$46&amp;";",""),IF(AND($G36&lt;Hta_27,$G36&gt;=Hba_27,Input!AB$47&lt;&gt;""),Input!$B$47&amp;";",""),IF(AND($G36&lt;Hta_28,$G36&gt;=Hba_28,Input!AB$48&lt;&gt;""),Input!$B$48&amp;";",""),IF(AND($G36&lt;Hta_29,$G36&gt;=Hba_29,Input!AB$49&lt;&gt;""),Input!$B$49&amp;";",""),IF(AND($G36&lt;Hta_30,$G36&gt;=Hba_30,Input!AB$50&lt;&gt;""),Input!$B$50&amp;";","")),"")</f>
        <v/>
      </c>
      <c r="CD36" s="25" t="str">
        <f>IFERROR(CONCATENATE(IF(AND($G36&lt;Hta_1,$G36&gt;=Hba_1,Input!AC$21&lt;&gt;""),Input!$B$21&amp;";",""),IF(AND($G36&lt;Hta_2,$G36&gt;=Hba_2,Input!AC$22&lt;&gt;""),Input!$B$22&amp;";",""),IF(AND($G36&lt;Hta_3,$G36&gt;=Hba_3,Input!AC$23&lt;&gt;""),Input!$B$23&amp;";",""),IF(AND($G36&lt;Hta_4,$G36&gt;=Hba_4,Input!AC$24&lt;&gt;""),Input!$B$24&amp;";",""),IF(AND($G36&lt;Hta_5,$G36&gt;=Hba_5,Input!AC$25&lt;&gt;""),Input!$B$25&amp;";",""),IF(AND($G36&lt;Hta_6,$G36&gt;=Hba_6,Input!AC$26&lt;&gt;""),Input!$B$26&amp;";",""),IF(AND($G36&lt;Hta_7,$G36&gt;=Hba_7,Input!AC$27&lt;&gt;""),Input!$B$27&amp;";",""),IF(AND($G36&lt;Hta_8,$G36&gt;=Hba_8,Input!AC$28&lt;&gt;""),Input!$B$28&amp;";",""),IF(AND($G36&lt;Hta_9,$G36&gt;=Hba_9,Input!AC$29&lt;&gt;""),Input!$B$29&amp;";",""),IF(AND($G36&lt;Hta_10,$G36&gt;=Hba_10,Input!AC$30&lt;&gt;""),Input!$B$30&amp;";",""),IF(AND($G36&lt;Hta_11,$G36&gt;=Hba_11,Input!AC$31&lt;&gt;""),Input!$B$31&amp;";",""),IF(AND($G36&lt;Hta_12,$G36&gt;=Hba_12,Input!AC$32&lt;&gt;""),Input!$B$32&amp;";",""),IF(AND($G36&lt;Hta_13,$G36&gt;=Hba_13,Input!AC$33&lt;&gt;""),Input!$B$33&amp;";",""),IF(AND($G36&lt;Hta_14,$G36&gt;=Hba_14,Input!AC$34&lt;&gt;""),Input!$B$34&amp;";",""),IF(AND($G36&lt;Hta_15,$G36&gt;=Hba_15,Input!AC$35&lt;&gt;""),Input!$B$35&amp;";",""),IF(AND($G36&lt;Hta_16,$G36&gt;=Hba_16,Input!AC$36&lt;&gt;""),Input!$B$36&amp;";",""),IF(AND($G36&lt;Hta_17,$G36&gt;=Hba_17,Input!AC$37&lt;&gt;""),Input!$B$37&amp;";",""),IF(AND($G36&lt;Hta_18,$G36&gt;=Hba_18,Input!AC$38&lt;&gt;""),Input!$B$38&amp;";",""),IF(AND($G36&lt;Hta_19,$G36&gt;=Hba_19,Input!AC$39&lt;&gt;""),Input!$B$39&amp;";",""),IF(AND($G36&lt;Hta_20,$G36&gt;=Hba_20,Input!AC$40&lt;&gt;""),Input!$B$40&amp;";",""),IF(AND($G36&lt;Hta_21,$G36&gt;=Hba_21,Input!AC$41&lt;&gt;""),Input!$B$41&amp;";",""),IF(AND($G36&lt;Hta_22,$G36&gt;=Hba_22,Input!AC$42&lt;&gt;""),Input!$B$42&amp;";",""),IF(AND($G36&lt;Hta_23,$G36&gt;=Hba_23,Input!AC$43&lt;&gt;""),Input!$B$43&amp;";",""),IF(AND($G36&lt;Hta_24,$G36&gt;=Hba_24,Input!AC$44&lt;&gt;""),Input!$B$44&amp;";",""),IF(AND($G36&lt;Hta_25,$G36&gt;=Hba_25,Input!AC$45&lt;&gt;""),Input!$B$45&amp;";",""),IF(AND($G36&lt;Hta_26,$G36&gt;=Hba_26,Input!AC$46&lt;&gt;""),Input!$B$46&amp;";",""),IF(AND($G36&lt;Hta_27,$G36&gt;=Hba_27,Input!AC$47&lt;&gt;""),Input!$B$47&amp;";",""),IF(AND($G36&lt;Hta_28,$G36&gt;=Hba_28,Input!AC$48&lt;&gt;""),Input!$B$48&amp;";",""),IF(AND($G36&lt;Hta_29,$G36&gt;=Hba_29,Input!AC$49&lt;&gt;""),Input!$B$49&amp;";",""),IF(AND($G36&lt;Hta_30,$G36&gt;=Hba_30,Input!AC$50&lt;&gt;""),Input!$B$50&amp;";","")),"")</f>
        <v/>
      </c>
      <c r="CE36" s="25" t="str">
        <f>IFERROR(CONCATENATE(IF(AND($G36&lt;Hta_1,$G36&gt;=Hba_1,Input!AD$21&lt;&gt;""),Input!$B$21&amp;";",""),IF(AND($G36&lt;Hta_2,$G36&gt;=Hba_2,Input!AD$22&lt;&gt;""),Input!$B$22&amp;";",""),IF(AND($G36&lt;Hta_3,$G36&gt;=Hba_3,Input!AD$23&lt;&gt;""),Input!$B$23&amp;";",""),IF(AND($G36&lt;Hta_4,$G36&gt;=Hba_4,Input!AD$24&lt;&gt;""),Input!$B$24&amp;";",""),IF(AND($G36&lt;Hta_5,$G36&gt;=Hba_5,Input!AD$25&lt;&gt;""),Input!$B$25&amp;";",""),IF(AND($G36&lt;Hta_6,$G36&gt;=Hba_6,Input!AD$26&lt;&gt;""),Input!$B$26&amp;";",""),IF(AND($G36&lt;Hta_7,$G36&gt;=Hba_7,Input!AD$27&lt;&gt;""),Input!$B$27&amp;";",""),IF(AND($G36&lt;Hta_8,$G36&gt;=Hba_8,Input!AD$28&lt;&gt;""),Input!$B$28&amp;";",""),IF(AND($G36&lt;Hta_9,$G36&gt;=Hba_9,Input!AD$29&lt;&gt;""),Input!$B$29&amp;";",""),IF(AND($G36&lt;Hta_10,$G36&gt;=Hba_10,Input!AD$30&lt;&gt;""),Input!$B$30&amp;";",""),IF(AND($G36&lt;Hta_11,$G36&gt;=Hba_11,Input!AD$31&lt;&gt;""),Input!$B$31&amp;";",""),IF(AND($G36&lt;Hta_12,$G36&gt;=Hba_12,Input!AD$32&lt;&gt;""),Input!$B$32&amp;";",""),IF(AND($G36&lt;Hta_13,$G36&gt;=Hba_13,Input!AD$33&lt;&gt;""),Input!$B$33&amp;";",""),IF(AND($G36&lt;Hta_14,$G36&gt;=Hba_14,Input!AD$34&lt;&gt;""),Input!$B$34&amp;";",""),IF(AND($G36&lt;Hta_15,$G36&gt;=Hba_15,Input!AD$35&lt;&gt;""),Input!$B$35&amp;";",""),IF(AND($G36&lt;Hta_16,$G36&gt;=Hba_16,Input!AD$36&lt;&gt;""),Input!$B$36&amp;";",""),IF(AND($G36&lt;Hta_17,$G36&gt;=Hba_17,Input!AD$37&lt;&gt;""),Input!$B$37&amp;";",""),IF(AND($G36&lt;Hta_18,$G36&gt;=Hba_18,Input!AD$38&lt;&gt;""),Input!$B$38&amp;";",""),IF(AND($G36&lt;Hta_19,$G36&gt;=Hba_19,Input!AD$39&lt;&gt;""),Input!$B$39&amp;";",""),IF(AND($G36&lt;Hta_20,$G36&gt;=Hba_20,Input!AD$40&lt;&gt;""),Input!$B$40&amp;";",""),IF(AND($G36&lt;Hta_21,$G36&gt;=Hba_21,Input!AD$41&lt;&gt;""),Input!$B$41&amp;";",""),IF(AND($G36&lt;Hta_22,$G36&gt;=Hba_22,Input!AD$42&lt;&gt;""),Input!$B$42&amp;";",""),IF(AND($G36&lt;Hta_23,$G36&gt;=Hba_23,Input!AD$43&lt;&gt;""),Input!$B$43&amp;";",""),IF(AND($G36&lt;Hta_24,$G36&gt;=Hba_24,Input!AD$44&lt;&gt;""),Input!$B$44&amp;";",""),IF(AND($G36&lt;Hta_25,$G36&gt;=Hba_25,Input!AD$45&lt;&gt;""),Input!$B$45&amp;";",""),IF(AND($G36&lt;Hta_26,$G36&gt;=Hba_26,Input!AD$46&lt;&gt;""),Input!$B$46&amp;";",""),IF(AND($G36&lt;Hta_27,$G36&gt;=Hba_27,Input!AD$47&lt;&gt;""),Input!$B$47&amp;";",""),IF(AND($G36&lt;Hta_28,$G36&gt;=Hba_28,Input!AD$48&lt;&gt;""),Input!$B$48&amp;";",""),IF(AND($G36&lt;Hta_29,$G36&gt;=Hba_29,Input!AD$49&lt;&gt;""),Input!$B$49&amp;";",""),IF(AND($G36&lt;Hta_30,$G36&gt;=Hba_30,Input!AD$50&lt;&gt;""),Input!$B$50&amp;";","")),"")</f>
        <v/>
      </c>
      <c r="CF36" s="25" t="str">
        <f>IFERROR(CONCATENATE(IF(AND($G36&lt;Hta_1,$G36&gt;=Hba_1,Input!AE$21&lt;&gt;""),Input!$B$21&amp;";",""),IF(AND($G36&lt;Hta_2,$G36&gt;=Hba_2,Input!AE$22&lt;&gt;""),Input!$B$22&amp;";",""),IF(AND($G36&lt;Hta_3,$G36&gt;=Hba_3,Input!AE$23&lt;&gt;""),Input!$B$23&amp;";",""),IF(AND($G36&lt;Hta_4,$G36&gt;=Hba_4,Input!AE$24&lt;&gt;""),Input!$B$24&amp;";",""),IF(AND($G36&lt;Hta_5,$G36&gt;=Hba_5,Input!AE$25&lt;&gt;""),Input!$B$25&amp;";",""),IF(AND($G36&lt;Hta_6,$G36&gt;=Hba_6,Input!AE$26&lt;&gt;""),Input!$B$26&amp;";",""),IF(AND($G36&lt;Hta_7,$G36&gt;=Hba_7,Input!AE$27&lt;&gt;""),Input!$B$27&amp;";",""),IF(AND($G36&lt;Hta_8,$G36&gt;=Hba_8,Input!AE$28&lt;&gt;""),Input!$B$28&amp;";",""),IF(AND($G36&lt;Hta_9,$G36&gt;=Hba_9,Input!AE$29&lt;&gt;""),Input!$B$29&amp;";",""),IF(AND($G36&lt;Hta_10,$G36&gt;=Hba_10,Input!AE$30&lt;&gt;""),Input!$B$30&amp;";",""),IF(AND($G36&lt;Hta_11,$G36&gt;=Hba_11,Input!AE$31&lt;&gt;""),Input!$B$31&amp;";",""),IF(AND($G36&lt;Hta_12,$G36&gt;=Hba_12,Input!AE$32&lt;&gt;""),Input!$B$32&amp;";",""),IF(AND($G36&lt;Hta_13,$G36&gt;=Hba_13,Input!AE$33&lt;&gt;""),Input!$B$33&amp;";",""),IF(AND($G36&lt;Hta_14,$G36&gt;=Hba_14,Input!AE$34&lt;&gt;""),Input!$B$34&amp;";",""),IF(AND($G36&lt;Hta_15,$G36&gt;=Hba_15,Input!AE$35&lt;&gt;""),Input!$B$35&amp;";",""),IF(AND($G36&lt;Hta_16,$G36&gt;=Hba_16,Input!AE$36&lt;&gt;""),Input!$B$36&amp;";",""),IF(AND($G36&lt;Hta_17,$G36&gt;=Hba_17,Input!AE$37&lt;&gt;""),Input!$B$37&amp;";",""),IF(AND($G36&lt;Hta_18,$G36&gt;=Hba_18,Input!AE$38&lt;&gt;""),Input!$B$38&amp;";",""),IF(AND($G36&lt;Hta_19,$G36&gt;=Hba_19,Input!AE$39&lt;&gt;""),Input!$B$39&amp;";",""),IF(AND($G36&lt;Hta_20,$G36&gt;=Hba_20,Input!AE$40&lt;&gt;""),Input!$B$40&amp;";",""),IF(AND($G36&lt;Hta_21,$G36&gt;=Hba_21,Input!AE$41&lt;&gt;""),Input!$B$41&amp;";",""),IF(AND($G36&lt;Hta_22,$G36&gt;=Hba_22,Input!AE$42&lt;&gt;""),Input!$B$42&amp;";",""),IF(AND($G36&lt;Hta_23,$G36&gt;=Hba_23,Input!AE$43&lt;&gt;""),Input!$B$43&amp;";",""),IF(AND($G36&lt;Hta_24,$G36&gt;=Hba_24,Input!AE$44&lt;&gt;""),Input!$B$44&amp;";",""),IF(AND($G36&lt;Hta_25,$G36&gt;=Hba_25,Input!AE$45&lt;&gt;""),Input!$B$45&amp;";",""),IF(AND($G36&lt;Hta_26,$G36&gt;=Hba_26,Input!AE$46&lt;&gt;""),Input!$B$46&amp;";",""),IF(AND($G36&lt;Hta_27,$G36&gt;=Hba_27,Input!AE$47&lt;&gt;""),Input!$B$47&amp;";",""),IF(AND($G36&lt;Hta_28,$G36&gt;=Hba_28,Input!AE$48&lt;&gt;""),Input!$B$48&amp;";",""),IF(AND($G36&lt;Hta_29,$G36&gt;=Hba_29,Input!AE$49&lt;&gt;""),Input!$B$49&amp;";",""),IF(AND($G36&lt;Hta_30,$G36&gt;=Hba_30,Input!AE$50&lt;&gt;""),Input!$B$50&amp;";","")),"")</f>
        <v/>
      </c>
      <c r="CG36" s="25" t="str">
        <f>IFERROR(CONCATENATE(IF(AND($G36&lt;Hta_1,$G36&gt;=Hba_1,Input!AF$21&lt;&gt;""),Input!$B$21&amp;";",""),IF(AND($G36&lt;Hta_2,$G36&gt;=Hba_2,Input!AF$22&lt;&gt;""),Input!$B$22&amp;";",""),IF(AND($G36&lt;Hta_3,$G36&gt;=Hba_3,Input!AF$23&lt;&gt;""),Input!$B$23&amp;";",""),IF(AND($G36&lt;Hta_4,$G36&gt;=Hba_4,Input!AF$24&lt;&gt;""),Input!$B$24&amp;";",""),IF(AND($G36&lt;Hta_5,$G36&gt;=Hba_5,Input!AF$25&lt;&gt;""),Input!$B$25&amp;";",""),IF(AND($G36&lt;Hta_6,$G36&gt;=Hba_6,Input!AF$26&lt;&gt;""),Input!$B$26&amp;";",""),IF(AND($G36&lt;Hta_7,$G36&gt;=Hba_7,Input!AF$27&lt;&gt;""),Input!$B$27&amp;";",""),IF(AND($G36&lt;Hta_8,$G36&gt;=Hba_8,Input!AF$28&lt;&gt;""),Input!$B$28&amp;";",""),IF(AND($G36&lt;Hta_9,$G36&gt;=Hba_9,Input!AF$29&lt;&gt;""),Input!$B$29&amp;";",""),IF(AND($G36&lt;Hta_10,$G36&gt;=Hba_10,Input!AF$30&lt;&gt;""),Input!$B$30&amp;";",""),IF(AND($G36&lt;Hta_11,$G36&gt;=Hba_11,Input!AF$31&lt;&gt;""),Input!$B$31&amp;";",""),IF(AND($G36&lt;Hta_12,$G36&gt;=Hba_12,Input!AF$32&lt;&gt;""),Input!$B$32&amp;";",""),IF(AND($G36&lt;Hta_13,$G36&gt;=Hba_13,Input!AF$33&lt;&gt;""),Input!$B$33&amp;";",""),IF(AND($G36&lt;Hta_14,$G36&gt;=Hba_14,Input!AF$34&lt;&gt;""),Input!$B$34&amp;";",""),IF(AND($G36&lt;Hta_15,$G36&gt;=Hba_15,Input!AF$35&lt;&gt;""),Input!$B$35&amp;";",""),IF(AND($G36&lt;Hta_16,$G36&gt;=Hba_16,Input!AF$36&lt;&gt;""),Input!$B$36&amp;";",""),IF(AND($G36&lt;Hta_17,$G36&gt;=Hba_17,Input!AF$37&lt;&gt;""),Input!$B$37&amp;";",""),IF(AND($G36&lt;Hta_18,$G36&gt;=Hba_18,Input!AF$38&lt;&gt;""),Input!$B$38&amp;";",""),IF(AND($G36&lt;Hta_19,$G36&gt;=Hba_19,Input!AF$39&lt;&gt;""),Input!$B$39&amp;";",""),IF(AND($G36&lt;Hta_20,$G36&gt;=Hba_20,Input!AF$40&lt;&gt;""),Input!$B$40&amp;";",""),IF(AND($G36&lt;Hta_21,$G36&gt;=Hba_21,Input!AF$41&lt;&gt;""),Input!$B$41&amp;";",""),IF(AND($G36&lt;Hta_22,$G36&gt;=Hba_22,Input!AF$42&lt;&gt;""),Input!$B$42&amp;";",""),IF(AND($G36&lt;Hta_23,$G36&gt;=Hba_23,Input!AF$43&lt;&gt;""),Input!$B$43&amp;";",""),IF(AND($G36&lt;Hta_24,$G36&gt;=Hba_24,Input!AF$44&lt;&gt;""),Input!$B$44&amp;";",""),IF(AND($G36&lt;Hta_25,$G36&gt;=Hba_25,Input!AF$45&lt;&gt;""),Input!$B$45&amp;";",""),IF(AND($G36&lt;Hta_26,$G36&gt;=Hba_26,Input!AF$46&lt;&gt;""),Input!$B$46&amp;";",""),IF(AND($G36&lt;Hta_27,$G36&gt;=Hba_27,Input!AF$47&lt;&gt;""),Input!$B$47&amp;";",""),IF(AND($G36&lt;Hta_28,$G36&gt;=Hba_28,Input!AF$48&lt;&gt;""),Input!$B$48&amp;";",""),IF(AND($G36&lt;Hta_29,$G36&gt;=Hba_29,Input!AF$49&lt;&gt;""),Input!$B$49&amp;";",""),IF(AND($G36&lt;Hta_30,$G36&gt;=Hba_30,Input!AF$50&lt;&gt;""),Input!$B$50&amp;";","")),"")</f>
        <v/>
      </c>
      <c r="CH36" s="25" t="str">
        <f>IFERROR(CONCATENATE(IF(AND($G36&lt;Hta_1,$G36&gt;=Hba_1,Input!AG$21&lt;&gt;""),Input!$B$21&amp;";",""),IF(AND($G36&lt;Hta_2,$G36&gt;=Hba_2,Input!AG$22&lt;&gt;""),Input!$B$22&amp;";",""),IF(AND($G36&lt;Hta_3,$G36&gt;=Hba_3,Input!AG$23&lt;&gt;""),Input!$B$23&amp;";",""),IF(AND($G36&lt;Hta_4,$G36&gt;=Hba_4,Input!AG$24&lt;&gt;""),Input!$B$24&amp;";",""),IF(AND($G36&lt;Hta_5,$G36&gt;=Hba_5,Input!AG$25&lt;&gt;""),Input!$B$25&amp;";",""),IF(AND($G36&lt;Hta_6,$G36&gt;=Hba_6,Input!AG$26&lt;&gt;""),Input!$B$26&amp;";",""),IF(AND($G36&lt;Hta_7,$G36&gt;=Hba_7,Input!AG$27&lt;&gt;""),Input!$B$27&amp;";",""),IF(AND($G36&lt;Hta_8,$G36&gt;=Hba_8,Input!AG$28&lt;&gt;""),Input!$B$28&amp;";",""),IF(AND($G36&lt;Hta_9,$G36&gt;=Hba_9,Input!AG$29&lt;&gt;""),Input!$B$29&amp;";",""),IF(AND($G36&lt;Hta_10,$G36&gt;=Hba_10,Input!AG$30&lt;&gt;""),Input!$B$30&amp;";",""),IF(AND($G36&lt;Hta_11,$G36&gt;=Hba_11,Input!AG$31&lt;&gt;""),Input!$B$31&amp;";",""),IF(AND($G36&lt;Hta_12,$G36&gt;=Hba_12,Input!AG$32&lt;&gt;""),Input!$B$32&amp;";",""),IF(AND($G36&lt;Hta_13,$G36&gt;=Hba_13,Input!AG$33&lt;&gt;""),Input!$B$33&amp;";",""),IF(AND($G36&lt;Hta_14,$G36&gt;=Hba_14,Input!AG$34&lt;&gt;""),Input!$B$34&amp;";",""),IF(AND($G36&lt;Hta_15,$G36&gt;=Hba_15,Input!AG$35&lt;&gt;""),Input!$B$35&amp;";",""),IF(AND($G36&lt;Hta_16,$G36&gt;=Hba_16,Input!AG$36&lt;&gt;""),Input!$B$36&amp;";",""),IF(AND($G36&lt;Hta_17,$G36&gt;=Hba_17,Input!AG$37&lt;&gt;""),Input!$B$37&amp;";",""),IF(AND($G36&lt;Hta_18,$G36&gt;=Hba_18,Input!AG$38&lt;&gt;""),Input!$B$38&amp;";",""),IF(AND($G36&lt;Hta_19,$G36&gt;=Hba_19,Input!AG$39&lt;&gt;""),Input!$B$39&amp;";",""),IF(AND($G36&lt;Hta_20,$G36&gt;=Hba_20,Input!AG$40&lt;&gt;""),Input!$B$40&amp;";",""),IF(AND($G36&lt;Hta_21,$G36&gt;=Hba_21,Input!AG$41&lt;&gt;""),Input!$B$41&amp;";",""),IF(AND($G36&lt;Hta_22,$G36&gt;=Hba_22,Input!AG$42&lt;&gt;""),Input!$B$42&amp;";",""),IF(AND($G36&lt;Hta_23,$G36&gt;=Hba_23,Input!AG$43&lt;&gt;""),Input!$B$43&amp;";",""),IF(AND($G36&lt;Hta_24,$G36&gt;=Hba_24,Input!AG$44&lt;&gt;""),Input!$B$44&amp;";",""),IF(AND($G36&lt;Hta_25,$G36&gt;=Hba_25,Input!AG$45&lt;&gt;""),Input!$B$45&amp;";",""),IF(AND($G36&lt;Hta_26,$G36&gt;=Hba_26,Input!AG$46&lt;&gt;""),Input!$B$46&amp;";",""),IF(AND($G36&lt;Hta_27,$G36&gt;=Hba_27,Input!AG$47&lt;&gt;""),Input!$B$47&amp;";",""),IF(AND($G36&lt;Hta_28,$G36&gt;=Hba_28,Input!AG$48&lt;&gt;""),Input!$B$48&amp;";",""),IF(AND($G36&lt;Hta_29,$G36&gt;=Hba_29,Input!AG$49&lt;&gt;""),Input!$B$49&amp;";",""),IF(AND($G36&lt;Hta_30,$G36&gt;=Hba_30,Input!AG$50&lt;&gt;""),Input!$B$50&amp;";","")),"")</f>
        <v/>
      </c>
      <c r="CI36" s="25" t="str">
        <f>IFERROR(CONCATENATE(IF(AND($G36&lt;Hta_1,$G36&gt;=Hba_1,Input!AH$21&lt;&gt;""),Input!$B$21&amp;";",""),IF(AND($G36&lt;Hta_2,$G36&gt;=Hba_2,Input!AH$22&lt;&gt;""),Input!$B$22&amp;";",""),IF(AND($G36&lt;Hta_3,$G36&gt;=Hba_3,Input!AH$23&lt;&gt;""),Input!$B$23&amp;";",""),IF(AND($G36&lt;Hta_4,$G36&gt;=Hba_4,Input!AH$24&lt;&gt;""),Input!$B$24&amp;";",""),IF(AND($G36&lt;Hta_5,$G36&gt;=Hba_5,Input!AH$25&lt;&gt;""),Input!$B$25&amp;";",""),IF(AND($G36&lt;Hta_6,$G36&gt;=Hba_6,Input!AH$26&lt;&gt;""),Input!$B$26&amp;";",""),IF(AND($G36&lt;Hta_7,$G36&gt;=Hba_7,Input!AH$27&lt;&gt;""),Input!$B$27&amp;";",""),IF(AND($G36&lt;Hta_8,$G36&gt;=Hba_8,Input!AH$28&lt;&gt;""),Input!$B$28&amp;";",""),IF(AND($G36&lt;Hta_9,$G36&gt;=Hba_9,Input!AH$29&lt;&gt;""),Input!$B$29&amp;";",""),IF(AND($G36&lt;Hta_10,$G36&gt;=Hba_10,Input!AH$30&lt;&gt;""),Input!$B$30&amp;";",""),IF(AND($G36&lt;Hta_11,$G36&gt;=Hba_11,Input!AH$31&lt;&gt;""),Input!$B$31&amp;";",""),IF(AND($G36&lt;Hta_12,$G36&gt;=Hba_12,Input!AH$32&lt;&gt;""),Input!$B$32&amp;";",""),IF(AND($G36&lt;Hta_13,$G36&gt;=Hba_13,Input!AH$33&lt;&gt;""),Input!$B$33&amp;";",""),IF(AND($G36&lt;Hta_14,$G36&gt;=Hba_14,Input!AH$34&lt;&gt;""),Input!$B$34&amp;";",""),IF(AND($G36&lt;Hta_15,$G36&gt;=Hba_15,Input!AH$35&lt;&gt;""),Input!$B$35&amp;";",""),IF(AND($G36&lt;Hta_16,$G36&gt;=Hba_16,Input!AH$36&lt;&gt;""),Input!$B$36&amp;";",""),IF(AND($G36&lt;Hta_17,$G36&gt;=Hba_17,Input!AH$37&lt;&gt;""),Input!$B$37&amp;";",""),IF(AND($G36&lt;Hta_18,$G36&gt;=Hba_18,Input!AH$38&lt;&gt;""),Input!$B$38&amp;";",""),IF(AND($G36&lt;Hta_19,$G36&gt;=Hba_19,Input!AH$39&lt;&gt;""),Input!$B$39&amp;";",""),IF(AND($G36&lt;Hta_20,$G36&gt;=Hba_20,Input!AH$40&lt;&gt;""),Input!$B$40&amp;";",""),IF(AND($G36&lt;Hta_21,$G36&gt;=Hba_21,Input!AH$41&lt;&gt;""),Input!$B$41&amp;";",""),IF(AND($G36&lt;Hta_22,$G36&gt;=Hba_22,Input!AH$42&lt;&gt;""),Input!$B$42&amp;";",""),IF(AND($G36&lt;Hta_23,$G36&gt;=Hba_23,Input!AH$43&lt;&gt;""),Input!$B$43&amp;";",""),IF(AND($G36&lt;Hta_24,$G36&gt;=Hba_24,Input!AH$44&lt;&gt;""),Input!$B$44&amp;";",""),IF(AND($G36&lt;Hta_25,$G36&gt;=Hba_25,Input!AH$45&lt;&gt;""),Input!$B$45&amp;";",""),IF(AND($G36&lt;Hta_26,$G36&gt;=Hba_26,Input!AH$46&lt;&gt;""),Input!$B$46&amp;";",""),IF(AND($G36&lt;Hta_27,$G36&gt;=Hba_27,Input!AH$47&lt;&gt;""),Input!$B$47&amp;";",""),IF(AND($G36&lt;Hta_28,$G36&gt;=Hba_28,Input!AH$48&lt;&gt;""),Input!$B$48&amp;";",""),IF(AND($G36&lt;Hta_29,$G36&gt;=Hba_29,Input!AH$49&lt;&gt;""),Input!$B$49&amp;";",""),IF(AND($G36&lt;Hta_30,$G36&gt;=Hba_30,Input!AH$50&lt;&gt;""),Input!$B$50&amp;";","")),"")</f>
        <v/>
      </c>
      <c r="CJ36" s="25" t="str">
        <f>IFERROR(CONCATENATE(IF(AND($G36&lt;Hta_1,$G36&gt;=Hba_1,Input!AI$21&lt;&gt;""),Input!$B$21&amp;";",""),IF(AND($G36&lt;Hta_2,$G36&gt;=Hba_2,Input!AI$22&lt;&gt;""),Input!$B$22&amp;";",""),IF(AND($G36&lt;Hta_3,$G36&gt;=Hba_3,Input!AI$23&lt;&gt;""),Input!$B$23&amp;";",""),IF(AND($G36&lt;Hta_4,$G36&gt;=Hba_4,Input!AI$24&lt;&gt;""),Input!$B$24&amp;";",""),IF(AND($G36&lt;Hta_5,$G36&gt;=Hba_5,Input!AI$25&lt;&gt;""),Input!$B$25&amp;";",""),IF(AND($G36&lt;Hta_6,$G36&gt;=Hba_6,Input!AI$26&lt;&gt;""),Input!$B$26&amp;";",""),IF(AND($G36&lt;Hta_7,$G36&gt;=Hba_7,Input!AI$27&lt;&gt;""),Input!$B$27&amp;";",""),IF(AND($G36&lt;Hta_8,$G36&gt;=Hba_8,Input!AI$28&lt;&gt;""),Input!$B$28&amp;";",""),IF(AND($G36&lt;Hta_9,$G36&gt;=Hba_9,Input!AI$29&lt;&gt;""),Input!$B$29&amp;";",""),IF(AND($G36&lt;Hta_10,$G36&gt;=Hba_10,Input!AI$30&lt;&gt;""),Input!$B$30&amp;";",""),IF(AND($G36&lt;Hta_11,$G36&gt;=Hba_11,Input!AI$31&lt;&gt;""),Input!$B$31&amp;";",""),IF(AND($G36&lt;Hta_12,$G36&gt;=Hba_12,Input!AI$32&lt;&gt;""),Input!$B$32&amp;";",""),IF(AND($G36&lt;Hta_13,$G36&gt;=Hba_13,Input!AI$33&lt;&gt;""),Input!$B$33&amp;";",""),IF(AND($G36&lt;Hta_14,$G36&gt;=Hba_14,Input!AI$34&lt;&gt;""),Input!$B$34&amp;";",""),IF(AND($G36&lt;Hta_15,$G36&gt;=Hba_15,Input!AI$35&lt;&gt;""),Input!$B$35&amp;";",""),IF(AND($G36&lt;Hta_16,$G36&gt;=Hba_16,Input!AI$36&lt;&gt;""),Input!$B$36&amp;";",""),IF(AND($G36&lt;Hta_17,$G36&gt;=Hba_17,Input!AI$37&lt;&gt;""),Input!$B$37&amp;";",""),IF(AND($G36&lt;Hta_18,$G36&gt;=Hba_18,Input!AI$38&lt;&gt;""),Input!$B$38&amp;";",""),IF(AND($G36&lt;Hta_19,$G36&gt;=Hba_19,Input!AI$39&lt;&gt;""),Input!$B$39&amp;";",""),IF(AND($G36&lt;Hta_20,$G36&gt;=Hba_20,Input!AI$40&lt;&gt;""),Input!$B$40&amp;";",""),IF(AND($G36&lt;Hta_21,$G36&gt;=Hba_21,Input!AI$41&lt;&gt;""),Input!$B$41&amp;";",""),IF(AND($G36&lt;Hta_22,$G36&gt;=Hba_22,Input!AI$42&lt;&gt;""),Input!$B$42&amp;";",""),IF(AND($G36&lt;Hta_23,$G36&gt;=Hba_23,Input!AI$43&lt;&gt;""),Input!$B$43&amp;";",""),IF(AND($G36&lt;Hta_24,$G36&gt;=Hba_24,Input!AI$44&lt;&gt;""),Input!$B$44&amp;";",""),IF(AND($G36&lt;Hta_25,$G36&gt;=Hba_25,Input!AI$45&lt;&gt;""),Input!$B$45&amp;";",""),IF(AND($G36&lt;Hta_26,$G36&gt;=Hba_26,Input!AI$46&lt;&gt;""),Input!$B$46&amp;";",""),IF(AND($G36&lt;Hta_27,$G36&gt;=Hba_27,Input!AI$47&lt;&gt;""),Input!$B$47&amp;";",""),IF(AND($G36&lt;Hta_28,$G36&gt;=Hba_28,Input!AI$48&lt;&gt;""),Input!$B$48&amp;";",""),IF(AND($G36&lt;Hta_29,$G36&gt;=Hba_29,Input!AI$49&lt;&gt;""),Input!$B$49&amp;";",""),IF(AND($G36&lt;Hta_30,$G36&gt;=Hba_30,Input!AI$50&lt;&gt;""),Input!$B$50&amp;";","")),"")</f>
        <v/>
      </c>
      <c r="CK36" s="25" t="str">
        <f>IFERROR(CONCATENATE(IF(AND($G36&lt;Hta_1,$G36&gt;=Hba_1,Input!AJ$21&lt;&gt;""),Input!$B$21&amp;";",""),IF(AND($G36&lt;Hta_2,$G36&gt;=Hba_2,Input!AJ$22&lt;&gt;""),Input!$B$22&amp;";",""),IF(AND($G36&lt;Hta_3,$G36&gt;=Hba_3,Input!AJ$23&lt;&gt;""),Input!$B$23&amp;";",""),IF(AND($G36&lt;Hta_4,$G36&gt;=Hba_4,Input!AJ$24&lt;&gt;""),Input!$B$24&amp;";",""),IF(AND($G36&lt;Hta_5,$G36&gt;=Hba_5,Input!AJ$25&lt;&gt;""),Input!$B$25&amp;";",""),IF(AND($G36&lt;Hta_6,$G36&gt;=Hba_6,Input!AJ$26&lt;&gt;""),Input!$B$26&amp;";",""),IF(AND($G36&lt;Hta_7,$G36&gt;=Hba_7,Input!AJ$27&lt;&gt;""),Input!$B$27&amp;";",""),IF(AND($G36&lt;Hta_8,$G36&gt;=Hba_8,Input!AJ$28&lt;&gt;""),Input!$B$28&amp;";",""),IF(AND($G36&lt;Hta_9,$G36&gt;=Hba_9,Input!AJ$29&lt;&gt;""),Input!$B$29&amp;";",""),IF(AND($G36&lt;Hta_10,$G36&gt;=Hba_10,Input!AJ$30&lt;&gt;""),Input!$B$30&amp;";",""),IF(AND($G36&lt;Hta_11,$G36&gt;=Hba_11,Input!AJ$31&lt;&gt;""),Input!$B$31&amp;";",""),IF(AND($G36&lt;Hta_12,$G36&gt;=Hba_12,Input!AJ$32&lt;&gt;""),Input!$B$32&amp;";",""),IF(AND($G36&lt;Hta_13,$G36&gt;=Hba_13,Input!AJ$33&lt;&gt;""),Input!$B$33&amp;";",""),IF(AND($G36&lt;Hta_14,$G36&gt;=Hba_14,Input!AJ$34&lt;&gt;""),Input!$B$34&amp;";",""),IF(AND($G36&lt;Hta_15,$G36&gt;=Hba_15,Input!AJ$35&lt;&gt;""),Input!$B$35&amp;";",""),IF(AND($G36&lt;Hta_16,$G36&gt;=Hba_16,Input!AJ$36&lt;&gt;""),Input!$B$36&amp;";",""),IF(AND($G36&lt;Hta_17,$G36&gt;=Hba_17,Input!AJ$37&lt;&gt;""),Input!$B$37&amp;";",""),IF(AND($G36&lt;Hta_18,$G36&gt;=Hba_18,Input!AJ$38&lt;&gt;""),Input!$B$38&amp;";",""),IF(AND($G36&lt;Hta_19,$G36&gt;=Hba_19,Input!AJ$39&lt;&gt;""),Input!$B$39&amp;";",""),IF(AND($G36&lt;Hta_20,$G36&gt;=Hba_20,Input!AJ$40&lt;&gt;""),Input!$B$40&amp;";",""),IF(AND($G36&lt;Hta_21,$G36&gt;=Hba_21,Input!AJ$41&lt;&gt;""),Input!$B$41&amp;";",""),IF(AND($G36&lt;Hta_22,$G36&gt;=Hba_22,Input!AJ$42&lt;&gt;""),Input!$B$42&amp;";",""),IF(AND($G36&lt;Hta_23,$G36&gt;=Hba_23,Input!AJ$43&lt;&gt;""),Input!$B$43&amp;";",""),IF(AND($G36&lt;Hta_24,$G36&gt;=Hba_24,Input!AJ$44&lt;&gt;""),Input!$B$44&amp;";",""),IF(AND($G36&lt;Hta_25,$G36&gt;=Hba_25,Input!AJ$45&lt;&gt;""),Input!$B$45&amp;";",""),IF(AND($G36&lt;Hta_26,$G36&gt;=Hba_26,Input!AJ$46&lt;&gt;""),Input!$B$46&amp;";",""),IF(AND($G36&lt;Hta_27,$G36&gt;=Hba_27,Input!AJ$47&lt;&gt;""),Input!$B$47&amp;";",""),IF(AND($G36&lt;Hta_28,$G36&gt;=Hba_28,Input!AJ$48&lt;&gt;""),Input!$B$48&amp;";",""),IF(AND($G36&lt;Hta_29,$G36&gt;=Hba_29,Input!AJ$49&lt;&gt;""),Input!$B$49&amp;";",""),IF(AND($G36&lt;Hta_30,$G36&gt;=Hba_30,Input!AJ$50&lt;&gt;""),Input!$B$50&amp;";","")),"")</f>
        <v/>
      </c>
      <c r="CL36" s="25" t="str">
        <f>IFERROR(CONCATENATE(IF(AND($G36&lt;Hta_1,$G36&gt;=Hba_1,Input!AK$21&lt;&gt;""),Input!$B$21&amp;";",""),IF(AND($G36&lt;Hta_2,$G36&gt;=Hba_2,Input!AK$22&lt;&gt;""),Input!$B$22&amp;";",""),IF(AND($G36&lt;Hta_3,$G36&gt;=Hba_3,Input!AK$23&lt;&gt;""),Input!$B$23&amp;";",""),IF(AND($G36&lt;Hta_4,$G36&gt;=Hba_4,Input!AK$24&lt;&gt;""),Input!$B$24&amp;";",""),IF(AND($G36&lt;Hta_5,$G36&gt;=Hba_5,Input!AK$25&lt;&gt;""),Input!$B$25&amp;";",""),IF(AND($G36&lt;Hta_6,$G36&gt;=Hba_6,Input!AK$26&lt;&gt;""),Input!$B$26&amp;";",""),IF(AND($G36&lt;Hta_7,$G36&gt;=Hba_7,Input!AK$27&lt;&gt;""),Input!$B$27&amp;";",""),IF(AND($G36&lt;Hta_8,$G36&gt;=Hba_8,Input!AK$28&lt;&gt;""),Input!$B$28&amp;";",""),IF(AND($G36&lt;Hta_9,$G36&gt;=Hba_9,Input!AK$29&lt;&gt;""),Input!$B$29&amp;";",""),IF(AND($G36&lt;Hta_10,$G36&gt;=Hba_10,Input!AK$30&lt;&gt;""),Input!$B$30&amp;";",""),IF(AND($G36&lt;Hta_11,$G36&gt;=Hba_11,Input!AK$31&lt;&gt;""),Input!$B$31&amp;";",""),IF(AND($G36&lt;Hta_12,$G36&gt;=Hba_12,Input!AK$32&lt;&gt;""),Input!$B$32&amp;";",""),IF(AND($G36&lt;Hta_13,$G36&gt;=Hba_13,Input!AK$33&lt;&gt;""),Input!$B$33&amp;";",""),IF(AND($G36&lt;Hta_14,$G36&gt;=Hba_14,Input!AK$34&lt;&gt;""),Input!$B$34&amp;";",""),IF(AND($G36&lt;Hta_15,$G36&gt;=Hba_15,Input!AK$35&lt;&gt;""),Input!$B$35&amp;";",""),IF(AND($G36&lt;Hta_16,$G36&gt;=Hba_16,Input!AK$36&lt;&gt;""),Input!$B$36&amp;";",""),IF(AND($G36&lt;Hta_17,$G36&gt;=Hba_17,Input!AK$37&lt;&gt;""),Input!$B$37&amp;";",""),IF(AND($G36&lt;Hta_18,$G36&gt;=Hba_18,Input!AK$38&lt;&gt;""),Input!$B$38&amp;";",""),IF(AND($G36&lt;Hta_19,$G36&gt;=Hba_19,Input!AK$39&lt;&gt;""),Input!$B$39&amp;";",""),IF(AND($G36&lt;Hta_20,$G36&gt;=Hba_20,Input!AK$40&lt;&gt;""),Input!$B$40&amp;";",""),IF(AND($G36&lt;Hta_21,$G36&gt;=Hba_21,Input!AK$41&lt;&gt;""),Input!$B$41&amp;";",""),IF(AND($G36&lt;Hta_22,$G36&gt;=Hba_22,Input!AK$42&lt;&gt;""),Input!$B$42&amp;";",""),IF(AND($G36&lt;Hta_23,$G36&gt;=Hba_23,Input!AK$43&lt;&gt;""),Input!$B$43&amp;";",""),IF(AND($G36&lt;Hta_24,$G36&gt;=Hba_24,Input!AK$44&lt;&gt;""),Input!$B$44&amp;";",""),IF(AND($G36&lt;Hta_25,$G36&gt;=Hba_25,Input!AK$45&lt;&gt;""),Input!$B$45&amp;";",""),IF(AND($G36&lt;Hta_26,$G36&gt;=Hba_26,Input!AK$46&lt;&gt;""),Input!$B$46&amp;";",""),IF(AND($G36&lt;Hta_27,$G36&gt;=Hba_27,Input!AK$47&lt;&gt;""),Input!$B$47&amp;";",""),IF(AND($G36&lt;Hta_28,$G36&gt;=Hba_28,Input!AK$48&lt;&gt;""),Input!$B$48&amp;";",""),IF(AND($G36&lt;Hta_29,$G36&gt;=Hba_29,Input!AK$49&lt;&gt;""),Input!$B$49&amp;";",""),IF(AND($G36&lt;Hta_30,$G36&gt;=Hba_30,Input!AK$50&lt;&gt;""),Input!$B$50&amp;";","")),"")</f>
        <v/>
      </c>
      <c r="CM36" s="25" t="str">
        <f>IFERROR(CONCATENATE(IF(AND($G36&lt;Hta_1,$G36&gt;=Hba_1,Input!AL$21&lt;&gt;""),Input!$B$21&amp;";",""),IF(AND($G36&lt;Hta_2,$G36&gt;=Hba_2,Input!AL$22&lt;&gt;""),Input!$B$22&amp;";",""),IF(AND($G36&lt;Hta_3,$G36&gt;=Hba_3,Input!AL$23&lt;&gt;""),Input!$B$23&amp;";",""),IF(AND($G36&lt;Hta_4,$G36&gt;=Hba_4,Input!AL$24&lt;&gt;""),Input!$B$24&amp;";",""),IF(AND($G36&lt;Hta_5,$G36&gt;=Hba_5,Input!AL$25&lt;&gt;""),Input!$B$25&amp;";",""),IF(AND($G36&lt;Hta_6,$G36&gt;=Hba_6,Input!AL$26&lt;&gt;""),Input!$B$26&amp;";",""),IF(AND($G36&lt;Hta_7,$G36&gt;=Hba_7,Input!AL$27&lt;&gt;""),Input!$B$27&amp;";",""),IF(AND($G36&lt;Hta_8,$G36&gt;=Hba_8,Input!AL$28&lt;&gt;""),Input!$B$28&amp;";",""),IF(AND($G36&lt;Hta_9,$G36&gt;=Hba_9,Input!AL$29&lt;&gt;""),Input!$B$29&amp;";",""),IF(AND($G36&lt;Hta_10,$G36&gt;=Hba_10,Input!AL$30&lt;&gt;""),Input!$B$30&amp;";",""),IF(AND($G36&lt;Hta_11,$G36&gt;=Hba_11,Input!AL$31&lt;&gt;""),Input!$B$31&amp;";",""),IF(AND($G36&lt;Hta_12,$G36&gt;=Hba_12,Input!AL$32&lt;&gt;""),Input!$B$32&amp;";",""),IF(AND($G36&lt;Hta_13,$G36&gt;=Hba_13,Input!AL$33&lt;&gt;""),Input!$B$33&amp;";",""),IF(AND($G36&lt;Hta_14,$G36&gt;=Hba_14,Input!AL$34&lt;&gt;""),Input!$B$34&amp;";",""),IF(AND($G36&lt;Hta_15,$G36&gt;=Hba_15,Input!AL$35&lt;&gt;""),Input!$B$35&amp;";",""),IF(AND($G36&lt;Hta_16,$G36&gt;=Hba_16,Input!AL$36&lt;&gt;""),Input!$B$36&amp;";",""),IF(AND($G36&lt;Hta_17,$G36&gt;=Hba_17,Input!AL$37&lt;&gt;""),Input!$B$37&amp;";",""),IF(AND($G36&lt;Hta_18,$G36&gt;=Hba_18,Input!AL$38&lt;&gt;""),Input!$B$38&amp;";",""),IF(AND($G36&lt;Hta_19,$G36&gt;=Hba_19,Input!AL$39&lt;&gt;""),Input!$B$39&amp;";",""),IF(AND($G36&lt;Hta_20,$G36&gt;=Hba_20,Input!AL$40&lt;&gt;""),Input!$B$40&amp;";",""),IF(AND($G36&lt;Hta_21,$G36&gt;=Hba_21,Input!AL$41&lt;&gt;""),Input!$B$41&amp;";",""),IF(AND($G36&lt;Hta_22,$G36&gt;=Hba_22,Input!AL$42&lt;&gt;""),Input!$B$42&amp;";",""),IF(AND($G36&lt;Hta_23,$G36&gt;=Hba_23,Input!AL$43&lt;&gt;""),Input!$B$43&amp;";",""),IF(AND($G36&lt;Hta_24,$G36&gt;=Hba_24,Input!AL$44&lt;&gt;""),Input!$B$44&amp;";",""),IF(AND($G36&lt;Hta_25,$G36&gt;=Hba_25,Input!AL$45&lt;&gt;""),Input!$B$45&amp;";",""),IF(AND($G36&lt;Hta_26,$G36&gt;=Hba_26,Input!AL$46&lt;&gt;""),Input!$B$46&amp;";",""),IF(AND($G36&lt;Hta_27,$G36&gt;=Hba_27,Input!AL$47&lt;&gt;""),Input!$B$47&amp;";",""),IF(AND($G36&lt;Hta_28,$G36&gt;=Hba_28,Input!AL$48&lt;&gt;""),Input!$B$48&amp;";",""),IF(AND($G36&lt;Hta_29,$G36&gt;=Hba_29,Input!AL$49&lt;&gt;""),Input!$B$49&amp;";",""),IF(AND($G36&lt;Hta_30,$G36&gt;=Hba_30,Input!AL$50&lt;&gt;""),Input!$B$50&amp;";","")),"")</f>
        <v/>
      </c>
      <c r="CN36" s="59" t="str">
        <f t="shared" si="6"/>
        <v/>
      </c>
      <c r="CO36" s="791"/>
      <c r="CP36" s="792"/>
      <c r="CQ36" s="793"/>
      <c r="CR36" s="791"/>
      <c r="CS36" s="792"/>
      <c r="CT36" s="793"/>
      <c r="CU36" s="791" t="str">
        <f t="shared" si="7"/>
        <v/>
      </c>
      <c r="CV36" s="792"/>
      <c r="CW36" s="807"/>
      <c r="CX36" s="808"/>
      <c r="CY36" s="730"/>
      <c r="CZ36" s="809"/>
      <c r="DA36" s="733"/>
      <c r="DB36" s="734"/>
      <c r="DC36" s="735"/>
      <c r="DD36" s="729" t="str">
        <f t="shared" si="8"/>
        <v/>
      </c>
      <c r="DE36" s="730"/>
      <c r="DF36" s="731"/>
      <c r="DG36" s="55"/>
      <c r="DH36" s="56"/>
      <c r="DI36" s="56"/>
      <c r="DJ36" s="56"/>
      <c r="DK36" s="56"/>
      <c r="DL36" s="56"/>
      <c r="DM36" s="56"/>
      <c r="DN36" s="56"/>
      <c r="DO36" s="56"/>
      <c r="DP36" s="56"/>
      <c r="DQ36" s="58"/>
      <c r="DR36" s="58"/>
      <c r="DS36" s="58"/>
      <c r="DT36" s="58"/>
      <c r="DU36" s="58"/>
      <c r="DV36" s="58"/>
      <c r="DW36" s="58"/>
      <c r="DX36" s="58"/>
      <c r="DY36" s="58"/>
      <c r="DZ36" s="58"/>
      <c r="EA36" s="58"/>
      <c r="EB36" s="58"/>
      <c r="EC36" s="58"/>
      <c r="ED36" s="58"/>
      <c r="EE36" s="58"/>
      <c r="EF36" s="58"/>
      <c r="EG36" s="58"/>
      <c r="EH36" s="58"/>
      <c r="EI36" s="58"/>
      <c r="EJ36" s="58"/>
      <c r="EK36" s="58"/>
      <c r="EL36" s="134"/>
      <c r="EM36" s="134"/>
      <c r="EN36" s="134"/>
      <c r="EO36" s="134"/>
      <c r="EP36" s="134"/>
      <c r="EQ36" s="134"/>
      <c r="ER36" s="134"/>
      <c r="ES36" s="134"/>
      <c r="ET36" s="134"/>
      <c r="EU36" s="134"/>
      <c r="EV36" s="134"/>
      <c r="EW36" s="134"/>
      <c r="EX36" s="134"/>
      <c r="EY36" s="134"/>
      <c r="EZ36" s="134"/>
      <c r="FA36" s="134"/>
      <c r="FB36" s="134"/>
      <c r="FC36" s="134"/>
      <c r="FD36" s="134"/>
      <c r="FE36" s="134"/>
      <c r="FF36" s="134"/>
      <c r="FG36" s="134"/>
      <c r="FH36" s="134"/>
      <c r="FI36" s="134"/>
      <c r="FJ36" s="134"/>
      <c r="FK36" s="134"/>
      <c r="FL36" s="134"/>
      <c r="FM36" s="134"/>
      <c r="FN36" s="134"/>
      <c r="FO36" s="134"/>
      <c r="FP36" s="65"/>
      <c r="FQ36" s="124"/>
      <c r="FR36" s="122"/>
      <c r="FS36" s="120"/>
      <c r="FT36" s="119"/>
    </row>
    <row r="37" spans="2:176" ht="15.75" hidden="1" customHeight="1" thickBot="1" x14ac:dyDescent="0.3">
      <c r="B37" s="62" t="b">
        <f>IF(OR(AND(G37&gt;='Geometry 2'!$AK$5,G37&lt;'Geometry 2'!$AL$5),AND(G37&gt;='Geometry 2'!$AK$6,G37&lt;'Geometry 2'!$AL$6),AND(G37&gt;='Geometry 2'!$AK$7,G37&lt;'Geometry 2'!$AL$7),AND(G37&gt;='Geometry 2'!$AK$8,G37&lt;'Geometry 2'!$AL$8),AND(G37&gt;='Geometry 2'!$AK$9,G37&lt;'Geometry 2'!$AL$9),AND(G37&gt;='Geometry 2'!$AK$10,G37&lt;'Geometry 2'!$AL$10),AND(G37&gt;='Geometry 2'!$AK$11,G37&lt;'Geometry 2'!$AL$11),AND(G37&gt;='Geometry 2'!$AK$12,G37&lt;'Geometry 2'!$AL$12),AND(G37&gt;='Geometry 2'!$AK$13,G37&lt;'Geometry 2'!$AL$13),AND(G37&gt;='Geometry 2'!$AK$14,G37&lt;'Geometry 2'!$AL$14)),TRUE,FALSE)</f>
        <v>0</v>
      </c>
      <c r="C37" s="4" t="str">
        <f t="shared" si="3"/>
        <v/>
      </c>
      <c r="D37" s="766" t="str">
        <f t="shared" si="4"/>
        <v/>
      </c>
      <c r="E37" s="767"/>
      <c r="F37" s="17" t="str">
        <f t="shared" si="2"/>
        <v/>
      </c>
      <c r="G37" s="768" t="str">
        <f>IF(D37="","",MAX(0,G36-IF(inc="n/a",999,inc),MAX(IF(G36&lt;=Hta_1,0,Hta_1),IF(G36&lt;=Hta_2,0,Hta_2),IF(G36&lt;=Hta_3,0,Hta_3),IF(G36&lt;=Hta_4,0,Hta_4),IF(G36&lt;=Hta_5,0,Hta_5),IF(G36&lt;=Hta_6,0,Hta_6),IF(G36&lt;=Hta_7,0,Hta_7),IF(G36&lt;=Hta_8,0,Hta_8),IF(G36&lt;=Hta_9,0,Hta_9),IF(G36&lt;=Hta_10,0,Hta_10),IF(G36&lt;=Hta_11,0,Hta_11),IF(G36&lt;=Hta_12,0,Hta_12),IF(G36&lt;=Hta_13,0,Hta_13),IF(G36&lt;=Hta_14,0,Hta_14),IF(G36&lt;=Hta_15,0,Hta_15),IF(G36&lt;=Hta_16,0,Hta_16),IF(G36&lt;=Hta_17,0,Hta_17),IF(G36&lt;=Hta_18,0,Hta_18),IF(G36&lt;=Hta_19,0,Hta_19),IF(G36&lt;=Hta_20,0,Hta_20),IF(G36&lt;=Hta_21,0,Hta_21),IF(G36&lt;=Hta_22,0,Hta_22),IF(G36&lt;=Hta_23,0,Hta_23),IF(G36&lt;=Hta_24,0,Hta_24),IF(G36&lt;=Hta_25,0,Hta_25),IF(G36&lt;=Hta_26,0,Hta_26),IF(G36&lt;=Hta_27,0,Hta_27),IF(G36&lt;=Hta_28,0,Hta_28),IF(G36&lt;=Hta_29,0,Hta_29),IF(G36&lt;=Hta_30,0,Hta_30)),MAX(IF(G36&lt;=Hta_1-0.25,0,Hta_1-0.25),IF(G36&lt;=Hta_2-0.25,0,Hta_2-0.25),IF(G36&lt;=Hta_3-0.25,0,Hta_3-0.25),IF(G36&lt;=Hta_4-0.25,0,Hta_4-0.25),IF(G36&lt;=Hta_5-0.25,0,Hta_5-0.25),IF(G36&lt;=Hta_6-0.25,0,Hta_6-0.25),IF(G36&lt;=Hta_7-0.25,0,Hta_7-0.25),IF(G36&lt;=Hta_8-0.25,0,Hta_8-0.25),IF(G36&lt;=Hta_9-0.25,0,Hta_9-0.25),IF(G36&lt;=Hta_10-0.25,0,Hta_10-0.25),IF(G36&lt;=Hta_11-0.25,0,Hta_11-0.25),IF(G36&lt;=Hta_12-0.25,0,Hta_12-0.25),IF(G36&lt;=Hta_13-0.25,0,Hta_13-0.25),IF(G36&lt;=Hta_14-0.25,0,Hta_14-0.25),IF(G36&lt;=Hta_15-0.25,0,Hta_15-0.25),IF(G36&lt;=Hta_16-0.25,0,Hta_16-0.25),IF(G36&lt;=Hta_17-0.25,0,Hta_17-0.25),IF(G36&lt;=Hta_18-0.25,0,Hta_18-0.25),IF(G36&lt;=Hta_19-0.25,0,Hta_19-0.25),IF(G36&lt;=Hta_20-0.25,0,Hta_20-0.25),IF(G36&lt;=Hta_21-0.25,0,Hta_21-0.25),IF(G36&lt;=Hta_22-0.25,0,Hta_22-0.25),IF(G36&lt;=Hta_23-0.25,0,Hta_23-0.25),IF(G36&lt;=Hta_24-0.25,0,Hta_24-0.25),IF(G36&lt;=Hta_25-0.25,0,Hta_25-0.25),IF(G36&lt;=Hta_26-0.25,0,Hta_26-0.25),IF(G36&lt;=Hta_27-0.25,0,Hta_27-0.25),IF(G36&lt;=Hta_28-0.25,0,Hta_28-0.25),IF(G36&lt;=Hta_29-0.25,0,Hta_29-0.25),IF(G36&lt;=Hta_30-0.25,0,Hta_30-0.25)),MAX(IF(G36&lt;=Hba_1,0,Hba_1),IF(G36&lt;=Hba_2,0,Hba_2),IF(G36&lt;=Hba_3,0,Hba_3),IF(G36&lt;=Hba_4,0,Hba_4),IF(G36&lt;=Hba_5,0,Hba_5),IF(G36&lt;=Hba_6,0,Hba_6),IF(G36&lt;=Hba_7,0,Hba_7),IF(G36&lt;=Hba_8,0,Hba_8),IF(G36&lt;=Hba_9,0,Hba_9),IF(G36&lt;=Hba_10,0,Hba_10),IF(G36&lt;=Hba_11,0,Hba_11),IF(G36&lt;=Hba_12,0,Hba_12),IF(G36&lt;=Hba_13,0,Hba_13),IF(G36&lt;=Hba_14,0,Hba_14),IF(G36&lt;=Hba_15,0,Hba_15),IF(G36&lt;=Hba_16,0,Hba_16),IF(G36&lt;=Hba_17,0,Hba_17),IF(G36&lt;=Hba_18,0,Hba_18),IF(G36&lt;=Hba_19,0,Hba_19),IF(G36&lt;=Hba_20,0,Hba_20),IF(G36&lt;=Hba_21,0,Hba_21),IF(G36&lt;=Hba_22,0,Hba_22),IF(G36&lt;=Hba_23,0,Hba_23),IF(G36&lt;=Hba_24,0,Hba_24),IF(G36&lt;=Hba_25,0,Hba_25),IF(G36&lt;=Hba_26,0,Hba_26),IF(G36&lt;=Hba_27,0,Hba_27),IF(G36&lt;=Hba_28,0,Hba_28),IF(G36&lt;=Hba_29,0,Hba_29),IF(G36&lt;=Hba_30,0,Hba_30)),MAX(IF(G36&lt;=Input!$C$8,0,Input!$C$8),IF(G36&lt;=Input!$C$9,0,Input!$C$9),IF(G36&lt;=Input!$C$10,0,Input!$C$10),IF(G36&lt;=Input!$C$11,0,Input!$C$11),IF(G36&lt;=Input!$C$12,0,Input!$C$12),IF(G36&lt;=Input!$C$13,0,Input!$C$13),IF(G36&lt;=Input!$C$14,0,Input!$C$14),IF(G36&lt;=Input!$C$15,0,Input!$C$15),IF(G36&lt;=Input!$C$16,0,Input!$C$16)),MAX(IF(G36&lt;=Hba_1-0.25,0,Hba_1-0.25),IF(G36&lt;=Hba_2-0.25,0,Hba_2-0.25),IF(G36&lt;=Hba_3-0.25,0,Hba_3-0.25),IF(G36&lt;=Hba_4-0.25,0,Hba_4-0.25),IF(G36&lt;=Hba_5-0.25,0,Hba_5-0.25),IF(G36&lt;=Hba_6-0.25,0,Hba_6-0.25),IF(G36&lt;=Hba_7-0.25,0,Hba_7-0.25),IF(G36&lt;=Hba_8-0.25,0,Hba_8-0.25),IF(G36&lt;=Hba_9-0.25,0,Hba_9-0.25),IF(G36&lt;=Hba_10-0.25,0,Hba_10-0.25),IF(G36&lt;=Hba_11-0.25,0,Hba_11-0.25),IF(G36&lt;=Hba_12-0.25,0,Hba_12-0.25),IF(G36&lt;=Hba_13-0.25,0,Hba_13-0.25),IF(G36&lt;=Hba_14-0.25,0,Hba_14-0.25),IF(G36&lt;=Hba_15-0.25,0,Hba_15-0.25),IF(G36&lt;=Hba_16-0.25,0,Hba_16-0.25),IF(G36&lt;=Hba_17-0.25,0,Hba_17-0.25),IF(G36&lt;=Hba_18-0.25,0,Hba_18-0.25),IF(G36&lt;=Hba_19-0.25,0,Hba_19-0.25),IF(G36&lt;=Hba_20-0.25,0,Hba_20-0.25),IF(G36&lt;=Hba_21-0.25,0,Hba_21-0.25),IF(G36&lt;=Hba_22-0.25,0,Hba_22-0.25),IF(G36&lt;=Hba_23-0.25,0,Hba_23-0.25),IF(G36&lt;=Hba_24-0.25,0,Hba_24-0.25),IF(G36&lt;=Hba_25-0.25,0,Hba_25-0.25),IF(G36&lt;=Hba_26-0.25,0,Hba_26-0.25),IF(G36&lt;=Hba_27-0.25,0,Hba_27-0.25),IF(G36&lt;=Hba_28-0.25,0,Hba_28-0.25),IF(G36&lt;=Hba_29-0.25,0,Hba_29-0.25),IF(G36&lt;=Hba_30-0.25,0,Hba_30-0.25)),IF(G36&lt;='Macro References'!$A$38,0,'Macro References'!$A$38)))</f>
        <v/>
      </c>
      <c r="H37" s="769"/>
      <c r="I37" s="228"/>
      <c r="J37" s="228"/>
      <c r="K37" s="228"/>
      <c r="L37" s="717" t="str">
        <f t="shared" ref="L37:L68" si="10">IF(D37="","",D37-G37+IF(P37="",0,P37))</f>
        <v/>
      </c>
      <c r="M37" s="717"/>
      <c r="N37" s="717"/>
      <c r="O37" s="717"/>
      <c r="P37" s="717" t="str">
        <f>IF(OR(G37=0,G37=""),"",IF(VLOOKUP(G37,'Geometry 2'!$C$4:$AI$14,1,TRUE)=VLOOKUP(G38,'Geometry 2'!$C$4:$AI$14,1,TRUE),"",IF(VLOOKUP(G37,'Geometry 2'!$C$4:$AI$14,33,TRUE)&lt;&gt;"n/a",MIN(G37,VLOOKUP(G37,'Geometry 2'!$C$4:$AI$14,1,TRUE))-VLOOKUP(G37,'Geometry 2'!$C$4:$AI$14,33,TRUE),"check")))</f>
        <v/>
      </c>
      <c r="Q37" s="717"/>
      <c r="R37" s="717"/>
      <c r="S37" s="717"/>
      <c r="T37" s="717" t="str">
        <f>IF($G37="","",VLOOKUP($G37,'Geometry 2'!$E$4:$AH$14,11,TRUE))</f>
        <v/>
      </c>
      <c r="U37" s="717"/>
      <c r="V37" s="717"/>
      <c r="W37" s="717"/>
      <c r="X37" s="716" t="str">
        <f>IF($G37="","",VLOOKUP($G37,'Geometry 2'!$E$4:$AJ$14,19,TRUE)-12*VLOOKUP($G37,'Geometry 2'!$E$4:$AJ$14,32,TRUE)*($D37-VLOOKUP($G37,'Geometry 2'!$E$5:$AH$14,1,TRUE)))</f>
        <v/>
      </c>
      <c r="Y37" s="716"/>
      <c r="Z37" s="716"/>
      <c r="AA37" s="716"/>
      <c r="AB37" s="757" t="str">
        <f>IF($G37="","",VLOOKUP($G37,'Geometry 2'!$E$4:$AJ$14,19,TRUE)-12*VLOOKUP($G37,'Geometry 2'!$E$4:$AJ$14,32,TRUE)*($G37-VLOOKUP($G37,'Geometry 2'!$E$5:$AH$14,1,TRUE)))</f>
        <v/>
      </c>
      <c r="AC37" s="758"/>
      <c r="AD37" s="758"/>
      <c r="AE37" s="759"/>
      <c r="AF37" s="716" t="str">
        <f>IF($G37="","",VLOOKUP($G37,'Geometry 2'!$E$4:$AJ$14,19,TRUE)-12*VLOOKUP($G37,'Geometry 2'!$E$4:$AJ$14,32,TRUE)*($G37-IF($P37="",0,$P37)-VLOOKUP($G37,'Geometry 2'!$E$5:$AH$14,1,TRUE)))</f>
        <v/>
      </c>
      <c r="AG37" s="716"/>
      <c r="AH37" s="716"/>
      <c r="AI37" s="716"/>
      <c r="AJ37" s="746" t="str">
        <f>IF($G37="","",VLOOKUP($G37,'Geometry 2'!$E$4:$AH$14,23,TRUE))</f>
        <v/>
      </c>
      <c r="AK37" s="747"/>
      <c r="AL37" s="747"/>
      <c r="AM37" s="748"/>
      <c r="AN37" s="717"/>
      <c r="AO37" s="717"/>
      <c r="AP37" s="717"/>
      <c r="AQ37" s="717"/>
      <c r="AR37" s="717" t="str">
        <f>IF($G37="","",VLOOKUP($G37,'Geometry 2'!$E$4:$AH$14,27,TRUE))</f>
        <v/>
      </c>
      <c r="AS37" s="717"/>
      <c r="AT37" s="717"/>
      <c r="AU37" s="718"/>
      <c r="AV37" s="715"/>
      <c r="AW37" s="716"/>
      <c r="AX37" s="716"/>
      <c r="AZ37" s="722" t="str">
        <f t="shared" si="5"/>
        <v/>
      </c>
      <c r="BA37" s="723"/>
      <c r="BB37" s="723"/>
      <c r="BC37" s="724"/>
      <c r="BD37" s="722"/>
      <c r="BE37" s="723"/>
      <c r="BF37" s="723"/>
      <c r="BG37" s="722" t="str">
        <f t="shared" si="9"/>
        <v/>
      </c>
      <c r="BH37" s="723"/>
      <c r="BI37" s="723"/>
      <c r="BJ37" s="723"/>
      <c r="BK37" s="724"/>
      <c r="BL37" s="722"/>
      <c r="BM37" s="723"/>
      <c r="BN37" s="723"/>
      <c r="BO37" s="723"/>
      <c r="BP37" s="725"/>
      <c r="BQ37" s="725"/>
      <c r="BR37" s="722" t="str">
        <f>IF(BP37="","",IF(OR(AND(Rev="H",Calculations!$F$27=TRUE),AND(Rev&lt;&gt;"H",Calculations!$F$30=TRUE)),IF(BP37&lt;=1,"Pass","Fail"),IF(BP37&lt;=1.05,"Pass","Fail")))</f>
        <v/>
      </c>
      <c r="BS37" s="723"/>
      <c r="BT37" s="724"/>
      <c r="BU37" s="49"/>
      <c r="BV37" s="25" t="str">
        <f>IFERROR(CONCATENATE(IF(AND($G37&lt;Hta_1,$G37&gt;=Hba_1,Input!U$21&lt;&gt;""),Input!$B$21&amp;";",""),IF(AND($G37&lt;Hta_2,$G37&gt;=Hba_2,Input!U$22&lt;&gt;""),Input!$B$22&amp;";",""),IF(AND($G37&lt;Hta_3,$G37&gt;=Hba_3,Input!U$23&lt;&gt;""),Input!$B$23&amp;";",""),IF(AND($G37&lt;Hta_4,$G37&gt;=Hba_4,Input!U$24&lt;&gt;""),Input!$B$24&amp;";",""),IF(AND($G37&lt;Hta_5,$G37&gt;=Hba_5,Input!U$25&lt;&gt;""),Input!$B$25&amp;";",""),IF(AND($G37&lt;Hta_6,$G37&gt;=Hba_6,Input!U$26&lt;&gt;""),Input!$B$26&amp;";",""),IF(AND($G37&lt;Hta_7,$G37&gt;=Hba_7,Input!U$27&lt;&gt;""),Input!$B$27&amp;";",""),IF(AND($G37&lt;Hta_8,$G37&gt;=Hba_8,Input!U$28&lt;&gt;""),Input!$B$28&amp;";",""),IF(AND($G37&lt;Hta_9,$G37&gt;=Hba_9,Input!U$29&lt;&gt;""),Input!$B$29&amp;";",""),IF(AND($G37&lt;Hta_10,$G37&gt;=Hba_10,Input!U$30&lt;&gt;""),Input!$B$30&amp;";",""),IF(AND($G37&lt;Hta_11,$G37&gt;=Hba_11,Input!U$31&lt;&gt;""),Input!$B$31&amp;";",""),IF(AND($G37&lt;Hta_12,$G37&gt;=Hba_12,Input!U$32&lt;&gt;""),Input!$B$32&amp;";",""),IF(AND($G37&lt;Hta_13,$G37&gt;=Hba_13,Input!U$33&lt;&gt;""),Input!$B$33&amp;";",""),IF(AND($G37&lt;Hta_14,$G37&gt;=Hba_14,Input!U$34&lt;&gt;""),Input!$B$34&amp;";",""),IF(AND($G37&lt;Hta_15,$G37&gt;=Hba_15,Input!U$35&lt;&gt;""),Input!$B$35&amp;";",""),IF(AND($G37&lt;Hta_16,$G37&gt;=Hba_16,Input!U$36&lt;&gt;""),Input!$B$36&amp;";",""),IF(AND($G37&lt;Hta_17,$G37&gt;=Hba_17,Input!U$37&lt;&gt;""),Input!$B$37&amp;";",""),IF(AND($G37&lt;Hta_18,$G37&gt;=Hba_18,Input!U$38&lt;&gt;""),Input!$B$38&amp;";",""),IF(AND($G37&lt;Hta_19,$G37&gt;=Hba_19,Input!U$39&lt;&gt;""),Input!$B$39&amp;";",""),IF(AND($G37&lt;Hta_20,$G37&gt;=Hba_20,Input!U$40&lt;&gt;""),Input!$B$40&amp;";",""),IF(AND($G37&lt;Hta_21,$G37&gt;=Hba_21,Input!U$41&lt;&gt;""),Input!$B$41&amp;";",""),IF(AND($G37&lt;Hta_22,$G37&gt;=Hba_22,Input!U$42&lt;&gt;""),Input!$B$42&amp;";",""),IF(AND($G37&lt;Hta_23,$G37&gt;=Hba_23,Input!U$43&lt;&gt;""),Input!$B$43&amp;";",""),IF(AND($G37&lt;Hta_24,$G37&gt;=Hba_24,Input!U$44&lt;&gt;""),Input!$B$44&amp;";",""),IF(AND($G37&lt;Hta_25,$G37&gt;=Hba_25,Input!U$45&lt;&gt;""),Input!$B$45&amp;";",""),IF(AND($G37&lt;Hta_26,$G37&gt;=Hba_26,Input!U$46&lt;&gt;""),Input!$B$46&amp;";",""),IF(AND($G37&lt;Hta_27,$G37&gt;=Hba_27,Input!U$47&lt;&gt;""),Input!$B$47&amp;";",""),IF(AND($G37&lt;Hta_28,$G37&gt;=Hba_28,Input!U$48&lt;&gt;""),Input!$B$48&amp;";",""),IF(AND($G37&lt;Hta_29,$G37&gt;=Hba_29,Input!U$49&lt;&gt;""),Input!$B$49&amp;";",""),IF(AND($G37&lt;Hta_30,$G37&gt;=Hba_30,Input!U$50&lt;&gt;""),Input!$B$50&amp;";","")),"")</f>
        <v/>
      </c>
      <c r="BW37" s="25" t="str">
        <f>IFERROR(CONCATENATE(IF(AND($G37&lt;Hta_1,$G37&gt;=Hba_1,Input!V$21&lt;&gt;""),Input!$B$21&amp;";",""),IF(AND($G37&lt;Hta_2,$G37&gt;=Hba_2,Input!V$22&lt;&gt;""),Input!$B$22&amp;";",""),IF(AND($G37&lt;Hta_3,$G37&gt;=Hba_3,Input!V$23&lt;&gt;""),Input!$B$23&amp;";",""),IF(AND($G37&lt;Hta_4,$G37&gt;=Hba_4,Input!V$24&lt;&gt;""),Input!$B$24&amp;";",""),IF(AND($G37&lt;Hta_5,$G37&gt;=Hba_5,Input!V$25&lt;&gt;""),Input!$B$25&amp;";",""),IF(AND($G37&lt;Hta_6,$G37&gt;=Hba_6,Input!V$26&lt;&gt;""),Input!$B$26&amp;";",""),IF(AND($G37&lt;Hta_7,$G37&gt;=Hba_7,Input!V$27&lt;&gt;""),Input!$B$27&amp;";",""),IF(AND($G37&lt;Hta_8,$G37&gt;=Hba_8,Input!V$28&lt;&gt;""),Input!$B$28&amp;";",""),IF(AND($G37&lt;Hta_9,$G37&gt;=Hba_9,Input!V$29&lt;&gt;""),Input!$B$29&amp;";",""),IF(AND($G37&lt;Hta_10,$G37&gt;=Hba_10,Input!V$30&lt;&gt;""),Input!$B$30&amp;";",""),IF(AND($G37&lt;Hta_11,$G37&gt;=Hba_11,Input!V$31&lt;&gt;""),Input!$B$31&amp;";",""),IF(AND($G37&lt;Hta_12,$G37&gt;=Hba_12,Input!V$32&lt;&gt;""),Input!$B$32&amp;";",""),IF(AND($G37&lt;Hta_13,$G37&gt;=Hba_13,Input!V$33&lt;&gt;""),Input!$B$33&amp;";",""),IF(AND($G37&lt;Hta_14,$G37&gt;=Hba_14,Input!V$34&lt;&gt;""),Input!$B$34&amp;";",""),IF(AND($G37&lt;Hta_15,$G37&gt;=Hba_15,Input!V$35&lt;&gt;""),Input!$B$35&amp;";",""),IF(AND($G37&lt;Hta_16,$G37&gt;=Hba_16,Input!V$36&lt;&gt;""),Input!$B$36&amp;";",""),IF(AND($G37&lt;Hta_17,$G37&gt;=Hba_17,Input!V$37&lt;&gt;""),Input!$B$37&amp;";",""),IF(AND($G37&lt;Hta_18,$G37&gt;=Hba_18,Input!V$38&lt;&gt;""),Input!$B$38&amp;";",""),IF(AND($G37&lt;Hta_19,$G37&gt;=Hba_19,Input!V$39&lt;&gt;""),Input!$B$39&amp;";",""),IF(AND($G37&lt;Hta_20,$G37&gt;=Hba_20,Input!V$40&lt;&gt;""),Input!$B$40&amp;";",""),IF(AND($G37&lt;Hta_21,$G37&gt;=Hba_21,Input!V$41&lt;&gt;""),Input!$B$41&amp;";",""),IF(AND($G37&lt;Hta_22,$G37&gt;=Hba_22,Input!V$42&lt;&gt;""),Input!$B$42&amp;";",""),IF(AND($G37&lt;Hta_23,$G37&gt;=Hba_23,Input!V$43&lt;&gt;""),Input!$B$43&amp;";",""),IF(AND($G37&lt;Hta_24,$G37&gt;=Hba_24,Input!V$44&lt;&gt;""),Input!$B$44&amp;";",""),IF(AND($G37&lt;Hta_25,$G37&gt;=Hba_25,Input!V$45&lt;&gt;""),Input!$B$45&amp;";",""),IF(AND($G37&lt;Hta_26,$G37&gt;=Hba_26,Input!V$46&lt;&gt;""),Input!$B$46&amp;";",""),IF(AND($G37&lt;Hta_27,$G37&gt;=Hba_27,Input!V$47&lt;&gt;""),Input!$B$47&amp;";",""),IF(AND($G37&lt;Hta_28,$G37&gt;=Hba_28,Input!V$48&lt;&gt;""),Input!$B$48&amp;";",""),IF(AND($G37&lt;Hta_29,$G37&gt;=Hba_29,Input!V$49&lt;&gt;""),Input!$B$49&amp;";",""),IF(AND($G37&lt;Hta_30,$G37&gt;=Hba_30,Input!V$50&lt;&gt;""),Input!$B$50&amp;";","")),"")</f>
        <v/>
      </c>
      <c r="BX37" s="25" t="str">
        <f>IFERROR(CONCATENATE(IF(AND($G37&lt;Hta_1,$G37&gt;=Hba_1,Input!W$21&lt;&gt;""),Input!$B$21&amp;";",""),IF(AND($G37&lt;Hta_2,$G37&gt;=Hba_2,Input!W$22&lt;&gt;""),Input!$B$22&amp;";",""),IF(AND($G37&lt;Hta_3,$G37&gt;=Hba_3,Input!W$23&lt;&gt;""),Input!$B$23&amp;";",""),IF(AND($G37&lt;Hta_4,$G37&gt;=Hba_4,Input!W$24&lt;&gt;""),Input!$B$24&amp;";",""),IF(AND($G37&lt;Hta_5,$G37&gt;=Hba_5,Input!W$25&lt;&gt;""),Input!$B$25&amp;";",""),IF(AND($G37&lt;Hta_6,$G37&gt;=Hba_6,Input!W$26&lt;&gt;""),Input!$B$26&amp;";",""),IF(AND($G37&lt;Hta_7,$G37&gt;=Hba_7,Input!W$27&lt;&gt;""),Input!$B$27&amp;";",""),IF(AND($G37&lt;Hta_8,$G37&gt;=Hba_8,Input!W$28&lt;&gt;""),Input!$B$28&amp;";",""),IF(AND($G37&lt;Hta_9,$G37&gt;=Hba_9,Input!W$29&lt;&gt;""),Input!$B$29&amp;";",""),IF(AND($G37&lt;Hta_10,$G37&gt;=Hba_10,Input!W$30&lt;&gt;""),Input!$B$30&amp;";",""),IF(AND($G37&lt;Hta_11,$G37&gt;=Hba_11,Input!W$31&lt;&gt;""),Input!$B$31&amp;";",""),IF(AND($G37&lt;Hta_12,$G37&gt;=Hba_12,Input!W$32&lt;&gt;""),Input!$B$32&amp;";",""),IF(AND($G37&lt;Hta_13,$G37&gt;=Hba_13,Input!W$33&lt;&gt;""),Input!$B$33&amp;";",""),IF(AND($G37&lt;Hta_14,$G37&gt;=Hba_14,Input!W$34&lt;&gt;""),Input!$B$34&amp;";",""),IF(AND($G37&lt;Hta_15,$G37&gt;=Hba_15,Input!W$35&lt;&gt;""),Input!$B$35&amp;";",""),IF(AND($G37&lt;Hta_16,$G37&gt;=Hba_16,Input!W$36&lt;&gt;""),Input!$B$36&amp;";",""),IF(AND($G37&lt;Hta_17,$G37&gt;=Hba_17,Input!W$37&lt;&gt;""),Input!$B$37&amp;";",""),IF(AND($G37&lt;Hta_18,$G37&gt;=Hba_18,Input!W$38&lt;&gt;""),Input!$B$38&amp;";",""),IF(AND($G37&lt;Hta_19,$G37&gt;=Hba_19,Input!W$39&lt;&gt;""),Input!$B$39&amp;";",""),IF(AND($G37&lt;Hta_20,$G37&gt;=Hba_20,Input!W$40&lt;&gt;""),Input!$B$40&amp;";",""),IF(AND($G37&lt;Hta_21,$G37&gt;=Hba_21,Input!W$41&lt;&gt;""),Input!$B$41&amp;";",""),IF(AND($G37&lt;Hta_22,$G37&gt;=Hba_22,Input!W$42&lt;&gt;""),Input!$B$42&amp;";",""),IF(AND($G37&lt;Hta_23,$G37&gt;=Hba_23,Input!W$43&lt;&gt;""),Input!$B$43&amp;";",""),IF(AND($G37&lt;Hta_24,$G37&gt;=Hba_24,Input!W$44&lt;&gt;""),Input!$B$44&amp;";",""),IF(AND($G37&lt;Hta_25,$G37&gt;=Hba_25,Input!W$45&lt;&gt;""),Input!$B$45&amp;";",""),IF(AND($G37&lt;Hta_26,$G37&gt;=Hba_26,Input!W$46&lt;&gt;""),Input!$B$46&amp;";",""),IF(AND($G37&lt;Hta_27,$G37&gt;=Hba_27,Input!W$47&lt;&gt;""),Input!$B$47&amp;";",""),IF(AND($G37&lt;Hta_28,$G37&gt;=Hba_28,Input!W$48&lt;&gt;""),Input!$B$48&amp;";",""),IF(AND($G37&lt;Hta_29,$G37&gt;=Hba_29,Input!W$49&lt;&gt;""),Input!$B$49&amp;";",""),IF(AND($G37&lt;Hta_30,$G37&gt;=Hba_30,Input!W$50&lt;&gt;""),Input!$B$50&amp;";","")),"")</f>
        <v/>
      </c>
      <c r="BY37" s="25" t="str">
        <f>IFERROR(CONCATENATE(IF(AND($G37&lt;Hta_1,$G37&gt;=Hba_1,Input!X$21&lt;&gt;""),Input!$B$21&amp;";",""),IF(AND($G37&lt;Hta_2,$G37&gt;=Hba_2,Input!X$22&lt;&gt;""),Input!$B$22&amp;";",""),IF(AND($G37&lt;Hta_3,$G37&gt;=Hba_3,Input!X$23&lt;&gt;""),Input!$B$23&amp;";",""),IF(AND($G37&lt;Hta_4,$G37&gt;=Hba_4,Input!X$24&lt;&gt;""),Input!$B$24&amp;";",""),IF(AND($G37&lt;Hta_5,$G37&gt;=Hba_5,Input!X$25&lt;&gt;""),Input!$B$25&amp;";",""),IF(AND($G37&lt;Hta_6,$G37&gt;=Hba_6,Input!X$26&lt;&gt;""),Input!$B$26&amp;";",""),IF(AND($G37&lt;Hta_7,$G37&gt;=Hba_7,Input!X$27&lt;&gt;""),Input!$B$27&amp;";",""),IF(AND($G37&lt;Hta_8,$G37&gt;=Hba_8,Input!X$28&lt;&gt;""),Input!$B$28&amp;";",""),IF(AND($G37&lt;Hta_9,$G37&gt;=Hba_9,Input!X$29&lt;&gt;""),Input!$B$29&amp;";",""),IF(AND($G37&lt;Hta_10,$G37&gt;=Hba_10,Input!X$30&lt;&gt;""),Input!$B$30&amp;";",""),IF(AND($G37&lt;Hta_11,$G37&gt;=Hba_11,Input!X$31&lt;&gt;""),Input!$B$31&amp;";",""),IF(AND($G37&lt;Hta_12,$G37&gt;=Hba_12,Input!X$32&lt;&gt;""),Input!$B$32&amp;";",""),IF(AND($G37&lt;Hta_13,$G37&gt;=Hba_13,Input!X$33&lt;&gt;""),Input!$B$33&amp;";",""),IF(AND($G37&lt;Hta_14,$G37&gt;=Hba_14,Input!X$34&lt;&gt;""),Input!$B$34&amp;";",""),IF(AND($G37&lt;Hta_15,$G37&gt;=Hba_15,Input!X$35&lt;&gt;""),Input!$B$35&amp;";",""),IF(AND($G37&lt;Hta_16,$G37&gt;=Hba_16,Input!X$36&lt;&gt;""),Input!$B$36&amp;";",""),IF(AND($G37&lt;Hta_17,$G37&gt;=Hba_17,Input!X$37&lt;&gt;""),Input!$B$37&amp;";",""),IF(AND($G37&lt;Hta_18,$G37&gt;=Hba_18,Input!X$38&lt;&gt;""),Input!$B$38&amp;";",""),IF(AND($G37&lt;Hta_19,$G37&gt;=Hba_19,Input!X$39&lt;&gt;""),Input!$B$39&amp;";",""),IF(AND($G37&lt;Hta_20,$G37&gt;=Hba_20,Input!X$40&lt;&gt;""),Input!$B$40&amp;";",""),IF(AND($G37&lt;Hta_21,$G37&gt;=Hba_21,Input!X$41&lt;&gt;""),Input!$B$41&amp;";",""),IF(AND($G37&lt;Hta_22,$G37&gt;=Hba_22,Input!X$42&lt;&gt;""),Input!$B$42&amp;";",""),IF(AND($G37&lt;Hta_23,$G37&gt;=Hba_23,Input!X$43&lt;&gt;""),Input!$B$43&amp;";",""),IF(AND($G37&lt;Hta_24,$G37&gt;=Hba_24,Input!X$44&lt;&gt;""),Input!$B$44&amp;";",""),IF(AND($G37&lt;Hta_25,$G37&gt;=Hba_25,Input!X$45&lt;&gt;""),Input!$B$45&amp;";",""),IF(AND($G37&lt;Hta_26,$G37&gt;=Hba_26,Input!X$46&lt;&gt;""),Input!$B$46&amp;";",""),IF(AND($G37&lt;Hta_27,$G37&gt;=Hba_27,Input!X$47&lt;&gt;""),Input!$B$47&amp;";",""),IF(AND($G37&lt;Hta_28,$G37&gt;=Hba_28,Input!X$48&lt;&gt;""),Input!$B$48&amp;";",""),IF(AND($G37&lt;Hta_29,$G37&gt;=Hba_29,Input!X$49&lt;&gt;""),Input!$B$49&amp;";",""),IF(AND($G37&lt;Hta_30,$G37&gt;=Hba_30,Input!X$50&lt;&gt;""),Input!$B$50&amp;";","")),"")</f>
        <v/>
      </c>
      <c r="BZ37" s="25" t="str">
        <f>IFERROR(CONCATENATE(IF(AND($G37&lt;Hta_1,$G37&gt;=Hba_1,Input!Y$21&lt;&gt;""),Input!$B$21&amp;";",""),IF(AND($G37&lt;Hta_2,$G37&gt;=Hba_2,Input!Y$22&lt;&gt;""),Input!$B$22&amp;";",""),IF(AND($G37&lt;Hta_3,$G37&gt;=Hba_3,Input!Y$23&lt;&gt;""),Input!$B$23&amp;";",""),IF(AND($G37&lt;Hta_4,$G37&gt;=Hba_4,Input!Y$24&lt;&gt;""),Input!$B$24&amp;";",""),IF(AND($G37&lt;Hta_5,$G37&gt;=Hba_5,Input!Y$25&lt;&gt;""),Input!$B$25&amp;";",""),IF(AND($G37&lt;Hta_6,$G37&gt;=Hba_6,Input!Y$26&lt;&gt;""),Input!$B$26&amp;";",""),IF(AND($G37&lt;Hta_7,$G37&gt;=Hba_7,Input!Y$27&lt;&gt;""),Input!$B$27&amp;";",""),IF(AND($G37&lt;Hta_8,$G37&gt;=Hba_8,Input!Y$28&lt;&gt;""),Input!$B$28&amp;";",""),IF(AND($G37&lt;Hta_9,$G37&gt;=Hba_9,Input!Y$29&lt;&gt;""),Input!$B$29&amp;";",""),IF(AND($G37&lt;Hta_10,$G37&gt;=Hba_10,Input!Y$30&lt;&gt;""),Input!$B$30&amp;";",""),IF(AND($G37&lt;Hta_11,$G37&gt;=Hba_11,Input!Y$31&lt;&gt;""),Input!$B$31&amp;";",""),IF(AND($G37&lt;Hta_12,$G37&gt;=Hba_12,Input!Y$32&lt;&gt;""),Input!$B$32&amp;";",""),IF(AND($G37&lt;Hta_13,$G37&gt;=Hba_13,Input!Y$33&lt;&gt;""),Input!$B$33&amp;";",""),IF(AND($G37&lt;Hta_14,$G37&gt;=Hba_14,Input!Y$34&lt;&gt;""),Input!$B$34&amp;";",""),IF(AND($G37&lt;Hta_15,$G37&gt;=Hba_15,Input!Y$35&lt;&gt;""),Input!$B$35&amp;";",""),IF(AND($G37&lt;Hta_16,$G37&gt;=Hba_16,Input!Y$36&lt;&gt;""),Input!$B$36&amp;";",""),IF(AND($G37&lt;Hta_17,$G37&gt;=Hba_17,Input!Y$37&lt;&gt;""),Input!$B$37&amp;";",""),IF(AND($G37&lt;Hta_18,$G37&gt;=Hba_18,Input!Y$38&lt;&gt;""),Input!$B$38&amp;";",""),IF(AND($G37&lt;Hta_19,$G37&gt;=Hba_19,Input!Y$39&lt;&gt;""),Input!$B$39&amp;";",""),IF(AND($G37&lt;Hta_20,$G37&gt;=Hba_20,Input!Y$40&lt;&gt;""),Input!$B$40&amp;";",""),IF(AND($G37&lt;Hta_21,$G37&gt;=Hba_21,Input!Y$41&lt;&gt;""),Input!$B$41&amp;";",""),IF(AND($G37&lt;Hta_22,$G37&gt;=Hba_22,Input!Y$42&lt;&gt;""),Input!$B$42&amp;";",""),IF(AND($G37&lt;Hta_23,$G37&gt;=Hba_23,Input!Y$43&lt;&gt;""),Input!$B$43&amp;";",""),IF(AND($G37&lt;Hta_24,$G37&gt;=Hba_24,Input!Y$44&lt;&gt;""),Input!$B$44&amp;";",""),IF(AND($G37&lt;Hta_25,$G37&gt;=Hba_25,Input!Y$45&lt;&gt;""),Input!$B$45&amp;";",""),IF(AND($G37&lt;Hta_26,$G37&gt;=Hba_26,Input!Y$46&lt;&gt;""),Input!$B$46&amp;";",""),IF(AND($G37&lt;Hta_27,$G37&gt;=Hba_27,Input!Y$47&lt;&gt;""),Input!$B$47&amp;";",""),IF(AND($G37&lt;Hta_28,$G37&gt;=Hba_28,Input!Y$48&lt;&gt;""),Input!$B$48&amp;";",""),IF(AND($G37&lt;Hta_29,$G37&gt;=Hba_29,Input!Y$49&lt;&gt;""),Input!$B$49&amp;";",""),IF(AND($G37&lt;Hta_30,$G37&gt;=Hba_30,Input!Y$50&lt;&gt;""),Input!$B$50&amp;";","")),"")</f>
        <v/>
      </c>
      <c r="CA37" s="25" t="str">
        <f>IFERROR(CONCATENATE(IF(AND($G37&lt;Hta_1,$G37&gt;=Hba_1,Input!Z$21&lt;&gt;""),Input!$B$21&amp;";",""),IF(AND($G37&lt;Hta_2,$G37&gt;=Hba_2,Input!Z$22&lt;&gt;""),Input!$B$22&amp;";",""),IF(AND($G37&lt;Hta_3,$G37&gt;=Hba_3,Input!Z$23&lt;&gt;""),Input!$B$23&amp;";",""),IF(AND($G37&lt;Hta_4,$G37&gt;=Hba_4,Input!Z$24&lt;&gt;""),Input!$B$24&amp;";",""),IF(AND($G37&lt;Hta_5,$G37&gt;=Hba_5,Input!Z$25&lt;&gt;""),Input!$B$25&amp;";",""),IF(AND($G37&lt;Hta_6,$G37&gt;=Hba_6,Input!Z$26&lt;&gt;""),Input!$B$26&amp;";",""),IF(AND($G37&lt;Hta_7,$G37&gt;=Hba_7,Input!Z$27&lt;&gt;""),Input!$B$27&amp;";",""),IF(AND($G37&lt;Hta_8,$G37&gt;=Hba_8,Input!Z$28&lt;&gt;""),Input!$B$28&amp;";",""),IF(AND($G37&lt;Hta_9,$G37&gt;=Hba_9,Input!Z$29&lt;&gt;""),Input!$B$29&amp;";",""),IF(AND($G37&lt;Hta_10,$G37&gt;=Hba_10,Input!Z$30&lt;&gt;""),Input!$B$30&amp;";",""),IF(AND($G37&lt;Hta_11,$G37&gt;=Hba_11,Input!Z$31&lt;&gt;""),Input!$B$31&amp;";",""),IF(AND($G37&lt;Hta_12,$G37&gt;=Hba_12,Input!Z$32&lt;&gt;""),Input!$B$32&amp;";",""),IF(AND($G37&lt;Hta_13,$G37&gt;=Hba_13,Input!Z$33&lt;&gt;""),Input!$B$33&amp;";",""),IF(AND($G37&lt;Hta_14,$G37&gt;=Hba_14,Input!Z$34&lt;&gt;""),Input!$B$34&amp;";",""),IF(AND($G37&lt;Hta_15,$G37&gt;=Hba_15,Input!Z$35&lt;&gt;""),Input!$B$35&amp;";",""),IF(AND($G37&lt;Hta_16,$G37&gt;=Hba_16,Input!Z$36&lt;&gt;""),Input!$B$36&amp;";",""),IF(AND($G37&lt;Hta_17,$G37&gt;=Hba_17,Input!Z$37&lt;&gt;""),Input!$B$37&amp;";",""),IF(AND($G37&lt;Hta_18,$G37&gt;=Hba_18,Input!Z$38&lt;&gt;""),Input!$B$38&amp;";",""),IF(AND($G37&lt;Hta_19,$G37&gt;=Hba_19,Input!Z$39&lt;&gt;""),Input!$B$39&amp;";",""),IF(AND($G37&lt;Hta_20,$G37&gt;=Hba_20,Input!Z$40&lt;&gt;""),Input!$B$40&amp;";",""),IF(AND($G37&lt;Hta_21,$G37&gt;=Hba_21,Input!Z$41&lt;&gt;""),Input!$B$41&amp;";",""),IF(AND($G37&lt;Hta_22,$G37&gt;=Hba_22,Input!Z$42&lt;&gt;""),Input!$B$42&amp;";",""),IF(AND($G37&lt;Hta_23,$G37&gt;=Hba_23,Input!Z$43&lt;&gt;""),Input!$B$43&amp;";",""),IF(AND($G37&lt;Hta_24,$G37&gt;=Hba_24,Input!Z$44&lt;&gt;""),Input!$B$44&amp;";",""),IF(AND($G37&lt;Hta_25,$G37&gt;=Hba_25,Input!Z$45&lt;&gt;""),Input!$B$45&amp;";",""),IF(AND($G37&lt;Hta_26,$G37&gt;=Hba_26,Input!Z$46&lt;&gt;""),Input!$B$46&amp;";",""),IF(AND($G37&lt;Hta_27,$G37&gt;=Hba_27,Input!Z$47&lt;&gt;""),Input!$B$47&amp;";",""),IF(AND($G37&lt;Hta_28,$G37&gt;=Hba_28,Input!Z$48&lt;&gt;""),Input!$B$48&amp;";",""),IF(AND($G37&lt;Hta_29,$G37&gt;=Hba_29,Input!Z$49&lt;&gt;""),Input!$B$49&amp;";",""),IF(AND($G37&lt;Hta_30,$G37&gt;=Hba_30,Input!Z$50&lt;&gt;""),Input!$B$50&amp;";","")),"")</f>
        <v/>
      </c>
      <c r="CB37" s="25" t="str">
        <f>IFERROR(CONCATENATE(IF(AND($G37&lt;Hta_1,$G37&gt;=Hba_1,Input!AA$21&lt;&gt;""),Input!$B$21&amp;";",""),IF(AND($G37&lt;Hta_2,$G37&gt;=Hba_2,Input!AA$22&lt;&gt;""),Input!$B$22&amp;";",""),IF(AND($G37&lt;Hta_3,$G37&gt;=Hba_3,Input!AA$23&lt;&gt;""),Input!$B$23&amp;";",""),IF(AND($G37&lt;Hta_4,$G37&gt;=Hba_4,Input!AA$24&lt;&gt;""),Input!$B$24&amp;";",""),IF(AND($G37&lt;Hta_5,$G37&gt;=Hba_5,Input!AA$25&lt;&gt;""),Input!$B$25&amp;";",""),IF(AND($G37&lt;Hta_6,$G37&gt;=Hba_6,Input!AA$26&lt;&gt;""),Input!$B$26&amp;";",""),IF(AND($G37&lt;Hta_7,$G37&gt;=Hba_7,Input!AA$27&lt;&gt;""),Input!$B$27&amp;";",""),IF(AND($G37&lt;Hta_8,$G37&gt;=Hba_8,Input!AA$28&lt;&gt;""),Input!$B$28&amp;";",""),IF(AND($G37&lt;Hta_9,$G37&gt;=Hba_9,Input!AA$29&lt;&gt;""),Input!$B$29&amp;";",""),IF(AND($G37&lt;Hta_10,$G37&gt;=Hba_10,Input!AA$30&lt;&gt;""),Input!$B$30&amp;";",""),IF(AND($G37&lt;Hta_11,$G37&gt;=Hba_11,Input!AA$31&lt;&gt;""),Input!$B$31&amp;";",""),IF(AND($G37&lt;Hta_12,$G37&gt;=Hba_12,Input!AA$32&lt;&gt;""),Input!$B$32&amp;";",""),IF(AND($G37&lt;Hta_13,$G37&gt;=Hba_13,Input!AA$33&lt;&gt;""),Input!$B$33&amp;";",""),IF(AND($G37&lt;Hta_14,$G37&gt;=Hba_14,Input!AA$34&lt;&gt;""),Input!$B$34&amp;";",""),IF(AND($G37&lt;Hta_15,$G37&gt;=Hba_15,Input!AA$35&lt;&gt;""),Input!$B$35&amp;";",""),IF(AND($G37&lt;Hta_16,$G37&gt;=Hba_16,Input!AA$36&lt;&gt;""),Input!$B$36&amp;";",""),IF(AND($G37&lt;Hta_17,$G37&gt;=Hba_17,Input!AA$37&lt;&gt;""),Input!$B$37&amp;";",""),IF(AND($G37&lt;Hta_18,$G37&gt;=Hba_18,Input!AA$38&lt;&gt;""),Input!$B$38&amp;";",""),IF(AND($G37&lt;Hta_19,$G37&gt;=Hba_19,Input!AA$39&lt;&gt;""),Input!$B$39&amp;";",""),IF(AND($G37&lt;Hta_20,$G37&gt;=Hba_20,Input!AA$40&lt;&gt;""),Input!$B$40&amp;";",""),IF(AND($G37&lt;Hta_21,$G37&gt;=Hba_21,Input!AA$41&lt;&gt;""),Input!$B$41&amp;";",""),IF(AND($G37&lt;Hta_22,$G37&gt;=Hba_22,Input!AA$42&lt;&gt;""),Input!$B$42&amp;";",""),IF(AND($G37&lt;Hta_23,$G37&gt;=Hba_23,Input!AA$43&lt;&gt;""),Input!$B$43&amp;";",""),IF(AND($G37&lt;Hta_24,$G37&gt;=Hba_24,Input!AA$44&lt;&gt;""),Input!$B$44&amp;";",""),IF(AND($G37&lt;Hta_25,$G37&gt;=Hba_25,Input!AA$45&lt;&gt;""),Input!$B$45&amp;";",""),IF(AND($G37&lt;Hta_26,$G37&gt;=Hba_26,Input!AA$46&lt;&gt;""),Input!$B$46&amp;";",""),IF(AND($G37&lt;Hta_27,$G37&gt;=Hba_27,Input!AA$47&lt;&gt;""),Input!$B$47&amp;";",""),IF(AND($G37&lt;Hta_28,$G37&gt;=Hba_28,Input!AA$48&lt;&gt;""),Input!$B$48&amp;";",""),IF(AND($G37&lt;Hta_29,$G37&gt;=Hba_29,Input!AA$49&lt;&gt;""),Input!$B$49&amp;";",""),IF(AND($G37&lt;Hta_30,$G37&gt;=Hba_30,Input!AA$50&lt;&gt;""),Input!$B$50&amp;";","")),"")</f>
        <v/>
      </c>
      <c r="CC37" s="25" t="str">
        <f>IFERROR(CONCATENATE(IF(AND($G37&lt;Hta_1,$G37&gt;=Hba_1,Input!AB$21&lt;&gt;""),Input!$B$21&amp;";",""),IF(AND($G37&lt;Hta_2,$G37&gt;=Hba_2,Input!AB$22&lt;&gt;""),Input!$B$22&amp;";",""),IF(AND($G37&lt;Hta_3,$G37&gt;=Hba_3,Input!AB$23&lt;&gt;""),Input!$B$23&amp;";",""),IF(AND($G37&lt;Hta_4,$G37&gt;=Hba_4,Input!AB$24&lt;&gt;""),Input!$B$24&amp;";",""),IF(AND($G37&lt;Hta_5,$G37&gt;=Hba_5,Input!AB$25&lt;&gt;""),Input!$B$25&amp;";",""),IF(AND($G37&lt;Hta_6,$G37&gt;=Hba_6,Input!AB$26&lt;&gt;""),Input!$B$26&amp;";",""),IF(AND($G37&lt;Hta_7,$G37&gt;=Hba_7,Input!AB$27&lt;&gt;""),Input!$B$27&amp;";",""),IF(AND($G37&lt;Hta_8,$G37&gt;=Hba_8,Input!AB$28&lt;&gt;""),Input!$B$28&amp;";",""),IF(AND($G37&lt;Hta_9,$G37&gt;=Hba_9,Input!AB$29&lt;&gt;""),Input!$B$29&amp;";",""),IF(AND($G37&lt;Hta_10,$G37&gt;=Hba_10,Input!AB$30&lt;&gt;""),Input!$B$30&amp;";",""),IF(AND($G37&lt;Hta_11,$G37&gt;=Hba_11,Input!AB$31&lt;&gt;""),Input!$B$31&amp;";",""),IF(AND($G37&lt;Hta_12,$G37&gt;=Hba_12,Input!AB$32&lt;&gt;""),Input!$B$32&amp;";",""),IF(AND($G37&lt;Hta_13,$G37&gt;=Hba_13,Input!AB$33&lt;&gt;""),Input!$B$33&amp;";",""),IF(AND($G37&lt;Hta_14,$G37&gt;=Hba_14,Input!AB$34&lt;&gt;""),Input!$B$34&amp;";",""),IF(AND($G37&lt;Hta_15,$G37&gt;=Hba_15,Input!AB$35&lt;&gt;""),Input!$B$35&amp;";",""),IF(AND($G37&lt;Hta_16,$G37&gt;=Hba_16,Input!AB$36&lt;&gt;""),Input!$B$36&amp;";",""),IF(AND($G37&lt;Hta_17,$G37&gt;=Hba_17,Input!AB$37&lt;&gt;""),Input!$B$37&amp;";",""),IF(AND($G37&lt;Hta_18,$G37&gt;=Hba_18,Input!AB$38&lt;&gt;""),Input!$B$38&amp;";",""),IF(AND($G37&lt;Hta_19,$G37&gt;=Hba_19,Input!AB$39&lt;&gt;""),Input!$B$39&amp;";",""),IF(AND($G37&lt;Hta_20,$G37&gt;=Hba_20,Input!AB$40&lt;&gt;""),Input!$B$40&amp;";",""),IF(AND($G37&lt;Hta_21,$G37&gt;=Hba_21,Input!AB$41&lt;&gt;""),Input!$B$41&amp;";",""),IF(AND($G37&lt;Hta_22,$G37&gt;=Hba_22,Input!AB$42&lt;&gt;""),Input!$B$42&amp;";",""),IF(AND($G37&lt;Hta_23,$G37&gt;=Hba_23,Input!AB$43&lt;&gt;""),Input!$B$43&amp;";",""),IF(AND($G37&lt;Hta_24,$G37&gt;=Hba_24,Input!AB$44&lt;&gt;""),Input!$B$44&amp;";",""),IF(AND($G37&lt;Hta_25,$G37&gt;=Hba_25,Input!AB$45&lt;&gt;""),Input!$B$45&amp;";",""),IF(AND($G37&lt;Hta_26,$G37&gt;=Hba_26,Input!AB$46&lt;&gt;""),Input!$B$46&amp;";",""),IF(AND($G37&lt;Hta_27,$G37&gt;=Hba_27,Input!AB$47&lt;&gt;""),Input!$B$47&amp;";",""),IF(AND($G37&lt;Hta_28,$G37&gt;=Hba_28,Input!AB$48&lt;&gt;""),Input!$B$48&amp;";",""),IF(AND($G37&lt;Hta_29,$G37&gt;=Hba_29,Input!AB$49&lt;&gt;""),Input!$B$49&amp;";",""),IF(AND($G37&lt;Hta_30,$G37&gt;=Hba_30,Input!AB$50&lt;&gt;""),Input!$B$50&amp;";","")),"")</f>
        <v/>
      </c>
      <c r="CD37" s="25" t="str">
        <f>IFERROR(CONCATENATE(IF(AND($G37&lt;Hta_1,$G37&gt;=Hba_1,Input!AC$21&lt;&gt;""),Input!$B$21&amp;";",""),IF(AND($G37&lt;Hta_2,$G37&gt;=Hba_2,Input!AC$22&lt;&gt;""),Input!$B$22&amp;";",""),IF(AND($G37&lt;Hta_3,$G37&gt;=Hba_3,Input!AC$23&lt;&gt;""),Input!$B$23&amp;";",""),IF(AND($G37&lt;Hta_4,$G37&gt;=Hba_4,Input!AC$24&lt;&gt;""),Input!$B$24&amp;";",""),IF(AND($G37&lt;Hta_5,$G37&gt;=Hba_5,Input!AC$25&lt;&gt;""),Input!$B$25&amp;";",""),IF(AND($G37&lt;Hta_6,$G37&gt;=Hba_6,Input!AC$26&lt;&gt;""),Input!$B$26&amp;";",""),IF(AND($G37&lt;Hta_7,$G37&gt;=Hba_7,Input!AC$27&lt;&gt;""),Input!$B$27&amp;";",""),IF(AND($G37&lt;Hta_8,$G37&gt;=Hba_8,Input!AC$28&lt;&gt;""),Input!$B$28&amp;";",""),IF(AND($G37&lt;Hta_9,$G37&gt;=Hba_9,Input!AC$29&lt;&gt;""),Input!$B$29&amp;";",""),IF(AND($G37&lt;Hta_10,$G37&gt;=Hba_10,Input!AC$30&lt;&gt;""),Input!$B$30&amp;";",""),IF(AND($G37&lt;Hta_11,$G37&gt;=Hba_11,Input!AC$31&lt;&gt;""),Input!$B$31&amp;";",""),IF(AND($G37&lt;Hta_12,$G37&gt;=Hba_12,Input!AC$32&lt;&gt;""),Input!$B$32&amp;";",""),IF(AND($G37&lt;Hta_13,$G37&gt;=Hba_13,Input!AC$33&lt;&gt;""),Input!$B$33&amp;";",""),IF(AND($G37&lt;Hta_14,$G37&gt;=Hba_14,Input!AC$34&lt;&gt;""),Input!$B$34&amp;";",""),IF(AND($G37&lt;Hta_15,$G37&gt;=Hba_15,Input!AC$35&lt;&gt;""),Input!$B$35&amp;";",""),IF(AND($G37&lt;Hta_16,$G37&gt;=Hba_16,Input!AC$36&lt;&gt;""),Input!$B$36&amp;";",""),IF(AND($G37&lt;Hta_17,$G37&gt;=Hba_17,Input!AC$37&lt;&gt;""),Input!$B$37&amp;";",""),IF(AND($G37&lt;Hta_18,$G37&gt;=Hba_18,Input!AC$38&lt;&gt;""),Input!$B$38&amp;";",""),IF(AND($G37&lt;Hta_19,$G37&gt;=Hba_19,Input!AC$39&lt;&gt;""),Input!$B$39&amp;";",""),IF(AND($G37&lt;Hta_20,$G37&gt;=Hba_20,Input!AC$40&lt;&gt;""),Input!$B$40&amp;";",""),IF(AND($G37&lt;Hta_21,$G37&gt;=Hba_21,Input!AC$41&lt;&gt;""),Input!$B$41&amp;";",""),IF(AND($G37&lt;Hta_22,$G37&gt;=Hba_22,Input!AC$42&lt;&gt;""),Input!$B$42&amp;";",""),IF(AND($G37&lt;Hta_23,$G37&gt;=Hba_23,Input!AC$43&lt;&gt;""),Input!$B$43&amp;";",""),IF(AND($G37&lt;Hta_24,$G37&gt;=Hba_24,Input!AC$44&lt;&gt;""),Input!$B$44&amp;";",""),IF(AND($G37&lt;Hta_25,$G37&gt;=Hba_25,Input!AC$45&lt;&gt;""),Input!$B$45&amp;";",""),IF(AND($G37&lt;Hta_26,$G37&gt;=Hba_26,Input!AC$46&lt;&gt;""),Input!$B$46&amp;";",""),IF(AND($G37&lt;Hta_27,$G37&gt;=Hba_27,Input!AC$47&lt;&gt;""),Input!$B$47&amp;";",""),IF(AND($G37&lt;Hta_28,$G37&gt;=Hba_28,Input!AC$48&lt;&gt;""),Input!$B$48&amp;";",""),IF(AND($G37&lt;Hta_29,$G37&gt;=Hba_29,Input!AC$49&lt;&gt;""),Input!$B$49&amp;";",""),IF(AND($G37&lt;Hta_30,$G37&gt;=Hba_30,Input!AC$50&lt;&gt;""),Input!$B$50&amp;";","")),"")</f>
        <v/>
      </c>
      <c r="CE37" s="25" t="str">
        <f>IFERROR(CONCATENATE(IF(AND($G37&lt;Hta_1,$G37&gt;=Hba_1,Input!AD$21&lt;&gt;""),Input!$B$21&amp;";",""),IF(AND($G37&lt;Hta_2,$G37&gt;=Hba_2,Input!AD$22&lt;&gt;""),Input!$B$22&amp;";",""),IF(AND($G37&lt;Hta_3,$G37&gt;=Hba_3,Input!AD$23&lt;&gt;""),Input!$B$23&amp;";",""),IF(AND($G37&lt;Hta_4,$G37&gt;=Hba_4,Input!AD$24&lt;&gt;""),Input!$B$24&amp;";",""),IF(AND($G37&lt;Hta_5,$G37&gt;=Hba_5,Input!AD$25&lt;&gt;""),Input!$B$25&amp;";",""),IF(AND($G37&lt;Hta_6,$G37&gt;=Hba_6,Input!AD$26&lt;&gt;""),Input!$B$26&amp;";",""),IF(AND($G37&lt;Hta_7,$G37&gt;=Hba_7,Input!AD$27&lt;&gt;""),Input!$B$27&amp;";",""),IF(AND($G37&lt;Hta_8,$G37&gt;=Hba_8,Input!AD$28&lt;&gt;""),Input!$B$28&amp;";",""),IF(AND($G37&lt;Hta_9,$G37&gt;=Hba_9,Input!AD$29&lt;&gt;""),Input!$B$29&amp;";",""),IF(AND($G37&lt;Hta_10,$G37&gt;=Hba_10,Input!AD$30&lt;&gt;""),Input!$B$30&amp;";",""),IF(AND($G37&lt;Hta_11,$G37&gt;=Hba_11,Input!AD$31&lt;&gt;""),Input!$B$31&amp;";",""),IF(AND($G37&lt;Hta_12,$G37&gt;=Hba_12,Input!AD$32&lt;&gt;""),Input!$B$32&amp;";",""),IF(AND($G37&lt;Hta_13,$G37&gt;=Hba_13,Input!AD$33&lt;&gt;""),Input!$B$33&amp;";",""),IF(AND($G37&lt;Hta_14,$G37&gt;=Hba_14,Input!AD$34&lt;&gt;""),Input!$B$34&amp;";",""),IF(AND($G37&lt;Hta_15,$G37&gt;=Hba_15,Input!AD$35&lt;&gt;""),Input!$B$35&amp;";",""),IF(AND($G37&lt;Hta_16,$G37&gt;=Hba_16,Input!AD$36&lt;&gt;""),Input!$B$36&amp;";",""),IF(AND($G37&lt;Hta_17,$G37&gt;=Hba_17,Input!AD$37&lt;&gt;""),Input!$B$37&amp;";",""),IF(AND($G37&lt;Hta_18,$G37&gt;=Hba_18,Input!AD$38&lt;&gt;""),Input!$B$38&amp;";",""),IF(AND($G37&lt;Hta_19,$G37&gt;=Hba_19,Input!AD$39&lt;&gt;""),Input!$B$39&amp;";",""),IF(AND($G37&lt;Hta_20,$G37&gt;=Hba_20,Input!AD$40&lt;&gt;""),Input!$B$40&amp;";",""),IF(AND($G37&lt;Hta_21,$G37&gt;=Hba_21,Input!AD$41&lt;&gt;""),Input!$B$41&amp;";",""),IF(AND($G37&lt;Hta_22,$G37&gt;=Hba_22,Input!AD$42&lt;&gt;""),Input!$B$42&amp;";",""),IF(AND($G37&lt;Hta_23,$G37&gt;=Hba_23,Input!AD$43&lt;&gt;""),Input!$B$43&amp;";",""),IF(AND($G37&lt;Hta_24,$G37&gt;=Hba_24,Input!AD$44&lt;&gt;""),Input!$B$44&amp;";",""),IF(AND($G37&lt;Hta_25,$G37&gt;=Hba_25,Input!AD$45&lt;&gt;""),Input!$B$45&amp;";",""),IF(AND($G37&lt;Hta_26,$G37&gt;=Hba_26,Input!AD$46&lt;&gt;""),Input!$B$46&amp;";",""),IF(AND($G37&lt;Hta_27,$G37&gt;=Hba_27,Input!AD$47&lt;&gt;""),Input!$B$47&amp;";",""),IF(AND($G37&lt;Hta_28,$G37&gt;=Hba_28,Input!AD$48&lt;&gt;""),Input!$B$48&amp;";",""),IF(AND($G37&lt;Hta_29,$G37&gt;=Hba_29,Input!AD$49&lt;&gt;""),Input!$B$49&amp;";",""),IF(AND($G37&lt;Hta_30,$G37&gt;=Hba_30,Input!AD$50&lt;&gt;""),Input!$B$50&amp;";","")),"")</f>
        <v/>
      </c>
      <c r="CF37" s="25" t="str">
        <f>IFERROR(CONCATENATE(IF(AND($G37&lt;Hta_1,$G37&gt;=Hba_1,Input!AE$21&lt;&gt;""),Input!$B$21&amp;";",""),IF(AND($G37&lt;Hta_2,$G37&gt;=Hba_2,Input!AE$22&lt;&gt;""),Input!$B$22&amp;";",""),IF(AND($G37&lt;Hta_3,$G37&gt;=Hba_3,Input!AE$23&lt;&gt;""),Input!$B$23&amp;";",""),IF(AND($G37&lt;Hta_4,$G37&gt;=Hba_4,Input!AE$24&lt;&gt;""),Input!$B$24&amp;";",""),IF(AND($G37&lt;Hta_5,$G37&gt;=Hba_5,Input!AE$25&lt;&gt;""),Input!$B$25&amp;";",""),IF(AND($G37&lt;Hta_6,$G37&gt;=Hba_6,Input!AE$26&lt;&gt;""),Input!$B$26&amp;";",""),IF(AND($G37&lt;Hta_7,$G37&gt;=Hba_7,Input!AE$27&lt;&gt;""),Input!$B$27&amp;";",""),IF(AND($G37&lt;Hta_8,$G37&gt;=Hba_8,Input!AE$28&lt;&gt;""),Input!$B$28&amp;";",""),IF(AND($G37&lt;Hta_9,$G37&gt;=Hba_9,Input!AE$29&lt;&gt;""),Input!$B$29&amp;";",""),IF(AND($G37&lt;Hta_10,$G37&gt;=Hba_10,Input!AE$30&lt;&gt;""),Input!$B$30&amp;";",""),IF(AND($G37&lt;Hta_11,$G37&gt;=Hba_11,Input!AE$31&lt;&gt;""),Input!$B$31&amp;";",""),IF(AND($G37&lt;Hta_12,$G37&gt;=Hba_12,Input!AE$32&lt;&gt;""),Input!$B$32&amp;";",""),IF(AND($G37&lt;Hta_13,$G37&gt;=Hba_13,Input!AE$33&lt;&gt;""),Input!$B$33&amp;";",""),IF(AND($G37&lt;Hta_14,$G37&gt;=Hba_14,Input!AE$34&lt;&gt;""),Input!$B$34&amp;";",""),IF(AND($G37&lt;Hta_15,$G37&gt;=Hba_15,Input!AE$35&lt;&gt;""),Input!$B$35&amp;";",""),IF(AND($G37&lt;Hta_16,$G37&gt;=Hba_16,Input!AE$36&lt;&gt;""),Input!$B$36&amp;";",""),IF(AND($G37&lt;Hta_17,$G37&gt;=Hba_17,Input!AE$37&lt;&gt;""),Input!$B$37&amp;";",""),IF(AND($G37&lt;Hta_18,$G37&gt;=Hba_18,Input!AE$38&lt;&gt;""),Input!$B$38&amp;";",""),IF(AND($G37&lt;Hta_19,$G37&gt;=Hba_19,Input!AE$39&lt;&gt;""),Input!$B$39&amp;";",""),IF(AND($G37&lt;Hta_20,$G37&gt;=Hba_20,Input!AE$40&lt;&gt;""),Input!$B$40&amp;";",""),IF(AND($G37&lt;Hta_21,$G37&gt;=Hba_21,Input!AE$41&lt;&gt;""),Input!$B$41&amp;";",""),IF(AND($G37&lt;Hta_22,$G37&gt;=Hba_22,Input!AE$42&lt;&gt;""),Input!$B$42&amp;";",""),IF(AND($G37&lt;Hta_23,$G37&gt;=Hba_23,Input!AE$43&lt;&gt;""),Input!$B$43&amp;";",""),IF(AND($G37&lt;Hta_24,$G37&gt;=Hba_24,Input!AE$44&lt;&gt;""),Input!$B$44&amp;";",""),IF(AND($G37&lt;Hta_25,$G37&gt;=Hba_25,Input!AE$45&lt;&gt;""),Input!$B$45&amp;";",""),IF(AND($G37&lt;Hta_26,$G37&gt;=Hba_26,Input!AE$46&lt;&gt;""),Input!$B$46&amp;";",""),IF(AND($G37&lt;Hta_27,$G37&gt;=Hba_27,Input!AE$47&lt;&gt;""),Input!$B$47&amp;";",""),IF(AND($G37&lt;Hta_28,$G37&gt;=Hba_28,Input!AE$48&lt;&gt;""),Input!$B$48&amp;";",""),IF(AND($G37&lt;Hta_29,$G37&gt;=Hba_29,Input!AE$49&lt;&gt;""),Input!$B$49&amp;";",""),IF(AND($G37&lt;Hta_30,$G37&gt;=Hba_30,Input!AE$50&lt;&gt;""),Input!$B$50&amp;";","")),"")</f>
        <v/>
      </c>
      <c r="CG37" s="25" t="str">
        <f>IFERROR(CONCATENATE(IF(AND($G37&lt;Hta_1,$G37&gt;=Hba_1,Input!AF$21&lt;&gt;""),Input!$B$21&amp;";",""),IF(AND($G37&lt;Hta_2,$G37&gt;=Hba_2,Input!AF$22&lt;&gt;""),Input!$B$22&amp;";",""),IF(AND($G37&lt;Hta_3,$G37&gt;=Hba_3,Input!AF$23&lt;&gt;""),Input!$B$23&amp;";",""),IF(AND($G37&lt;Hta_4,$G37&gt;=Hba_4,Input!AF$24&lt;&gt;""),Input!$B$24&amp;";",""),IF(AND($G37&lt;Hta_5,$G37&gt;=Hba_5,Input!AF$25&lt;&gt;""),Input!$B$25&amp;";",""),IF(AND($G37&lt;Hta_6,$G37&gt;=Hba_6,Input!AF$26&lt;&gt;""),Input!$B$26&amp;";",""),IF(AND($G37&lt;Hta_7,$G37&gt;=Hba_7,Input!AF$27&lt;&gt;""),Input!$B$27&amp;";",""),IF(AND($G37&lt;Hta_8,$G37&gt;=Hba_8,Input!AF$28&lt;&gt;""),Input!$B$28&amp;";",""),IF(AND($G37&lt;Hta_9,$G37&gt;=Hba_9,Input!AF$29&lt;&gt;""),Input!$B$29&amp;";",""),IF(AND($G37&lt;Hta_10,$G37&gt;=Hba_10,Input!AF$30&lt;&gt;""),Input!$B$30&amp;";",""),IF(AND($G37&lt;Hta_11,$G37&gt;=Hba_11,Input!AF$31&lt;&gt;""),Input!$B$31&amp;";",""),IF(AND($G37&lt;Hta_12,$G37&gt;=Hba_12,Input!AF$32&lt;&gt;""),Input!$B$32&amp;";",""),IF(AND($G37&lt;Hta_13,$G37&gt;=Hba_13,Input!AF$33&lt;&gt;""),Input!$B$33&amp;";",""),IF(AND($G37&lt;Hta_14,$G37&gt;=Hba_14,Input!AF$34&lt;&gt;""),Input!$B$34&amp;";",""),IF(AND($G37&lt;Hta_15,$G37&gt;=Hba_15,Input!AF$35&lt;&gt;""),Input!$B$35&amp;";",""),IF(AND($G37&lt;Hta_16,$G37&gt;=Hba_16,Input!AF$36&lt;&gt;""),Input!$B$36&amp;";",""),IF(AND($G37&lt;Hta_17,$G37&gt;=Hba_17,Input!AF$37&lt;&gt;""),Input!$B$37&amp;";",""),IF(AND($G37&lt;Hta_18,$G37&gt;=Hba_18,Input!AF$38&lt;&gt;""),Input!$B$38&amp;";",""),IF(AND($G37&lt;Hta_19,$G37&gt;=Hba_19,Input!AF$39&lt;&gt;""),Input!$B$39&amp;";",""),IF(AND($G37&lt;Hta_20,$G37&gt;=Hba_20,Input!AF$40&lt;&gt;""),Input!$B$40&amp;";",""),IF(AND($G37&lt;Hta_21,$G37&gt;=Hba_21,Input!AF$41&lt;&gt;""),Input!$B$41&amp;";",""),IF(AND($G37&lt;Hta_22,$G37&gt;=Hba_22,Input!AF$42&lt;&gt;""),Input!$B$42&amp;";",""),IF(AND($G37&lt;Hta_23,$G37&gt;=Hba_23,Input!AF$43&lt;&gt;""),Input!$B$43&amp;";",""),IF(AND($G37&lt;Hta_24,$G37&gt;=Hba_24,Input!AF$44&lt;&gt;""),Input!$B$44&amp;";",""),IF(AND($G37&lt;Hta_25,$G37&gt;=Hba_25,Input!AF$45&lt;&gt;""),Input!$B$45&amp;";",""),IF(AND($G37&lt;Hta_26,$G37&gt;=Hba_26,Input!AF$46&lt;&gt;""),Input!$B$46&amp;";",""),IF(AND($G37&lt;Hta_27,$G37&gt;=Hba_27,Input!AF$47&lt;&gt;""),Input!$B$47&amp;";",""),IF(AND($G37&lt;Hta_28,$G37&gt;=Hba_28,Input!AF$48&lt;&gt;""),Input!$B$48&amp;";",""),IF(AND($G37&lt;Hta_29,$G37&gt;=Hba_29,Input!AF$49&lt;&gt;""),Input!$B$49&amp;";",""),IF(AND($G37&lt;Hta_30,$G37&gt;=Hba_30,Input!AF$50&lt;&gt;""),Input!$B$50&amp;";","")),"")</f>
        <v/>
      </c>
      <c r="CH37" s="25" t="str">
        <f>IFERROR(CONCATENATE(IF(AND($G37&lt;Hta_1,$G37&gt;=Hba_1,Input!AG$21&lt;&gt;""),Input!$B$21&amp;";",""),IF(AND($G37&lt;Hta_2,$G37&gt;=Hba_2,Input!AG$22&lt;&gt;""),Input!$B$22&amp;";",""),IF(AND($G37&lt;Hta_3,$G37&gt;=Hba_3,Input!AG$23&lt;&gt;""),Input!$B$23&amp;";",""),IF(AND($G37&lt;Hta_4,$G37&gt;=Hba_4,Input!AG$24&lt;&gt;""),Input!$B$24&amp;";",""),IF(AND($G37&lt;Hta_5,$G37&gt;=Hba_5,Input!AG$25&lt;&gt;""),Input!$B$25&amp;";",""),IF(AND($G37&lt;Hta_6,$G37&gt;=Hba_6,Input!AG$26&lt;&gt;""),Input!$B$26&amp;";",""),IF(AND($G37&lt;Hta_7,$G37&gt;=Hba_7,Input!AG$27&lt;&gt;""),Input!$B$27&amp;";",""),IF(AND($G37&lt;Hta_8,$G37&gt;=Hba_8,Input!AG$28&lt;&gt;""),Input!$B$28&amp;";",""),IF(AND($G37&lt;Hta_9,$G37&gt;=Hba_9,Input!AG$29&lt;&gt;""),Input!$B$29&amp;";",""),IF(AND($G37&lt;Hta_10,$G37&gt;=Hba_10,Input!AG$30&lt;&gt;""),Input!$B$30&amp;";",""),IF(AND($G37&lt;Hta_11,$G37&gt;=Hba_11,Input!AG$31&lt;&gt;""),Input!$B$31&amp;";",""),IF(AND($G37&lt;Hta_12,$G37&gt;=Hba_12,Input!AG$32&lt;&gt;""),Input!$B$32&amp;";",""),IF(AND($G37&lt;Hta_13,$G37&gt;=Hba_13,Input!AG$33&lt;&gt;""),Input!$B$33&amp;";",""),IF(AND($G37&lt;Hta_14,$G37&gt;=Hba_14,Input!AG$34&lt;&gt;""),Input!$B$34&amp;";",""),IF(AND($G37&lt;Hta_15,$G37&gt;=Hba_15,Input!AG$35&lt;&gt;""),Input!$B$35&amp;";",""),IF(AND($G37&lt;Hta_16,$G37&gt;=Hba_16,Input!AG$36&lt;&gt;""),Input!$B$36&amp;";",""),IF(AND($G37&lt;Hta_17,$G37&gt;=Hba_17,Input!AG$37&lt;&gt;""),Input!$B$37&amp;";",""),IF(AND($G37&lt;Hta_18,$G37&gt;=Hba_18,Input!AG$38&lt;&gt;""),Input!$B$38&amp;";",""),IF(AND($G37&lt;Hta_19,$G37&gt;=Hba_19,Input!AG$39&lt;&gt;""),Input!$B$39&amp;";",""),IF(AND($G37&lt;Hta_20,$G37&gt;=Hba_20,Input!AG$40&lt;&gt;""),Input!$B$40&amp;";",""),IF(AND($G37&lt;Hta_21,$G37&gt;=Hba_21,Input!AG$41&lt;&gt;""),Input!$B$41&amp;";",""),IF(AND($G37&lt;Hta_22,$G37&gt;=Hba_22,Input!AG$42&lt;&gt;""),Input!$B$42&amp;";",""),IF(AND($G37&lt;Hta_23,$G37&gt;=Hba_23,Input!AG$43&lt;&gt;""),Input!$B$43&amp;";",""),IF(AND($G37&lt;Hta_24,$G37&gt;=Hba_24,Input!AG$44&lt;&gt;""),Input!$B$44&amp;";",""),IF(AND($G37&lt;Hta_25,$G37&gt;=Hba_25,Input!AG$45&lt;&gt;""),Input!$B$45&amp;";",""),IF(AND($G37&lt;Hta_26,$G37&gt;=Hba_26,Input!AG$46&lt;&gt;""),Input!$B$46&amp;";",""),IF(AND($G37&lt;Hta_27,$G37&gt;=Hba_27,Input!AG$47&lt;&gt;""),Input!$B$47&amp;";",""),IF(AND($G37&lt;Hta_28,$G37&gt;=Hba_28,Input!AG$48&lt;&gt;""),Input!$B$48&amp;";",""),IF(AND($G37&lt;Hta_29,$G37&gt;=Hba_29,Input!AG$49&lt;&gt;""),Input!$B$49&amp;";",""),IF(AND($G37&lt;Hta_30,$G37&gt;=Hba_30,Input!AG$50&lt;&gt;""),Input!$B$50&amp;";","")),"")</f>
        <v/>
      </c>
      <c r="CI37" s="25" t="str">
        <f>IFERROR(CONCATENATE(IF(AND($G37&lt;Hta_1,$G37&gt;=Hba_1,Input!AH$21&lt;&gt;""),Input!$B$21&amp;";",""),IF(AND($G37&lt;Hta_2,$G37&gt;=Hba_2,Input!AH$22&lt;&gt;""),Input!$B$22&amp;";",""),IF(AND($G37&lt;Hta_3,$G37&gt;=Hba_3,Input!AH$23&lt;&gt;""),Input!$B$23&amp;";",""),IF(AND($G37&lt;Hta_4,$G37&gt;=Hba_4,Input!AH$24&lt;&gt;""),Input!$B$24&amp;";",""),IF(AND($G37&lt;Hta_5,$G37&gt;=Hba_5,Input!AH$25&lt;&gt;""),Input!$B$25&amp;";",""),IF(AND($G37&lt;Hta_6,$G37&gt;=Hba_6,Input!AH$26&lt;&gt;""),Input!$B$26&amp;";",""),IF(AND($G37&lt;Hta_7,$G37&gt;=Hba_7,Input!AH$27&lt;&gt;""),Input!$B$27&amp;";",""),IF(AND($G37&lt;Hta_8,$G37&gt;=Hba_8,Input!AH$28&lt;&gt;""),Input!$B$28&amp;";",""),IF(AND($G37&lt;Hta_9,$G37&gt;=Hba_9,Input!AH$29&lt;&gt;""),Input!$B$29&amp;";",""),IF(AND($G37&lt;Hta_10,$G37&gt;=Hba_10,Input!AH$30&lt;&gt;""),Input!$B$30&amp;";",""),IF(AND($G37&lt;Hta_11,$G37&gt;=Hba_11,Input!AH$31&lt;&gt;""),Input!$B$31&amp;";",""),IF(AND($G37&lt;Hta_12,$G37&gt;=Hba_12,Input!AH$32&lt;&gt;""),Input!$B$32&amp;";",""),IF(AND($G37&lt;Hta_13,$G37&gt;=Hba_13,Input!AH$33&lt;&gt;""),Input!$B$33&amp;";",""),IF(AND($G37&lt;Hta_14,$G37&gt;=Hba_14,Input!AH$34&lt;&gt;""),Input!$B$34&amp;";",""),IF(AND($G37&lt;Hta_15,$G37&gt;=Hba_15,Input!AH$35&lt;&gt;""),Input!$B$35&amp;";",""),IF(AND($G37&lt;Hta_16,$G37&gt;=Hba_16,Input!AH$36&lt;&gt;""),Input!$B$36&amp;";",""),IF(AND($G37&lt;Hta_17,$G37&gt;=Hba_17,Input!AH$37&lt;&gt;""),Input!$B$37&amp;";",""),IF(AND($G37&lt;Hta_18,$G37&gt;=Hba_18,Input!AH$38&lt;&gt;""),Input!$B$38&amp;";",""),IF(AND($G37&lt;Hta_19,$G37&gt;=Hba_19,Input!AH$39&lt;&gt;""),Input!$B$39&amp;";",""),IF(AND($G37&lt;Hta_20,$G37&gt;=Hba_20,Input!AH$40&lt;&gt;""),Input!$B$40&amp;";",""),IF(AND($G37&lt;Hta_21,$G37&gt;=Hba_21,Input!AH$41&lt;&gt;""),Input!$B$41&amp;";",""),IF(AND($G37&lt;Hta_22,$G37&gt;=Hba_22,Input!AH$42&lt;&gt;""),Input!$B$42&amp;";",""),IF(AND($G37&lt;Hta_23,$G37&gt;=Hba_23,Input!AH$43&lt;&gt;""),Input!$B$43&amp;";",""),IF(AND($G37&lt;Hta_24,$G37&gt;=Hba_24,Input!AH$44&lt;&gt;""),Input!$B$44&amp;";",""),IF(AND($G37&lt;Hta_25,$G37&gt;=Hba_25,Input!AH$45&lt;&gt;""),Input!$B$45&amp;";",""),IF(AND($G37&lt;Hta_26,$G37&gt;=Hba_26,Input!AH$46&lt;&gt;""),Input!$B$46&amp;";",""),IF(AND($G37&lt;Hta_27,$G37&gt;=Hba_27,Input!AH$47&lt;&gt;""),Input!$B$47&amp;";",""),IF(AND($G37&lt;Hta_28,$G37&gt;=Hba_28,Input!AH$48&lt;&gt;""),Input!$B$48&amp;";",""),IF(AND($G37&lt;Hta_29,$G37&gt;=Hba_29,Input!AH$49&lt;&gt;""),Input!$B$49&amp;";",""),IF(AND($G37&lt;Hta_30,$G37&gt;=Hba_30,Input!AH$50&lt;&gt;""),Input!$B$50&amp;";","")),"")</f>
        <v/>
      </c>
      <c r="CJ37" s="25" t="str">
        <f>IFERROR(CONCATENATE(IF(AND($G37&lt;Hta_1,$G37&gt;=Hba_1,Input!AI$21&lt;&gt;""),Input!$B$21&amp;";",""),IF(AND($G37&lt;Hta_2,$G37&gt;=Hba_2,Input!AI$22&lt;&gt;""),Input!$B$22&amp;";",""),IF(AND($G37&lt;Hta_3,$G37&gt;=Hba_3,Input!AI$23&lt;&gt;""),Input!$B$23&amp;";",""),IF(AND($G37&lt;Hta_4,$G37&gt;=Hba_4,Input!AI$24&lt;&gt;""),Input!$B$24&amp;";",""),IF(AND($G37&lt;Hta_5,$G37&gt;=Hba_5,Input!AI$25&lt;&gt;""),Input!$B$25&amp;";",""),IF(AND($G37&lt;Hta_6,$G37&gt;=Hba_6,Input!AI$26&lt;&gt;""),Input!$B$26&amp;";",""),IF(AND($G37&lt;Hta_7,$G37&gt;=Hba_7,Input!AI$27&lt;&gt;""),Input!$B$27&amp;";",""),IF(AND($G37&lt;Hta_8,$G37&gt;=Hba_8,Input!AI$28&lt;&gt;""),Input!$B$28&amp;";",""),IF(AND($G37&lt;Hta_9,$G37&gt;=Hba_9,Input!AI$29&lt;&gt;""),Input!$B$29&amp;";",""),IF(AND($G37&lt;Hta_10,$G37&gt;=Hba_10,Input!AI$30&lt;&gt;""),Input!$B$30&amp;";",""),IF(AND($G37&lt;Hta_11,$G37&gt;=Hba_11,Input!AI$31&lt;&gt;""),Input!$B$31&amp;";",""),IF(AND($G37&lt;Hta_12,$G37&gt;=Hba_12,Input!AI$32&lt;&gt;""),Input!$B$32&amp;";",""),IF(AND($G37&lt;Hta_13,$G37&gt;=Hba_13,Input!AI$33&lt;&gt;""),Input!$B$33&amp;";",""),IF(AND($G37&lt;Hta_14,$G37&gt;=Hba_14,Input!AI$34&lt;&gt;""),Input!$B$34&amp;";",""),IF(AND($G37&lt;Hta_15,$G37&gt;=Hba_15,Input!AI$35&lt;&gt;""),Input!$B$35&amp;";",""),IF(AND($G37&lt;Hta_16,$G37&gt;=Hba_16,Input!AI$36&lt;&gt;""),Input!$B$36&amp;";",""),IF(AND($G37&lt;Hta_17,$G37&gt;=Hba_17,Input!AI$37&lt;&gt;""),Input!$B$37&amp;";",""),IF(AND($G37&lt;Hta_18,$G37&gt;=Hba_18,Input!AI$38&lt;&gt;""),Input!$B$38&amp;";",""),IF(AND($G37&lt;Hta_19,$G37&gt;=Hba_19,Input!AI$39&lt;&gt;""),Input!$B$39&amp;";",""),IF(AND($G37&lt;Hta_20,$G37&gt;=Hba_20,Input!AI$40&lt;&gt;""),Input!$B$40&amp;";",""),IF(AND($G37&lt;Hta_21,$G37&gt;=Hba_21,Input!AI$41&lt;&gt;""),Input!$B$41&amp;";",""),IF(AND($G37&lt;Hta_22,$G37&gt;=Hba_22,Input!AI$42&lt;&gt;""),Input!$B$42&amp;";",""),IF(AND($G37&lt;Hta_23,$G37&gt;=Hba_23,Input!AI$43&lt;&gt;""),Input!$B$43&amp;";",""),IF(AND($G37&lt;Hta_24,$G37&gt;=Hba_24,Input!AI$44&lt;&gt;""),Input!$B$44&amp;";",""),IF(AND($G37&lt;Hta_25,$G37&gt;=Hba_25,Input!AI$45&lt;&gt;""),Input!$B$45&amp;";",""),IF(AND($G37&lt;Hta_26,$G37&gt;=Hba_26,Input!AI$46&lt;&gt;""),Input!$B$46&amp;";",""),IF(AND($G37&lt;Hta_27,$G37&gt;=Hba_27,Input!AI$47&lt;&gt;""),Input!$B$47&amp;";",""),IF(AND($G37&lt;Hta_28,$G37&gt;=Hba_28,Input!AI$48&lt;&gt;""),Input!$B$48&amp;";",""),IF(AND($G37&lt;Hta_29,$G37&gt;=Hba_29,Input!AI$49&lt;&gt;""),Input!$B$49&amp;";",""),IF(AND($G37&lt;Hta_30,$G37&gt;=Hba_30,Input!AI$50&lt;&gt;""),Input!$B$50&amp;";","")),"")</f>
        <v/>
      </c>
      <c r="CK37" s="25" t="str">
        <f>IFERROR(CONCATENATE(IF(AND($G37&lt;Hta_1,$G37&gt;=Hba_1,Input!AJ$21&lt;&gt;""),Input!$B$21&amp;";",""),IF(AND($G37&lt;Hta_2,$G37&gt;=Hba_2,Input!AJ$22&lt;&gt;""),Input!$B$22&amp;";",""),IF(AND($G37&lt;Hta_3,$G37&gt;=Hba_3,Input!AJ$23&lt;&gt;""),Input!$B$23&amp;";",""),IF(AND($G37&lt;Hta_4,$G37&gt;=Hba_4,Input!AJ$24&lt;&gt;""),Input!$B$24&amp;";",""),IF(AND($G37&lt;Hta_5,$G37&gt;=Hba_5,Input!AJ$25&lt;&gt;""),Input!$B$25&amp;";",""),IF(AND($G37&lt;Hta_6,$G37&gt;=Hba_6,Input!AJ$26&lt;&gt;""),Input!$B$26&amp;";",""),IF(AND($G37&lt;Hta_7,$G37&gt;=Hba_7,Input!AJ$27&lt;&gt;""),Input!$B$27&amp;";",""),IF(AND($G37&lt;Hta_8,$G37&gt;=Hba_8,Input!AJ$28&lt;&gt;""),Input!$B$28&amp;";",""),IF(AND($G37&lt;Hta_9,$G37&gt;=Hba_9,Input!AJ$29&lt;&gt;""),Input!$B$29&amp;";",""),IF(AND($G37&lt;Hta_10,$G37&gt;=Hba_10,Input!AJ$30&lt;&gt;""),Input!$B$30&amp;";",""),IF(AND($G37&lt;Hta_11,$G37&gt;=Hba_11,Input!AJ$31&lt;&gt;""),Input!$B$31&amp;";",""),IF(AND($G37&lt;Hta_12,$G37&gt;=Hba_12,Input!AJ$32&lt;&gt;""),Input!$B$32&amp;";",""),IF(AND($G37&lt;Hta_13,$G37&gt;=Hba_13,Input!AJ$33&lt;&gt;""),Input!$B$33&amp;";",""),IF(AND($G37&lt;Hta_14,$G37&gt;=Hba_14,Input!AJ$34&lt;&gt;""),Input!$B$34&amp;";",""),IF(AND($G37&lt;Hta_15,$G37&gt;=Hba_15,Input!AJ$35&lt;&gt;""),Input!$B$35&amp;";",""),IF(AND($G37&lt;Hta_16,$G37&gt;=Hba_16,Input!AJ$36&lt;&gt;""),Input!$B$36&amp;";",""),IF(AND($G37&lt;Hta_17,$G37&gt;=Hba_17,Input!AJ$37&lt;&gt;""),Input!$B$37&amp;";",""),IF(AND($G37&lt;Hta_18,$G37&gt;=Hba_18,Input!AJ$38&lt;&gt;""),Input!$B$38&amp;";",""),IF(AND($G37&lt;Hta_19,$G37&gt;=Hba_19,Input!AJ$39&lt;&gt;""),Input!$B$39&amp;";",""),IF(AND($G37&lt;Hta_20,$G37&gt;=Hba_20,Input!AJ$40&lt;&gt;""),Input!$B$40&amp;";",""),IF(AND($G37&lt;Hta_21,$G37&gt;=Hba_21,Input!AJ$41&lt;&gt;""),Input!$B$41&amp;";",""),IF(AND($G37&lt;Hta_22,$G37&gt;=Hba_22,Input!AJ$42&lt;&gt;""),Input!$B$42&amp;";",""),IF(AND($G37&lt;Hta_23,$G37&gt;=Hba_23,Input!AJ$43&lt;&gt;""),Input!$B$43&amp;";",""),IF(AND($G37&lt;Hta_24,$G37&gt;=Hba_24,Input!AJ$44&lt;&gt;""),Input!$B$44&amp;";",""),IF(AND($G37&lt;Hta_25,$G37&gt;=Hba_25,Input!AJ$45&lt;&gt;""),Input!$B$45&amp;";",""),IF(AND($G37&lt;Hta_26,$G37&gt;=Hba_26,Input!AJ$46&lt;&gt;""),Input!$B$46&amp;";",""),IF(AND($G37&lt;Hta_27,$G37&gt;=Hba_27,Input!AJ$47&lt;&gt;""),Input!$B$47&amp;";",""),IF(AND($G37&lt;Hta_28,$G37&gt;=Hba_28,Input!AJ$48&lt;&gt;""),Input!$B$48&amp;";",""),IF(AND($G37&lt;Hta_29,$G37&gt;=Hba_29,Input!AJ$49&lt;&gt;""),Input!$B$49&amp;";",""),IF(AND($G37&lt;Hta_30,$G37&gt;=Hba_30,Input!AJ$50&lt;&gt;""),Input!$B$50&amp;";","")),"")</f>
        <v/>
      </c>
      <c r="CL37" s="25" t="str">
        <f>IFERROR(CONCATENATE(IF(AND($G37&lt;Hta_1,$G37&gt;=Hba_1,Input!AK$21&lt;&gt;""),Input!$B$21&amp;";",""),IF(AND($G37&lt;Hta_2,$G37&gt;=Hba_2,Input!AK$22&lt;&gt;""),Input!$B$22&amp;";",""),IF(AND($G37&lt;Hta_3,$G37&gt;=Hba_3,Input!AK$23&lt;&gt;""),Input!$B$23&amp;";",""),IF(AND($G37&lt;Hta_4,$G37&gt;=Hba_4,Input!AK$24&lt;&gt;""),Input!$B$24&amp;";",""),IF(AND($G37&lt;Hta_5,$G37&gt;=Hba_5,Input!AK$25&lt;&gt;""),Input!$B$25&amp;";",""),IF(AND($G37&lt;Hta_6,$G37&gt;=Hba_6,Input!AK$26&lt;&gt;""),Input!$B$26&amp;";",""),IF(AND($G37&lt;Hta_7,$G37&gt;=Hba_7,Input!AK$27&lt;&gt;""),Input!$B$27&amp;";",""),IF(AND($G37&lt;Hta_8,$G37&gt;=Hba_8,Input!AK$28&lt;&gt;""),Input!$B$28&amp;";",""),IF(AND($G37&lt;Hta_9,$G37&gt;=Hba_9,Input!AK$29&lt;&gt;""),Input!$B$29&amp;";",""),IF(AND($G37&lt;Hta_10,$G37&gt;=Hba_10,Input!AK$30&lt;&gt;""),Input!$B$30&amp;";",""),IF(AND($G37&lt;Hta_11,$G37&gt;=Hba_11,Input!AK$31&lt;&gt;""),Input!$B$31&amp;";",""),IF(AND($G37&lt;Hta_12,$G37&gt;=Hba_12,Input!AK$32&lt;&gt;""),Input!$B$32&amp;";",""),IF(AND($G37&lt;Hta_13,$G37&gt;=Hba_13,Input!AK$33&lt;&gt;""),Input!$B$33&amp;";",""),IF(AND($G37&lt;Hta_14,$G37&gt;=Hba_14,Input!AK$34&lt;&gt;""),Input!$B$34&amp;";",""),IF(AND($G37&lt;Hta_15,$G37&gt;=Hba_15,Input!AK$35&lt;&gt;""),Input!$B$35&amp;";",""),IF(AND($G37&lt;Hta_16,$G37&gt;=Hba_16,Input!AK$36&lt;&gt;""),Input!$B$36&amp;";",""),IF(AND($G37&lt;Hta_17,$G37&gt;=Hba_17,Input!AK$37&lt;&gt;""),Input!$B$37&amp;";",""),IF(AND($G37&lt;Hta_18,$G37&gt;=Hba_18,Input!AK$38&lt;&gt;""),Input!$B$38&amp;";",""),IF(AND($G37&lt;Hta_19,$G37&gt;=Hba_19,Input!AK$39&lt;&gt;""),Input!$B$39&amp;";",""),IF(AND($G37&lt;Hta_20,$G37&gt;=Hba_20,Input!AK$40&lt;&gt;""),Input!$B$40&amp;";",""),IF(AND($G37&lt;Hta_21,$G37&gt;=Hba_21,Input!AK$41&lt;&gt;""),Input!$B$41&amp;";",""),IF(AND($G37&lt;Hta_22,$G37&gt;=Hba_22,Input!AK$42&lt;&gt;""),Input!$B$42&amp;";",""),IF(AND($G37&lt;Hta_23,$G37&gt;=Hba_23,Input!AK$43&lt;&gt;""),Input!$B$43&amp;";",""),IF(AND($G37&lt;Hta_24,$G37&gt;=Hba_24,Input!AK$44&lt;&gt;""),Input!$B$44&amp;";",""),IF(AND($G37&lt;Hta_25,$G37&gt;=Hba_25,Input!AK$45&lt;&gt;""),Input!$B$45&amp;";",""),IF(AND($G37&lt;Hta_26,$G37&gt;=Hba_26,Input!AK$46&lt;&gt;""),Input!$B$46&amp;";",""),IF(AND($G37&lt;Hta_27,$G37&gt;=Hba_27,Input!AK$47&lt;&gt;""),Input!$B$47&amp;";",""),IF(AND($G37&lt;Hta_28,$G37&gt;=Hba_28,Input!AK$48&lt;&gt;""),Input!$B$48&amp;";",""),IF(AND($G37&lt;Hta_29,$G37&gt;=Hba_29,Input!AK$49&lt;&gt;""),Input!$B$49&amp;";",""),IF(AND($G37&lt;Hta_30,$G37&gt;=Hba_30,Input!AK$50&lt;&gt;""),Input!$B$50&amp;";","")),"")</f>
        <v/>
      </c>
      <c r="CM37" s="25" t="str">
        <f>IFERROR(CONCATENATE(IF(AND($G37&lt;Hta_1,$G37&gt;=Hba_1,Input!AL$21&lt;&gt;""),Input!$B$21&amp;";",""),IF(AND($G37&lt;Hta_2,$G37&gt;=Hba_2,Input!AL$22&lt;&gt;""),Input!$B$22&amp;";",""),IF(AND($G37&lt;Hta_3,$G37&gt;=Hba_3,Input!AL$23&lt;&gt;""),Input!$B$23&amp;";",""),IF(AND($G37&lt;Hta_4,$G37&gt;=Hba_4,Input!AL$24&lt;&gt;""),Input!$B$24&amp;";",""),IF(AND($G37&lt;Hta_5,$G37&gt;=Hba_5,Input!AL$25&lt;&gt;""),Input!$B$25&amp;";",""),IF(AND($G37&lt;Hta_6,$G37&gt;=Hba_6,Input!AL$26&lt;&gt;""),Input!$B$26&amp;";",""),IF(AND($G37&lt;Hta_7,$G37&gt;=Hba_7,Input!AL$27&lt;&gt;""),Input!$B$27&amp;";",""),IF(AND($G37&lt;Hta_8,$G37&gt;=Hba_8,Input!AL$28&lt;&gt;""),Input!$B$28&amp;";",""),IF(AND($G37&lt;Hta_9,$G37&gt;=Hba_9,Input!AL$29&lt;&gt;""),Input!$B$29&amp;";",""),IF(AND($G37&lt;Hta_10,$G37&gt;=Hba_10,Input!AL$30&lt;&gt;""),Input!$B$30&amp;";",""),IF(AND($G37&lt;Hta_11,$G37&gt;=Hba_11,Input!AL$31&lt;&gt;""),Input!$B$31&amp;";",""),IF(AND($G37&lt;Hta_12,$G37&gt;=Hba_12,Input!AL$32&lt;&gt;""),Input!$B$32&amp;";",""),IF(AND($G37&lt;Hta_13,$G37&gt;=Hba_13,Input!AL$33&lt;&gt;""),Input!$B$33&amp;";",""),IF(AND($G37&lt;Hta_14,$G37&gt;=Hba_14,Input!AL$34&lt;&gt;""),Input!$B$34&amp;";",""),IF(AND($G37&lt;Hta_15,$G37&gt;=Hba_15,Input!AL$35&lt;&gt;""),Input!$B$35&amp;";",""),IF(AND($G37&lt;Hta_16,$G37&gt;=Hba_16,Input!AL$36&lt;&gt;""),Input!$B$36&amp;";",""),IF(AND($G37&lt;Hta_17,$G37&gt;=Hba_17,Input!AL$37&lt;&gt;""),Input!$B$37&amp;";",""),IF(AND($G37&lt;Hta_18,$G37&gt;=Hba_18,Input!AL$38&lt;&gt;""),Input!$B$38&amp;";",""),IF(AND($G37&lt;Hta_19,$G37&gt;=Hba_19,Input!AL$39&lt;&gt;""),Input!$B$39&amp;";",""),IF(AND($G37&lt;Hta_20,$G37&gt;=Hba_20,Input!AL$40&lt;&gt;""),Input!$B$40&amp;";",""),IF(AND($G37&lt;Hta_21,$G37&gt;=Hba_21,Input!AL$41&lt;&gt;""),Input!$B$41&amp;";",""),IF(AND($G37&lt;Hta_22,$G37&gt;=Hba_22,Input!AL$42&lt;&gt;""),Input!$B$42&amp;";",""),IF(AND($G37&lt;Hta_23,$G37&gt;=Hba_23,Input!AL$43&lt;&gt;""),Input!$B$43&amp;";",""),IF(AND($G37&lt;Hta_24,$G37&gt;=Hba_24,Input!AL$44&lt;&gt;""),Input!$B$44&amp;";",""),IF(AND($G37&lt;Hta_25,$G37&gt;=Hba_25,Input!AL$45&lt;&gt;""),Input!$B$45&amp;";",""),IF(AND($G37&lt;Hta_26,$G37&gt;=Hba_26,Input!AL$46&lt;&gt;""),Input!$B$46&amp;";",""),IF(AND($G37&lt;Hta_27,$G37&gt;=Hba_27,Input!AL$47&lt;&gt;""),Input!$B$47&amp;";",""),IF(AND($G37&lt;Hta_28,$G37&gt;=Hba_28,Input!AL$48&lt;&gt;""),Input!$B$48&amp;";",""),IF(AND($G37&lt;Hta_29,$G37&gt;=Hba_29,Input!AL$49&lt;&gt;""),Input!$B$49&amp;";",""),IF(AND($G37&lt;Hta_30,$G37&gt;=Hba_30,Input!AL$50&lt;&gt;""),Input!$B$50&amp;";","")),"")</f>
        <v/>
      </c>
      <c r="CN37" s="60" t="str">
        <f t="shared" si="6"/>
        <v/>
      </c>
      <c r="CO37" s="798"/>
      <c r="CP37" s="799"/>
      <c r="CQ37" s="800"/>
      <c r="CR37" s="798"/>
      <c r="CS37" s="799"/>
      <c r="CT37" s="800"/>
      <c r="CU37" s="798" t="str">
        <f t="shared" si="7"/>
        <v/>
      </c>
      <c r="CV37" s="799"/>
      <c r="CW37" s="806"/>
      <c r="CX37" s="726"/>
      <c r="CY37" s="727"/>
      <c r="CZ37" s="732"/>
      <c r="DA37" s="726"/>
      <c r="DB37" s="727"/>
      <c r="DC37" s="732"/>
      <c r="DD37" s="726" t="str">
        <f t="shared" si="8"/>
        <v/>
      </c>
      <c r="DE37" s="727"/>
      <c r="DF37" s="728"/>
      <c r="DG37" s="53"/>
      <c r="DH37" s="54"/>
      <c r="DI37" s="54"/>
      <c r="DJ37" s="54"/>
      <c r="DK37" s="54"/>
      <c r="DL37" s="54"/>
      <c r="DM37" s="54"/>
      <c r="DN37" s="54"/>
      <c r="DO37" s="54"/>
      <c r="DP37" s="54"/>
      <c r="DQ37" s="57"/>
      <c r="DR37" s="57"/>
      <c r="DS37" s="57"/>
      <c r="DT37" s="57"/>
      <c r="DU37" s="57"/>
      <c r="DV37" s="57"/>
      <c r="DW37" s="57"/>
      <c r="DX37" s="57"/>
      <c r="DY37" s="57"/>
      <c r="DZ37" s="57"/>
      <c r="EA37" s="57"/>
      <c r="EB37" s="57"/>
      <c r="EC37" s="57"/>
      <c r="ED37" s="57"/>
      <c r="EE37" s="57"/>
      <c r="EF37" s="57"/>
      <c r="EG37" s="57"/>
      <c r="EH37" s="57"/>
      <c r="EI37" s="57"/>
      <c r="EJ37" s="57"/>
      <c r="EK37" s="57"/>
      <c r="EL37" s="133"/>
      <c r="EM37" s="133"/>
      <c r="EN37" s="133"/>
      <c r="EO37" s="133"/>
      <c r="EP37" s="133"/>
      <c r="EQ37" s="133"/>
      <c r="ER37" s="133"/>
      <c r="ES37" s="133"/>
      <c r="ET37" s="133"/>
      <c r="EU37" s="133"/>
      <c r="EV37" s="133"/>
      <c r="EW37" s="133"/>
      <c r="EX37" s="133"/>
      <c r="EY37" s="133"/>
      <c r="EZ37" s="133"/>
      <c r="FA37" s="133"/>
      <c r="FB37" s="133"/>
      <c r="FC37" s="133"/>
      <c r="FD37" s="133"/>
      <c r="FE37" s="133"/>
      <c r="FF37" s="133"/>
      <c r="FG37" s="133"/>
      <c r="FH37" s="133"/>
      <c r="FI37" s="133"/>
      <c r="FJ37" s="133"/>
      <c r="FK37" s="133"/>
      <c r="FL37" s="133"/>
      <c r="FM37" s="133"/>
      <c r="FN37" s="133"/>
      <c r="FO37" s="133"/>
      <c r="FP37" s="65"/>
      <c r="FQ37" s="125"/>
      <c r="FR37" s="123"/>
      <c r="FS37" s="121"/>
      <c r="FT37" s="119"/>
    </row>
    <row r="38" spans="2:176" ht="15.75" hidden="1" customHeight="1" thickBot="1" x14ac:dyDescent="0.3">
      <c r="B38" s="62" t="b">
        <f>IF(OR(AND(G38&gt;='Geometry 2'!$AK$5,G38&lt;'Geometry 2'!$AL$5),AND(G38&gt;='Geometry 2'!$AK$6,G38&lt;'Geometry 2'!$AL$6),AND(G38&gt;='Geometry 2'!$AK$7,G38&lt;'Geometry 2'!$AL$7),AND(G38&gt;='Geometry 2'!$AK$8,G38&lt;'Geometry 2'!$AL$8),AND(G38&gt;='Geometry 2'!$AK$9,G38&lt;'Geometry 2'!$AL$9),AND(G38&gt;='Geometry 2'!$AK$10,G38&lt;'Geometry 2'!$AL$10),AND(G38&gt;='Geometry 2'!$AK$11,G38&lt;'Geometry 2'!$AL$11),AND(G38&gt;='Geometry 2'!$AK$12,G38&lt;'Geometry 2'!$AL$12),AND(G38&gt;='Geometry 2'!$AK$13,G38&lt;'Geometry 2'!$AL$13),AND(G38&gt;='Geometry 2'!$AK$14,G38&lt;'Geometry 2'!$AL$14)),TRUE,FALSE)</f>
        <v>0</v>
      </c>
      <c r="C38" s="4" t="str">
        <f t="shared" si="3"/>
        <v/>
      </c>
      <c r="D38" s="766" t="str">
        <f t="shared" si="4"/>
        <v/>
      </c>
      <c r="E38" s="767"/>
      <c r="F38" s="17" t="str">
        <f t="shared" si="2"/>
        <v/>
      </c>
      <c r="G38" s="768" t="str">
        <f>IF(D38="","",MAX(0,G37-IF(inc="n/a",999,inc),MAX(IF(G37&lt;=Hta_1,0,Hta_1),IF(G37&lt;=Hta_2,0,Hta_2),IF(G37&lt;=Hta_3,0,Hta_3),IF(G37&lt;=Hta_4,0,Hta_4),IF(G37&lt;=Hta_5,0,Hta_5),IF(G37&lt;=Hta_6,0,Hta_6),IF(G37&lt;=Hta_7,0,Hta_7),IF(G37&lt;=Hta_8,0,Hta_8),IF(G37&lt;=Hta_9,0,Hta_9),IF(G37&lt;=Hta_10,0,Hta_10),IF(G37&lt;=Hta_11,0,Hta_11),IF(G37&lt;=Hta_12,0,Hta_12),IF(G37&lt;=Hta_13,0,Hta_13),IF(G37&lt;=Hta_14,0,Hta_14),IF(G37&lt;=Hta_15,0,Hta_15),IF(G37&lt;=Hta_16,0,Hta_16),IF(G37&lt;=Hta_17,0,Hta_17),IF(G37&lt;=Hta_18,0,Hta_18),IF(G37&lt;=Hta_19,0,Hta_19),IF(G37&lt;=Hta_20,0,Hta_20),IF(G37&lt;=Hta_21,0,Hta_21),IF(G37&lt;=Hta_22,0,Hta_22),IF(G37&lt;=Hta_23,0,Hta_23),IF(G37&lt;=Hta_24,0,Hta_24),IF(G37&lt;=Hta_25,0,Hta_25),IF(G37&lt;=Hta_26,0,Hta_26),IF(G37&lt;=Hta_27,0,Hta_27),IF(G37&lt;=Hta_28,0,Hta_28),IF(G37&lt;=Hta_29,0,Hta_29),IF(G37&lt;=Hta_30,0,Hta_30)),MAX(IF(G37&lt;=Hta_1-0.25,0,Hta_1-0.25),IF(G37&lt;=Hta_2-0.25,0,Hta_2-0.25),IF(G37&lt;=Hta_3-0.25,0,Hta_3-0.25),IF(G37&lt;=Hta_4-0.25,0,Hta_4-0.25),IF(G37&lt;=Hta_5-0.25,0,Hta_5-0.25),IF(G37&lt;=Hta_6-0.25,0,Hta_6-0.25),IF(G37&lt;=Hta_7-0.25,0,Hta_7-0.25),IF(G37&lt;=Hta_8-0.25,0,Hta_8-0.25),IF(G37&lt;=Hta_9-0.25,0,Hta_9-0.25),IF(G37&lt;=Hta_10-0.25,0,Hta_10-0.25),IF(G37&lt;=Hta_11-0.25,0,Hta_11-0.25),IF(G37&lt;=Hta_12-0.25,0,Hta_12-0.25),IF(G37&lt;=Hta_13-0.25,0,Hta_13-0.25),IF(G37&lt;=Hta_14-0.25,0,Hta_14-0.25),IF(G37&lt;=Hta_15-0.25,0,Hta_15-0.25),IF(G37&lt;=Hta_16-0.25,0,Hta_16-0.25),IF(G37&lt;=Hta_17-0.25,0,Hta_17-0.25),IF(G37&lt;=Hta_18-0.25,0,Hta_18-0.25),IF(G37&lt;=Hta_19-0.25,0,Hta_19-0.25),IF(G37&lt;=Hta_20-0.25,0,Hta_20-0.25),IF(G37&lt;=Hta_21-0.25,0,Hta_21-0.25),IF(G37&lt;=Hta_22-0.25,0,Hta_22-0.25),IF(G37&lt;=Hta_23-0.25,0,Hta_23-0.25),IF(G37&lt;=Hta_24-0.25,0,Hta_24-0.25),IF(G37&lt;=Hta_25-0.25,0,Hta_25-0.25),IF(G37&lt;=Hta_26-0.25,0,Hta_26-0.25),IF(G37&lt;=Hta_27-0.25,0,Hta_27-0.25),IF(G37&lt;=Hta_28-0.25,0,Hta_28-0.25),IF(G37&lt;=Hta_29-0.25,0,Hta_29-0.25),IF(G37&lt;=Hta_30-0.25,0,Hta_30-0.25)),MAX(IF(G37&lt;=Hba_1,0,Hba_1),IF(G37&lt;=Hba_2,0,Hba_2),IF(G37&lt;=Hba_3,0,Hba_3),IF(G37&lt;=Hba_4,0,Hba_4),IF(G37&lt;=Hba_5,0,Hba_5),IF(G37&lt;=Hba_6,0,Hba_6),IF(G37&lt;=Hba_7,0,Hba_7),IF(G37&lt;=Hba_8,0,Hba_8),IF(G37&lt;=Hba_9,0,Hba_9),IF(G37&lt;=Hba_10,0,Hba_10),IF(G37&lt;=Hba_11,0,Hba_11),IF(G37&lt;=Hba_12,0,Hba_12),IF(G37&lt;=Hba_13,0,Hba_13),IF(G37&lt;=Hba_14,0,Hba_14),IF(G37&lt;=Hba_15,0,Hba_15),IF(G37&lt;=Hba_16,0,Hba_16),IF(G37&lt;=Hba_17,0,Hba_17),IF(G37&lt;=Hba_18,0,Hba_18),IF(G37&lt;=Hba_19,0,Hba_19),IF(G37&lt;=Hba_20,0,Hba_20),IF(G37&lt;=Hba_21,0,Hba_21),IF(G37&lt;=Hba_22,0,Hba_22),IF(G37&lt;=Hba_23,0,Hba_23),IF(G37&lt;=Hba_24,0,Hba_24),IF(G37&lt;=Hba_25,0,Hba_25),IF(G37&lt;=Hba_26,0,Hba_26),IF(G37&lt;=Hba_27,0,Hba_27),IF(G37&lt;=Hba_28,0,Hba_28),IF(G37&lt;=Hba_29,0,Hba_29),IF(G37&lt;=Hba_30,0,Hba_30)),MAX(IF(G37&lt;=Input!$C$8,0,Input!$C$8),IF(G37&lt;=Input!$C$9,0,Input!$C$9),IF(G37&lt;=Input!$C$10,0,Input!$C$10),IF(G37&lt;=Input!$C$11,0,Input!$C$11),IF(G37&lt;=Input!$C$12,0,Input!$C$12),IF(G37&lt;=Input!$C$13,0,Input!$C$13),IF(G37&lt;=Input!$C$14,0,Input!$C$14),IF(G37&lt;=Input!$C$15,0,Input!$C$15),IF(G37&lt;=Input!$C$16,0,Input!$C$16)),MAX(IF(G37&lt;=Hba_1-0.25,0,Hba_1-0.25),IF(G37&lt;=Hba_2-0.25,0,Hba_2-0.25),IF(G37&lt;=Hba_3-0.25,0,Hba_3-0.25),IF(G37&lt;=Hba_4-0.25,0,Hba_4-0.25),IF(G37&lt;=Hba_5-0.25,0,Hba_5-0.25),IF(G37&lt;=Hba_6-0.25,0,Hba_6-0.25),IF(G37&lt;=Hba_7-0.25,0,Hba_7-0.25),IF(G37&lt;=Hba_8-0.25,0,Hba_8-0.25),IF(G37&lt;=Hba_9-0.25,0,Hba_9-0.25),IF(G37&lt;=Hba_10-0.25,0,Hba_10-0.25),IF(G37&lt;=Hba_11-0.25,0,Hba_11-0.25),IF(G37&lt;=Hba_12-0.25,0,Hba_12-0.25),IF(G37&lt;=Hba_13-0.25,0,Hba_13-0.25),IF(G37&lt;=Hba_14-0.25,0,Hba_14-0.25),IF(G37&lt;=Hba_15-0.25,0,Hba_15-0.25),IF(G37&lt;=Hba_16-0.25,0,Hba_16-0.25),IF(G37&lt;=Hba_17-0.25,0,Hba_17-0.25),IF(G37&lt;=Hba_18-0.25,0,Hba_18-0.25),IF(G37&lt;=Hba_19-0.25,0,Hba_19-0.25),IF(G37&lt;=Hba_20-0.25,0,Hba_20-0.25),IF(G37&lt;=Hba_21-0.25,0,Hba_21-0.25),IF(G37&lt;=Hba_22-0.25,0,Hba_22-0.25),IF(G37&lt;=Hba_23-0.25,0,Hba_23-0.25),IF(G37&lt;=Hba_24-0.25,0,Hba_24-0.25),IF(G37&lt;=Hba_25-0.25,0,Hba_25-0.25),IF(G37&lt;=Hba_26-0.25,0,Hba_26-0.25),IF(G37&lt;=Hba_27-0.25,0,Hba_27-0.25),IF(G37&lt;=Hba_28-0.25,0,Hba_28-0.25),IF(G37&lt;=Hba_29-0.25,0,Hba_29-0.25),IF(G37&lt;=Hba_30-0.25,0,Hba_30-0.25)),IF(G37&lt;='Macro References'!$A$38,0,'Macro References'!$A$38)))</f>
        <v/>
      </c>
      <c r="H38" s="769"/>
      <c r="I38" s="228"/>
      <c r="J38" s="228"/>
      <c r="K38" s="228"/>
      <c r="L38" s="717" t="str">
        <f t="shared" si="10"/>
        <v/>
      </c>
      <c r="M38" s="717"/>
      <c r="N38" s="717"/>
      <c r="O38" s="717"/>
      <c r="P38" s="717" t="str">
        <f>IF(OR(G38=0,G38=""),"",IF(VLOOKUP(G38,'Geometry 2'!$C$4:$AI$14,1,TRUE)=VLOOKUP(G39,'Geometry 2'!$C$4:$AI$14,1,TRUE),"",IF(VLOOKUP(G38,'Geometry 2'!$C$4:$AI$14,33,TRUE)&lt;&gt;"n/a",MIN(G38,VLOOKUP(G38,'Geometry 2'!$C$4:$AI$14,1,TRUE))-VLOOKUP(G38,'Geometry 2'!$C$4:$AI$14,33,TRUE),"check")))</f>
        <v/>
      </c>
      <c r="Q38" s="717"/>
      <c r="R38" s="717"/>
      <c r="S38" s="717"/>
      <c r="T38" s="717" t="str">
        <f>IF($G38="","",VLOOKUP($G38,'Geometry 2'!$E$4:$AH$14,11,TRUE))</f>
        <v/>
      </c>
      <c r="U38" s="717"/>
      <c r="V38" s="717"/>
      <c r="W38" s="717"/>
      <c r="X38" s="716" t="str">
        <f>IF($G38="","",VLOOKUP($G38,'Geometry 2'!$E$4:$AJ$14,19,TRUE)-12*VLOOKUP($G38,'Geometry 2'!$E$4:$AJ$14,32,TRUE)*($D38-VLOOKUP($G38,'Geometry 2'!$E$5:$AH$14,1,TRUE)))</f>
        <v/>
      </c>
      <c r="Y38" s="716"/>
      <c r="Z38" s="716"/>
      <c r="AA38" s="716"/>
      <c r="AB38" s="757" t="str">
        <f>IF($G38="","",VLOOKUP($G38,'Geometry 2'!$E$4:$AJ$14,19,TRUE)-12*VLOOKUP($G38,'Geometry 2'!$E$4:$AJ$14,32,TRUE)*($G38-VLOOKUP($G38,'Geometry 2'!$E$5:$AH$14,1,TRUE)))</f>
        <v/>
      </c>
      <c r="AC38" s="758"/>
      <c r="AD38" s="758"/>
      <c r="AE38" s="759"/>
      <c r="AF38" s="716" t="str">
        <f>IF($G38="","",VLOOKUP($G38,'Geometry 2'!$E$4:$AJ$14,19,TRUE)-12*VLOOKUP($G38,'Geometry 2'!$E$4:$AJ$14,32,TRUE)*($G38-IF($P38="",0,$P38)-VLOOKUP($G38,'Geometry 2'!$E$5:$AH$14,1,TRUE)))</f>
        <v/>
      </c>
      <c r="AG38" s="716"/>
      <c r="AH38" s="716"/>
      <c r="AI38" s="716"/>
      <c r="AJ38" s="746" t="str">
        <f>IF($G38="","",VLOOKUP($G38,'Geometry 2'!$E$4:$AH$14,23,TRUE))</f>
        <v/>
      </c>
      <c r="AK38" s="747"/>
      <c r="AL38" s="747"/>
      <c r="AM38" s="748"/>
      <c r="AN38" s="717"/>
      <c r="AO38" s="717"/>
      <c r="AP38" s="717"/>
      <c r="AQ38" s="717"/>
      <c r="AR38" s="717" t="str">
        <f>IF($G38="","",VLOOKUP($G38,'Geometry 2'!$E$4:$AH$14,27,TRUE))</f>
        <v/>
      </c>
      <c r="AS38" s="717"/>
      <c r="AT38" s="717"/>
      <c r="AU38" s="718"/>
      <c r="AV38" s="715"/>
      <c r="AW38" s="716"/>
      <c r="AX38" s="716"/>
      <c r="AZ38" s="722" t="str">
        <f t="shared" si="5"/>
        <v/>
      </c>
      <c r="BA38" s="723"/>
      <c r="BB38" s="723"/>
      <c r="BC38" s="724"/>
      <c r="BD38" s="722"/>
      <c r="BE38" s="723"/>
      <c r="BF38" s="723"/>
      <c r="BG38" s="722" t="str">
        <f t="shared" si="9"/>
        <v/>
      </c>
      <c r="BH38" s="723"/>
      <c r="BI38" s="723"/>
      <c r="BJ38" s="723"/>
      <c r="BK38" s="724"/>
      <c r="BL38" s="722"/>
      <c r="BM38" s="723"/>
      <c r="BN38" s="723"/>
      <c r="BO38" s="723"/>
      <c r="BP38" s="725"/>
      <c r="BQ38" s="725"/>
      <c r="BR38" s="722" t="str">
        <f>IF(BP38="","",IF(OR(AND(Rev="H",Calculations!$F$27=TRUE),AND(Rev&lt;&gt;"H",Calculations!$F$30=TRUE)),IF(BP38&lt;=1,"Pass","Fail"),IF(BP38&lt;=1.05,"Pass","Fail")))</f>
        <v/>
      </c>
      <c r="BS38" s="723"/>
      <c r="BT38" s="724"/>
      <c r="BU38" s="49"/>
      <c r="BV38" s="25" t="str">
        <f>IFERROR(CONCATENATE(IF(AND($G38&lt;Hta_1,$G38&gt;=Hba_1,Input!U$21&lt;&gt;""),Input!$B$21&amp;";",""),IF(AND($G38&lt;Hta_2,$G38&gt;=Hba_2,Input!U$22&lt;&gt;""),Input!$B$22&amp;";",""),IF(AND($G38&lt;Hta_3,$G38&gt;=Hba_3,Input!U$23&lt;&gt;""),Input!$B$23&amp;";",""),IF(AND($G38&lt;Hta_4,$G38&gt;=Hba_4,Input!U$24&lt;&gt;""),Input!$B$24&amp;";",""),IF(AND($G38&lt;Hta_5,$G38&gt;=Hba_5,Input!U$25&lt;&gt;""),Input!$B$25&amp;";",""),IF(AND($G38&lt;Hta_6,$G38&gt;=Hba_6,Input!U$26&lt;&gt;""),Input!$B$26&amp;";",""),IF(AND($G38&lt;Hta_7,$G38&gt;=Hba_7,Input!U$27&lt;&gt;""),Input!$B$27&amp;";",""),IF(AND($G38&lt;Hta_8,$G38&gt;=Hba_8,Input!U$28&lt;&gt;""),Input!$B$28&amp;";",""),IF(AND($G38&lt;Hta_9,$G38&gt;=Hba_9,Input!U$29&lt;&gt;""),Input!$B$29&amp;";",""),IF(AND($G38&lt;Hta_10,$G38&gt;=Hba_10,Input!U$30&lt;&gt;""),Input!$B$30&amp;";",""),IF(AND($G38&lt;Hta_11,$G38&gt;=Hba_11,Input!U$31&lt;&gt;""),Input!$B$31&amp;";",""),IF(AND($G38&lt;Hta_12,$G38&gt;=Hba_12,Input!U$32&lt;&gt;""),Input!$B$32&amp;";",""),IF(AND($G38&lt;Hta_13,$G38&gt;=Hba_13,Input!U$33&lt;&gt;""),Input!$B$33&amp;";",""),IF(AND($G38&lt;Hta_14,$G38&gt;=Hba_14,Input!U$34&lt;&gt;""),Input!$B$34&amp;";",""),IF(AND($G38&lt;Hta_15,$G38&gt;=Hba_15,Input!U$35&lt;&gt;""),Input!$B$35&amp;";",""),IF(AND($G38&lt;Hta_16,$G38&gt;=Hba_16,Input!U$36&lt;&gt;""),Input!$B$36&amp;";",""),IF(AND($G38&lt;Hta_17,$G38&gt;=Hba_17,Input!U$37&lt;&gt;""),Input!$B$37&amp;";",""),IF(AND($G38&lt;Hta_18,$G38&gt;=Hba_18,Input!U$38&lt;&gt;""),Input!$B$38&amp;";",""),IF(AND($G38&lt;Hta_19,$G38&gt;=Hba_19,Input!U$39&lt;&gt;""),Input!$B$39&amp;";",""),IF(AND($G38&lt;Hta_20,$G38&gt;=Hba_20,Input!U$40&lt;&gt;""),Input!$B$40&amp;";",""),IF(AND($G38&lt;Hta_21,$G38&gt;=Hba_21,Input!U$41&lt;&gt;""),Input!$B$41&amp;";",""),IF(AND($G38&lt;Hta_22,$G38&gt;=Hba_22,Input!U$42&lt;&gt;""),Input!$B$42&amp;";",""),IF(AND($G38&lt;Hta_23,$G38&gt;=Hba_23,Input!U$43&lt;&gt;""),Input!$B$43&amp;";",""),IF(AND($G38&lt;Hta_24,$G38&gt;=Hba_24,Input!U$44&lt;&gt;""),Input!$B$44&amp;";",""),IF(AND($G38&lt;Hta_25,$G38&gt;=Hba_25,Input!U$45&lt;&gt;""),Input!$B$45&amp;";",""),IF(AND($G38&lt;Hta_26,$G38&gt;=Hba_26,Input!U$46&lt;&gt;""),Input!$B$46&amp;";",""),IF(AND($G38&lt;Hta_27,$G38&gt;=Hba_27,Input!U$47&lt;&gt;""),Input!$B$47&amp;";",""),IF(AND($G38&lt;Hta_28,$G38&gt;=Hba_28,Input!U$48&lt;&gt;""),Input!$B$48&amp;";",""),IF(AND($G38&lt;Hta_29,$G38&gt;=Hba_29,Input!U$49&lt;&gt;""),Input!$B$49&amp;";",""),IF(AND($G38&lt;Hta_30,$G38&gt;=Hba_30,Input!U$50&lt;&gt;""),Input!$B$50&amp;";","")),"")</f>
        <v/>
      </c>
      <c r="BW38" s="25" t="str">
        <f>IFERROR(CONCATENATE(IF(AND($G38&lt;Hta_1,$G38&gt;=Hba_1,Input!V$21&lt;&gt;""),Input!$B$21&amp;";",""),IF(AND($G38&lt;Hta_2,$G38&gt;=Hba_2,Input!V$22&lt;&gt;""),Input!$B$22&amp;";",""),IF(AND($G38&lt;Hta_3,$G38&gt;=Hba_3,Input!V$23&lt;&gt;""),Input!$B$23&amp;";",""),IF(AND($G38&lt;Hta_4,$G38&gt;=Hba_4,Input!V$24&lt;&gt;""),Input!$B$24&amp;";",""),IF(AND($G38&lt;Hta_5,$G38&gt;=Hba_5,Input!V$25&lt;&gt;""),Input!$B$25&amp;";",""),IF(AND($G38&lt;Hta_6,$G38&gt;=Hba_6,Input!V$26&lt;&gt;""),Input!$B$26&amp;";",""),IF(AND($G38&lt;Hta_7,$G38&gt;=Hba_7,Input!V$27&lt;&gt;""),Input!$B$27&amp;";",""),IF(AND($G38&lt;Hta_8,$G38&gt;=Hba_8,Input!V$28&lt;&gt;""),Input!$B$28&amp;";",""),IF(AND($G38&lt;Hta_9,$G38&gt;=Hba_9,Input!V$29&lt;&gt;""),Input!$B$29&amp;";",""),IF(AND($G38&lt;Hta_10,$G38&gt;=Hba_10,Input!V$30&lt;&gt;""),Input!$B$30&amp;";",""),IF(AND($G38&lt;Hta_11,$G38&gt;=Hba_11,Input!V$31&lt;&gt;""),Input!$B$31&amp;";",""),IF(AND($G38&lt;Hta_12,$G38&gt;=Hba_12,Input!V$32&lt;&gt;""),Input!$B$32&amp;";",""),IF(AND($G38&lt;Hta_13,$G38&gt;=Hba_13,Input!V$33&lt;&gt;""),Input!$B$33&amp;";",""),IF(AND($G38&lt;Hta_14,$G38&gt;=Hba_14,Input!V$34&lt;&gt;""),Input!$B$34&amp;";",""),IF(AND($G38&lt;Hta_15,$G38&gt;=Hba_15,Input!V$35&lt;&gt;""),Input!$B$35&amp;";",""),IF(AND($G38&lt;Hta_16,$G38&gt;=Hba_16,Input!V$36&lt;&gt;""),Input!$B$36&amp;";",""),IF(AND($G38&lt;Hta_17,$G38&gt;=Hba_17,Input!V$37&lt;&gt;""),Input!$B$37&amp;";",""),IF(AND($G38&lt;Hta_18,$G38&gt;=Hba_18,Input!V$38&lt;&gt;""),Input!$B$38&amp;";",""),IF(AND($G38&lt;Hta_19,$G38&gt;=Hba_19,Input!V$39&lt;&gt;""),Input!$B$39&amp;";",""),IF(AND($G38&lt;Hta_20,$G38&gt;=Hba_20,Input!V$40&lt;&gt;""),Input!$B$40&amp;";",""),IF(AND($G38&lt;Hta_21,$G38&gt;=Hba_21,Input!V$41&lt;&gt;""),Input!$B$41&amp;";",""),IF(AND($G38&lt;Hta_22,$G38&gt;=Hba_22,Input!V$42&lt;&gt;""),Input!$B$42&amp;";",""),IF(AND($G38&lt;Hta_23,$G38&gt;=Hba_23,Input!V$43&lt;&gt;""),Input!$B$43&amp;";",""),IF(AND($G38&lt;Hta_24,$G38&gt;=Hba_24,Input!V$44&lt;&gt;""),Input!$B$44&amp;";",""),IF(AND($G38&lt;Hta_25,$G38&gt;=Hba_25,Input!V$45&lt;&gt;""),Input!$B$45&amp;";",""),IF(AND($G38&lt;Hta_26,$G38&gt;=Hba_26,Input!V$46&lt;&gt;""),Input!$B$46&amp;";",""),IF(AND($G38&lt;Hta_27,$G38&gt;=Hba_27,Input!V$47&lt;&gt;""),Input!$B$47&amp;";",""),IF(AND($G38&lt;Hta_28,$G38&gt;=Hba_28,Input!V$48&lt;&gt;""),Input!$B$48&amp;";",""),IF(AND($G38&lt;Hta_29,$G38&gt;=Hba_29,Input!V$49&lt;&gt;""),Input!$B$49&amp;";",""),IF(AND($G38&lt;Hta_30,$G38&gt;=Hba_30,Input!V$50&lt;&gt;""),Input!$B$50&amp;";","")),"")</f>
        <v/>
      </c>
      <c r="BX38" s="25" t="str">
        <f>IFERROR(CONCATENATE(IF(AND($G38&lt;Hta_1,$G38&gt;=Hba_1,Input!W$21&lt;&gt;""),Input!$B$21&amp;";",""),IF(AND($G38&lt;Hta_2,$G38&gt;=Hba_2,Input!W$22&lt;&gt;""),Input!$B$22&amp;";",""),IF(AND($G38&lt;Hta_3,$G38&gt;=Hba_3,Input!W$23&lt;&gt;""),Input!$B$23&amp;";",""),IF(AND($G38&lt;Hta_4,$G38&gt;=Hba_4,Input!W$24&lt;&gt;""),Input!$B$24&amp;";",""),IF(AND($G38&lt;Hta_5,$G38&gt;=Hba_5,Input!W$25&lt;&gt;""),Input!$B$25&amp;";",""),IF(AND($G38&lt;Hta_6,$G38&gt;=Hba_6,Input!W$26&lt;&gt;""),Input!$B$26&amp;";",""),IF(AND($G38&lt;Hta_7,$G38&gt;=Hba_7,Input!W$27&lt;&gt;""),Input!$B$27&amp;";",""),IF(AND($G38&lt;Hta_8,$G38&gt;=Hba_8,Input!W$28&lt;&gt;""),Input!$B$28&amp;";",""),IF(AND($G38&lt;Hta_9,$G38&gt;=Hba_9,Input!W$29&lt;&gt;""),Input!$B$29&amp;";",""),IF(AND($G38&lt;Hta_10,$G38&gt;=Hba_10,Input!W$30&lt;&gt;""),Input!$B$30&amp;";",""),IF(AND($G38&lt;Hta_11,$G38&gt;=Hba_11,Input!W$31&lt;&gt;""),Input!$B$31&amp;";",""),IF(AND($G38&lt;Hta_12,$G38&gt;=Hba_12,Input!W$32&lt;&gt;""),Input!$B$32&amp;";",""),IF(AND($G38&lt;Hta_13,$G38&gt;=Hba_13,Input!W$33&lt;&gt;""),Input!$B$33&amp;";",""),IF(AND($G38&lt;Hta_14,$G38&gt;=Hba_14,Input!W$34&lt;&gt;""),Input!$B$34&amp;";",""),IF(AND($G38&lt;Hta_15,$G38&gt;=Hba_15,Input!W$35&lt;&gt;""),Input!$B$35&amp;";",""),IF(AND($G38&lt;Hta_16,$G38&gt;=Hba_16,Input!W$36&lt;&gt;""),Input!$B$36&amp;";",""),IF(AND($G38&lt;Hta_17,$G38&gt;=Hba_17,Input!W$37&lt;&gt;""),Input!$B$37&amp;";",""),IF(AND($G38&lt;Hta_18,$G38&gt;=Hba_18,Input!W$38&lt;&gt;""),Input!$B$38&amp;";",""),IF(AND($G38&lt;Hta_19,$G38&gt;=Hba_19,Input!W$39&lt;&gt;""),Input!$B$39&amp;";",""),IF(AND($G38&lt;Hta_20,$G38&gt;=Hba_20,Input!W$40&lt;&gt;""),Input!$B$40&amp;";",""),IF(AND($G38&lt;Hta_21,$G38&gt;=Hba_21,Input!W$41&lt;&gt;""),Input!$B$41&amp;";",""),IF(AND($G38&lt;Hta_22,$G38&gt;=Hba_22,Input!W$42&lt;&gt;""),Input!$B$42&amp;";",""),IF(AND($G38&lt;Hta_23,$G38&gt;=Hba_23,Input!W$43&lt;&gt;""),Input!$B$43&amp;";",""),IF(AND($G38&lt;Hta_24,$G38&gt;=Hba_24,Input!W$44&lt;&gt;""),Input!$B$44&amp;";",""),IF(AND($G38&lt;Hta_25,$G38&gt;=Hba_25,Input!W$45&lt;&gt;""),Input!$B$45&amp;";",""),IF(AND($G38&lt;Hta_26,$G38&gt;=Hba_26,Input!W$46&lt;&gt;""),Input!$B$46&amp;";",""),IF(AND($G38&lt;Hta_27,$G38&gt;=Hba_27,Input!W$47&lt;&gt;""),Input!$B$47&amp;";",""),IF(AND($G38&lt;Hta_28,$G38&gt;=Hba_28,Input!W$48&lt;&gt;""),Input!$B$48&amp;";",""),IF(AND($G38&lt;Hta_29,$G38&gt;=Hba_29,Input!W$49&lt;&gt;""),Input!$B$49&amp;";",""),IF(AND($G38&lt;Hta_30,$G38&gt;=Hba_30,Input!W$50&lt;&gt;""),Input!$B$50&amp;";","")),"")</f>
        <v/>
      </c>
      <c r="BY38" s="25" t="str">
        <f>IFERROR(CONCATENATE(IF(AND($G38&lt;Hta_1,$G38&gt;=Hba_1,Input!X$21&lt;&gt;""),Input!$B$21&amp;";",""),IF(AND($G38&lt;Hta_2,$G38&gt;=Hba_2,Input!X$22&lt;&gt;""),Input!$B$22&amp;";",""),IF(AND($G38&lt;Hta_3,$G38&gt;=Hba_3,Input!X$23&lt;&gt;""),Input!$B$23&amp;";",""),IF(AND($G38&lt;Hta_4,$G38&gt;=Hba_4,Input!X$24&lt;&gt;""),Input!$B$24&amp;";",""),IF(AND($G38&lt;Hta_5,$G38&gt;=Hba_5,Input!X$25&lt;&gt;""),Input!$B$25&amp;";",""),IF(AND($G38&lt;Hta_6,$G38&gt;=Hba_6,Input!X$26&lt;&gt;""),Input!$B$26&amp;";",""),IF(AND($G38&lt;Hta_7,$G38&gt;=Hba_7,Input!X$27&lt;&gt;""),Input!$B$27&amp;";",""),IF(AND($G38&lt;Hta_8,$G38&gt;=Hba_8,Input!X$28&lt;&gt;""),Input!$B$28&amp;";",""),IF(AND($G38&lt;Hta_9,$G38&gt;=Hba_9,Input!X$29&lt;&gt;""),Input!$B$29&amp;";",""),IF(AND($G38&lt;Hta_10,$G38&gt;=Hba_10,Input!X$30&lt;&gt;""),Input!$B$30&amp;";",""),IF(AND($G38&lt;Hta_11,$G38&gt;=Hba_11,Input!X$31&lt;&gt;""),Input!$B$31&amp;";",""),IF(AND($G38&lt;Hta_12,$G38&gt;=Hba_12,Input!X$32&lt;&gt;""),Input!$B$32&amp;";",""),IF(AND($G38&lt;Hta_13,$G38&gt;=Hba_13,Input!X$33&lt;&gt;""),Input!$B$33&amp;";",""),IF(AND($G38&lt;Hta_14,$G38&gt;=Hba_14,Input!X$34&lt;&gt;""),Input!$B$34&amp;";",""),IF(AND($G38&lt;Hta_15,$G38&gt;=Hba_15,Input!X$35&lt;&gt;""),Input!$B$35&amp;";",""),IF(AND($G38&lt;Hta_16,$G38&gt;=Hba_16,Input!X$36&lt;&gt;""),Input!$B$36&amp;";",""),IF(AND($G38&lt;Hta_17,$G38&gt;=Hba_17,Input!X$37&lt;&gt;""),Input!$B$37&amp;";",""),IF(AND($G38&lt;Hta_18,$G38&gt;=Hba_18,Input!X$38&lt;&gt;""),Input!$B$38&amp;";",""),IF(AND($G38&lt;Hta_19,$G38&gt;=Hba_19,Input!X$39&lt;&gt;""),Input!$B$39&amp;";",""),IF(AND($G38&lt;Hta_20,$G38&gt;=Hba_20,Input!X$40&lt;&gt;""),Input!$B$40&amp;";",""),IF(AND($G38&lt;Hta_21,$G38&gt;=Hba_21,Input!X$41&lt;&gt;""),Input!$B$41&amp;";",""),IF(AND($G38&lt;Hta_22,$G38&gt;=Hba_22,Input!X$42&lt;&gt;""),Input!$B$42&amp;";",""),IF(AND($G38&lt;Hta_23,$G38&gt;=Hba_23,Input!X$43&lt;&gt;""),Input!$B$43&amp;";",""),IF(AND($G38&lt;Hta_24,$G38&gt;=Hba_24,Input!X$44&lt;&gt;""),Input!$B$44&amp;";",""),IF(AND($G38&lt;Hta_25,$G38&gt;=Hba_25,Input!X$45&lt;&gt;""),Input!$B$45&amp;";",""),IF(AND($G38&lt;Hta_26,$G38&gt;=Hba_26,Input!X$46&lt;&gt;""),Input!$B$46&amp;";",""),IF(AND($G38&lt;Hta_27,$G38&gt;=Hba_27,Input!X$47&lt;&gt;""),Input!$B$47&amp;";",""),IF(AND($G38&lt;Hta_28,$G38&gt;=Hba_28,Input!X$48&lt;&gt;""),Input!$B$48&amp;";",""),IF(AND($G38&lt;Hta_29,$G38&gt;=Hba_29,Input!X$49&lt;&gt;""),Input!$B$49&amp;";",""),IF(AND($G38&lt;Hta_30,$G38&gt;=Hba_30,Input!X$50&lt;&gt;""),Input!$B$50&amp;";","")),"")</f>
        <v/>
      </c>
      <c r="BZ38" s="25" t="str">
        <f>IFERROR(CONCATENATE(IF(AND($G38&lt;Hta_1,$G38&gt;=Hba_1,Input!Y$21&lt;&gt;""),Input!$B$21&amp;";",""),IF(AND($G38&lt;Hta_2,$G38&gt;=Hba_2,Input!Y$22&lt;&gt;""),Input!$B$22&amp;";",""),IF(AND($G38&lt;Hta_3,$G38&gt;=Hba_3,Input!Y$23&lt;&gt;""),Input!$B$23&amp;";",""),IF(AND($G38&lt;Hta_4,$G38&gt;=Hba_4,Input!Y$24&lt;&gt;""),Input!$B$24&amp;";",""),IF(AND($G38&lt;Hta_5,$G38&gt;=Hba_5,Input!Y$25&lt;&gt;""),Input!$B$25&amp;";",""),IF(AND($G38&lt;Hta_6,$G38&gt;=Hba_6,Input!Y$26&lt;&gt;""),Input!$B$26&amp;";",""),IF(AND($G38&lt;Hta_7,$G38&gt;=Hba_7,Input!Y$27&lt;&gt;""),Input!$B$27&amp;";",""),IF(AND($G38&lt;Hta_8,$G38&gt;=Hba_8,Input!Y$28&lt;&gt;""),Input!$B$28&amp;";",""),IF(AND($G38&lt;Hta_9,$G38&gt;=Hba_9,Input!Y$29&lt;&gt;""),Input!$B$29&amp;";",""),IF(AND($G38&lt;Hta_10,$G38&gt;=Hba_10,Input!Y$30&lt;&gt;""),Input!$B$30&amp;";",""),IF(AND($G38&lt;Hta_11,$G38&gt;=Hba_11,Input!Y$31&lt;&gt;""),Input!$B$31&amp;";",""),IF(AND($G38&lt;Hta_12,$G38&gt;=Hba_12,Input!Y$32&lt;&gt;""),Input!$B$32&amp;";",""),IF(AND($G38&lt;Hta_13,$G38&gt;=Hba_13,Input!Y$33&lt;&gt;""),Input!$B$33&amp;";",""),IF(AND($G38&lt;Hta_14,$G38&gt;=Hba_14,Input!Y$34&lt;&gt;""),Input!$B$34&amp;";",""),IF(AND($G38&lt;Hta_15,$G38&gt;=Hba_15,Input!Y$35&lt;&gt;""),Input!$B$35&amp;";",""),IF(AND($G38&lt;Hta_16,$G38&gt;=Hba_16,Input!Y$36&lt;&gt;""),Input!$B$36&amp;";",""),IF(AND($G38&lt;Hta_17,$G38&gt;=Hba_17,Input!Y$37&lt;&gt;""),Input!$B$37&amp;";",""),IF(AND($G38&lt;Hta_18,$G38&gt;=Hba_18,Input!Y$38&lt;&gt;""),Input!$B$38&amp;";",""),IF(AND($G38&lt;Hta_19,$G38&gt;=Hba_19,Input!Y$39&lt;&gt;""),Input!$B$39&amp;";",""),IF(AND($G38&lt;Hta_20,$G38&gt;=Hba_20,Input!Y$40&lt;&gt;""),Input!$B$40&amp;";",""),IF(AND($G38&lt;Hta_21,$G38&gt;=Hba_21,Input!Y$41&lt;&gt;""),Input!$B$41&amp;";",""),IF(AND($G38&lt;Hta_22,$G38&gt;=Hba_22,Input!Y$42&lt;&gt;""),Input!$B$42&amp;";",""),IF(AND($G38&lt;Hta_23,$G38&gt;=Hba_23,Input!Y$43&lt;&gt;""),Input!$B$43&amp;";",""),IF(AND($G38&lt;Hta_24,$G38&gt;=Hba_24,Input!Y$44&lt;&gt;""),Input!$B$44&amp;";",""),IF(AND($G38&lt;Hta_25,$G38&gt;=Hba_25,Input!Y$45&lt;&gt;""),Input!$B$45&amp;";",""),IF(AND($G38&lt;Hta_26,$G38&gt;=Hba_26,Input!Y$46&lt;&gt;""),Input!$B$46&amp;";",""),IF(AND($G38&lt;Hta_27,$G38&gt;=Hba_27,Input!Y$47&lt;&gt;""),Input!$B$47&amp;";",""),IF(AND($G38&lt;Hta_28,$G38&gt;=Hba_28,Input!Y$48&lt;&gt;""),Input!$B$48&amp;";",""),IF(AND($G38&lt;Hta_29,$G38&gt;=Hba_29,Input!Y$49&lt;&gt;""),Input!$B$49&amp;";",""),IF(AND($G38&lt;Hta_30,$G38&gt;=Hba_30,Input!Y$50&lt;&gt;""),Input!$B$50&amp;";","")),"")</f>
        <v/>
      </c>
      <c r="CA38" s="25" t="str">
        <f>IFERROR(CONCATENATE(IF(AND($G38&lt;Hta_1,$G38&gt;=Hba_1,Input!Z$21&lt;&gt;""),Input!$B$21&amp;";",""),IF(AND($G38&lt;Hta_2,$G38&gt;=Hba_2,Input!Z$22&lt;&gt;""),Input!$B$22&amp;";",""),IF(AND($G38&lt;Hta_3,$G38&gt;=Hba_3,Input!Z$23&lt;&gt;""),Input!$B$23&amp;";",""),IF(AND($G38&lt;Hta_4,$G38&gt;=Hba_4,Input!Z$24&lt;&gt;""),Input!$B$24&amp;";",""),IF(AND($G38&lt;Hta_5,$G38&gt;=Hba_5,Input!Z$25&lt;&gt;""),Input!$B$25&amp;";",""),IF(AND($G38&lt;Hta_6,$G38&gt;=Hba_6,Input!Z$26&lt;&gt;""),Input!$B$26&amp;";",""),IF(AND($G38&lt;Hta_7,$G38&gt;=Hba_7,Input!Z$27&lt;&gt;""),Input!$B$27&amp;";",""),IF(AND($G38&lt;Hta_8,$G38&gt;=Hba_8,Input!Z$28&lt;&gt;""),Input!$B$28&amp;";",""),IF(AND($G38&lt;Hta_9,$G38&gt;=Hba_9,Input!Z$29&lt;&gt;""),Input!$B$29&amp;";",""),IF(AND($G38&lt;Hta_10,$G38&gt;=Hba_10,Input!Z$30&lt;&gt;""),Input!$B$30&amp;";",""),IF(AND($G38&lt;Hta_11,$G38&gt;=Hba_11,Input!Z$31&lt;&gt;""),Input!$B$31&amp;";",""),IF(AND($G38&lt;Hta_12,$G38&gt;=Hba_12,Input!Z$32&lt;&gt;""),Input!$B$32&amp;";",""),IF(AND($G38&lt;Hta_13,$G38&gt;=Hba_13,Input!Z$33&lt;&gt;""),Input!$B$33&amp;";",""),IF(AND($G38&lt;Hta_14,$G38&gt;=Hba_14,Input!Z$34&lt;&gt;""),Input!$B$34&amp;";",""),IF(AND($G38&lt;Hta_15,$G38&gt;=Hba_15,Input!Z$35&lt;&gt;""),Input!$B$35&amp;";",""),IF(AND($G38&lt;Hta_16,$G38&gt;=Hba_16,Input!Z$36&lt;&gt;""),Input!$B$36&amp;";",""),IF(AND($G38&lt;Hta_17,$G38&gt;=Hba_17,Input!Z$37&lt;&gt;""),Input!$B$37&amp;";",""),IF(AND($G38&lt;Hta_18,$G38&gt;=Hba_18,Input!Z$38&lt;&gt;""),Input!$B$38&amp;";",""),IF(AND($G38&lt;Hta_19,$G38&gt;=Hba_19,Input!Z$39&lt;&gt;""),Input!$B$39&amp;";",""),IF(AND($G38&lt;Hta_20,$G38&gt;=Hba_20,Input!Z$40&lt;&gt;""),Input!$B$40&amp;";",""),IF(AND($G38&lt;Hta_21,$G38&gt;=Hba_21,Input!Z$41&lt;&gt;""),Input!$B$41&amp;";",""),IF(AND($G38&lt;Hta_22,$G38&gt;=Hba_22,Input!Z$42&lt;&gt;""),Input!$B$42&amp;";",""),IF(AND($G38&lt;Hta_23,$G38&gt;=Hba_23,Input!Z$43&lt;&gt;""),Input!$B$43&amp;";",""),IF(AND($G38&lt;Hta_24,$G38&gt;=Hba_24,Input!Z$44&lt;&gt;""),Input!$B$44&amp;";",""),IF(AND($G38&lt;Hta_25,$G38&gt;=Hba_25,Input!Z$45&lt;&gt;""),Input!$B$45&amp;";",""),IF(AND($G38&lt;Hta_26,$G38&gt;=Hba_26,Input!Z$46&lt;&gt;""),Input!$B$46&amp;";",""),IF(AND($G38&lt;Hta_27,$G38&gt;=Hba_27,Input!Z$47&lt;&gt;""),Input!$B$47&amp;";",""),IF(AND($G38&lt;Hta_28,$G38&gt;=Hba_28,Input!Z$48&lt;&gt;""),Input!$B$48&amp;";",""),IF(AND($G38&lt;Hta_29,$G38&gt;=Hba_29,Input!Z$49&lt;&gt;""),Input!$B$49&amp;";",""),IF(AND($G38&lt;Hta_30,$G38&gt;=Hba_30,Input!Z$50&lt;&gt;""),Input!$B$50&amp;";","")),"")</f>
        <v/>
      </c>
      <c r="CB38" s="25" t="str">
        <f>IFERROR(CONCATENATE(IF(AND($G38&lt;Hta_1,$G38&gt;=Hba_1,Input!AA$21&lt;&gt;""),Input!$B$21&amp;";",""),IF(AND($G38&lt;Hta_2,$G38&gt;=Hba_2,Input!AA$22&lt;&gt;""),Input!$B$22&amp;";",""),IF(AND($G38&lt;Hta_3,$G38&gt;=Hba_3,Input!AA$23&lt;&gt;""),Input!$B$23&amp;";",""),IF(AND($G38&lt;Hta_4,$G38&gt;=Hba_4,Input!AA$24&lt;&gt;""),Input!$B$24&amp;";",""),IF(AND($G38&lt;Hta_5,$G38&gt;=Hba_5,Input!AA$25&lt;&gt;""),Input!$B$25&amp;";",""),IF(AND($G38&lt;Hta_6,$G38&gt;=Hba_6,Input!AA$26&lt;&gt;""),Input!$B$26&amp;";",""),IF(AND($G38&lt;Hta_7,$G38&gt;=Hba_7,Input!AA$27&lt;&gt;""),Input!$B$27&amp;";",""),IF(AND($G38&lt;Hta_8,$G38&gt;=Hba_8,Input!AA$28&lt;&gt;""),Input!$B$28&amp;";",""),IF(AND($G38&lt;Hta_9,$G38&gt;=Hba_9,Input!AA$29&lt;&gt;""),Input!$B$29&amp;";",""),IF(AND($G38&lt;Hta_10,$G38&gt;=Hba_10,Input!AA$30&lt;&gt;""),Input!$B$30&amp;";",""),IF(AND($G38&lt;Hta_11,$G38&gt;=Hba_11,Input!AA$31&lt;&gt;""),Input!$B$31&amp;";",""),IF(AND($G38&lt;Hta_12,$G38&gt;=Hba_12,Input!AA$32&lt;&gt;""),Input!$B$32&amp;";",""),IF(AND($G38&lt;Hta_13,$G38&gt;=Hba_13,Input!AA$33&lt;&gt;""),Input!$B$33&amp;";",""),IF(AND($G38&lt;Hta_14,$G38&gt;=Hba_14,Input!AA$34&lt;&gt;""),Input!$B$34&amp;";",""),IF(AND($G38&lt;Hta_15,$G38&gt;=Hba_15,Input!AA$35&lt;&gt;""),Input!$B$35&amp;";",""),IF(AND($G38&lt;Hta_16,$G38&gt;=Hba_16,Input!AA$36&lt;&gt;""),Input!$B$36&amp;";",""),IF(AND($G38&lt;Hta_17,$G38&gt;=Hba_17,Input!AA$37&lt;&gt;""),Input!$B$37&amp;";",""),IF(AND($G38&lt;Hta_18,$G38&gt;=Hba_18,Input!AA$38&lt;&gt;""),Input!$B$38&amp;";",""),IF(AND($G38&lt;Hta_19,$G38&gt;=Hba_19,Input!AA$39&lt;&gt;""),Input!$B$39&amp;";",""),IF(AND($G38&lt;Hta_20,$G38&gt;=Hba_20,Input!AA$40&lt;&gt;""),Input!$B$40&amp;";",""),IF(AND($G38&lt;Hta_21,$G38&gt;=Hba_21,Input!AA$41&lt;&gt;""),Input!$B$41&amp;";",""),IF(AND($G38&lt;Hta_22,$G38&gt;=Hba_22,Input!AA$42&lt;&gt;""),Input!$B$42&amp;";",""),IF(AND($G38&lt;Hta_23,$G38&gt;=Hba_23,Input!AA$43&lt;&gt;""),Input!$B$43&amp;";",""),IF(AND($G38&lt;Hta_24,$G38&gt;=Hba_24,Input!AA$44&lt;&gt;""),Input!$B$44&amp;";",""),IF(AND($G38&lt;Hta_25,$G38&gt;=Hba_25,Input!AA$45&lt;&gt;""),Input!$B$45&amp;";",""),IF(AND($G38&lt;Hta_26,$G38&gt;=Hba_26,Input!AA$46&lt;&gt;""),Input!$B$46&amp;";",""),IF(AND($G38&lt;Hta_27,$G38&gt;=Hba_27,Input!AA$47&lt;&gt;""),Input!$B$47&amp;";",""),IF(AND($G38&lt;Hta_28,$G38&gt;=Hba_28,Input!AA$48&lt;&gt;""),Input!$B$48&amp;";",""),IF(AND($G38&lt;Hta_29,$G38&gt;=Hba_29,Input!AA$49&lt;&gt;""),Input!$B$49&amp;";",""),IF(AND($G38&lt;Hta_30,$G38&gt;=Hba_30,Input!AA$50&lt;&gt;""),Input!$B$50&amp;";","")),"")</f>
        <v/>
      </c>
      <c r="CC38" s="25" t="str">
        <f>IFERROR(CONCATENATE(IF(AND($G38&lt;Hta_1,$G38&gt;=Hba_1,Input!AB$21&lt;&gt;""),Input!$B$21&amp;";",""),IF(AND($G38&lt;Hta_2,$G38&gt;=Hba_2,Input!AB$22&lt;&gt;""),Input!$B$22&amp;";",""),IF(AND($G38&lt;Hta_3,$G38&gt;=Hba_3,Input!AB$23&lt;&gt;""),Input!$B$23&amp;";",""),IF(AND($G38&lt;Hta_4,$G38&gt;=Hba_4,Input!AB$24&lt;&gt;""),Input!$B$24&amp;";",""),IF(AND($G38&lt;Hta_5,$G38&gt;=Hba_5,Input!AB$25&lt;&gt;""),Input!$B$25&amp;";",""),IF(AND($G38&lt;Hta_6,$G38&gt;=Hba_6,Input!AB$26&lt;&gt;""),Input!$B$26&amp;";",""),IF(AND($G38&lt;Hta_7,$G38&gt;=Hba_7,Input!AB$27&lt;&gt;""),Input!$B$27&amp;";",""),IF(AND($G38&lt;Hta_8,$G38&gt;=Hba_8,Input!AB$28&lt;&gt;""),Input!$B$28&amp;";",""),IF(AND($G38&lt;Hta_9,$G38&gt;=Hba_9,Input!AB$29&lt;&gt;""),Input!$B$29&amp;";",""),IF(AND($G38&lt;Hta_10,$G38&gt;=Hba_10,Input!AB$30&lt;&gt;""),Input!$B$30&amp;";",""),IF(AND($G38&lt;Hta_11,$G38&gt;=Hba_11,Input!AB$31&lt;&gt;""),Input!$B$31&amp;";",""),IF(AND($G38&lt;Hta_12,$G38&gt;=Hba_12,Input!AB$32&lt;&gt;""),Input!$B$32&amp;";",""),IF(AND($G38&lt;Hta_13,$G38&gt;=Hba_13,Input!AB$33&lt;&gt;""),Input!$B$33&amp;";",""),IF(AND($G38&lt;Hta_14,$G38&gt;=Hba_14,Input!AB$34&lt;&gt;""),Input!$B$34&amp;";",""),IF(AND($G38&lt;Hta_15,$G38&gt;=Hba_15,Input!AB$35&lt;&gt;""),Input!$B$35&amp;";",""),IF(AND($G38&lt;Hta_16,$G38&gt;=Hba_16,Input!AB$36&lt;&gt;""),Input!$B$36&amp;";",""),IF(AND($G38&lt;Hta_17,$G38&gt;=Hba_17,Input!AB$37&lt;&gt;""),Input!$B$37&amp;";",""),IF(AND($G38&lt;Hta_18,$G38&gt;=Hba_18,Input!AB$38&lt;&gt;""),Input!$B$38&amp;";",""),IF(AND($G38&lt;Hta_19,$G38&gt;=Hba_19,Input!AB$39&lt;&gt;""),Input!$B$39&amp;";",""),IF(AND($G38&lt;Hta_20,$G38&gt;=Hba_20,Input!AB$40&lt;&gt;""),Input!$B$40&amp;";",""),IF(AND($G38&lt;Hta_21,$G38&gt;=Hba_21,Input!AB$41&lt;&gt;""),Input!$B$41&amp;";",""),IF(AND($G38&lt;Hta_22,$G38&gt;=Hba_22,Input!AB$42&lt;&gt;""),Input!$B$42&amp;";",""),IF(AND($G38&lt;Hta_23,$G38&gt;=Hba_23,Input!AB$43&lt;&gt;""),Input!$B$43&amp;";",""),IF(AND($G38&lt;Hta_24,$G38&gt;=Hba_24,Input!AB$44&lt;&gt;""),Input!$B$44&amp;";",""),IF(AND($G38&lt;Hta_25,$G38&gt;=Hba_25,Input!AB$45&lt;&gt;""),Input!$B$45&amp;";",""),IF(AND($G38&lt;Hta_26,$G38&gt;=Hba_26,Input!AB$46&lt;&gt;""),Input!$B$46&amp;";",""),IF(AND($G38&lt;Hta_27,$G38&gt;=Hba_27,Input!AB$47&lt;&gt;""),Input!$B$47&amp;";",""),IF(AND($G38&lt;Hta_28,$G38&gt;=Hba_28,Input!AB$48&lt;&gt;""),Input!$B$48&amp;";",""),IF(AND($G38&lt;Hta_29,$G38&gt;=Hba_29,Input!AB$49&lt;&gt;""),Input!$B$49&amp;";",""),IF(AND($G38&lt;Hta_30,$G38&gt;=Hba_30,Input!AB$50&lt;&gt;""),Input!$B$50&amp;";","")),"")</f>
        <v/>
      </c>
      <c r="CD38" s="25" t="str">
        <f>IFERROR(CONCATENATE(IF(AND($G38&lt;Hta_1,$G38&gt;=Hba_1,Input!AC$21&lt;&gt;""),Input!$B$21&amp;";",""),IF(AND($G38&lt;Hta_2,$G38&gt;=Hba_2,Input!AC$22&lt;&gt;""),Input!$B$22&amp;";",""),IF(AND($G38&lt;Hta_3,$G38&gt;=Hba_3,Input!AC$23&lt;&gt;""),Input!$B$23&amp;";",""),IF(AND($G38&lt;Hta_4,$G38&gt;=Hba_4,Input!AC$24&lt;&gt;""),Input!$B$24&amp;";",""),IF(AND($G38&lt;Hta_5,$G38&gt;=Hba_5,Input!AC$25&lt;&gt;""),Input!$B$25&amp;";",""),IF(AND($G38&lt;Hta_6,$G38&gt;=Hba_6,Input!AC$26&lt;&gt;""),Input!$B$26&amp;";",""),IF(AND($G38&lt;Hta_7,$G38&gt;=Hba_7,Input!AC$27&lt;&gt;""),Input!$B$27&amp;";",""),IF(AND($G38&lt;Hta_8,$G38&gt;=Hba_8,Input!AC$28&lt;&gt;""),Input!$B$28&amp;";",""),IF(AND($G38&lt;Hta_9,$G38&gt;=Hba_9,Input!AC$29&lt;&gt;""),Input!$B$29&amp;";",""),IF(AND($G38&lt;Hta_10,$G38&gt;=Hba_10,Input!AC$30&lt;&gt;""),Input!$B$30&amp;";",""),IF(AND($G38&lt;Hta_11,$G38&gt;=Hba_11,Input!AC$31&lt;&gt;""),Input!$B$31&amp;";",""),IF(AND($G38&lt;Hta_12,$G38&gt;=Hba_12,Input!AC$32&lt;&gt;""),Input!$B$32&amp;";",""),IF(AND($G38&lt;Hta_13,$G38&gt;=Hba_13,Input!AC$33&lt;&gt;""),Input!$B$33&amp;";",""),IF(AND($G38&lt;Hta_14,$G38&gt;=Hba_14,Input!AC$34&lt;&gt;""),Input!$B$34&amp;";",""),IF(AND($G38&lt;Hta_15,$G38&gt;=Hba_15,Input!AC$35&lt;&gt;""),Input!$B$35&amp;";",""),IF(AND($G38&lt;Hta_16,$G38&gt;=Hba_16,Input!AC$36&lt;&gt;""),Input!$B$36&amp;";",""),IF(AND($G38&lt;Hta_17,$G38&gt;=Hba_17,Input!AC$37&lt;&gt;""),Input!$B$37&amp;";",""),IF(AND($G38&lt;Hta_18,$G38&gt;=Hba_18,Input!AC$38&lt;&gt;""),Input!$B$38&amp;";",""),IF(AND($G38&lt;Hta_19,$G38&gt;=Hba_19,Input!AC$39&lt;&gt;""),Input!$B$39&amp;";",""),IF(AND($G38&lt;Hta_20,$G38&gt;=Hba_20,Input!AC$40&lt;&gt;""),Input!$B$40&amp;";",""),IF(AND($G38&lt;Hta_21,$G38&gt;=Hba_21,Input!AC$41&lt;&gt;""),Input!$B$41&amp;";",""),IF(AND($G38&lt;Hta_22,$G38&gt;=Hba_22,Input!AC$42&lt;&gt;""),Input!$B$42&amp;";",""),IF(AND($G38&lt;Hta_23,$G38&gt;=Hba_23,Input!AC$43&lt;&gt;""),Input!$B$43&amp;";",""),IF(AND($G38&lt;Hta_24,$G38&gt;=Hba_24,Input!AC$44&lt;&gt;""),Input!$B$44&amp;";",""),IF(AND($G38&lt;Hta_25,$G38&gt;=Hba_25,Input!AC$45&lt;&gt;""),Input!$B$45&amp;";",""),IF(AND($G38&lt;Hta_26,$G38&gt;=Hba_26,Input!AC$46&lt;&gt;""),Input!$B$46&amp;";",""),IF(AND($G38&lt;Hta_27,$G38&gt;=Hba_27,Input!AC$47&lt;&gt;""),Input!$B$47&amp;";",""),IF(AND($G38&lt;Hta_28,$G38&gt;=Hba_28,Input!AC$48&lt;&gt;""),Input!$B$48&amp;";",""),IF(AND($G38&lt;Hta_29,$G38&gt;=Hba_29,Input!AC$49&lt;&gt;""),Input!$B$49&amp;";",""),IF(AND($G38&lt;Hta_30,$G38&gt;=Hba_30,Input!AC$50&lt;&gt;""),Input!$B$50&amp;";","")),"")</f>
        <v/>
      </c>
      <c r="CE38" s="25" t="str">
        <f>IFERROR(CONCATENATE(IF(AND($G38&lt;Hta_1,$G38&gt;=Hba_1,Input!AD$21&lt;&gt;""),Input!$B$21&amp;";",""),IF(AND($G38&lt;Hta_2,$G38&gt;=Hba_2,Input!AD$22&lt;&gt;""),Input!$B$22&amp;";",""),IF(AND($G38&lt;Hta_3,$G38&gt;=Hba_3,Input!AD$23&lt;&gt;""),Input!$B$23&amp;";",""),IF(AND($G38&lt;Hta_4,$G38&gt;=Hba_4,Input!AD$24&lt;&gt;""),Input!$B$24&amp;";",""),IF(AND($G38&lt;Hta_5,$G38&gt;=Hba_5,Input!AD$25&lt;&gt;""),Input!$B$25&amp;";",""),IF(AND($G38&lt;Hta_6,$G38&gt;=Hba_6,Input!AD$26&lt;&gt;""),Input!$B$26&amp;";",""),IF(AND($G38&lt;Hta_7,$G38&gt;=Hba_7,Input!AD$27&lt;&gt;""),Input!$B$27&amp;";",""),IF(AND($G38&lt;Hta_8,$G38&gt;=Hba_8,Input!AD$28&lt;&gt;""),Input!$B$28&amp;";",""),IF(AND($G38&lt;Hta_9,$G38&gt;=Hba_9,Input!AD$29&lt;&gt;""),Input!$B$29&amp;";",""),IF(AND($G38&lt;Hta_10,$G38&gt;=Hba_10,Input!AD$30&lt;&gt;""),Input!$B$30&amp;";",""),IF(AND($G38&lt;Hta_11,$G38&gt;=Hba_11,Input!AD$31&lt;&gt;""),Input!$B$31&amp;";",""),IF(AND($G38&lt;Hta_12,$G38&gt;=Hba_12,Input!AD$32&lt;&gt;""),Input!$B$32&amp;";",""),IF(AND($G38&lt;Hta_13,$G38&gt;=Hba_13,Input!AD$33&lt;&gt;""),Input!$B$33&amp;";",""),IF(AND($G38&lt;Hta_14,$G38&gt;=Hba_14,Input!AD$34&lt;&gt;""),Input!$B$34&amp;";",""),IF(AND($G38&lt;Hta_15,$G38&gt;=Hba_15,Input!AD$35&lt;&gt;""),Input!$B$35&amp;";",""),IF(AND($G38&lt;Hta_16,$G38&gt;=Hba_16,Input!AD$36&lt;&gt;""),Input!$B$36&amp;";",""),IF(AND($G38&lt;Hta_17,$G38&gt;=Hba_17,Input!AD$37&lt;&gt;""),Input!$B$37&amp;";",""),IF(AND($G38&lt;Hta_18,$G38&gt;=Hba_18,Input!AD$38&lt;&gt;""),Input!$B$38&amp;";",""),IF(AND($G38&lt;Hta_19,$G38&gt;=Hba_19,Input!AD$39&lt;&gt;""),Input!$B$39&amp;";",""),IF(AND($G38&lt;Hta_20,$G38&gt;=Hba_20,Input!AD$40&lt;&gt;""),Input!$B$40&amp;";",""),IF(AND($G38&lt;Hta_21,$G38&gt;=Hba_21,Input!AD$41&lt;&gt;""),Input!$B$41&amp;";",""),IF(AND($G38&lt;Hta_22,$G38&gt;=Hba_22,Input!AD$42&lt;&gt;""),Input!$B$42&amp;";",""),IF(AND($G38&lt;Hta_23,$G38&gt;=Hba_23,Input!AD$43&lt;&gt;""),Input!$B$43&amp;";",""),IF(AND($G38&lt;Hta_24,$G38&gt;=Hba_24,Input!AD$44&lt;&gt;""),Input!$B$44&amp;";",""),IF(AND($G38&lt;Hta_25,$G38&gt;=Hba_25,Input!AD$45&lt;&gt;""),Input!$B$45&amp;";",""),IF(AND($G38&lt;Hta_26,$G38&gt;=Hba_26,Input!AD$46&lt;&gt;""),Input!$B$46&amp;";",""),IF(AND($G38&lt;Hta_27,$G38&gt;=Hba_27,Input!AD$47&lt;&gt;""),Input!$B$47&amp;";",""),IF(AND($G38&lt;Hta_28,$G38&gt;=Hba_28,Input!AD$48&lt;&gt;""),Input!$B$48&amp;";",""),IF(AND($G38&lt;Hta_29,$G38&gt;=Hba_29,Input!AD$49&lt;&gt;""),Input!$B$49&amp;";",""),IF(AND($G38&lt;Hta_30,$G38&gt;=Hba_30,Input!AD$50&lt;&gt;""),Input!$B$50&amp;";","")),"")</f>
        <v/>
      </c>
      <c r="CF38" s="25" t="str">
        <f>IFERROR(CONCATENATE(IF(AND($G38&lt;Hta_1,$G38&gt;=Hba_1,Input!AE$21&lt;&gt;""),Input!$B$21&amp;";",""),IF(AND($G38&lt;Hta_2,$G38&gt;=Hba_2,Input!AE$22&lt;&gt;""),Input!$B$22&amp;";",""),IF(AND($G38&lt;Hta_3,$G38&gt;=Hba_3,Input!AE$23&lt;&gt;""),Input!$B$23&amp;";",""),IF(AND($G38&lt;Hta_4,$G38&gt;=Hba_4,Input!AE$24&lt;&gt;""),Input!$B$24&amp;";",""),IF(AND($G38&lt;Hta_5,$G38&gt;=Hba_5,Input!AE$25&lt;&gt;""),Input!$B$25&amp;";",""),IF(AND($G38&lt;Hta_6,$G38&gt;=Hba_6,Input!AE$26&lt;&gt;""),Input!$B$26&amp;";",""),IF(AND($G38&lt;Hta_7,$G38&gt;=Hba_7,Input!AE$27&lt;&gt;""),Input!$B$27&amp;";",""),IF(AND($G38&lt;Hta_8,$G38&gt;=Hba_8,Input!AE$28&lt;&gt;""),Input!$B$28&amp;";",""),IF(AND($G38&lt;Hta_9,$G38&gt;=Hba_9,Input!AE$29&lt;&gt;""),Input!$B$29&amp;";",""),IF(AND($G38&lt;Hta_10,$G38&gt;=Hba_10,Input!AE$30&lt;&gt;""),Input!$B$30&amp;";",""),IF(AND($G38&lt;Hta_11,$G38&gt;=Hba_11,Input!AE$31&lt;&gt;""),Input!$B$31&amp;";",""),IF(AND($G38&lt;Hta_12,$G38&gt;=Hba_12,Input!AE$32&lt;&gt;""),Input!$B$32&amp;";",""),IF(AND($G38&lt;Hta_13,$G38&gt;=Hba_13,Input!AE$33&lt;&gt;""),Input!$B$33&amp;";",""),IF(AND($G38&lt;Hta_14,$G38&gt;=Hba_14,Input!AE$34&lt;&gt;""),Input!$B$34&amp;";",""),IF(AND($G38&lt;Hta_15,$G38&gt;=Hba_15,Input!AE$35&lt;&gt;""),Input!$B$35&amp;";",""),IF(AND($G38&lt;Hta_16,$G38&gt;=Hba_16,Input!AE$36&lt;&gt;""),Input!$B$36&amp;";",""),IF(AND($G38&lt;Hta_17,$G38&gt;=Hba_17,Input!AE$37&lt;&gt;""),Input!$B$37&amp;";",""),IF(AND($G38&lt;Hta_18,$G38&gt;=Hba_18,Input!AE$38&lt;&gt;""),Input!$B$38&amp;";",""),IF(AND($G38&lt;Hta_19,$G38&gt;=Hba_19,Input!AE$39&lt;&gt;""),Input!$B$39&amp;";",""),IF(AND($G38&lt;Hta_20,$G38&gt;=Hba_20,Input!AE$40&lt;&gt;""),Input!$B$40&amp;";",""),IF(AND($G38&lt;Hta_21,$G38&gt;=Hba_21,Input!AE$41&lt;&gt;""),Input!$B$41&amp;";",""),IF(AND($G38&lt;Hta_22,$G38&gt;=Hba_22,Input!AE$42&lt;&gt;""),Input!$B$42&amp;";",""),IF(AND($G38&lt;Hta_23,$G38&gt;=Hba_23,Input!AE$43&lt;&gt;""),Input!$B$43&amp;";",""),IF(AND($G38&lt;Hta_24,$G38&gt;=Hba_24,Input!AE$44&lt;&gt;""),Input!$B$44&amp;";",""),IF(AND($G38&lt;Hta_25,$G38&gt;=Hba_25,Input!AE$45&lt;&gt;""),Input!$B$45&amp;";",""),IF(AND($G38&lt;Hta_26,$G38&gt;=Hba_26,Input!AE$46&lt;&gt;""),Input!$B$46&amp;";",""),IF(AND($G38&lt;Hta_27,$G38&gt;=Hba_27,Input!AE$47&lt;&gt;""),Input!$B$47&amp;";",""),IF(AND($G38&lt;Hta_28,$G38&gt;=Hba_28,Input!AE$48&lt;&gt;""),Input!$B$48&amp;";",""),IF(AND($G38&lt;Hta_29,$G38&gt;=Hba_29,Input!AE$49&lt;&gt;""),Input!$B$49&amp;";",""),IF(AND($G38&lt;Hta_30,$G38&gt;=Hba_30,Input!AE$50&lt;&gt;""),Input!$B$50&amp;";","")),"")</f>
        <v/>
      </c>
      <c r="CG38" s="25" t="str">
        <f>IFERROR(CONCATENATE(IF(AND($G38&lt;Hta_1,$G38&gt;=Hba_1,Input!AF$21&lt;&gt;""),Input!$B$21&amp;";",""),IF(AND($G38&lt;Hta_2,$G38&gt;=Hba_2,Input!AF$22&lt;&gt;""),Input!$B$22&amp;";",""),IF(AND($G38&lt;Hta_3,$G38&gt;=Hba_3,Input!AF$23&lt;&gt;""),Input!$B$23&amp;";",""),IF(AND($G38&lt;Hta_4,$G38&gt;=Hba_4,Input!AF$24&lt;&gt;""),Input!$B$24&amp;";",""),IF(AND($G38&lt;Hta_5,$G38&gt;=Hba_5,Input!AF$25&lt;&gt;""),Input!$B$25&amp;";",""),IF(AND($G38&lt;Hta_6,$G38&gt;=Hba_6,Input!AF$26&lt;&gt;""),Input!$B$26&amp;";",""),IF(AND($G38&lt;Hta_7,$G38&gt;=Hba_7,Input!AF$27&lt;&gt;""),Input!$B$27&amp;";",""),IF(AND($G38&lt;Hta_8,$G38&gt;=Hba_8,Input!AF$28&lt;&gt;""),Input!$B$28&amp;";",""),IF(AND($G38&lt;Hta_9,$G38&gt;=Hba_9,Input!AF$29&lt;&gt;""),Input!$B$29&amp;";",""),IF(AND($G38&lt;Hta_10,$G38&gt;=Hba_10,Input!AF$30&lt;&gt;""),Input!$B$30&amp;";",""),IF(AND($G38&lt;Hta_11,$G38&gt;=Hba_11,Input!AF$31&lt;&gt;""),Input!$B$31&amp;";",""),IF(AND($G38&lt;Hta_12,$G38&gt;=Hba_12,Input!AF$32&lt;&gt;""),Input!$B$32&amp;";",""),IF(AND($G38&lt;Hta_13,$G38&gt;=Hba_13,Input!AF$33&lt;&gt;""),Input!$B$33&amp;";",""),IF(AND($G38&lt;Hta_14,$G38&gt;=Hba_14,Input!AF$34&lt;&gt;""),Input!$B$34&amp;";",""),IF(AND($G38&lt;Hta_15,$G38&gt;=Hba_15,Input!AF$35&lt;&gt;""),Input!$B$35&amp;";",""),IF(AND($G38&lt;Hta_16,$G38&gt;=Hba_16,Input!AF$36&lt;&gt;""),Input!$B$36&amp;";",""),IF(AND($G38&lt;Hta_17,$G38&gt;=Hba_17,Input!AF$37&lt;&gt;""),Input!$B$37&amp;";",""),IF(AND($G38&lt;Hta_18,$G38&gt;=Hba_18,Input!AF$38&lt;&gt;""),Input!$B$38&amp;";",""),IF(AND($G38&lt;Hta_19,$G38&gt;=Hba_19,Input!AF$39&lt;&gt;""),Input!$B$39&amp;";",""),IF(AND($G38&lt;Hta_20,$G38&gt;=Hba_20,Input!AF$40&lt;&gt;""),Input!$B$40&amp;";",""),IF(AND($G38&lt;Hta_21,$G38&gt;=Hba_21,Input!AF$41&lt;&gt;""),Input!$B$41&amp;";",""),IF(AND($G38&lt;Hta_22,$G38&gt;=Hba_22,Input!AF$42&lt;&gt;""),Input!$B$42&amp;";",""),IF(AND($G38&lt;Hta_23,$G38&gt;=Hba_23,Input!AF$43&lt;&gt;""),Input!$B$43&amp;";",""),IF(AND($G38&lt;Hta_24,$G38&gt;=Hba_24,Input!AF$44&lt;&gt;""),Input!$B$44&amp;";",""),IF(AND($G38&lt;Hta_25,$G38&gt;=Hba_25,Input!AF$45&lt;&gt;""),Input!$B$45&amp;";",""),IF(AND($G38&lt;Hta_26,$G38&gt;=Hba_26,Input!AF$46&lt;&gt;""),Input!$B$46&amp;";",""),IF(AND($G38&lt;Hta_27,$G38&gt;=Hba_27,Input!AF$47&lt;&gt;""),Input!$B$47&amp;";",""),IF(AND($G38&lt;Hta_28,$G38&gt;=Hba_28,Input!AF$48&lt;&gt;""),Input!$B$48&amp;";",""),IF(AND($G38&lt;Hta_29,$G38&gt;=Hba_29,Input!AF$49&lt;&gt;""),Input!$B$49&amp;";",""),IF(AND($G38&lt;Hta_30,$G38&gt;=Hba_30,Input!AF$50&lt;&gt;""),Input!$B$50&amp;";","")),"")</f>
        <v/>
      </c>
      <c r="CH38" s="25" t="str">
        <f>IFERROR(CONCATENATE(IF(AND($G38&lt;Hta_1,$G38&gt;=Hba_1,Input!AG$21&lt;&gt;""),Input!$B$21&amp;";",""),IF(AND($G38&lt;Hta_2,$G38&gt;=Hba_2,Input!AG$22&lt;&gt;""),Input!$B$22&amp;";",""),IF(AND($G38&lt;Hta_3,$G38&gt;=Hba_3,Input!AG$23&lt;&gt;""),Input!$B$23&amp;";",""),IF(AND($G38&lt;Hta_4,$G38&gt;=Hba_4,Input!AG$24&lt;&gt;""),Input!$B$24&amp;";",""),IF(AND($G38&lt;Hta_5,$G38&gt;=Hba_5,Input!AG$25&lt;&gt;""),Input!$B$25&amp;";",""),IF(AND($G38&lt;Hta_6,$G38&gt;=Hba_6,Input!AG$26&lt;&gt;""),Input!$B$26&amp;";",""),IF(AND($G38&lt;Hta_7,$G38&gt;=Hba_7,Input!AG$27&lt;&gt;""),Input!$B$27&amp;";",""),IF(AND($G38&lt;Hta_8,$G38&gt;=Hba_8,Input!AG$28&lt;&gt;""),Input!$B$28&amp;";",""),IF(AND($G38&lt;Hta_9,$G38&gt;=Hba_9,Input!AG$29&lt;&gt;""),Input!$B$29&amp;";",""),IF(AND($G38&lt;Hta_10,$G38&gt;=Hba_10,Input!AG$30&lt;&gt;""),Input!$B$30&amp;";",""),IF(AND($G38&lt;Hta_11,$G38&gt;=Hba_11,Input!AG$31&lt;&gt;""),Input!$B$31&amp;";",""),IF(AND($G38&lt;Hta_12,$G38&gt;=Hba_12,Input!AG$32&lt;&gt;""),Input!$B$32&amp;";",""),IF(AND($G38&lt;Hta_13,$G38&gt;=Hba_13,Input!AG$33&lt;&gt;""),Input!$B$33&amp;";",""),IF(AND($G38&lt;Hta_14,$G38&gt;=Hba_14,Input!AG$34&lt;&gt;""),Input!$B$34&amp;";",""),IF(AND($G38&lt;Hta_15,$G38&gt;=Hba_15,Input!AG$35&lt;&gt;""),Input!$B$35&amp;";",""),IF(AND($G38&lt;Hta_16,$G38&gt;=Hba_16,Input!AG$36&lt;&gt;""),Input!$B$36&amp;";",""),IF(AND($G38&lt;Hta_17,$G38&gt;=Hba_17,Input!AG$37&lt;&gt;""),Input!$B$37&amp;";",""),IF(AND($G38&lt;Hta_18,$G38&gt;=Hba_18,Input!AG$38&lt;&gt;""),Input!$B$38&amp;";",""),IF(AND($G38&lt;Hta_19,$G38&gt;=Hba_19,Input!AG$39&lt;&gt;""),Input!$B$39&amp;";",""),IF(AND($G38&lt;Hta_20,$G38&gt;=Hba_20,Input!AG$40&lt;&gt;""),Input!$B$40&amp;";",""),IF(AND($G38&lt;Hta_21,$G38&gt;=Hba_21,Input!AG$41&lt;&gt;""),Input!$B$41&amp;";",""),IF(AND($G38&lt;Hta_22,$G38&gt;=Hba_22,Input!AG$42&lt;&gt;""),Input!$B$42&amp;";",""),IF(AND($G38&lt;Hta_23,$G38&gt;=Hba_23,Input!AG$43&lt;&gt;""),Input!$B$43&amp;";",""),IF(AND($G38&lt;Hta_24,$G38&gt;=Hba_24,Input!AG$44&lt;&gt;""),Input!$B$44&amp;";",""),IF(AND($G38&lt;Hta_25,$G38&gt;=Hba_25,Input!AG$45&lt;&gt;""),Input!$B$45&amp;";",""),IF(AND($G38&lt;Hta_26,$G38&gt;=Hba_26,Input!AG$46&lt;&gt;""),Input!$B$46&amp;";",""),IF(AND($G38&lt;Hta_27,$G38&gt;=Hba_27,Input!AG$47&lt;&gt;""),Input!$B$47&amp;";",""),IF(AND($G38&lt;Hta_28,$G38&gt;=Hba_28,Input!AG$48&lt;&gt;""),Input!$B$48&amp;";",""),IF(AND($G38&lt;Hta_29,$G38&gt;=Hba_29,Input!AG$49&lt;&gt;""),Input!$B$49&amp;";",""),IF(AND($G38&lt;Hta_30,$G38&gt;=Hba_30,Input!AG$50&lt;&gt;""),Input!$B$50&amp;";","")),"")</f>
        <v/>
      </c>
      <c r="CI38" s="25" t="str">
        <f>IFERROR(CONCATENATE(IF(AND($G38&lt;Hta_1,$G38&gt;=Hba_1,Input!AH$21&lt;&gt;""),Input!$B$21&amp;";",""),IF(AND($G38&lt;Hta_2,$G38&gt;=Hba_2,Input!AH$22&lt;&gt;""),Input!$B$22&amp;";",""),IF(AND($G38&lt;Hta_3,$G38&gt;=Hba_3,Input!AH$23&lt;&gt;""),Input!$B$23&amp;";",""),IF(AND($G38&lt;Hta_4,$G38&gt;=Hba_4,Input!AH$24&lt;&gt;""),Input!$B$24&amp;";",""),IF(AND($G38&lt;Hta_5,$G38&gt;=Hba_5,Input!AH$25&lt;&gt;""),Input!$B$25&amp;";",""),IF(AND($G38&lt;Hta_6,$G38&gt;=Hba_6,Input!AH$26&lt;&gt;""),Input!$B$26&amp;";",""),IF(AND($G38&lt;Hta_7,$G38&gt;=Hba_7,Input!AH$27&lt;&gt;""),Input!$B$27&amp;";",""),IF(AND($G38&lt;Hta_8,$G38&gt;=Hba_8,Input!AH$28&lt;&gt;""),Input!$B$28&amp;";",""),IF(AND($G38&lt;Hta_9,$G38&gt;=Hba_9,Input!AH$29&lt;&gt;""),Input!$B$29&amp;";",""),IF(AND($G38&lt;Hta_10,$G38&gt;=Hba_10,Input!AH$30&lt;&gt;""),Input!$B$30&amp;";",""),IF(AND($G38&lt;Hta_11,$G38&gt;=Hba_11,Input!AH$31&lt;&gt;""),Input!$B$31&amp;";",""),IF(AND($G38&lt;Hta_12,$G38&gt;=Hba_12,Input!AH$32&lt;&gt;""),Input!$B$32&amp;";",""),IF(AND($G38&lt;Hta_13,$G38&gt;=Hba_13,Input!AH$33&lt;&gt;""),Input!$B$33&amp;";",""),IF(AND($G38&lt;Hta_14,$G38&gt;=Hba_14,Input!AH$34&lt;&gt;""),Input!$B$34&amp;";",""),IF(AND($G38&lt;Hta_15,$G38&gt;=Hba_15,Input!AH$35&lt;&gt;""),Input!$B$35&amp;";",""),IF(AND($G38&lt;Hta_16,$G38&gt;=Hba_16,Input!AH$36&lt;&gt;""),Input!$B$36&amp;";",""),IF(AND($G38&lt;Hta_17,$G38&gt;=Hba_17,Input!AH$37&lt;&gt;""),Input!$B$37&amp;";",""),IF(AND($G38&lt;Hta_18,$G38&gt;=Hba_18,Input!AH$38&lt;&gt;""),Input!$B$38&amp;";",""),IF(AND($G38&lt;Hta_19,$G38&gt;=Hba_19,Input!AH$39&lt;&gt;""),Input!$B$39&amp;";",""),IF(AND($G38&lt;Hta_20,$G38&gt;=Hba_20,Input!AH$40&lt;&gt;""),Input!$B$40&amp;";",""),IF(AND($G38&lt;Hta_21,$G38&gt;=Hba_21,Input!AH$41&lt;&gt;""),Input!$B$41&amp;";",""),IF(AND($G38&lt;Hta_22,$G38&gt;=Hba_22,Input!AH$42&lt;&gt;""),Input!$B$42&amp;";",""),IF(AND($G38&lt;Hta_23,$G38&gt;=Hba_23,Input!AH$43&lt;&gt;""),Input!$B$43&amp;";",""),IF(AND($G38&lt;Hta_24,$G38&gt;=Hba_24,Input!AH$44&lt;&gt;""),Input!$B$44&amp;";",""),IF(AND($G38&lt;Hta_25,$G38&gt;=Hba_25,Input!AH$45&lt;&gt;""),Input!$B$45&amp;";",""),IF(AND($G38&lt;Hta_26,$G38&gt;=Hba_26,Input!AH$46&lt;&gt;""),Input!$B$46&amp;";",""),IF(AND($G38&lt;Hta_27,$G38&gt;=Hba_27,Input!AH$47&lt;&gt;""),Input!$B$47&amp;";",""),IF(AND($G38&lt;Hta_28,$G38&gt;=Hba_28,Input!AH$48&lt;&gt;""),Input!$B$48&amp;";",""),IF(AND($G38&lt;Hta_29,$G38&gt;=Hba_29,Input!AH$49&lt;&gt;""),Input!$B$49&amp;";",""),IF(AND($G38&lt;Hta_30,$G38&gt;=Hba_30,Input!AH$50&lt;&gt;""),Input!$B$50&amp;";","")),"")</f>
        <v/>
      </c>
      <c r="CJ38" s="25" t="str">
        <f>IFERROR(CONCATENATE(IF(AND($G38&lt;Hta_1,$G38&gt;=Hba_1,Input!AI$21&lt;&gt;""),Input!$B$21&amp;";",""),IF(AND($G38&lt;Hta_2,$G38&gt;=Hba_2,Input!AI$22&lt;&gt;""),Input!$B$22&amp;";",""),IF(AND($G38&lt;Hta_3,$G38&gt;=Hba_3,Input!AI$23&lt;&gt;""),Input!$B$23&amp;";",""),IF(AND($G38&lt;Hta_4,$G38&gt;=Hba_4,Input!AI$24&lt;&gt;""),Input!$B$24&amp;";",""),IF(AND($G38&lt;Hta_5,$G38&gt;=Hba_5,Input!AI$25&lt;&gt;""),Input!$B$25&amp;";",""),IF(AND($G38&lt;Hta_6,$G38&gt;=Hba_6,Input!AI$26&lt;&gt;""),Input!$B$26&amp;";",""),IF(AND($G38&lt;Hta_7,$G38&gt;=Hba_7,Input!AI$27&lt;&gt;""),Input!$B$27&amp;";",""),IF(AND($G38&lt;Hta_8,$G38&gt;=Hba_8,Input!AI$28&lt;&gt;""),Input!$B$28&amp;";",""),IF(AND($G38&lt;Hta_9,$G38&gt;=Hba_9,Input!AI$29&lt;&gt;""),Input!$B$29&amp;";",""),IF(AND($G38&lt;Hta_10,$G38&gt;=Hba_10,Input!AI$30&lt;&gt;""),Input!$B$30&amp;";",""),IF(AND($G38&lt;Hta_11,$G38&gt;=Hba_11,Input!AI$31&lt;&gt;""),Input!$B$31&amp;";",""),IF(AND($G38&lt;Hta_12,$G38&gt;=Hba_12,Input!AI$32&lt;&gt;""),Input!$B$32&amp;";",""),IF(AND($G38&lt;Hta_13,$G38&gt;=Hba_13,Input!AI$33&lt;&gt;""),Input!$B$33&amp;";",""),IF(AND($G38&lt;Hta_14,$G38&gt;=Hba_14,Input!AI$34&lt;&gt;""),Input!$B$34&amp;";",""),IF(AND($G38&lt;Hta_15,$G38&gt;=Hba_15,Input!AI$35&lt;&gt;""),Input!$B$35&amp;";",""),IF(AND($G38&lt;Hta_16,$G38&gt;=Hba_16,Input!AI$36&lt;&gt;""),Input!$B$36&amp;";",""),IF(AND($G38&lt;Hta_17,$G38&gt;=Hba_17,Input!AI$37&lt;&gt;""),Input!$B$37&amp;";",""),IF(AND($G38&lt;Hta_18,$G38&gt;=Hba_18,Input!AI$38&lt;&gt;""),Input!$B$38&amp;";",""),IF(AND($G38&lt;Hta_19,$G38&gt;=Hba_19,Input!AI$39&lt;&gt;""),Input!$B$39&amp;";",""),IF(AND($G38&lt;Hta_20,$G38&gt;=Hba_20,Input!AI$40&lt;&gt;""),Input!$B$40&amp;";",""),IF(AND($G38&lt;Hta_21,$G38&gt;=Hba_21,Input!AI$41&lt;&gt;""),Input!$B$41&amp;";",""),IF(AND($G38&lt;Hta_22,$G38&gt;=Hba_22,Input!AI$42&lt;&gt;""),Input!$B$42&amp;";",""),IF(AND($G38&lt;Hta_23,$G38&gt;=Hba_23,Input!AI$43&lt;&gt;""),Input!$B$43&amp;";",""),IF(AND($G38&lt;Hta_24,$G38&gt;=Hba_24,Input!AI$44&lt;&gt;""),Input!$B$44&amp;";",""),IF(AND($G38&lt;Hta_25,$G38&gt;=Hba_25,Input!AI$45&lt;&gt;""),Input!$B$45&amp;";",""),IF(AND($G38&lt;Hta_26,$G38&gt;=Hba_26,Input!AI$46&lt;&gt;""),Input!$B$46&amp;";",""),IF(AND($G38&lt;Hta_27,$G38&gt;=Hba_27,Input!AI$47&lt;&gt;""),Input!$B$47&amp;";",""),IF(AND($G38&lt;Hta_28,$G38&gt;=Hba_28,Input!AI$48&lt;&gt;""),Input!$B$48&amp;";",""),IF(AND($G38&lt;Hta_29,$G38&gt;=Hba_29,Input!AI$49&lt;&gt;""),Input!$B$49&amp;";",""),IF(AND($G38&lt;Hta_30,$G38&gt;=Hba_30,Input!AI$50&lt;&gt;""),Input!$B$50&amp;";","")),"")</f>
        <v/>
      </c>
      <c r="CK38" s="25" t="str">
        <f>IFERROR(CONCATENATE(IF(AND($G38&lt;Hta_1,$G38&gt;=Hba_1,Input!AJ$21&lt;&gt;""),Input!$B$21&amp;";",""),IF(AND($G38&lt;Hta_2,$G38&gt;=Hba_2,Input!AJ$22&lt;&gt;""),Input!$B$22&amp;";",""),IF(AND($G38&lt;Hta_3,$G38&gt;=Hba_3,Input!AJ$23&lt;&gt;""),Input!$B$23&amp;";",""),IF(AND($G38&lt;Hta_4,$G38&gt;=Hba_4,Input!AJ$24&lt;&gt;""),Input!$B$24&amp;";",""),IF(AND($G38&lt;Hta_5,$G38&gt;=Hba_5,Input!AJ$25&lt;&gt;""),Input!$B$25&amp;";",""),IF(AND($G38&lt;Hta_6,$G38&gt;=Hba_6,Input!AJ$26&lt;&gt;""),Input!$B$26&amp;";",""),IF(AND($G38&lt;Hta_7,$G38&gt;=Hba_7,Input!AJ$27&lt;&gt;""),Input!$B$27&amp;";",""),IF(AND($G38&lt;Hta_8,$G38&gt;=Hba_8,Input!AJ$28&lt;&gt;""),Input!$B$28&amp;";",""),IF(AND($G38&lt;Hta_9,$G38&gt;=Hba_9,Input!AJ$29&lt;&gt;""),Input!$B$29&amp;";",""),IF(AND($G38&lt;Hta_10,$G38&gt;=Hba_10,Input!AJ$30&lt;&gt;""),Input!$B$30&amp;";",""),IF(AND($G38&lt;Hta_11,$G38&gt;=Hba_11,Input!AJ$31&lt;&gt;""),Input!$B$31&amp;";",""),IF(AND($G38&lt;Hta_12,$G38&gt;=Hba_12,Input!AJ$32&lt;&gt;""),Input!$B$32&amp;";",""),IF(AND($G38&lt;Hta_13,$G38&gt;=Hba_13,Input!AJ$33&lt;&gt;""),Input!$B$33&amp;";",""),IF(AND($G38&lt;Hta_14,$G38&gt;=Hba_14,Input!AJ$34&lt;&gt;""),Input!$B$34&amp;";",""),IF(AND($G38&lt;Hta_15,$G38&gt;=Hba_15,Input!AJ$35&lt;&gt;""),Input!$B$35&amp;";",""),IF(AND($G38&lt;Hta_16,$G38&gt;=Hba_16,Input!AJ$36&lt;&gt;""),Input!$B$36&amp;";",""),IF(AND($G38&lt;Hta_17,$G38&gt;=Hba_17,Input!AJ$37&lt;&gt;""),Input!$B$37&amp;";",""),IF(AND($G38&lt;Hta_18,$G38&gt;=Hba_18,Input!AJ$38&lt;&gt;""),Input!$B$38&amp;";",""),IF(AND($G38&lt;Hta_19,$G38&gt;=Hba_19,Input!AJ$39&lt;&gt;""),Input!$B$39&amp;";",""),IF(AND($G38&lt;Hta_20,$G38&gt;=Hba_20,Input!AJ$40&lt;&gt;""),Input!$B$40&amp;";",""),IF(AND($G38&lt;Hta_21,$G38&gt;=Hba_21,Input!AJ$41&lt;&gt;""),Input!$B$41&amp;";",""),IF(AND($G38&lt;Hta_22,$G38&gt;=Hba_22,Input!AJ$42&lt;&gt;""),Input!$B$42&amp;";",""),IF(AND($G38&lt;Hta_23,$G38&gt;=Hba_23,Input!AJ$43&lt;&gt;""),Input!$B$43&amp;";",""),IF(AND($G38&lt;Hta_24,$G38&gt;=Hba_24,Input!AJ$44&lt;&gt;""),Input!$B$44&amp;";",""),IF(AND($G38&lt;Hta_25,$G38&gt;=Hba_25,Input!AJ$45&lt;&gt;""),Input!$B$45&amp;";",""),IF(AND($G38&lt;Hta_26,$G38&gt;=Hba_26,Input!AJ$46&lt;&gt;""),Input!$B$46&amp;";",""),IF(AND($G38&lt;Hta_27,$G38&gt;=Hba_27,Input!AJ$47&lt;&gt;""),Input!$B$47&amp;";",""),IF(AND($G38&lt;Hta_28,$G38&gt;=Hba_28,Input!AJ$48&lt;&gt;""),Input!$B$48&amp;";",""),IF(AND($G38&lt;Hta_29,$G38&gt;=Hba_29,Input!AJ$49&lt;&gt;""),Input!$B$49&amp;";",""),IF(AND($G38&lt;Hta_30,$G38&gt;=Hba_30,Input!AJ$50&lt;&gt;""),Input!$B$50&amp;";","")),"")</f>
        <v/>
      </c>
      <c r="CL38" s="25" t="str">
        <f>IFERROR(CONCATENATE(IF(AND($G38&lt;Hta_1,$G38&gt;=Hba_1,Input!AK$21&lt;&gt;""),Input!$B$21&amp;";",""),IF(AND($G38&lt;Hta_2,$G38&gt;=Hba_2,Input!AK$22&lt;&gt;""),Input!$B$22&amp;";",""),IF(AND($G38&lt;Hta_3,$G38&gt;=Hba_3,Input!AK$23&lt;&gt;""),Input!$B$23&amp;";",""),IF(AND($G38&lt;Hta_4,$G38&gt;=Hba_4,Input!AK$24&lt;&gt;""),Input!$B$24&amp;";",""),IF(AND($G38&lt;Hta_5,$G38&gt;=Hba_5,Input!AK$25&lt;&gt;""),Input!$B$25&amp;";",""),IF(AND($G38&lt;Hta_6,$G38&gt;=Hba_6,Input!AK$26&lt;&gt;""),Input!$B$26&amp;";",""),IF(AND($G38&lt;Hta_7,$G38&gt;=Hba_7,Input!AK$27&lt;&gt;""),Input!$B$27&amp;";",""),IF(AND($G38&lt;Hta_8,$G38&gt;=Hba_8,Input!AK$28&lt;&gt;""),Input!$B$28&amp;";",""),IF(AND($G38&lt;Hta_9,$G38&gt;=Hba_9,Input!AK$29&lt;&gt;""),Input!$B$29&amp;";",""),IF(AND($G38&lt;Hta_10,$G38&gt;=Hba_10,Input!AK$30&lt;&gt;""),Input!$B$30&amp;";",""),IF(AND($G38&lt;Hta_11,$G38&gt;=Hba_11,Input!AK$31&lt;&gt;""),Input!$B$31&amp;";",""),IF(AND($G38&lt;Hta_12,$G38&gt;=Hba_12,Input!AK$32&lt;&gt;""),Input!$B$32&amp;";",""),IF(AND($G38&lt;Hta_13,$G38&gt;=Hba_13,Input!AK$33&lt;&gt;""),Input!$B$33&amp;";",""),IF(AND($G38&lt;Hta_14,$G38&gt;=Hba_14,Input!AK$34&lt;&gt;""),Input!$B$34&amp;";",""),IF(AND($G38&lt;Hta_15,$G38&gt;=Hba_15,Input!AK$35&lt;&gt;""),Input!$B$35&amp;";",""),IF(AND($G38&lt;Hta_16,$G38&gt;=Hba_16,Input!AK$36&lt;&gt;""),Input!$B$36&amp;";",""),IF(AND($G38&lt;Hta_17,$G38&gt;=Hba_17,Input!AK$37&lt;&gt;""),Input!$B$37&amp;";",""),IF(AND($G38&lt;Hta_18,$G38&gt;=Hba_18,Input!AK$38&lt;&gt;""),Input!$B$38&amp;";",""),IF(AND($G38&lt;Hta_19,$G38&gt;=Hba_19,Input!AK$39&lt;&gt;""),Input!$B$39&amp;";",""),IF(AND($G38&lt;Hta_20,$G38&gt;=Hba_20,Input!AK$40&lt;&gt;""),Input!$B$40&amp;";",""),IF(AND($G38&lt;Hta_21,$G38&gt;=Hba_21,Input!AK$41&lt;&gt;""),Input!$B$41&amp;";",""),IF(AND($G38&lt;Hta_22,$G38&gt;=Hba_22,Input!AK$42&lt;&gt;""),Input!$B$42&amp;";",""),IF(AND($G38&lt;Hta_23,$G38&gt;=Hba_23,Input!AK$43&lt;&gt;""),Input!$B$43&amp;";",""),IF(AND($G38&lt;Hta_24,$G38&gt;=Hba_24,Input!AK$44&lt;&gt;""),Input!$B$44&amp;";",""),IF(AND($G38&lt;Hta_25,$G38&gt;=Hba_25,Input!AK$45&lt;&gt;""),Input!$B$45&amp;";",""),IF(AND($G38&lt;Hta_26,$G38&gt;=Hba_26,Input!AK$46&lt;&gt;""),Input!$B$46&amp;";",""),IF(AND($G38&lt;Hta_27,$G38&gt;=Hba_27,Input!AK$47&lt;&gt;""),Input!$B$47&amp;";",""),IF(AND($G38&lt;Hta_28,$G38&gt;=Hba_28,Input!AK$48&lt;&gt;""),Input!$B$48&amp;";",""),IF(AND($G38&lt;Hta_29,$G38&gt;=Hba_29,Input!AK$49&lt;&gt;""),Input!$B$49&amp;";",""),IF(AND($G38&lt;Hta_30,$G38&gt;=Hba_30,Input!AK$50&lt;&gt;""),Input!$B$50&amp;";","")),"")</f>
        <v/>
      </c>
      <c r="CM38" s="25" t="str">
        <f>IFERROR(CONCATENATE(IF(AND($G38&lt;Hta_1,$G38&gt;=Hba_1,Input!AL$21&lt;&gt;""),Input!$B$21&amp;";",""),IF(AND($G38&lt;Hta_2,$G38&gt;=Hba_2,Input!AL$22&lt;&gt;""),Input!$B$22&amp;";",""),IF(AND($G38&lt;Hta_3,$G38&gt;=Hba_3,Input!AL$23&lt;&gt;""),Input!$B$23&amp;";",""),IF(AND($G38&lt;Hta_4,$G38&gt;=Hba_4,Input!AL$24&lt;&gt;""),Input!$B$24&amp;";",""),IF(AND($G38&lt;Hta_5,$G38&gt;=Hba_5,Input!AL$25&lt;&gt;""),Input!$B$25&amp;";",""),IF(AND($G38&lt;Hta_6,$G38&gt;=Hba_6,Input!AL$26&lt;&gt;""),Input!$B$26&amp;";",""),IF(AND($G38&lt;Hta_7,$G38&gt;=Hba_7,Input!AL$27&lt;&gt;""),Input!$B$27&amp;";",""),IF(AND($G38&lt;Hta_8,$G38&gt;=Hba_8,Input!AL$28&lt;&gt;""),Input!$B$28&amp;";",""),IF(AND($G38&lt;Hta_9,$G38&gt;=Hba_9,Input!AL$29&lt;&gt;""),Input!$B$29&amp;";",""),IF(AND($G38&lt;Hta_10,$G38&gt;=Hba_10,Input!AL$30&lt;&gt;""),Input!$B$30&amp;";",""),IF(AND($G38&lt;Hta_11,$G38&gt;=Hba_11,Input!AL$31&lt;&gt;""),Input!$B$31&amp;";",""),IF(AND($G38&lt;Hta_12,$G38&gt;=Hba_12,Input!AL$32&lt;&gt;""),Input!$B$32&amp;";",""),IF(AND($G38&lt;Hta_13,$G38&gt;=Hba_13,Input!AL$33&lt;&gt;""),Input!$B$33&amp;";",""),IF(AND($G38&lt;Hta_14,$G38&gt;=Hba_14,Input!AL$34&lt;&gt;""),Input!$B$34&amp;";",""),IF(AND($G38&lt;Hta_15,$G38&gt;=Hba_15,Input!AL$35&lt;&gt;""),Input!$B$35&amp;";",""),IF(AND($G38&lt;Hta_16,$G38&gt;=Hba_16,Input!AL$36&lt;&gt;""),Input!$B$36&amp;";",""),IF(AND($G38&lt;Hta_17,$G38&gt;=Hba_17,Input!AL$37&lt;&gt;""),Input!$B$37&amp;";",""),IF(AND($G38&lt;Hta_18,$G38&gt;=Hba_18,Input!AL$38&lt;&gt;""),Input!$B$38&amp;";",""),IF(AND($G38&lt;Hta_19,$G38&gt;=Hba_19,Input!AL$39&lt;&gt;""),Input!$B$39&amp;";",""),IF(AND($G38&lt;Hta_20,$G38&gt;=Hba_20,Input!AL$40&lt;&gt;""),Input!$B$40&amp;";",""),IF(AND($G38&lt;Hta_21,$G38&gt;=Hba_21,Input!AL$41&lt;&gt;""),Input!$B$41&amp;";",""),IF(AND($G38&lt;Hta_22,$G38&gt;=Hba_22,Input!AL$42&lt;&gt;""),Input!$B$42&amp;";",""),IF(AND($G38&lt;Hta_23,$G38&gt;=Hba_23,Input!AL$43&lt;&gt;""),Input!$B$43&amp;";",""),IF(AND($G38&lt;Hta_24,$G38&gt;=Hba_24,Input!AL$44&lt;&gt;""),Input!$B$44&amp;";",""),IF(AND($G38&lt;Hta_25,$G38&gt;=Hba_25,Input!AL$45&lt;&gt;""),Input!$B$45&amp;";",""),IF(AND($G38&lt;Hta_26,$G38&gt;=Hba_26,Input!AL$46&lt;&gt;""),Input!$B$46&amp;";",""),IF(AND($G38&lt;Hta_27,$G38&gt;=Hba_27,Input!AL$47&lt;&gt;""),Input!$B$47&amp;";",""),IF(AND($G38&lt;Hta_28,$G38&gt;=Hba_28,Input!AL$48&lt;&gt;""),Input!$B$48&amp;";",""),IF(AND($G38&lt;Hta_29,$G38&gt;=Hba_29,Input!AL$49&lt;&gt;""),Input!$B$49&amp;";",""),IF(AND($G38&lt;Hta_30,$G38&gt;=Hba_30,Input!AL$50&lt;&gt;""),Input!$B$50&amp;";","")),"")</f>
        <v/>
      </c>
      <c r="CN38" s="59" t="str">
        <f t="shared" si="6"/>
        <v/>
      </c>
      <c r="CO38" s="791"/>
      <c r="CP38" s="792"/>
      <c r="CQ38" s="793"/>
      <c r="CR38" s="791"/>
      <c r="CS38" s="792"/>
      <c r="CT38" s="793"/>
      <c r="CU38" s="791" t="str">
        <f t="shared" si="7"/>
        <v/>
      </c>
      <c r="CV38" s="792"/>
      <c r="CW38" s="807"/>
      <c r="CX38" s="808"/>
      <c r="CY38" s="730"/>
      <c r="CZ38" s="809"/>
      <c r="DA38" s="733"/>
      <c r="DB38" s="734"/>
      <c r="DC38" s="735"/>
      <c r="DD38" s="729" t="str">
        <f t="shared" si="8"/>
        <v/>
      </c>
      <c r="DE38" s="730"/>
      <c r="DF38" s="731"/>
      <c r="DG38" s="55"/>
      <c r="DH38" s="56"/>
      <c r="DI38" s="56"/>
      <c r="DJ38" s="56"/>
      <c r="DK38" s="56"/>
      <c r="DL38" s="56"/>
      <c r="DM38" s="56"/>
      <c r="DN38" s="56"/>
      <c r="DO38" s="56"/>
      <c r="DP38" s="56"/>
      <c r="DQ38" s="58"/>
      <c r="DR38" s="58"/>
      <c r="DS38" s="58"/>
      <c r="DT38" s="58"/>
      <c r="DU38" s="58"/>
      <c r="DV38" s="58"/>
      <c r="DW38" s="58"/>
      <c r="DX38" s="58"/>
      <c r="DY38" s="58"/>
      <c r="DZ38" s="58"/>
      <c r="EA38" s="58"/>
      <c r="EB38" s="58"/>
      <c r="EC38" s="58"/>
      <c r="ED38" s="58"/>
      <c r="EE38" s="58"/>
      <c r="EF38" s="58"/>
      <c r="EG38" s="58"/>
      <c r="EH38" s="58"/>
      <c r="EI38" s="58"/>
      <c r="EJ38" s="58"/>
      <c r="EK38" s="58"/>
      <c r="EL38" s="134"/>
      <c r="EM38" s="134"/>
      <c r="EN38" s="134"/>
      <c r="EO38" s="134"/>
      <c r="EP38" s="134"/>
      <c r="EQ38" s="134"/>
      <c r="ER38" s="134"/>
      <c r="ES38" s="134"/>
      <c r="ET38" s="134"/>
      <c r="EU38" s="134"/>
      <c r="EV38" s="134"/>
      <c r="EW38" s="134"/>
      <c r="EX38" s="134"/>
      <c r="EY38" s="134"/>
      <c r="EZ38" s="134"/>
      <c r="FA38" s="134"/>
      <c r="FB38" s="134"/>
      <c r="FC38" s="134"/>
      <c r="FD38" s="134"/>
      <c r="FE38" s="134"/>
      <c r="FF38" s="134"/>
      <c r="FG38" s="134"/>
      <c r="FH38" s="134"/>
      <c r="FI38" s="134"/>
      <c r="FJ38" s="134"/>
      <c r="FK38" s="134"/>
      <c r="FL38" s="134"/>
      <c r="FM38" s="134"/>
      <c r="FN38" s="134"/>
      <c r="FO38" s="134"/>
      <c r="FP38" s="65"/>
      <c r="FQ38" s="124"/>
      <c r="FR38" s="122"/>
      <c r="FS38" s="120"/>
      <c r="FT38" s="119"/>
    </row>
    <row r="39" spans="2:176" ht="15.75" hidden="1" customHeight="1" thickBot="1" x14ac:dyDescent="0.3">
      <c r="B39" s="62" t="b">
        <f>IF(OR(AND(G39&gt;='Geometry 2'!$AK$5,G39&lt;'Geometry 2'!$AL$5),AND(G39&gt;='Geometry 2'!$AK$6,G39&lt;'Geometry 2'!$AL$6),AND(G39&gt;='Geometry 2'!$AK$7,G39&lt;'Geometry 2'!$AL$7),AND(G39&gt;='Geometry 2'!$AK$8,G39&lt;'Geometry 2'!$AL$8),AND(G39&gt;='Geometry 2'!$AK$9,G39&lt;'Geometry 2'!$AL$9),AND(G39&gt;='Geometry 2'!$AK$10,G39&lt;'Geometry 2'!$AL$10),AND(G39&gt;='Geometry 2'!$AK$11,G39&lt;'Geometry 2'!$AL$11),AND(G39&gt;='Geometry 2'!$AK$12,G39&lt;'Geometry 2'!$AL$12),AND(G39&gt;='Geometry 2'!$AK$13,G39&lt;'Geometry 2'!$AL$13),AND(G39&gt;='Geometry 2'!$AK$14,G39&lt;'Geometry 2'!$AL$14)),TRUE,FALSE)</f>
        <v>0</v>
      </c>
      <c r="C39" s="4" t="str">
        <f t="shared" si="3"/>
        <v/>
      </c>
      <c r="D39" s="766" t="str">
        <f t="shared" si="4"/>
        <v/>
      </c>
      <c r="E39" s="767"/>
      <c r="F39" s="17" t="str">
        <f t="shared" si="2"/>
        <v/>
      </c>
      <c r="G39" s="768" t="str">
        <f>IF(D39="","",MAX(0,G38-IF(inc="n/a",999,inc),MAX(IF(G38&lt;=Hta_1,0,Hta_1),IF(G38&lt;=Hta_2,0,Hta_2),IF(G38&lt;=Hta_3,0,Hta_3),IF(G38&lt;=Hta_4,0,Hta_4),IF(G38&lt;=Hta_5,0,Hta_5),IF(G38&lt;=Hta_6,0,Hta_6),IF(G38&lt;=Hta_7,0,Hta_7),IF(G38&lt;=Hta_8,0,Hta_8),IF(G38&lt;=Hta_9,0,Hta_9),IF(G38&lt;=Hta_10,0,Hta_10),IF(G38&lt;=Hta_11,0,Hta_11),IF(G38&lt;=Hta_12,0,Hta_12),IF(G38&lt;=Hta_13,0,Hta_13),IF(G38&lt;=Hta_14,0,Hta_14),IF(G38&lt;=Hta_15,0,Hta_15),IF(G38&lt;=Hta_16,0,Hta_16),IF(G38&lt;=Hta_17,0,Hta_17),IF(G38&lt;=Hta_18,0,Hta_18),IF(G38&lt;=Hta_19,0,Hta_19),IF(G38&lt;=Hta_20,0,Hta_20),IF(G38&lt;=Hta_21,0,Hta_21),IF(G38&lt;=Hta_22,0,Hta_22),IF(G38&lt;=Hta_23,0,Hta_23),IF(G38&lt;=Hta_24,0,Hta_24),IF(G38&lt;=Hta_25,0,Hta_25),IF(G38&lt;=Hta_26,0,Hta_26),IF(G38&lt;=Hta_27,0,Hta_27),IF(G38&lt;=Hta_28,0,Hta_28),IF(G38&lt;=Hta_29,0,Hta_29),IF(G38&lt;=Hta_30,0,Hta_30)),MAX(IF(G38&lt;=Hta_1-0.25,0,Hta_1-0.25),IF(G38&lt;=Hta_2-0.25,0,Hta_2-0.25),IF(G38&lt;=Hta_3-0.25,0,Hta_3-0.25),IF(G38&lt;=Hta_4-0.25,0,Hta_4-0.25),IF(G38&lt;=Hta_5-0.25,0,Hta_5-0.25),IF(G38&lt;=Hta_6-0.25,0,Hta_6-0.25),IF(G38&lt;=Hta_7-0.25,0,Hta_7-0.25),IF(G38&lt;=Hta_8-0.25,0,Hta_8-0.25),IF(G38&lt;=Hta_9-0.25,0,Hta_9-0.25),IF(G38&lt;=Hta_10-0.25,0,Hta_10-0.25),IF(G38&lt;=Hta_11-0.25,0,Hta_11-0.25),IF(G38&lt;=Hta_12-0.25,0,Hta_12-0.25),IF(G38&lt;=Hta_13-0.25,0,Hta_13-0.25),IF(G38&lt;=Hta_14-0.25,0,Hta_14-0.25),IF(G38&lt;=Hta_15-0.25,0,Hta_15-0.25),IF(G38&lt;=Hta_16-0.25,0,Hta_16-0.25),IF(G38&lt;=Hta_17-0.25,0,Hta_17-0.25),IF(G38&lt;=Hta_18-0.25,0,Hta_18-0.25),IF(G38&lt;=Hta_19-0.25,0,Hta_19-0.25),IF(G38&lt;=Hta_20-0.25,0,Hta_20-0.25),IF(G38&lt;=Hta_21-0.25,0,Hta_21-0.25),IF(G38&lt;=Hta_22-0.25,0,Hta_22-0.25),IF(G38&lt;=Hta_23-0.25,0,Hta_23-0.25),IF(G38&lt;=Hta_24-0.25,0,Hta_24-0.25),IF(G38&lt;=Hta_25-0.25,0,Hta_25-0.25),IF(G38&lt;=Hta_26-0.25,0,Hta_26-0.25),IF(G38&lt;=Hta_27-0.25,0,Hta_27-0.25),IF(G38&lt;=Hta_28-0.25,0,Hta_28-0.25),IF(G38&lt;=Hta_29-0.25,0,Hta_29-0.25),IF(G38&lt;=Hta_30-0.25,0,Hta_30-0.25)),MAX(IF(G38&lt;=Hba_1,0,Hba_1),IF(G38&lt;=Hba_2,0,Hba_2),IF(G38&lt;=Hba_3,0,Hba_3),IF(G38&lt;=Hba_4,0,Hba_4),IF(G38&lt;=Hba_5,0,Hba_5),IF(G38&lt;=Hba_6,0,Hba_6),IF(G38&lt;=Hba_7,0,Hba_7),IF(G38&lt;=Hba_8,0,Hba_8),IF(G38&lt;=Hba_9,0,Hba_9),IF(G38&lt;=Hba_10,0,Hba_10),IF(G38&lt;=Hba_11,0,Hba_11),IF(G38&lt;=Hba_12,0,Hba_12),IF(G38&lt;=Hba_13,0,Hba_13),IF(G38&lt;=Hba_14,0,Hba_14),IF(G38&lt;=Hba_15,0,Hba_15),IF(G38&lt;=Hba_16,0,Hba_16),IF(G38&lt;=Hba_17,0,Hba_17),IF(G38&lt;=Hba_18,0,Hba_18),IF(G38&lt;=Hba_19,0,Hba_19),IF(G38&lt;=Hba_20,0,Hba_20),IF(G38&lt;=Hba_21,0,Hba_21),IF(G38&lt;=Hba_22,0,Hba_22),IF(G38&lt;=Hba_23,0,Hba_23),IF(G38&lt;=Hba_24,0,Hba_24),IF(G38&lt;=Hba_25,0,Hba_25),IF(G38&lt;=Hba_26,0,Hba_26),IF(G38&lt;=Hba_27,0,Hba_27),IF(G38&lt;=Hba_28,0,Hba_28),IF(G38&lt;=Hba_29,0,Hba_29),IF(G38&lt;=Hba_30,0,Hba_30)),MAX(IF(G38&lt;=Input!$C$8,0,Input!$C$8),IF(G38&lt;=Input!$C$9,0,Input!$C$9),IF(G38&lt;=Input!$C$10,0,Input!$C$10),IF(G38&lt;=Input!$C$11,0,Input!$C$11),IF(G38&lt;=Input!$C$12,0,Input!$C$12),IF(G38&lt;=Input!$C$13,0,Input!$C$13),IF(G38&lt;=Input!$C$14,0,Input!$C$14),IF(G38&lt;=Input!$C$15,0,Input!$C$15),IF(G38&lt;=Input!$C$16,0,Input!$C$16)),MAX(IF(G38&lt;=Hba_1-0.25,0,Hba_1-0.25),IF(G38&lt;=Hba_2-0.25,0,Hba_2-0.25),IF(G38&lt;=Hba_3-0.25,0,Hba_3-0.25),IF(G38&lt;=Hba_4-0.25,0,Hba_4-0.25),IF(G38&lt;=Hba_5-0.25,0,Hba_5-0.25),IF(G38&lt;=Hba_6-0.25,0,Hba_6-0.25),IF(G38&lt;=Hba_7-0.25,0,Hba_7-0.25),IF(G38&lt;=Hba_8-0.25,0,Hba_8-0.25),IF(G38&lt;=Hba_9-0.25,0,Hba_9-0.25),IF(G38&lt;=Hba_10-0.25,0,Hba_10-0.25),IF(G38&lt;=Hba_11-0.25,0,Hba_11-0.25),IF(G38&lt;=Hba_12-0.25,0,Hba_12-0.25),IF(G38&lt;=Hba_13-0.25,0,Hba_13-0.25),IF(G38&lt;=Hba_14-0.25,0,Hba_14-0.25),IF(G38&lt;=Hba_15-0.25,0,Hba_15-0.25),IF(G38&lt;=Hba_16-0.25,0,Hba_16-0.25),IF(G38&lt;=Hba_17-0.25,0,Hba_17-0.25),IF(G38&lt;=Hba_18-0.25,0,Hba_18-0.25),IF(G38&lt;=Hba_19-0.25,0,Hba_19-0.25),IF(G38&lt;=Hba_20-0.25,0,Hba_20-0.25),IF(G38&lt;=Hba_21-0.25,0,Hba_21-0.25),IF(G38&lt;=Hba_22-0.25,0,Hba_22-0.25),IF(G38&lt;=Hba_23-0.25,0,Hba_23-0.25),IF(G38&lt;=Hba_24-0.25,0,Hba_24-0.25),IF(G38&lt;=Hba_25-0.25,0,Hba_25-0.25),IF(G38&lt;=Hba_26-0.25,0,Hba_26-0.25),IF(G38&lt;=Hba_27-0.25,0,Hba_27-0.25),IF(G38&lt;=Hba_28-0.25,0,Hba_28-0.25),IF(G38&lt;=Hba_29-0.25,0,Hba_29-0.25),IF(G38&lt;=Hba_30-0.25,0,Hba_30-0.25)),IF(G38&lt;='Macro References'!$A$38,0,'Macro References'!$A$38)))</f>
        <v/>
      </c>
      <c r="H39" s="769"/>
      <c r="I39" s="228"/>
      <c r="J39" s="228"/>
      <c r="K39" s="228"/>
      <c r="L39" s="717" t="str">
        <f t="shared" si="10"/>
        <v/>
      </c>
      <c r="M39" s="717"/>
      <c r="N39" s="717"/>
      <c r="O39" s="717"/>
      <c r="P39" s="717" t="str">
        <f>IF(OR(G39=0,G39=""),"",IF(VLOOKUP(G39,'Geometry 2'!$C$4:$AI$14,1,TRUE)=VLOOKUP(G40,'Geometry 2'!$C$4:$AI$14,1,TRUE),"",IF(VLOOKUP(G39,'Geometry 2'!$C$4:$AI$14,33,TRUE)&lt;&gt;"n/a",MIN(G39,VLOOKUP(G39,'Geometry 2'!$C$4:$AI$14,1,TRUE))-VLOOKUP(G39,'Geometry 2'!$C$4:$AI$14,33,TRUE),"check")))</f>
        <v/>
      </c>
      <c r="Q39" s="717"/>
      <c r="R39" s="717"/>
      <c r="S39" s="717"/>
      <c r="T39" s="717" t="str">
        <f>IF($G39="","",VLOOKUP($G39,'Geometry 2'!$E$4:$AH$14,11,TRUE))</f>
        <v/>
      </c>
      <c r="U39" s="717"/>
      <c r="V39" s="717"/>
      <c r="W39" s="717"/>
      <c r="X39" s="716" t="str">
        <f>IF($G39="","",VLOOKUP($G39,'Geometry 2'!$E$4:$AJ$14,19,TRUE)-12*VLOOKUP($G39,'Geometry 2'!$E$4:$AJ$14,32,TRUE)*($D39-VLOOKUP($G39,'Geometry 2'!$E$5:$AH$14,1,TRUE)))</f>
        <v/>
      </c>
      <c r="Y39" s="716"/>
      <c r="Z39" s="716"/>
      <c r="AA39" s="716"/>
      <c r="AB39" s="757" t="str">
        <f>IF($G39="","",VLOOKUP($G39,'Geometry 2'!$E$4:$AJ$14,19,TRUE)-12*VLOOKUP($G39,'Geometry 2'!$E$4:$AJ$14,32,TRUE)*($G39-VLOOKUP($G39,'Geometry 2'!$E$5:$AH$14,1,TRUE)))</f>
        <v/>
      </c>
      <c r="AC39" s="758"/>
      <c r="AD39" s="758"/>
      <c r="AE39" s="759"/>
      <c r="AF39" s="716" t="str">
        <f>IF($G39="","",VLOOKUP($G39,'Geometry 2'!$E$4:$AJ$14,19,TRUE)-12*VLOOKUP($G39,'Geometry 2'!$E$4:$AJ$14,32,TRUE)*($G39-IF($P39="",0,$P39)-VLOOKUP($G39,'Geometry 2'!$E$5:$AH$14,1,TRUE)))</f>
        <v/>
      </c>
      <c r="AG39" s="716"/>
      <c r="AH39" s="716"/>
      <c r="AI39" s="716"/>
      <c r="AJ39" s="746" t="str">
        <f>IF($G39="","",VLOOKUP($G39,'Geometry 2'!$E$4:$AH$14,23,TRUE))</f>
        <v/>
      </c>
      <c r="AK39" s="747"/>
      <c r="AL39" s="747"/>
      <c r="AM39" s="748"/>
      <c r="AN39" s="717"/>
      <c r="AO39" s="717"/>
      <c r="AP39" s="717"/>
      <c r="AQ39" s="717"/>
      <c r="AR39" s="717" t="str">
        <f>IF($G39="","",VLOOKUP($G39,'Geometry 2'!$E$4:$AH$14,27,TRUE))</f>
        <v/>
      </c>
      <c r="AS39" s="717"/>
      <c r="AT39" s="717"/>
      <c r="AU39" s="718"/>
      <c r="AV39" s="715"/>
      <c r="AW39" s="716"/>
      <c r="AX39" s="716"/>
      <c r="AZ39" s="722" t="str">
        <f t="shared" si="5"/>
        <v/>
      </c>
      <c r="BA39" s="723"/>
      <c r="BB39" s="723"/>
      <c r="BC39" s="724"/>
      <c r="BD39" s="722"/>
      <c r="BE39" s="723"/>
      <c r="BF39" s="723"/>
      <c r="BG39" s="722" t="str">
        <f t="shared" si="9"/>
        <v/>
      </c>
      <c r="BH39" s="723"/>
      <c r="BI39" s="723"/>
      <c r="BJ39" s="723"/>
      <c r="BK39" s="724"/>
      <c r="BL39" s="722"/>
      <c r="BM39" s="723"/>
      <c r="BN39" s="723"/>
      <c r="BO39" s="723"/>
      <c r="BP39" s="725"/>
      <c r="BQ39" s="725"/>
      <c r="BR39" s="722" t="str">
        <f>IF(BP39="","",IF(OR(AND(Rev="H",Calculations!$F$27=TRUE),AND(Rev&lt;&gt;"H",Calculations!$F$30=TRUE)),IF(BP39&lt;=1,"Pass","Fail"),IF(BP39&lt;=1.05,"Pass","Fail")))</f>
        <v/>
      </c>
      <c r="BS39" s="723"/>
      <c r="BT39" s="724"/>
      <c r="BU39" s="49"/>
      <c r="BV39" s="25" t="str">
        <f>IFERROR(CONCATENATE(IF(AND($G39&lt;Hta_1,$G39&gt;=Hba_1,Input!U$21&lt;&gt;""),Input!$B$21&amp;";",""),IF(AND($G39&lt;Hta_2,$G39&gt;=Hba_2,Input!U$22&lt;&gt;""),Input!$B$22&amp;";",""),IF(AND($G39&lt;Hta_3,$G39&gt;=Hba_3,Input!U$23&lt;&gt;""),Input!$B$23&amp;";",""),IF(AND($G39&lt;Hta_4,$G39&gt;=Hba_4,Input!U$24&lt;&gt;""),Input!$B$24&amp;";",""),IF(AND($G39&lt;Hta_5,$G39&gt;=Hba_5,Input!U$25&lt;&gt;""),Input!$B$25&amp;";",""),IF(AND($G39&lt;Hta_6,$G39&gt;=Hba_6,Input!U$26&lt;&gt;""),Input!$B$26&amp;";",""),IF(AND($G39&lt;Hta_7,$G39&gt;=Hba_7,Input!U$27&lt;&gt;""),Input!$B$27&amp;";",""),IF(AND($G39&lt;Hta_8,$G39&gt;=Hba_8,Input!U$28&lt;&gt;""),Input!$B$28&amp;";",""),IF(AND($G39&lt;Hta_9,$G39&gt;=Hba_9,Input!U$29&lt;&gt;""),Input!$B$29&amp;";",""),IF(AND($G39&lt;Hta_10,$G39&gt;=Hba_10,Input!U$30&lt;&gt;""),Input!$B$30&amp;";",""),IF(AND($G39&lt;Hta_11,$G39&gt;=Hba_11,Input!U$31&lt;&gt;""),Input!$B$31&amp;";",""),IF(AND($G39&lt;Hta_12,$G39&gt;=Hba_12,Input!U$32&lt;&gt;""),Input!$B$32&amp;";",""),IF(AND($G39&lt;Hta_13,$G39&gt;=Hba_13,Input!U$33&lt;&gt;""),Input!$B$33&amp;";",""),IF(AND($G39&lt;Hta_14,$G39&gt;=Hba_14,Input!U$34&lt;&gt;""),Input!$B$34&amp;";",""),IF(AND($G39&lt;Hta_15,$G39&gt;=Hba_15,Input!U$35&lt;&gt;""),Input!$B$35&amp;";",""),IF(AND($G39&lt;Hta_16,$G39&gt;=Hba_16,Input!U$36&lt;&gt;""),Input!$B$36&amp;";",""),IF(AND($G39&lt;Hta_17,$G39&gt;=Hba_17,Input!U$37&lt;&gt;""),Input!$B$37&amp;";",""),IF(AND($G39&lt;Hta_18,$G39&gt;=Hba_18,Input!U$38&lt;&gt;""),Input!$B$38&amp;";",""),IF(AND($G39&lt;Hta_19,$G39&gt;=Hba_19,Input!U$39&lt;&gt;""),Input!$B$39&amp;";",""),IF(AND($G39&lt;Hta_20,$G39&gt;=Hba_20,Input!U$40&lt;&gt;""),Input!$B$40&amp;";",""),IF(AND($G39&lt;Hta_21,$G39&gt;=Hba_21,Input!U$41&lt;&gt;""),Input!$B$41&amp;";",""),IF(AND($G39&lt;Hta_22,$G39&gt;=Hba_22,Input!U$42&lt;&gt;""),Input!$B$42&amp;";",""),IF(AND($G39&lt;Hta_23,$G39&gt;=Hba_23,Input!U$43&lt;&gt;""),Input!$B$43&amp;";",""),IF(AND($G39&lt;Hta_24,$G39&gt;=Hba_24,Input!U$44&lt;&gt;""),Input!$B$44&amp;";",""),IF(AND($G39&lt;Hta_25,$G39&gt;=Hba_25,Input!U$45&lt;&gt;""),Input!$B$45&amp;";",""),IF(AND($G39&lt;Hta_26,$G39&gt;=Hba_26,Input!U$46&lt;&gt;""),Input!$B$46&amp;";",""),IF(AND($G39&lt;Hta_27,$G39&gt;=Hba_27,Input!U$47&lt;&gt;""),Input!$B$47&amp;";",""),IF(AND($G39&lt;Hta_28,$G39&gt;=Hba_28,Input!U$48&lt;&gt;""),Input!$B$48&amp;";",""),IF(AND($G39&lt;Hta_29,$G39&gt;=Hba_29,Input!U$49&lt;&gt;""),Input!$B$49&amp;";",""),IF(AND($G39&lt;Hta_30,$G39&gt;=Hba_30,Input!U$50&lt;&gt;""),Input!$B$50&amp;";","")),"")</f>
        <v/>
      </c>
      <c r="BW39" s="25" t="str">
        <f>IFERROR(CONCATENATE(IF(AND($G39&lt;Hta_1,$G39&gt;=Hba_1,Input!V$21&lt;&gt;""),Input!$B$21&amp;";",""),IF(AND($G39&lt;Hta_2,$G39&gt;=Hba_2,Input!V$22&lt;&gt;""),Input!$B$22&amp;";",""),IF(AND($G39&lt;Hta_3,$G39&gt;=Hba_3,Input!V$23&lt;&gt;""),Input!$B$23&amp;";",""),IF(AND($G39&lt;Hta_4,$G39&gt;=Hba_4,Input!V$24&lt;&gt;""),Input!$B$24&amp;";",""),IF(AND($G39&lt;Hta_5,$G39&gt;=Hba_5,Input!V$25&lt;&gt;""),Input!$B$25&amp;";",""),IF(AND($G39&lt;Hta_6,$G39&gt;=Hba_6,Input!V$26&lt;&gt;""),Input!$B$26&amp;";",""),IF(AND($G39&lt;Hta_7,$G39&gt;=Hba_7,Input!V$27&lt;&gt;""),Input!$B$27&amp;";",""),IF(AND($G39&lt;Hta_8,$G39&gt;=Hba_8,Input!V$28&lt;&gt;""),Input!$B$28&amp;";",""),IF(AND($G39&lt;Hta_9,$G39&gt;=Hba_9,Input!V$29&lt;&gt;""),Input!$B$29&amp;";",""),IF(AND($G39&lt;Hta_10,$G39&gt;=Hba_10,Input!V$30&lt;&gt;""),Input!$B$30&amp;";",""),IF(AND($G39&lt;Hta_11,$G39&gt;=Hba_11,Input!V$31&lt;&gt;""),Input!$B$31&amp;";",""),IF(AND($G39&lt;Hta_12,$G39&gt;=Hba_12,Input!V$32&lt;&gt;""),Input!$B$32&amp;";",""),IF(AND($G39&lt;Hta_13,$G39&gt;=Hba_13,Input!V$33&lt;&gt;""),Input!$B$33&amp;";",""),IF(AND($G39&lt;Hta_14,$G39&gt;=Hba_14,Input!V$34&lt;&gt;""),Input!$B$34&amp;";",""),IF(AND($G39&lt;Hta_15,$G39&gt;=Hba_15,Input!V$35&lt;&gt;""),Input!$B$35&amp;";",""),IF(AND($G39&lt;Hta_16,$G39&gt;=Hba_16,Input!V$36&lt;&gt;""),Input!$B$36&amp;";",""),IF(AND($G39&lt;Hta_17,$G39&gt;=Hba_17,Input!V$37&lt;&gt;""),Input!$B$37&amp;";",""),IF(AND($G39&lt;Hta_18,$G39&gt;=Hba_18,Input!V$38&lt;&gt;""),Input!$B$38&amp;";",""),IF(AND($G39&lt;Hta_19,$G39&gt;=Hba_19,Input!V$39&lt;&gt;""),Input!$B$39&amp;";",""),IF(AND($G39&lt;Hta_20,$G39&gt;=Hba_20,Input!V$40&lt;&gt;""),Input!$B$40&amp;";",""),IF(AND($G39&lt;Hta_21,$G39&gt;=Hba_21,Input!V$41&lt;&gt;""),Input!$B$41&amp;";",""),IF(AND($G39&lt;Hta_22,$G39&gt;=Hba_22,Input!V$42&lt;&gt;""),Input!$B$42&amp;";",""),IF(AND($G39&lt;Hta_23,$G39&gt;=Hba_23,Input!V$43&lt;&gt;""),Input!$B$43&amp;";",""),IF(AND($G39&lt;Hta_24,$G39&gt;=Hba_24,Input!V$44&lt;&gt;""),Input!$B$44&amp;";",""),IF(AND($G39&lt;Hta_25,$G39&gt;=Hba_25,Input!V$45&lt;&gt;""),Input!$B$45&amp;";",""),IF(AND($G39&lt;Hta_26,$G39&gt;=Hba_26,Input!V$46&lt;&gt;""),Input!$B$46&amp;";",""),IF(AND($G39&lt;Hta_27,$G39&gt;=Hba_27,Input!V$47&lt;&gt;""),Input!$B$47&amp;";",""),IF(AND($G39&lt;Hta_28,$G39&gt;=Hba_28,Input!V$48&lt;&gt;""),Input!$B$48&amp;";",""),IF(AND($G39&lt;Hta_29,$G39&gt;=Hba_29,Input!V$49&lt;&gt;""),Input!$B$49&amp;";",""),IF(AND($G39&lt;Hta_30,$G39&gt;=Hba_30,Input!V$50&lt;&gt;""),Input!$B$50&amp;";","")),"")</f>
        <v/>
      </c>
      <c r="BX39" s="25" t="str">
        <f>IFERROR(CONCATENATE(IF(AND($G39&lt;Hta_1,$G39&gt;=Hba_1,Input!W$21&lt;&gt;""),Input!$B$21&amp;";",""),IF(AND($G39&lt;Hta_2,$G39&gt;=Hba_2,Input!W$22&lt;&gt;""),Input!$B$22&amp;";",""),IF(AND($G39&lt;Hta_3,$G39&gt;=Hba_3,Input!W$23&lt;&gt;""),Input!$B$23&amp;";",""),IF(AND($G39&lt;Hta_4,$G39&gt;=Hba_4,Input!W$24&lt;&gt;""),Input!$B$24&amp;";",""),IF(AND($G39&lt;Hta_5,$G39&gt;=Hba_5,Input!W$25&lt;&gt;""),Input!$B$25&amp;";",""),IF(AND($G39&lt;Hta_6,$G39&gt;=Hba_6,Input!W$26&lt;&gt;""),Input!$B$26&amp;";",""),IF(AND($G39&lt;Hta_7,$G39&gt;=Hba_7,Input!W$27&lt;&gt;""),Input!$B$27&amp;";",""),IF(AND($G39&lt;Hta_8,$G39&gt;=Hba_8,Input!W$28&lt;&gt;""),Input!$B$28&amp;";",""),IF(AND($G39&lt;Hta_9,$G39&gt;=Hba_9,Input!W$29&lt;&gt;""),Input!$B$29&amp;";",""),IF(AND($G39&lt;Hta_10,$G39&gt;=Hba_10,Input!W$30&lt;&gt;""),Input!$B$30&amp;";",""),IF(AND($G39&lt;Hta_11,$G39&gt;=Hba_11,Input!W$31&lt;&gt;""),Input!$B$31&amp;";",""),IF(AND($G39&lt;Hta_12,$G39&gt;=Hba_12,Input!W$32&lt;&gt;""),Input!$B$32&amp;";",""),IF(AND($G39&lt;Hta_13,$G39&gt;=Hba_13,Input!W$33&lt;&gt;""),Input!$B$33&amp;";",""),IF(AND($G39&lt;Hta_14,$G39&gt;=Hba_14,Input!W$34&lt;&gt;""),Input!$B$34&amp;";",""),IF(AND($G39&lt;Hta_15,$G39&gt;=Hba_15,Input!W$35&lt;&gt;""),Input!$B$35&amp;";",""),IF(AND($G39&lt;Hta_16,$G39&gt;=Hba_16,Input!W$36&lt;&gt;""),Input!$B$36&amp;";",""),IF(AND($G39&lt;Hta_17,$G39&gt;=Hba_17,Input!W$37&lt;&gt;""),Input!$B$37&amp;";",""),IF(AND($G39&lt;Hta_18,$G39&gt;=Hba_18,Input!W$38&lt;&gt;""),Input!$B$38&amp;";",""),IF(AND($G39&lt;Hta_19,$G39&gt;=Hba_19,Input!W$39&lt;&gt;""),Input!$B$39&amp;";",""),IF(AND($G39&lt;Hta_20,$G39&gt;=Hba_20,Input!W$40&lt;&gt;""),Input!$B$40&amp;";",""),IF(AND($G39&lt;Hta_21,$G39&gt;=Hba_21,Input!W$41&lt;&gt;""),Input!$B$41&amp;";",""),IF(AND($G39&lt;Hta_22,$G39&gt;=Hba_22,Input!W$42&lt;&gt;""),Input!$B$42&amp;";",""),IF(AND($G39&lt;Hta_23,$G39&gt;=Hba_23,Input!W$43&lt;&gt;""),Input!$B$43&amp;";",""),IF(AND($G39&lt;Hta_24,$G39&gt;=Hba_24,Input!W$44&lt;&gt;""),Input!$B$44&amp;";",""),IF(AND($G39&lt;Hta_25,$G39&gt;=Hba_25,Input!W$45&lt;&gt;""),Input!$B$45&amp;";",""),IF(AND($G39&lt;Hta_26,$G39&gt;=Hba_26,Input!W$46&lt;&gt;""),Input!$B$46&amp;";",""),IF(AND($G39&lt;Hta_27,$G39&gt;=Hba_27,Input!W$47&lt;&gt;""),Input!$B$47&amp;";",""),IF(AND($G39&lt;Hta_28,$G39&gt;=Hba_28,Input!W$48&lt;&gt;""),Input!$B$48&amp;";",""),IF(AND($G39&lt;Hta_29,$G39&gt;=Hba_29,Input!W$49&lt;&gt;""),Input!$B$49&amp;";",""),IF(AND($G39&lt;Hta_30,$G39&gt;=Hba_30,Input!W$50&lt;&gt;""),Input!$B$50&amp;";","")),"")</f>
        <v/>
      </c>
      <c r="BY39" s="25" t="str">
        <f>IFERROR(CONCATENATE(IF(AND($G39&lt;Hta_1,$G39&gt;=Hba_1,Input!X$21&lt;&gt;""),Input!$B$21&amp;";",""),IF(AND($G39&lt;Hta_2,$G39&gt;=Hba_2,Input!X$22&lt;&gt;""),Input!$B$22&amp;";",""),IF(AND($G39&lt;Hta_3,$G39&gt;=Hba_3,Input!X$23&lt;&gt;""),Input!$B$23&amp;";",""),IF(AND($G39&lt;Hta_4,$G39&gt;=Hba_4,Input!X$24&lt;&gt;""),Input!$B$24&amp;";",""),IF(AND($G39&lt;Hta_5,$G39&gt;=Hba_5,Input!X$25&lt;&gt;""),Input!$B$25&amp;";",""),IF(AND($G39&lt;Hta_6,$G39&gt;=Hba_6,Input!X$26&lt;&gt;""),Input!$B$26&amp;";",""),IF(AND($G39&lt;Hta_7,$G39&gt;=Hba_7,Input!X$27&lt;&gt;""),Input!$B$27&amp;";",""),IF(AND($G39&lt;Hta_8,$G39&gt;=Hba_8,Input!X$28&lt;&gt;""),Input!$B$28&amp;";",""),IF(AND($G39&lt;Hta_9,$G39&gt;=Hba_9,Input!X$29&lt;&gt;""),Input!$B$29&amp;";",""),IF(AND($G39&lt;Hta_10,$G39&gt;=Hba_10,Input!X$30&lt;&gt;""),Input!$B$30&amp;";",""),IF(AND($G39&lt;Hta_11,$G39&gt;=Hba_11,Input!X$31&lt;&gt;""),Input!$B$31&amp;";",""),IF(AND($G39&lt;Hta_12,$G39&gt;=Hba_12,Input!X$32&lt;&gt;""),Input!$B$32&amp;";",""),IF(AND($G39&lt;Hta_13,$G39&gt;=Hba_13,Input!X$33&lt;&gt;""),Input!$B$33&amp;";",""),IF(AND($G39&lt;Hta_14,$G39&gt;=Hba_14,Input!X$34&lt;&gt;""),Input!$B$34&amp;";",""),IF(AND($G39&lt;Hta_15,$G39&gt;=Hba_15,Input!X$35&lt;&gt;""),Input!$B$35&amp;";",""),IF(AND($G39&lt;Hta_16,$G39&gt;=Hba_16,Input!X$36&lt;&gt;""),Input!$B$36&amp;";",""),IF(AND($G39&lt;Hta_17,$G39&gt;=Hba_17,Input!X$37&lt;&gt;""),Input!$B$37&amp;";",""),IF(AND($G39&lt;Hta_18,$G39&gt;=Hba_18,Input!X$38&lt;&gt;""),Input!$B$38&amp;";",""),IF(AND($G39&lt;Hta_19,$G39&gt;=Hba_19,Input!X$39&lt;&gt;""),Input!$B$39&amp;";",""),IF(AND($G39&lt;Hta_20,$G39&gt;=Hba_20,Input!X$40&lt;&gt;""),Input!$B$40&amp;";",""),IF(AND($G39&lt;Hta_21,$G39&gt;=Hba_21,Input!X$41&lt;&gt;""),Input!$B$41&amp;";",""),IF(AND($G39&lt;Hta_22,$G39&gt;=Hba_22,Input!X$42&lt;&gt;""),Input!$B$42&amp;";",""),IF(AND($G39&lt;Hta_23,$G39&gt;=Hba_23,Input!X$43&lt;&gt;""),Input!$B$43&amp;";",""),IF(AND($G39&lt;Hta_24,$G39&gt;=Hba_24,Input!X$44&lt;&gt;""),Input!$B$44&amp;";",""),IF(AND($G39&lt;Hta_25,$G39&gt;=Hba_25,Input!X$45&lt;&gt;""),Input!$B$45&amp;";",""),IF(AND($G39&lt;Hta_26,$G39&gt;=Hba_26,Input!X$46&lt;&gt;""),Input!$B$46&amp;";",""),IF(AND($G39&lt;Hta_27,$G39&gt;=Hba_27,Input!X$47&lt;&gt;""),Input!$B$47&amp;";",""),IF(AND($G39&lt;Hta_28,$G39&gt;=Hba_28,Input!X$48&lt;&gt;""),Input!$B$48&amp;";",""),IF(AND($G39&lt;Hta_29,$G39&gt;=Hba_29,Input!X$49&lt;&gt;""),Input!$B$49&amp;";",""),IF(AND($G39&lt;Hta_30,$G39&gt;=Hba_30,Input!X$50&lt;&gt;""),Input!$B$50&amp;";","")),"")</f>
        <v/>
      </c>
      <c r="BZ39" s="25" t="str">
        <f>IFERROR(CONCATENATE(IF(AND($G39&lt;Hta_1,$G39&gt;=Hba_1,Input!Y$21&lt;&gt;""),Input!$B$21&amp;";",""),IF(AND($G39&lt;Hta_2,$G39&gt;=Hba_2,Input!Y$22&lt;&gt;""),Input!$B$22&amp;";",""),IF(AND($G39&lt;Hta_3,$G39&gt;=Hba_3,Input!Y$23&lt;&gt;""),Input!$B$23&amp;";",""),IF(AND($G39&lt;Hta_4,$G39&gt;=Hba_4,Input!Y$24&lt;&gt;""),Input!$B$24&amp;";",""),IF(AND($G39&lt;Hta_5,$G39&gt;=Hba_5,Input!Y$25&lt;&gt;""),Input!$B$25&amp;";",""),IF(AND($G39&lt;Hta_6,$G39&gt;=Hba_6,Input!Y$26&lt;&gt;""),Input!$B$26&amp;";",""),IF(AND($G39&lt;Hta_7,$G39&gt;=Hba_7,Input!Y$27&lt;&gt;""),Input!$B$27&amp;";",""),IF(AND($G39&lt;Hta_8,$G39&gt;=Hba_8,Input!Y$28&lt;&gt;""),Input!$B$28&amp;";",""),IF(AND($G39&lt;Hta_9,$G39&gt;=Hba_9,Input!Y$29&lt;&gt;""),Input!$B$29&amp;";",""),IF(AND($G39&lt;Hta_10,$G39&gt;=Hba_10,Input!Y$30&lt;&gt;""),Input!$B$30&amp;";",""),IF(AND($G39&lt;Hta_11,$G39&gt;=Hba_11,Input!Y$31&lt;&gt;""),Input!$B$31&amp;";",""),IF(AND($G39&lt;Hta_12,$G39&gt;=Hba_12,Input!Y$32&lt;&gt;""),Input!$B$32&amp;";",""),IF(AND($G39&lt;Hta_13,$G39&gt;=Hba_13,Input!Y$33&lt;&gt;""),Input!$B$33&amp;";",""),IF(AND($G39&lt;Hta_14,$G39&gt;=Hba_14,Input!Y$34&lt;&gt;""),Input!$B$34&amp;";",""),IF(AND($G39&lt;Hta_15,$G39&gt;=Hba_15,Input!Y$35&lt;&gt;""),Input!$B$35&amp;";",""),IF(AND($G39&lt;Hta_16,$G39&gt;=Hba_16,Input!Y$36&lt;&gt;""),Input!$B$36&amp;";",""),IF(AND($G39&lt;Hta_17,$G39&gt;=Hba_17,Input!Y$37&lt;&gt;""),Input!$B$37&amp;";",""),IF(AND($G39&lt;Hta_18,$G39&gt;=Hba_18,Input!Y$38&lt;&gt;""),Input!$B$38&amp;";",""),IF(AND($G39&lt;Hta_19,$G39&gt;=Hba_19,Input!Y$39&lt;&gt;""),Input!$B$39&amp;";",""),IF(AND($G39&lt;Hta_20,$G39&gt;=Hba_20,Input!Y$40&lt;&gt;""),Input!$B$40&amp;";",""),IF(AND($G39&lt;Hta_21,$G39&gt;=Hba_21,Input!Y$41&lt;&gt;""),Input!$B$41&amp;";",""),IF(AND($G39&lt;Hta_22,$G39&gt;=Hba_22,Input!Y$42&lt;&gt;""),Input!$B$42&amp;";",""),IF(AND($G39&lt;Hta_23,$G39&gt;=Hba_23,Input!Y$43&lt;&gt;""),Input!$B$43&amp;";",""),IF(AND($G39&lt;Hta_24,$G39&gt;=Hba_24,Input!Y$44&lt;&gt;""),Input!$B$44&amp;";",""),IF(AND($G39&lt;Hta_25,$G39&gt;=Hba_25,Input!Y$45&lt;&gt;""),Input!$B$45&amp;";",""),IF(AND($G39&lt;Hta_26,$G39&gt;=Hba_26,Input!Y$46&lt;&gt;""),Input!$B$46&amp;";",""),IF(AND($G39&lt;Hta_27,$G39&gt;=Hba_27,Input!Y$47&lt;&gt;""),Input!$B$47&amp;";",""),IF(AND($G39&lt;Hta_28,$G39&gt;=Hba_28,Input!Y$48&lt;&gt;""),Input!$B$48&amp;";",""),IF(AND($G39&lt;Hta_29,$G39&gt;=Hba_29,Input!Y$49&lt;&gt;""),Input!$B$49&amp;";",""),IF(AND($G39&lt;Hta_30,$G39&gt;=Hba_30,Input!Y$50&lt;&gt;""),Input!$B$50&amp;";","")),"")</f>
        <v/>
      </c>
      <c r="CA39" s="25" t="str">
        <f>IFERROR(CONCATENATE(IF(AND($G39&lt;Hta_1,$G39&gt;=Hba_1,Input!Z$21&lt;&gt;""),Input!$B$21&amp;";",""),IF(AND($G39&lt;Hta_2,$G39&gt;=Hba_2,Input!Z$22&lt;&gt;""),Input!$B$22&amp;";",""),IF(AND($G39&lt;Hta_3,$G39&gt;=Hba_3,Input!Z$23&lt;&gt;""),Input!$B$23&amp;";",""),IF(AND($G39&lt;Hta_4,$G39&gt;=Hba_4,Input!Z$24&lt;&gt;""),Input!$B$24&amp;";",""),IF(AND($G39&lt;Hta_5,$G39&gt;=Hba_5,Input!Z$25&lt;&gt;""),Input!$B$25&amp;";",""),IF(AND($G39&lt;Hta_6,$G39&gt;=Hba_6,Input!Z$26&lt;&gt;""),Input!$B$26&amp;";",""),IF(AND($G39&lt;Hta_7,$G39&gt;=Hba_7,Input!Z$27&lt;&gt;""),Input!$B$27&amp;";",""),IF(AND($G39&lt;Hta_8,$G39&gt;=Hba_8,Input!Z$28&lt;&gt;""),Input!$B$28&amp;";",""),IF(AND($G39&lt;Hta_9,$G39&gt;=Hba_9,Input!Z$29&lt;&gt;""),Input!$B$29&amp;";",""),IF(AND($G39&lt;Hta_10,$G39&gt;=Hba_10,Input!Z$30&lt;&gt;""),Input!$B$30&amp;";",""),IF(AND($G39&lt;Hta_11,$G39&gt;=Hba_11,Input!Z$31&lt;&gt;""),Input!$B$31&amp;";",""),IF(AND($G39&lt;Hta_12,$G39&gt;=Hba_12,Input!Z$32&lt;&gt;""),Input!$B$32&amp;";",""),IF(AND($G39&lt;Hta_13,$G39&gt;=Hba_13,Input!Z$33&lt;&gt;""),Input!$B$33&amp;";",""),IF(AND($G39&lt;Hta_14,$G39&gt;=Hba_14,Input!Z$34&lt;&gt;""),Input!$B$34&amp;";",""),IF(AND($G39&lt;Hta_15,$G39&gt;=Hba_15,Input!Z$35&lt;&gt;""),Input!$B$35&amp;";",""),IF(AND($G39&lt;Hta_16,$G39&gt;=Hba_16,Input!Z$36&lt;&gt;""),Input!$B$36&amp;";",""),IF(AND($G39&lt;Hta_17,$G39&gt;=Hba_17,Input!Z$37&lt;&gt;""),Input!$B$37&amp;";",""),IF(AND($G39&lt;Hta_18,$G39&gt;=Hba_18,Input!Z$38&lt;&gt;""),Input!$B$38&amp;";",""),IF(AND($G39&lt;Hta_19,$G39&gt;=Hba_19,Input!Z$39&lt;&gt;""),Input!$B$39&amp;";",""),IF(AND($G39&lt;Hta_20,$G39&gt;=Hba_20,Input!Z$40&lt;&gt;""),Input!$B$40&amp;";",""),IF(AND($G39&lt;Hta_21,$G39&gt;=Hba_21,Input!Z$41&lt;&gt;""),Input!$B$41&amp;";",""),IF(AND($G39&lt;Hta_22,$G39&gt;=Hba_22,Input!Z$42&lt;&gt;""),Input!$B$42&amp;";",""),IF(AND($G39&lt;Hta_23,$G39&gt;=Hba_23,Input!Z$43&lt;&gt;""),Input!$B$43&amp;";",""),IF(AND($G39&lt;Hta_24,$G39&gt;=Hba_24,Input!Z$44&lt;&gt;""),Input!$B$44&amp;";",""),IF(AND($G39&lt;Hta_25,$G39&gt;=Hba_25,Input!Z$45&lt;&gt;""),Input!$B$45&amp;";",""),IF(AND($G39&lt;Hta_26,$G39&gt;=Hba_26,Input!Z$46&lt;&gt;""),Input!$B$46&amp;";",""),IF(AND($G39&lt;Hta_27,$G39&gt;=Hba_27,Input!Z$47&lt;&gt;""),Input!$B$47&amp;";",""),IF(AND($G39&lt;Hta_28,$G39&gt;=Hba_28,Input!Z$48&lt;&gt;""),Input!$B$48&amp;";",""),IF(AND($G39&lt;Hta_29,$G39&gt;=Hba_29,Input!Z$49&lt;&gt;""),Input!$B$49&amp;";",""),IF(AND($G39&lt;Hta_30,$G39&gt;=Hba_30,Input!Z$50&lt;&gt;""),Input!$B$50&amp;";","")),"")</f>
        <v/>
      </c>
      <c r="CB39" s="25" t="str">
        <f>IFERROR(CONCATENATE(IF(AND($G39&lt;Hta_1,$G39&gt;=Hba_1,Input!AA$21&lt;&gt;""),Input!$B$21&amp;";",""),IF(AND($G39&lt;Hta_2,$G39&gt;=Hba_2,Input!AA$22&lt;&gt;""),Input!$B$22&amp;";",""),IF(AND($G39&lt;Hta_3,$G39&gt;=Hba_3,Input!AA$23&lt;&gt;""),Input!$B$23&amp;";",""),IF(AND($G39&lt;Hta_4,$G39&gt;=Hba_4,Input!AA$24&lt;&gt;""),Input!$B$24&amp;";",""),IF(AND($G39&lt;Hta_5,$G39&gt;=Hba_5,Input!AA$25&lt;&gt;""),Input!$B$25&amp;";",""),IF(AND($G39&lt;Hta_6,$G39&gt;=Hba_6,Input!AA$26&lt;&gt;""),Input!$B$26&amp;";",""),IF(AND($G39&lt;Hta_7,$G39&gt;=Hba_7,Input!AA$27&lt;&gt;""),Input!$B$27&amp;";",""),IF(AND($G39&lt;Hta_8,$G39&gt;=Hba_8,Input!AA$28&lt;&gt;""),Input!$B$28&amp;";",""),IF(AND($G39&lt;Hta_9,$G39&gt;=Hba_9,Input!AA$29&lt;&gt;""),Input!$B$29&amp;";",""),IF(AND($G39&lt;Hta_10,$G39&gt;=Hba_10,Input!AA$30&lt;&gt;""),Input!$B$30&amp;";",""),IF(AND($G39&lt;Hta_11,$G39&gt;=Hba_11,Input!AA$31&lt;&gt;""),Input!$B$31&amp;";",""),IF(AND($G39&lt;Hta_12,$G39&gt;=Hba_12,Input!AA$32&lt;&gt;""),Input!$B$32&amp;";",""),IF(AND($G39&lt;Hta_13,$G39&gt;=Hba_13,Input!AA$33&lt;&gt;""),Input!$B$33&amp;";",""),IF(AND($G39&lt;Hta_14,$G39&gt;=Hba_14,Input!AA$34&lt;&gt;""),Input!$B$34&amp;";",""),IF(AND($G39&lt;Hta_15,$G39&gt;=Hba_15,Input!AA$35&lt;&gt;""),Input!$B$35&amp;";",""),IF(AND($G39&lt;Hta_16,$G39&gt;=Hba_16,Input!AA$36&lt;&gt;""),Input!$B$36&amp;";",""),IF(AND($G39&lt;Hta_17,$G39&gt;=Hba_17,Input!AA$37&lt;&gt;""),Input!$B$37&amp;";",""),IF(AND($G39&lt;Hta_18,$G39&gt;=Hba_18,Input!AA$38&lt;&gt;""),Input!$B$38&amp;";",""),IF(AND($G39&lt;Hta_19,$G39&gt;=Hba_19,Input!AA$39&lt;&gt;""),Input!$B$39&amp;";",""),IF(AND($G39&lt;Hta_20,$G39&gt;=Hba_20,Input!AA$40&lt;&gt;""),Input!$B$40&amp;";",""),IF(AND($G39&lt;Hta_21,$G39&gt;=Hba_21,Input!AA$41&lt;&gt;""),Input!$B$41&amp;";",""),IF(AND($G39&lt;Hta_22,$G39&gt;=Hba_22,Input!AA$42&lt;&gt;""),Input!$B$42&amp;";",""),IF(AND($G39&lt;Hta_23,$G39&gt;=Hba_23,Input!AA$43&lt;&gt;""),Input!$B$43&amp;";",""),IF(AND($G39&lt;Hta_24,$G39&gt;=Hba_24,Input!AA$44&lt;&gt;""),Input!$B$44&amp;";",""),IF(AND($G39&lt;Hta_25,$G39&gt;=Hba_25,Input!AA$45&lt;&gt;""),Input!$B$45&amp;";",""),IF(AND($G39&lt;Hta_26,$G39&gt;=Hba_26,Input!AA$46&lt;&gt;""),Input!$B$46&amp;";",""),IF(AND($G39&lt;Hta_27,$G39&gt;=Hba_27,Input!AA$47&lt;&gt;""),Input!$B$47&amp;";",""),IF(AND($G39&lt;Hta_28,$G39&gt;=Hba_28,Input!AA$48&lt;&gt;""),Input!$B$48&amp;";",""),IF(AND($G39&lt;Hta_29,$G39&gt;=Hba_29,Input!AA$49&lt;&gt;""),Input!$B$49&amp;";",""),IF(AND($G39&lt;Hta_30,$G39&gt;=Hba_30,Input!AA$50&lt;&gt;""),Input!$B$50&amp;";","")),"")</f>
        <v/>
      </c>
      <c r="CC39" s="25" t="str">
        <f>IFERROR(CONCATENATE(IF(AND($G39&lt;Hta_1,$G39&gt;=Hba_1,Input!AB$21&lt;&gt;""),Input!$B$21&amp;";",""),IF(AND($G39&lt;Hta_2,$G39&gt;=Hba_2,Input!AB$22&lt;&gt;""),Input!$B$22&amp;";",""),IF(AND($G39&lt;Hta_3,$G39&gt;=Hba_3,Input!AB$23&lt;&gt;""),Input!$B$23&amp;";",""),IF(AND($G39&lt;Hta_4,$G39&gt;=Hba_4,Input!AB$24&lt;&gt;""),Input!$B$24&amp;";",""),IF(AND($G39&lt;Hta_5,$G39&gt;=Hba_5,Input!AB$25&lt;&gt;""),Input!$B$25&amp;";",""),IF(AND($G39&lt;Hta_6,$G39&gt;=Hba_6,Input!AB$26&lt;&gt;""),Input!$B$26&amp;";",""),IF(AND($G39&lt;Hta_7,$G39&gt;=Hba_7,Input!AB$27&lt;&gt;""),Input!$B$27&amp;";",""),IF(AND($G39&lt;Hta_8,$G39&gt;=Hba_8,Input!AB$28&lt;&gt;""),Input!$B$28&amp;";",""),IF(AND($G39&lt;Hta_9,$G39&gt;=Hba_9,Input!AB$29&lt;&gt;""),Input!$B$29&amp;";",""),IF(AND($G39&lt;Hta_10,$G39&gt;=Hba_10,Input!AB$30&lt;&gt;""),Input!$B$30&amp;";",""),IF(AND($G39&lt;Hta_11,$G39&gt;=Hba_11,Input!AB$31&lt;&gt;""),Input!$B$31&amp;";",""),IF(AND($G39&lt;Hta_12,$G39&gt;=Hba_12,Input!AB$32&lt;&gt;""),Input!$B$32&amp;";",""),IF(AND($G39&lt;Hta_13,$G39&gt;=Hba_13,Input!AB$33&lt;&gt;""),Input!$B$33&amp;";",""),IF(AND($G39&lt;Hta_14,$G39&gt;=Hba_14,Input!AB$34&lt;&gt;""),Input!$B$34&amp;";",""),IF(AND($G39&lt;Hta_15,$G39&gt;=Hba_15,Input!AB$35&lt;&gt;""),Input!$B$35&amp;";",""),IF(AND($G39&lt;Hta_16,$G39&gt;=Hba_16,Input!AB$36&lt;&gt;""),Input!$B$36&amp;";",""),IF(AND($G39&lt;Hta_17,$G39&gt;=Hba_17,Input!AB$37&lt;&gt;""),Input!$B$37&amp;";",""),IF(AND($G39&lt;Hta_18,$G39&gt;=Hba_18,Input!AB$38&lt;&gt;""),Input!$B$38&amp;";",""),IF(AND($G39&lt;Hta_19,$G39&gt;=Hba_19,Input!AB$39&lt;&gt;""),Input!$B$39&amp;";",""),IF(AND($G39&lt;Hta_20,$G39&gt;=Hba_20,Input!AB$40&lt;&gt;""),Input!$B$40&amp;";",""),IF(AND($G39&lt;Hta_21,$G39&gt;=Hba_21,Input!AB$41&lt;&gt;""),Input!$B$41&amp;";",""),IF(AND($G39&lt;Hta_22,$G39&gt;=Hba_22,Input!AB$42&lt;&gt;""),Input!$B$42&amp;";",""),IF(AND($G39&lt;Hta_23,$G39&gt;=Hba_23,Input!AB$43&lt;&gt;""),Input!$B$43&amp;";",""),IF(AND($G39&lt;Hta_24,$G39&gt;=Hba_24,Input!AB$44&lt;&gt;""),Input!$B$44&amp;";",""),IF(AND($G39&lt;Hta_25,$G39&gt;=Hba_25,Input!AB$45&lt;&gt;""),Input!$B$45&amp;";",""),IF(AND($G39&lt;Hta_26,$G39&gt;=Hba_26,Input!AB$46&lt;&gt;""),Input!$B$46&amp;";",""),IF(AND($G39&lt;Hta_27,$G39&gt;=Hba_27,Input!AB$47&lt;&gt;""),Input!$B$47&amp;";",""),IF(AND($G39&lt;Hta_28,$G39&gt;=Hba_28,Input!AB$48&lt;&gt;""),Input!$B$48&amp;";",""),IF(AND($G39&lt;Hta_29,$G39&gt;=Hba_29,Input!AB$49&lt;&gt;""),Input!$B$49&amp;";",""),IF(AND($G39&lt;Hta_30,$G39&gt;=Hba_30,Input!AB$50&lt;&gt;""),Input!$B$50&amp;";","")),"")</f>
        <v/>
      </c>
      <c r="CD39" s="25" t="str">
        <f>IFERROR(CONCATENATE(IF(AND($G39&lt;Hta_1,$G39&gt;=Hba_1,Input!AC$21&lt;&gt;""),Input!$B$21&amp;";",""),IF(AND($G39&lt;Hta_2,$G39&gt;=Hba_2,Input!AC$22&lt;&gt;""),Input!$B$22&amp;";",""),IF(AND($G39&lt;Hta_3,$G39&gt;=Hba_3,Input!AC$23&lt;&gt;""),Input!$B$23&amp;";",""),IF(AND($G39&lt;Hta_4,$G39&gt;=Hba_4,Input!AC$24&lt;&gt;""),Input!$B$24&amp;";",""),IF(AND($G39&lt;Hta_5,$G39&gt;=Hba_5,Input!AC$25&lt;&gt;""),Input!$B$25&amp;";",""),IF(AND($G39&lt;Hta_6,$G39&gt;=Hba_6,Input!AC$26&lt;&gt;""),Input!$B$26&amp;";",""),IF(AND($G39&lt;Hta_7,$G39&gt;=Hba_7,Input!AC$27&lt;&gt;""),Input!$B$27&amp;";",""),IF(AND($G39&lt;Hta_8,$G39&gt;=Hba_8,Input!AC$28&lt;&gt;""),Input!$B$28&amp;";",""),IF(AND($G39&lt;Hta_9,$G39&gt;=Hba_9,Input!AC$29&lt;&gt;""),Input!$B$29&amp;";",""),IF(AND($G39&lt;Hta_10,$G39&gt;=Hba_10,Input!AC$30&lt;&gt;""),Input!$B$30&amp;";",""),IF(AND($G39&lt;Hta_11,$G39&gt;=Hba_11,Input!AC$31&lt;&gt;""),Input!$B$31&amp;";",""),IF(AND($G39&lt;Hta_12,$G39&gt;=Hba_12,Input!AC$32&lt;&gt;""),Input!$B$32&amp;";",""),IF(AND($G39&lt;Hta_13,$G39&gt;=Hba_13,Input!AC$33&lt;&gt;""),Input!$B$33&amp;";",""),IF(AND($G39&lt;Hta_14,$G39&gt;=Hba_14,Input!AC$34&lt;&gt;""),Input!$B$34&amp;";",""),IF(AND($G39&lt;Hta_15,$G39&gt;=Hba_15,Input!AC$35&lt;&gt;""),Input!$B$35&amp;";",""),IF(AND($G39&lt;Hta_16,$G39&gt;=Hba_16,Input!AC$36&lt;&gt;""),Input!$B$36&amp;";",""),IF(AND($G39&lt;Hta_17,$G39&gt;=Hba_17,Input!AC$37&lt;&gt;""),Input!$B$37&amp;";",""),IF(AND($G39&lt;Hta_18,$G39&gt;=Hba_18,Input!AC$38&lt;&gt;""),Input!$B$38&amp;";",""),IF(AND($G39&lt;Hta_19,$G39&gt;=Hba_19,Input!AC$39&lt;&gt;""),Input!$B$39&amp;";",""),IF(AND($G39&lt;Hta_20,$G39&gt;=Hba_20,Input!AC$40&lt;&gt;""),Input!$B$40&amp;";",""),IF(AND($G39&lt;Hta_21,$G39&gt;=Hba_21,Input!AC$41&lt;&gt;""),Input!$B$41&amp;";",""),IF(AND($G39&lt;Hta_22,$G39&gt;=Hba_22,Input!AC$42&lt;&gt;""),Input!$B$42&amp;";",""),IF(AND($G39&lt;Hta_23,$G39&gt;=Hba_23,Input!AC$43&lt;&gt;""),Input!$B$43&amp;";",""),IF(AND($G39&lt;Hta_24,$G39&gt;=Hba_24,Input!AC$44&lt;&gt;""),Input!$B$44&amp;";",""),IF(AND($G39&lt;Hta_25,$G39&gt;=Hba_25,Input!AC$45&lt;&gt;""),Input!$B$45&amp;";",""),IF(AND($G39&lt;Hta_26,$G39&gt;=Hba_26,Input!AC$46&lt;&gt;""),Input!$B$46&amp;";",""),IF(AND($G39&lt;Hta_27,$G39&gt;=Hba_27,Input!AC$47&lt;&gt;""),Input!$B$47&amp;";",""),IF(AND($G39&lt;Hta_28,$G39&gt;=Hba_28,Input!AC$48&lt;&gt;""),Input!$B$48&amp;";",""),IF(AND($G39&lt;Hta_29,$G39&gt;=Hba_29,Input!AC$49&lt;&gt;""),Input!$B$49&amp;";",""),IF(AND($G39&lt;Hta_30,$G39&gt;=Hba_30,Input!AC$50&lt;&gt;""),Input!$B$50&amp;";","")),"")</f>
        <v/>
      </c>
      <c r="CE39" s="25" t="str">
        <f>IFERROR(CONCATENATE(IF(AND($G39&lt;Hta_1,$G39&gt;=Hba_1,Input!AD$21&lt;&gt;""),Input!$B$21&amp;";",""),IF(AND($G39&lt;Hta_2,$G39&gt;=Hba_2,Input!AD$22&lt;&gt;""),Input!$B$22&amp;";",""),IF(AND($G39&lt;Hta_3,$G39&gt;=Hba_3,Input!AD$23&lt;&gt;""),Input!$B$23&amp;";",""),IF(AND($G39&lt;Hta_4,$G39&gt;=Hba_4,Input!AD$24&lt;&gt;""),Input!$B$24&amp;";",""),IF(AND($G39&lt;Hta_5,$G39&gt;=Hba_5,Input!AD$25&lt;&gt;""),Input!$B$25&amp;";",""),IF(AND($G39&lt;Hta_6,$G39&gt;=Hba_6,Input!AD$26&lt;&gt;""),Input!$B$26&amp;";",""),IF(AND($G39&lt;Hta_7,$G39&gt;=Hba_7,Input!AD$27&lt;&gt;""),Input!$B$27&amp;";",""),IF(AND($G39&lt;Hta_8,$G39&gt;=Hba_8,Input!AD$28&lt;&gt;""),Input!$B$28&amp;";",""),IF(AND($G39&lt;Hta_9,$G39&gt;=Hba_9,Input!AD$29&lt;&gt;""),Input!$B$29&amp;";",""),IF(AND($G39&lt;Hta_10,$G39&gt;=Hba_10,Input!AD$30&lt;&gt;""),Input!$B$30&amp;";",""),IF(AND($G39&lt;Hta_11,$G39&gt;=Hba_11,Input!AD$31&lt;&gt;""),Input!$B$31&amp;";",""),IF(AND($G39&lt;Hta_12,$G39&gt;=Hba_12,Input!AD$32&lt;&gt;""),Input!$B$32&amp;";",""),IF(AND($G39&lt;Hta_13,$G39&gt;=Hba_13,Input!AD$33&lt;&gt;""),Input!$B$33&amp;";",""),IF(AND($G39&lt;Hta_14,$G39&gt;=Hba_14,Input!AD$34&lt;&gt;""),Input!$B$34&amp;";",""),IF(AND($G39&lt;Hta_15,$G39&gt;=Hba_15,Input!AD$35&lt;&gt;""),Input!$B$35&amp;";",""),IF(AND($G39&lt;Hta_16,$G39&gt;=Hba_16,Input!AD$36&lt;&gt;""),Input!$B$36&amp;";",""),IF(AND($G39&lt;Hta_17,$G39&gt;=Hba_17,Input!AD$37&lt;&gt;""),Input!$B$37&amp;";",""),IF(AND($G39&lt;Hta_18,$G39&gt;=Hba_18,Input!AD$38&lt;&gt;""),Input!$B$38&amp;";",""),IF(AND($G39&lt;Hta_19,$G39&gt;=Hba_19,Input!AD$39&lt;&gt;""),Input!$B$39&amp;";",""),IF(AND($G39&lt;Hta_20,$G39&gt;=Hba_20,Input!AD$40&lt;&gt;""),Input!$B$40&amp;";",""),IF(AND($G39&lt;Hta_21,$G39&gt;=Hba_21,Input!AD$41&lt;&gt;""),Input!$B$41&amp;";",""),IF(AND($G39&lt;Hta_22,$G39&gt;=Hba_22,Input!AD$42&lt;&gt;""),Input!$B$42&amp;";",""),IF(AND($G39&lt;Hta_23,$G39&gt;=Hba_23,Input!AD$43&lt;&gt;""),Input!$B$43&amp;";",""),IF(AND($G39&lt;Hta_24,$G39&gt;=Hba_24,Input!AD$44&lt;&gt;""),Input!$B$44&amp;";",""),IF(AND($G39&lt;Hta_25,$G39&gt;=Hba_25,Input!AD$45&lt;&gt;""),Input!$B$45&amp;";",""),IF(AND($G39&lt;Hta_26,$G39&gt;=Hba_26,Input!AD$46&lt;&gt;""),Input!$B$46&amp;";",""),IF(AND($G39&lt;Hta_27,$G39&gt;=Hba_27,Input!AD$47&lt;&gt;""),Input!$B$47&amp;";",""),IF(AND($G39&lt;Hta_28,$G39&gt;=Hba_28,Input!AD$48&lt;&gt;""),Input!$B$48&amp;";",""),IF(AND($G39&lt;Hta_29,$G39&gt;=Hba_29,Input!AD$49&lt;&gt;""),Input!$B$49&amp;";",""),IF(AND($G39&lt;Hta_30,$G39&gt;=Hba_30,Input!AD$50&lt;&gt;""),Input!$B$50&amp;";","")),"")</f>
        <v/>
      </c>
      <c r="CF39" s="25" t="str">
        <f>IFERROR(CONCATENATE(IF(AND($G39&lt;Hta_1,$G39&gt;=Hba_1,Input!AE$21&lt;&gt;""),Input!$B$21&amp;";",""),IF(AND($G39&lt;Hta_2,$G39&gt;=Hba_2,Input!AE$22&lt;&gt;""),Input!$B$22&amp;";",""),IF(AND($G39&lt;Hta_3,$G39&gt;=Hba_3,Input!AE$23&lt;&gt;""),Input!$B$23&amp;";",""),IF(AND($G39&lt;Hta_4,$G39&gt;=Hba_4,Input!AE$24&lt;&gt;""),Input!$B$24&amp;";",""),IF(AND($G39&lt;Hta_5,$G39&gt;=Hba_5,Input!AE$25&lt;&gt;""),Input!$B$25&amp;";",""),IF(AND($G39&lt;Hta_6,$G39&gt;=Hba_6,Input!AE$26&lt;&gt;""),Input!$B$26&amp;";",""),IF(AND($G39&lt;Hta_7,$G39&gt;=Hba_7,Input!AE$27&lt;&gt;""),Input!$B$27&amp;";",""),IF(AND($G39&lt;Hta_8,$G39&gt;=Hba_8,Input!AE$28&lt;&gt;""),Input!$B$28&amp;";",""),IF(AND($G39&lt;Hta_9,$G39&gt;=Hba_9,Input!AE$29&lt;&gt;""),Input!$B$29&amp;";",""),IF(AND($G39&lt;Hta_10,$G39&gt;=Hba_10,Input!AE$30&lt;&gt;""),Input!$B$30&amp;";",""),IF(AND($G39&lt;Hta_11,$G39&gt;=Hba_11,Input!AE$31&lt;&gt;""),Input!$B$31&amp;";",""),IF(AND($G39&lt;Hta_12,$G39&gt;=Hba_12,Input!AE$32&lt;&gt;""),Input!$B$32&amp;";",""),IF(AND($G39&lt;Hta_13,$G39&gt;=Hba_13,Input!AE$33&lt;&gt;""),Input!$B$33&amp;";",""),IF(AND($G39&lt;Hta_14,$G39&gt;=Hba_14,Input!AE$34&lt;&gt;""),Input!$B$34&amp;";",""),IF(AND($G39&lt;Hta_15,$G39&gt;=Hba_15,Input!AE$35&lt;&gt;""),Input!$B$35&amp;";",""),IF(AND($G39&lt;Hta_16,$G39&gt;=Hba_16,Input!AE$36&lt;&gt;""),Input!$B$36&amp;";",""),IF(AND($G39&lt;Hta_17,$G39&gt;=Hba_17,Input!AE$37&lt;&gt;""),Input!$B$37&amp;";",""),IF(AND($G39&lt;Hta_18,$G39&gt;=Hba_18,Input!AE$38&lt;&gt;""),Input!$B$38&amp;";",""),IF(AND($G39&lt;Hta_19,$G39&gt;=Hba_19,Input!AE$39&lt;&gt;""),Input!$B$39&amp;";",""),IF(AND($G39&lt;Hta_20,$G39&gt;=Hba_20,Input!AE$40&lt;&gt;""),Input!$B$40&amp;";",""),IF(AND($G39&lt;Hta_21,$G39&gt;=Hba_21,Input!AE$41&lt;&gt;""),Input!$B$41&amp;";",""),IF(AND($G39&lt;Hta_22,$G39&gt;=Hba_22,Input!AE$42&lt;&gt;""),Input!$B$42&amp;";",""),IF(AND($G39&lt;Hta_23,$G39&gt;=Hba_23,Input!AE$43&lt;&gt;""),Input!$B$43&amp;";",""),IF(AND($G39&lt;Hta_24,$G39&gt;=Hba_24,Input!AE$44&lt;&gt;""),Input!$B$44&amp;";",""),IF(AND($G39&lt;Hta_25,$G39&gt;=Hba_25,Input!AE$45&lt;&gt;""),Input!$B$45&amp;";",""),IF(AND($G39&lt;Hta_26,$G39&gt;=Hba_26,Input!AE$46&lt;&gt;""),Input!$B$46&amp;";",""),IF(AND($G39&lt;Hta_27,$G39&gt;=Hba_27,Input!AE$47&lt;&gt;""),Input!$B$47&amp;";",""),IF(AND($G39&lt;Hta_28,$G39&gt;=Hba_28,Input!AE$48&lt;&gt;""),Input!$B$48&amp;";",""),IF(AND($G39&lt;Hta_29,$G39&gt;=Hba_29,Input!AE$49&lt;&gt;""),Input!$B$49&amp;";",""),IF(AND($G39&lt;Hta_30,$G39&gt;=Hba_30,Input!AE$50&lt;&gt;""),Input!$B$50&amp;";","")),"")</f>
        <v/>
      </c>
      <c r="CG39" s="25" t="str">
        <f>IFERROR(CONCATENATE(IF(AND($G39&lt;Hta_1,$G39&gt;=Hba_1,Input!AF$21&lt;&gt;""),Input!$B$21&amp;";",""),IF(AND($G39&lt;Hta_2,$G39&gt;=Hba_2,Input!AF$22&lt;&gt;""),Input!$B$22&amp;";",""),IF(AND($G39&lt;Hta_3,$G39&gt;=Hba_3,Input!AF$23&lt;&gt;""),Input!$B$23&amp;";",""),IF(AND($G39&lt;Hta_4,$G39&gt;=Hba_4,Input!AF$24&lt;&gt;""),Input!$B$24&amp;";",""),IF(AND($G39&lt;Hta_5,$G39&gt;=Hba_5,Input!AF$25&lt;&gt;""),Input!$B$25&amp;";",""),IF(AND($G39&lt;Hta_6,$G39&gt;=Hba_6,Input!AF$26&lt;&gt;""),Input!$B$26&amp;";",""),IF(AND($G39&lt;Hta_7,$G39&gt;=Hba_7,Input!AF$27&lt;&gt;""),Input!$B$27&amp;";",""),IF(AND($G39&lt;Hta_8,$G39&gt;=Hba_8,Input!AF$28&lt;&gt;""),Input!$B$28&amp;";",""),IF(AND($G39&lt;Hta_9,$G39&gt;=Hba_9,Input!AF$29&lt;&gt;""),Input!$B$29&amp;";",""),IF(AND($G39&lt;Hta_10,$G39&gt;=Hba_10,Input!AF$30&lt;&gt;""),Input!$B$30&amp;";",""),IF(AND($G39&lt;Hta_11,$G39&gt;=Hba_11,Input!AF$31&lt;&gt;""),Input!$B$31&amp;";",""),IF(AND($G39&lt;Hta_12,$G39&gt;=Hba_12,Input!AF$32&lt;&gt;""),Input!$B$32&amp;";",""),IF(AND($G39&lt;Hta_13,$G39&gt;=Hba_13,Input!AF$33&lt;&gt;""),Input!$B$33&amp;";",""),IF(AND($G39&lt;Hta_14,$G39&gt;=Hba_14,Input!AF$34&lt;&gt;""),Input!$B$34&amp;";",""),IF(AND($G39&lt;Hta_15,$G39&gt;=Hba_15,Input!AF$35&lt;&gt;""),Input!$B$35&amp;";",""),IF(AND($G39&lt;Hta_16,$G39&gt;=Hba_16,Input!AF$36&lt;&gt;""),Input!$B$36&amp;";",""),IF(AND($G39&lt;Hta_17,$G39&gt;=Hba_17,Input!AF$37&lt;&gt;""),Input!$B$37&amp;";",""),IF(AND($G39&lt;Hta_18,$G39&gt;=Hba_18,Input!AF$38&lt;&gt;""),Input!$B$38&amp;";",""),IF(AND($G39&lt;Hta_19,$G39&gt;=Hba_19,Input!AF$39&lt;&gt;""),Input!$B$39&amp;";",""),IF(AND($G39&lt;Hta_20,$G39&gt;=Hba_20,Input!AF$40&lt;&gt;""),Input!$B$40&amp;";",""),IF(AND($G39&lt;Hta_21,$G39&gt;=Hba_21,Input!AF$41&lt;&gt;""),Input!$B$41&amp;";",""),IF(AND($G39&lt;Hta_22,$G39&gt;=Hba_22,Input!AF$42&lt;&gt;""),Input!$B$42&amp;";",""),IF(AND($G39&lt;Hta_23,$G39&gt;=Hba_23,Input!AF$43&lt;&gt;""),Input!$B$43&amp;";",""),IF(AND($G39&lt;Hta_24,$G39&gt;=Hba_24,Input!AF$44&lt;&gt;""),Input!$B$44&amp;";",""),IF(AND($G39&lt;Hta_25,$G39&gt;=Hba_25,Input!AF$45&lt;&gt;""),Input!$B$45&amp;";",""),IF(AND($G39&lt;Hta_26,$G39&gt;=Hba_26,Input!AF$46&lt;&gt;""),Input!$B$46&amp;";",""),IF(AND($G39&lt;Hta_27,$G39&gt;=Hba_27,Input!AF$47&lt;&gt;""),Input!$B$47&amp;";",""),IF(AND($G39&lt;Hta_28,$G39&gt;=Hba_28,Input!AF$48&lt;&gt;""),Input!$B$48&amp;";",""),IF(AND($G39&lt;Hta_29,$G39&gt;=Hba_29,Input!AF$49&lt;&gt;""),Input!$B$49&amp;";",""),IF(AND($G39&lt;Hta_30,$G39&gt;=Hba_30,Input!AF$50&lt;&gt;""),Input!$B$50&amp;";","")),"")</f>
        <v/>
      </c>
      <c r="CH39" s="25" t="str">
        <f>IFERROR(CONCATENATE(IF(AND($G39&lt;Hta_1,$G39&gt;=Hba_1,Input!AG$21&lt;&gt;""),Input!$B$21&amp;";",""),IF(AND($G39&lt;Hta_2,$G39&gt;=Hba_2,Input!AG$22&lt;&gt;""),Input!$B$22&amp;";",""),IF(AND($G39&lt;Hta_3,$G39&gt;=Hba_3,Input!AG$23&lt;&gt;""),Input!$B$23&amp;";",""),IF(AND($G39&lt;Hta_4,$G39&gt;=Hba_4,Input!AG$24&lt;&gt;""),Input!$B$24&amp;";",""),IF(AND($G39&lt;Hta_5,$G39&gt;=Hba_5,Input!AG$25&lt;&gt;""),Input!$B$25&amp;";",""),IF(AND($G39&lt;Hta_6,$G39&gt;=Hba_6,Input!AG$26&lt;&gt;""),Input!$B$26&amp;";",""),IF(AND($G39&lt;Hta_7,$G39&gt;=Hba_7,Input!AG$27&lt;&gt;""),Input!$B$27&amp;";",""),IF(AND($G39&lt;Hta_8,$G39&gt;=Hba_8,Input!AG$28&lt;&gt;""),Input!$B$28&amp;";",""),IF(AND($G39&lt;Hta_9,$G39&gt;=Hba_9,Input!AG$29&lt;&gt;""),Input!$B$29&amp;";",""),IF(AND($G39&lt;Hta_10,$G39&gt;=Hba_10,Input!AG$30&lt;&gt;""),Input!$B$30&amp;";",""),IF(AND($G39&lt;Hta_11,$G39&gt;=Hba_11,Input!AG$31&lt;&gt;""),Input!$B$31&amp;";",""),IF(AND($G39&lt;Hta_12,$G39&gt;=Hba_12,Input!AG$32&lt;&gt;""),Input!$B$32&amp;";",""),IF(AND($G39&lt;Hta_13,$G39&gt;=Hba_13,Input!AG$33&lt;&gt;""),Input!$B$33&amp;";",""),IF(AND($G39&lt;Hta_14,$G39&gt;=Hba_14,Input!AG$34&lt;&gt;""),Input!$B$34&amp;";",""),IF(AND($G39&lt;Hta_15,$G39&gt;=Hba_15,Input!AG$35&lt;&gt;""),Input!$B$35&amp;";",""),IF(AND($G39&lt;Hta_16,$G39&gt;=Hba_16,Input!AG$36&lt;&gt;""),Input!$B$36&amp;";",""),IF(AND($G39&lt;Hta_17,$G39&gt;=Hba_17,Input!AG$37&lt;&gt;""),Input!$B$37&amp;";",""),IF(AND($G39&lt;Hta_18,$G39&gt;=Hba_18,Input!AG$38&lt;&gt;""),Input!$B$38&amp;";",""),IF(AND($G39&lt;Hta_19,$G39&gt;=Hba_19,Input!AG$39&lt;&gt;""),Input!$B$39&amp;";",""),IF(AND($G39&lt;Hta_20,$G39&gt;=Hba_20,Input!AG$40&lt;&gt;""),Input!$B$40&amp;";",""),IF(AND($G39&lt;Hta_21,$G39&gt;=Hba_21,Input!AG$41&lt;&gt;""),Input!$B$41&amp;";",""),IF(AND($G39&lt;Hta_22,$G39&gt;=Hba_22,Input!AG$42&lt;&gt;""),Input!$B$42&amp;";",""),IF(AND($G39&lt;Hta_23,$G39&gt;=Hba_23,Input!AG$43&lt;&gt;""),Input!$B$43&amp;";",""),IF(AND($G39&lt;Hta_24,$G39&gt;=Hba_24,Input!AG$44&lt;&gt;""),Input!$B$44&amp;";",""),IF(AND($G39&lt;Hta_25,$G39&gt;=Hba_25,Input!AG$45&lt;&gt;""),Input!$B$45&amp;";",""),IF(AND($G39&lt;Hta_26,$G39&gt;=Hba_26,Input!AG$46&lt;&gt;""),Input!$B$46&amp;";",""),IF(AND($G39&lt;Hta_27,$G39&gt;=Hba_27,Input!AG$47&lt;&gt;""),Input!$B$47&amp;";",""),IF(AND($G39&lt;Hta_28,$G39&gt;=Hba_28,Input!AG$48&lt;&gt;""),Input!$B$48&amp;";",""),IF(AND($G39&lt;Hta_29,$G39&gt;=Hba_29,Input!AG$49&lt;&gt;""),Input!$B$49&amp;";",""),IF(AND($G39&lt;Hta_30,$G39&gt;=Hba_30,Input!AG$50&lt;&gt;""),Input!$B$50&amp;";","")),"")</f>
        <v/>
      </c>
      <c r="CI39" s="25" t="str">
        <f>IFERROR(CONCATENATE(IF(AND($G39&lt;Hta_1,$G39&gt;=Hba_1,Input!AH$21&lt;&gt;""),Input!$B$21&amp;";",""),IF(AND($G39&lt;Hta_2,$G39&gt;=Hba_2,Input!AH$22&lt;&gt;""),Input!$B$22&amp;";",""),IF(AND($G39&lt;Hta_3,$G39&gt;=Hba_3,Input!AH$23&lt;&gt;""),Input!$B$23&amp;";",""),IF(AND($G39&lt;Hta_4,$G39&gt;=Hba_4,Input!AH$24&lt;&gt;""),Input!$B$24&amp;";",""),IF(AND($G39&lt;Hta_5,$G39&gt;=Hba_5,Input!AH$25&lt;&gt;""),Input!$B$25&amp;";",""),IF(AND($G39&lt;Hta_6,$G39&gt;=Hba_6,Input!AH$26&lt;&gt;""),Input!$B$26&amp;";",""),IF(AND($G39&lt;Hta_7,$G39&gt;=Hba_7,Input!AH$27&lt;&gt;""),Input!$B$27&amp;";",""),IF(AND($G39&lt;Hta_8,$G39&gt;=Hba_8,Input!AH$28&lt;&gt;""),Input!$B$28&amp;";",""),IF(AND($G39&lt;Hta_9,$G39&gt;=Hba_9,Input!AH$29&lt;&gt;""),Input!$B$29&amp;";",""),IF(AND($G39&lt;Hta_10,$G39&gt;=Hba_10,Input!AH$30&lt;&gt;""),Input!$B$30&amp;";",""),IF(AND($G39&lt;Hta_11,$G39&gt;=Hba_11,Input!AH$31&lt;&gt;""),Input!$B$31&amp;";",""),IF(AND($G39&lt;Hta_12,$G39&gt;=Hba_12,Input!AH$32&lt;&gt;""),Input!$B$32&amp;";",""),IF(AND($G39&lt;Hta_13,$G39&gt;=Hba_13,Input!AH$33&lt;&gt;""),Input!$B$33&amp;";",""),IF(AND($G39&lt;Hta_14,$G39&gt;=Hba_14,Input!AH$34&lt;&gt;""),Input!$B$34&amp;";",""),IF(AND($G39&lt;Hta_15,$G39&gt;=Hba_15,Input!AH$35&lt;&gt;""),Input!$B$35&amp;";",""),IF(AND($G39&lt;Hta_16,$G39&gt;=Hba_16,Input!AH$36&lt;&gt;""),Input!$B$36&amp;";",""),IF(AND($G39&lt;Hta_17,$G39&gt;=Hba_17,Input!AH$37&lt;&gt;""),Input!$B$37&amp;";",""),IF(AND($G39&lt;Hta_18,$G39&gt;=Hba_18,Input!AH$38&lt;&gt;""),Input!$B$38&amp;";",""),IF(AND($G39&lt;Hta_19,$G39&gt;=Hba_19,Input!AH$39&lt;&gt;""),Input!$B$39&amp;";",""),IF(AND($G39&lt;Hta_20,$G39&gt;=Hba_20,Input!AH$40&lt;&gt;""),Input!$B$40&amp;";",""),IF(AND($G39&lt;Hta_21,$G39&gt;=Hba_21,Input!AH$41&lt;&gt;""),Input!$B$41&amp;";",""),IF(AND($G39&lt;Hta_22,$G39&gt;=Hba_22,Input!AH$42&lt;&gt;""),Input!$B$42&amp;";",""),IF(AND($G39&lt;Hta_23,$G39&gt;=Hba_23,Input!AH$43&lt;&gt;""),Input!$B$43&amp;";",""),IF(AND($G39&lt;Hta_24,$G39&gt;=Hba_24,Input!AH$44&lt;&gt;""),Input!$B$44&amp;";",""),IF(AND($G39&lt;Hta_25,$G39&gt;=Hba_25,Input!AH$45&lt;&gt;""),Input!$B$45&amp;";",""),IF(AND($G39&lt;Hta_26,$G39&gt;=Hba_26,Input!AH$46&lt;&gt;""),Input!$B$46&amp;";",""),IF(AND($G39&lt;Hta_27,$G39&gt;=Hba_27,Input!AH$47&lt;&gt;""),Input!$B$47&amp;";",""),IF(AND($G39&lt;Hta_28,$G39&gt;=Hba_28,Input!AH$48&lt;&gt;""),Input!$B$48&amp;";",""),IF(AND($G39&lt;Hta_29,$G39&gt;=Hba_29,Input!AH$49&lt;&gt;""),Input!$B$49&amp;";",""),IF(AND($G39&lt;Hta_30,$G39&gt;=Hba_30,Input!AH$50&lt;&gt;""),Input!$B$50&amp;";","")),"")</f>
        <v/>
      </c>
      <c r="CJ39" s="25" t="str">
        <f>IFERROR(CONCATENATE(IF(AND($G39&lt;Hta_1,$G39&gt;=Hba_1,Input!AI$21&lt;&gt;""),Input!$B$21&amp;";",""),IF(AND($G39&lt;Hta_2,$G39&gt;=Hba_2,Input!AI$22&lt;&gt;""),Input!$B$22&amp;";",""),IF(AND($G39&lt;Hta_3,$G39&gt;=Hba_3,Input!AI$23&lt;&gt;""),Input!$B$23&amp;";",""),IF(AND($G39&lt;Hta_4,$G39&gt;=Hba_4,Input!AI$24&lt;&gt;""),Input!$B$24&amp;";",""),IF(AND($G39&lt;Hta_5,$G39&gt;=Hba_5,Input!AI$25&lt;&gt;""),Input!$B$25&amp;";",""),IF(AND($G39&lt;Hta_6,$G39&gt;=Hba_6,Input!AI$26&lt;&gt;""),Input!$B$26&amp;";",""),IF(AND($G39&lt;Hta_7,$G39&gt;=Hba_7,Input!AI$27&lt;&gt;""),Input!$B$27&amp;";",""),IF(AND($G39&lt;Hta_8,$G39&gt;=Hba_8,Input!AI$28&lt;&gt;""),Input!$B$28&amp;";",""),IF(AND($G39&lt;Hta_9,$G39&gt;=Hba_9,Input!AI$29&lt;&gt;""),Input!$B$29&amp;";",""),IF(AND($G39&lt;Hta_10,$G39&gt;=Hba_10,Input!AI$30&lt;&gt;""),Input!$B$30&amp;";",""),IF(AND($G39&lt;Hta_11,$G39&gt;=Hba_11,Input!AI$31&lt;&gt;""),Input!$B$31&amp;";",""),IF(AND($G39&lt;Hta_12,$G39&gt;=Hba_12,Input!AI$32&lt;&gt;""),Input!$B$32&amp;";",""),IF(AND($G39&lt;Hta_13,$G39&gt;=Hba_13,Input!AI$33&lt;&gt;""),Input!$B$33&amp;";",""),IF(AND($G39&lt;Hta_14,$G39&gt;=Hba_14,Input!AI$34&lt;&gt;""),Input!$B$34&amp;";",""),IF(AND($G39&lt;Hta_15,$G39&gt;=Hba_15,Input!AI$35&lt;&gt;""),Input!$B$35&amp;";",""),IF(AND($G39&lt;Hta_16,$G39&gt;=Hba_16,Input!AI$36&lt;&gt;""),Input!$B$36&amp;";",""),IF(AND($G39&lt;Hta_17,$G39&gt;=Hba_17,Input!AI$37&lt;&gt;""),Input!$B$37&amp;";",""),IF(AND($G39&lt;Hta_18,$G39&gt;=Hba_18,Input!AI$38&lt;&gt;""),Input!$B$38&amp;";",""),IF(AND($G39&lt;Hta_19,$G39&gt;=Hba_19,Input!AI$39&lt;&gt;""),Input!$B$39&amp;";",""),IF(AND($G39&lt;Hta_20,$G39&gt;=Hba_20,Input!AI$40&lt;&gt;""),Input!$B$40&amp;";",""),IF(AND($G39&lt;Hta_21,$G39&gt;=Hba_21,Input!AI$41&lt;&gt;""),Input!$B$41&amp;";",""),IF(AND($G39&lt;Hta_22,$G39&gt;=Hba_22,Input!AI$42&lt;&gt;""),Input!$B$42&amp;";",""),IF(AND($G39&lt;Hta_23,$G39&gt;=Hba_23,Input!AI$43&lt;&gt;""),Input!$B$43&amp;";",""),IF(AND($G39&lt;Hta_24,$G39&gt;=Hba_24,Input!AI$44&lt;&gt;""),Input!$B$44&amp;";",""),IF(AND($G39&lt;Hta_25,$G39&gt;=Hba_25,Input!AI$45&lt;&gt;""),Input!$B$45&amp;";",""),IF(AND($G39&lt;Hta_26,$G39&gt;=Hba_26,Input!AI$46&lt;&gt;""),Input!$B$46&amp;";",""),IF(AND($G39&lt;Hta_27,$G39&gt;=Hba_27,Input!AI$47&lt;&gt;""),Input!$B$47&amp;";",""),IF(AND($G39&lt;Hta_28,$G39&gt;=Hba_28,Input!AI$48&lt;&gt;""),Input!$B$48&amp;";",""),IF(AND($G39&lt;Hta_29,$G39&gt;=Hba_29,Input!AI$49&lt;&gt;""),Input!$B$49&amp;";",""),IF(AND($G39&lt;Hta_30,$G39&gt;=Hba_30,Input!AI$50&lt;&gt;""),Input!$B$50&amp;";","")),"")</f>
        <v/>
      </c>
      <c r="CK39" s="25" t="str">
        <f>IFERROR(CONCATENATE(IF(AND($G39&lt;Hta_1,$G39&gt;=Hba_1,Input!AJ$21&lt;&gt;""),Input!$B$21&amp;";",""),IF(AND($G39&lt;Hta_2,$G39&gt;=Hba_2,Input!AJ$22&lt;&gt;""),Input!$B$22&amp;";",""),IF(AND($G39&lt;Hta_3,$G39&gt;=Hba_3,Input!AJ$23&lt;&gt;""),Input!$B$23&amp;";",""),IF(AND($G39&lt;Hta_4,$G39&gt;=Hba_4,Input!AJ$24&lt;&gt;""),Input!$B$24&amp;";",""),IF(AND($G39&lt;Hta_5,$G39&gt;=Hba_5,Input!AJ$25&lt;&gt;""),Input!$B$25&amp;";",""),IF(AND($G39&lt;Hta_6,$G39&gt;=Hba_6,Input!AJ$26&lt;&gt;""),Input!$B$26&amp;";",""),IF(AND($G39&lt;Hta_7,$G39&gt;=Hba_7,Input!AJ$27&lt;&gt;""),Input!$B$27&amp;";",""),IF(AND($G39&lt;Hta_8,$G39&gt;=Hba_8,Input!AJ$28&lt;&gt;""),Input!$B$28&amp;";",""),IF(AND($G39&lt;Hta_9,$G39&gt;=Hba_9,Input!AJ$29&lt;&gt;""),Input!$B$29&amp;";",""),IF(AND($G39&lt;Hta_10,$G39&gt;=Hba_10,Input!AJ$30&lt;&gt;""),Input!$B$30&amp;";",""),IF(AND($G39&lt;Hta_11,$G39&gt;=Hba_11,Input!AJ$31&lt;&gt;""),Input!$B$31&amp;";",""),IF(AND($G39&lt;Hta_12,$G39&gt;=Hba_12,Input!AJ$32&lt;&gt;""),Input!$B$32&amp;";",""),IF(AND($G39&lt;Hta_13,$G39&gt;=Hba_13,Input!AJ$33&lt;&gt;""),Input!$B$33&amp;";",""),IF(AND($G39&lt;Hta_14,$G39&gt;=Hba_14,Input!AJ$34&lt;&gt;""),Input!$B$34&amp;";",""),IF(AND($G39&lt;Hta_15,$G39&gt;=Hba_15,Input!AJ$35&lt;&gt;""),Input!$B$35&amp;";",""),IF(AND($G39&lt;Hta_16,$G39&gt;=Hba_16,Input!AJ$36&lt;&gt;""),Input!$B$36&amp;";",""),IF(AND($G39&lt;Hta_17,$G39&gt;=Hba_17,Input!AJ$37&lt;&gt;""),Input!$B$37&amp;";",""),IF(AND($G39&lt;Hta_18,$G39&gt;=Hba_18,Input!AJ$38&lt;&gt;""),Input!$B$38&amp;";",""),IF(AND($G39&lt;Hta_19,$G39&gt;=Hba_19,Input!AJ$39&lt;&gt;""),Input!$B$39&amp;";",""),IF(AND($G39&lt;Hta_20,$G39&gt;=Hba_20,Input!AJ$40&lt;&gt;""),Input!$B$40&amp;";",""),IF(AND($G39&lt;Hta_21,$G39&gt;=Hba_21,Input!AJ$41&lt;&gt;""),Input!$B$41&amp;";",""),IF(AND($G39&lt;Hta_22,$G39&gt;=Hba_22,Input!AJ$42&lt;&gt;""),Input!$B$42&amp;";",""),IF(AND($G39&lt;Hta_23,$G39&gt;=Hba_23,Input!AJ$43&lt;&gt;""),Input!$B$43&amp;";",""),IF(AND($G39&lt;Hta_24,$G39&gt;=Hba_24,Input!AJ$44&lt;&gt;""),Input!$B$44&amp;";",""),IF(AND($G39&lt;Hta_25,$G39&gt;=Hba_25,Input!AJ$45&lt;&gt;""),Input!$B$45&amp;";",""),IF(AND($G39&lt;Hta_26,$G39&gt;=Hba_26,Input!AJ$46&lt;&gt;""),Input!$B$46&amp;";",""),IF(AND($G39&lt;Hta_27,$G39&gt;=Hba_27,Input!AJ$47&lt;&gt;""),Input!$B$47&amp;";",""),IF(AND($G39&lt;Hta_28,$G39&gt;=Hba_28,Input!AJ$48&lt;&gt;""),Input!$B$48&amp;";",""),IF(AND($G39&lt;Hta_29,$G39&gt;=Hba_29,Input!AJ$49&lt;&gt;""),Input!$B$49&amp;";",""),IF(AND($G39&lt;Hta_30,$G39&gt;=Hba_30,Input!AJ$50&lt;&gt;""),Input!$B$50&amp;";","")),"")</f>
        <v/>
      </c>
      <c r="CL39" s="25" t="str">
        <f>IFERROR(CONCATENATE(IF(AND($G39&lt;Hta_1,$G39&gt;=Hba_1,Input!AK$21&lt;&gt;""),Input!$B$21&amp;";",""),IF(AND($G39&lt;Hta_2,$G39&gt;=Hba_2,Input!AK$22&lt;&gt;""),Input!$B$22&amp;";",""),IF(AND($G39&lt;Hta_3,$G39&gt;=Hba_3,Input!AK$23&lt;&gt;""),Input!$B$23&amp;";",""),IF(AND($G39&lt;Hta_4,$G39&gt;=Hba_4,Input!AK$24&lt;&gt;""),Input!$B$24&amp;";",""),IF(AND($G39&lt;Hta_5,$G39&gt;=Hba_5,Input!AK$25&lt;&gt;""),Input!$B$25&amp;";",""),IF(AND($G39&lt;Hta_6,$G39&gt;=Hba_6,Input!AK$26&lt;&gt;""),Input!$B$26&amp;";",""),IF(AND($G39&lt;Hta_7,$G39&gt;=Hba_7,Input!AK$27&lt;&gt;""),Input!$B$27&amp;";",""),IF(AND($G39&lt;Hta_8,$G39&gt;=Hba_8,Input!AK$28&lt;&gt;""),Input!$B$28&amp;";",""),IF(AND($G39&lt;Hta_9,$G39&gt;=Hba_9,Input!AK$29&lt;&gt;""),Input!$B$29&amp;";",""),IF(AND($G39&lt;Hta_10,$G39&gt;=Hba_10,Input!AK$30&lt;&gt;""),Input!$B$30&amp;";",""),IF(AND($G39&lt;Hta_11,$G39&gt;=Hba_11,Input!AK$31&lt;&gt;""),Input!$B$31&amp;";",""),IF(AND($G39&lt;Hta_12,$G39&gt;=Hba_12,Input!AK$32&lt;&gt;""),Input!$B$32&amp;";",""),IF(AND($G39&lt;Hta_13,$G39&gt;=Hba_13,Input!AK$33&lt;&gt;""),Input!$B$33&amp;";",""),IF(AND($G39&lt;Hta_14,$G39&gt;=Hba_14,Input!AK$34&lt;&gt;""),Input!$B$34&amp;";",""),IF(AND($G39&lt;Hta_15,$G39&gt;=Hba_15,Input!AK$35&lt;&gt;""),Input!$B$35&amp;";",""),IF(AND($G39&lt;Hta_16,$G39&gt;=Hba_16,Input!AK$36&lt;&gt;""),Input!$B$36&amp;";",""),IF(AND($G39&lt;Hta_17,$G39&gt;=Hba_17,Input!AK$37&lt;&gt;""),Input!$B$37&amp;";",""),IF(AND($G39&lt;Hta_18,$G39&gt;=Hba_18,Input!AK$38&lt;&gt;""),Input!$B$38&amp;";",""),IF(AND($G39&lt;Hta_19,$G39&gt;=Hba_19,Input!AK$39&lt;&gt;""),Input!$B$39&amp;";",""),IF(AND($G39&lt;Hta_20,$G39&gt;=Hba_20,Input!AK$40&lt;&gt;""),Input!$B$40&amp;";",""),IF(AND($G39&lt;Hta_21,$G39&gt;=Hba_21,Input!AK$41&lt;&gt;""),Input!$B$41&amp;";",""),IF(AND($G39&lt;Hta_22,$G39&gt;=Hba_22,Input!AK$42&lt;&gt;""),Input!$B$42&amp;";",""),IF(AND($G39&lt;Hta_23,$G39&gt;=Hba_23,Input!AK$43&lt;&gt;""),Input!$B$43&amp;";",""),IF(AND($G39&lt;Hta_24,$G39&gt;=Hba_24,Input!AK$44&lt;&gt;""),Input!$B$44&amp;";",""),IF(AND($G39&lt;Hta_25,$G39&gt;=Hba_25,Input!AK$45&lt;&gt;""),Input!$B$45&amp;";",""),IF(AND($G39&lt;Hta_26,$G39&gt;=Hba_26,Input!AK$46&lt;&gt;""),Input!$B$46&amp;";",""),IF(AND($G39&lt;Hta_27,$G39&gt;=Hba_27,Input!AK$47&lt;&gt;""),Input!$B$47&amp;";",""),IF(AND($G39&lt;Hta_28,$G39&gt;=Hba_28,Input!AK$48&lt;&gt;""),Input!$B$48&amp;";",""),IF(AND($G39&lt;Hta_29,$G39&gt;=Hba_29,Input!AK$49&lt;&gt;""),Input!$B$49&amp;";",""),IF(AND($G39&lt;Hta_30,$G39&gt;=Hba_30,Input!AK$50&lt;&gt;""),Input!$B$50&amp;";","")),"")</f>
        <v/>
      </c>
      <c r="CM39" s="25" t="str">
        <f>IFERROR(CONCATENATE(IF(AND($G39&lt;Hta_1,$G39&gt;=Hba_1,Input!AL$21&lt;&gt;""),Input!$B$21&amp;";",""),IF(AND($G39&lt;Hta_2,$G39&gt;=Hba_2,Input!AL$22&lt;&gt;""),Input!$B$22&amp;";",""),IF(AND($G39&lt;Hta_3,$G39&gt;=Hba_3,Input!AL$23&lt;&gt;""),Input!$B$23&amp;";",""),IF(AND($G39&lt;Hta_4,$G39&gt;=Hba_4,Input!AL$24&lt;&gt;""),Input!$B$24&amp;";",""),IF(AND($G39&lt;Hta_5,$G39&gt;=Hba_5,Input!AL$25&lt;&gt;""),Input!$B$25&amp;";",""),IF(AND($G39&lt;Hta_6,$G39&gt;=Hba_6,Input!AL$26&lt;&gt;""),Input!$B$26&amp;";",""),IF(AND($G39&lt;Hta_7,$G39&gt;=Hba_7,Input!AL$27&lt;&gt;""),Input!$B$27&amp;";",""),IF(AND($G39&lt;Hta_8,$G39&gt;=Hba_8,Input!AL$28&lt;&gt;""),Input!$B$28&amp;";",""),IF(AND($G39&lt;Hta_9,$G39&gt;=Hba_9,Input!AL$29&lt;&gt;""),Input!$B$29&amp;";",""),IF(AND($G39&lt;Hta_10,$G39&gt;=Hba_10,Input!AL$30&lt;&gt;""),Input!$B$30&amp;";",""),IF(AND($G39&lt;Hta_11,$G39&gt;=Hba_11,Input!AL$31&lt;&gt;""),Input!$B$31&amp;";",""),IF(AND($G39&lt;Hta_12,$G39&gt;=Hba_12,Input!AL$32&lt;&gt;""),Input!$B$32&amp;";",""),IF(AND($G39&lt;Hta_13,$G39&gt;=Hba_13,Input!AL$33&lt;&gt;""),Input!$B$33&amp;";",""),IF(AND($G39&lt;Hta_14,$G39&gt;=Hba_14,Input!AL$34&lt;&gt;""),Input!$B$34&amp;";",""),IF(AND($G39&lt;Hta_15,$G39&gt;=Hba_15,Input!AL$35&lt;&gt;""),Input!$B$35&amp;";",""),IF(AND($G39&lt;Hta_16,$G39&gt;=Hba_16,Input!AL$36&lt;&gt;""),Input!$B$36&amp;";",""),IF(AND($G39&lt;Hta_17,$G39&gt;=Hba_17,Input!AL$37&lt;&gt;""),Input!$B$37&amp;";",""),IF(AND($G39&lt;Hta_18,$G39&gt;=Hba_18,Input!AL$38&lt;&gt;""),Input!$B$38&amp;";",""),IF(AND($G39&lt;Hta_19,$G39&gt;=Hba_19,Input!AL$39&lt;&gt;""),Input!$B$39&amp;";",""),IF(AND($G39&lt;Hta_20,$G39&gt;=Hba_20,Input!AL$40&lt;&gt;""),Input!$B$40&amp;";",""),IF(AND($G39&lt;Hta_21,$G39&gt;=Hba_21,Input!AL$41&lt;&gt;""),Input!$B$41&amp;";",""),IF(AND($G39&lt;Hta_22,$G39&gt;=Hba_22,Input!AL$42&lt;&gt;""),Input!$B$42&amp;";",""),IF(AND($G39&lt;Hta_23,$G39&gt;=Hba_23,Input!AL$43&lt;&gt;""),Input!$B$43&amp;";",""),IF(AND($G39&lt;Hta_24,$G39&gt;=Hba_24,Input!AL$44&lt;&gt;""),Input!$B$44&amp;";",""),IF(AND($G39&lt;Hta_25,$G39&gt;=Hba_25,Input!AL$45&lt;&gt;""),Input!$B$45&amp;";",""),IF(AND($G39&lt;Hta_26,$G39&gt;=Hba_26,Input!AL$46&lt;&gt;""),Input!$B$46&amp;";",""),IF(AND($G39&lt;Hta_27,$G39&gt;=Hba_27,Input!AL$47&lt;&gt;""),Input!$B$47&amp;";",""),IF(AND($G39&lt;Hta_28,$G39&gt;=Hba_28,Input!AL$48&lt;&gt;""),Input!$B$48&amp;";",""),IF(AND($G39&lt;Hta_29,$G39&gt;=Hba_29,Input!AL$49&lt;&gt;""),Input!$B$49&amp;";",""),IF(AND($G39&lt;Hta_30,$G39&gt;=Hba_30,Input!AL$50&lt;&gt;""),Input!$B$50&amp;";","")),"")</f>
        <v/>
      </c>
      <c r="CN39" s="60" t="str">
        <f t="shared" si="6"/>
        <v/>
      </c>
      <c r="CO39" s="798"/>
      <c r="CP39" s="799"/>
      <c r="CQ39" s="800"/>
      <c r="CR39" s="798"/>
      <c r="CS39" s="799"/>
      <c r="CT39" s="800"/>
      <c r="CU39" s="798" t="str">
        <f t="shared" si="7"/>
        <v/>
      </c>
      <c r="CV39" s="799"/>
      <c r="CW39" s="806"/>
      <c r="CX39" s="726"/>
      <c r="CY39" s="727"/>
      <c r="CZ39" s="732"/>
      <c r="DA39" s="726"/>
      <c r="DB39" s="727"/>
      <c r="DC39" s="732"/>
      <c r="DD39" s="726" t="str">
        <f t="shared" si="8"/>
        <v/>
      </c>
      <c r="DE39" s="727"/>
      <c r="DF39" s="728"/>
      <c r="DG39" s="53"/>
      <c r="DH39" s="54"/>
      <c r="DI39" s="54"/>
      <c r="DJ39" s="54"/>
      <c r="DK39" s="54"/>
      <c r="DL39" s="54"/>
      <c r="DM39" s="54"/>
      <c r="DN39" s="54"/>
      <c r="DO39" s="54"/>
      <c r="DP39" s="54"/>
      <c r="DQ39" s="57"/>
      <c r="DR39" s="57"/>
      <c r="DS39" s="57"/>
      <c r="DT39" s="57"/>
      <c r="DU39" s="57"/>
      <c r="DV39" s="57"/>
      <c r="DW39" s="57"/>
      <c r="DX39" s="57"/>
      <c r="DY39" s="57"/>
      <c r="DZ39" s="57"/>
      <c r="EA39" s="57"/>
      <c r="EB39" s="57"/>
      <c r="EC39" s="57"/>
      <c r="ED39" s="57"/>
      <c r="EE39" s="57"/>
      <c r="EF39" s="57"/>
      <c r="EG39" s="57"/>
      <c r="EH39" s="57"/>
      <c r="EI39" s="57"/>
      <c r="EJ39" s="57"/>
      <c r="EK39" s="57"/>
      <c r="EL39" s="133"/>
      <c r="EM39" s="133"/>
      <c r="EN39" s="133"/>
      <c r="EO39" s="133"/>
      <c r="EP39" s="133"/>
      <c r="EQ39" s="133"/>
      <c r="ER39" s="133"/>
      <c r="ES39" s="133"/>
      <c r="ET39" s="133"/>
      <c r="EU39" s="133"/>
      <c r="EV39" s="133"/>
      <c r="EW39" s="133"/>
      <c r="EX39" s="133"/>
      <c r="EY39" s="133"/>
      <c r="EZ39" s="133"/>
      <c r="FA39" s="133"/>
      <c r="FB39" s="133"/>
      <c r="FC39" s="133"/>
      <c r="FD39" s="133"/>
      <c r="FE39" s="133"/>
      <c r="FF39" s="133"/>
      <c r="FG39" s="133"/>
      <c r="FH39" s="133"/>
      <c r="FI39" s="133"/>
      <c r="FJ39" s="133"/>
      <c r="FK39" s="133"/>
      <c r="FL39" s="133"/>
      <c r="FM39" s="133"/>
      <c r="FN39" s="133"/>
      <c r="FO39" s="133"/>
      <c r="FP39" s="65"/>
      <c r="FQ39" s="125"/>
      <c r="FR39" s="123"/>
      <c r="FS39" s="121"/>
      <c r="FT39" s="119"/>
    </row>
    <row r="40" spans="2:176" ht="15.75" hidden="1" customHeight="1" thickBot="1" x14ac:dyDescent="0.3">
      <c r="B40" s="62" t="b">
        <f>IF(OR(AND(G40&gt;='Geometry 2'!$AK$5,G40&lt;'Geometry 2'!$AL$5),AND(G40&gt;='Geometry 2'!$AK$6,G40&lt;'Geometry 2'!$AL$6),AND(G40&gt;='Geometry 2'!$AK$7,G40&lt;'Geometry 2'!$AL$7),AND(G40&gt;='Geometry 2'!$AK$8,G40&lt;'Geometry 2'!$AL$8),AND(G40&gt;='Geometry 2'!$AK$9,G40&lt;'Geometry 2'!$AL$9),AND(G40&gt;='Geometry 2'!$AK$10,G40&lt;'Geometry 2'!$AL$10),AND(G40&gt;='Geometry 2'!$AK$11,G40&lt;'Geometry 2'!$AL$11),AND(G40&gt;='Geometry 2'!$AK$12,G40&lt;'Geometry 2'!$AL$12),AND(G40&gt;='Geometry 2'!$AK$13,G40&lt;'Geometry 2'!$AL$13),AND(G40&gt;='Geometry 2'!$AK$14,G40&lt;'Geometry 2'!$AL$14)),TRUE,FALSE)</f>
        <v>0</v>
      </c>
      <c r="C40" s="4" t="str">
        <f t="shared" si="3"/>
        <v/>
      </c>
      <c r="D40" s="766" t="str">
        <f t="shared" si="4"/>
        <v/>
      </c>
      <c r="E40" s="767"/>
      <c r="F40" s="17" t="str">
        <f t="shared" si="2"/>
        <v/>
      </c>
      <c r="G40" s="768" t="str">
        <f>IF(D40="","",MAX(0,G39-IF(inc="n/a",999,inc),MAX(IF(G39&lt;=Hta_1,0,Hta_1),IF(G39&lt;=Hta_2,0,Hta_2),IF(G39&lt;=Hta_3,0,Hta_3),IF(G39&lt;=Hta_4,0,Hta_4),IF(G39&lt;=Hta_5,0,Hta_5),IF(G39&lt;=Hta_6,0,Hta_6),IF(G39&lt;=Hta_7,0,Hta_7),IF(G39&lt;=Hta_8,0,Hta_8),IF(G39&lt;=Hta_9,0,Hta_9),IF(G39&lt;=Hta_10,0,Hta_10),IF(G39&lt;=Hta_11,0,Hta_11),IF(G39&lt;=Hta_12,0,Hta_12),IF(G39&lt;=Hta_13,0,Hta_13),IF(G39&lt;=Hta_14,0,Hta_14),IF(G39&lt;=Hta_15,0,Hta_15),IF(G39&lt;=Hta_16,0,Hta_16),IF(G39&lt;=Hta_17,0,Hta_17),IF(G39&lt;=Hta_18,0,Hta_18),IF(G39&lt;=Hta_19,0,Hta_19),IF(G39&lt;=Hta_20,0,Hta_20),IF(G39&lt;=Hta_21,0,Hta_21),IF(G39&lt;=Hta_22,0,Hta_22),IF(G39&lt;=Hta_23,0,Hta_23),IF(G39&lt;=Hta_24,0,Hta_24),IF(G39&lt;=Hta_25,0,Hta_25),IF(G39&lt;=Hta_26,0,Hta_26),IF(G39&lt;=Hta_27,0,Hta_27),IF(G39&lt;=Hta_28,0,Hta_28),IF(G39&lt;=Hta_29,0,Hta_29),IF(G39&lt;=Hta_30,0,Hta_30)),MAX(IF(G39&lt;=Hta_1-0.25,0,Hta_1-0.25),IF(G39&lt;=Hta_2-0.25,0,Hta_2-0.25),IF(G39&lt;=Hta_3-0.25,0,Hta_3-0.25),IF(G39&lt;=Hta_4-0.25,0,Hta_4-0.25),IF(G39&lt;=Hta_5-0.25,0,Hta_5-0.25),IF(G39&lt;=Hta_6-0.25,0,Hta_6-0.25),IF(G39&lt;=Hta_7-0.25,0,Hta_7-0.25),IF(G39&lt;=Hta_8-0.25,0,Hta_8-0.25),IF(G39&lt;=Hta_9-0.25,0,Hta_9-0.25),IF(G39&lt;=Hta_10-0.25,0,Hta_10-0.25),IF(G39&lt;=Hta_11-0.25,0,Hta_11-0.25),IF(G39&lt;=Hta_12-0.25,0,Hta_12-0.25),IF(G39&lt;=Hta_13-0.25,0,Hta_13-0.25),IF(G39&lt;=Hta_14-0.25,0,Hta_14-0.25),IF(G39&lt;=Hta_15-0.25,0,Hta_15-0.25),IF(G39&lt;=Hta_16-0.25,0,Hta_16-0.25),IF(G39&lt;=Hta_17-0.25,0,Hta_17-0.25),IF(G39&lt;=Hta_18-0.25,0,Hta_18-0.25),IF(G39&lt;=Hta_19-0.25,0,Hta_19-0.25),IF(G39&lt;=Hta_20-0.25,0,Hta_20-0.25),IF(G39&lt;=Hta_21-0.25,0,Hta_21-0.25),IF(G39&lt;=Hta_22-0.25,0,Hta_22-0.25),IF(G39&lt;=Hta_23-0.25,0,Hta_23-0.25),IF(G39&lt;=Hta_24-0.25,0,Hta_24-0.25),IF(G39&lt;=Hta_25-0.25,0,Hta_25-0.25),IF(G39&lt;=Hta_26-0.25,0,Hta_26-0.25),IF(G39&lt;=Hta_27-0.25,0,Hta_27-0.25),IF(G39&lt;=Hta_28-0.25,0,Hta_28-0.25),IF(G39&lt;=Hta_29-0.25,0,Hta_29-0.25),IF(G39&lt;=Hta_30-0.25,0,Hta_30-0.25)),MAX(IF(G39&lt;=Hba_1,0,Hba_1),IF(G39&lt;=Hba_2,0,Hba_2),IF(G39&lt;=Hba_3,0,Hba_3),IF(G39&lt;=Hba_4,0,Hba_4),IF(G39&lt;=Hba_5,0,Hba_5),IF(G39&lt;=Hba_6,0,Hba_6),IF(G39&lt;=Hba_7,0,Hba_7),IF(G39&lt;=Hba_8,0,Hba_8),IF(G39&lt;=Hba_9,0,Hba_9),IF(G39&lt;=Hba_10,0,Hba_10),IF(G39&lt;=Hba_11,0,Hba_11),IF(G39&lt;=Hba_12,0,Hba_12),IF(G39&lt;=Hba_13,0,Hba_13),IF(G39&lt;=Hba_14,0,Hba_14),IF(G39&lt;=Hba_15,0,Hba_15),IF(G39&lt;=Hba_16,0,Hba_16),IF(G39&lt;=Hba_17,0,Hba_17),IF(G39&lt;=Hba_18,0,Hba_18),IF(G39&lt;=Hba_19,0,Hba_19),IF(G39&lt;=Hba_20,0,Hba_20),IF(G39&lt;=Hba_21,0,Hba_21),IF(G39&lt;=Hba_22,0,Hba_22),IF(G39&lt;=Hba_23,0,Hba_23),IF(G39&lt;=Hba_24,0,Hba_24),IF(G39&lt;=Hba_25,0,Hba_25),IF(G39&lt;=Hba_26,0,Hba_26),IF(G39&lt;=Hba_27,0,Hba_27),IF(G39&lt;=Hba_28,0,Hba_28),IF(G39&lt;=Hba_29,0,Hba_29),IF(G39&lt;=Hba_30,0,Hba_30)),MAX(IF(G39&lt;=Input!$C$8,0,Input!$C$8),IF(G39&lt;=Input!$C$9,0,Input!$C$9),IF(G39&lt;=Input!$C$10,0,Input!$C$10),IF(G39&lt;=Input!$C$11,0,Input!$C$11),IF(G39&lt;=Input!$C$12,0,Input!$C$12),IF(G39&lt;=Input!$C$13,0,Input!$C$13),IF(G39&lt;=Input!$C$14,0,Input!$C$14),IF(G39&lt;=Input!$C$15,0,Input!$C$15),IF(G39&lt;=Input!$C$16,0,Input!$C$16)),MAX(IF(G39&lt;=Hba_1-0.25,0,Hba_1-0.25),IF(G39&lt;=Hba_2-0.25,0,Hba_2-0.25),IF(G39&lt;=Hba_3-0.25,0,Hba_3-0.25),IF(G39&lt;=Hba_4-0.25,0,Hba_4-0.25),IF(G39&lt;=Hba_5-0.25,0,Hba_5-0.25),IF(G39&lt;=Hba_6-0.25,0,Hba_6-0.25),IF(G39&lt;=Hba_7-0.25,0,Hba_7-0.25),IF(G39&lt;=Hba_8-0.25,0,Hba_8-0.25),IF(G39&lt;=Hba_9-0.25,0,Hba_9-0.25),IF(G39&lt;=Hba_10-0.25,0,Hba_10-0.25),IF(G39&lt;=Hba_11-0.25,0,Hba_11-0.25),IF(G39&lt;=Hba_12-0.25,0,Hba_12-0.25),IF(G39&lt;=Hba_13-0.25,0,Hba_13-0.25),IF(G39&lt;=Hba_14-0.25,0,Hba_14-0.25),IF(G39&lt;=Hba_15-0.25,0,Hba_15-0.25),IF(G39&lt;=Hba_16-0.25,0,Hba_16-0.25),IF(G39&lt;=Hba_17-0.25,0,Hba_17-0.25),IF(G39&lt;=Hba_18-0.25,0,Hba_18-0.25),IF(G39&lt;=Hba_19-0.25,0,Hba_19-0.25),IF(G39&lt;=Hba_20-0.25,0,Hba_20-0.25),IF(G39&lt;=Hba_21-0.25,0,Hba_21-0.25),IF(G39&lt;=Hba_22-0.25,0,Hba_22-0.25),IF(G39&lt;=Hba_23-0.25,0,Hba_23-0.25),IF(G39&lt;=Hba_24-0.25,0,Hba_24-0.25),IF(G39&lt;=Hba_25-0.25,0,Hba_25-0.25),IF(G39&lt;=Hba_26-0.25,0,Hba_26-0.25),IF(G39&lt;=Hba_27-0.25,0,Hba_27-0.25),IF(G39&lt;=Hba_28-0.25,0,Hba_28-0.25),IF(G39&lt;=Hba_29-0.25,0,Hba_29-0.25),IF(G39&lt;=Hba_30-0.25,0,Hba_30-0.25)),IF(G39&lt;='Macro References'!$A$38,0,'Macro References'!$A$38)))</f>
        <v/>
      </c>
      <c r="H40" s="769"/>
      <c r="I40" s="228"/>
      <c r="J40" s="228"/>
      <c r="K40" s="228"/>
      <c r="L40" s="717" t="str">
        <f t="shared" si="10"/>
        <v/>
      </c>
      <c r="M40" s="717"/>
      <c r="N40" s="717"/>
      <c r="O40" s="717"/>
      <c r="P40" s="717" t="str">
        <f>IF(OR(G40=0,G40=""),"",IF(VLOOKUP(G40,'Geometry 2'!$C$4:$AI$14,1,TRUE)=VLOOKUP(G41,'Geometry 2'!$C$4:$AI$14,1,TRUE),"",IF(VLOOKUP(G40,'Geometry 2'!$C$4:$AI$14,33,TRUE)&lt;&gt;"n/a",MIN(G40,VLOOKUP(G40,'Geometry 2'!$C$4:$AI$14,1,TRUE))-VLOOKUP(G40,'Geometry 2'!$C$4:$AI$14,33,TRUE),"check")))</f>
        <v/>
      </c>
      <c r="Q40" s="717"/>
      <c r="R40" s="717"/>
      <c r="S40" s="717"/>
      <c r="T40" s="717" t="str">
        <f>IF($G40="","",VLOOKUP($G40,'Geometry 2'!$E$4:$AH$14,11,TRUE))</f>
        <v/>
      </c>
      <c r="U40" s="717"/>
      <c r="V40" s="717"/>
      <c r="W40" s="717"/>
      <c r="X40" s="716" t="str">
        <f>IF($G40="","",VLOOKUP($G40,'Geometry 2'!$E$4:$AJ$14,19,TRUE)-12*VLOOKUP($G40,'Geometry 2'!$E$4:$AJ$14,32,TRUE)*($D40-VLOOKUP($G40,'Geometry 2'!$E$5:$AH$14,1,TRUE)))</f>
        <v/>
      </c>
      <c r="Y40" s="716"/>
      <c r="Z40" s="716"/>
      <c r="AA40" s="716"/>
      <c r="AB40" s="757" t="str">
        <f>IF($G40="","",VLOOKUP($G40,'Geometry 2'!$E$4:$AJ$14,19,TRUE)-12*VLOOKUP($G40,'Geometry 2'!$E$4:$AJ$14,32,TRUE)*($G40-VLOOKUP($G40,'Geometry 2'!$E$5:$AH$14,1,TRUE)))</f>
        <v/>
      </c>
      <c r="AC40" s="758"/>
      <c r="AD40" s="758"/>
      <c r="AE40" s="759"/>
      <c r="AF40" s="716" t="str">
        <f>IF($G40="","",VLOOKUP($G40,'Geometry 2'!$E$4:$AJ$14,19,TRUE)-12*VLOOKUP($G40,'Geometry 2'!$E$4:$AJ$14,32,TRUE)*($G40-IF($P40="",0,$P40)-VLOOKUP($G40,'Geometry 2'!$E$5:$AH$14,1,TRUE)))</f>
        <v/>
      </c>
      <c r="AG40" s="716"/>
      <c r="AH40" s="716"/>
      <c r="AI40" s="716"/>
      <c r="AJ40" s="746" t="str">
        <f>IF($G40="","",VLOOKUP($G40,'Geometry 2'!$E$4:$AH$14,23,TRUE))</f>
        <v/>
      </c>
      <c r="AK40" s="747"/>
      <c r="AL40" s="747"/>
      <c r="AM40" s="748"/>
      <c r="AN40" s="717"/>
      <c r="AO40" s="717"/>
      <c r="AP40" s="717"/>
      <c r="AQ40" s="717"/>
      <c r="AR40" s="717" t="str">
        <f>IF($G40="","",VLOOKUP($G40,'Geometry 2'!$E$4:$AH$14,27,TRUE))</f>
        <v/>
      </c>
      <c r="AS40" s="717"/>
      <c r="AT40" s="717"/>
      <c r="AU40" s="718"/>
      <c r="AV40" s="715"/>
      <c r="AW40" s="716"/>
      <c r="AX40" s="716"/>
      <c r="AZ40" s="722" t="str">
        <f t="shared" si="5"/>
        <v/>
      </c>
      <c r="BA40" s="723"/>
      <c r="BB40" s="723"/>
      <c r="BC40" s="724"/>
      <c r="BD40" s="722"/>
      <c r="BE40" s="723"/>
      <c r="BF40" s="723"/>
      <c r="BG40" s="722" t="str">
        <f t="shared" si="9"/>
        <v/>
      </c>
      <c r="BH40" s="723"/>
      <c r="BI40" s="723"/>
      <c r="BJ40" s="723"/>
      <c r="BK40" s="724"/>
      <c r="BL40" s="722"/>
      <c r="BM40" s="723"/>
      <c r="BN40" s="723"/>
      <c r="BO40" s="723"/>
      <c r="BP40" s="725"/>
      <c r="BQ40" s="725"/>
      <c r="BR40" s="722" t="str">
        <f>IF(BP40="","",IF(OR(AND(Rev="H",Calculations!$F$27=TRUE),AND(Rev&lt;&gt;"H",Calculations!$F$30=TRUE)),IF(BP40&lt;=1,"Pass","Fail"),IF(BP40&lt;=1.05,"Pass","Fail")))</f>
        <v/>
      </c>
      <c r="BS40" s="723"/>
      <c r="BT40" s="724"/>
      <c r="BU40" s="49"/>
      <c r="BV40" s="25" t="str">
        <f>IFERROR(CONCATENATE(IF(AND($G40&lt;Hta_1,$G40&gt;=Hba_1,Input!U$21&lt;&gt;""),Input!$B$21&amp;";",""),IF(AND($G40&lt;Hta_2,$G40&gt;=Hba_2,Input!U$22&lt;&gt;""),Input!$B$22&amp;";",""),IF(AND($G40&lt;Hta_3,$G40&gt;=Hba_3,Input!U$23&lt;&gt;""),Input!$B$23&amp;";",""),IF(AND($G40&lt;Hta_4,$G40&gt;=Hba_4,Input!U$24&lt;&gt;""),Input!$B$24&amp;";",""),IF(AND($G40&lt;Hta_5,$G40&gt;=Hba_5,Input!U$25&lt;&gt;""),Input!$B$25&amp;";",""),IF(AND($G40&lt;Hta_6,$G40&gt;=Hba_6,Input!U$26&lt;&gt;""),Input!$B$26&amp;";",""),IF(AND($G40&lt;Hta_7,$G40&gt;=Hba_7,Input!U$27&lt;&gt;""),Input!$B$27&amp;";",""),IF(AND($G40&lt;Hta_8,$G40&gt;=Hba_8,Input!U$28&lt;&gt;""),Input!$B$28&amp;";",""),IF(AND($G40&lt;Hta_9,$G40&gt;=Hba_9,Input!U$29&lt;&gt;""),Input!$B$29&amp;";",""),IF(AND($G40&lt;Hta_10,$G40&gt;=Hba_10,Input!U$30&lt;&gt;""),Input!$B$30&amp;";",""),IF(AND($G40&lt;Hta_11,$G40&gt;=Hba_11,Input!U$31&lt;&gt;""),Input!$B$31&amp;";",""),IF(AND($G40&lt;Hta_12,$G40&gt;=Hba_12,Input!U$32&lt;&gt;""),Input!$B$32&amp;";",""),IF(AND($G40&lt;Hta_13,$G40&gt;=Hba_13,Input!U$33&lt;&gt;""),Input!$B$33&amp;";",""),IF(AND($G40&lt;Hta_14,$G40&gt;=Hba_14,Input!U$34&lt;&gt;""),Input!$B$34&amp;";",""),IF(AND($G40&lt;Hta_15,$G40&gt;=Hba_15,Input!U$35&lt;&gt;""),Input!$B$35&amp;";",""),IF(AND($G40&lt;Hta_16,$G40&gt;=Hba_16,Input!U$36&lt;&gt;""),Input!$B$36&amp;";",""),IF(AND($G40&lt;Hta_17,$G40&gt;=Hba_17,Input!U$37&lt;&gt;""),Input!$B$37&amp;";",""),IF(AND($G40&lt;Hta_18,$G40&gt;=Hba_18,Input!U$38&lt;&gt;""),Input!$B$38&amp;";",""),IF(AND($G40&lt;Hta_19,$G40&gt;=Hba_19,Input!U$39&lt;&gt;""),Input!$B$39&amp;";",""),IF(AND($G40&lt;Hta_20,$G40&gt;=Hba_20,Input!U$40&lt;&gt;""),Input!$B$40&amp;";",""),IF(AND($G40&lt;Hta_21,$G40&gt;=Hba_21,Input!U$41&lt;&gt;""),Input!$B$41&amp;";",""),IF(AND($G40&lt;Hta_22,$G40&gt;=Hba_22,Input!U$42&lt;&gt;""),Input!$B$42&amp;";",""),IF(AND($G40&lt;Hta_23,$G40&gt;=Hba_23,Input!U$43&lt;&gt;""),Input!$B$43&amp;";",""),IF(AND($G40&lt;Hta_24,$G40&gt;=Hba_24,Input!U$44&lt;&gt;""),Input!$B$44&amp;";",""),IF(AND($G40&lt;Hta_25,$G40&gt;=Hba_25,Input!U$45&lt;&gt;""),Input!$B$45&amp;";",""),IF(AND($G40&lt;Hta_26,$G40&gt;=Hba_26,Input!U$46&lt;&gt;""),Input!$B$46&amp;";",""),IF(AND($G40&lt;Hta_27,$G40&gt;=Hba_27,Input!U$47&lt;&gt;""),Input!$B$47&amp;";",""),IF(AND($G40&lt;Hta_28,$G40&gt;=Hba_28,Input!U$48&lt;&gt;""),Input!$B$48&amp;";",""),IF(AND($G40&lt;Hta_29,$G40&gt;=Hba_29,Input!U$49&lt;&gt;""),Input!$B$49&amp;";",""),IF(AND($G40&lt;Hta_30,$G40&gt;=Hba_30,Input!U$50&lt;&gt;""),Input!$B$50&amp;";","")),"")</f>
        <v/>
      </c>
      <c r="BW40" s="25" t="str">
        <f>IFERROR(CONCATENATE(IF(AND($G40&lt;Hta_1,$G40&gt;=Hba_1,Input!V$21&lt;&gt;""),Input!$B$21&amp;";",""),IF(AND($G40&lt;Hta_2,$G40&gt;=Hba_2,Input!V$22&lt;&gt;""),Input!$B$22&amp;";",""),IF(AND($G40&lt;Hta_3,$G40&gt;=Hba_3,Input!V$23&lt;&gt;""),Input!$B$23&amp;";",""),IF(AND($G40&lt;Hta_4,$G40&gt;=Hba_4,Input!V$24&lt;&gt;""),Input!$B$24&amp;";",""),IF(AND($G40&lt;Hta_5,$G40&gt;=Hba_5,Input!V$25&lt;&gt;""),Input!$B$25&amp;";",""),IF(AND($G40&lt;Hta_6,$G40&gt;=Hba_6,Input!V$26&lt;&gt;""),Input!$B$26&amp;";",""),IF(AND($G40&lt;Hta_7,$G40&gt;=Hba_7,Input!V$27&lt;&gt;""),Input!$B$27&amp;";",""),IF(AND($G40&lt;Hta_8,$G40&gt;=Hba_8,Input!V$28&lt;&gt;""),Input!$B$28&amp;";",""),IF(AND($G40&lt;Hta_9,$G40&gt;=Hba_9,Input!V$29&lt;&gt;""),Input!$B$29&amp;";",""),IF(AND($G40&lt;Hta_10,$G40&gt;=Hba_10,Input!V$30&lt;&gt;""),Input!$B$30&amp;";",""),IF(AND($G40&lt;Hta_11,$G40&gt;=Hba_11,Input!V$31&lt;&gt;""),Input!$B$31&amp;";",""),IF(AND($G40&lt;Hta_12,$G40&gt;=Hba_12,Input!V$32&lt;&gt;""),Input!$B$32&amp;";",""),IF(AND($G40&lt;Hta_13,$G40&gt;=Hba_13,Input!V$33&lt;&gt;""),Input!$B$33&amp;";",""),IF(AND($G40&lt;Hta_14,$G40&gt;=Hba_14,Input!V$34&lt;&gt;""),Input!$B$34&amp;";",""),IF(AND($G40&lt;Hta_15,$G40&gt;=Hba_15,Input!V$35&lt;&gt;""),Input!$B$35&amp;";",""),IF(AND($G40&lt;Hta_16,$G40&gt;=Hba_16,Input!V$36&lt;&gt;""),Input!$B$36&amp;";",""),IF(AND($G40&lt;Hta_17,$G40&gt;=Hba_17,Input!V$37&lt;&gt;""),Input!$B$37&amp;";",""),IF(AND($G40&lt;Hta_18,$G40&gt;=Hba_18,Input!V$38&lt;&gt;""),Input!$B$38&amp;";",""),IF(AND($G40&lt;Hta_19,$G40&gt;=Hba_19,Input!V$39&lt;&gt;""),Input!$B$39&amp;";",""),IF(AND($G40&lt;Hta_20,$G40&gt;=Hba_20,Input!V$40&lt;&gt;""),Input!$B$40&amp;";",""),IF(AND($G40&lt;Hta_21,$G40&gt;=Hba_21,Input!V$41&lt;&gt;""),Input!$B$41&amp;";",""),IF(AND($G40&lt;Hta_22,$G40&gt;=Hba_22,Input!V$42&lt;&gt;""),Input!$B$42&amp;";",""),IF(AND($G40&lt;Hta_23,$G40&gt;=Hba_23,Input!V$43&lt;&gt;""),Input!$B$43&amp;";",""),IF(AND($G40&lt;Hta_24,$G40&gt;=Hba_24,Input!V$44&lt;&gt;""),Input!$B$44&amp;";",""),IF(AND($G40&lt;Hta_25,$G40&gt;=Hba_25,Input!V$45&lt;&gt;""),Input!$B$45&amp;";",""),IF(AND($G40&lt;Hta_26,$G40&gt;=Hba_26,Input!V$46&lt;&gt;""),Input!$B$46&amp;";",""),IF(AND($G40&lt;Hta_27,$G40&gt;=Hba_27,Input!V$47&lt;&gt;""),Input!$B$47&amp;";",""),IF(AND($G40&lt;Hta_28,$G40&gt;=Hba_28,Input!V$48&lt;&gt;""),Input!$B$48&amp;";",""),IF(AND($G40&lt;Hta_29,$G40&gt;=Hba_29,Input!V$49&lt;&gt;""),Input!$B$49&amp;";",""),IF(AND($G40&lt;Hta_30,$G40&gt;=Hba_30,Input!V$50&lt;&gt;""),Input!$B$50&amp;";","")),"")</f>
        <v/>
      </c>
      <c r="BX40" s="25" t="str">
        <f>IFERROR(CONCATENATE(IF(AND($G40&lt;Hta_1,$G40&gt;=Hba_1,Input!W$21&lt;&gt;""),Input!$B$21&amp;";",""),IF(AND($G40&lt;Hta_2,$G40&gt;=Hba_2,Input!W$22&lt;&gt;""),Input!$B$22&amp;";",""),IF(AND($G40&lt;Hta_3,$G40&gt;=Hba_3,Input!W$23&lt;&gt;""),Input!$B$23&amp;";",""),IF(AND($G40&lt;Hta_4,$G40&gt;=Hba_4,Input!W$24&lt;&gt;""),Input!$B$24&amp;";",""),IF(AND($G40&lt;Hta_5,$G40&gt;=Hba_5,Input!W$25&lt;&gt;""),Input!$B$25&amp;";",""),IF(AND($G40&lt;Hta_6,$G40&gt;=Hba_6,Input!W$26&lt;&gt;""),Input!$B$26&amp;";",""),IF(AND($G40&lt;Hta_7,$G40&gt;=Hba_7,Input!W$27&lt;&gt;""),Input!$B$27&amp;";",""),IF(AND($G40&lt;Hta_8,$G40&gt;=Hba_8,Input!W$28&lt;&gt;""),Input!$B$28&amp;";",""),IF(AND($G40&lt;Hta_9,$G40&gt;=Hba_9,Input!W$29&lt;&gt;""),Input!$B$29&amp;";",""),IF(AND($G40&lt;Hta_10,$G40&gt;=Hba_10,Input!W$30&lt;&gt;""),Input!$B$30&amp;";",""),IF(AND($G40&lt;Hta_11,$G40&gt;=Hba_11,Input!W$31&lt;&gt;""),Input!$B$31&amp;";",""),IF(AND($G40&lt;Hta_12,$G40&gt;=Hba_12,Input!W$32&lt;&gt;""),Input!$B$32&amp;";",""),IF(AND($G40&lt;Hta_13,$G40&gt;=Hba_13,Input!W$33&lt;&gt;""),Input!$B$33&amp;";",""),IF(AND($G40&lt;Hta_14,$G40&gt;=Hba_14,Input!W$34&lt;&gt;""),Input!$B$34&amp;";",""),IF(AND($G40&lt;Hta_15,$G40&gt;=Hba_15,Input!W$35&lt;&gt;""),Input!$B$35&amp;";",""),IF(AND($G40&lt;Hta_16,$G40&gt;=Hba_16,Input!W$36&lt;&gt;""),Input!$B$36&amp;";",""),IF(AND($G40&lt;Hta_17,$G40&gt;=Hba_17,Input!W$37&lt;&gt;""),Input!$B$37&amp;";",""),IF(AND($G40&lt;Hta_18,$G40&gt;=Hba_18,Input!W$38&lt;&gt;""),Input!$B$38&amp;";",""),IF(AND($G40&lt;Hta_19,$G40&gt;=Hba_19,Input!W$39&lt;&gt;""),Input!$B$39&amp;";",""),IF(AND($G40&lt;Hta_20,$G40&gt;=Hba_20,Input!W$40&lt;&gt;""),Input!$B$40&amp;";",""),IF(AND($G40&lt;Hta_21,$G40&gt;=Hba_21,Input!W$41&lt;&gt;""),Input!$B$41&amp;";",""),IF(AND($G40&lt;Hta_22,$G40&gt;=Hba_22,Input!W$42&lt;&gt;""),Input!$B$42&amp;";",""),IF(AND($G40&lt;Hta_23,$G40&gt;=Hba_23,Input!W$43&lt;&gt;""),Input!$B$43&amp;";",""),IF(AND($G40&lt;Hta_24,$G40&gt;=Hba_24,Input!W$44&lt;&gt;""),Input!$B$44&amp;";",""),IF(AND($G40&lt;Hta_25,$G40&gt;=Hba_25,Input!W$45&lt;&gt;""),Input!$B$45&amp;";",""),IF(AND($G40&lt;Hta_26,$G40&gt;=Hba_26,Input!W$46&lt;&gt;""),Input!$B$46&amp;";",""),IF(AND($G40&lt;Hta_27,$G40&gt;=Hba_27,Input!W$47&lt;&gt;""),Input!$B$47&amp;";",""),IF(AND($G40&lt;Hta_28,$G40&gt;=Hba_28,Input!W$48&lt;&gt;""),Input!$B$48&amp;";",""),IF(AND($G40&lt;Hta_29,$G40&gt;=Hba_29,Input!W$49&lt;&gt;""),Input!$B$49&amp;";",""),IF(AND($G40&lt;Hta_30,$G40&gt;=Hba_30,Input!W$50&lt;&gt;""),Input!$B$50&amp;";","")),"")</f>
        <v/>
      </c>
      <c r="BY40" s="25" t="str">
        <f>IFERROR(CONCATENATE(IF(AND($G40&lt;Hta_1,$G40&gt;=Hba_1,Input!X$21&lt;&gt;""),Input!$B$21&amp;";",""),IF(AND($G40&lt;Hta_2,$G40&gt;=Hba_2,Input!X$22&lt;&gt;""),Input!$B$22&amp;";",""),IF(AND($G40&lt;Hta_3,$G40&gt;=Hba_3,Input!X$23&lt;&gt;""),Input!$B$23&amp;";",""),IF(AND($G40&lt;Hta_4,$G40&gt;=Hba_4,Input!X$24&lt;&gt;""),Input!$B$24&amp;";",""),IF(AND($G40&lt;Hta_5,$G40&gt;=Hba_5,Input!X$25&lt;&gt;""),Input!$B$25&amp;";",""),IF(AND($G40&lt;Hta_6,$G40&gt;=Hba_6,Input!X$26&lt;&gt;""),Input!$B$26&amp;";",""),IF(AND($G40&lt;Hta_7,$G40&gt;=Hba_7,Input!X$27&lt;&gt;""),Input!$B$27&amp;";",""),IF(AND($G40&lt;Hta_8,$G40&gt;=Hba_8,Input!X$28&lt;&gt;""),Input!$B$28&amp;";",""),IF(AND($G40&lt;Hta_9,$G40&gt;=Hba_9,Input!X$29&lt;&gt;""),Input!$B$29&amp;";",""),IF(AND($G40&lt;Hta_10,$G40&gt;=Hba_10,Input!X$30&lt;&gt;""),Input!$B$30&amp;";",""),IF(AND($G40&lt;Hta_11,$G40&gt;=Hba_11,Input!X$31&lt;&gt;""),Input!$B$31&amp;";",""),IF(AND($G40&lt;Hta_12,$G40&gt;=Hba_12,Input!X$32&lt;&gt;""),Input!$B$32&amp;";",""),IF(AND($G40&lt;Hta_13,$G40&gt;=Hba_13,Input!X$33&lt;&gt;""),Input!$B$33&amp;";",""),IF(AND($G40&lt;Hta_14,$G40&gt;=Hba_14,Input!X$34&lt;&gt;""),Input!$B$34&amp;";",""),IF(AND($G40&lt;Hta_15,$G40&gt;=Hba_15,Input!X$35&lt;&gt;""),Input!$B$35&amp;";",""),IF(AND($G40&lt;Hta_16,$G40&gt;=Hba_16,Input!X$36&lt;&gt;""),Input!$B$36&amp;";",""),IF(AND($G40&lt;Hta_17,$G40&gt;=Hba_17,Input!X$37&lt;&gt;""),Input!$B$37&amp;";",""),IF(AND($G40&lt;Hta_18,$G40&gt;=Hba_18,Input!X$38&lt;&gt;""),Input!$B$38&amp;";",""),IF(AND($G40&lt;Hta_19,$G40&gt;=Hba_19,Input!X$39&lt;&gt;""),Input!$B$39&amp;";",""),IF(AND($G40&lt;Hta_20,$G40&gt;=Hba_20,Input!X$40&lt;&gt;""),Input!$B$40&amp;";",""),IF(AND($G40&lt;Hta_21,$G40&gt;=Hba_21,Input!X$41&lt;&gt;""),Input!$B$41&amp;";",""),IF(AND($G40&lt;Hta_22,$G40&gt;=Hba_22,Input!X$42&lt;&gt;""),Input!$B$42&amp;";",""),IF(AND($G40&lt;Hta_23,$G40&gt;=Hba_23,Input!X$43&lt;&gt;""),Input!$B$43&amp;";",""),IF(AND($G40&lt;Hta_24,$G40&gt;=Hba_24,Input!X$44&lt;&gt;""),Input!$B$44&amp;";",""),IF(AND($G40&lt;Hta_25,$G40&gt;=Hba_25,Input!X$45&lt;&gt;""),Input!$B$45&amp;";",""),IF(AND($G40&lt;Hta_26,$G40&gt;=Hba_26,Input!X$46&lt;&gt;""),Input!$B$46&amp;";",""),IF(AND($G40&lt;Hta_27,$G40&gt;=Hba_27,Input!X$47&lt;&gt;""),Input!$B$47&amp;";",""),IF(AND($G40&lt;Hta_28,$G40&gt;=Hba_28,Input!X$48&lt;&gt;""),Input!$B$48&amp;";",""),IF(AND($G40&lt;Hta_29,$G40&gt;=Hba_29,Input!X$49&lt;&gt;""),Input!$B$49&amp;";",""),IF(AND($G40&lt;Hta_30,$G40&gt;=Hba_30,Input!X$50&lt;&gt;""),Input!$B$50&amp;";","")),"")</f>
        <v/>
      </c>
      <c r="BZ40" s="25" t="str">
        <f>IFERROR(CONCATENATE(IF(AND($G40&lt;Hta_1,$G40&gt;=Hba_1,Input!Y$21&lt;&gt;""),Input!$B$21&amp;";",""),IF(AND($G40&lt;Hta_2,$G40&gt;=Hba_2,Input!Y$22&lt;&gt;""),Input!$B$22&amp;";",""),IF(AND($G40&lt;Hta_3,$G40&gt;=Hba_3,Input!Y$23&lt;&gt;""),Input!$B$23&amp;";",""),IF(AND($G40&lt;Hta_4,$G40&gt;=Hba_4,Input!Y$24&lt;&gt;""),Input!$B$24&amp;";",""),IF(AND($G40&lt;Hta_5,$G40&gt;=Hba_5,Input!Y$25&lt;&gt;""),Input!$B$25&amp;";",""),IF(AND($G40&lt;Hta_6,$G40&gt;=Hba_6,Input!Y$26&lt;&gt;""),Input!$B$26&amp;";",""),IF(AND($G40&lt;Hta_7,$G40&gt;=Hba_7,Input!Y$27&lt;&gt;""),Input!$B$27&amp;";",""),IF(AND($G40&lt;Hta_8,$G40&gt;=Hba_8,Input!Y$28&lt;&gt;""),Input!$B$28&amp;";",""),IF(AND($G40&lt;Hta_9,$G40&gt;=Hba_9,Input!Y$29&lt;&gt;""),Input!$B$29&amp;";",""),IF(AND($G40&lt;Hta_10,$G40&gt;=Hba_10,Input!Y$30&lt;&gt;""),Input!$B$30&amp;";",""),IF(AND($G40&lt;Hta_11,$G40&gt;=Hba_11,Input!Y$31&lt;&gt;""),Input!$B$31&amp;";",""),IF(AND($G40&lt;Hta_12,$G40&gt;=Hba_12,Input!Y$32&lt;&gt;""),Input!$B$32&amp;";",""),IF(AND($G40&lt;Hta_13,$G40&gt;=Hba_13,Input!Y$33&lt;&gt;""),Input!$B$33&amp;";",""),IF(AND($G40&lt;Hta_14,$G40&gt;=Hba_14,Input!Y$34&lt;&gt;""),Input!$B$34&amp;";",""),IF(AND($G40&lt;Hta_15,$G40&gt;=Hba_15,Input!Y$35&lt;&gt;""),Input!$B$35&amp;";",""),IF(AND($G40&lt;Hta_16,$G40&gt;=Hba_16,Input!Y$36&lt;&gt;""),Input!$B$36&amp;";",""),IF(AND($G40&lt;Hta_17,$G40&gt;=Hba_17,Input!Y$37&lt;&gt;""),Input!$B$37&amp;";",""),IF(AND($G40&lt;Hta_18,$G40&gt;=Hba_18,Input!Y$38&lt;&gt;""),Input!$B$38&amp;";",""),IF(AND($G40&lt;Hta_19,$G40&gt;=Hba_19,Input!Y$39&lt;&gt;""),Input!$B$39&amp;";",""),IF(AND($G40&lt;Hta_20,$G40&gt;=Hba_20,Input!Y$40&lt;&gt;""),Input!$B$40&amp;";",""),IF(AND($G40&lt;Hta_21,$G40&gt;=Hba_21,Input!Y$41&lt;&gt;""),Input!$B$41&amp;";",""),IF(AND($G40&lt;Hta_22,$G40&gt;=Hba_22,Input!Y$42&lt;&gt;""),Input!$B$42&amp;";",""),IF(AND($G40&lt;Hta_23,$G40&gt;=Hba_23,Input!Y$43&lt;&gt;""),Input!$B$43&amp;";",""),IF(AND($G40&lt;Hta_24,$G40&gt;=Hba_24,Input!Y$44&lt;&gt;""),Input!$B$44&amp;";",""),IF(AND($G40&lt;Hta_25,$G40&gt;=Hba_25,Input!Y$45&lt;&gt;""),Input!$B$45&amp;";",""),IF(AND($G40&lt;Hta_26,$G40&gt;=Hba_26,Input!Y$46&lt;&gt;""),Input!$B$46&amp;";",""),IF(AND($G40&lt;Hta_27,$G40&gt;=Hba_27,Input!Y$47&lt;&gt;""),Input!$B$47&amp;";",""),IF(AND($G40&lt;Hta_28,$G40&gt;=Hba_28,Input!Y$48&lt;&gt;""),Input!$B$48&amp;";",""),IF(AND($G40&lt;Hta_29,$G40&gt;=Hba_29,Input!Y$49&lt;&gt;""),Input!$B$49&amp;";",""),IF(AND($G40&lt;Hta_30,$G40&gt;=Hba_30,Input!Y$50&lt;&gt;""),Input!$B$50&amp;";","")),"")</f>
        <v/>
      </c>
      <c r="CA40" s="25" t="str">
        <f>IFERROR(CONCATENATE(IF(AND($G40&lt;Hta_1,$G40&gt;=Hba_1,Input!Z$21&lt;&gt;""),Input!$B$21&amp;";",""),IF(AND($G40&lt;Hta_2,$G40&gt;=Hba_2,Input!Z$22&lt;&gt;""),Input!$B$22&amp;";",""),IF(AND($G40&lt;Hta_3,$G40&gt;=Hba_3,Input!Z$23&lt;&gt;""),Input!$B$23&amp;";",""),IF(AND($G40&lt;Hta_4,$G40&gt;=Hba_4,Input!Z$24&lt;&gt;""),Input!$B$24&amp;";",""),IF(AND($G40&lt;Hta_5,$G40&gt;=Hba_5,Input!Z$25&lt;&gt;""),Input!$B$25&amp;";",""),IF(AND($G40&lt;Hta_6,$G40&gt;=Hba_6,Input!Z$26&lt;&gt;""),Input!$B$26&amp;";",""),IF(AND($G40&lt;Hta_7,$G40&gt;=Hba_7,Input!Z$27&lt;&gt;""),Input!$B$27&amp;";",""),IF(AND($G40&lt;Hta_8,$G40&gt;=Hba_8,Input!Z$28&lt;&gt;""),Input!$B$28&amp;";",""),IF(AND($G40&lt;Hta_9,$G40&gt;=Hba_9,Input!Z$29&lt;&gt;""),Input!$B$29&amp;";",""),IF(AND($G40&lt;Hta_10,$G40&gt;=Hba_10,Input!Z$30&lt;&gt;""),Input!$B$30&amp;";",""),IF(AND($G40&lt;Hta_11,$G40&gt;=Hba_11,Input!Z$31&lt;&gt;""),Input!$B$31&amp;";",""),IF(AND($G40&lt;Hta_12,$G40&gt;=Hba_12,Input!Z$32&lt;&gt;""),Input!$B$32&amp;";",""),IF(AND($G40&lt;Hta_13,$G40&gt;=Hba_13,Input!Z$33&lt;&gt;""),Input!$B$33&amp;";",""),IF(AND($G40&lt;Hta_14,$G40&gt;=Hba_14,Input!Z$34&lt;&gt;""),Input!$B$34&amp;";",""),IF(AND($G40&lt;Hta_15,$G40&gt;=Hba_15,Input!Z$35&lt;&gt;""),Input!$B$35&amp;";",""),IF(AND($G40&lt;Hta_16,$G40&gt;=Hba_16,Input!Z$36&lt;&gt;""),Input!$B$36&amp;";",""),IF(AND($G40&lt;Hta_17,$G40&gt;=Hba_17,Input!Z$37&lt;&gt;""),Input!$B$37&amp;";",""),IF(AND($G40&lt;Hta_18,$G40&gt;=Hba_18,Input!Z$38&lt;&gt;""),Input!$B$38&amp;";",""),IF(AND($G40&lt;Hta_19,$G40&gt;=Hba_19,Input!Z$39&lt;&gt;""),Input!$B$39&amp;";",""),IF(AND($G40&lt;Hta_20,$G40&gt;=Hba_20,Input!Z$40&lt;&gt;""),Input!$B$40&amp;";",""),IF(AND($G40&lt;Hta_21,$G40&gt;=Hba_21,Input!Z$41&lt;&gt;""),Input!$B$41&amp;";",""),IF(AND($G40&lt;Hta_22,$G40&gt;=Hba_22,Input!Z$42&lt;&gt;""),Input!$B$42&amp;";",""),IF(AND($G40&lt;Hta_23,$G40&gt;=Hba_23,Input!Z$43&lt;&gt;""),Input!$B$43&amp;";",""),IF(AND($G40&lt;Hta_24,$G40&gt;=Hba_24,Input!Z$44&lt;&gt;""),Input!$B$44&amp;";",""),IF(AND($G40&lt;Hta_25,$G40&gt;=Hba_25,Input!Z$45&lt;&gt;""),Input!$B$45&amp;";",""),IF(AND($G40&lt;Hta_26,$G40&gt;=Hba_26,Input!Z$46&lt;&gt;""),Input!$B$46&amp;";",""),IF(AND($G40&lt;Hta_27,$G40&gt;=Hba_27,Input!Z$47&lt;&gt;""),Input!$B$47&amp;";",""),IF(AND($G40&lt;Hta_28,$G40&gt;=Hba_28,Input!Z$48&lt;&gt;""),Input!$B$48&amp;";",""),IF(AND($G40&lt;Hta_29,$G40&gt;=Hba_29,Input!Z$49&lt;&gt;""),Input!$B$49&amp;";",""),IF(AND($G40&lt;Hta_30,$G40&gt;=Hba_30,Input!Z$50&lt;&gt;""),Input!$B$50&amp;";","")),"")</f>
        <v/>
      </c>
      <c r="CB40" s="25" t="str">
        <f>IFERROR(CONCATENATE(IF(AND($G40&lt;Hta_1,$G40&gt;=Hba_1,Input!AA$21&lt;&gt;""),Input!$B$21&amp;";",""),IF(AND($G40&lt;Hta_2,$G40&gt;=Hba_2,Input!AA$22&lt;&gt;""),Input!$B$22&amp;";",""),IF(AND($G40&lt;Hta_3,$G40&gt;=Hba_3,Input!AA$23&lt;&gt;""),Input!$B$23&amp;";",""),IF(AND($G40&lt;Hta_4,$G40&gt;=Hba_4,Input!AA$24&lt;&gt;""),Input!$B$24&amp;";",""),IF(AND($G40&lt;Hta_5,$G40&gt;=Hba_5,Input!AA$25&lt;&gt;""),Input!$B$25&amp;";",""),IF(AND($G40&lt;Hta_6,$G40&gt;=Hba_6,Input!AA$26&lt;&gt;""),Input!$B$26&amp;";",""),IF(AND($G40&lt;Hta_7,$G40&gt;=Hba_7,Input!AA$27&lt;&gt;""),Input!$B$27&amp;";",""),IF(AND($G40&lt;Hta_8,$G40&gt;=Hba_8,Input!AA$28&lt;&gt;""),Input!$B$28&amp;";",""),IF(AND($G40&lt;Hta_9,$G40&gt;=Hba_9,Input!AA$29&lt;&gt;""),Input!$B$29&amp;";",""),IF(AND($G40&lt;Hta_10,$G40&gt;=Hba_10,Input!AA$30&lt;&gt;""),Input!$B$30&amp;";",""),IF(AND($G40&lt;Hta_11,$G40&gt;=Hba_11,Input!AA$31&lt;&gt;""),Input!$B$31&amp;";",""),IF(AND($G40&lt;Hta_12,$G40&gt;=Hba_12,Input!AA$32&lt;&gt;""),Input!$B$32&amp;";",""),IF(AND($G40&lt;Hta_13,$G40&gt;=Hba_13,Input!AA$33&lt;&gt;""),Input!$B$33&amp;";",""),IF(AND($G40&lt;Hta_14,$G40&gt;=Hba_14,Input!AA$34&lt;&gt;""),Input!$B$34&amp;";",""),IF(AND($G40&lt;Hta_15,$G40&gt;=Hba_15,Input!AA$35&lt;&gt;""),Input!$B$35&amp;";",""),IF(AND($G40&lt;Hta_16,$G40&gt;=Hba_16,Input!AA$36&lt;&gt;""),Input!$B$36&amp;";",""),IF(AND($G40&lt;Hta_17,$G40&gt;=Hba_17,Input!AA$37&lt;&gt;""),Input!$B$37&amp;";",""),IF(AND($G40&lt;Hta_18,$G40&gt;=Hba_18,Input!AA$38&lt;&gt;""),Input!$B$38&amp;";",""),IF(AND($G40&lt;Hta_19,$G40&gt;=Hba_19,Input!AA$39&lt;&gt;""),Input!$B$39&amp;";",""),IF(AND($G40&lt;Hta_20,$G40&gt;=Hba_20,Input!AA$40&lt;&gt;""),Input!$B$40&amp;";",""),IF(AND($G40&lt;Hta_21,$G40&gt;=Hba_21,Input!AA$41&lt;&gt;""),Input!$B$41&amp;";",""),IF(AND($G40&lt;Hta_22,$G40&gt;=Hba_22,Input!AA$42&lt;&gt;""),Input!$B$42&amp;";",""),IF(AND($G40&lt;Hta_23,$G40&gt;=Hba_23,Input!AA$43&lt;&gt;""),Input!$B$43&amp;";",""),IF(AND($G40&lt;Hta_24,$G40&gt;=Hba_24,Input!AA$44&lt;&gt;""),Input!$B$44&amp;";",""),IF(AND($G40&lt;Hta_25,$G40&gt;=Hba_25,Input!AA$45&lt;&gt;""),Input!$B$45&amp;";",""),IF(AND($G40&lt;Hta_26,$G40&gt;=Hba_26,Input!AA$46&lt;&gt;""),Input!$B$46&amp;";",""),IF(AND($G40&lt;Hta_27,$G40&gt;=Hba_27,Input!AA$47&lt;&gt;""),Input!$B$47&amp;";",""),IF(AND($G40&lt;Hta_28,$G40&gt;=Hba_28,Input!AA$48&lt;&gt;""),Input!$B$48&amp;";",""),IF(AND($G40&lt;Hta_29,$G40&gt;=Hba_29,Input!AA$49&lt;&gt;""),Input!$B$49&amp;";",""),IF(AND($G40&lt;Hta_30,$G40&gt;=Hba_30,Input!AA$50&lt;&gt;""),Input!$B$50&amp;";","")),"")</f>
        <v/>
      </c>
      <c r="CC40" s="25" t="str">
        <f>IFERROR(CONCATENATE(IF(AND($G40&lt;Hta_1,$G40&gt;=Hba_1,Input!AB$21&lt;&gt;""),Input!$B$21&amp;";",""),IF(AND($G40&lt;Hta_2,$G40&gt;=Hba_2,Input!AB$22&lt;&gt;""),Input!$B$22&amp;";",""),IF(AND($G40&lt;Hta_3,$G40&gt;=Hba_3,Input!AB$23&lt;&gt;""),Input!$B$23&amp;";",""),IF(AND($G40&lt;Hta_4,$G40&gt;=Hba_4,Input!AB$24&lt;&gt;""),Input!$B$24&amp;";",""),IF(AND($G40&lt;Hta_5,$G40&gt;=Hba_5,Input!AB$25&lt;&gt;""),Input!$B$25&amp;";",""),IF(AND($G40&lt;Hta_6,$G40&gt;=Hba_6,Input!AB$26&lt;&gt;""),Input!$B$26&amp;";",""),IF(AND($G40&lt;Hta_7,$G40&gt;=Hba_7,Input!AB$27&lt;&gt;""),Input!$B$27&amp;";",""),IF(AND($G40&lt;Hta_8,$G40&gt;=Hba_8,Input!AB$28&lt;&gt;""),Input!$B$28&amp;";",""),IF(AND($G40&lt;Hta_9,$G40&gt;=Hba_9,Input!AB$29&lt;&gt;""),Input!$B$29&amp;";",""),IF(AND($G40&lt;Hta_10,$G40&gt;=Hba_10,Input!AB$30&lt;&gt;""),Input!$B$30&amp;";",""),IF(AND($G40&lt;Hta_11,$G40&gt;=Hba_11,Input!AB$31&lt;&gt;""),Input!$B$31&amp;";",""),IF(AND($G40&lt;Hta_12,$G40&gt;=Hba_12,Input!AB$32&lt;&gt;""),Input!$B$32&amp;";",""),IF(AND($G40&lt;Hta_13,$G40&gt;=Hba_13,Input!AB$33&lt;&gt;""),Input!$B$33&amp;";",""),IF(AND($G40&lt;Hta_14,$G40&gt;=Hba_14,Input!AB$34&lt;&gt;""),Input!$B$34&amp;";",""),IF(AND($G40&lt;Hta_15,$G40&gt;=Hba_15,Input!AB$35&lt;&gt;""),Input!$B$35&amp;";",""),IF(AND($G40&lt;Hta_16,$G40&gt;=Hba_16,Input!AB$36&lt;&gt;""),Input!$B$36&amp;";",""),IF(AND($G40&lt;Hta_17,$G40&gt;=Hba_17,Input!AB$37&lt;&gt;""),Input!$B$37&amp;";",""),IF(AND($G40&lt;Hta_18,$G40&gt;=Hba_18,Input!AB$38&lt;&gt;""),Input!$B$38&amp;";",""),IF(AND($G40&lt;Hta_19,$G40&gt;=Hba_19,Input!AB$39&lt;&gt;""),Input!$B$39&amp;";",""),IF(AND($G40&lt;Hta_20,$G40&gt;=Hba_20,Input!AB$40&lt;&gt;""),Input!$B$40&amp;";",""),IF(AND($G40&lt;Hta_21,$G40&gt;=Hba_21,Input!AB$41&lt;&gt;""),Input!$B$41&amp;";",""),IF(AND($G40&lt;Hta_22,$G40&gt;=Hba_22,Input!AB$42&lt;&gt;""),Input!$B$42&amp;";",""),IF(AND($G40&lt;Hta_23,$G40&gt;=Hba_23,Input!AB$43&lt;&gt;""),Input!$B$43&amp;";",""),IF(AND($G40&lt;Hta_24,$G40&gt;=Hba_24,Input!AB$44&lt;&gt;""),Input!$B$44&amp;";",""),IF(AND($G40&lt;Hta_25,$G40&gt;=Hba_25,Input!AB$45&lt;&gt;""),Input!$B$45&amp;";",""),IF(AND($G40&lt;Hta_26,$G40&gt;=Hba_26,Input!AB$46&lt;&gt;""),Input!$B$46&amp;";",""),IF(AND($G40&lt;Hta_27,$G40&gt;=Hba_27,Input!AB$47&lt;&gt;""),Input!$B$47&amp;";",""),IF(AND($G40&lt;Hta_28,$G40&gt;=Hba_28,Input!AB$48&lt;&gt;""),Input!$B$48&amp;";",""),IF(AND($G40&lt;Hta_29,$G40&gt;=Hba_29,Input!AB$49&lt;&gt;""),Input!$B$49&amp;";",""),IF(AND($G40&lt;Hta_30,$G40&gt;=Hba_30,Input!AB$50&lt;&gt;""),Input!$B$50&amp;";","")),"")</f>
        <v/>
      </c>
      <c r="CD40" s="25" t="str">
        <f>IFERROR(CONCATENATE(IF(AND($G40&lt;Hta_1,$G40&gt;=Hba_1,Input!AC$21&lt;&gt;""),Input!$B$21&amp;";",""),IF(AND($G40&lt;Hta_2,$G40&gt;=Hba_2,Input!AC$22&lt;&gt;""),Input!$B$22&amp;";",""),IF(AND($G40&lt;Hta_3,$G40&gt;=Hba_3,Input!AC$23&lt;&gt;""),Input!$B$23&amp;";",""),IF(AND($G40&lt;Hta_4,$G40&gt;=Hba_4,Input!AC$24&lt;&gt;""),Input!$B$24&amp;";",""),IF(AND($G40&lt;Hta_5,$G40&gt;=Hba_5,Input!AC$25&lt;&gt;""),Input!$B$25&amp;";",""),IF(AND($G40&lt;Hta_6,$G40&gt;=Hba_6,Input!AC$26&lt;&gt;""),Input!$B$26&amp;";",""),IF(AND($G40&lt;Hta_7,$G40&gt;=Hba_7,Input!AC$27&lt;&gt;""),Input!$B$27&amp;";",""),IF(AND($G40&lt;Hta_8,$G40&gt;=Hba_8,Input!AC$28&lt;&gt;""),Input!$B$28&amp;";",""),IF(AND($G40&lt;Hta_9,$G40&gt;=Hba_9,Input!AC$29&lt;&gt;""),Input!$B$29&amp;";",""),IF(AND($G40&lt;Hta_10,$G40&gt;=Hba_10,Input!AC$30&lt;&gt;""),Input!$B$30&amp;";",""),IF(AND($G40&lt;Hta_11,$G40&gt;=Hba_11,Input!AC$31&lt;&gt;""),Input!$B$31&amp;";",""),IF(AND($G40&lt;Hta_12,$G40&gt;=Hba_12,Input!AC$32&lt;&gt;""),Input!$B$32&amp;";",""),IF(AND($G40&lt;Hta_13,$G40&gt;=Hba_13,Input!AC$33&lt;&gt;""),Input!$B$33&amp;";",""),IF(AND($G40&lt;Hta_14,$G40&gt;=Hba_14,Input!AC$34&lt;&gt;""),Input!$B$34&amp;";",""),IF(AND($G40&lt;Hta_15,$G40&gt;=Hba_15,Input!AC$35&lt;&gt;""),Input!$B$35&amp;";",""),IF(AND($G40&lt;Hta_16,$G40&gt;=Hba_16,Input!AC$36&lt;&gt;""),Input!$B$36&amp;";",""),IF(AND($G40&lt;Hta_17,$G40&gt;=Hba_17,Input!AC$37&lt;&gt;""),Input!$B$37&amp;";",""),IF(AND($G40&lt;Hta_18,$G40&gt;=Hba_18,Input!AC$38&lt;&gt;""),Input!$B$38&amp;";",""),IF(AND($G40&lt;Hta_19,$G40&gt;=Hba_19,Input!AC$39&lt;&gt;""),Input!$B$39&amp;";",""),IF(AND($G40&lt;Hta_20,$G40&gt;=Hba_20,Input!AC$40&lt;&gt;""),Input!$B$40&amp;";",""),IF(AND($G40&lt;Hta_21,$G40&gt;=Hba_21,Input!AC$41&lt;&gt;""),Input!$B$41&amp;";",""),IF(AND($G40&lt;Hta_22,$G40&gt;=Hba_22,Input!AC$42&lt;&gt;""),Input!$B$42&amp;";",""),IF(AND($G40&lt;Hta_23,$G40&gt;=Hba_23,Input!AC$43&lt;&gt;""),Input!$B$43&amp;";",""),IF(AND($G40&lt;Hta_24,$G40&gt;=Hba_24,Input!AC$44&lt;&gt;""),Input!$B$44&amp;";",""),IF(AND($G40&lt;Hta_25,$G40&gt;=Hba_25,Input!AC$45&lt;&gt;""),Input!$B$45&amp;";",""),IF(AND($G40&lt;Hta_26,$G40&gt;=Hba_26,Input!AC$46&lt;&gt;""),Input!$B$46&amp;";",""),IF(AND($G40&lt;Hta_27,$G40&gt;=Hba_27,Input!AC$47&lt;&gt;""),Input!$B$47&amp;";",""),IF(AND($G40&lt;Hta_28,$G40&gt;=Hba_28,Input!AC$48&lt;&gt;""),Input!$B$48&amp;";",""),IF(AND($G40&lt;Hta_29,$G40&gt;=Hba_29,Input!AC$49&lt;&gt;""),Input!$B$49&amp;";",""),IF(AND($G40&lt;Hta_30,$G40&gt;=Hba_30,Input!AC$50&lt;&gt;""),Input!$B$50&amp;";","")),"")</f>
        <v/>
      </c>
      <c r="CE40" s="25" t="str">
        <f>IFERROR(CONCATENATE(IF(AND($G40&lt;Hta_1,$G40&gt;=Hba_1,Input!AD$21&lt;&gt;""),Input!$B$21&amp;";",""),IF(AND($G40&lt;Hta_2,$G40&gt;=Hba_2,Input!AD$22&lt;&gt;""),Input!$B$22&amp;";",""),IF(AND($G40&lt;Hta_3,$G40&gt;=Hba_3,Input!AD$23&lt;&gt;""),Input!$B$23&amp;";",""),IF(AND($G40&lt;Hta_4,$G40&gt;=Hba_4,Input!AD$24&lt;&gt;""),Input!$B$24&amp;";",""),IF(AND($G40&lt;Hta_5,$G40&gt;=Hba_5,Input!AD$25&lt;&gt;""),Input!$B$25&amp;";",""),IF(AND($G40&lt;Hta_6,$G40&gt;=Hba_6,Input!AD$26&lt;&gt;""),Input!$B$26&amp;";",""),IF(AND($G40&lt;Hta_7,$G40&gt;=Hba_7,Input!AD$27&lt;&gt;""),Input!$B$27&amp;";",""),IF(AND($G40&lt;Hta_8,$G40&gt;=Hba_8,Input!AD$28&lt;&gt;""),Input!$B$28&amp;";",""),IF(AND($G40&lt;Hta_9,$G40&gt;=Hba_9,Input!AD$29&lt;&gt;""),Input!$B$29&amp;";",""),IF(AND($G40&lt;Hta_10,$G40&gt;=Hba_10,Input!AD$30&lt;&gt;""),Input!$B$30&amp;";",""),IF(AND($G40&lt;Hta_11,$G40&gt;=Hba_11,Input!AD$31&lt;&gt;""),Input!$B$31&amp;";",""),IF(AND($G40&lt;Hta_12,$G40&gt;=Hba_12,Input!AD$32&lt;&gt;""),Input!$B$32&amp;";",""),IF(AND($G40&lt;Hta_13,$G40&gt;=Hba_13,Input!AD$33&lt;&gt;""),Input!$B$33&amp;";",""),IF(AND($G40&lt;Hta_14,$G40&gt;=Hba_14,Input!AD$34&lt;&gt;""),Input!$B$34&amp;";",""),IF(AND($G40&lt;Hta_15,$G40&gt;=Hba_15,Input!AD$35&lt;&gt;""),Input!$B$35&amp;";",""),IF(AND($G40&lt;Hta_16,$G40&gt;=Hba_16,Input!AD$36&lt;&gt;""),Input!$B$36&amp;";",""),IF(AND($G40&lt;Hta_17,$G40&gt;=Hba_17,Input!AD$37&lt;&gt;""),Input!$B$37&amp;";",""),IF(AND($G40&lt;Hta_18,$G40&gt;=Hba_18,Input!AD$38&lt;&gt;""),Input!$B$38&amp;";",""),IF(AND($G40&lt;Hta_19,$G40&gt;=Hba_19,Input!AD$39&lt;&gt;""),Input!$B$39&amp;";",""),IF(AND($G40&lt;Hta_20,$G40&gt;=Hba_20,Input!AD$40&lt;&gt;""),Input!$B$40&amp;";",""),IF(AND($G40&lt;Hta_21,$G40&gt;=Hba_21,Input!AD$41&lt;&gt;""),Input!$B$41&amp;";",""),IF(AND($G40&lt;Hta_22,$G40&gt;=Hba_22,Input!AD$42&lt;&gt;""),Input!$B$42&amp;";",""),IF(AND($G40&lt;Hta_23,$G40&gt;=Hba_23,Input!AD$43&lt;&gt;""),Input!$B$43&amp;";",""),IF(AND($G40&lt;Hta_24,$G40&gt;=Hba_24,Input!AD$44&lt;&gt;""),Input!$B$44&amp;";",""),IF(AND($G40&lt;Hta_25,$G40&gt;=Hba_25,Input!AD$45&lt;&gt;""),Input!$B$45&amp;";",""),IF(AND($G40&lt;Hta_26,$G40&gt;=Hba_26,Input!AD$46&lt;&gt;""),Input!$B$46&amp;";",""),IF(AND($G40&lt;Hta_27,$G40&gt;=Hba_27,Input!AD$47&lt;&gt;""),Input!$B$47&amp;";",""),IF(AND($G40&lt;Hta_28,$G40&gt;=Hba_28,Input!AD$48&lt;&gt;""),Input!$B$48&amp;";",""),IF(AND($G40&lt;Hta_29,$G40&gt;=Hba_29,Input!AD$49&lt;&gt;""),Input!$B$49&amp;";",""),IF(AND($G40&lt;Hta_30,$G40&gt;=Hba_30,Input!AD$50&lt;&gt;""),Input!$B$50&amp;";","")),"")</f>
        <v/>
      </c>
      <c r="CF40" s="25" t="str">
        <f>IFERROR(CONCATENATE(IF(AND($G40&lt;Hta_1,$G40&gt;=Hba_1,Input!AE$21&lt;&gt;""),Input!$B$21&amp;";",""),IF(AND($G40&lt;Hta_2,$G40&gt;=Hba_2,Input!AE$22&lt;&gt;""),Input!$B$22&amp;";",""),IF(AND($G40&lt;Hta_3,$G40&gt;=Hba_3,Input!AE$23&lt;&gt;""),Input!$B$23&amp;";",""),IF(AND($G40&lt;Hta_4,$G40&gt;=Hba_4,Input!AE$24&lt;&gt;""),Input!$B$24&amp;";",""),IF(AND($G40&lt;Hta_5,$G40&gt;=Hba_5,Input!AE$25&lt;&gt;""),Input!$B$25&amp;";",""),IF(AND($G40&lt;Hta_6,$G40&gt;=Hba_6,Input!AE$26&lt;&gt;""),Input!$B$26&amp;";",""),IF(AND($G40&lt;Hta_7,$G40&gt;=Hba_7,Input!AE$27&lt;&gt;""),Input!$B$27&amp;";",""),IF(AND($G40&lt;Hta_8,$G40&gt;=Hba_8,Input!AE$28&lt;&gt;""),Input!$B$28&amp;";",""),IF(AND($G40&lt;Hta_9,$G40&gt;=Hba_9,Input!AE$29&lt;&gt;""),Input!$B$29&amp;";",""),IF(AND($G40&lt;Hta_10,$G40&gt;=Hba_10,Input!AE$30&lt;&gt;""),Input!$B$30&amp;";",""),IF(AND($G40&lt;Hta_11,$G40&gt;=Hba_11,Input!AE$31&lt;&gt;""),Input!$B$31&amp;";",""),IF(AND($G40&lt;Hta_12,$G40&gt;=Hba_12,Input!AE$32&lt;&gt;""),Input!$B$32&amp;";",""),IF(AND($G40&lt;Hta_13,$G40&gt;=Hba_13,Input!AE$33&lt;&gt;""),Input!$B$33&amp;";",""),IF(AND($G40&lt;Hta_14,$G40&gt;=Hba_14,Input!AE$34&lt;&gt;""),Input!$B$34&amp;";",""),IF(AND($G40&lt;Hta_15,$G40&gt;=Hba_15,Input!AE$35&lt;&gt;""),Input!$B$35&amp;";",""),IF(AND($G40&lt;Hta_16,$G40&gt;=Hba_16,Input!AE$36&lt;&gt;""),Input!$B$36&amp;";",""),IF(AND($G40&lt;Hta_17,$G40&gt;=Hba_17,Input!AE$37&lt;&gt;""),Input!$B$37&amp;";",""),IF(AND($G40&lt;Hta_18,$G40&gt;=Hba_18,Input!AE$38&lt;&gt;""),Input!$B$38&amp;";",""),IF(AND($G40&lt;Hta_19,$G40&gt;=Hba_19,Input!AE$39&lt;&gt;""),Input!$B$39&amp;";",""),IF(AND($G40&lt;Hta_20,$G40&gt;=Hba_20,Input!AE$40&lt;&gt;""),Input!$B$40&amp;";",""),IF(AND($G40&lt;Hta_21,$G40&gt;=Hba_21,Input!AE$41&lt;&gt;""),Input!$B$41&amp;";",""),IF(AND($G40&lt;Hta_22,$G40&gt;=Hba_22,Input!AE$42&lt;&gt;""),Input!$B$42&amp;";",""),IF(AND($G40&lt;Hta_23,$G40&gt;=Hba_23,Input!AE$43&lt;&gt;""),Input!$B$43&amp;";",""),IF(AND($G40&lt;Hta_24,$G40&gt;=Hba_24,Input!AE$44&lt;&gt;""),Input!$B$44&amp;";",""),IF(AND($G40&lt;Hta_25,$G40&gt;=Hba_25,Input!AE$45&lt;&gt;""),Input!$B$45&amp;";",""),IF(AND($G40&lt;Hta_26,$G40&gt;=Hba_26,Input!AE$46&lt;&gt;""),Input!$B$46&amp;";",""),IF(AND($G40&lt;Hta_27,$G40&gt;=Hba_27,Input!AE$47&lt;&gt;""),Input!$B$47&amp;";",""),IF(AND($G40&lt;Hta_28,$G40&gt;=Hba_28,Input!AE$48&lt;&gt;""),Input!$B$48&amp;";",""),IF(AND($G40&lt;Hta_29,$G40&gt;=Hba_29,Input!AE$49&lt;&gt;""),Input!$B$49&amp;";",""),IF(AND($G40&lt;Hta_30,$G40&gt;=Hba_30,Input!AE$50&lt;&gt;""),Input!$B$50&amp;";","")),"")</f>
        <v/>
      </c>
      <c r="CG40" s="25" t="str">
        <f>IFERROR(CONCATENATE(IF(AND($G40&lt;Hta_1,$G40&gt;=Hba_1,Input!AF$21&lt;&gt;""),Input!$B$21&amp;";",""),IF(AND($G40&lt;Hta_2,$G40&gt;=Hba_2,Input!AF$22&lt;&gt;""),Input!$B$22&amp;";",""),IF(AND($G40&lt;Hta_3,$G40&gt;=Hba_3,Input!AF$23&lt;&gt;""),Input!$B$23&amp;";",""),IF(AND($G40&lt;Hta_4,$G40&gt;=Hba_4,Input!AF$24&lt;&gt;""),Input!$B$24&amp;";",""),IF(AND($G40&lt;Hta_5,$G40&gt;=Hba_5,Input!AF$25&lt;&gt;""),Input!$B$25&amp;";",""),IF(AND($G40&lt;Hta_6,$G40&gt;=Hba_6,Input!AF$26&lt;&gt;""),Input!$B$26&amp;";",""),IF(AND($G40&lt;Hta_7,$G40&gt;=Hba_7,Input!AF$27&lt;&gt;""),Input!$B$27&amp;";",""),IF(AND($G40&lt;Hta_8,$G40&gt;=Hba_8,Input!AF$28&lt;&gt;""),Input!$B$28&amp;";",""),IF(AND($G40&lt;Hta_9,$G40&gt;=Hba_9,Input!AF$29&lt;&gt;""),Input!$B$29&amp;";",""),IF(AND($G40&lt;Hta_10,$G40&gt;=Hba_10,Input!AF$30&lt;&gt;""),Input!$B$30&amp;";",""),IF(AND($G40&lt;Hta_11,$G40&gt;=Hba_11,Input!AF$31&lt;&gt;""),Input!$B$31&amp;";",""),IF(AND($G40&lt;Hta_12,$G40&gt;=Hba_12,Input!AF$32&lt;&gt;""),Input!$B$32&amp;";",""),IF(AND($G40&lt;Hta_13,$G40&gt;=Hba_13,Input!AF$33&lt;&gt;""),Input!$B$33&amp;";",""),IF(AND($G40&lt;Hta_14,$G40&gt;=Hba_14,Input!AF$34&lt;&gt;""),Input!$B$34&amp;";",""),IF(AND($G40&lt;Hta_15,$G40&gt;=Hba_15,Input!AF$35&lt;&gt;""),Input!$B$35&amp;";",""),IF(AND($G40&lt;Hta_16,$G40&gt;=Hba_16,Input!AF$36&lt;&gt;""),Input!$B$36&amp;";",""),IF(AND($G40&lt;Hta_17,$G40&gt;=Hba_17,Input!AF$37&lt;&gt;""),Input!$B$37&amp;";",""),IF(AND($G40&lt;Hta_18,$G40&gt;=Hba_18,Input!AF$38&lt;&gt;""),Input!$B$38&amp;";",""),IF(AND($G40&lt;Hta_19,$G40&gt;=Hba_19,Input!AF$39&lt;&gt;""),Input!$B$39&amp;";",""),IF(AND($G40&lt;Hta_20,$G40&gt;=Hba_20,Input!AF$40&lt;&gt;""),Input!$B$40&amp;";",""),IF(AND($G40&lt;Hta_21,$G40&gt;=Hba_21,Input!AF$41&lt;&gt;""),Input!$B$41&amp;";",""),IF(AND($G40&lt;Hta_22,$G40&gt;=Hba_22,Input!AF$42&lt;&gt;""),Input!$B$42&amp;";",""),IF(AND($G40&lt;Hta_23,$G40&gt;=Hba_23,Input!AF$43&lt;&gt;""),Input!$B$43&amp;";",""),IF(AND($G40&lt;Hta_24,$G40&gt;=Hba_24,Input!AF$44&lt;&gt;""),Input!$B$44&amp;";",""),IF(AND($G40&lt;Hta_25,$G40&gt;=Hba_25,Input!AF$45&lt;&gt;""),Input!$B$45&amp;";",""),IF(AND($G40&lt;Hta_26,$G40&gt;=Hba_26,Input!AF$46&lt;&gt;""),Input!$B$46&amp;";",""),IF(AND($G40&lt;Hta_27,$G40&gt;=Hba_27,Input!AF$47&lt;&gt;""),Input!$B$47&amp;";",""),IF(AND($G40&lt;Hta_28,$G40&gt;=Hba_28,Input!AF$48&lt;&gt;""),Input!$B$48&amp;";",""),IF(AND($G40&lt;Hta_29,$G40&gt;=Hba_29,Input!AF$49&lt;&gt;""),Input!$B$49&amp;";",""),IF(AND($G40&lt;Hta_30,$G40&gt;=Hba_30,Input!AF$50&lt;&gt;""),Input!$B$50&amp;";","")),"")</f>
        <v/>
      </c>
      <c r="CH40" s="25" t="str">
        <f>IFERROR(CONCATENATE(IF(AND($G40&lt;Hta_1,$G40&gt;=Hba_1,Input!AG$21&lt;&gt;""),Input!$B$21&amp;";",""),IF(AND($G40&lt;Hta_2,$G40&gt;=Hba_2,Input!AG$22&lt;&gt;""),Input!$B$22&amp;";",""),IF(AND($G40&lt;Hta_3,$G40&gt;=Hba_3,Input!AG$23&lt;&gt;""),Input!$B$23&amp;";",""),IF(AND($G40&lt;Hta_4,$G40&gt;=Hba_4,Input!AG$24&lt;&gt;""),Input!$B$24&amp;";",""),IF(AND($G40&lt;Hta_5,$G40&gt;=Hba_5,Input!AG$25&lt;&gt;""),Input!$B$25&amp;";",""),IF(AND($G40&lt;Hta_6,$G40&gt;=Hba_6,Input!AG$26&lt;&gt;""),Input!$B$26&amp;";",""),IF(AND($G40&lt;Hta_7,$G40&gt;=Hba_7,Input!AG$27&lt;&gt;""),Input!$B$27&amp;";",""),IF(AND($G40&lt;Hta_8,$G40&gt;=Hba_8,Input!AG$28&lt;&gt;""),Input!$B$28&amp;";",""),IF(AND($G40&lt;Hta_9,$G40&gt;=Hba_9,Input!AG$29&lt;&gt;""),Input!$B$29&amp;";",""),IF(AND($G40&lt;Hta_10,$G40&gt;=Hba_10,Input!AG$30&lt;&gt;""),Input!$B$30&amp;";",""),IF(AND($G40&lt;Hta_11,$G40&gt;=Hba_11,Input!AG$31&lt;&gt;""),Input!$B$31&amp;";",""),IF(AND($G40&lt;Hta_12,$G40&gt;=Hba_12,Input!AG$32&lt;&gt;""),Input!$B$32&amp;";",""),IF(AND($G40&lt;Hta_13,$G40&gt;=Hba_13,Input!AG$33&lt;&gt;""),Input!$B$33&amp;";",""),IF(AND($G40&lt;Hta_14,$G40&gt;=Hba_14,Input!AG$34&lt;&gt;""),Input!$B$34&amp;";",""),IF(AND($G40&lt;Hta_15,$G40&gt;=Hba_15,Input!AG$35&lt;&gt;""),Input!$B$35&amp;";",""),IF(AND($G40&lt;Hta_16,$G40&gt;=Hba_16,Input!AG$36&lt;&gt;""),Input!$B$36&amp;";",""),IF(AND($G40&lt;Hta_17,$G40&gt;=Hba_17,Input!AG$37&lt;&gt;""),Input!$B$37&amp;";",""),IF(AND($G40&lt;Hta_18,$G40&gt;=Hba_18,Input!AG$38&lt;&gt;""),Input!$B$38&amp;";",""),IF(AND($G40&lt;Hta_19,$G40&gt;=Hba_19,Input!AG$39&lt;&gt;""),Input!$B$39&amp;";",""),IF(AND($G40&lt;Hta_20,$G40&gt;=Hba_20,Input!AG$40&lt;&gt;""),Input!$B$40&amp;";",""),IF(AND($G40&lt;Hta_21,$G40&gt;=Hba_21,Input!AG$41&lt;&gt;""),Input!$B$41&amp;";",""),IF(AND($G40&lt;Hta_22,$G40&gt;=Hba_22,Input!AG$42&lt;&gt;""),Input!$B$42&amp;";",""),IF(AND($G40&lt;Hta_23,$G40&gt;=Hba_23,Input!AG$43&lt;&gt;""),Input!$B$43&amp;";",""),IF(AND($G40&lt;Hta_24,$G40&gt;=Hba_24,Input!AG$44&lt;&gt;""),Input!$B$44&amp;";",""),IF(AND($G40&lt;Hta_25,$G40&gt;=Hba_25,Input!AG$45&lt;&gt;""),Input!$B$45&amp;";",""),IF(AND($G40&lt;Hta_26,$G40&gt;=Hba_26,Input!AG$46&lt;&gt;""),Input!$B$46&amp;";",""),IF(AND($G40&lt;Hta_27,$G40&gt;=Hba_27,Input!AG$47&lt;&gt;""),Input!$B$47&amp;";",""),IF(AND($G40&lt;Hta_28,$G40&gt;=Hba_28,Input!AG$48&lt;&gt;""),Input!$B$48&amp;";",""),IF(AND($G40&lt;Hta_29,$G40&gt;=Hba_29,Input!AG$49&lt;&gt;""),Input!$B$49&amp;";",""),IF(AND($G40&lt;Hta_30,$G40&gt;=Hba_30,Input!AG$50&lt;&gt;""),Input!$B$50&amp;";","")),"")</f>
        <v/>
      </c>
      <c r="CI40" s="25" t="str">
        <f>IFERROR(CONCATENATE(IF(AND($G40&lt;Hta_1,$G40&gt;=Hba_1,Input!AH$21&lt;&gt;""),Input!$B$21&amp;";",""),IF(AND($G40&lt;Hta_2,$G40&gt;=Hba_2,Input!AH$22&lt;&gt;""),Input!$B$22&amp;";",""),IF(AND($G40&lt;Hta_3,$G40&gt;=Hba_3,Input!AH$23&lt;&gt;""),Input!$B$23&amp;";",""),IF(AND($G40&lt;Hta_4,$G40&gt;=Hba_4,Input!AH$24&lt;&gt;""),Input!$B$24&amp;";",""),IF(AND($G40&lt;Hta_5,$G40&gt;=Hba_5,Input!AH$25&lt;&gt;""),Input!$B$25&amp;";",""),IF(AND($G40&lt;Hta_6,$G40&gt;=Hba_6,Input!AH$26&lt;&gt;""),Input!$B$26&amp;";",""),IF(AND($G40&lt;Hta_7,$G40&gt;=Hba_7,Input!AH$27&lt;&gt;""),Input!$B$27&amp;";",""),IF(AND($G40&lt;Hta_8,$G40&gt;=Hba_8,Input!AH$28&lt;&gt;""),Input!$B$28&amp;";",""),IF(AND($G40&lt;Hta_9,$G40&gt;=Hba_9,Input!AH$29&lt;&gt;""),Input!$B$29&amp;";",""),IF(AND($G40&lt;Hta_10,$G40&gt;=Hba_10,Input!AH$30&lt;&gt;""),Input!$B$30&amp;";",""),IF(AND($G40&lt;Hta_11,$G40&gt;=Hba_11,Input!AH$31&lt;&gt;""),Input!$B$31&amp;";",""),IF(AND($G40&lt;Hta_12,$G40&gt;=Hba_12,Input!AH$32&lt;&gt;""),Input!$B$32&amp;";",""),IF(AND($G40&lt;Hta_13,$G40&gt;=Hba_13,Input!AH$33&lt;&gt;""),Input!$B$33&amp;";",""),IF(AND($G40&lt;Hta_14,$G40&gt;=Hba_14,Input!AH$34&lt;&gt;""),Input!$B$34&amp;";",""),IF(AND($G40&lt;Hta_15,$G40&gt;=Hba_15,Input!AH$35&lt;&gt;""),Input!$B$35&amp;";",""),IF(AND($G40&lt;Hta_16,$G40&gt;=Hba_16,Input!AH$36&lt;&gt;""),Input!$B$36&amp;";",""),IF(AND($G40&lt;Hta_17,$G40&gt;=Hba_17,Input!AH$37&lt;&gt;""),Input!$B$37&amp;";",""),IF(AND($G40&lt;Hta_18,$G40&gt;=Hba_18,Input!AH$38&lt;&gt;""),Input!$B$38&amp;";",""),IF(AND($G40&lt;Hta_19,$G40&gt;=Hba_19,Input!AH$39&lt;&gt;""),Input!$B$39&amp;";",""),IF(AND($G40&lt;Hta_20,$G40&gt;=Hba_20,Input!AH$40&lt;&gt;""),Input!$B$40&amp;";",""),IF(AND($G40&lt;Hta_21,$G40&gt;=Hba_21,Input!AH$41&lt;&gt;""),Input!$B$41&amp;";",""),IF(AND($G40&lt;Hta_22,$G40&gt;=Hba_22,Input!AH$42&lt;&gt;""),Input!$B$42&amp;";",""),IF(AND($G40&lt;Hta_23,$G40&gt;=Hba_23,Input!AH$43&lt;&gt;""),Input!$B$43&amp;";",""),IF(AND($G40&lt;Hta_24,$G40&gt;=Hba_24,Input!AH$44&lt;&gt;""),Input!$B$44&amp;";",""),IF(AND($G40&lt;Hta_25,$G40&gt;=Hba_25,Input!AH$45&lt;&gt;""),Input!$B$45&amp;";",""),IF(AND($G40&lt;Hta_26,$G40&gt;=Hba_26,Input!AH$46&lt;&gt;""),Input!$B$46&amp;";",""),IF(AND($G40&lt;Hta_27,$G40&gt;=Hba_27,Input!AH$47&lt;&gt;""),Input!$B$47&amp;";",""),IF(AND($G40&lt;Hta_28,$G40&gt;=Hba_28,Input!AH$48&lt;&gt;""),Input!$B$48&amp;";",""),IF(AND($G40&lt;Hta_29,$G40&gt;=Hba_29,Input!AH$49&lt;&gt;""),Input!$B$49&amp;";",""),IF(AND($G40&lt;Hta_30,$G40&gt;=Hba_30,Input!AH$50&lt;&gt;""),Input!$B$50&amp;";","")),"")</f>
        <v/>
      </c>
      <c r="CJ40" s="25" t="str">
        <f>IFERROR(CONCATENATE(IF(AND($G40&lt;Hta_1,$G40&gt;=Hba_1,Input!AI$21&lt;&gt;""),Input!$B$21&amp;";",""),IF(AND($G40&lt;Hta_2,$G40&gt;=Hba_2,Input!AI$22&lt;&gt;""),Input!$B$22&amp;";",""),IF(AND($G40&lt;Hta_3,$G40&gt;=Hba_3,Input!AI$23&lt;&gt;""),Input!$B$23&amp;";",""),IF(AND($G40&lt;Hta_4,$G40&gt;=Hba_4,Input!AI$24&lt;&gt;""),Input!$B$24&amp;";",""),IF(AND($G40&lt;Hta_5,$G40&gt;=Hba_5,Input!AI$25&lt;&gt;""),Input!$B$25&amp;";",""),IF(AND($G40&lt;Hta_6,$G40&gt;=Hba_6,Input!AI$26&lt;&gt;""),Input!$B$26&amp;";",""),IF(AND($G40&lt;Hta_7,$G40&gt;=Hba_7,Input!AI$27&lt;&gt;""),Input!$B$27&amp;";",""),IF(AND($G40&lt;Hta_8,$G40&gt;=Hba_8,Input!AI$28&lt;&gt;""),Input!$B$28&amp;";",""),IF(AND($G40&lt;Hta_9,$G40&gt;=Hba_9,Input!AI$29&lt;&gt;""),Input!$B$29&amp;";",""),IF(AND($G40&lt;Hta_10,$G40&gt;=Hba_10,Input!AI$30&lt;&gt;""),Input!$B$30&amp;";",""),IF(AND($G40&lt;Hta_11,$G40&gt;=Hba_11,Input!AI$31&lt;&gt;""),Input!$B$31&amp;";",""),IF(AND($G40&lt;Hta_12,$G40&gt;=Hba_12,Input!AI$32&lt;&gt;""),Input!$B$32&amp;";",""),IF(AND($G40&lt;Hta_13,$G40&gt;=Hba_13,Input!AI$33&lt;&gt;""),Input!$B$33&amp;";",""),IF(AND($G40&lt;Hta_14,$G40&gt;=Hba_14,Input!AI$34&lt;&gt;""),Input!$B$34&amp;";",""),IF(AND($G40&lt;Hta_15,$G40&gt;=Hba_15,Input!AI$35&lt;&gt;""),Input!$B$35&amp;";",""),IF(AND($G40&lt;Hta_16,$G40&gt;=Hba_16,Input!AI$36&lt;&gt;""),Input!$B$36&amp;";",""),IF(AND($G40&lt;Hta_17,$G40&gt;=Hba_17,Input!AI$37&lt;&gt;""),Input!$B$37&amp;";",""),IF(AND($G40&lt;Hta_18,$G40&gt;=Hba_18,Input!AI$38&lt;&gt;""),Input!$B$38&amp;";",""),IF(AND($G40&lt;Hta_19,$G40&gt;=Hba_19,Input!AI$39&lt;&gt;""),Input!$B$39&amp;";",""),IF(AND($G40&lt;Hta_20,$G40&gt;=Hba_20,Input!AI$40&lt;&gt;""),Input!$B$40&amp;";",""),IF(AND($G40&lt;Hta_21,$G40&gt;=Hba_21,Input!AI$41&lt;&gt;""),Input!$B$41&amp;";",""),IF(AND($G40&lt;Hta_22,$G40&gt;=Hba_22,Input!AI$42&lt;&gt;""),Input!$B$42&amp;";",""),IF(AND($G40&lt;Hta_23,$G40&gt;=Hba_23,Input!AI$43&lt;&gt;""),Input!$B$43&amp;";",""),IF(AND($G40&lt;Hta_24,$G40&gt;=Hba_24,Input!AI$44&lt;&gt;""),Input!$B$44&amp;";",""),IF(AND($G40&lt;Hta_25,$G40&gt;=Hba_25,Input!AI$45&lt;&gt;""),Input!$B$45&amp;";",""),IF(AND($G40&lt;Hta_26,$G40&gt;=Hba_26,Input!AI$46&lt;&gt;""),Input!$B$46&amp;";",""),IF(AND($G40&lt;Hta_27,$G40&gt;=Hba_27,Input!AI$47&lt;&gt;""),Input!$B$47&amp;";",""),IF(AND($G40&lt;Hta_28,$G40&gt;=Hba_28,Input!AI$48&lt;&gt;""),Input!$B$48&amp;";",""),IF(AND($G40&lt;Hta_29,$G40&gt;=Hba_29,Input!AI$49&lt;&gt;""),Input!$B$49&amp;";",""),IF(AND($G40&lt;Hta_30,$G40&gt;=Hba_30,Input!AI$50&lt;&gt;""),Input!$B$50&amp;";","")),"")</f>
        <v/>
      </c>
      <c r="CK40" s="25" t="str">
        <f>IFERROR(CONCATENATE(IF(AND($G40&lt;Hta_1,$G40&gt;=Hba_1,Input!AJ$21&lt;&gt;""),Input!$B$21&amp;";",""),IF(AND($G40&lt;Hta_2,$G40&gt;=Hba_2,Input!AJ$22&lt;&gt;""),Input!$B$22&amp;";",""),IF(AND($G40&lt;Hta_3,$G40&gt;=Hba_3,Input!AJ$23&lt;&gt;""),Input!$B$23&amp;";",""),IF(AND($G40&lt;Hta_4,$G40&gt;=Hba_4,Input!AJ$24&lt;&gt;""),Input!$B$24&amp;";",""),IF(AND($G40&lt;Hta_5,$G40&gt;=Hba_5,Input!AJ$25&lt;&gt;""),Input!$B$25&amp;";",""),IF(AND($G40&lt;Hta_6,$G40&gt;=Hba_6,Input!AJ$26&lt;&gt;""),Input!$B$26&amp;";",""),IF(AND($G40&lt;Hta_7,$G40&gt;=Hba_7,Input!AJ$27&lt;&gt;""),Input!$B$27&amp;";",""),IF(AND($G40&lt;Hta_8,$G40&gt;=Hba_8,Input!AJ$28&lt;&gt;""),Input!$B$28&amp;";",""),IF(AND($G40&lt;Hta_9,$G40&gt;=Hba_9,Input!AJ$29&lt;&gt;""),Input!$B$29&amp;";",""),IF(AND($G40&lt;Hta_10,$G40&gt;=Hba_10,Input!AJ$30&lt;&gt;""),Input!$B$30&amp;";",""),IF(AND($G40&lt;Hta_11,$G40&gt;=Hba_11,Input!AJ$31&lt;&gt;""),Input!$B$31&amp;";",""),IF(AND($G40&lt;Hta_12,$G40&gt;=Hba_12,Input!AJ$32&lt;&gt;""),Input!$B$32&amp;";",""),IF(AND($G40&lt;Hta_13,$G40&gt;=Hba_13,Input!AJ$33&lt;&gt;""),Input!$B$33&amp;";",""),IF(AND($G40&lt;Hta_14,$G40&gt;=Hba_14,Input!AJ$34&lt;&gt;""),Input!$B$34&amp;";",""),IF(AND($G40&lt;Hta_15,$G40&gt;=Hba_15,Input!AJ$35&lt;&gt;""),Input!$B$35&amp;";",""),IF(AND($G40&lt;Hta_16,$G40&gt;=Hba_16,Input!AJ$36&lt;&gt;""),Input!$B$36&amp;";",""),IF(AND($G40&lt;Hta_17,$G40&gt;=Hba_17,Input!AJ$37&lt;&gt;""),Input!$B$37&amp;";",""),IF(AND($G40&lt;Hta_18,$G40&gt;=Hba_18,Input!AJ$38&lt;&gt;""),Input!$B$38&amp;";",""),IF(AND($G40&lt;Hta_19,$G40&gt;=Hba_19,Input!AJ$39&lt;&gt;""),Input!$B$39&amp;";",""),IF(AND($G40&lt;Hta_20,$G40&gt;=Hba_20,Input!AJ$40&lt;&gt;""),Input!$B$40&amp;";",""),IF(AND($G40&lt;Hta_21,$G40&gt;=Hba_21,Input!AJ$41&lt;&gt;""),Input!$B$41&amp;";",""),IF(AND($G40&lt;Hta_22,$G40&gt;=Hba_22,Input!AJ$42&lt;&gt;""),Input!$B$42&amp;";",""),IF(AND($G40&lt;Hta_23,$G40&gt;=Hba_23,Input!AJ$43&lt;&gt;""),Input!$B$43&amp;";",""),IF(AND($G40&lt;Hta_24,$G40&gt;=Hba_24,Input!AJ$44&lt;&gt;""),Input!$B$44&amp;";",""),IF(AND($G40&lt;Hta_25,$G40&gt;=Hba_25,Input!AJ$45&lt;&gt;""),Input!$B$45&amp;";",""),IF(AND($G40&lt;Hta_26,$G40&gt;=Hba_26,Input!AJ$46&lt;&gt;""),Input!$B$46&amp;";",""),IF(AND($G40&lt;Hta_27,$G40&gt;=Hba_27,Input!AJ$47&lt;&gt;""),Input!$B$47&amp;";",""),IF(AND($G40&lt;Hta_28,$G40&gt;=Hba_28,Input!AJ$48&lt;&gt;""),Input!$B$48&amp;";",""),IF(AND($G40&lt;Hta_29,$G40&gt;=Hba_29,Input!AJ$49&lt;&gt;""),Input!$B$49&amp;";",""),IF(AND($G40&lt;Hta_30,$G40&gt;=Hba_30,Input!AJ$50&lt;&gt;""),Input!$B$50&amp;";","")),"")</f>
        <v/>
      </c>
      <c r="CL40" s="25" t="str">
        <f>IFERROR(CONCATENATE(IF(AND($G40&lt;Hta_1,$G40&gt;=Hba_1,Input!AK$21&lt;&gt;""),Input!$B$21&amp;";",""),IF(AND($G40&lt;Hta_2,$G40&gt;=Hba_2,Input!AK$22&lt;&gt;""),Input!$B$22&amp;";",""),IF(AND($G40&lt;Hta_3,$G40&gt;=Hba_3,Input!AK$23&lt;&gt;""),Input!$B$23&amp;";",""),IF(AND($G40&lt;Hta_4,$G40&gt;=Hba_4,Input!AK$24&lt;&gt;""),Input!$B$24&amp;";",""),IF(AND($G40&lt;Hta_5,$G40&gt;=Hba_5,Input!AK$25&lt;&gt;""),Input!$B$25&amp;";",""),IF(AND($G40&lt;Hta_6,$G40&gt;=Hba_6,Input!AK$26&lt;&gt;""),Input!$B$26&amp;";",""),IF(AND($G40&lt;Hta_7,$G40&gt;=Hba_7,Input!AK$27&lt;&gt;""),Input!$B$27&amp;";",""),IF(AND($G40&lt;Hta_8,$G40&gt;=Hba_8,Input!AK$28&lt;&gt;""),Input!$B$28&amp;";",""),IF(AND($G40&lt;Hta_9,$G40&gt;=Hba_9,Input!AK$29&lt;&gt;""),Input!$B$29&amp;";",""),IF(AND($G40&lt;Hta_10,$G40&gt;=Hba_10,Input!AK$30&lt;&gt;""),Input!$B$30&amp;";",""),IF(AND($G40&lt;Hta_11,$G40&gt;=Hba_11,Input!AK$31&lt;&gt;""),Input!$B$31&amp;";",""),IF(AND($G40&lt;Hta_12,$G40&gt;=Hba_12,Input!AK$32&lt;&gt;""),Input!$B$32&amp;";",""),IF(AND($G40&lt;Hta_13,$G40&gt;=Hba_13,Input!AK$33&lt;&gt;""),Input!$B$33&amp;";",""),IF(AND($G40&lt;Hta_14,$G40&gt;=Hba_14,Input!AK$34&lt;&gt;""),Input!$B$34&amp;";",""),IF(AND($G40&lt;Hta_15,$G40&gt;=Hba_15,Input!AK$35&lt;&gt;""),Input!$B$35&amp;";",""),IF(AND($G40&lt;Hta_16,$G40&gt;=Hba_16,Input!AK$36&lt;&gt;""),Input!$B$36&amp;";",""),IF(AND($G40&lt;Hta_17,$G40&gt;=Hba_17,Input!AK$37&lt;&gt;""),Input!$B$37&amp;";",""),IF(AND($G40&lt;Hta_18,$G40&gt;=Hba_18,Input!AK$38&lt;&gt;""),Input!$B$38&amp;";",""),IF(AND($G40&lt;Hta_19,$G40&gt;=Hba_19,Input!AK$39&lt;&gt;""),Input!$B$39&amp;";",""),IF(AND($G40&lt;Hta_20,$G40&gt;=Hba_20,Input!AK$40&lt;&gt;""),Input!$B$40&amp;";",""),IF(AND($G40&lt;Hta_21,$G40&gt;=Hba_21,Input!AK$41&lt;&gt;""),Input!$B$41&amp;";",""),IF(AND($G40&lt;Hta_22,$G40&gt;=Hba_22,Input!AK$42&lt;&gt;""),Input!$B$42&amp;";",""),IF(AND($G40&lt;Hta_23,$G40&gt;=Hba_23,Input!AK$43&lt;&gt;""),Input!$B$43&amp;";",""),IF(AND($G40&lt;Hta_24,$G40&gt;=Hba_24,Input!AK$44&lt;&gt;""),Input!$B$44&amp;";",""),IF(AND($G40&lt;Hta_25,$G40&gt;=Hba_25,Input!AK$45&lt;&gt;""),Input!$B$45&amp;";",""),IF(AND($G40&lt;Hta_26,$G40&gt;=Hba_26,Input!AK$46&lt;&gt;""),Input!$B$46&amp;";",""),IF(AND($G40&lt;Hta_27,$G40&gt;=Hba_27,Input!AK$47&lt;&gt;""),Input!$B$47&amp;";",""),IF(AND($G40&lt;Hta_28,$G40&gt;=Hba_28,Input!AK$48&lt;&gt;""),Input!$B$48&amp;";",""),IF(AND($G40&lt;Hta_29,$G40&gt;=Hba_29,Input!AK$49&lt;&gt;""),Input!$B$49&amp;";",""),IF(AND($G40&lt;Hta_30,$G40&gt;=Hba_30,Input!AK$50&lt;&gt;""),Input!$B$50&amp;";","")),"")</f>
        <v/>
      </c>
      <c r="CM40" s="25" t="str">
        <f>IFERROR(CONCATENATE(IF(AND($G40&lt;Hta_1,$G40&gt;=Hba_1,Input!AL$21&lt;&gt;""),Input!$B$21&amp;";",""),IF(AND($G40&lt;Hta_2,$G40&gt;=Hba_2,Input!AL$22&lt;&gt;""),Input!$B$22&amp;";",""),IF(AND($G40&lt;Hta_3,$G40&gt;=Hba_3,Input!AL$23&lt;&gt;""),Input!$B$23&amp;";",""),IF(AND($G40&lt;Hta_4,$G40&gt;=Hba_4,Input!AL$24&lt;&gt;""),Input!$B$24&amp;";",""),IF(AND($G40&lt;Hta_5,$G40&gt;=Hba_5,Input!AL$25&lt;&gt;""),Input!$B$25&amp;";",""),IF(AND($G40&lt;Hta_6,$G40&gt;=Hba_6,Input!AL$26&lt;&gt;""),Input!$B$26&amp;";",""),IF(AND($G40&lt;Hta_7,$G40&gt;=Hba_7,Input!AL$27&lt;&gt;""),Input!$B$27&amp;";",""),IF(AND($G40&lt;Hta_8,$G40&gt;=Hba_8,Input!AL$28&lt;&gt;""),Input!$B$28&amp;";",""),IF(AND($G40&lt;Hta_9,$G40&gt;=Hba_9,Input!AL$29&lt;&gt;""),Input!$B$29&amp;";",""),IF(AND($G40&lt;Hta_10,$G40&gt;=Hba_10,Input!AL$30&lt;&gt;""),Input!$B$30&amp;";",""),IF(AND($G40&lt;Hta_11,$G40&gt;=Hba_11,Input!AL$31&lt;&gt;""),Input!$B$31&amp;";",""),IF(AND($G40&lt;Hta_12,$G40&gt;=Hba_12,Input!AL$32&lt;&gt;""),Input!$B$32&amp;";",""),IF(AND($G40&lt;Hta_13,$G40&gt;=Hba_13,Input!AL$33&lt;&gt;""),Input!$B$33&amp;";",""),IF(AND($G40&lt;Hta_14,$G40&gt;=Hba_14,Input!AL$34&lt;&gt;""),Input!$B$34&amp;";",""),IF(AND($G40&lt;Hta_15,$G40&gt;=Hba_15,Input!AL$35&lt;&gt;""),Input!$B$35&amp;";",""),IF(AND($G40&lt;Hta_16,$G40&gt;=Hba_16,Input!AL$36&lt;&gt;""),Input!$B$36&amp;";",""),IF(AND($G40&lt;Hta_17,$G40&gt;=Hba_17,Input!AL$37&lt;&gt;""),Input!$B$37&amp;";",""),IF(AND($G40&lt;Hta_18,$G40&gt;=Hba_18,Input!AL$38&lt;&gt;""),Input!$B$38&amp;";",""),IF(AND($G40&lt;Hta_19,$G40&gt;=Hba_19,Input!AL$39&lt;&gt;""),Input!$B$39&amp;";",""),IF(AND($G40&lt;Hta_20,$G40&gt;=Hba_20,Input!AL$40&lt;&gt;""),Input!$B$40&amp;";",""),IF(AND($G40&lt;Hta_21,$G40&gt;=Hba_21,Input!AL$41&lt;&gt;""),Input!$B$41&amp;";",""),IF(AND($G40&lt;Hta_22,$G40&gt;=Hba_22,Input!AL$42&lt;&gt;""),Input!$B$42&amp;";",""),IF(AND($G40&lt;Hta_23,$G40&gt;=Hba_23,Input!AL$43&lt;&gt;""),Input!$B$43&amp;";",""),IF(AND($G40&lt;Hta_24,$G40&gt;=Hba_24,Input!AL$44&lt;&gt;""),Input!$B$44&amp;";",""),IF(AND($G40&lt;Hta_25,$G40&gt;=Hba_25,Input!AL$45&lt;&gt;""),Input!$B$45&amp;";",""),IF(AND($G40&lt;Hta_26,$G40&gt;=Hba_26,Input!AL$46&lt;&gt;""),Input!$B$46&amp;";",""),IF(AND($G40&lt;Hta_27,$G40&gt;=Hba_27,Input!AL$47&lt;&gt;""),Input!$B$47&amp;";",""),IF(AND($G40&lt;Hta_28,$G40&gt;=Hba_28,Input!AL$48&lt;&gt;""),Input!$B$48&amp;";",""),IF(AND($G40&lt;Hta_29,$G40&gt;=Hba_29,Input!AL$49&lt;&gt;""),Input!$B$49&amp;";",""),IF(AND($G40&lt;Hta_30,$G40&gt;=Hba_30,Input!AL$50&lt;&gt;""),Input!$B$50&amp;";","")),"")</f>
        <v/>
      </c>
      <c r="CN40" s="59" t="str">
        <f t="shared" si="6"/>
        <v/>
      </c>
      <c r="CO40" s="791"/>
      <c r="CP40" s="792"/>
      <c r="CQ40" s="793"/>
      <c r="CR40" s="791"/>
      <c r="CS40" s="792"/>
      <c r="CT40" s="793"/>
      <c r="CU40" s="791" t="str">
        <f t="shared" si="7"/>
        <v/>
      </c>
      <c r="CV40" s="792"/>
      <c r="CW40" s="807"/>
      <c r="CX40" s="808"/>
      <c r="CY40" s="730"/>
      <c r="CZ40" s="809"/>
      <c r="DA40" s="733"/>
      <c r="DB40" s="734"/>
      <c r="DC40" s="735"/>
      <c r="DD40" s="729" t="str">
        <f t="shared" si="8"/>
        <v/>
      </c>
      <c r="DE40" s="730"/>
      <c r="DF40" s="731"/>
      <c r="DG40" s="55"/>
      <c r="DH40" s="56"/>
      <c r="DI40" s="56"/>
      <c r="DJ40" s="56"/>
      <c r="DK40" s="56"/>
      <c r="DL40" s="56"/>
      <c r="DM40" s="56"/>
      <c r="DN40" s="56"/>
      <c r="DO40" s="56"/>
      <c r="DP40" s="56"/>
      <c r="DQ40" s="58"/>
      <c r="DR40" s="58"/>
      <c r="DS40" s="58"/>
      <c r="DT40" s="58"/>
      <c r="DU40" s="58"/>
      <c r="DV40" s="58"/>
      <c r="DW40" s="58"/>
      <c r="DX40" s="58"/>
      <c r="DY40" s="58"/>
      <c r="DZ40" s="58"/>
      <c r="EA40" s="58"/>
      <c r="EB40" s="58"/>
      <c r="EC40" s="58"/>
      <c r="ED40" s="58"/>
      <c r="EE40" s="58"/>
      <c r="EF40" s="58"/>
      <c r="EG40" s="58"/>
      <c r="EH40" s="58"/>
      <c r="EI40" s="58"/>
      <c r="EJ40" s="58"/>
      <c r="EK40" s="58"/>
      <c r="EL40" s="134"/>
      <c r="EM40" s="134"/>
      <c r="EN40" s="134"/>
      <c r="EO40" s="134"/>
      <c r="EP40" s="134"/>
      <c r="EQ40" s="134"/>
      <c r="ER40" s="134"/>
      <c r="ES40" s="134"/>
      <c r="ET40" s="134"/>
      <c r="EU40" s="134"/>
      <c r="EV40" s="134"/>
      <c r="EW40" s="134"/>
      <c r="EX40" s="134"/>
      <c r="EY40" s="134"/>
      <c r="EZ40" s="134"/>
      <c r="FA40" s="134"/>
      <c r="FB40" s="134"/>
      <c r="FC40" s="134"/>
      <c r="FD40" s="134"/>
      <c r="FE40" s="134"/>
      <c r="FF40" s="134"/>
      <c r="FG40" s="134"/>
      <c r="FH40" s="134"/>
      <c r="FI40" s="134"/>
      <c r="FJ40" s="134"/>
      <c r="FK40" s="134"/>
      <c r="FL40" s="134"/>
      <c r="FM40" s="134"/>
      <c r="FN40" s="134"/>
      <c r="FO40" s="134"/>
      <c r="FP40" s="65"/>
      <c r="FQ40" s="124"/>
      <c r="FR40" s="122"/>
      <c r="FS40" s="120"/>
      <c r="FT40" s="119"/>
    </row>
    <row r="41" spans="2:176" ht="15.75" hidden="1" customHeight="1" thickBot="1" x14ac:dyDescent="0.3">
      <c r="B41" s="62" t="b">
        <f>IF(OR(AND(G41&gt;='Geometry 2'!$AK$5,G41&lt;'Geometry 2'!$AL$5),AND(G41&gt;='Geometry 2'!$AK$6,G41&lt;'Geometry 2'!$AL$6),AND(G41&gt;='Geometry 2'!$AK$7,G41&lt;'Geometry 2'!$AL$7),AND(G41&gt;='Geometry 2'!$AK$8,G41&lt;'Geometry 2'!$AL$8),AND(G41&gt;='Geometry 2'!$AK$9,G41&lt;'Geometry 2'!$AL$9),AND(G41&gt;='Geometry 2'!$AK$10,G41&lt;'Geometry 2'!$AL$10),AND(G41&gt;='Geometry 2'!$AK$11,G41&lt;'Geometry 2'!$AL$11),AND(G41&gt;='Geometry 2'!$AK$12,G41&lt;'Geometry 2'!$AL$12),AND(G41&gt;='Geometry 2'!$AK$13,G41&lt;'Geometry 2'!$AL$13),AND(G41&gt;='Geometry 2'!$AK$14,G41&lt;'Geometry 2'!$AL$14)),TRUE,FALSE)</f>
        <v>0</v>
      </c>
      <c r="C41" s="4" t="str">
        <f t="shared" si="3"/>
        <v/>
      </c>
      <c r="D41" s="766" t="str">
        <f t="shared" si="4"/>
        <v/>
      </c>
      <c r="E41" s="767"/>
      <c r="F41" s="17" t="str">
        <f t="shared" si="2"/>
        <v/>
      </c>
      <c r="G41" s="768" t="str">
        <f>IF(D41="","",MAX(0,G40-IF(inc="n/a",999,inc),MAX(IF(G40&lt;=Hta_1,0,Hta_1),IF(G40&lt;=Hta_2,0,Hta_2),IF(G40&lt;=Hta_3,0,Hta_3),IF(G40&lt;=Hta_4,0,Hta_4),IF(G40&lt;=Hta_5,0,Hta_5),IF(G40&lt;=Hta_6,0,Hta_6),IF(G40&lt;=Hta_7,0,Hta_7),IF(G40&lt;=Hta_8,0,Hta_8),IF(G40&lt;=Hta_9,0,Hta_9),IF(G40&lt;=Hta_10,0,Hta_10),IF(G40&lt;=Hta_11,0,Hta_11),IF(G40&lt;=Hta_12,0,Hta_12),IF(G40&lt;=Hta_13,0,Hta_13),IF(G40&lt;=Hta_14,0,Hta_14),IF(G40&lt;=Hta_15,0,Hta_15),IF(G40&lt;=Hta_16,0,Hta_16),IF(G40&lt;=Hta_17,0,Hta_17),IF(G40&lt;=Hta_18,0,Hta_18),IF(G40&lt;=Hta_19,0,Hta_19),IF(G40&lt;=Hta_20,0,Hta_20),IF(G40&lt;=Hta_21,0,Hta_21),IF(G40&lt;=Hta_22,0,Hta_22),IF(G40&lt;=Hta_23,0,Hta_23),IF(G40&lt;=Hta_24,0,Hta_24),IF(G40&lt;=Hta_25,0,Hta_25),IF(G40&lt;=Hta_26,0,Hta_26),IF(G40&lt;=Hta_27,0,Hta_27),IF(G40&lt;=Hta_28,0,Hta_28),IF(G40&lt;=Hta_29,0,Hta_29),IF(G40&lt;=Hta_30,0,Hta_30)),MAX(IF(G40&lt;=Hta_1-0.25,0,Hta_1-0.25),IF(G40&lt;=Hta_2-0.25,0,Hta_2-0.25),IF(G40&lt;=Hta_3-0.25,0,Hta_3-0.25),IF(G40&lt;=Hta_4-0.25,0,Hta_4-0.25),IF(G40&lt;=Hta_5-0.25,0,Hta_5-0.25),IF(G40&lt;=Hta_6-0.25,0,Hta_6-0.25),IF(G40&lt;=Hta_7-0.25,0,Hta_7-0.25),IF(G40&lt;=Hta_8-0.25,0,Hta_8-0.25),IF(G40&lt;=Hta_9-0.25,0,Hta_9-0.25),IF(G40&lt;=Hta_10-0.25,0,Hta_10-0.25),IF(G40&lt;=Hta_11-0.25,0,Hta_11-0.25),IF(G40&lt;=Hta_12-0.25,0,Hta_12-0.25),IF(G40&lt;=Hta_13-0.25,0,Hta_13-0.25),IF(G40&lt;=Hta_14-0.25,0,Hta_14-0.25),IF(G40&lt;=Hta_15-0.25,0,Hta_15-0.25),IF(G40&lt;=Hta_16-0.25,0,Hta_16-0.25),IF(G40&lt;=Hta_17-0.25,0,Hta_17-0.25),IF(G40&lt;=Hta_18-0.25,0,Hta_18-0.25),IF(G40&lt;=Hta_19-0.25,0,Hta_19-0.25),IF(G40&lt;=Hta_20-0.25,0,Hta_20-0.25),IF(G40&lt;=Hta_21-0.25,0,Hta_21-0.25),IF(G40&lt;=Hta_22-0.25,0,Hta_22-0.25),IF(G40&lt;=Hta_23-0.25,0,Hta_23-0.25),IF(G40&lt;=Hta_24-0.25,0,Hta_24-0.25),IF(G40&lt;=Hta_25-0.25,0,Hta_25-0.25),IF(G40&lt;=Hta_26-0.25,0,Hta_26-0.25),IF(G40&lt;=Hta_27-0.25,0,Hta_27-0.25),IF(G40&lt;=Hta_28-0.25,0,Hta_28-0.25),IF(G40&lt;=Hta_29-0.25,0,Hta_29-0.25),IF(G40&lt;=Hta_30-0.25,0,Hta_30-0.25)),MAX(IF(G40&lt;=Hba_1,0,Hba_1),IF(G40&lt;=Hba_2,0,Hba_2),IF(G40&lt;=Hba_3,0,Hba_3),IF(G40&lt;=Hba_4,0,Hba_4),IF(G40&lt;=Hba_5,0,Hba_5),IF(G40&lt;=Hba_6,0,Hba_6),IF(G40&lt;=Hba_7,0,Hba_7),IF(G40&lt;=Hba_8,0,Hba_8),IF(G40&lt;=Hba_9,0,Hba_9),IF(G40&lt;=Hba_10,0,Hba_10),IF(G40&lt;=Hba_11,0,Hba_11),IF(G40&lt;=Hba_12,0,Hba_12),IF(G40&lt;=Hba_13,0,Hba_13),IF(G40&lt;=Hba_14,0,Hba_14),IF(G40&lt;=Hba_15,0,Hba_15),IF(G40&lt;=Hba_16,0,Hba_16),IF(G40&lt;=Hba_17,0,Hba_17),IF(G40&lt;=Hba_18,0,Hba_18),IF(G40&lt;=Hba_19,0,Hba_19),IF(G40&lt;=Hba_20,0,Hba_20),IF(G40&lt;=Hba_21,0,Hba_21),IF(G40&lt;=Hba_22,0,Hba_22),IF(G40&lt;=Hba_23,0,Hba_23),IF(G40&lt;=Hba_24,0,Hba_24),IF(G40&lt;=Hba_25,0,Hba_25),IF(G40&lt;=Hba_26,0,Hba_26),IF(G40&lt;=Hba_27,0,Hba_27),IF(G40&lt;=Hba_28,0,Hba_28),IF(G40&lt;=Hba_29,0,Hba_29),IF(G40&lt;=Hba_30,0,Hba_30)),MAX(IF(G40&lt;=Input!$C$8,0,Input!$C$8),IF(G40&lt;=Input!$C$9,0,Input!$C$9),IF(G40&lt;=Input!$C$10,0,Input!$C$10),IF(G40&lt;=Input!$C$11,0,Input!$C$11),IF(G40&lt;=Input!$C$12,0,Input!$C$12),IF(G40&lt;=Input!$C$13,0,Input!$C$13),IF(G40&lt;=Input!$C$14,0,Input!$C$14),IF(G40&lt;=Input!$C$15,0,Input!$C$15),IF(G40&lt;=Input!$C$16,0,Input!$C$16)),MAX(IF(G40&lt;=Hba_1-0.25,0,Hba_1-0.25),IF(G40&lt;=Hba_2-0.25,0,Hba_2-0.25),IF(G40&lt;=Hba_3-0.25,0,Hba_3-0.25),IF(G40&lt;=Hba_4-0.25,0,Hba_4-0.25),IF(G40&lt;=Hba_5-0.25,0,Hba_5-0.25),IF(G40&lt;=Hba_6-0.25,0,Hba_6-0.25),IF(G40&lt;=Hba_7-0.25,0,Hba_7-0.25),IF(G40&lt;=Hba_8-0.25,0,Hba_8-0.25),IF(G40&lt;=Hba_9-0.25,0,Hba_9-0.25),IF(G40&lt;=Hba_10-0.25,0,Hba_10-0.25),IF(G40&lt;=Hba_11-0.25,0,Hba_11-0.25),IF(G40&lt;=Hba_12-0.25,0,Hba_12-0.25),IF(G40&lt;=Hba_13-0.25,0,Hba_13-0.25),IF(G40&lt;=Hba_14-0.25,0,Hba_14-0.25),IF(G40&lt;=Hba_15-0.25,0,Hba_15-0.25),IF(G40&lt;=Hba_16-0.25,0,Hba_16-0.25),IF(G40&lt;=Hba_17-0.25,0,Hba_17-0.25),IF(G40&lt;=Hba_18-0.25,0,Hba_18-0.25),IF(G40&lt;=Hba_19-0.25,0,Hba_19-0.25),IF(G40&lt;=Hba_20-0.25,0,Hba_20-0.25),IF(G40&lt;=Hba_21-0.25,0,Hba_21-0.25),IF(G40&lt;=Hba_22-0.25,0,Hba_22-0.25),IF(G40&lt;=Hba_23-0.25,0,Hba_23-0.25),IF(G40&lt;=Hba_24-0.25,0,Hba_24-0.25),IF(G40&lt;=Hba_25-0.25,0,Hba_25-0.25),IF(G40&lt;=Hba_26-0.25,0,Hba_26-0.25),IF(G40&lt;=Hba_27-0.25,0,Hba_27-0.25),IF(G40&lt;=Hba_28-0.25,0,Hba_28-0.25),IF(G40&lt;=Hba_29-0.25,0,Hba_29-0.25),IF(G40&lt;=Hba_30-0.25,0,Hba_30-0.25)),IF(G40&lt;='Macro References'!$A$38,0,'Macro References'!$A$38)))</f>
        <v/>
      </c>
      <c r="H41" s="769"/>
      <c r="I41" s="228"/>
      <c r="J41" s="228"/>
      <c r="K41" s="228"/>
      <c r="L41" s="717" t="str">
        <f t="shared" si="10"/>
        <v/>
      </c>
      <c r="M41" s="717"/>
      <c r="N41" s="717"/>
      <c r="O41" s="717"/>
      <c r="P41" s="717" t="str">
        <f>IF(OR(G41=0,G41=""),"",IF(VLOOKUP(G41,'Geometry 2'!$C$4:$AI$14,1,TRUE)=VLOOKUP(G42,'Geometry 2'!$C$4:$AI$14,1,TRUE),"",IF(VLOOKUP(G41,'Geometry 2'!$C$4:$AI$14,33,TRUE)&lt;&gt;"n/a",MIN(G41,VLOOKUP(G41,'Geometry 2'!$C$4:$AI$14,1,TRUE))-VLOOKUP(G41,'Geometry 2'!$C$4:$AI$14,33,TRUE),"check")))</f>
        <v/>
      </c>
      <c r="Q41" s="717"/>
      <c r="R41" s="717"/>
      <c r="S41" s="717"/>
      <c r="T41" s="717" t="str">
        <f>IF($G41="","",VLOOKUP($G41,'Geometry 2'!$E$4:$AH$14,11,TRUE))</f>
        <v/>
      </c>
      <c r="U41" s="717"/>
      <c r="V41" s="717"/>
      <c r="W41" s="717"/>
      <c r="X41" s="716" t="str">
        <f>IF($G41="","",VLOOKUP($G41,'Geometry 2'!$E$4:$AJ$14,19,TRUE)-12*VLOOKUP($G41,'Geometry 2'!$E$4:$AJ$14,32,TRUE)*($D41-VLOOKUP($G41,'Geometry 2'!$E$5:$AH$14,1,TRUE)))</f>
        <v/>
      </c>
      <c r="Y41" s="716"/>
      <c r="Z41" s="716"/>
      <c r="AA41" s="716"/>
      <c r="AB41" s="757" t="str">
        <f>IF($G41="","",VLOOKUP($G41,'Geometry 2'!$E$4:$AJ$14,19,TRUE)-12*VLOOKUP($G41,'Geometry 2'!$E$4:$AJ$14,32,TRUE)*($G41-VLOOKUP($G41,'Geometry 2'!$E$5:$AH$14,1,TRUE)))</f>
        <v/>
      </c>
      <c r="AC41" s="758"/>
      <c r="AD41" s="758"/>
      <c r="AE41" s="759"/>
      <c r="AF41" s="716" t="str">
        <f>IF($G41="","",VLOOKUP($G41,'Geometry 2'!$E$4:$AJ$14,19,TRUE)-12*VLOOKUP($G41,'Geometry 2'!$E$4:$AJ$14,32,TRUE)*($G41-IF($P41="",0,$P41)-VLOOKUP($G41,'Geometry 2'!$E$5:$AH$14,1,TRUE)))</f>
        <v/>
      </c>
      <c r="AG41" s="716"/>
      <c r="AH41" s="716"/>
      <c r="AI41" s="716"/>
      <c r="AJ41" s="746" t="str">
        <f>IF($G41="","",VLOOKUP($G41,'Geometry 2'!$E$4:$AH$14,23,TRUE))</f>
        <v/>
      </c>
      <c r="AK41" s="747"/>
      <c r="AL41" s="747"/>
      <c r="AM41" s="748"/>
      <c r="AN41" s="717"/>
      <c r="AO41" s="717"/>
      <c r="AP41" s="717"/>
      <c r="AQ41" s="717"/>
      <c r="AR41" s="717" t="str">
        <f>IF($G41="","",VLOOKUP($G41,'Geometry 2'!$E$4:$AH$14,27,TRUE))</f>
        <v/>
      </c>
      <c r="AS41" s="717"/>
      <c r="AT41" s="717"/>
      <c r="AU41" s="718"/>
      <c r="AV41" s="715"/>
      <c r="AW41" s="716"/>
      <c r="AX41" s="716"/>
      <c r="AZ41" s="722" t="str">
        <f t="shared" si="5"/>
        <v/>
      </c>
      <c r="BA41" s="723"/>
      <c r="BB41" s="723"/>
      <c r="BC41" s="724"/>
      <c r="BD41" s="722"/>
      <c r="BE41" s="723"/>
      <c r="BF41" s="723"/>
      <c r="BG41" s="722" t="str">
        <f t="shared" si="9"/>
        <v/>
      </c>
      <c r="BH41" s="723"/>
      <c r="BI41" s="723"/>
      <c r="BJ41" s="723"/>
      <c r="BK41" s="724"/>
      <c r="BL41" s="722"/>
      <c r="BM41" s="723"/>
      <c r="BN41" s="723"/>
      <c r="BO41" s="723"/>
      <c r="BP41" s="725"/>
      <c r="BQ41" s="725"/>
      <c r="BR41" s="722" t="str">
        <f>IF(BP41="","",IF(OR(AND(Rev="H",Calculations!$F$27=TRUE),AND(Rev&lt;&gt;"H",Calculations!$F$30=TRUE)),IF(BP41&lt;=1,"Pass","Fail"),IF(BP41&lt;=1.05,"Pass","Fail")))</f>
        <v/>
      </c>
      <c r="BS41" s="723"/>
      <c r="BT41" s="724"/>
      <c r="BU41" s="49"/>
      <c r="BV41" s="25" t="str">
        <f>IFERROR(CONCATENATE(IF(AND($G41&lt;Hta_1,$G41&gt;=Hba_1,Input!U$21&lt;&gt;""),Input!$B$21&amp;";",""),IF(AND($G41&lt;Hta_2,$G41&gt;=Hba_2,Input!U$22&lt;&gt;""),Input!$B$22&amp;";",""),IF(AND($G41&lt;Hta_3,$G41&gt;=Hba_3,Input!U$23&lt;&gt;""),Input!$B$23&amp;";",""),IF(AND($G41&lt;Hta_4,$G41&gt;=Hba_4,Input!U$24&lt;&gt;""),Input!$B$24&amp;";",""),IF(AND($G41&lt;Hta_5,$G41&gt;=Hba_5,Input!U$25&lt;&gt;""),Input!$B$25&amp;";",""),IF(AND($G41&lt;Hta_6,$G41&gt;=Hba_6,Input!U$26&lt;&gt;""),Input!$B$26&amp;";",""),IF(AND($G41&lt;Hta_7,$G41&gt;=Hba_7,Input!U$27&lt;&gt;""),Input!$B$27&amp;";",""),IF(AND($G41&lt;Hta_8,$G41&gt;=Hba_8,Input!U$28&lt;&gt;""),Input!$B$28&amp;";",""),IF(AND($G41&lt;Hta_9,$G41&gt;=Hba_9,Input!U$29&lt;&gt;""),Input!$B$29&amp;";",""),IF(AND($G41&lt;Hta_10,$G41&gt;=Hba_10,Input!U$30&lt;&gt;""),Input!$B$30&amp;";",""),IF(AND($G41&lt;Hta_11,$G41&gt;=Hba_11,Input!U$31&lt;&gt;""),Input!$B$31&amp;";",""),IF(AND($G41&lt;Hta_12,$G41&gt;=Hba_12,Input!U$32&lt;&gt;""),Input!$B$32&amp;";",""),IF(AND($G41&lt;Hta_13,$G41&gt;=Hba_13,Input!U$33&lt;&gt;""),Input!$B$33&amp;";",""),IF(AND($G41&lt;Hta_14,$G41&gt;=Hba_14,Input!U$34&lt;&gt;""),Input!$B$34&amp;";",""),IF(AND($G41&lt;Hta_15,$G41&gt;=Hba_15,Input!U$35&lt;&gt;""),Input!$B$35&amp;";",""),IF(AND($G41&lt;Hta_16,$G41&gt;=Hba_16,Input!U$36&lt;&gt;""),Input!$B$36&amp;";",""),IF(AND($G41&lt;Hta_17,$G41&gt;=Hba_17,Input!U$37&lt;&gt;""),Input!$B$37&amp;";",""),IF(AND($G41&lt;Hta_18,$G41&gt;=Hba_18,Input!U$38&lt;&gt;""),Input!$B$38&amp;";",""),IF(AND($G41&lt;Hta_19,$G41&gt;=Hba_19,Input!U$39&lt;&gt;""),Input!$B$39&amp;";",""),IF(AND($G41&lt;Hta_20,$G41&gt;=Hba_20,Input!U$40&lt;&gt;""),Input!$B$40&amp;";",""),IF(AND($G41&lt;Hta_21,$G41&gt;=Hba_21,Input!U$41&lt;&gt;""),Input!$B$41&amp;";",""),IF(AND($G41&lt;Hta_22,$G41&gt;=Hba_22,Input!U$42&lt;&gt;""),Input!$B$42&amp;";",""),IF(AND($G41&lt;Hta_23,$G41&gt;=Hba_23,Input!U$43&lt;&gt;""),Input!$B$43&amp;";",""),IF(AND($G41&lt;Hta_24,$G41&gt;=Hba_24,Input!U$44&lt;&gt;""),Input!$B$44&amp;";",""),IF(AND($G41&lt;Hta_25,$G41&gt;=Hba_25,Input!U$45&lt;&gt;""),Input!$B$45&amp;";",""),IF(AND($G41&lt;Hta_26,$G41&gt;=Hba_26,Input!U$46&lt;&gt;""),Input!$B$46&amp;";",""),IF(AND($G41&lt;Hta_27,$G41&gt;=Hba_27,Input!U$47&lt;&gt;""),Input!$B$47&amp;";",""),IF(AND($G41&lt;Hta_28,$G41&gt;=Hba_28,Input!U$48&lt;&gt;""),Input!$B$48&amp;";",""),IF(AND($G41&lt;Hta_29,$G41&gt;=Hba_29,Input!U$49&lt;&gt;""),Input!$B$49&amp;";",""),IF(AND($G41&lt;Hta_30,$G41&gt;=Hba_30,Input!U$50&lt;&gt;""),Input!$B$50&amp;";","")),"")</f>
        <v/>
      </c>
      <c r="BW41" s="25" t="str">
        <f>IFERROR(CONCATENATE(IF(AND($G41&lt;Hta_1,$G41&gt;=Hba_1,Input!V$21&lt;&gt;""),Input!$B$21&amp;";",""),IF(AND($G41&lt;Hta_2,$G41&gt;=Hba_2,Input!V$22&lt;&gt;""),Input!$B$22&amp;";",""),IF(AND($G41&lt;Hta_3,$G41&gt;=Hba_3,Input!V$23&lt;&gt;""),Input!$B$23&amp;";",""),IF(AND($G41&lt;Hta_4,$G41&gt;=Hba_4,Input!V$24&lt;&gt;""),Input!$B$24&amp;";",""),IF(AND($G41&lt;Hta_5,$G41&gt;=Hba_5,Input!V$25&lt;&gt;""),Input!$B$25&amp;";",""),IF(AND($G41&lt;Hta_6,$G41&gt;=Hba_6,Input!V$26&lt;&gt;""),Input!$B$26&amp;";",""),IF(AND($G41&lt;Hta_7,$G41&gt;=Hba_7,Input!V$27&lt;&gt;""),Input!$B$27&amp;";",""),IF(AND($G41&lt;Hta_8,$G41&gt;=Hba_8,Input!V$28&lt;&gt;""),Input!$B$28&amp;";",""),IF(AND($G41&lt;Hta_9,$G41&gt;=Hba_9,Input!V$29&lt;&gt;""),Input!$B$29&amp;";",""),IF(AND($G41&lt;Hta_10,$G41&gt;=Hba_10,Input!V$30&lt;&gt;""),Input!$B$30&amp;";",""),IF(AND($G41&lt;Hta_11,$G41&gt;=Hba_11,Input!V$31&lt;&gt;""),Input!$B$31&amp;";",""),IF(AND($G41&lt;Hta_12,$G41&gt;=Hba_12,Input!V$32&lt;&gt;""),Input!$B$32&amp;";",""),IF(AND($G41&lt;Hta_13,$G41&gt;=Hba_13,Input!V$33&lt;&gt;""),Input!$B$33&amp;";",""),IF(AND($G41&lt;Hta_14,$G41&gt;=Hba_14,Input!V$34&lt;&gt;""),Input!$B$34&amp;";",""),IF(AND($G41&lt;Hta_15,$G41&gt;=Hba_15,Input!V$35&lt;&gt;""),Input!$B$35&amp;";",""),IF(AND($G41&lt;Hta_16,$G41&gt;=Hba_16,Input!V$36&lt;&gt;""),Input!$B$36&amp;";",""),IF(AND($G41&lt;Hta_17,$G41&gt;=Hba_17,Input!V$37&lt;&gt;""),Input!$B$37&amp;";",""),IF(AND($G41&lt;Hta_18,$G41&gt;=Hba_18,Input!V$38&lt;&gt;""),Input!$B$38&amp;";",""),IF(AND($G41&lt;Hta_19,$G41&gt;=Hba_19,Input!V$39&lt;&gt;""),Input!$B$39&amp;";",""),IF(AND($G41&lt;Hta_20,$G41&gt;=Hba_20,Input!V$40&lt;&gt;""),Input!$B$40&amp;";",""),IF(AND($G41&lt;Hta_21,$G41&gt;=Hba_21,Input!V$41&lt;&gt;""),Input!$B$41&amp;";",""),IF(AND($G41&lt;Hta_22,$G41&gt;=Hba_22,Input!V$42&lt;&gt;""),Input!$B$42&amp;";",""),IF(AND($G41&lt;Hta_23,$G41&gt;=Hba_23,Input!V$43&lt;&gt;""),Input!$B$43&amp;";",""),IF(AND($G41&lt;Hta_24,$G41&gt;=Hba_24,Input!V$44&lt;&gt;""),Input!$B$44&amp;";",""),IF(AND($G41&lt;Hta_25,$G41&gt;=Hba_25,Input!V$45&lt;&gt;""),Input!$B$45&amp;";",""),IF(AND($G41&lt;Hta_26,$G41&gt;=Hba_26,Input!V$46&lt;&gt;""),Input!$B$46&amp;";",""),IF(AND($G41&lt;Hta_27,$G41&gt;=Hba_27,Input!V$47&lt;&gt;""),Input!$B$47&amp;";",""),IF(AND($G41&lt;Hta_28,$G41&gt;=Hba_28,Input!V$48&lt;&gt;""),Input!$B$48&amp;";",""),IF(AND($G41&lt;Hta_29,$G41&gt;=Hba_29,Input!V$49&lt;&gt;""),Input!$B$49&amp;";",""),IF(AND($G41&lt;Hta_30,$G41&gt;=Hba_30,Input!V$50&lt;&gt;""),Input!$B$50&amp;";","")),"")</f>
        <v/>
      </c>
      <c r="BX41" s="25" t="str">
        <f>IFERROR(CONCATENATE(IF(AND($G41&lt;Hta_1,$G41&gt;=Hba_1,Input!W$21&lt;&gt;""),Input!$B$21&amp;";",""),IF(AND($G41&lt;Hta_2,$G41&gt;=Hba_2,Input!W$22&lt;&gt;""),Input!$B$22&amp;";",""),IF(AND($G41&lt;Hta_3,$G41&gt;=Hba_3,Input!W$23&lt;&gt;""),Input!$B$23&amp;";",""),IF(AND($G41&lt;Hta_4,$G41&gt;=Hba_4,Input!W$24&lt;&gt;""),Input!$B$24&amp;";",""),IF(AND($G41&lt;Hta_5,$G41&gt;=Hba_5,Input!W$25&lt;&gt;""),Input!$B$25&amp;";",""),IF(AND($G41&lt;Hta_6,$G41&gt;=Hba_6,Input!W$26&lt;&gt;""),Input!$B$26&amp;";",""),IF(AND($G41&lt;Hta_7,$G41&gt;=Hba_7,Input!W$27&lt;&gt;""),Input!$B$27&amp;";",""),IF(AND($G41&lt;Hta_8,$G41&gt;=Hba_8,Input!W$28&lt;&gt;""),Input!$B$28&amp;";",""),IF(AND($G41&lt;Hta_9,$G41&gt;=Hba_9,Input!W$29&lt;&gt;""),Input!$B$29&amp;";",""),IF(AND($G41&lt;Hta_10,$G41&gt;=Hba_10,Input!W$30&lt;&gt;""),Input!$B$30&amp;";",""),IF(AND($G41&lt;Hta_11,$G41&gt;=Hba_11,Input!W$31&lt;&gt;""),Input!$B$31&amp;";",""),IF(AND($G41&lt;Hta_12,$G41&gt;=Hba_12,Input!W$32&lt;&gt;""),Input!$B$32&amp;";",""),IF(AND($G41&lt;Hta_13,$G41&gt;=Hba_13,Input!W$33&lt;&gt;""),Input!$B$33&amp;";",""),IF(AND($G41&lt;Hta_14,$G41&gt;=Hba_14,Input!W$34&lt;&gt;""),Input!$B$34&amp;";",""),IF(AND($G41&lt;Hta_15,$G41&gt;=Hba_15,Input!W$35&lt;&gt;""),Input!$B$35&amp;";",""),IF(AND($G41&lt;Hta_16,$G41&gt;=Hba_16,Input!W$36&lt;&gt;""),Input!$B$36&amp;";",""),IF(AND($G41&lt;Hta_17,$G41&gt;=Hba_17,Input!W$37&lt;&gt;""),Input!$B$37&amp;";",""),IF(AND($G41&lt;Hta_18,$G41&gt;=Hba_18,Input!W$38&lt;&gt;""),Input!$B$38&amp;";",""),IF(AND($G41&lt;Hta_19,$G41&gt;=Hba_19,Input!W$39&lt;&gt;""),Input!$B$39&amp;";",""),IF(AND($G41&lt;Hta_20,$G41&gt;=Hba_20,Input!W$40&lt;&gt;""),Input!$B$40&amp;";",""),IF(AND($G41&lt;Hta_21,$G41&gt;=Hba_21,Input!W$41&lt;&gt;""),Input!$B$41&amp;";",""),IF(AND($G41&lt;Hta_22,$G41&gt;=Hba_22,Input!W$42&lt;&gt;""),Input!$B$42&amp;";",""),IF(AND($G41&lt;Hta_23,$G41&gt;=Hba_23,Input!W$43&lt;&gt;""),Input!$B$43&amp;";",""),IF(AND($G41&lt;Hta_24,$G41&gt;=Hba_24,Input!W$44&lt;&gt;""),Input!$B$44&amp;";",""),IF(AND($G41&lt;Hta_25,$G41&gt;=Hba_25,Input!W$45&lt;&gt;""),Input!$B$45&amp;";",""),IF(AND($G41&lt;Hta_26,$G41&gt;=Hba_26,Input!W$46&lt;&gt;""),Input!$B$46&amp;";",""),IF(AND($G41&lt;Hta_27,$G41&gt;=Hba_27,Input!W$47&lt;&gt;""),Input!$B$47&amp;";",""),IF(AND($G41&lt;Hta_28,$G41&gt;=Hba_28,Input!W$48&lt;&gt;""),Input!$B$48&amp;";",""),IF(AND($G41&lt;Hta_29,$G41&gt;=Hba_29,Input!W$49&lt;&gt;""),Input!$B$49&amp;";",""),IF(AND($G41&lt;Hta_30,$G41&gt;=Hba_30,Input!W$50&lt;&gt;""),Input!$B$50&amp;";","")),"")</f>
        <v/>
      </c>
      <c r="BY41" s="25" t="str">
        <f>IFERROR(CONCATENATE(IF(AND($G41&lt;Hta_1,$G41&gt;=Hba_1,Input!X$21&lt;&gt;""),Input!$B$21&amp;";",""),IF(AND($G41&lt;Hta_2,$G41&gt;=Hba_2,Input!X$22&lt;&gt;""),Input!$B$22&amp;";",""),IF(AND($G41&lt;Hta_3,$G41&gt;=Hba_3,Input!X$23&lt;&gt;""),Input!$B$23&amp;";",""),IF(AND($G41&lt;Hta_4,$G41&gt;=Hba_4,Input!X$24&lt;&gt;""),Input!$B$24&amp;";",""),IF(AND($G41&lt;Hta_5,$G41&gt;=Hba_5,Input!X$25&lt;&gt;""),Input!$B$25&amp;";",""),IF(AND($G41&lt;Hta_6,$G41&gt;=Hba_6,Input!X$26&lt;&gt;""),Input!$B$26&amp;";",""),IF(AND($G41&lt;Hta_7,$G41&gt;=Hba_7,Input!X$27&lt;&gt;""),Input!$B$27&amp;";",""),IF(AND($G41&lt;Hta_8,$G41&gt;=Hba_8,Input!X$28&lt;&gt;""),Input!$B$28&amp;";",""),IF(AND($G41&lt;Hta_9,$G41&gt;=Hba_9,Input!X$29&lt;&gt;""),Input!$B$29&amp;";",""),IF(AND($G41&lt;Hta_10,$G41&gt;=Hba_10,Input!X$30&lt;&gt;""),Input!$B$30&amp;";",""),IF(AND($G41&lt;Hta_11,$G41&gt;=Hba_11,Input!X$31&lt;&gt;""),Input!$B$31&amp;";",""),IF(AND($G41&lt;Hta_12,$G41&gt;=Hba_12,Input!X$32&lt;&gt;""),Input!$B$32&amp;";",""),IF(AND($G41&lt;Hta_13,$G41&gt;=Hba_13,Input!X$33&lt;&gt;""),Input!$B$33&amp;";",""),IF(AND($G41&lt;Hta_14,$G41&gt;=Hba_14,Input!X$34&lt;&gt;""),Input!$B$34&amp;";",""),IF(AND($G41&lt;Hta_15,$G41&gt;=Hba_15,Input!X$35&lt;&gt;""),Input!$B$35&amp;";",""),IF(AND($G41&lt;Hta_16,$G41&gt;=Hba_16,Input!X$36&lt;&gt;""),Input!$B$36&amp;";",""),IF(AND($G41&lt;Hta_17,$G41&gt;=Hba_17,Input!X$37&lt;&gt;""),Input!$B$37&amp;";",""),IF(AND($G41&lt;Hta_18,$G41&gt;=Hba_18,Input!X$38&lt;&gt;""),Input!$B$38&amp;";",""),IF(AND($G41&lt;Hta_19,$G41&gt;=Hba_19,Input!X$39&lt;&gt;""),Input!$B$39&amp;";",""),IF(AND($G41&lt;Hta_20,$G41&gt;=Hba_20,Input!X$40&lt;&gt;""),Input!$B$40&amp;";",""),IF(AND($G41&lt;Hta_21,$G41&gt;=Hba_21,Input!X$41&lt;&gt;""),Input!$B$41&amp;";",""),IF(AND($G41&lt;Hta_22,$G41&gt;=Hba_22,Input!X$42&lt;&gt;""),Input!$B$42&amp;";",""),IF(AND($G41&lt;Hta_23,$G41&gt;=Hba_23,Input!X$43&lt;&gt;""),Input!$B$43&amp;";",""),IF(AND($G41&lt;Hta_24,$G41&gt;=Hba_24,Input!X$44&lt;&gt;""),Input!$B$44&amp;";",""),IF(AND($G41&lt;Hta_25,$G41&gt;=Hba_25,Input!X$45&lt;&gt;""),Input!$B$45&amp;";",""),IF(AND($G41&lt;Hta_26,$G41&gt;=Hba_26,Input!X$46&lt;&gt;""),Input!$B$46&amp;";",""),IF(AND($G41&lt;Hta_27,$G41&gt;=Hba_27,Input!X$47&lt;&gt;""),Input!$B$47&amp;";",""),IF(AND($G41&lt;Hta_28,$G41&gt;=Hba_28,Input!X$48&lt;&gt;""),Input!$B$48&amp;";",""),IF(AND($G41&lt;Hta_29,$G41&gt;=Hba_29,Input!X$49&lt;&gt;""),Input!$B$49&amp;";",""),IF(AND($G41&lt;Hta_30,$G41&gt;=Hba_30,Input!X$50&lt;&gt;""),Input!$B$50&amp;";","")),"")</f>
        <v/>
      </c>
      <c r="BZ41" s="25" t="str">
        <f>IFERROR(CONCATENATE(IF(AND($G41&lt;Hta_1,$G41&gt;=Hba_1,Input!Y$21&lt;&gt;""),Input!$B$21&amp;";",""),IF(AND($G41&lt;Hta_2,$G41&gt;=Hba_2,Input!Y$22&lt;&gt;""),Input!$B$22&amp;";",""),IF(AND($G41&lt;Hta_3,$G41&gt;=Hba_3,Input!Y$23&lt;&gt;""),Input!$B$23&amp;";",""),IF(AND($G41&lt;Hta_4,$G41&gt;=Hba_4,Input!Y$24&lt;&gt;""),Input!$B$24&amp;";",""),IF(AND($G41&lt;Hta_5,$G41&gt;=Hba_5,Input!Y$25&lt;&gt;""),Input!$B$25&amp;";",""),IF(AND($G41&lt;Hta_6,$G41&gt;=Hba_6,Input!Y$26&lt;&gt;""),Input!$B$26&amp;";",""),IF(AND($G41&lt;Hta_7,$G41&gt;=Hba_7,Input!Y$27&lt;&gt;""),Input!$B$27&amp;";",""),IF(AND($G41&lt;Hta_8,$G41&gt;=Hba_8,Input!Y$28&lt;&gt;""),Input!$B$28&amp;";",""),IF(AND($G41&lt;Hta_9,$G41&gt;=Hba_9,Input!Y$29&lt;&gt;""),Input!$B$29&amp;";",""),IF(AND($G41&lt;Hta_10,$G41&gt;=Hba_10,Input!Y$30&lt;&gt;""),Input!$B$30&amp;";",""),IF(AND($G41&lt;Hta_11,$G41&gt;=Hba_11,Input!Y$31&lt;&gt;""),Input!$B$31&amp;";",""),IF(AND($G41&lt;Hta_12,$G41&gt;=Hba_12,Input!Y$32&lt;&gt;""),Input!$B$32&amp;";",""),IF(AND($G41&lt;Hta_13,$G41&gt;=Hba_13,Input!Y$33&lt;&gt;""),Input!$B$33&amp;";",""),IF(AND($G41&lt;Hta_14,$G41&gt;=Hba_14,Input!Y$34&lt;&gt;""),Input!$B$34&amp;";",""),IF(AND($G41&lt;Hta_15,$G41&gt;=Hba_15,Input!Y$35&lt;&gt;""),Input!$B$35&amp;";",""),IF(AND($G41&lt;Hta_16,$G41&gt;=Hba_16,Input!Y$36&lt;&gt;""),Input!$B$36&amp;";",""),IF(AND($G41&lt;Hta_17,$G41&gt;=Hba_17,Input!Y$37&lt;&gt;""),Input!$B$37&amp;";",""),IF(AND($G41&lt;Hta_18,$G41&gt;=Hba_18,Input!Y$38&lt;&gt;""),Input!$B$38&amp;";",""),IF(AND($G41&lt;Hta_19,$G41&gt;=Hba_19,Input!Y$39&lt;&gt;""),Input!$B$39&amp;";",""),IF(AND($G41&lt;Hta_20,$G41&gt;=Hba_20,Input!Y$40&lt;&gt;""),Input!$B$40&amp;";",""),IF(AND($G41&lt;Hta_21,$G41&gt;=Hba_21,Input!Y$41&lt;&gt;""),Input!$B$41&amp;";",""),IF(AND($G41&lt;Hta_22,$G41&gt;=Hba_22,Input!Y$42&lt;&gt;""),Input!$B$42&amp;";",""),IF(AND($G41&lt;Hta_23,$G41&gt;=Hba_23,Input!Y$43&lt;&gt;""),Input!$B$43&amp;";",""),IF(AND($G41&lt;Hta_24,$G41&gt;=Hba_24,Input!Y$44&lt;&gt;""),Input!$B$44&amp;";",""),IF(AND($G41&lt;Hta_25,$G41&gt;=Hba_25,Input!Y$45&lt;&gt;""),Input!$B$45&amp;";",""),IF(AND($G41&lt;Hta_26,$G41&gt;=Hba_26,Input!Y$46&lt;&gt;""),Input!$B$46&amp;";",""),IF(AND($G41&lt;Hta_27,$G41&gt;=Hba_27,Input!Y$47&lt;&gt;""),Input!$B$47&amp;";",""),IF(AND($G41&lt;Hta_28,$G41&gt;=Hba_28,Input!Y$48&lt;&gt;""),Input!$B$48&amp;";",""),IF(AND($G41&lt;Hta_29,$G41&gt;=Hba_29,Input!Y$49&lt;&gt;""),Input!$B$49&amp;";",""),IF(AND($G41&lt;Hta_30,$G41&gt;=Hba_30,Input!Y$50&lt;&gt;""),Input!$B$50&amp;";","")),"")</f>
        <v/>
      </c>
      <c r="CA41" s="25" t="str">
        <f>IFERROR(CONCATENATE(IF(AND($G41&lt;Hta_1,$G41&gt;=Hba_1,Input!Z$21&lt;&gt;""),Input!$B$21&amp;";",""),IF(AND($G41&lt;Hta_2,$G41&gt;=Hba_2,Input!Z$22&lt;&gt;""),Input!$B$22&amp;";",""),IF(AND($G41&lt;Hta_3,$G41&gt;=Hba_3,Input!Z$23&lt;&gt;""),Input!$B$23&amp;";",""),IF(AND($G41&lt;Hta_4,$G41&gt;=Hba_4,Input!Z$24&lt;&gt;""),Input!$B$24&amp;";",""),IF(AND($G41&lt;Hta_5,$G41&gt;=Hba_5,Input!Z$25&lt;&gt;""),Input!$B$25&amp;";",""),IF(AND($G41&lt;Hta_6,$G41&gt;=Hba_6,Input!Z$26&lt;&gt;""),Input!$B$26&amp;";",""),IF(AND($G41&lt;Hta_7,$G41&gt;=Hba_7,Input!Z$27&lt;&gt;""),Input!$B$27&amp;";",""),IF(AND($G41&lt;Hta_8,$G41&gt;=Hba_8,Input!Z$28&lt;&gt;""),Input!$B$28&amp;";",""),IF(AND($G41&lt;Hta_9,$G41&gt;=Hba_9,Input!Z$29&lt;&gt;""),Input!$B$29&amp;";",""),IF(AND($G41&lt;Hta_10,$G41&gt;=Hba_10,Input!Z$30&lt;&gt;""),Input!$B$30&amp;";",""),IF(AND($G41&lt;Hta_11,$G41&gt;=Hba_11,Input!Z$31&lt;&gt;""),Input!$B$31&amp;";",""),IF(AND($G41&lt;Hta_12,$G41&gt;=Hba_12,Input!Z$32&lt;&gt;""),Input!$B$32&amp;";",""),IF(AND($G41&lt;Hta_13,$G41&gt;=Hba_13,Input!Z$33&lt;&gt;""),Input!$B$33&amp;";",""),IF(AND($G41&lt;Hta_14,$G41&gt;=Hba_14,Input!Z$34&lt;&gt;""),Input!$B$34&amp;";",""),IF(AND($G41&lt;Hta_15,$G41&gt;=Hba_15,Input!Z$35&lt;&gt;""),Input!$B$35&amp;";",""),IF(AND($G41&lt;Hta_16,$G41&gt;=Hba_16,Input!Z$36&lt;&gt;""),Input!$B$36&amp;";",""),IF(AND($G41&lt;Hta_17,$G41&gt;=Hba_17,Input!Z$37&lt;&gt;""),Input!$B$37&amp;";",""),IF(AND($G41&lt;Hta_18,$G41&gt;=Hba_18,Input!Z$38&lt;&gt;""),Input!$B$38&amp;";",""),IF(AND($G41&lt;Hta_19,$G41&gt;=Hba_19,Input!Z$39&lt;&gt;""),Input!$B$39&amp;";",""),IF(AND($G41&lt;Hta_20,$G41&gt;=Hba_20,Input!Z$40&lt;&gt;""),Input!$B$40&amp;";",""),IF(AND($G41&lt;Hta_21,$G41&gt;=Hba_21,Input!Z$41&lt;&gt;""),Input!$B$41&amp;";",""),IF(AND($G41&lt;Hta_22,$G41&gt;=Hba_22,Input!Z$42&lt;&gt;""),Input!$B$42&amp;";",""),IF(AND($G41&lt;Hta_23,$G41&gt;=Hba_23,Input!Z$43&lt;&gt;""),Input!$B$43&amp;";",""),IF(AND($G41&lt;Hta_24,$G41&gt;=Hba_24,Input!Z$44&lt;&gt;""),Input!$B$44&amp;";",""),IF(AND($G41&lt;Hta_25,$G41&gt;=Hba_25,Input!Z$45&lt;&gt;""),Input!$B$45&amp;";",""),IF(AND($G41&lt;Hta_26,$G41&gt;=Hba_26,Input!Z$46&lt;&gt;""),Input!$B$46&amp;";",""),IF(AND($G41&lt;Hta_27,$G41&gt;=Hba_27,Input!Z$47&lt;&gt;""),Input!$B$47&amp;";",""),IF(AND($G41&lt;Hta_28,$G41&gt;=Hba_28,Input!Z$48&lt;&gt;""),Input!$B$48&amp;";",""),IF(AND($G41&lt;Hta_29,$G41&gt;=Hba_29,Input!Z$49&lt;&gt;""),Input!$B$49&amp;";",""),IF(AND($G41&lt;Hta_30,$G41&gt;=Hba_30,Input!Z$50&lt;&gt;""),Input!$B$50&amp;";","")),"")</f>
        <v/>
      </c>
      <c r="CB41" s="25" t="str">
        <f>IFERROR(CONCATENATE(IF(AND($G41&lt;Hta_1,$G41&gt;=Hba_1,Input!AA$21&lt;&gt;""),Input!$B$21&amp;";",""),IF(AND($G41&lt;Hta_2,$G41&gt;=Hba_2,Input!AA$22&lt;&gt;""),Input!$B$22&amp;";",""),IF(AND($G41&lt;Hta_3,$G41&gt;=Hba_3,Input!AA$23&lt;&gt;""),Input!$B$23&amp;";",""),IF(AND($G41&lt;Hta_4,$G41&gt;=Hba_4,Input!AA$24&lt;&gt;""),Input!$B$24&amp;";",""),IF(AND($G41&lt;Hta_5,$G41&gt;=Hba_5,Input!AA$25&lt;&gt;""),Input!$B$25&amp;";",""),IF(AND($G41&lt;Hta_6,$G41&gt;=Hba_6,Input!AA$26&lt;&gt;""),Input!$B$26&amp;";",""),IF(AND($G41&lt;Hta_7,$G41&gt;=Hba_7,Input!AA$27&lt;&gt;""),Input!$B$27&amp;";",""),IF(AND($G41&lt;Hta_8,$G41&gt;=Hba_8,Input!AA$28&lt;&gt;""),Input!$B$28&amp;";",""),IF(AND($G41&lt;Hta_9,$G41&gt;=Hba_9,Input!AA$29&lt;&gt;""),Input!$B$29&amp;";",""),IF(AND($G41&lt;Hta_10,$G41&gt;=Hba_10,Input!AA$30&lt;&gt;""),Input!$B$30&amp;";",""),IF(AND($G41&lt;Hta_11,$G41&gt;=Hba_11,Input!AA$31&lt;&gt;""),Input!$B$31&amp;";",""),IF(AND($G41&lt;Hta_12,$G41&gt;=Hba_12,Input!AA$32&lt;&gt;""),Input!$B$32&amp;";",""),IF(AND($G41&lt;Hta_13,$G41&gt;=Hba_13,Input!AA$33&lt;&gt;""),Input!$B$33&amp;";",""),IF(AND($G41&lt;Hta_14,$G41&gt;=Hba_14,Input!AA$34&lt;&gt;""),Input!$B$34&amp;";",""),IF(AND($G41&lt;Hta_15,$G41&gt;=Hba_15,Input!AA$35&lt;&gt;""),Input!$B$35&amp;";",""),IF(AND($G41&lt;Hta_16,$G41&gt;=Hba_16,Input!AA$36&lt;&gt;""),Input!$B$36&amp;";",""),IF(AND($G41&lt;Hta_17,$G41&gt;=Hba_17,Input!AA$37&lt;&gt;""),Input!$B$37&amp;";",""),IF(AND($G41&lt;Hta_18,$G41&gt;=Hba_18,Input!AA$38&lt;&gt;""),Input!$B$38&amp;";",""),IF(AND($G41&lt;Hta_19,$G41&gt;=Hba_19,Input!AA$39&lt;&gt;""),Input!$B$39&amp;";",""),IF(AND($G41&lt;Hta_20,$G41&gt;=Hba_20,Input!AA$40&lt;&gt;""),Input!$B$40&amp;";",""),IF(AND($G41&lt;Hta_21,$G41&gt;=Hba_21,Input!AA$41&lt;&gt;""),Input!$B$41&amp;";",""),IF(AND($G41&lt;Hta_22,$G41&gt;=Hba_22,Input!AA$42&lt;&gt;""),Input!$B$42&amp;";",""),IF(AND($G41&lt;Hta_23,$G41&gt;=Hba_23,Input!AA$43&lt;&gt;""),Input!$B$43&amp;";",""),IF(AND($G41&lt;Hta_24,$G41&gt;=Hba_24,Input!AA$44&lt;&gt;""),Input!$B$44&amp;";",""),IF(AND($G41&lt;Hta_25,$G41&gt;=Hba_25,Input!AA$45&lt;&gt;""),Input!$B$45&amp;";",""),IF(AND($G41&lt;Hta_26,$G41&gt;=Hba_26,Input!AA$46&lt;&gt;""),Input!$B$46&amp;";",""),IF(AND($G41&lt;Hta_27,$G41&gt;=Hba_27,Input!AA$47&lt;&gt;""),Input!$B$47&amp;";",""),IF(AND($G41&lt;Hta_28,$G41&gt;=Hba_28,Input!AA$48&lt;&gt;""),Input!$B$48&amp;";",""),IF(AND($G41&lt;Hta_29,$G41&gt;=Hba_29,Input!AA$49&lt;&gt;""),Input!$B$49&amp;";",""),IF(AND($G41&lt;Hta_30,$G41&gt;=Hba_30,Input!AA$50&lt;&gt;""),Input!$B$50&amp;";","")),"")</f>
        <v/>
      </c>
      <c r="CC41" s="25" t="str">
        <f>IFERROR(CONCATENATE(IF(AND($G41&lt;Hta_1,$G41&gt;=Hba_1,Input!AB$21&lt;&gt;""),Input!$B$21&amp;";",""),IF(AND($G41&lt;Hta_2,$G41&gt;=Hba_2,Input!AB$22&lt;&gt;""),Input!$B$22&amp;";",""),IF(AND($G41&lt;Hta_3,$G41&gt;=Hba_3,Input!AB$23&lt;&gt;""),Input!$B$23&amp;";",""),IF(AND($G41&lt;Hta_4,$G41&gt;=Hba_4,Input!AB$24&lt;&gt;""),Input!$B$24&amp;";",""),IF(AND($G41&lt;Hta_5,$G41&gt;=Hba_5,Input!AB$25&lt;&gt;""),Input!$B$25&amp;";",""),IF(AND($G41&lt;Hta_6,$G41&gt;=Hba_6,Input!AB$26&lt;&gt;""),Input!$B$26&amp;";",""),IF(AND($G41&lt;Hta_7,$G41&gt;=Hba_7,Input!AB$27&lt;&gt;""),Input!$B$27&amp;";",""),IF(AND($G41&lt;Hta_8,$G41&gt;=Hba_8,Input!AB$28&lt;&gt;""),Input!$B$28&amp;";",""),IF(AND($G41&lt;Hta_9,$G41&gt;=Hba_9,Input!AB$29&lt;&gt;""),Input!$B$29&amp;";",""),IF(AND($G41&lt;Hta_10,$G41&gt;=Hba_10,Input!AB$30&lt;&gt;""),Input!$B$30&amp;";",""),IF(AND($G41&lt;Hta_11,$G41&gt;=Hba_11,Input!AB$31&lt;&gt;""),Input!$B$31&amp;";",""),IF(AND($G41&lt;Hta_12,$G41&gt;=Hba_12,Input!AB$32&lt;&gt;""),Input!$B$32&amp;";",""),IF(AND($G41&lt;Hta_13,$G41&gt;=Hba_13,Input!AB$33&lt;&gt;""),Input!$B$33&amp;";",""),IF(AND($G41&lt;Hta_14,$G41&gt;=Hba_14,Input!AB$34&lt;&gt;""),Input!$B$34&amp;";",""),IF(AND($G41&lt;Hta_15,$G41&gt;=Hba_15,Input!AB$35&lt;&gt;""),Input!$B$35&amp;";",""),IF(AND($G41&lt;Hta_16,$G41&gt;=Hba_16,Input!AB$36&lt;&gt;""),Input!$B$36&amp;";",""),IF(AND($G41&lt;Hta_17,$G41&gt;=Hba_17,Input!AB$37&lt;&gt;""),Input!$B$37&amp;";",""),IF(AND($G41&lt;Hta_18,$G41&gt;=Hba_18,Input!AB$38&lt;&gt;""),Input!$B$38&amp;";",""),IF(AND($G41&lt;Hta_19,$G41&gt;=Hba_19,Input!AB$39&lt;&gt;""),Input!$B$39&amp;";",""),IF(AND($G41&lt;Hta_20,$G41&gt;=Hba_20,Input!AB$40&lt;&gt;""),Input!$B$40&amp;";",""),IF(AND($G41&lt;Hta_21,$G41&gt;=Hba_21,Input!AB$41&lt;&gt;""),Input!$B$41&amp;";",""),IF(AND($G41&lt;Hta_22,$G41&gt;=Hba_22,Input!AB$42&lt;&gt;""),Input!$B$42&amp;";",""),IF(AND($G41&lt;Hta_23,$G41&gt;=Hba_23,Input!AB$43&lt;&gt;""),Input!$B$43&amp;";",""),IF(AND($G41&lt;Hta_24,$G41&gt;=Hba_24,Input!AB$44&lt;&gt;""),Input!$B$44&amp;";",""),IF(AND($G41&lt;Hta_25,$G41&gt;=Hba_25,Input!AB$45&lt;&gt;""),Input!$B$45&amp;";",""),IF(AND($G41&lt;Hta_26,$G41&gt;=Hba_26,Input!AB$46&lt;&gt;""),Input!$B$46&amp;";",""),IF(AND($G41&lt;Hta_27,$G41&gt;=Hba_27,Input!AB$47&lt;&gt;""),Input!$B$47&amp;";",""),IF(AND($G41&lt;Hta_28,$G41&gt;=Hba_28,Input!AB$48&lt;&gt;""),Input!$B$48&amp;";",""),IF(AND($G41&lt;Hta_29,$G41&gt;=Hba_29,Input!AB$49&lt;&gt;""),Input!$B$49&amp;";",""),IF(AND($G41&lt;Hta_30,$G41&gt;=Hba_30,Input!AB$50&lt;&gt;""),Input!$B$50&amp;";","")),"")</f>
        <v/>
      </c>
      <c r="CD41" s="25" t="str">
        <f>IFERROR(CONCATENATE(IF(AND($G41&lt;Hta_1,$G41&gt;=Hba_1,Input!AC$21&lt;&gt;""),Input!$B$21&amp;";",""),IF(AND($G41&lt;Hta_2,$G41&gt;=Hba_2,Input!AC$22&lt;&gt;""),Input!$B$22&amp;";",""),IF(AND($G41&lt;Hta_3,$G41&gt;=Hba_3,Input!AC$23&lt;&gt;""),Input!$B$23&amp;";",""),IF(AND($G41&lt;Hta_4,$G41&gt;=Hba_4,Input!AC$24&lt;&gt;""),Input!$B$24&amp;";",""),IF(AND($G41&lt;Hta_5,$G41&gt;=Hba_5,Input!AC$25&lt;&gt;""),Input!$B$25&amp;";",""),IF(AND($G41&lt;Hta_6,$G41&gt;=Hba_6,Input!AC$26&lt;&gt;""),Input!$B$26&amp;";",""),IF(AND($G41&lt;Hta_7,$G41&gt;=Hba_7,Input!AC$27&lt;&gt;""),Input!$B$27&amp;";",""),IF(AND($G41&lt;Hta_8,$G41&gt;=Hba_8,Input!AC$28&lt;&gt;""),Input!$B$28&amp;";",""),IF(AND($G41&lt;Hta_9,$G41&gt;=Hba_9,Input!AC$29&lt;&gt;""),Input!$B$29&amp;";",""),IF(AND($G41&lt;Hta_10,$G41&gt;=Hba_10,Input!AC$30&lt;&gt;""),Input!$B$30&amp;";",""),IF(AND($G41&lt;Hta_11,$G41&gt;=Hba_11,Input!AC$31&lt;&gt;""),Input!$B$31&amp;";",""),IF(AND($G41&lt;Hta_12,$G41&gt;=Hba_12,Input!AC$32&lt;&gt;""),Input!$B$32&amp;";",""),IF(AND($G41&lt;Hta_13,$G41&gt;=Hba_13,Input!AC$33&lt;&gt;""),Input!$B$33&amp;";",""),IF(AND($G41&lt;Hta_14,$G41&gt;=Hba_14,Input!AC$34&lt;&gt;""),Input!$B$34&amp;";",""),IF(AND($G41&lt;Hta_15,$G41&gt;=Hba_15,Input!AC$35&lt;&gt;""),Input!$B$35&amp;";",""),IF(AND($G41&lt;Hta_16,$G41&gt;=Hba_16,Input!AC$36&lt;&gt;""),Input!$B$36&amp;";",""),IF(AND($G41&lt;Hta_17,$G41&gt;=Hba_17,Input!AC$37&lt;&gt;""),Input!$B$37&amp;";",""),IF(AND($G41&lt;Hta_18,$G41&gt;=Hba_18,Input!AC$38&lt;&gt;""),Input!$B$38&amp;";",""),IF(AND($G41&lt;Hta_19,$G41&gt;=Hba_19,Input!AC$39&lt;&gt;""),Input!$B$39&amp;";",""),IF(AND($G41&lt;Hta_20,$G41&gt;=Hba_20,Input!AC$40&lt;&gt;""),Input!$B$40&amp;";",""),IF(AND($G41&lt;Hta_21,$G41&gt;=Hba_21,Input!AC$41&lt;&gt;""),Input!$B$41&amp;";",""),IF(AND($G41&lt;Hta_22,$G41&gt;=Hba_22,Input!AC$42&lt;&gt;""),Input!$B$42&amp;";",""),IF(AND($G41&lt;Hta_23,$G41&gt;=Hba_23,Input!AC$43&lt;&gt;""),Input!$B$43&amp;";",""),IF(AND($G41&lt;Hta_24,$G41&gt;=Hba_24,Input!AC$44&lt;&gt;""),Input!$B$44&amp;";",""),IF(AND($G41&lt;Hta_25,$G41&gt;=Hba_25,Input!AC$45&lt;&gt;""),Input!$B$45&amp;";",""),IF(AND($G41&lt;Hta_26,$G41&gt;=Hba_26,Input!AC$46&lt;&gt;""),Input!$B$46&amp;";",""),IF(AND($G41&lt;Hta_27,$G41&gt;=Hba_27,Input!AC$47&lt;&gt;""),Input!$B$47&amp;";",""),IF(AND($G41&lt;Hta_28,$G41&gt;=Hba_28,Input!AC$48&lt;&gt;""),Input!$B$48&amp;";",""),IF(AND($G41&lt;Hta_29,$G41&gt;=Hba_29,Input!AC$49&lt;&gt;""),Input!$B$49&amp;";",""),IF(AND($G41&lt;Hta_30,$G41&gt;=Hba_30,Input!AC$50&lt;&gt;""),Input!$B$50&amp;";","")),"")</f>
        <v/>
      </c>
      <c r="CE41" s="25" t="str">
        <f>IFERROR(CONCATENATE(IF(AND($G41&lt;Hta_1,$G41&gt;=Hba_1,Input!AD$21&lt;&gt;""),Input!$B$21&amp;";",""),IF(AND($G41&lt;Hta_2,$G41&gt;=Hba_2,Input!AD$22&lt;&gt;""),Input!$B$22&amp;";",""),IF(AND($G41&lt;Hta_3,$G41&gt;=Hba_3,Input!AD$23&lt;&gt;""),Input!$B$23&amp;";",""),IF(AND($G41&lt;Hta_4,$G41&gt;=Hba_4,Input!AD$24&lt;&gt;""),Input!$B$24&amp;";",""),IF(AND($G41&lt;Hta_5,$G41&gt;=Hba_5,Input!AD$25&lt;&gt;""),Input!$B$25&amp;";",""),IF(AND($G41&lt;Hta_6,$G41&gt;=Hba_6,Input!AD$26&lt;&gt;""),Input!$B$26&amp;";",""),IF(AND($G41&lt;Hta_7,$G41&gt;=Hba_7,Input!AD$27&lt;&gt;""),Input!$B$27&amp;";",""),IF(AND($G41&lt;Hta_8,$G41&gt;=Hba_8,Input!AD$28&lt;&gt;""),Input!$B$28&amp;";",""),IF(AND($G41&lt;Hta_9,$G41&gt;=Hba_9,Input!AD$29&lt;&gt;""),Input!$B$29&amp;";",""),IF(AND($G41&lt;Hta_10,$G41&gt;=Hba_10,Input!AD$30&lt;&gt;""),Input!$B$30&amp;";",""),IF(AND($G41&lt;Hta_11,$G41&gt;=Hba_11,Input!AD$31&lt;&gt;""),Input!$B$31&amp;";",""),IF(AND($G41&lt;Hta_12,$G41&gt;=Hba_12,Input!AD$32&lt;&gt;""),Input!$B$32&amp;";",""),IF(AND($G41&lt;Hta_13,$G41&gt;=Hba_13,Input!AD$33&lt;&gt;""),Input!$B$33&amp;";",""),IF(AND($G41&lt;Hta_14,$G41&gt;=Hba_14,Input!AD$34&lt;&gt;""),Input!$B$34&amp;";",""),IF(AND($G41&lt;Hta_15,$G41&gt;=Hba_15,Input!AD$35&lt;&gt;""),Input!$B$35&amp;";",""),IF(AND($G41&lt;Hta_16,$G41&gt;=Hba_16,Input!AD$36&lt;&gt;""),Input!$B$36&amp;";",""),IF(AND($G41&lt;Hta_17,$G41&gt;=Hba_17,Input!AD$37&lt;&gt;""),Input!$B$37&amp;";",""),IF(AND($G41&lt;Hta_18,$G41&gt;=Hba_18,Input!AD$38&lt;&gt;""),Input!$B$38&amp;";",""),IF(AND($G41&lt;Hta_19,$G41&gt;=Hba_19,Input!AD$39&lt;&gt;""),Input!$B$39&amp;";",""),IF(AND($G41&lt;Hta_20,$G41&gt;=Hba_20,Input!AD$40&lt;&gt;""),Input!$B$40&amp;";",""),IF(AND($G41&lt;Hta_21,$G41&gt;=Hba_21,Input!AD$41&lt;&gt;""),Input!$B$41&amp;";",""),IF(AND($G41&lt;Hta_22,$G41&gt;=Hba_22,Input!AD$42&lt;&gt;""),Input!$B$42&amp;";",""),IF(AND($G41&lt;Hta_23,$G41&gt;=Hba_23,Input!AD$43&lt;&gt;""),Input!$B$43&amp;";",""),IF(AND($G41&lt;Hta_24,$G41&gt;=Hba_24,Input!AD$44&lt;&gt;""),Input!$B$44&amp;";",""),IF(AND($G41&lt;Hta_25,$G41&gt;=Hba_25,Input!AD$45&lt;&gt;""),Input!$B$45&amp;";",""),IF(AND($G41&lt;Hta_26,$G41&gt;=Hba_26,Input!AD$46&lt;&gt;""),Input!$B$46&amp;";",""),IF(AND($G41&lt;Hta_27,$G41&gt;=Hba_27,Input!AD$47&lt;&gt;""),Input!$B$47&amp;";",""),IF(AND($G41&lt;Hta_28,$G41&gt;=Hba_28,Input!AD$48&lt;&gt;""),Input!$B$48&amp;";",""),IF(AND($G41&lt;Hta_29,$G41&gt;=Hba_29,Input!AD$49&lt;&gt;""),Input!$B$49&amp;";",""),IF(AND($G41&lt;Hta_30,$G41&gt;=Hba_30,Input!AD$50&lt;&gt;""),Input!$B$50&amp;";","")),"")</f>
        <v/>
      </c>
      <c r="CF41" s="25" t="str">
        <f>IFERROR(CONCATENATE(IF(AND($G41&lt;Hta_1,$G41&gt;=Hba_1,Input!AE$21&lt;&gt;""),Input!$B$21&amp;";",""),IF(AND($G41&lt;Hta_2,$G41&gt;=Hba_2,Input!AE$22&lt;&gt;""),Input!$B$22&amp;";",""),IF(AND($G41&lt;Hta_3,$G41&gt;=Hba_3,Input!AE$23&lt;&gt;""),Input!$B$23&amp;";",""),IF(AND($G41&lt;Hta_4,$G41&gt;=Hba_4,Input!AE$24&lt;&gt;""),Input!$B$24&amp;";",""),IF(AND($G41&lt;Hta_5,$G41&gt;=Hba_5,Input!AE$25&lt;&gt;""),Input!$B$25&amp;";",""),IF(AND($G41&lt;Hta_6,$G41&gt;=Hba_6,Input!AE$26&lt;&gt;""),Input!$B$26&amp;";",""),IF(AND($G41&lt;Hta_7,$G41&gt;=Hba_7,Input!AE$27&lt;&gt;""),Input!$B$27&amp;";",""),IF(AND($G41&lt;Hta_8,$G41&gt;=Hba_8,Input!AE$28&lt;&gt;""),Input!$B$28&amp;";",""),IF(AND($G41&lt;Hta_9,$G41&gt;=Hba_9,Input!AE$29&lt;&gt;""),Input!$B$29&amp;";",""),IF(AND($G41&lt;Hta_10,$G41&gt;=Hba_10,Input!AE$30&lt;&gt;""),Input!$B$30&amp;";",""),IF(AND($G41&lt;Hta_11,$G41&gt;=Hba_11,Input!AE$31&lt;&gt;""),Input!$B$31&amp;";",""),IF(AND($G41&lt;Hta_12,$G41&gt;=Hba_12,Input!AE$32&lt;&gt;""),Input!$B$32&amp;";",""),IF(AND($G41&lt;Hta_13,$G41&gt;=Hba_13,Input!AE$33&lt;&gt;""),Input!$B$33&amp;";",""),IF(AND($G41&lt;Hta_14,$G41&gt;=Hba_14,Input!AE$34&lt;&gt;""),Input!$B$34&amp;";",""),IF(AND($G41&lt;Hta_15,$G41&gt;=Hba_15,Input!AE$35&lt;&gt;""),Input!$B$35&amp;";",""),IF(AND($G41&lt;Hta_16,$G41&gt;=Hba_16,Input!AE$36&lt;&gt;""),Input!$B$36&amp;";",""),IF(AND($G41&lt;Hta_17,$G41&gt;=Hba_17,Input!AE$37&lt;&gt;""),Input!$B$37&amp;";",""),IF(AND($G41&lt;Hta_18,$G41&gt;=Hba_18,Input!AE$38&lt;&gt;""),Input!$B$38&amp;";",""),IF(AND($G41&lt;Hta_19,$G41&gt;=Hba_19,Input!AE$39&lt;&gt;""),Input!$B$39&amp;";",""),IF(AND($G41&lt;Hta_20,$G41&gt;=Hba_20,Input!AE$40&lt;&gt;""),Input!$B$40&amp;";",""),IF(AND($G41&lt;Hta_21,$G41&gt;=Hba_21,Input!AE$41&lt;&gt;""),Input!$B$41&amp;";",""),IF(AND($G41&lt;Hta_22,$G41&gt;=Hba_22,Input!AE$42&lt;&gt;""),Input!$B$42&amp;";",""),IF(AND($G41&lt;Hta_23,$G41&gt;=Hba_23,Input!AE$43&lt;&gt;""),Input!$B$43&amp;";",""),IF(AND($G41&lt;Hta_24,$G41&gt;=Hba_24,Input!AE$44&lt;&gt;""),Input!$B$44&amp;";",""),IF(AND($G41&lt;Hta_25,$G41&gt;=Hba_25,Input!AE$45&lt;&gt;""),Input!$B$45&amp;";",""),IF(AND($G41&lt;Hta_26,$G41&gt;=Hba_26,Input!AE$46&lt;&gt;""),Input!$B$46&amp;";",""),IF(AND($G41&lt;Hta_27,$G41&gt;=Hba_27,Input!AE$47&lt;&gt;""),Input!$B$47&amp;";",""),IF(AND($G41&lt;Hta_28,$G41&gt;=Hba_28,Input!AE$48&lt;&gt;""),Input!$B$48&amp;";",""),IF(AND($G41&lt;Hta_29,$G41&gt;=Hba_29,Input!AE$49&lt;&gt;""),Input!$B$49&amp;";",""),IF(AND($G41&lt;Hta_30,$G41&gt;=Hba_30,Input!AE$50&lt;&gt;""),Input!$B$50&amp;";","")),"")</f>
        <v/>
      </c>
      <c r="CG41" s="25" t="str">
        <f>IFERROR(CONCATENATE(IF(AND($G41&lt;Hta_1,$G41&gt;=Hba_1,Input!AF$21&lt;&gt;""),Input!$B$21&amp;";",""),IF(AND($G41&lt;Hta_2,$G41&gt;=Hba_2,Input!AF$22&lt;&gt;""),Input!$B$22&amp;";",""),IF(AND($G41&lt;Hta_3,$G41&gt;=Hba_3,Input!AF$23&lt;&gt;""),Input!$B$23&amp;";",""),IF(AND($G41&lt;Hta_4,$G41&gt;=Hba_4,Input!AF$24&lt;&gt;""),Input!$B$24&amp;";",""),IF(AND($G41&lt;Hta_5,$G41&gt;=Hba_5,Input!AF$25&lt;&gt;""),Input!$B$25&amp;";",""),IF(AND($G41&lt;Hta_6,$G41&gt;=Hba_6,Input!AF$26&lt;&gt;""),Input!$B$26&amp;";",""),IF(AND($G41&lt;Hta_7,$G41&gt;=Hba_7,Input!AF$27&lt;&gt;""),Input!$B$27&amp;";",""),IF(AND($G41&lt;Hta_8,$G41&gt;=Hba_8,Input!AF$28&lt;&gt;""),Input!$B$28&amp;";",""),IF(AND($G41&lt;Hta_9,$G41&gt;=Hba_9,Input!AF$29&lt;&gt;""),Input!$B$29&amp;";",""),IF(AND($G41&lt;Hta_10,$G41&gt;=Hba_10,Input!AF$30&lt;&gt;""),Input!$B$30&amp;";",""),IF(AND($G41&lt;Hta_11,$G41&gt;=Hba_11,Input!AF$31&lt;&gt;""),Input!$B$31&amp;";",""),IF(AND($G41&lt;Hta_12,$G41&gt;=Hba_12,Input!AF$32&lt;&gt;""),Input!$B$32&amp;";",""),IF(AND($G41&lt;Hta_13,$G41&gt;=Hba_13,Input!AF$33&lt;&gt;""),Input!$B$33&amp;";",""),IF(AND($G41&lt;Hta_14,$G41&gt;=Hba_14,Input!AF$34&lt;&gt;""),Input!$B$34&amp;";",""),IF(AND($G41&lt;Hta_15,$G41&gt;=Hba_15,Input!AF$35&lt;&gt;""),Input!$B$35&amp;";",""),IF(AND($G41&lt;Hta_16,$G41&gt;=Hba_16,Input!AF$36&lt;&gt;""),Input!$B$36&amp;";",""),IF(AND($G41&lt;Hta_17,$G41&gt;=Hba_17,Input!AF$37&lt;&gt;""),Input!$B$37&amp;";",""),IF(AND($G41&lt;Hta_18,$G41&gt;=Hba_18,Input!AF$38&lt;&gt;""),Input!$B$38&amp;";",""),IF(AND($G41&lt;Hta_19,$G41&gt;=Hba_19,Input!AF$39&lt;&gt;""),Input!$B$39&amp;";",""),IF(AND($G41&lt;Hta_20,$G41&gt;=Hba_20,Input!AF$40&lt;&gt;""),Input!$B$40&amp;";",""),IF(AND($G41&lt;Hta_21,$G41&gt;=Hba_21,Input!AF$41&lt;&gt;""),Input!$B$41&amp;";",""),IF(AND($G41&lt;Hta_22,$G41&gt;=Hba_22,Input!AF$42&lt;&gt;""),Input!$B$42&amp;";",""),IF(AND($G41&lt;Hta_23,$G41&gt;=Hba_23,Input!AF$43&lt;&gt;""),Input!$B$43&amp;";",""),IF(AND($G41&lt;Hta_24,$G41&gt;=Hba_24,Input!AF$44&lt;&gt;""),Input!$B$44&amp;";",""),IF(AND($G41&lt;Hta_25,$G41&gt;=Hba_25,Input!AF$45&lt;&gt;""),Input!$B$45&amp;";",""),IF(AND($G41&lt;Hta_26,$G41&gt;=Hba_26,Input!AF$46&lt;&gt;""),Input!$B$46&amp;";",""),IF(AND($G41&lt;Hta_27,$G41&gt;=Hba_27,Input!AF$47&lt;&gt;""),Input!$B$47&amp;";",""),IF(AND($G41&lt;Hta_28,$G41&gt;=Hba_28,Input!AF$48&lt;&gt;""),Input!$B$48&amp;";",""),IF(AND($G41&lt;Hta_29,$G41&gt;=Hba_29,Input!AF$49&lt;&gt;""),Input!$B$49&amp;";",""),IF(AND($G41&lt;Hta_30,$G41&gt;=Hba_30,Input!AF$50&lt;&gt;""),Input!$B$50&amp;";","")),"")</f>
        <v/>
      </c>
      <c r="CH41" s="25" t="str">
        <f>IFERROR(CONCATENATE(IF(AND($G41&lt;Hta_1,$G41&gt;=Hba_1,Input!AG$21&lt;&gt;""),Input!$B$21&amp;";",""),IF(AND($G41&lt;Hta_2,$G41&gt;=Hba_2,Input!AG$22&lt;&gt;""),Input!$B$22&amp;";",""),IF(AND($G41&lt;Hta_3,$G41&gt;=Hba_3,Input!AG$23&lt;&gt;""),Input!$B$23&amp;";",""),IF(AND($G41&lt;Hta_4,$G41&gt;=Hba_4,Input!AG$24&lt;&gt;""),Input!$B$24&amp;";",""),IF(AND($G41&lt;Hta_5,$G41&gt;=Hba_5,Input!AG$25&lt;&gt;""),Input!$B$25&amp;";",""),IF(AND($G41&lt;Hta_6,$G41&gt;=Hba_6,Input!AG$26&lt;&gt;""),Input!$B$26&amp;";",""),IF(AND($G41&lt;Hta_7,$G41&gt;=Hba_7,Input!AG$27&lt;&gt;""),Input!$B$27&amp;";",""),IF(AND($G41&lt;Hta_8,$G41&gt;=Hba_8,Input!AG$28&lt;&gt;""),Input!$B$28&amp;";",""),IF(AND($G41&lt;Hta_9,$G41&gt;=Hba_9,Input!AG$29&lt;&gt;""),Input!$B$29&amp;";",""),IF(AND($G41&lt;Hta_10,$G41&gt;=Hba_10,Input!AG$30&lt;&gt;""),Input!$B$30&amp;";",""),IF(AND($G41&lt;Hta_11,$G41&gt;=Hba_11,Input!AG$31&lt;&gt;""),Input!$B$31&amp;";",""),IF(AND($G41&lt;Hta_12,$G41&gt;=Hba_12,Input!AG$32&lt;&gt;""),Input!$B$32&amp;";",""),IF(AND($G41&lt;Hta_13,$G41&gt;=Hba_13,Input!AG$33&lt;&gt;""),Input!$B$33&amp;";",""),IF(AND($G41&lt;Hta_14,$G41&gt;=Hba_14,Input!AG$34&lt;&gt;""),Input!$B$34&amp;";",""),IF(AND($G41&lt;Hta_15,$G41&gt;=Hba_15,Input!AG$35&lt;&gt;""),Input!$B$35&amp;";",""),IF(AND($G41&lt;Hta_16,$G41&gt;=Hba_16,Input!AG$36&lt;&gt;""),Input!$B$36&amp;";",""),IF(AND($G41&lt;Hta_17,$G41&gt;=Hba_17,Input!AG$37&lt;&gt;""),Input!$B$37&amp;";",""),IF(AND($G41&lt;Hta_18,$G41&gt;=Hba_18,Input!AG$38&lt;&gt;""),Input!$B$38&amp;";",""),IF(AND($G41&lt;Hta_19,$G41&gt;=Hba_19,Input!AG$39&lt;&gt;""),Input!$B$39&amp;";",""),IF(AND($G41&lt;Hta_20,$G41&gt;=Hba_20,Input!AG$40&lt;&gt;""),Input!$B$40&amp;";",""),IF(AND($G41&lt;Hta_21,$G41&gt;=Hba_21,Input!AG$41&lt;&gt;""),Input!$B$41&amp;";",""),IF(AND($G41&lt;Hta_22,$G41&gt;=Hba_22,Input!AG$42&lt;&gt;""),Input!$B$42&amp;";",""),IF(AND($G41&lt;Hta_23,$G41&gt;=Hba_23,Input!AG$43&lt;&gt;""),Input!$B$43&amp;";",""),IF(AND($G41&lt;Hta_24,$G41&gt;=Hba_24,Input!AG$44&lt;&gt;""),Input!$B$44&amp;";",""),IF(AND($G41&lt;Hta_25,$G41&gt;=Hba_25,Input!AG$45&lt;&gt;""),Input!$B$45&amp;";",""),IF(AND($G41&lt;Hta_26,$G41&gt;=Hba_26,Input!AG$46&lt;&gt;""),Input!$B$46&amp;";",""),IF(AND($G41&lt;Hta_27,$G41&gt;=Hba_27,Input!AG$47&lt;&gt;""),Input!$B$47&amp;";",""),IF(AND($G41&lt;Hta_28,$G41&gt;=Hba_28,Input!AG$48&lt;&gt;""),Input!$B$48&amp;";",""),IF(AND($G41&lt;Hta_29,$G41&gt;=Hba_29,Input!AG$49&lt;&gt;""),Input!$B$49&amp;";",""),IF(AND($G41&lt;Hta_30,$G41&gt;=Hba_30,Input!AG$50&lt;&gt;""),Input!$B$50&amp;";","")),"")</f>
        <v/>
      </c>
      <c r="CI41" s="25" t="str">
        <f>IFERROR(CONCATENATE(IF(AND($G41&lt;Hta_1,$G41&gt;=Hba_1,Input!AH$21&lt;&gt;""),Input!$B$21&amp;";",""),IF(AND($G41&lt;Hta_2,$G41&gt;=Hba_2,Input!AH$22&lt;&gt;""),Input!$B$22&amp;";",""),IF(AND($G41&lt;Hta_3,$G41&gt;=Hba_3,Input!AH$23&lt;&gt;""),Input!$B$23&amp;";",""),IF(AND($G41&lt;Hta_4,$G41&gt;=Hba_4,Input!AH$24&lt;&gt;""),Input!$B$24&amp;";",""),IF(AND($G41&lt;Hta_5,$G41&gt;=Hba_5,Input!AH$25&lt;&gt;""),Input!$B$25&amp;";",""),IF(AND($G41&lt;Hta_6,$G41&gt;=Hba_6,Input!AH$26&lt;&gt;""),Input!$B$26&amp;";",""),IF(AND($G41&lt;Hta_7,$G41&gt;=Hba_7,Input!AH$27&lt;&gt;""),Input!$B$27&amp;";",""),IF(AND($G41&lt;Hta_8,$G41&gt;=Hba_8,Input!AH$28&lt;&gt;""),Input!$B$28&amp;";",""),IF(AND($G41&lt;Hta_9,$G41&gt;=Hba_9,Input!AH$29&lt;&gt;""),Input!$B$29&amp;";",""),IF(AND($G41&lt;Hta_10,$G41&gt;=Hba_10,Input!AH$30&lt;&gt;""),Input!$B$30&amp;";",""),IF(AND($G41&lt;Hta_11,$G41&gt;=Hba_11,Input!AH$31&lt;&gt;""),Input!$B$31&amp;";",""),IF(AND($G41&lt;Hta_12,$G41&gt;=Hba_12,Input!AH$32&lt;&gt;""),Input!$B$32&amp;";",""),IF(AND($G41&lt;Hta_13,$G41&gt;=Hba_13,Input!AH$33&lt;&gt;""),Input!$B$33&amp;";",""),IF(AND($G41&lt;Hta_14,$G41&gt;=Hba_14,Input!AH$34&lt;&gt;""),Input!$B$34&amp;";",""),IF(AND($G41&lt;Hta_15,$G41&gt;=Hba_15,Input!AH$35&lt;&gt;""),Input!$B$35&amp;";",""),IF(AND($G41&lt;Hta_16,$G41&gt;=Hba_16,Input!AH$36&lt;&gt;""),Input!$B$36&amp;";",""),IF(AND($G41&lt;Hta_17,$G41&gt;=Hba_17,Input!AH$37&lt;&gt;""),Input!$B$37&amp;";",""),IF(AND($G41&lt;Hta_18,$G41&gt;=Hba_18,Input!AH$38&lt;&gt;""),Input!$B$38&amp;";",""),IF(AND($G41&lt;Hta_19,$G41&gt;=Hba_19,Input!AH$39&lt;&gt;""),Input!$B$39&amp;";",""),IF(AND($G41&lt;Hta_20,$G41&gt;=Hba_20,Input!AH$40&lt;&gt;""),Input!$B$40&amp;";",""),IF(AND($G41&lt;Hta_21,$G41&gt;=Hba_21,Input!AH$41&lt;&gt;""),Input!$B$41&amp;";",""),IF(AND($G41&lt;Hta_22,$G41&gt;=Hba_22,Input!AH$42&lt;&gt;""),Input!$B$42&amp;";",""),IF(AND($G41&lt;Hta_23,$G41&gt;=Hba_23,Input!AH$43&lt;&gt;""),Input!$B$43&amp;";",""),IF(AND($G41&lt;Hta_24,$G41&gt;=Hba_24,Input!AH$44&lt;&gt;""),Input!$B$44&amp;";",""),IF(AND($G41&lt;Hta_25,$G41&gt;=Hba_25,Input!AH$45&lt;&gt;""),Input!$B$45&amp;";",""),IF(AND($G41&lt;Hta_26,$G41&gt;=Hba_26,Input!AH$46&lt;&gt;""),Input!$B$46&amp;";",""),IF(AND($G41&lt;Hta_27,$G41&gt;=Hba_27,Input!AH$47&lt;&gt;""),Input!$B$47&amp;";",""),IF(AND($G41&lt;Hta_28,$G41&gt;=Hba_28,Input!AH$48&lt;&gt;""),Input!$B$48&amp;";",""),IF(AND($G41&lt;Hta_29,$G41&gt;=Hba_29,Input!AH$49&lt;&gt;""),Input!$B$49&amp;";",""),IF(AND($G41&lt;Hta_30,$G41&gt;=Hba_30,Input!AH$50&lt;&gt;""),Input!$B$50&amp;";","")),"")</f>
        <v/>
      </c>
      <c r="CJ41" s="25" t="str">
        <f>IFERROR(CONCATENATE(IF(AND($G41&lt;Hta_1,$G41&gt;=Hba_1,Input!AI$21&lt;&gt;""),Input!$B$21&amp;";",""),IF(AND($G41&lt;Hta_2,$G41&gt;=Hba_2,Input!AI$22&lt;&gt;""),Input!$B$22&amp;";",""),IF(AND($G41&lt;Hta_3,$G41&gt;=Hba_3,Input!AI$23&lt;&gt;""),Input!$B$23&amp;";",""),IF(AND($G41&lt;Hta_4,$G41&gt;=Hba_4,Input!AI$24&lt;&gt;""),Input!$B$24&amp;";",""),IF(AND($G41&lt;Hta_5,$G41&gt;=Hba_5,Input!AI$25&lt;&gt;""),Input!$B$25&amp;";",""),IF(AND($G41&lt;Hta_6,$G41&gt;=Hba_6,Input!AI$26&lt;&gt;""),Input!$B$26&amp;";",""),IF(AND($G41&lt;Hta_7,$G41&gt;=Hba_7,Input!AI$27&lt;&gt;""),Input!$B$27&amp;";",""),IF(AND($G41&lt;Hta_8,$G41&gt;=Hba_8,Input!AI$28&lt;&gt;""),Input!$B$28&amp;";",""),IF(AND($G41&lt;Hta_9,$G41&gt;=Hba_9,Input!AI$29&lt;&gt;""),Input!$B$29&amp;";",""),IF(AND($G41&lt;Hta_10,$G41&gt;=Hba_10,Input!AI$30&lt;&gt;""),Input!$B$30&amp;";",""),IF(AND($G41&lt;Hta_11,$G41&gt;=Hba_11,Input!AI$31&lt;&gt;""),Input!$B$31&amp;";",""),IF(AND($G41&lt;Hta_12,$G41&gt;=Hba_12,Input!AI$32&lt;&gt;""),Input!$B$32&amp;";",""),IF(AND($G41&lt;Hta_13,$G41&gt;=Hba_13,Input!AI$33&lt;&gt;""),Input!$B$33&amp;";",""),IF(AND($G41&lt;Hta_14,$G41&gt;=Hba_14,Input!AI$34&lt;&gt;""),Input!$B$34&amp;";",""),IF(AND($G41&lt;Hta_15,$G41&gt;=Hba_15,Input!AI$35&lt;&gt;""),Input!$B$35&amp;";",""),IF(AND($G41&lt;Hta_16,$G41&gt;=Hba_16,Input!AI$36&lt;&gt;""),Input!$B$36&amp;";",""),IF(AND($G41&lt;Hta_17,$G41&gt;=Hba_17,Input!AI$37&lt;&gt;""),Input!$B$37&amp;";",""),IF(AND($G41&lt;Hta_18,$G41&gt;=Hba_18,Input!AI$38&lt;&gt;""),Input!$B$38&amp;";",""),IF(AND($G41&lt;Hta_19,$G41&gt;=Hba_19,Input!AI$39&lt;&gt;""),Input!$B$39&amp;";",""),IF(AND($G41&lt;Hta_20,$G41&gt;=Hba_20,Input!AI$40&lt;&gt;""),Input!$B$40&amp;";",""),IF(AND($G41&lt;Hta_21,$G41&gt;=Hba_21,Input!AI$41&lt;&gt;""),Input!$B$41&amp;";",""),IF(AND($G41&lt;Hta_22,$G41&gt;=Hba_22,Input!AI$42&lt;&gt;""),Input!$B$42&amp;";",""),IF(AND($G41&lt;Hta_23,$G41&gt;=Hba_23,Input!AI$43&lt;&gt;""),Input!$B$43&amp;";",""),IF(AND($G41&lt;Hta_24,$G41&gt;=Hba_24,Input!AI$44&lt;&gt;""),Input!$B$44&amp;";",""),IF(AND($G41&lt;Hta_25,$G41&gt;=Hba_25,Input!AI$45&lt;&gt;""),Input!$B$45&amp;";",""),IF(AND($G41&lt;Hta_26,$G41&gt;=Hba_26,Input!AI$46&lt;&gt;""),Input!$B$46&amp;";",""),IF(AND($G41&lt;Hta_27,$G41&gt;=Hba_27,Input!AI$47&lt;&gt;""),Input!$B$47&amp;";",""),IF(AND($G41&lt;Hta_28,$G41&gt;=Hba_28,Input!AI$48&lt;&gt;""),Input!$B$48&amp;";",""),IF(AND($G41&lt;Hta_29,$G41&gt;=Hba_29,Input!AI$49&lt;&gt;""),Input!$B$49&amp;";",""),IF(AND($G41&lt;Hta_30,$G41&gt;=Hba_30,Input!AI$50&lt;&gt;""),Input!$B$50&amp;";","")),"")</f>
        <v/>
      </c>
      <c r="CK41" s="25" t="str">
        <f>IFERROR(CONCATENATE(IF(AND($G41&lt;Hta_1,$G41&gt;=Hba_1,Input!AJ$21&lt;&gt;""),Input!$B$21&amp;";",""),IF(AND($G41&lt;Hta_2,$G41&gt;=Hba_2,Input!AJ$22&lt;&gt;""),Input!$B$22&amp;";",""),IF(AND($G41&lt;Hta_3,$G41&gt;=Hba_3,Input!AJ$23&lt;&gt;""),Input!$B$23&amp;";",""),IF(AND($G41&lt;Hta_4,$G41&gt;=Hba_4,Input!AJ$24&lt;&gt;""),Input!$B$24&amp;";",""),IF(AND($G41&lt;Hta_5,$G41&gt;=Hba_5,Input!AJ$25&lt;&gt;""),Input!$B$25&amp;";",""),IF(AND($G41&lt;Hta_6,$G41&gt;=Hba_6,Input!AJ$26&lt;&gt;""),Input!$B$26&amp;";",""),IF(AND($G41&lt;Hta_7,$G41&gt;=Hba_7,Input!AJ$27&lt;&gt;""),Input!$B$27&amp;";",""),IF(AND($G41&lt;Hta_8,$G41&gt;=Hba_8,Input!AJ$28&lt;&gt;""),Input!$B$28&amp;";",""),IF(AND($G41&lt;Hta_9,$G41&gt;=Hba_9,Input!AJ$29&lt;&gt;""),Input!$B$29&amp;";",""),IF(AND($G41&lt;Hta_10,$G41&gt;=Hba_10,Input!AJ$30&lt;&gt;""),Input!$B$30&amp;";",""),IF(AND($G41&lt;Hta_11,$G41&gt;=Hba_11,Input!AJ$31&lt;&gt;""),Input!$B$31&amp;";",""),IF(AND($G41&lt;Hta_12,$G41&gt;=Hba_12,Input!AJ$32&lt;&gt;""),Input!$B$32&amp;";",""),IF(AND($G41&lt;Hta_13,$G41&gt;=Hba_13,Input!AJ$33&lt;&gt;""),Input!$B$33&amp;";",""),IF(AND($G41&lt;Hta_14,$G41&gt;=Hba_14,Input!AJ$34&lt;&gt;""),Input!$B$34&amp;";",""),IF(AND($G41&lt;Hta_15,$G41&gt;=Hba_15,Input!AJ$35&lt;&gt;""),Input!$B$35&amp;";",""),IF(AND($G41&lt;Hta_16,$G41&gt;=Hba_16,Input!AJ$36&lt;&gt;""),Input!$B$36&amp;";",""),IF(AND($G41&lt;Hta_17,$G41&gt;=Hba_17,Input!AJ$37&lt;&gt;""),Input!$B$37&amp;";",""),IF(AND($G41&lt;Hta_18,$G41&gt;=Hba_18,Input!AJ$38&lt;&gt;""),Input!$B$38&amp;";",""),IF(AND($G41&lt;Hta_19,$G41&gt;=Hba_19,Input!AJ$39&lt;&gt;""),Input!$B$39&amp;";",""),IF(AND($G41&lt;Hta_20,$G41&gt;=Hba_20,Input!AJ$40&lt;&gt;""),Input!$B$40&amp;";",""),IF(AND($G41&lt;Hta_21,$G41&gt;=Hba_21,Input!AJ$41&lt;&gt;""),Input!$B$41&amp;";",""),IF(AND($G41&lt;Hta_22,$G41&gt;=Hba_22,Input!AJ$42&lt;&gt;""),Input!$B$42&amp;";",""),IF(AND($G41&lt;Hta_23,$G41&gt;=Hba_23,Input!AJ$43&lt;&gt;""),Input!$B$43&amp;";",""),IF(AND($G41&lt;Hta_24,$G41&gt;=Hba_24,Input!AJ$44&lt;&gt;""),Input!$B$44&amp;";",""),IF(AND($G41&lt;Hta_25,$G41&gt;=Hba_25,Input!AJ$45&lt;&gt;""),Input!$B$45&amp;";",""),IF(AND($G41&lt;Hta_26,$G41&gt;=Hba_26,Input!AJ$46&lt;&gt;""),Input!$B$46&amp;";",""),IF(AND($G41&lt;Hta_27,$G41&gt;=Hba_27,Input!AJ$47&lt;&gt;""),Input!$B$47&amp;";",""),IF(AND($G41&lt;Hta_28,$G41&gt;=Hba_28,Input!AJ$48&lt;&gt;""),Input!$B$48&amp;";",""),IF(AND($G41&lt;Hta_29,$G41&gt;=Hba_29,Input!AJ$49&lt;&gt;""),Input!$B$49&amp;";",""),IF(AND($G41&lt;Hta_30,$G41&gt;=Hba_30,Input!AJ$50&lt;&gt;""),Input!$B$50&amp;";","")),"")</f>
        <v/>
      </c>
      <c r="CL41" s="25" t="str">
        <f>IFERROR(CONCATENATE(IF(AND($G41&lt;Hta_1,$G41&gt;=Hba_1,Input!AK$21&lt;&gt;""),Input!$B$21&amp;";",""),IF(AND($G41&lt;Hta_2,$G41&gt;=Hba_2,Input!AK$22&lt;&gt;""),Input!$B$22&amp;";",""),IF(AND($G41&lt;Hta_3,$G41&gt;=Hba_3,Input!AK$23&lt;&gt;""),Input!$B$23&amp;";",""),IF(AND($G41&lt;Hta_4,$G41&gt;=Hba_4,Input!AK$24&lt;&gt;""),Input!$B$24&amp;";",""),IF(AND($G41&lt;Hta_5,$G41&gt;=Hba_5,Input!AK$25&lt;&gt;""),Input!$B$25&amp;";",""),IF(AND($G41&lt;Hta_6,$G41&gt;=Hba_6,Input!AK$26&lt;&gt;""),Input!$B$26&amp;";",""),IF(AND($G41&lt;Hta_7,$G41&gt;=Hba_7,Input!AK$27&lt;&gt;""),Input!$B$27&amp;";",""),IF(AND($G41&lt;Hta_8,$G41&gt;=Hba_8,Input!AK$28&lt;&gt;""),Input!$B$28&amp;";",""),IF(AND($G41&lt;Hta_9,$G41&gt;=Hba_9,Input!AK$29&lt;&gt;""),Input!$B$29&amp;";",""),IF(AND($G41&lt;Hta_10,$G41&gt;=Hba_10,Input!AK$30&lt;&gt;""),Input!$B$30&amp;";",""),IF(AND($G41&lt;Hta_11,$G41&gt;=Hba_11,Input!AK$31&lt;&gt;""),Input!$B$31&amp;";",""),IF(AND($G41&lt;Hta_12,$G41&gt;=Hba_12,Input!AK$32&lt;&gt;""),Input!$B$32&amp;";",""),IF(AND($G41&lt;Hta_13,$G41&gt;=Hba_13,Input!AK$33&lt;&gt;""),Input!$B$33&amp;";",""),IF(AND($G41&lt;Hta_14,$G41&gt;=Hba_14,Input!AK$34&lt;&gt;""),Input!$B$34&amp;";",""),IF(AND($G41&lt;Hta_15,$G41&gt;=Hba_15,Input!AK$35&lt;&gt;""),Input!$B$35&amp;";",""),IF(AND($G41&lt;Hta_16,$G41&gt;=Hba_16,Input!AK$36&lt;&gt;""),Input!$B$36&amp;";",""),IF(AND($G41&lt;Hta_17,$G41&gt;=Hba_17,Input!AK$37&lt;&gt;""),Input!$B$37&amp;";",""),IF(AND($G41&lt;Hta_18,$G41&gt;=Hba_18,Input!AK$38&lt;&gt;""),Input!$B$38&amp;";",""),IF(AND($G41&lt;Hta_19,$G41&gt;=Hba_19,Input!AK$39&lt;&gt;""),Input!$B$39&amp;";",""),IF(AND($G41&lt;Hta_20,$G41&gt;=Hba_20,Input!AK$40&lt;&gt;""),Input!$B$40&amp;";",""),IF(AND($G41&lt;Hta_21,$G41&gt;=Hba_21,Input!AK$41&lt;&gt;""),Input!$B$41&amp;";",""),IF(AND($G41&lt;Hta_22,$G41&gt;=Hba_22,Input!AK$42&lt;&gt;""),Input!$B$42&amp;";",""),IF(AND($G41&lt;Hta_23,$G41&gt;=Hba_23,Input!AK$43&lt;&gt;""),Input!$B$43&amp;";",""),IF(AND($G41&lt;Hta_24,$G41&gt;=Hba_24,Input!AK$44&lt;&gt;""),Input!$B$44&amp;";",""),IF(AND($G41&lt;Hta_25,$G41&gt;=Hba_25,Input!AK$45&lt;&gt;""),Input!$B$45&amp;";",""),IF(AND($G41&lt;Hta_26,$G41&gt;=Hba_26,Input!AK$46&lt;&gt;""),Input!$B$46&amp;";",""),IF(AND($G41&lt;Hta_27,$G41&gt;=Hba_27,Input!AK$47&lt;&gt;""),Input!$B$47&amp;";",""),IF(AND($G41&lt;Hta_28,$G41&gt;=Hba_28,Input!AK$48&lt;&gt;""),Input!$B$48&amp;";",""),IF(AND($G41&lt;Hta_29,$G41&gt;=Hba_29,Input!AK$49&lt;&gt;""),Input!$B$49&amp;";",""),IF(AND($G41&lt;Hta_30,$G41&gt;=Hba_30,Input!AK$50&lt;&gt;""),Input!$B$50&amp;";","")),"")</f>
        <v/>
      </c>
      <c r="CM41" s="25" t="str">
        <f>IFERROR(CONCATENATE(IF(AND($G41&lt;Hta_1,$G41&gt;=Hba_1,Input!AL$21&lt;&gt;""),Input!$B$21&amp;";",""),IF(AND($G41&lt;Hta_2,$G41&gt;=Hba_2,Input!AL$22&lt;&gt;""),Input!$B$22&amp;";",""),IF(AND($G41&lt;Hta_3,$G41&gt;=Hba_3,Input!AL$23&lt;&gt;""),Input!$B$23&amp;";",""),IF(AND($G41&lt;Hta_4,$G41&gt;=Hba_4,Input!AL$24&lt;&gt;""),Input!$B$24&amp;";",""),IF(AND($G41&lt;Hta_5,$G41&gt;=Hba_5,Input!AL$25&lt;&gt;""),Input!$B$25&amp;";",""),IF(AND($G41&lt;Hta_6,$G41&gt;=Hba_6,Input!AL$26&lt;&gt;""),Input!$B$26&amp;";",""),IF(AND($G41&lt;Hta_7,$G41&gt;=Hba_7,Input!AL$27&lt;&gt;""),Input!$B$27&amp;";",""),IF(AND($G41&lt;Hta_8,$G41&gt;=Hba_8,Input!AL$28&lt;&gt;""),Input!$B$28&amp;";",""),IF(AND($G41&lt;Hta_9,$G41&gt;=Hba_9,Input!AL$29&lt;&gt;""),Input!$B$29&amp;";",""),IF(AND($G41&lt;Hta_10,$G41&gt;=Hba_10,Input!AL$30&lt;&gt;""),Input!$B$30&amp;";",""),IF(AND($G41&lt;Hta_11,$G41&gt;=Hba_11,Input!AL$31&lt;&gt;""),Input!$B$31&amp;";",""),IF(AND($G41&lt;Hta_12,$G41&gt;=Hba_12,Input!AL$32&lt;&gt;""),Input!$B$32&amp;";",""),IF(AND($G41&lt;Hta_13,$G41&gt;=Hba_13,Input!AL$33&lt;&gt;""),Input!$B$33&amp;";",""),IF(AND($G41&lt;Hta_14,$G41&gt;=Hba_14,Input!AL$34&lt;&gt;""),Input!$B$34&amp;";",""),IF(AND($G41&lt;Hta_15,$G41&gt;=Hba_15,Input!AL$35&lt;&gt;""),Input!$B$35&amp;";",""),IF(AND($G41&lt;Hta_16,$G41&gt;=Hba_16,Input!AL$36&lt;&gt;""),Input!$B$36&amp;";",""),IF(AND($G41&lt;Hta_17,$G41&gt;=Hba_17,Input!AL$37&lt;&gt;""),Input!$B$37&amp;";",""),IF(AND($G41&lt;Hta_18,$G41&gt;=Hba_18,Input!AL$38&lt;&gt;""),Input!$B$38&amp;";",""),IF(AND($G41&lt;Hta_19,$G41&gt;=Hba_19,Input!AL$39&lt;&gt;""),Input!$B$39&amp;";",""),IF(AND($G41&lt;Hta_20,$G41&gt;=Hba_20,Input!AL$40&lt;&gt;""),Input!$B$40&amp;";",""),IF(AND($G41&lt;Hta_21,$G41&gt;=Hba_21,Input!AL$41&lt;&gt;""),Input!$B$41&amp;";",""),IF(AND($G41&lt;Hta_22,$G41&gt;=Hba_22,Input!AL$42&lt;&gt;""),Input!$B$42&amp;";",""),IF(AND($G41&lt;Hta_23,$G41&gt;=Hba_23,Input!AL$43&lt;&gt;""),Input!$B$43&amp;";",""),IF(AND($G41&lt;Hta_24,$G41&gt;=Hba_24,Input!AL$44&lt;&gt;""),Input!$B$44&amp;";",""),IF(AND($G41&lt;Hta_25,$G41&gt;=Hba_25,Input!AL$45&lt;&gt;""),Input!$B$45&amp;";",""),IF(AND($G41&lt;Hta_26,$G41&gt;=Hba_26,Input!AL$46&lt;&gt;""),Input!$B$46&amp;";",""),IF(AND($G41&lt;Hta_27,$G41&gt;=Hba_27,Input!AL$47&lt;&gt;""),Input!$B$47&amp;";",""),IF(AND($G41&lt;Hta_28,$G41&gt;=Hba_28,Input!AL$48&lt;&gt;""),Input!$B$48&amp;";",""),IF(AND($G41&lt;Hta_29,$G41&gt;=Hba_29,Input!AL$49&lt;&gt;""),Input!$B$49&amp;";",""),IF(AND($G41&lt;Hta_30,$G41&gt;=Hba_30,Input!AL$50&lt;&gt;""),Input!$B$50&amp;";","")),"")</f>
        <v/>
      </c>
      <c r="CN41" s="60" t="str">
        <f t="shared" si="6"/>
        <v/>
      </c>
      <c r="CO41" s="798"/>
      <c r="CP41" s="799"/>
      <c r="CQ41" s="800"/>
      <c r="CR41" s="798"/>
      <c r="CS41" s="799"/>
      <c r="CT41" s="800"/>
      <c r="CU41" s="798" t="str">
        <f t="shared" si="7"/>
        <v/>
      </c>
      <c r="CV41" s="799"/>
      <c r="CW41" s="806"/>
      <c r="CX41" s="726"/>
      <c r="CY41" s="727"/>
      <c r="CZ41" s="732"/>
      <c r="DA41" s="726"/>
      <c r="DB41" s="727"/>
      <c r="DC41" s="732"/>
      <c r="DD41" s="726" t="str">
        <f t="shared" si="8"/>
        <v/>
      </c>
      <c r="DE41" s="727"/>
      <c r="DF41" s="728"/>
      <c r="DG41" s="53"/>
      <c r="DH41" s="54"/>
      <c r="DI41" s="54"/>
      <c r="DJ41" s="54"/>
      <c r="DK41" s="54"/>
      <c r="DL41" s="54"/>
      <c r="DM41" s="54"/>
      <c r="DN41" s="54"/>
      <c r="DO41" s="54"/>
      <c r="DP41" s="54"/>
      <c r="DQ41" s="57"/>
      <c r="DR41" s="57"/>
      <c r="DS41" s="57"/>
      <c r="DT41" s="57"/>
      <c r="DU41" s="57"/>
      <c r="DV41" s="57"/>
      <c r="DW41" s="57"/>
      <c r="DX41" s="57"/>
      <c r="DY41" s="57"/>
      <c r="DZ41" s="57"/>
      <c r="EA41" s="57"/>
      <c r="EB41" s="57"/>
      <c r="EC41" s="57"/>
      <c r="ED41" s="57"/>
      <c r="EE41" s="57"/>
      <c r="EF41" s="57"/>
      <c r="EG41" s="57"/>
      <c r="EH41" s="57"/>
      <c r="EI41" s="57"/>
      <c r="EJ41" s="57"/>
      <c r="EK41" s="57"/>
      <c r="EL41" s="133"/>
      <c r="EM41" s="133"/>
      <c r="EN41" s="133"/>
      <c r="EO41" s="133"/>
      <c r="EP41" s="133"/>
      <c r="EQ41" s="133"/>
      <c r="ER41" s="133"/>
      <c r="ES41" s="133"/>
      <c r="ET41" s="133"/>
      <c r="EU41" s="133"/>
      <c r="EV41" s="133"/>
      <c r="EW41" s="133"/>
      <c r="EX41" s="133"/>
      <c r="EY41" s="133"/>
      <c r="EZ41" s="133"/>
      <c r="FA41" s="133"/>
      <c r="FB41" s="133"/>
      <c r="FC41" s="133"/>
      <c r="FD41" s="133"/>
      <c r="FE41" s="133"/>
      <c r="FF41" s="133"/>
      <c r="FG41" s="133"/>
      <c r="FH41" s="133"/>
      <c r="FI41" s="133"/>
      <c r="FJ41" s="133"/>
      <c r="FK41" s="133"/>
      <c r="FL41" s="133"/>
      <c r="FM41" s="133"/>
      <c r="FN41" s="133"/>
      <c r="FO41" s="133"/>
      <c r="FP41" s="65"/>
      <c r="FQ41" s="125"/>
      <c r="FR41" s="123"/>
      <c r="FS41" s="121"/>
      <c r="FT41" s="119"/>
    </row>
    <row r="42" spans="2:176" ht="15.75" hidden="1" customHeight="1" thickBot="1" x14ac:dyDescent="0.3">
      <c r="B42" s="62" t="b">
        <f>IF(OR(AND(G42&gt;='Geometry 2'!$AK$5,G42&lt;'Geometry 2'!$AL$5),AND(G42&gt;='Geometry 2'!$AK$6,G42&lt;'Geometry 2'!$AL$6),AND(G42&gt;='Geometry 2'!$AK$7,G42&lt;'Geometry 2'!$AL$7),AND(G42&gt;='Geometry 2'!$AK$8,G42&lt;'Geometry 2'!$AL$8),AND(G42&gt;='Geometry 2'!$AK$9,G42&lt;'Geometry 2'!$AL$9),AND(G42&gt;='Geometry 2'!$AK$10,G42&lt;'Geometry 2'!$AL$10),AND(G42&gt;='Geometry 2'!$AK$11,G42&lt;'Geometry 2'!$AL$11),AND(G42&gt;='Geometry 2'!$AK$12,G42&lt;'Geometry 2'!$AL$12),AND(G42&gt;='Geometry 2'!$AK$13,G42&lt;'Geometry 2'!$AL$13),AND(G42&gt;='Geometry 2'!$AK$14,G42&lt;'Geometry 2'!$AL$14)),TRUE,FALSE)</f>
        <v>0</v>
      </c>
      <c r="C42" s="4" t="str">
        <f t="shared" si="3"/>
        <v/>
      </c>
      <c r="D42" s="766" t="str">
        <f t="shared" si="4"/>
        <v/>
      </c>
      <c r="E42" s="767"/>
      <c r="F42" s="17" t="str">
        <f t="shared" si="2"/>
        <v/>
      </c>
      <c r="G42" s="768" t="str">
        <f>IF(D42="","",MAX(0,G41-IF(inc="n/a",999,inc),MAX(IF(G41&lt;=Hta_1,0,Hta_1),IF(G41&lt;=Hta_2,0,Hta_2),IF(G41&lt;=Hta_3,0,Hta_3),IF(G41&lt;=Hta_4,0,Hta_4),IF(G41&lt;=Hta_5,0,Hta_5),IF(G41&lt;=Hta_6,0,Hta_6),IF(G41&lt;=Hta_7,0,Hta_7),IF(G41&lt;=Hta_8,0,Hta_8),IF(G41&lt;=Hta_9,0,Hta_9),IF(G41&lt;=Hta_10,0,Hta_10),IF(G41&lt;=Hta_11,0,Hta_11),IF(G41&lt;=Hta_12,0,Hta_12),IF(G41&lt;=Hta_13,0,Hta_13),IF(G41&lt;=Hta_14,0,Hta_14),IF(G41&lt;=Hta_15,0,Hta_15),IF(G41&lt;=Hta_16,0,Hta_16),IF(G41&lt;=Hta_17,0,Hta_17),IF(G41&lt;=Hta_18,0,Hta_18),IF(G41&lt;=Hta_19,0,Hta_19),IF(G41&lt;=Hta_20,0,Hta_20),IF(G41&lt;=Hta_21,0,Hta_21),IF(G41&lt;=Hta_22,0,Hta_22),IF(G41&lt;=Hta_23,0,Hta_23),IF(G41&lt;=Hta_24,0,Hta_24),IF(G41&lt;=Hta_25,0,Hta_25),IF(G41&lt;=Hta_26,0,Hta_26),IF(G41&lt;=Hta_27,0,Hta_27),IF(G41&lt;=Hta_28,0,Hta_28),IF(G41&lt;=Hta_29,0,Hta_29),IF(G41&lt;=Hta_30,0,Hta_30)),MAX(IF(G41&lt;=Hta_1-0.25,0,Hta_1-0.25),IF(G41&lt;=Hta_2-0.25,0,Hta_2-0.25),IF(G41&lt;=Hta_3-0.25,0,Hta_3-0.25),IF(G41&lt;=Hta_4-0.25,0,Hta_4-0.25),IF(G41&lt;=Hta_5-0.25,0,Hta_5-0.25),IF(G41&lt;=Hta_6-0.25,0,Hta_6-0.25),IF(G41&lt;=Hta_7-0.25,0,Hta_7-0.25),IF(G41&lt;=Hta_8-0.25,0,Hta_8-0.25),IF(G41&lt;=Hta_9-0.25,0,Hta_9-0.25),IF(G41&lt;=Hta_10-0.25,0,Hta_10-0.25),IF(G41&lt;=Hta_11-0.25,0,Hta_11-0.25),IF(G41&lt;=Hta_12-0.25,0,Hta_12-0.25),IF(G41&lt;=Hta_13-0.25,0,Hta_13-0.25),IF(G41&lt;=Hta_14-0.25,0,Hta_14-0.25),IF(G41&lt;=Hta_15-0.25,0,Hta_15-0.25),IF(G41&lt;=Hta_16-0.25,0,Hta_16-0.25),IF(G41&lt;=Hta_17-0.25,0,Hta_17-0.25),IF(G41&lt;=Hta_18-0.25,0,Hta_18-0.25),IF(G41&lt;=Hta_19-0.25,0,Hta_19-0.25),IF(G41&lt;=Hta_20-0.25,0,Hta_20-0.25),IF(G41&lt;=Hta_21-0.25,0,Hta_21-0.25),IF(G41&lt;=Hta_22-0.25,0,Hta_22-0.25),IF(G41&lt;=Hta_23-0.25,0,Hta_23-0.25),IF(G41&lt;=Hta_24-0.25,0,Hta_24-0.25),IF(G41&lt;=Hta_25-0.25,0,Hta_25-0.25),IF(G41&lt;=Hta_26-0.25,0,Hta_26-0.25),IF(G41&lt;=Hta_27-0.25,0,Hta_27-0.25),IF(G41&lt;=Hta_28-0.25,0,Hta_28-0.25),IF(G41&lt;=Hta_29-0.25,0,Hta_29-0.25),IF(G41&lt;=Hta_30-0.25,0,Hta_30-0.25)),MAX(IF(G41&lt;=Hba_1,0,Hba_1),IF(G41&lt;=Hba_2,0,Hba_2),IF(G41&lt;=Hba_3,0,Hba_3),IF(G41&lt;=Hba_4,0,Hba_4),IF(G41&lt;=Hba_5,0,Hba_5),IF(G41&lt;=Hba_6,0,Hba_6),IF(G41&lt;=Hba_7,0,Hba_7),IF(G41&lt;=Hba_8,0,Hba_8),IF(G41&lt;=Hba_9,0,Hba_9),IF(G41&lt;=Hba_10,0,Hba_10),IF(G41&lt;=Hba_11,0,Hba_11),IF(G41&lt;=Hba_12,0,Hba_12),IF(G41&lt;=Hba_13,0,Hba_13),IF(G41&lt;=Hba_14,0,Hba_14),IF(G41&lt;=Hba_15,0,Hba_15),IF(G41&lt;=Hba_16,0,Hba_16),IF(G41&lt;=Hba_17,0,Hba_17),IF(G41&lt;=Hba_18,0,Hba_18),IF(G41&lt;=Hba_19,0,Hba_19),IF(G41&lt;=Hba_20,0,Hba_20),IF(G41&lt;=Hba_21,0,Hba_21),IF(G41&lt;=Hba_22,0,Hba_22),IF(G41&lt;=Hba_23,0,Hba_23),IF(G41&lt;=Hba_24,0,Hba_24),IF(G41&lt;=Hba_25,0,Hba_25),IF(G41&lt;=Hba_26,0,Hba_26),IF(G41&lt;=Hba_27,0,Hba_27),IF(G41&lt;=Hba_28,0,Hba_28),IF(G41&lt;=Hba_29,0,Hba_29),IF(G41&lt;=Hba_30,0,Hba_30)),MAX(IF(G41&lt;=Input!$C$8,0,Input!$C$8),IF(G41&lt;=Input!$C$9,0,Input!$C$9),IF(G41&lt;=Input!$C$10,0,Input!$C$10),IF(G41&lt;=Input!$C$11,0,Input!$C$11),IF(G41&lt;=Input!$C$12,0,Input!$C$12),IF(G41&lt;=Input!$C$13,0,Input!$C$13),IF(G41&lt;=Input!$C$14,0,Input!$C$14),IF(G41&lt;=Input!$C$15,0,Input!$C$15),IF(G41&lt;=Input!$C$16,0,Input!$C$16)),MAX(IF(G41&lt;=Hba_1-0.25,0,Hba_1-0.25),IF(G41&lt;=Hba_2-0.25,0,Hba_2-0.25),IF(G41&lt;=Hba_3-0.25,0,Hba_3-0.25),IF(G41&lt;=Hba_4-0.25,0,Hba_4-0.25),IF(G41&lt;=Hba_5-0.25,0,Hba_5-0.25),IF(G41&lt;=Hba_6-0.25,0,Hba_6-0.25),IF(G41&lt;=Hba_7-0.25,0,Hba_7-0.25),IF(G41&lt;=Hba_8-0.25,0,Hba_8-0.25),IF(G41&lt;=Hba_9-0.25,0,Hba_9-0.25),IF(G41&lt;=Hba_10-0.25,0,Hba_10-0.25),IF(G41&lt;=Hba_11-0.25,0,Hba_11-0.25),IF(G41&lt;=Hba_12-0.25,0,Hba_12-0.25),IF(G41&lt;=Hba_13-0.25,0,Hba_13-0.25),IF(G41&lt;=Hba_14-0.25,0,Hba_14-0.25),IF(G41&lt;=Hba_15-0.25,0,Hba_15-0.25),IF(G41&lt;=Hba_16-0.25,0,Hba_16-0.25),IF(G41&lt;=Hba_17-0.25,0,Hba_17-0.25),IF(G41&lt;=Hba_18-0.25,0,Hba_18-0.25),IF(G41&lt;=Hba_19-0.25,0,Hba_19-0.25),IF(G41&lt;=Hba_20-0.25,0,Hba_20-0.25),IF(G41&lt;=Hba_21-0.25,0,Hba_21-0.25),IF(G41&lt;=Hba_22-0.25,0,Hba_22-0.25),IF(G41&lt;=Hba_23-0.25,0,Hba_23-0.25),IF(G41&lt;=Hba_24-0.25,0,Hba_24-0.25),IF(G41&lt;=Hba_25-0.25,0,Hba_25-0.25),IF(G41&lt;=Hba_26-0.25,0,Hba_26-0.25),IF(G41&lt;=Hba_27-0.25,0,Hba_27-0.25),IF(G41&lt;=Hba_28-0.25,0,Hba_28-0.25),IF(G41&lt;=Hba_29-0.25,0,Hba_29-0.25),IF(G41&lt;=Hba_30-0.25,0,Hba_30-0.25)),IF(G41&lt;='Macro References'!$A$38,0,'Macro References'!$A$38)))</f>
        <v/>
      </c>
      <c r="H42" s="769"/>
      <c r="I42" s="228"/>
      <c r="J42" s="228"/>
      <c r="K42" s="228"/>
      <c r="L42" s="717" t="str">
        <f t="shared" si="10"/>
        <v/>
      </c>
      <c r="M42" s="717"/>
      <c r="N42" s="717"/>
      <c r="O42" s="717"/>
      <c r="P42" s="717" t="str">
        <f>IF(OR(G42=0,G42=""),"",IF(VLOOKUP(G42,'Geometry 2'!$C$4:$AI$14,1,TRUE)=VLOOKUP(G43,'Geometry 2'!$C$4:$AI$14,1,TRUE),"",IF(VLOOKUP(G42,'Geometry 2'!$C$4:$AI$14,33,TRUE)&lt;&gt;"n/a",MIN(G42,VLOOKUP(G42,'Geometry 2'!$C$4:$AI$14,1,TRUE))-VLOOKUP(G42,'Geometry 2'!$C$4:$AI$14,33,TRUE),"check")))</f>
        <v/>
      </c>
      <c r="Q42" s="717"/>
      <c r="R42" s="717"/>
      <c r="S42" s="717"/>
      <c r="T42" s="717" t="str">
        <f>IF($G42="","",VLOOKUP($G42,'Geometry 2'!$E$4:$AH$14,11,TRUE))</f>
        <v/>
      </c>
      <c r="U42" s="717"/>
      <c r="V42" s="717"/>
      <c r="W42" s="717"/>
      <c r="X42" s="716" t="str">
        <f>IF($G42="","",VLOOKUP($G42,'Geometry 2'!$E$4:$AJ$14,19,TRUE)-12*VLOOKUP($G42,'Geometry 2'!$E$4:$AJ$14,32,TRUE)*($D42-VLOOKUP($G42,'Geometry 2'!$E$5:$AH$14,1,TRUE)))</f>
        <v/>
      </c>
      <c r="Y42" s="716"/>
      <c r="Z42" s="716"/>
      <c r="AA42" s="716"/>
      <c r="AB42" s="757" t="str">
        <f>IF($G42="","",VLOOKUP($G42,'Geometry 2'!$E$4:$AJ$14,19,TRUE)-12*VLOOKUP($G42,'Geometry 2'!$E$4:$AJ$14,32,TRUE)*($G42-VLOOKUP($G42,'Geometry 2'!$E$5:$AH$14,1,TRUE)))</f>
        <v/>
      </c>
      <c r="AC42" s="758"/>
      <c r="AD42" s="758"/>
      <c r="AE42" s="759"/>
      <c r="AF42" s="716" t="str">
        <f>IF($G42="","",VLOOKUP($G42,'Geometry 2'!$E$4:$AJ$14,19,TRUE)-12*VLOOKUP($G42,'Geometry 2'!$E$4:$AJ$14,32,TRUE)*($G42-IF($P42="",0,$P42)-VLOOKUP($G42,'Geometry 2'!$E$5:$AH$14,1,TRUE)))</f>
        <v/>
      </c>
      <c r="AG42" s="716"/>
      <c r="AH42" s="716"/>
      <c r="AI42" s="716"/>
      <c r="AJ42" s="746" t="str">
        <f>IF($G42="","",VLOOKUP($G42,'Geometry 2'!$E$4:$AH$14,23,TRUE))</f>
        <v/>
      </c>
      <c r="AK42" s="747"/>
      <c r="AL42" s="747"/>
      <c r="AM42" s="748"/>
      <c r="AN42" s="717"/>
      <c r="AO42" s="717"/>
      <c r="AP42" s="717"/>
      <c r="AQ42" s="717"/>
      <c r="AR42" s="717" t="str">
        <f>IF($G42="","",VLOOKUP($G42,'Geometry 2'!$E$4:$AH$14,27,TRUE))</f>
        <v/>
      </c>
      <c r="AS42" s="717"/>
      <c r="AT42" s="717"/>
      <c r="AU42" s="718"/>
      <c r="AV42" s="715"/>
      <c r="AW42" s="716"/>
      <c r="AX42" s="716"/>
      <c r="AZ42" s="722" t="str">
        <f t="shared" si="5"/>
        <v/>
      </c>
      <c r="BA42" s="723"/>
      <c r="BB42" s="723"/>
      <c r="BC42" s="724"/>
      <c r="BD42" s="722"/>
      <c r="BE42" s="723"/>
      <c r="BF42" s="723"/>
      <c r="BG42" s="722" t="str">
        <f t="shared" si="9"/>
        <v/>
      </c>
      <c r="BH42" s="723"/>
      <c r="BI42" s="723"/>
      <c r="BJ42" s="723"/>
      <c r="BK42" s="724"/>
      <c r="BL42" s="722"/>
      <c r="BM42" s="723"/>
      <c r="BN42" s="723"/>
      <c r="BO42" s="723"/>
      <c r="BP42" s="725"/>
      <c r="BQ42" s="725"/>
      <c r="BR42" s="722" t="str">
        <f>IF(BP42="","",IF(OR(AND(Rev="H",Calculations!$F$27=TRUE),AND(Rev&lt;&gt;"H",Calculations!$F$30=TRUE)),IF(BP42&lt;=1,"Pass","Fail"),IF(BP42&lt;=1.05,"Pass","Fail")))</f>
        <v/>
      </c>
      <c r="BS42" s="723"/>
      <c r="BT42" s="724"/>
      <c r="BU42" s="49"/>
      <c r="BV42" s="25" t="str">
        <f>IFERROR(CONCATENATE(IF(AND($G42&lt;Hta_1,$G42&gt;=Hba_1,Input!U$21&lt;&gt;""),Input!$B$21&amp;";",""),IF(AND($G42&lt;Hta_2,$G42&gt;=Hba_2,Input!U$22&lt;&gt;""),Input!$B$22&amp;";",""),IF(AND($G42&lt;Hta_3,$G42&gt;=Hba_3,Input!U$23&lt;&gt;""),Input!$B$23&amp;";",""),IF(AND($G42&lt;Hta_4,$G42&gt;=Hba_4,Input!U$24&lt;&gt;""),Input!$B$24&amp;";",""),IF(AND($G42&lt;Hta_5,$G42&gt;=Hba_5,Input!U$25&lt;&gt;""),Input!$B$25&amp;";",""),IF(AND($G42&lt;Hta_6,$G42&gt;=Hba_6,Input!U$26&lt;&gt;""),Input!$B$26&amp;";",""),IF(AND($G42&lt;Hta_7,$G42&gt;=Hba_7,Input!U$27&lt;&gt;""),Input!$B$27&amp;";",""),IF(AND($G42&lt;Hta_8,$G42&gt;=Hba_8,Input!U$28&lt;&gt;""),Input!$B$28&amp;";",""),IF(AND($G42&lt;Hta_9,$G42&gt;=Hba_9,Input!U$29&lt;&gt;""),Input!$B$29&amp;";",""),IF(AND($G42&lt;Hta_10,$G42&gt;=Hba_10,Input!U$30&lt;&gt;""),Input!$B$30&amp;";",""),IF(AND($G42&lt;Hta_11,$G42&gt;=Hba_11,Input!U$31&lt;&gt;""),Input!$B$31&amp;";",""),IF(AND($G42&lt;Hta_12,$G42&gt;=Hba_12,Input!U$32&lt;&gt;""),Input!$B$32&amp;";",""),IF(AND($G42&lt;Hta_13,$G42&gt;=Hba_13,Input!U$33&lt;&gt;""),Input!$B$33&amp;";",""),IF(AND($G42&lt;Hta_14,$G42&gt;=Hba_14,Input!U$34&lt;&gt;""),Input!$B$34&amp;";",""),IF(AND($G42&lt;Hta_15,$G42&gt;=Hba_15,Input!U$35&lt;&gt;""),Input!$B$35&amp;";",""),IF(AND($G42&lt;Hta_16,$G42&gt;=Hba_16,Input!U$36&lt;&gt;""),Input!$B$36&amp;";",""),IF(AND($G42&lt;Hta_17,$G42&gt;=Hba_17,Input!U$37&lt;&gt;""),Input!$B$37&amp;";",""),IF(AND($G42&lt;Hta_18,$G42&gt;=Hba_18,Input!U$38&lt;&gt;""),Input!$B$38&amp;";",""),IF(AND($G42&lt;Hta_19,$G42&gt;=Hba_19,Input!U$39&lt;&gt;""),Input!$B$39&amp;";",""),IF(AND($G42&lt;Hta_20,$G42&gt;=Hba_20,Input!U$40&lt;&gt;""),Input!$B$40&amp;";",""),IF(AND($G42&lt;Hta_21,$G42&gt;=Hba_21,Input!U$41&lt;&gt;""),Input!$B$41&amp;";",""),IF(AND($G42&lt;Hta_22,$G42&gt;=Hba_22,Input!U$42&lt;&gt;""),Input!$B$42&amp;";",""),IF(AND($G42&lt;Hta_23,$G42&gt;=Hba_23,Input!U$43&lt;&gt;""),Input!$B$43&amp;";",""),IF(AND($G42&lt;Hta_24,$G42&gt;=Hba_24,Input!U$44&lt;&gt;""),Input!$B$44&amp;";",""),IF(AND($G42&lt;Hta_25,$G42&gt;=Hba_25,Input!U$45&lt;&gt;""),Input!$B$45&amp;";",""),IF(AND($G42&lt;Hta_26,$G42&gt;=Hba_26,Input!U$46&lt;&gt;""),Input!$B$46&amp;";",""),IF(AND($G42&lt;Hta_27,$G42&gt;=Hba_27,Input!U$47&lt;&gt;""),Input!$B$47&amp;";",""),IF(AND($G42&lt;Hta_28,$G42&gt;=Hba_28,Input!U$48&lt;&gt;""),Input!$B$48&amp;";",""),IF(AND($G42&lt;Hta_29,$G42&gt;=Hba_29,Input!U$49&lt;&gt;""),Input!$B$49&amp;";",""),IF(AND($G42&lt;Hta_30,$G42&gt;=Hba_30,Input!U$50&lt;&gt;""),Input!$B$50&amp;";","")),"")</f>
        <v/>
      </c>
      <c r="BW42" s="25" t="str">
        <f>IFERROR(CONCATENATE(IF(AND($G42&lt;Hta_1,$G42&gt;=Hba_1,Input!V$21&lt;&gt;""),Input!$B$21&amp;";",""),IF(AND($G42&lt;Hta_2,$G42&gt;=Hba_2,Input!V$22&lt;&gt;""),Input!$B$22&amp;";",""),IF(AND($G42&lt;Hta_3,$G42&gt;=Hba_3,Input!V$23&lt;&gt;""),Input!$B$23&amp;";",""),IF(AND($G42&lt;Hta_4,$G42&gt;=Hba_4,Input!V$24&lt;&gt;""),Input!$B$24&amp;";",""),IF(AND($G42&lt;Hta_5,$G42&gt;=Hba_5,Input!V$25&lt;&gt;""),Input!$B$25&amp;";",""),IF(AND($G42&lt;Hta_6,$G42&gt;=Hba_6,Input!V$26&lt;&gt;""),Input!$B$26&amp;";",""),IF(AND($G42&lt;Hta_7,$G42&gt;=Hba_7,Input!V$27&lt;&gt;""),Input!$B$27&amp;";",""),IF(AND($G42&lt;Hta_8,$G42&gt;=Hba_8,Input!V$28&lt;&gt;""),Input!$B$28&amp;";",""),IF(AND($G42&lt;Hta_9,$G42&gt;=Hba_9,Input!V$29&lt;&gt;""),Input!$B$29&amp;";",""),IF(AND($G42&lt;Hta_10,$G42&gt;=Hba_10,Input!V$30&lt;&gt;""),Input!$B$30&amp;";",""),IF(AND($G42&lt;Hta_11,$G42&gt;=Hba_11,Input!V$31&lt;&gt;""),Input!$B$31&amp;";",""),IF(AND($G42&lt;Hta_12,$G42&gt;=Hba_12,Input!V$32&lt;&gt;""),Input!$B$32&amp;";",""),IF(AND($G42&lt;Hta_13,$G42&gt;=Hba_13,Input!V$33&lt;&gt;""),Input!$B$33&amp;";",""),IF(AND($G42&lt;Hta_14,$G42&gt;=Hba_14,Input!V$34&lt;&gt;""),Input!$B$34&amp;";",""),IF(AND($G42&lt;Hta_15,$G42&gt;=Hba_15,Input!V$35&lt;&gt;""),Input!$B$35&amp;";",""),IF(AND($G42&lt;Hta_16,$G42&gt;=Hba_16,Input!V$36&lt;&gt;""),Input!$B$36&amp;";",""),IF(AND($G42&lt;Hta_17,$G42&gt;=Hba_17,Input!V$37&lt;&gt;""),Input!$B$37&amp;";",""),IF(AND($G42&lt;Hta_18,$G42&gt;=Hba_18,Input!V$38&lt;&gt;""),Input!$B$38&amp;";",""),IF(AND($G42&lt;Hta_19,$G42&gt;=Hba_19,Input!V$39&lt;&gt;""),Input!$B$39&amp;";",""),IF(AND($G42&lt;Hta_20,$G42&gt;=Hba_20,Input!V$40&lt;&gt;""),Input!$B$40&amp;";",""),IF(AND($G42&lt;Hta_21,$G42&gt;=Hba_21,Input!V$41&lt;&gt;""),Input!$B$41&amp;";",""),IF(AND($G42&lt;Hta_22,$G42&gt;=Hba_22,Input!V$42&lt;&gt;""),Input!$B$42&amp;";",""),IF(AND($G42&lt;Hta_23,$G42&gt;=Hba_23,Input!V$43&lt;&gt;""),Input!$B$43&amp;";",""),IF(AND($G42&lt;Hta_24,$G42&gt;=Hba_24,Input!V$44&lt;&gt;""),Input!$B$44&amp;";",""),IF(AND($G42&lt;Hta_25,$G42&gt;=Hba_25,Input!V$45&lt;&gt;""),Input!$B$45&amp;";",""),IF(AND($G42&lt;Hta_26,$G42&gt;=Hba_26,Input!V$46&lt;&gt;""),Input!$B$46&amp;";",""),IF(AND($G42&lt;Hta_27,$G42&gt;=Hba_27,Input!V$47&lt;&gt;""),Input!$B$47&amp;";",""),IF(AND($G42&lt;Hta_28,$G42&gt;=Hba_28,Input!V$48&lt;&gt;""),Input!$B$48&amp;";",""),IF(AND($G42&lt;Hta_29,$G42&gt;=Hba_29,Input!V$49&lt;&gt;""),Input!$B$49&amp;";",""),IF(AND($G42&lt;Hta_30,$G42&gt;=Hba_30,Input!V$50&lt;&gt;""),Input!$B$50&amp;";","")),"")</f>
        <v/>
      </c>
      <c r="BX42" s="25" t="str">
        <f>IFERROR(CONCATENATE(IF(AND($G42&lt;Hta_1,$G42&gt;=Hba_1,Input!W$21&lt;&gt;""),Input!$B$21&amp;";",""),IF(AND($G42&lt;Hta_2,$G42&gt;=Hba_2,Input!W$22&lt;&gt;""),Input!$B$22&amp;";",""),IF(AND($G42&lt;Hta_3,$G42&gt;=Hba_3,Input!W$23&lt;&gt;""),Input!$B$23&amp;";",""),IF(AND($G42&lt;Hta_4,$G42&gt;=Hba_4,Input!W$24&lt;&gt;""),Input!$B$24&amp;";",""),IF(AND($G42&lt;Hta_5,$G42&gt;=Hba_5,Input!W$25&lt;&gt;""),Input!$B$25&amp;";",""),IF(AND($G42&lt;Hta_6,$G42&gt;=Hba_6,Input!W$26&lt;&gt;""),Input!$B$26&amp;";",""),IF(AND($G42&lt;Hta_7,$G42&gt;=Hba_7,Input!W$27&lt;&gt;""),Input!$B$27&amp;";",""),IF(AND($G42&lt;Hta_8,$G42&gt;=Hba_8,Input!W$28&lt;&gt;""),Input!$B$28&amp;";",""),IF(AND($G42&lt;Hta_9,$G42&gt;=Hba_9,Input!W$29&lt;&gt;""),Input!$B$29&amp;";",""),IF(AND($G42&lt;Hta_10,$G42&gt;=Hba_10,Input!W$30&lt;&gt;""),Input!$B$30&amp;";",""),IF(AND($G42&lt;Hta_11,$G42&gt;=Hba_11,Input!W$31&lt;&gt;""),Input!$B$31&amp;";",""),IF(AND($G42&lt;Hta_12,$G42&gt;=Hba_12,Input!W$32&lt;&gt;""),Input!$B$32&amp;";",""),IF(AND($G42&lt;Hta_13,$G42&gt;=Hba_13,Input!W$33&lt;&gt;""),Input!$B$33&amp;";",""),IF(AND($G42&lt;Hta_14,$G42&gt;=Hba_14,Input!W$34&lt;&gt;""),Input!$B$34&amp;";",""),IF(AND($G42&lt;Hta_15,$G42&gt;=Hba_15,Input!W$35&lt;&gt;""),Input!$B$35&amp;";",""),IF(AND($G42&lt;Hta_16,$G42&gt;=Hba_16,Input!W$36&lt;&gt;""),Input!$B$36&amp;";",""),IF(AND($G42&lt;Hta_17,$G42&gt;=Hba_17,Input!W$37&lt;&gt;""),Input!$B$37&amp;";",""),IF(AND($G42&lt;Hta_18,$G42&gt;=Hba_18,Input!W$38&lt;&gt;""),Input!$B$38&amp;";",""),IF(AND($G42&lt;Hta_19,$G42&gt;=Hba_19,Input!W$39&lt;&gt;""),Input!$B$39&amp;";",""),IF(AND($G42&lt;Hta_20,$G42&gt;=Hba_20,Input!W$40&lt;&gt;""),Input!$B$40&amp;";",""),IF(AND($G42&lt;Hta_21,$G42&gt;=Hba_21,Input!W$41&lt;&gt;""),Input!$B$41&amp;";",""),IF(AND($G42&lt;Hta_22,$G42&gt;=Hba_22,Input!W$42&lt;&gt;""),Input!$B$42&amp;";",""),IF(AND($G42&lt;Hta_23,$G42&gt;=Hba_23,Input!W$43&lt;&gt;""),Input!$B$43&amp;";",""),IF(AND($G42&lt;Hta_24,$G42&gt;=Hba_24,Input!W$44&lt;&gt;""),Input!$B$44&amp;";",""),IF(AND($G42&lt;Hta_25,$G42&gt;=Hba_25,Input!W$45&lt;&gt;""),Input!$B$45&amp;";",""),IF(AND($G42&lt;Hta_26,$G42&gt;=Hba_26,Input!W$46&lt;&gt;""),Input!$B$46&amp;";",""),IF(AND($G42&lt;Hta_27,$G42&gt;=Hba_27,Input!W$47&lt;&gt;""),Input!$B$47&amp;";",""),IF(AND($G42&lt;Hta_28,$G42&gt;=Hba_28,Input!W$48&lt;&gt;""),Input!$B$48&amp;";",""),IF(AND($G42&lt;Hta_29,$G42&gt;=Hba_29,Input!W$49&lt;&gt;""),Input!$B$49&amp;";",""),IF(AND($G42&lt;Hta_30,$G42&gt;=Hba_30,Input!W$50&lt;&gt;""),Input!$B$50&amp;";","")),"")</f>
        <v/>
      </c>
      <c r="BY42" s="25" t="str">
        <f>IFERROR(CONCATENATE(IF(AND($G42&lt;Hta_1,$G42&gt;=Hba_1,Input!X$21&lt;&gt;""),Input!$B$21&amp;";",""),IF(AND($G42&lt;Hta_2,$G42&gt;=Hba_2,Input!X$22&lt;&gt;""),Input!$B$22&amp;";",""),IF(AND($G42&lt;Hta_3,$G42&gt;=Hba_3,Input!X$23&lt;&gt;""),Input!$B$23&amp;";",""),IF(AND($G42&lt;Hta_4,$G42&gt;=Hba_4,Input!X$24&lt;&gt;""),Input!$B$24&amp;";",""),IF(AND($G42&lt;Hta_5,$G42&gt;=Hba_5,Input!X$25&lt;&gt;""),Input!$B$25&amp;";",""),IF(AND($G42&lt;Hta_6,$G42&gt;=Hba_6,Input!X$26&lt;&gt;""),Input!$B$26&amp;";",""),IF(AND($G42&lt;Hta_7,$G42&gt;=Hba_7,Input!X$27&lt;&gt;""),Input!$B$27&amp;";",""),IF(AND($G42&lt;Hta_8,$G42&gt;=Hba_8,Input!X$28&lt;&gt;""),Input!$B$28&amp;";",""),IF(AND($G42&lt;Hta_9,$G42&gt;=Hba_9,Input!X$29&lt;&gt;""),Input!$B$29&amp;";",""),IF(AND($G42&lt;Hta_10,$G42&gt;=Hba_10,Input!X$30&lt;&gt;""),Input!$B$30&amp;";",""),IF(AND($G42&lt;Hta_11,$G42&gt;=Hba_11,Input!X$31&lt;&gt;""),Input!$B$31&amp;";",""),IF(AND($G42&lt;Hta_12,$G42&gt;=Hba_12,Input!X$32&lt;&gt;""),Input!$B$32&amp;";",""),IF(AND($G42&lt;Hta_13,$G42&gt;=Hba_13,Input!X$33&lt;&gt;""),Input!$B$33&amp;";",""),IF(AND($G42&lt;Hta_14,$G42&gt;=Hba_14,Input!X$34&lt;&gt;""),Input!$B$34&amp;";",""),IF(AND($G42&lt;Hta_15,$G42&gt;=Hba_15,Input!X$35&lt;&gt;""),Input!$B$35&amp;";",""),IF(AND($G42&lt;Hta_16,$G42&gt;=Hba_16,Input!X$36&lt;&gt;""),Input!$B$36&amp;";",""),IF(AND($G42&lt;Hta_17,$G42&gt;=Hba_17,Input!X$37&lt;&gt;""),Input!$B$37&amp;";",""),IF(AND($G42&lt;Hta_18,$G42&gt;=Hba_18,Input!X$38&lt;&gt;""),Input!$B$38&amp;";",""),IF(AND($G42&lt;Hta_19,$G42&gt;=Hba_19,Input!X$39&lt;&gt;""),Input!$B$39&amp;";",""),IF(AND($G42&lt;Hta_20,$G42&gt;=Hba_20,Input!X$40&lt;&gt;""),Input!$B$40&amp;";",""),IF(AND($G42&lt;Hta_21,$G42&gt;=Hba_21,Input!X$41&lt;&gt;""),Input!$B$41&amp;";",""),IF(AND($G42&lt;Hta_22,$G42&gt;=Hba_22,Input!X$42&lt;&gt;""),Input!$B$42&amp;";",""),IF(AND($G42&lt;Hta_23,$G42&gt;=Hba_23,Input!X$43&lt;&gt;""),Input!$B$43&amp;";",""),IF(AND($G42&lt;Hta_24,$G42&gt;=Hba_24,Input!X$44&lt;&gt;""),Input!$B$44&amp;";",""),IF(AND($G42&lt;Hta_25,$G42&gt;=Hba_25,Input!X$45&lt;&gt;""),Input!$B$45&amp;";",""),IF(AND($G42&lt;Hta_26,$G42&gt;=Hba_26,Input!X$46&lt;&gt;""),Input!$B$46&amp;";",""),IF(AND($G42&lt;Hta_27,$G42&gt;=Hba_27,Input!X$47&lt;&gt;""),Input!$B$47&amp;";",""),IF(AND($G42&lt;Hta_28,$G42&gt;=Hba_28,Input!X$48&lt;&gt;""),Input!$B$48&amp;";",""),IF(AND($G42&lt;Hta_29,$G42&gt;=Hba_29,Input!X$49&lt;&gt;""),Input!$B$49&amp;";",""),IF(AND($G42&lt;Hta_30,$G42&gt;=Hba_30,Input!X$50&lt;&gt;""),Input!$B$50&amp;";","")),"")</f>
        <v/>
      </c>
      <c r="BZ42" s="25" t="str">
        <f>IFERROR(CONCATENATE(IF(AND($G42&lt;Hta_1,$G42&gt;=Hba_1,Input!Y$21&lt;&gt;""),Input!$B$21&amp;";",""),IF(AND($G42&lt;Hta_2,$G42&gt;=Hba_2,Input!Y$22&lt;&gt;""),Input!$B$22&amp;";",""),IF(AND($G42&lt;Hta_3,$G42&gt;=Hba_3,Input!Y$23&lt;&gt;""),Input!$B$23&amp;";",""),IF(AND($G42&lt;Hta_4,$G42&gt;=Hba_4,Input!Y$24&lt;&gt;""),Input!$B$24&amp;";",""),IF(AND($G42&lt;Hta_5,$G42&gt;=Hba_5,Input!Y$25&lt;&gt;""),Input!$B$25&amp;";",""),IF(AND($G42&lt;Hta_6,$G42&gt;=Hba_6,Input!Y$26&lt;&gt;""),Input!$B$26&amp;";",""),IF(AND($G42&lt;Hta_7,$G42&gt;=Hba_7,Input!Y$27&lt;&gt;""),Input!$B$27&amp;";",""),IF(AND($G42&lt;Hta_8,$G42&gt;=Hba_8,Input!Y$28&lt;&gt;""),Input!$B$28&amp;";",""),IF(AND($G42&lt;Hta_9,$G42&gt;=Hba_9,Input!Y$29&lt;&gt;""),Input!$B$29&amp;";",""),IF(AND($G42&lt;Hta_10,$G42&gt;=Hba_10,Input!Y$30&lt;&gt;""),Input!$B$30&amp;";",""),IF(AND($G42&lt;Hta_11,$G42&gt;=Hba_11,Input!Y$31&lt;&gt;""),Input!$B$31&amp;";",""),IF(AND($G42&lt;Hta_12,$G42&gt;=Hba_12,Input!Y$32&lt;&gt;""),Input!$B$32&amp;";",""),IF(AND($G42&lt;Hta_13,$G42&gt;=Hba_13,Input!Y$33&lt;&gt;""),Input!$B$33&amp;";",""),IF(AND($G42&lt;Hta_14,$G42&gt;=Hba_14,Input!Y$34&lt;&gt;""),Input!$B$34&amp;";",""),IF(AND($G42&lt;Hta_15,$G42&gt;=Hba_15,Input!Y$35&lt;&gt;""),Input!$B$35&amp;";",""),IF(AND($G42&lt;Hta_16,$G42&gt;=Hba_16,Input!Y$36&lt;&gt;""),Input!$B$36&amp;";",""),IF(AND($G42&lt;Hta_17,$G42&gt;=Hba_17,Input!Y$37&lt;&gt;""),Input!$B$37&amp;";",""),IF(AND($G42&lt;Hta_18,$G42&gt;=Hba_18,Input!Y$38&lt;&gt;""),Input!$B$38&amp;";",""),IF(AND($G42&lt;Hta_19,$G42&gt;=Hba_19,Input!Y$39&lt;&gt;""),Input!$B$39&amp;";",""),IF(AND($G42&lt;Hta_20,$G42&gt;=Hba_20,Input!Y$40&lt;&gt;""),Input!$B$40&amp;";",""),IF(AND($G42&lt;Hta_21,$G42&gt;=Hba_21,Input!Y$41&lt;&gt;""),Input!$B$41&amp;";",""),IF(AND($G42&lt;Hta_22,$G42&gt;=Hba_22,Input!Y$42&lt;&gt;""),Input!$B$42&amp;";",""),IF(AND($G42&lt;Hta_23,$G42&gt;=Hba_23,Input!Y$43&lt;&gt;""),Input!$B$43&amp;";",""),IF(AND($G42&lt;Hta_24,$G42&gt;=Hba_24,Input!Y$44&lt;&gt;""),Input!$B$44&amp;";",""),IF(AND($G42&lt;Hta_25,$G42&gt;=Hba_25,Input!Y$45&lt;&gt;""),Input!$B$45&amp;";",""),IF(AND($G42&lt;Hta_26,$G42&gt;=Hba_26,Input!Y$46&lt;&gt;""),Input!$B$46&amp;";",""),IF(AND($G42&lt;Hta_27,$G42&gt;=Hba_27,Input!Y$47&lt;&gt;""),Input!$B$47&amp;";",""),IF(AND($G42&lt;Hta_28,$G42&gt;=Hba_28,Input!Y$48&lt;&gt;""),Input!$B$48&amp;";",""),IF(AND($G42&lt;Hta_29,$G42&gt;=Hba_29,Input!Y$49&lt;&gt;""),Input!$B$49&amp;";",""),IF(AND($G42&lt;Hta_30,$G42&gt;=Hba_30,Input!Y$50&lt;&gt;""),Input!$B$50&amp;";","")),"")</f>
        <v/>
      </c>
      <c r="CA42" s="25" t="str">
        <f>IFERROR(CONCATENATE(IF(AND($G42&lt;Hta_1,$G42&gt;=Hba_1,Input!Z$21&lt;&gt;""),Input!$B$21&amp;";",""),IF(AND($G42&lt;Hta_2,$G42&gt;=Hba_2,Input!Z$22&lt;&gt;""),Input!$B$22&amp;";",""),IF(AND($G42&lt;Hta_3,$G42&gt;=Hba_3,Input!Z$23&lt;&gt;""),Input!$B$23&amp;";",""),IF(AND($G42&lt;Hta_4,$G42&gt;=Hba_4,Input!Z$24&lt;&gt;""),Input!$B$24&amp;";",""),IF(AND($G42&lt;Hta_5,$G42&gt;=Hba_5,Input!Z$25&lt;&gt;""),Input!$B$25&amp;";",""),IF(AND($G42&lt;Hta_6,$G42&gt;=Hba_6,Input!Z$26&lt;&gt;""),Input!$B$26&amp;";",""),IF(AND($G42&lt;Hta_7,$G42&gt;=Hba_7,Input!Z$27&lt;&gt;""),Input!$B$27&amp;";",""),IF(AND($G42&lt;Hta_8,$G42&gt;=Hba_8,Input!Z$28&lt;&gt;""),Input!$B$28&amp;";",""),IF(AND($G42&lt;Hta_9,$G42&gt;=Hba_9,Input!Z$29&lt;&gt;""),Input!$B$29&amp;";",""),IF(AND($G42&lt;Hta_10,$G42&gt;=Hba_10,Input!Z$30&lt;&gt;""),Input!$B$30&amp;";",""),IF(AND($G42&lt;Hta_11,$G42&gt;=Hba_11,Input!Z$31&lt;&gt;""),Input!$B$31&amp;";",""),IF(AND($G42&lt;Hta_12,$G42&gt;=Hba_12,Input!Z$32&lt;&gt;""),Input!$B$32&amp;";",""),IF(AND($G42&lt;Hta_13,$G42&gt;=Hba_13,Input!Z$33&lt;&gt;""),Input!$B$33&amp;";",""),IF(AND($G42&lt;Hta_14,$G42&gt;=Hba_14,Input!Z$34&lt;&gt;""),Input!$B$34&amp;";",""),IF(AND($G42&lt;Hta_15,$G42&gt;=Hba_15,Input!Z$35&lt;&gt;""),Input!$B$35&amp;";",""),IF(AND($G42&lt;Hta_16,$G42&gt;=Hba_16,Input!Z$36&lt;&gt;""),Input!$B$36&amp;";",""),IF(AND($G42&lt;Hta_17,$G42&gt;=Hba_17,Input!Z$37&lt;&gt;""),Input!$B$37&amp;";",""),IF(AND($G42&lt;Hta_18,$G42&gt;=Hba_18,Input!Z$38&lt;&gt;""),Input!$B$38&amp;";",""),IF(AND($G42&lt;Hta_19,$G42&gt;=Hba_19,Input!Z$39&lt;&gt;""),Input!$B$39&amp;";",""),IF(AND($G42&lt;Hta_20,$G42&gt;=Hba_20,Input!Z$40&lt;&gt;""),Input!$B$40&amp;";",""),IF(AND($G42&lt;Hta_21,$G42&gt;=Hba_21,Input!Z$41&lt;&gt;""),Input!$B$41&amp;";",""),IF(AND($G42&lt;Hta_22,$G42&gt;=Hba_22,Input!Z$42&lt;&gt;""),Input!$B$42&amp;";",""),IF(AND($G42&lt;Hta_23,$G42&gt;=Hba_23,Input!Z$43&lt;&gt;""),Input!$B$43&amp;";",""),IF(AND($G42&lt;Hta_24,$G42&gt;=Hba_24,Input!Z$44&lt;&gt;""),Input!$B$44&amp;";",""),IF(AND($G42&lt;Hta_25,$G42&gt;=Hba_25,Input!Z$45&lt;&gt;""),Input!$B$45&amp;";",""),IF(AND($G42&lt;Hta_26,$G42&gt;=Hba_26,Input!Z$46&lt;&gt;""),Input!$B$46&amp;";",""),IF(AND($G42&lt;Hta_27,$G42&gt;=Hba_27,Input!Z$47&lt;&gt;""),Input!$B$47&amp;";",""),IF(AND($G42&lt;Hta_28,$G42&gt;=Hba_28,Input!Z$48&lt;&gt;""),Input!$B$48&amp;";",""),IF(AND($G42&lt;Hta_29,$G42&gt;=Hba_29,Input!Z$49&lt;&gt;""),Input!$B$49&amp;";",""),IF(AND($G42&lt;Hta_30,$G42&gt;=Hba_30,Input!Z$50&lt;&gt;""),Input!$B$50&amp;";","")),"")</f>
        <v/>
      </c>
      <c r="CB42" s="25" t="str">
        <f>IFERROR(CONCATENATE(IF(AND($G42&lt;Hta_1,$G42&gt;=Hba_1,Input!AA$21&lt;&gt;""),Input!$B$21&amp;";",""),IF(AND($G42&lt;Hta_2,$G42&gt;=Hba_2,Input!AA$22&lt;&gt;""),Input!$B$22&amp;";",""),IF(AND($G42&lt;Hta_3,$G42&gt;=Hba_3,Input!AA$23&lt;&gt;""),Input!$B$23&amp;";",""),IF(AND($G42&lt;Hta_4,$G42&gt;=Hba_4,Input!AA$24&lt;&gt;""),Input!$B$24&amp;";",""),IF(AND($G42&lt;Hta_5,$G42&gt;=Hba_5,Input!AA$25&lt;&gt;""),Input!$B$25&amp;";",""),IF(AND($G42&lt;Hta_6,$G42&gt;=Hba_6,Input!AA$26&lt;&gt;""),Input!$B$26&amp;";",""),IF(AND($G42&lt;Hta_7,$G42&gt;=Hba_7,Input!AA$27&lt;&gt;""),Input!$B$27&amp;";",""),IF(AND($G42&lt;Hta_8,$G42&gt;=Hba_8,Input!AA$28&lt;&gt;""),Input!$B$28&amp;";",""),IF(AND($G42&lt;Hta_9,$G42&gt;=Hba_9,Input!AA$29&lt;&gt;""),Input!$B$29&amp;";",""),IF(AND($G42&lt;Hta_10,$G42&gt;=Hba_10,Input!AA$30&lt;&gt;""),Input!$B$30&amp;";",""),IF(AND($G42&lt;Hta_11,$G42&gt;=Hba_11,Input!AA$31&lt;&gt;""),Input!$B$31&amp;";",""),IF(AND($G42&lt;Hta_12,$G42&gt;=Hba_12,Input!AA$32&lt;&gt;""),Input!$B$32&amp;";",""),IF(AND($G42&lt;Hta_13,$G42&gt;=Hba_13,Input!AA$33&lt;&gt;""),Input!$B$33&amp;";",""),IF(AND($G42&lt;Hta_14,$G42&gt;=Hba_14,Input!AA$34&lt;&gt;""),Input!$B$34&amp;";",""),IF(AND($G42&lt;Hta_15,$G42&gt;=Hba_15,Input!AA$35&lt;&gt;""),Input!$B$35&amp;";",""),IF(AND($G42&lt;Hta_16,$G42&gt;=Hba_16,Input!AA$36&lt;&gt;""),Input!$B$36&amp;";",""),IF(AND($G42&lt;Hta_17,$G42&gt;=Hba_17,Input!AA$37&lt;&gt;""),Input!$B$37&amp;";",""),IF(AND($G42&lt;Hta_18,$G42&gt;=Hba_18,Input!AA$38&lt;&gt;""),Input!$B$38&amp;";",""),IF(AND($G42&lt;Hta_19,$G42&gt;=Hba_19,Input!AA$39&lt;&gt;""),Input!$B$39&amp;";",""),IF(AND($G42&lt;Hta_20,$G42&gt;=Hba_20,Input!AA$40&lt;&gt;""),Input!$B$40&amp;";",""),IF(AND($G42&lt;Hta_21,$G42&gt;=Hba_21,Input!AA$41&lt;&gt;""),Input!$B$41&amp;";",""),IF(AND($G42&lt;Hta_22,$G42&gt;=Hba_22,Input!AA$42&lt;&gt;""),Input!$B$42&amp;";",""),IF(AND($G42&lt;Hta_23,$G42&gt;=Hba_23,Input!AA$43&lt;&gt;""),Input!$B$43&amp;";",""),IF(AND($G42&lt;Hta_24,$G42&gt;=Hba_24,Input!AA$44&lt;&gt;""),Input!$B$44&amp;";",""),IF(AND($G42&lt;Hta_25,$G42&gt;=Hba_25,Input!AA$45&lt;&gt;""),Input!$B$45&amp;";",""),IF(AND($G42&lt;Hta_26,$G42&gt;=Hba_26,Input!AA$46&lt;&gt;""),Input!$B$46&amp;";",""),IF(AND($G42&lt;Hta_27,$G42&gt;=Hba_27,Input!AA$47&lt;&gt;""),Input!$B$47&amp;";",""),IF(AND($G42&lt;Hta_28,$G42&gt;=Hba_28,Input!AA$48&lt;&gt;""),Input!$B$48&amp;";",""),IF(AND($G42&lt;Hta_29,$G42&gt;=Hba_29,Input!AA$49&lt;&gt;""),Input!$B$49&amp;";",""),IF(AND($G42&lt;Hta_30,$G42&gt;=Hba_30,Input!AA$50&lt;&gt;""),Input!$B$50&amp;";","")),"")</f>
        <v/>
      </c>
      <c r="CC42" s="25" t="str">
        <f>IFERROR(CONCATENATE(IF(AND($G42&lt;Hta_1,$G42&gt;=Hba_1,Input!AB$21&lt;&gt;""),Input!$B$21&amp;";",""),IF(AND($G42&lt;Hta_2,$G42&gt;=Hba_2,Input!AB$22&lt;&gt;""),Input!$B$22&amp;";",""),IF(AND($G42&lt;Hta_3,$G42&gt;=Hba_3,Input!AB$23&lt;&gt;""),Input!$B$23&amp;";",""),IF(AND($G42&lt;Hta_4,$G42&gt;=Hba_4,Input!AB$24&lt;&gt;""),Input!$B$24&amp;";",""),IF(AND($G42&lt;Hta_5,$G42&gt;=Hba_5,Input!AB$25&lt;&gt;""),Input!$B$25&amp;";",""),IF(AND($G42&lt;Hta_6,$G42&gt;=Hba_6,Input!AB$26&lt;&gt;""),Input!$B$26&amp;";",""),IF(AND($G42&lt;Hta_7,$G42&gt;=Hba_7,Input!AB$27&lt;&gt;""),Input!$B$27&amp;";",""),IF(AND($G42&lt;Hta_8,$G42&gt;=Hba_8,Input!AB$28&lt;&gt;""),Input!$B$28&amp;";",""),IF(AND($G42&lt;Hta_9,$G42&gt;=Hba_9,Input!AB$29&lt;&gt;""),Input!$B$29&amp;";",""),IF(AND($G42&lt;Hta_10,$G42&gt;=Hba_10,Input!AB$30&lt;&gt;""),Input!$B$30&amp;";",""),IF(AND($G42&lt;Hta_11,$G42&gt;=Hba_11,Input!AB$31&lt;&gt;""),Input!$B$31&amp;";",""),IF(AND($G42&lt;Hta_12,$G42&gt;=Hba_12,Input!AB$32&lt;&gt;""),Input!$B$32&amp;";",""),IF(AND($G42&lt;Hta_13,$G42&gt;=Hba_13,Input!AB$33&lt;&gt;""),Input!$B$33&amp;";",""),IF(AND($G42&lt;Hta_14,$G42&gt;=Hba_14,Input!AB$34&lt;&gt;""),Input!$B$34&amp;";",""),IF(AND($G42&lt;Hta_15,$G42&gt;=Hba_15,Input!AB$35&lt;&gt;""),Input!$B$35&amp;";",""),IF(AND($G42&lt;Hta_16,$G42&gt;=Hba_16,Input!AB$36&lt;&gt;""),Input!$B$36&amp;";",""),IF(AND($G42&lt;Hta_17,$G42&gt;=Hba_17,Input!AB$37&lt;&gt;""),Input!$B$37&amp;";",""),IF(AND($G42&lt;Hta_18,$G42&gt;=Hba_18,Input!AB$38&lt;&gt;""),Input!$B$38&amp;";",""),IF(AND($G42&lt;Hta_19,$G42&gt;=Hba_19,Input!AB$39&lt;&gt;""),Input!$B$39&amp;";",""),IF(AND($G42&lt;Hta_20,$G42&gt;=Hba_20,Input!AB$40&lt;&gt;""),Input!$B$40&amp;";",""),IF(AND($G42&lt;Hta_21,$G42&gt;=Hba_21,Input!AB$41&lt;&gt;""),Input!$B$41&amp;";",""),IF(AND($G42&lt;Hta_22,$G42&gt;=Hba_22,Input!AB$42&lt;&gt;""),Input!$B$42&amp;";",""),IF(AND($G42&lt;Hta_23,$G42&gt;=Hba_23,Input!AB$43&lt;&gt;""),Input!$B$43&amp;";",""),IF(AND($G42&lt;Hta_24,$G42&gt;=Hba_24,Input!AB$44&lt;&gt;""),Input!$B$44&amp;";",""),IF(AND($G42&lt;Hta_25,$G42&gt;=Hba_25,Input!AB$45&lt;&gt;""),Input!$B$45&amp;";",""),IF(AND($G42&lt;Hta_26,$G42&gt;=Hba_26,Input!AB$46&lt;&gt;""),Input!$B$46&amp;";",""),IF(AND($G42&lt;Hta_27,$G42&gt;=Hba_27,Input!AB$47&lt;&gt;""),Input!$B$47&amp;";",""),IF(AND($G42&lt;Hta_28,$G42&gt;=Hba_28,Input!AB$48&lt;&gt;""),Input!$B$48&amp;";",""),IF(AND($G42&lt;Hta_29,$G42&gt;=Hba_29,Input!AB$49&lt;&gt;""),Input!$B$49&amp;";",""),IF(AND($G42&lt;Hta_30,$G42&gt;=Hba_30,Input!AB$50&lt;&gt;""),Input!$B$50&amp;";","")),"")</f>
        <v/>
      </c>
      <c r="CD42" s="25" t="str">
        <f>IFERROR(CONCATENATE(IF(AND($G42&lt;Hta_1,$G42&gt;=Hba_1,Input!AC$21&lt;&gt;""),Input!$B$21&amp;";",""),IF(AND($G42&lt;Hta_2,$G42&gt;=Hba_2,Input!AC$22&lt;&gt;""),Input!$B$22&amp;";",""),IF(AND($G42&lt;Hta_3,$G42&gt;=Hba_3,Input!AC$23&lt;&gt;""),Input!$B$23&amp;";",""),IF(AND($G42&lt;Hta_4,$G42&gt;=Hba_4,Input!AC$24&lt;&gt;""),Input!$B$24&amp;";",""),IF(AND($G42&lt;Hta_5,$G42&gt;=Hba_5,Input!AC$25&lt;&gt;""),Input!$B$25&amp;";",""),IF(AND($G42&lt;Hta_6,$G42&gt;=Hba_6,Input!AC$26&lt;&gt;""),Input!$B$26&amp;";",""),IF(AND($G42&lt;Hta_7,$G42&gt;=Hba_7,Input!AC$27&lt;&gt;""),Input!$B$27&amp;";",""),IF(AND($G42&lt;Hta_8,$G42&gt;=Hba_8,Input!AC$28&lt;&gt;""),Input!$B$28&amp;";",""),IF(AND($G42&lt;Hta_9,$G42&gt;=Hba_9,Input!AC$29&lt;&gt;""),Input!$B$29&amp;";",""),IF(AND($G42&lt;Hta_10,$G42&gt;=Hba_10,Input!AC$30&lt;&gt;""),Input!$B$30&amp;";",""),IF(AND($G42&lt;Hta_11,$G42&gt;=Hba_11,Input!AC$31&lt;&gt;""),Input!$B$31&amp;";",""),IF(AND($G42&lt;Hta_12,$G42&gt;=Hba_12,Input!AC$32&lt;&gt;""),Input!$B$32&amp;";",""),IF(AND($G42&lt;Hta_13,$G42&gt;=Hba_13,Input!AC$33&lt;&gt;""),Input!$B$33&amp;";",""),IF(AND($G42&lt;Hta_14,$G42&gt;=Hba_14,Input!AC$34&lt;&gt;""),Input!$B$34&amp;";",""),IF(AND($G42&lt;Hta_15,$G42&gt;=Hba_15,Input!AC$35&lt;&gt;""),Input!$B$35&amp;";",""),IF(AND($G42&lt;Hta_16,$G42&gt;=Hba_16,Input!AC$36&lt;&gt;""),Input!$B$36&amp;";",""),IF(AND($G42&lt;Hta_17,$G42&gt;=Hba_17,Input!AC$37&lt;&gt;""),Input!$B$37&amp;";",""),IF(AND($G42&lt;Hta_18,$G42&gt;=Hba_18,Input!AC$38&lt;&gt;""),Input!$B$38&amp;";",""),IF(AND($G42&lt;Hta_19,$G42&gt;=Hba_19,Input!AC$39&lt;&gt;""),Input!$B$39&amp;";",""),IF(AND($G42&lt;Hta_20,$G42&gt;=Hba_20,Input!AC$40&lt;&gt;""),Input!$B$40&amp;";",""),IF(AND($G42&lt;Hta_21,$G42&gt;=Hba_21,Input!AC$41&lt;&gt;""),Input!$B$41&amp;";",""),IF(AND($G42&lt;Hta_22,$G42&gt;=Hba_22,Input!AC$42&lt;&gt;""),Input!$B$42&amp;";",""),IF(AND($G42&lt;Hta_23,$G42&gt;=Hba_23,Input!AC$43&lt;&gt;""),Input!$B$43&amp;";",""),IF(AND($G42&lt;Hta_24,$G42&gt;=Hba_24,Input!AC$44&lt;&gt;""),Input!$B$44&amp;";",""),IF(AND($G42&lt;Hta_25,$G42&gt;=Hba_25,Input!AC$45&lt;&gt;""),Input!$B$45&amp;";",""),IF(AND($G42&lt;Hta_26,$G42&gt;=Hba_26,Input!AC$46&lt;&gt;""),Input!$B$46&amp;";",""),IF(AND($G42&lt;Hta_27,$G42&gt;=Hba_27,Input!AC$47&lt;&gt;""),Input!$B$47&amp;";",""),IF(AND($G42&lt;Hta_28,$G42&gt;=Hba_28,Input!AC$48&lt;&gt;""),Input!$B$48&amp;";",""),IF(AND($G42&lt;Hta_29,$G42&gt;=Hba_29,Input!AC$49&lt;&gt;""),Input!$B$49&amp;";",""),IF(AND($G42&lt;Hta_30,$G42&gt;=Hba_30,Input!AC$50&lt;&gt;""),Input!$B$50&amp;";","")),"")</f>
        <v/>
      </c>
      <c r="CE42" s="25" t="str">
        <f>IFERROR(CONCATENATE(IF(AND($G42&lt;Hta_1,$G42&gt;=Hba_1,Input!AD$21&lt;&gt;""),Input!$B$21&amp;";",""),IF(AND($G42&lt;Hta_2,$G42&gt;=Hba_2,Input!AD$22&lt;&gt;""),Input!$B$22&amp;";",""),IF(AND($G42&lt;Hta_3,$G42&gt;=Hba_3,Input!AD$23&lt;&gt;""),Input!$B$23&amp;";",""),IF(AND($G42&lt;Hta_4,$G42&gt;=Hba_4,Input!AD$24&lt;&gt;""),Input!$B$24&amp;";",""),IF(AND($G42&lt;Hta_5,$G42&gt;=Hba_5,Input!AD$25&lt;&gt;""),Input!$B$25&amp;";",""),IF(AND($G42&lt;Hta_6,$G42&gt;=Hba_6,Input!AD$26&lt;&gt;""),Input!$B$26&amp;";",""),IF(AND($G42&lt;Hta_7,$G42&gt;=Hba_7,Input!AD$27&lt;&gt;""),Input!$B$27&amp;";",""),IF(AND($G42&lt;Hta_8,$G42&gt;=Hba_8,Input!AD$28&lt;&gt;""),Input!$B$28&amp;";",""),IF(AND($G42&lt;Hta_9,$G42&gt;=Hba_9,Input!AD$29&lt;&gt;""),Input!$B$29&amp;";",""),IF(AND($G42&lt;Hta_10,$G42&gt;=Hba_10,Input!AD$30&lt;&gt;""),Input!$B$30&amp;";",""),IF(AND($G42&lt;Hta_11,$G42&gt;=Hba_11,Input!AD$31&lt;&gt;""),Input!$B$31&amp;";",""),IF(AND($G42&lt;Hta_12,$G42&gt;=Hba_12,Input!AD$32&lt;&gt;""),Input!$B$32&amp;";",""),IF(AND($G42&lt;Hta_13,$G42&gt;=Hba_13,Input!AD$33&lt;&gt;""),Input!$B$33&amp;";",""),IF(AND($G42&lt;Hta_14,$G42&gt;=Hba_14,Input!AD$34&lt;&gt;""),Input!$B$34&amp;";",""),IF(AND($G42&lt;Hta_15,$G42&gt;=Hba_15,Input!AD$35&lt;&gt;""),Input!$B$35&amp;";",""),IF(AND($G42&lt;Hta_16,$G42&gt;=Hba_16,Input!AD$36&lt;&gt;""),Input!$B$36&amp;";",""),IF(AND($G42&lt;Hta_17,$G42&gt;=Hba_17,Input!AD$37&lt;&gt;""),Input!$B$37&amp;";",""),IF(AND($G42&lt;Hta_18,$G42&gt;=Hba_18,Input!AD$38&lt;&gt;""),Input!$B$38&amp;";",""),IF(AND($G42&lt;Hta_19,$G42&gt;=Hba_19,Input!AD$39&lt;&gt;""),Input!$B$39&amp;";",""),IF(AND($G42&lt;Hta_20,$G42&gt;=Hba_20,Input!AD$40&lt;&gt;""),Input!$B$40&amp;";",""),IF(AND($G42&lt;Hta_21,$G42&gt;=Hba_21,Input!AD$41&lt;&gt;""),Input!$B$41&amp;";",""),IF(AND($G42&lt;Hta_22,$G42&gt;=Hba_22,Input!AD$42&lt;&gt;""),Input!$B$42&amp;";",""),IF(AND($G42&lt;Hta_23,$G42&gt;=Hba_23,Input!AD$43&lt;&gt;""),Input!$B$43&amp;";",""),IF(AND($G42&lt;Hta_24,$G42&gt;=Hba_24,Input!AD$44&lt;&gt;""),Input!$B$44&amp;";",""),IF(AND($G42&lt;Hta_25,$G42&gt;=Hba_25,Input!AD$45&lt;&gt;""),Input!$B$45&amp;";",""),IF(AND($G42&lt;Hta_26,$G42&gt;=Hba_26,Input!AD$46&lt;&gt;""),Input!$B$46&amp;";",""),IF(AND($G42&lt;Hta_27,$G42&gt;=Hba_27,Input!AD$47&lt;&gt;""),Input!$B$47&amp;";",""),IF(AND($G42&lt;Hta_28,$G42&gt;=Hba_28,Input!AD$48&lt;&gt;""),Input!$B$48&amp;";",""),IF(AND($G42&lt;Hta_29,$G42&gt;=Hba_29,Input!AD$49&lt;&gt;""),Input!$B$49&amp;";",""),IF(AND($G42&lt;Hta_30,$G42&gt;=Hba_30,Input!AD$50&lt;&gt;""),Input!$B$50&amp;";","")),"")</f>
        <v/>
      </c>
      <c r="CF42" s="25" t="str">
        <f>IFERROR(CONCATENATE(IF(AND($G42&lt;Hta_1,$G42&gt;=Hba_1,Input!AE$21&lt;&gt;""),Input!$B$21&amp;";",""),IF(AND($G42&lt;Hta_2,$G42&gt;=Hba_2,Input!AE$22&lt;&gt;""),Input!$B$22&amp;";",""),IF(AND($G42&lt;Hta_3,$G42&gt;=Hba_3,Input!AE$23&lt;&gt;""),Input!$B$23&amp;";",""),IF(AND($G42&lt;Hta_4,$G42&gt;=Hba_4,Input!AE$24&lt;&gt;""),Input!$B$24&amp;";",""),IF(AND($G42&lt;Hta_5,$G42&gt;=Hba_5,Input!AE$25&lt;&gt;""),Input!$B$25&amp;";",""),IF(AND($G42&lt;Hta_6,$G42&gt;=Hba_6,Input!AE$26&lt;&gt;""),Input!$B$26&amp;";",""),IF(AND($G42&lt;Hta_7,$G42&gt;=Hba_7,Input!AE$27&lt;&gt;""),Input!$B$27&amp;";",""),IF(AND($G42&lt;Hta_8,$G42&gt;=Hba_8,Input!AE$28&lt;&gt;""),Input!$B$28&amp;";",""),IF(AND($G42&lt;Hta_9,$G42&gt;=Hba_9,Input!AE$29&lt;&gt;""),Input!$B$29&amp;";",""),IF(AND($G42&lt;Hta_10,$G42&gt;=Hba_10,Input!AE$30&lt;&gt;""),Input!$B$30&amp;";",""),IF(AND($G42&lt;Hta_11,$G42&gt;=Hba_11,Input!AE$31&lt;&gt;""),Input!$B$31&amp;";",""),IF(AND($G42&lt;Hta_12,$G42&gt;=Hba_12,Input!AE$32&lt;&gt;""),Input!$B$32&amp;";",""),IF(AND($G42&lt;Hta_13,$G42&gt;=Hba_13,Input!AE$33&lt;&gt;""),Input!$B$33&amp;";",""),IF(AND($G42&lt;Hta_14,$G42&gt;=Hba_14,Input!AE$34&lt;&gt;""),Input!$B$34&amp;";",""),IF(AND($G42&lt;Hta_15,$G42&gt;=Hba_15,Input!AE$35&lt;&gt;""),Input!$B$35&amp;";",""),IF(AND($G42&lt;Hta_16,$G42&gt;=Hba_16,Input!AE$36&lt;&gt;""),Input!$B$36&amp;";",""),IF(AND($G42&lt;Hta_17,$G42&gt;=Hba_17,Input!AE$37&lt;&gt;""),Input!$B$37&amp;";",""),IF(AND($G42&lt;Hta_18,$G42&gt;=Hba_18,Input!AE$38&lt;&gt;""),Input!$B$38&amp;";",""),IF(AND($G42&lt;Hta_19,$G42&gt;=Hba_19,Input!AE$39&lt;&gt;""),Input!$B$39&amp;";",""),IF(AND($G42&lt;Hta_20,$G42&gt;=Hba_20,Input!AE$40&lt;&gt;""),Input!$B$40&amp;";",""),IF(AND($G42&lt;Hta_21,$G42&gt;=Hba_21,Input!AE$41&lt;&gt;""),Input!$B$41&amp;";",""),IF(AND($G42&lt;Hta_22,$G42&gt;=Hba_22,Input!AE$42&lt;&gt;""),Input!$B$42&amp;";",""),IF(AND($G42&lt;Hta_23,$G42&gt;=Hba_23,Input!AE$43&lt;&gt;""),Input!$B$43&amp;";",""),IF(AND($G42&lt;Hta_24,$G42&gt;=Hba_24,Input!AE$44&lt;&gt;""),Input!$B$44&amp;";",""),IF(AND($G42&lt;Hta_25,$G42&gt;=Hba_25,Input!AE$45&lt;&gt;""),Input!$B$45&amp;";",""),IF(AND($G42&lt;Hta_26,$G42&gt;=Hba_26,Input!AE$46&lt;&gt;""),Input!$B$46&amp;";",""),IF(AND($G42&lt;Hta_27,$G42&gt;=Hba_27,Input!AE$47&lt;&gt;""),Input!$B$47&amp;";",""),IF(AND($G42&lt;Hta_28,$G42&gt;=Hba_28,Input!AE$48&lt;&gt;""),Input!$B$48&amp;";",""),IF(AND($G42&lt;Hta_29,$G42&gt;=Hba_29,Input!AE$49&lt;&gt;""),Input!$B$49&amp;";",""),IF(AND($G42&lt;Hta_30,$G42&gt;=Hba_30,Input!AE$50&lt;&gt;""),Input!$B$50&amp;";","")),"")</f>
        <v/>
      </c>
      <c r="CG42" s="25" t="str">
        <f>IFERROR(CONCATENATE(IF(AND($G42&lt;Hta_1,$G42&gt;=Hba_1,Input!AF$21&lt;&gt;""),Input!$B$21&amp;";",""),IF(AND($G42&lt;Hta_2,$G42&gt;=Hba_2,Input!AF$22&lt;&gt;""),Input!$B$22&amp;";",""),IF(AND($G42&lt;Hta_3,$G42&gt;=Hba_3,Input!AF$23&lt;&gt;""),Input!$B$23&amp;";",""),IF(AND($G42&lt;Hta_4,$G42&gt;=Hba_4,Input!AF$24&lt;&gt;""),Input!$B$24&amp;";",""),IF(AND($G42&lt;Hta_5,$G42&gt;=Hba_5,Input!AF$25&lt;&gt;""),Input!$B$25&amp;";",""),IF(AND($G42&lt;Hta_6,$G42&gt;=Hba_6,Input!AF$26&lt;&gt;""),Input!$B$26&amp;";",""),IF(AND($G42&lt;Hta_7,$G42&gt;=Hba_7,Input!AF$27&lt;&gt;""),Input!$B$27&amp;";",""),IF(AND($G42&lt;Hta_8,$G42&gt;=Hba_8,Input!AF$28&lt;&gt;""),Input!$B$28&amp;";",""),IF(AND($G42&lt;Hta_9,$G42&gt;=Hba_9,Input!AF$29&lt;&gt;""),Input!$B$29&amp;";",""),IF(AND($G42&lt;Hta_10,$G42&gt;=Hba_10,Input!AF$30&lt;&gt;""),Input!$B$30&amp;";",""),IF(AND($G42&lt;Hta_11,$G42&gt;=Hba_11,Input!AF$31&lt;&gt;""),Input!$B$31&amp;";",""),IF(AND($G42&lt;Hta_12,$G42&gt;=Hba_12,Input!AF$32&lt;&gt;""),Input!$B$32&amp;";",""),IF(AND($G42&lt;Hta_13,$G42&gt;=Hba_13,Input!AF$33&lt;&gt;""),Input!$B$33&amp;";",""),IF(AND($G42&lt;Hta_14,$G42&gt;=Hba_14,Input!AF$34&lt;&gt;""),Input!$B$34&amp;";",""),IF(AND($G42&lt;Hta_15,$G42&gt;=Hba_15,Input!AF$35&lt;&gt;""),Input!$B$35&amp;";",""),IF(AND($G42&lt;Hta_16,$G42&gt;=Hba_16,Input!AF$36&lt;&gt;""),Input!$B$36&amp;";",""),IF(AND($G42&lt;Hta_17,$G42&gt;=Hba_17,Input!AF$37&lt;&gt;""),Input!$B$37&amp;";",""),IF(AND($G42&lt;Hta_18,$G42&gt;=Hba_18,Input!AF$38&lt;&gt;""),Input!$B$38&amp;";",""),IF(AND($G42&lt;Hta_19,$G42&gt;=Hba_19,Input!AF$39&lt;&gt;""),Input!$B$39&amp;";",""),IF(AND($G42&lt;Hta_20,$G42&gt;=Hba_20,Input!AF$40&lt;&gt;""),Input!$B$40&amp;";",""),IF(AND($G42&lt;Hta_21,$G42&gt;=Hba_21,Input!AF$41&lt;&gt;""),Input!$B$41&amp;";",""),IF(AND($G42&lt;Hta_22,$G42&gt;=Hba_22,Input!AF$42&lt;&gt;""),Input!$B$42&amp;";",""),IF(AND($G42&lt;Hta_23,$G42&gt;=Hba_23,Input!AF$43&lt;&gt;""),Input!$B$43&amp;";",""),IF(AND($G42&lt;Hta_24,$G42&gt;=Hba_24,Input!AF$44&lt;&gt;""),Input!$B$44&amp;";",""),IF(AND($G42&lt;Hta_25,$G42&gt;=Hba_25,Input!AF$45&lt;&gt;""),Input!$B$45&amp;";",""),IF(AND($G42&lt;Hta_26,$G42&gt;=Hba_26,Input!AF$46&lt;&gt;""),Input!$B$46&amp;";",""),IF(AND($G42&lt;Hta_27,$G42&gt;=Hba_27,Input!AF$47&lt;&gt;""),Input!$B$47&amp;";",""),IF(AND($G42&lt;Hta_28,$G42&gt;=Hba_28,Input!AF$48&lt;&gt;""),Input!$B$48&amp;";",""),IF(AND($G42&lt;Hta_29,$G42&gt;=Hba_29,Input!AF$49&lt;&gt;""),Input!$B$49&amp;";",""),IF(AND($G42&lt;Hta_30,$G42&gt;=Hba_30,Input!AF$50&lt;&gt;""),Input!$B$50&amp;";","")),"")</f>
        <v/>
      </c>
      <c r="CH42" s="25" t="str">
        <f>IFERROR(CONCATENATE(IF(AND($G42&lt;Hta_1,$G42&gt;=Hba_1,Input!AG$21&lt;&gt;""),Input!$B$21&amp;";",""),IF(AND($G42&lt;Hta_2,$G42&gt;=Hba_2,Input!AG$22&lt;&gt;""),Input!$B$22&amp;";",""),IF(AND($G42&lt;Hta_3,$G42&gt;=Hba_3,Input!AG$23&lt;&gt;""),Input!$B$23&amp;";",""),IF(AND($G42&lt;Hta_4,$G42&gt;=Hba_4,Input!AG$24&lt;&gt;""),Input!$B$24&amp;";",""),IF(AND($G42&lt;Hta_5,$G42&gt;=Hba_5,Input!AG$25&lt;&gt;""),Input!$B$25&amp;";",""),IF(AND($G42&lt;Hta_6,$G42&gt;=Hba_6,Input!AG$26&lt;&gt;""),Input!$B$26&amp;";",""),IF(AND($G42&lt;Hta_7,$G42&gt;=Hba_7,Input!AG$27&lt;&gt;""),Input!$B$27&amp;";",""),IF(AND($G42&lt;Hta_8,$G42&gt;=Hba_8,Input!AG$28&lt;&gt;""),Input!$B$28&amp;";",""),IF(AND($G42&lt;Hta_9,$G42&gt;=Hba_9,Input!AG$29&lt;&gt;""),Input!$B$29&amp;";",""),IF(AND($G42&lt;Hta_10,$G42&gt;=Hba_10,Input!AG$30&lt;&gt;""),Input!$B$30&amp;";",""),IF(AND($G42&lt;Hta_11,$G42&gt;=Hba_11,Input!AG$31&lt;&gt;""),Input!$B$31&amp;";",""),IF(AND($G42&lt;Hta_12,$G42&gt;=Hba_12,Input!AG$32&lt;&gt;""),Input!$B$32&amp;";",""),IF(AND($G42&lt;Hta_13,$G42&gt;=Hba_13,Input!AG$33&lt;&gt;""),Input!$B$33&amp;";",""),IF(AND($G42&lt;Hta_14,$G42&gt;=Hba_14,Input!AG$34&lt;&gt;""),Input!$B$34&amp;";",""),IF(AND($G42&lt;Hta_15,$G42&gt;=Hba_15,Input!AG$35&lt;&gt;""),Input!$B$35&amp;";",""),IF(AND($G42&lt;Hta_16,$G42&gt;=Hba_16,Input!AG$36&lt;&gt;""),Input!$B$36&amp;";",""),IF(AND($G42&lt;Hta_17,$G42&gt;=Hba_17,Input!AG$37&lt;&gt;""),Input!$B$37&amp;";",""),IF(AND($G42&lt;Hta_18,$G42&gt;=Hba_18,Input!AG$38&lt;&gt;""),Input!$B$38&amp;";",""),IF(AND($G42&lt;Hta_19,$G42&gt;=Hba_19,Input!AG$39&lt;&gt;""),Input!$B$39&amp;";",""),IF(AND($G42&lt;Hta_20,$G42&gt;=Hba_20,Input!AG$40&lt;&gt;""),Input!$B$40&amp;";",""),IF(AND($G42&lt;Hta_21,$G42&gt;=Hba_21,Input!AG$41&lt;&gt;""),Input!$B$41&amp;";",""),IF(AND($G42&lt;Hta_22,$G42&gt;=Hba_22,Input!AG$42&lt;&gt;""),Input!$B$42&amp;";",""),IF(AND($G42&lt;Hta_23,$G42&gt;=Hba_23,Input!AG$43&lt;&gt;""),Input!$B$43&amp;";",""),IF(AND($G42&lt;Hta_24,$G42&gt;=Hba_24,Input!AG$44&lt;&gt;""),Input!$B$44&amp;";",""),IF(AND($G42&lt;Hta_25,$G42&gt;=Hba_25,Input!AG$45&lt;&gt;""),Input!$B$45&amp;";",""),IF(AND($G42&lt;Hta_26,$G42&gt;=Hba_26,Input!AG$46&lt;&gt;""),Input!$B$46&amp;";",""),IF(AND($G42&lt;Hta_27,$G42&gt;=Hba_27,Input!AG$47&lt;&gt;""),Input!$B$47&amp;";",""),IF(AND($G42&lt;Hta_28,$G42&gt;=Hba_28,Input!AG$48&lt;&gt;""),Input!$B$48&amp;";",""),IF(AND($G42&lt;Hta_29,$G42&gt;=Hba_29,Input!AG$49&lt;&gt;""),Input!$B$49&amp;";",""),IF(AND($G42&lt;Hta_30,$G42&gt;=Hba_30,Input!AG$50&lt;&gt;""),Input!$B$50&amp;";","")),"")</f>
        <v/>
      </c>
      <c r="CI42" s="25" t="str">
        <f>IFERROR(CONCATENATE(IF(AND($G42&lt;Hta_1,$G42&gt;=Hba_1,Input!AH$21&lt;&gt;""),Input!$B$21&amp;";",""),IF(AND($G42&lt;Hta_2,$G42&gt;=Hba_2,Input!AH$22&lt;&gt;""),Input!$B$22&amp;";",""),IF(AND($G42&lt;Hta_3,$G42&gt;=Hba_3,Input!AH$23&lt;&gt;""),Input!$B$23&amp;";",""),IF(AND($G42&lt;Hta_4,$G42&gt;=Hba_4,Input!AH$24&lt;&gt;""),Input!$B$24&amp;";",""),IF(AND($G42&lt;Hta_5,$G42&gt;=Hba_5,Input!AH$25&lt;&gt;""),Input!$B$25&amp;";",""),IF(AND($G42&lt;Hta_6,$G42&gt;=Hba_6,Input!AH$26&lt;&gt;""),Input!$B$26&amp;";",""),IF(AND($G42&lt;Hta_7,$G42&gt;=Hba_7,Input!AH$27&lt;&gt;""),Input!$B$27&amp;";",""),IF(AND($G42&lt;Hta_8,$G42&gt;=Hba_8,Input!AH$28&lt;&gt;""),Input!$B$28&amp;";",""),IF(AND($G42&lt;Hta_9,$G42&gt;=Hba_9,Input!AH$29&lt;&gt;""),Input!$B$29&amp;";",""),IF(AND($G42&lt;Hta_10,$G42&gt;=Hba_10,Input!AH$30&lt;&gt;""),Input!$B$30&amp;";",""),IF(AND($G42&lt;Hta_11,$G42&gt;=Hba_11,Input!AH$31&lt;&gt;""),Input!$B$31&amp;";",""),IF(AND($G42&lt;Hta_12,$G42&gt;=Hba_12,Input!AH$32&lt;&gt;""),Input!$B$32&amp;";",""),IF(AND($G42&lt;Hta_13,$G42&gt;=Hba_13,Input!AH$33&lt;&gt;""),Input!$B$33&amp;";",""),IF(AND($G42&lt;Hta_14,$G42&gt;=Hba_14,Input!AH$34&lt;&gt;""),Input!$B$34&amp;";",""),IF(AND($G42&lt;Hta_15,$G42&gt;=Hba_15,Input!AH$35&lt;&gt;""),Input!$B$35&amp;";",""),IF(AND($G42&lt;Hta_16,$G42&gt;=Hba_16,Input!AH$36&lt;&gt;""),Input!$B$36&amp;";",""),IF(AND($G42&lt;Hta_17,$G42&gt;=Hba_17,Input!AH$37&lt;&gt;""),Input!$B$37&amp;";",""),IF(AND($G42&lt;Hta_18,$G42&gt;=Hba_18,Input!AH$38&lt;&gt;""),Input!$B$38&amp;";",""),IF(AND($G42&lt;Hta_19,$G42&gt;=Hba_19,Input!AH$39&lt;&gt;""),Input!$B$39&amp;";",""),IF(AND($G42&lt;Hta_20,$G42&gt;=Hba_20,Input!AH$40&lt;&gt;""),Input!$B$40&amp;";",""),IF(AND($G42&lt;Hta_21,$G42&gt;=Hba_21,Input!AH$41&lt;&gt;""),Input!$B$41&amp;";",""),IF(AND($G42&lt;Hta_22,$G42&gt;=Hba_22,Input!AH$42&lt;&gt;""),Input!$B$42&amp;";",""),IF(AND($G42&lt;Hta_23,$G42&gt;=Hba_23,Input!AH$43&lt;&gt;""),Input!$B$43&amp;";",""),IF(AND($G42&lt;Hta_24,$G42&gt;=Hba_24,Input!AH$44&lt;&gt;""),Input!$B$44&amp;";",""),IF(AND($G42&lt;Hta_25,$G42&gt;=Hba_25,Input!AH$45&lt;&gt;""),Input!$B$45&amp;";",""),IF(AND($G42&lt;Hta_26,$G42&gt;=Hba_26,Input!AH$46&lt;&gt;""),Input!$B$46&amp;";",""),IF(AND($G42&lt;Hta_27,$G42&gt;=Hba_27,Input!AH$47&lt;&gt;""),Input!$B$47&amp;";",""),IF(AND($G42&lt;Hta_28,$G42&gt;=Hba_28,Input!AH$48&lt;&gt;""),Input!$B$48&amp;";",""),IF(AND($G42&lt;Hta_29,$G42&gt;=Hba_29,Input!AH$49&lt;&gt;""),Input!$B$49&amp;";",""),IF(AND($G42&lt;Hta_30,$G42&gt;=Hba_30,Input!AH$50&lt;&gt;""),Input!$B$50&amp;";","")),"")</f>
        <v/>
      </c>
      <c r="CJ42" s="25" t="str">
        <f>IFERROR(CONCATENATE(IF(AND($G42&lt;Hta_1,$G42&gt;=Hba_1,Input!AI$21&lt;&gt;""),Input!$B$21&amp;";",""),IF(AND($G42&lt;Hta_2,$G42&gt;=Hba_2,Input!AI$22&lt;&gt;""),Input!$B$22&amp;";",""),IF(AND($G42&lt;Hta_3,$G42&gt;=Hba_3,Input!AI$23&lt;&gt;""),Input!$B$23&amp;";",""),IF(AND($G42&lt;Hta_4,$G42&gt;=Hba_4,Input!AI$24&lt;&gt;""),Input!$B$24&amp;";",""),IF(AND($G42&lt;Hta_5,$G42&gt;=Hba_5,Input!AI$25&lt;&gt;""),Input!$B$25&amp;";",""),IF(AND($G42&lt;Hta_6,$G42&gt;=Hba_6,Input!AI$26&lt;&gt;""),Input!$B$26&amp;";",""),IF(AND($G42&lt;Hta_7,$G42&gt;=Hba_7,Input!AI$27&lt;&gt;""),Input!$B$27&amp;";",""),IF(AND($G42&lt;Hta_8,$G42&gt;=Hba_8,Input!AI$28&lt;&gt;""),Input!$B$28&amp;";",""),IF(AND($G42&lt;Hta_9,$G42&gt;=Hba_9,Input!AI$29&lt;&gt;""),Input!$B$29&amp;";",""),IF(AND($G42&lt;Hta_10,$G42&gt;=Hba_10,Input!AI$30&lt;&gt;""),Input!$B$30&amp;";",""),IF(AND($G42&lt;Hta_11,$G42&gt;=Hba_11,Input!AI$31&lt;&gt;""),Input!$B$31&amp;";",""),IF(AND($G42&lt;Hta_12,$G42&gt;=Hba_12,Input!AI$32&lt;&gt;""),Input!$B$32&amp;";",""),IF(AND($G42&lt;Hta_13,$G42&gt;=Hba_13,Input!AI$33&lt;&gt;""),Input!$B$33&amp;";",""),IF(AND($G42&lt;Hta_14,$G42&gt;=Hba_14,Input!AI$34&lt;&gt;""),Input!$B$34&amp;";",""),IF(AND($G42&lt;Hta_15,$G42&gt;=Hba_15,Input!AI$35&lt;&gt;""),Input!$B$35&amp;";",""),IF(AND($G42&lt;Hta_16,$G42&gt;=Hba_16,Input!AI$36&lt;&gt;""),Input!$B$36&amp;";",""),IF(AND($G42&lt;Hta_17,$G42&gt;=Hba_17,Input!AI$37&lt;&gt;""),Input!$B$37&amp;";",""),IF(AND($G42&lt;Hta_18,$G42&gt;=Hba_18,Input!AI$38&lt;&gt;""),Input!$B$38&amp;";",""),IF(AND($G42&lt;Hta_19,$G42&gt;=Hba_19,Input!AI$39&lt;&gt;""),Input!$B$39&amp;";",""),IF(AND($G42&lt;Hta_20,$G42&gt;=Hba_20,Input!AI$40&lt;&gt;""),Input!$B$40&amp;";",""),IF(AND($G42&lt;Hta_21,$G42&gt;=Hba_21,Input!AI$41&lt;&gt;""),Input!$B$41&amp;";",""),IF(AND($G42&lt;Hta_22,$G42&gt;=Hba_22,Input!AI$42&lt;&gt;""),Input!$B$42&amp;";",""),IF(AND($G42&lt;Hta_23,$G42&gt;=Hba_23,Input!AI$43&lt;&gt;""),Input!$B$43&amp;";",""),IF(AND($G42&lt;Hta_24,$G42&gt;=Hba_24,Input!AI$44&lt;&gt;""),Input!$B$44&amp;";",""),IF(AND($G42&lt;Hta_25,$G42&gt;=Hba_25,Input!AI$45&lt;&gt;""),Input!$B$45&amp;";",""),IF(AND($G42&lt;Hta_26,$G42&gt;=Hba_26,Input!AI$46&lt;&gt;""),Input!$B$46&amp;";",""),IF(AND($G42&lt;Hta_27,$G42&gt;=Hba_27,Input!AI$47&lt;&gt;""),Input!$B$47&amp;";",""),IF(AND($G42&lt;Hta_28,$G42&gt;=Hba_28,Input!AI$48&lt;&gt;""),Input!$B$48&amp;";",""),IF(AND($G42&lt;Hta_29,$G42&gt;=Hba_29,Input!AI$49&lt;&gt;""),Input!$B$49&amp;";",""),IF(AND($G42&lt;Hta_30,$G42&gt;=Hba_30,Input!AI$50&lt;&gt;""),Input!$B$50&amp;";","")),"")</f>
        <v/>
      </c>
      <c r="CK42" s="25" t="str">
        <f>IFERROR(CONCATENATE(IF(AND($G42&lt;Hta_1,$G42&gt;=Hba_1,Input!AJ$21&lt;&gt;""),Input!$B$21&amp;";",""),IF(AND($G42&lt;Hta_2,$G42&gt;=Hba_2,Input!AJ$22&lt;&gt;""),Input!$B$22&amp;";",""),IF(AND($G42&lt;Hta_3,$G42&gt;=Hba_3,Input!AJ$23&lt;&gt;""),Input!$B$23&amp;";",""),IF(AND($G42&lt;Hta_4,$G42&gt;=Hba_4,Input!AJ$24&lt;&gt;""),Input!$B$24&amp;";",""),IF(AND($G42&lt;Hta_5,$G42&gt;=Hba_5,Input!AJ$25&lt;&gt;""),Input!$B$25&amp;";",""),IF(AND($G42&lt;Hta_6,$G42&gt;=Hba_6,Input!AJ$26&lt;&gt;""),Input!$B$26&amp;";",""),IF(AND($G42&lt;Hta_7,$G42&gt;=Hba_7,Input!AJ$27&lt;&gt;""),Input!$B$27&amp;";",""),IF(AND($G42&lt;Hta_8,$G42&gt;=Hba_8,Input!AJ$28&lt;&gt;""),Input!$B$28&amp;";",""),IF(AND($G42&lt;Hta_9,$G42&gt;=Hba_9,Input!AJ$29&lt;&gt;""),Input!$B$29&amp;";",""),IF(AND($G42&lt;Hta_10,$G42&gt;=Hba_10,Input!AJ$30&lt;&gt;""),Input!$B$30&amp;";",""),IF(AND($G42&lt;Hta_11,$G42&gt;=Hba_11,Input!AJ$31&lt;&gt;""),Input!$B$31&amp;";",""),IF(AND($G42&lt;Hta_12,$G42&gt;=Hba_12,Input!AJ$32&lt;&gt;""),Input!$B$32&amp;";",""),IF(AND($G42&lt;Hta_13,$G42&gt;=Hba_13,Input!AJ$33&lt;&gt;""),Input!$B$33&amp;";",""),IF(AND($G42&lt;Hta_14,$G42&gt;=Hba_14,Input!AJ$34&lt;&gt;""),Input!$B$34&amp;";",""),IF(AND($G42&lt;Hta_15,$G42&gt;=Hba_15,Input!AJ$35&lt;&gt;""),Input!$B$35&amp;";",""),IF(AND($G42&lt;Hta_16,$G42&gt;=Hba_16,Input!AJ$36&lt;&gt;""),Input!$B$36&amp;";",""),IF(AND($G42&lt;Hta_17,$G42&gt;=Hba_17,Input!AJ$37&lt;&gt;""),Input!$B$37&amp;";",""),IF(AND($G42&lt;Hta_18,$G42&gt;=Hba_18,Input!AJ$38&lt;&gt;""),Input!$B$38&amp;";",""),IF(AND($G42&lt;Hta_19,$G42&gt;=Hba_19,Input!AJ$39&lt;&gt;""),Input!$B$39&amp;";",""),IF(AND($G42&lt;Hta_20,$G42&gt;=Hba_20,Input!AJ$40&lt;&gt;""),Input!$B$40&amp;";",""),IF(AND($G42&lt;Hta_21,$G42&gt;=Hba_21,Input!AJ$41&lt;&gt;""),Input!$B$41&amp;";",""),IF(AND($G42&lt;Hta_22,$G42&gt;=Hba_22,Input!AJ$42&lt;&gt;""),Input!$B$42&amp;";",""),IF(AND($G42&lt;Hta_23,$G42&gt;=Hba_23,Input!AJ$43&lt;&gt;""),Input!$B$43&amp;";",""),IF(AND($G42&lt;Hta_24,$G42&gt;=Hba_24,Input!AJ$44&lt;&gt;""),Input!$B$44&amp;";",""),IF(AND($G42&lt;Hta_25,$G42&gt;=Hba_25,Input!AJ$45&lt;&gt;""),Input!$B$45&amp;";",""),IF(AND($G42&lt;Hta_26,$G42&gt;=Hba_26,Input!AJ$46&lt;&gt;""),Input!$B$46&amp;";",""),IF(AND($G42&lt;Hta_27,$G42&gt;=Hba_27,Input!AJ$47&lt;&gt;""),Input!$B$47&amp;";",""),IF(AND($G42&lt;Hta_28,$G42&gt;=Hba_28,Input!AJ$48&lt;&gt;""),Input!$B$48&amp;";",""),IF(AND($G42&lt;Hta_29,$G42&gt;=Hba_29,Input!AJ$49&lt;&gt;""),Input!$B$49&amp;";",""),IF(AND($G42&lt;Hta_30,$G42&gt;=Hba_30,Input!AJ$50&lt;&gt;""),Input!$B$50&amp;";","")),"")</f>
        <v/>
      </c>
      <c r="CL42" s="25" t="str">
        <f>IFERROR(CONCATENATE(IF(AND($G42&lt;Hta_1,$G42&gt;=Hba_1,Input!AK$21&lt;&gt;""),Input!$B$21&amp;";",""),IF(AND($G42&lt;Hta_2,$G42&gt;=Hba_2,Input!AK$22&lt;&gt;""),Input!$B$22&amp;";",""),IF(AND($G42&lt;Hta_3,$G42&gt;=Hba_3,Input!AK$23&lt;&gt;""),Input!$B$23&amp;";",""),IF(AND($G42&lt;Hta_4,$G42&gt;=Hba_4,Input!AK$24&lt;&gt;""),Input!$B$24&amp;";",""),IF(AND($G42&lt;Hta_5,$G42&gt;=Hba_5,Input!AK$25&lt;&gt;""),Input!$B$25&amp;";",""),IF(AND($G42&lt;Hta_6,$G42&gt;=Hba_6,Input!AK$26&lt;&gt;""),Input!$B$26&amp;";",""),IF(AND($G42&lt;Hta_7,$G42&gt;=Hba_7,Input!AK$27&lt;&gt;""),Input!$B$27&amp;";",""),IF(AND($G42&lt;Hta_8,$G42&gt;=Hba_8,Input!AK$28&lt;&gt;""),Input!$B$28&amp;";",""),IF(AND($G42&lt;Hta_9,$G42&gt;=Hba_9,Input!AK$29&lt;&gt;""),Input!$B$29&amp;";",""),IF(AND($G42&lt;Hta_10,$G42&gt;=Hba_10,Input!AK$30&lt;&gt;""),Input!$B$30&amp;";",""),IF(AND($G42&lt;Hta_11,$G42&gt;=Hba_11,Input!AK$31&lt;&gt;""),Input!$B$31&amp;";",""),IF(AND($G42&lt;Hta_12,$G42&gt;=Hba_12,Input!AK$32&lt;&gt;""),Input!$B$32&amp;";",""),IF(AND($G42&lt;Hta_13,$G42&gt;=Hba_13,Input!AK$33&lt;&gt;""),Input!$B$33&amp;";",""),IF(AND($G42&lt;Hta_14,$G42&gt;=Hba_14,Input!AK$34&lt;&gt;""),Input!$B$34&amp;";",""),IF(AND($G42&lt;Hta_15,$G42&gt;=Hba_15,Input!AK$35&lt;&gt;""),Input!$B$35&amp;";",""),IF(AND($G42&lt;Hta_16,$G42&gt;=Hba_16,Input!AK$36&lt;&gt;""),Input!$B$36&amp;";",""),IF(AND($G42&lt;Hta_17,$G42&gt;=Hba_17,Input!AK$37&lt;&gt;""),Input!$B$37&amp;";",""),IF(AND($G42&lt;Hta_18,$G42&gt;=Hba_18,Input!AK$38&lt;&gt;""),Input!$B$38&amp;";",""),IF(AND($G42&lt;Hta_19,$G42&gt;=Hba_19,Input!AK$39&lt;&gt;""),Input!$B$39&amp;";",""),IF(AND($G42&lt;Hta_20,$G42&gt;=Hba_20,Input!AK$40&lt;&gt;""),Input!$B$40&amp;";",""),IF(AND($G42&lt;Hta_21,$G42&gt;=Hba_21,Input!AK$41&lt;&gt;""),Input!$B$41&amp;";",""),IF(AND($G42&lt;Hta_22,$G42&gt;=Hba_22,Input!AK$42&lt;&gt;""),Input!$B$42&amp;";",""),IF(AND($G42&lt;Hta_23,$G42&gt;=Hba_23,Input!AK$43&lt;&gt;""),Input!$B$43&amp;";",""),IF(AND($G42&lt;Hta_24,$G42&gt;=Hba_24,Input!AK$44&lt;&gt;""),Input!$B$44&amp;";",""),IF(AND($G42&lt;Hta_25,$G42&gt;=Hba_25,Input!AK$45&lt;&gt;""),Input!$B$45&amp;";",""),IF(AND($G42&lt;Hta_26,$G42&gt;=Hba_26,Input!AK$46&lt;&gt;""),Input!$B$46&amp;";",""),IF(AND($G42&lt;Hta_27,$G42&gt;=Hba_27,Input!AK$47&lt;&gt;""),Input!$B$47&amp;";",""),IF(AND($G42&lt;Hta_28,$G42&gt;=Hba_28,Input!AK$48&lt;&gt;""),Input!$B$48&amp;";",""),IF(AND($G42&lt;Hta_29,$G42&gt;=Hba_29,Input!AK$49&lt;&gt;""),Input!$B$49&amp;";",""),IF(AND($G42&lt;Hta_30,$G42&gt;=Hba_30,Input!AK$50&lt;&gt;""),Input!$B$50&amp;";","")),"")</f>
        <v/>
      </c>
      <c r="CM42" s="25" t="str">
        <f>IFERROR(CONCATENATE(IF(AND($G42&lt;Hta_1,$G42&gt;=Hba_1,Input!AL$21&lt;&gt;""),Input!$B$21&amp;";",""),IF(AND($G42&lt;Hta_2,$G42&gt;=Hba_2,Input!AL$22&lt;&gt;""),Input!$B$22&amp;";",""),IF(AND($G42&lt;Hta_3,$G42&gt;=Hba_3,Input!AL$23&lt;&gt;""),Input!$B$23&amp;";",""),IF(AND($G42&lt;Hta_4,$G42&gt;=Hba_4,Input!AL$24&lt;&gt;""),Input!$B$24&amp;";",""),IF(AND($G42&lt;Hta_5,$G42&gt;=Hba_5,Input!AL$25&lt;&gt;""),Input!$B$25&amp;";",""),IF(AND($G42&lt;Hta_6,$G42&gt;=Hba_6,Input!AL$26&lt;&gt;""),Input!$B$26&amp;";",""),IF(AND($G42&lt;Hta_7,$G42&gt;=Hba_7,Input!AL$27&lt;&gt;""),Input!$B$27&amp;";",""),IF(AND($G42&lt;Hta_8,$G42&gt;=Hba_8,Input!AL$28&lt;&gt;""),Input!$B$28&amp;";",""),IF(AND($G42&lt;Hta_9,$G42&gt;=Hba_9,Input!AL$29&lt;&gt;""),Input!$B$29&amp;";",""),IF(AND($G42&lt;Hta_10,$G42&gt;=Hba_10,Input!AL$30&lt;&gt;""),Input!$B$30&amp;";",""),IF(AND($G42&lt;Hta_11,$G42&gt;=Hba_11,Input!AL$31&lt;&gt;""),Input!$B$31&amp;";",""),IF(AND($G42&lt;Hta_12,$G42&gt;=Hba_12,Input!AL$32&lt;&gt;""),Input!$B$32&amp;";",""),IF(AND($G42&lt;Hta_13,$G42&gt;=Hba_13,Input!AL$33&lt;&gt;""),Input!$B$33&amp;";",""),IF(AND($G42&lt;Hta_14,$G42&gt;=Hba_14,Input!AL$34&lt;&gt;""),Input!$B$34&amp;";",""),IF(AND($G42&lt;Hta_15,$G42&gt;=Hba_15,Input!AL$35&lt;&gt;""),Input!$B$35&amp;";",""),IF(AND($G42&lt;Hta_16,$G42&gt;=Hba_16,Input!AL$36&lt;&gt;""),Input!$B$36&amp;";",""),IF(AND($G42&lt;Hta_17,$G42&gt;=Hba_17,Input!AL$37&lt;&gt;""),Input!$B$37&amp;";",""),IF(AND($G42&lt;Hta_18,$G42&gt;=Hba_18,Input!AL$38&lt;&gt;""),Input!$B$38&amp;";",""),IF(AND($G42&lt;Hta_19,$G42&gt;=Hba_19,Input!AL$39&lt;&gt;""),Input!$B$39&amp;";",""),IF(AND($G42&lt;Hta_20,$G42&gt;=Hba_20,Input!AL$40&lt;&gt;""),Input!$B$40&amp;";",""),IF(AND($G42&lt;Hta_21,$G42&gt;=Hba_21,Input!AL$41&lt;&gt;""),Input!$B$41&amp;";",""),IF(AND($G42&lt;Hta_22,$G42&gt;=Hba_22,Input!AL$42&lt;&gt;""),Input!$B$42&amp;";",""),IF(AND($G42&lt;Hta_23,$G42&gt;=Hba_23,Input!AL$43&lt;&gt;""),Input!$B$43&amp;";",""),IF(AND($G42&lt;Hta_24,$G42&gt;=Hba_24,Input!AL$44&lt;&gt;""),Input!$B$44&amp;";",""),IF(AND($G42&lt;Hta_25,$G42&gt;=Hba_25,Input!AL$45&lt;&gt;""),Input!$B$45&amp;";",""),IF(AND($G42&lt;Hta_26,$G42&gt;=Hba_26,Input!AL$46&lt;&gt;""),Input!$B$46&amp;";",""),IF(AND($G42&lt;Hta_27,$G42&gt;=Hba_27,Input!AL$47&lt;&gt;""),Input!$B$47&amp;";",""),IF(AND($G42&lt;Hta_28,$G42&gt;=Hba_28,Input!AL$48&lt;&gt;""),Input!$B$48&amp;";",""),IF(AND($G42&lt;Hta_29,$G42&gt;=Hba_29,Input!AL$49&lt;&gt;""),Input!$B$49&amp;";",""),IF(AND($G42&lt;Hta_30,$G42&gt;=Hba_30,Input!AL$50&lt;&gt;""),Input!$B$50&amp;";","")),"")</f>
        <v/>
      </c>
      <c r="CN42" s="59" t="str">
        <f t="shared" si="6"/>
        <v/>
      </c>
      <c r="CO42" s="791"/>
      <c r="CP42" s="792"/>
      <c r="CQ42" s="793"/>
      <c r="CR42" s="791"/>
      <c r="CS42" s="792"/>
      <c r="CT42" s="793"/>
      <c r="CU42" s="791" t="str">
        <f t="shared" si="7"/>
        <v/>
      </c>
      <c r="CV42" s="792"/>
      <c r="CW42" s="807"/>
      <c r="CX42" s="808"/>
      <c r="CY42" s="730"/>
      <c r="CZ42" s="809"/>
      <c r="DA42" s="733"/>
      <c r="DB42" s="734"/>
      <c r="DC42" s="735"/>
      <c r="DD42" s="729" t="str">
        <f t="shared" si="8"/>
        <v/>
      </c>
      <c r="DE42" s="730"/>
      <c r="DF42" s="731"/>
      <c r="DG42" s="55"/>
      <c r="DH42" s="56"/>
      <c r="DI42" s="56"/>
      <c r="DJ42" s="56"/>
      <c r="DK42" s="56"/>
      <c r="DL42" s="56"/>
      <c r="DM42" s="56"/>
      <c r="DN42" s="56"/>
      <c r="DO42" s="56"/>
      <c r="DP42" s="56"/>
      <c r="DQ42" s="58"/>
      <c r="DR42" s="58"/>
      <c r="DS42" s="58"/>
      <c r="DT42" s="58"/>
      <c r="DU42" s="58"/>
      <c r="DV42" s="58"/>
      <c r="DW42" s="58"/>
      <c r="DX42" s="58"/>
      <c r="DY42" s="58"/>
      <c r="DZ42" s="58"/>
      <c r="EA42" s="58"/>
      <c r="EB42" s="58"/>
      <c r="EC42" s="58"/>
      <c r="ED42" s="58"/>
      <c r="EE42" s="58"/>
      <c r="EF42" s="58"/>
      <c r="EG42" s="58"/>
      <c r="EH42" s="58"/>
      <c r="EI42" s="58"/>
      <c r="EJ42" s="58"/>
      <c r="EK42" s="58"/>
      <c r="EL42" s="134"/>
      <c r="EM42" s="134"/>
      <c r="EN42" s="134"/>
      <c r="EO42" s="134"/>
      <c r="EP42" s="134"/>
      <c r="EQ42" s="134"/>
      <c r="ER42" s="134"/>
      <c r="ES42" s="134"/>
      <c r="ET42" s="134"/>
      <c r="EU42" s="134"/>
      <c r="EV42" s="134"/>
      <c r="EW42" s="134"/>
      <c r="EX42" s="134"/>
      <c r="EY42" s="134"/>
      <c r="EZ42" s="134"/>
      <c r="FA42" s="134"/>
      <c r="FB42" s="134"/>
      <c r="FC42" s="134"/>
      <c r="FD42" s="134"/>
      <c r="FE42" s="134"/>
      <c r="FF42" s="134"/>
      <c r="FG42" s="134"/>
      <c r="FH42" s="134"/>
      <c r="FI42" s="134"/>
      <c r="FJ42" s="134"/>
      <c r="FK42" s="134"/>
      <c r="FL42" s="134"/>
      <c r="FM42" s="134"/>
      <c r="FN42" s="134"/>
      <c r="FO42" s="134"/>
      <c r="FP42" s="65"/>
      <c r="FQ42" s="124"/>
      <c r="FR42" s="122"/>
      <c r="FS42" s="120"/>
      <c r="FT42" s="119"/>
    </row>
    <row r="43" spans="2:176" ht="15.75" hidden="1" customHeight="1" thickBot="1" x14ac:dyDescent="0.3">
      <c r="B43" s="62" t="b">
        <f>IF(OR(AND(G43&gt;='Geometry 2'!$AK$5,G43&lt;'Geometry 2'!$AL$5),AND(G43&gt;='Geometry 2'!$AK$6,G43&lt;'Geometry 2'!$AL$6),AND(G43&gt;='Geometry 2'!$AK$7,G43&lt;'Geometry 2'!$AL$7),AND(G43&gt;='Geometry 2'!$AK$8,G43&lt;'Geometry 2'!$AL$8),AND(G43&gt;='Geometry 2'!$AK$9,G43&lt;'Geometry 2'!$AL$9),AND(G43&gt;='Geometry 2'!$AK$10,G43&lt;'Geometry 2'!$AL$10),AND(G43&gt;='Geometry 2'!$AK$11,G43&lt;'Geometry 2'!$AL$11),AND(G43&gt;='Geometry 2'!$AK$12,G43&lt;'Geometry 2'!$AL$12),AND(G43&gt;='Geometry 2'!$AK$13,G43&lt;'Geometry 2'!$AL$13),AND(G43&gt;='Geometry 2'!$AK$14,G43&lt;'Geometry 2'!$AL$14)),TRUE,FALSE)</f>
        <v>0</v>
      </c>
      <c r="C43" s="4" t="str">
        <f t="shared" si="3"/>
        <v/>
      </c>
      <c r="D43" s="766" t="str">
        <f t="shared" si="4"/>
        <v/>
      </c>
      <c r="E43" s="767"/>
      <c r="F43" s="17" t="str">
        <f t="shared" si="2"/>
        <v/>
      </c>
      <c r="G43" s="768" t="str">
        <f>IF(D43="","",MAX(0,G42-IF(inc="n/a",999,inc),MAX(IF(G42&lt;=Hta_1,0,Hta_1),IF(G42&lt;=Hta_2,0,Hta_2),IF(G42&lt;=Hta_3,0,Hta_3),IF(G42&lt;=Hta_4,0,Hta_4),IF(G42&lt;=Hta_5,0,Hta_5),IF(G42&lt;=Hta_6,0,Hta_6),IF(G42&lt;=Hta_7,0,Hta_7),IF(G42&lt;=Hta_8,0,Hta_8),IF(G42&lt;=Hta_9,0,Hta_9),IF(G42&lt;=Hta_10,0,Hta_10),IF(G42&lt;=Hta_11,0,Hta_11),IF(G42&lt;=Hta_12,0,Hta_12),IF(G42&lt;=Hta_13,0,Hta_13),IF(G42&lt;=Hta_14,0,Hta_14),IF(G42&lt;=Hta_15,0,Hta_15),IF(G42&lt;=Hta_16,0,Hta_16),IF(G42&lt;=Hta_17,0,Hta_17),IF(G42&lt;=Hta_18,0,Hta_18),IF(G42&lt;=Hta_19,0,Hta_19),IF(G42&lt;=Hta_20,0,Hta_20),IF(G42&lt;=Hta_21,0,Hta_21),IF(G42&lt;=Hta_22,0,Hta_22),IF(G42&lt;=Hta_23,0,Hta_23),IF(G42&lt;=Hta_24,0,Hta_24),IF(G42&lt;=Hta_25,0,Hta_25),IF(G42&lt;=Hta_26,0,Hta_26),IF(G42&lt;=Hta_27,0,Hta_27),IF(G42&lt;=Hta_28,0,Hta_28),IF(G42&lt;=Hta_29,0,Hta_29),IF(G42&lt;=Hta_30,0,Hta_30)),MAX(IF(G42&lt;=Hta_1-0.25,0,Hta_1-0.25),IF(G42&lt;=Hta_2-0.25,0,Hta_2-0.25),IF(G42&lt;=Hta_3-0.25,0,Hta_3-0.25),IF(G42&lt;=Hta_4-0.25,0,Hta_4-0.25),IF(G42&lt;=Hta_5-0.25,0,Hta_5-0.25),IF(G42&lt;=Hta_6-0.25,0,Hta_6-0.25),IF(G42&lt;=Hta_7-0.25,0,Hta_7-0.25),IF(G42&lt;=Hta_8-0.25,0,Hta_8-0.25),IF(G42&lt;=Hta_9-0.25,0,Hta_9-0.25),IF(G42&lt;=Hta_10-0.25,0,Hta_10-0.25),IF(G42&lt;=Hta_11-0.25,0,Hta_11-0.25),IF(G42&lt;=Hta_12-0.25,0,Hta_12-0.25),IF(G42&lt;=Hta_13-0.25,0,Hta_13-0.25),IF(G42&lt;=Hta_14-0.25,0,Hta_14-0.25),IF(G42&lt;=Hta_15-0.25,0,Hta_15-0.25),IF(G42&lt;=Hta_16-0.25,0,Hta_16-0.25),IF(G42&lt;=Hta_17-0.25,0,Hta_17-0.25),IF(G42&lt;=Hta_18-0.25,0,Hta_18-0.25),IF(G42&lt;=Hta_19-0.25,0,Hta_19-0.25),IF(G42&lt;=Hta_20-0.25,0,Hta_20-0.25),IF(G42&lt;=Hta_21-0.25,0,Hta_21-0.25),IF(G42&lt;=Hta_22-0.25,0,Hta_22-0.25),IF(G42&lt;=Hta_23-0.25,0,Hta_23-0.25),IF(G42&lt;=Hta_24-0.25,0,Hta_24-0.25),IF(G42&lt;=Hta_25-0.25,0,Hta_25-0.25),IF(G42&lt;=Hta_26-0.25,0,Hta_26-0.25),IF(G42&lt;=Hta_27-0.25,0,Hta_27-0.25),IF(G42&lt;=Hta_28-0.25,0,Hta_28-0.25),IF(G42&lt;=Hta_29-0.25,0,Hta_29-0.25),IF(G42&lt;=Hta_30-0.25,0,Hta_30-0.25)),MAX(IF(G42&lt;=Hba_1,0,Hba_1),IF(G42&lt;=Hba_2,0,Hba_2),IF(G42&lt;=Hba_3,0,Hba_3),IF(G42&lt;=Hba_4,0,Hba_4),IF(G42&lt;=Hba_5,0,Hba_5),IF(G42&lt;=Hba_6,0,Hba_6),IF(G42&lt;=Hba_7,0,Hba_7),IF(G42&lt;=Hba_8,0,Hba_8),IF(G42&lt;=Hba_9,0,Hba_9),IF(G42&lt;=Hba_10,0,Hba_10),IF(G42&lt;=Hba_11,0,Hba_11),IF(G42&lt;=Hba_12,0,Hba_12),IF(G42&lt;=Hba_13,0,Hba_13),IF(G42&lt;=Hba_14,0,Hba_14),IF(G42&lt;=Hba_15,0,Hba_15),IF(G42&lt;=Hba_16,0,Hba_16),IF(G42&lt;=Hba_17,0,Hba_17),IF(G42&lt;=Hba_18,0,Hba_18),IF(G42&lt;=Hba_19,0,Hba_19),IF(G42&lt;=Hba_20,0,Hba_20),IF(G42&lt;=Hba_21,0,Hba_21),IF(G42&lt;=Hba_22,0,Hba_22),IF(G42&lt;=Hba_23,0,Hba_23),IF(G42&lt;=Hba_24,0,Hba_24),IF(G42&lt;=Hba_25,0,Hba_25),IF(G42&lt;=Hba_26,0,Hba_26),IF(G42&lt;=Hba_27,0,Hba_27),IF(G42&lt;=Hba_28,0,Hba_28),IF(G42&lt;=Hba_29,0,Hba_29),IF(G42&lt;=Hba_30,0,Hba_30)),MAX(IF(G42&lt;=Input!$C$8,0,Input!$C$8),IF(G42&lt;=Input!$C$9,0,Input!$C$9),IF(G42&lt;=Input!$C$10,0,Input!$C$10),IF(G42&lt;=Input!$C$11,0,Input!$C$11),IF(G42&lt;=Input!$C$12,0,Input!$C$12),IF(G42&lt;=Input!$C$13,0,Input!$C$13),IF(G42&lt;=Input!$C$14,0,Input!$C$14),IF(G42&lt;=Input!$C$15,0,Input!$C$15),IF(G42&lt;=Input!$C$16,0,Input!$C$16)),MAX(IF(G42&lt;=Hba_1-0.25,0,Hba_1-0.25),IF(G42&lt;=Hba_2-0.25,0,Hba_2-0.25),IF(G42&lt;=Hba_3-0.25,0,Hba_3-0.25),IF(G42&lt;=Hba_4-0.25,0,Hba_4-0.25),IF(G42&lt;=Hba_5-0.25,0,Hba_5-0.25),IF(G42&lt;=Hba_6-0.25,0,Hba_6-0.25),IF(G42&lt;=Hba_7-0.25,0,Hba_7-0.25),IF(G42&lt;=Hba_8-0.25,0,Hba_8-0.25),IF(G42&lt;=Hba_9-0.25,0,Hba_9-0.25),IF(G42&lt;=Hba_10-0.25,0,Hba_10-0.25),IF(G42&lt;=Hba_11-0.25,0,Hba_11-0.25),IF(G42&lt;=Hba_12-0.25,0,Hba_12-0.25),IF(G42&lt;=Hba_13-0.25,0,Hba_13-0.25),IF(G42&lt;=Hba_14-0.25,0,Hba_14-0.25),IF(G42&lt;=Hba_15-0.25,0,Hba_15-0.25),IF(G42&lt;=Hba_16-0.25,0,Hba_16-0.25),IF(G42&lt;=Hba_17-0.25,0,Hba_17-0.25),IF(G42&lt;=Hba_18-0.25,0,Hba_18-0.25),IF(G42&lt;=Hba_19-0.25,0,Hba_19-0.25),IF(G42&lt;=Hba_20-0.25,0,Hba_20-0.25),IF(G42&lt;=Hba_21-0.25,0,Hba_21-0.25),IF(G42&lt;=Hba_22-0.25,0,Hba_22-0.25),IF(G42&lt;=Hba_23-0.25,0,Hba_23-0.25),IF(G42&lt;=Hba_24-0.25,0,Hba_24-0.25),IF(G42&lt;=Hba_25-0.25,0,Hba_25-0.25),IF(G42&lt;=Hba_26-0.25,0,Hba_26-0.25),IF(G42&lt;=Hba_27-0.25,0,Hba_27-0.25),IF(G42&lt;=Hba_28-0.25,0,Hba_28-0.25),IF(G42&lt;=Hba_29-0.25,0,Hba_29-0.25),IF(G42&lt;=Hba_30-0.25,0,Hba_30-0.25)),IF(G42&lt;='Macro References'!$A$38,0,'Macro References'!$A$38)))</f>
        <v/>
      </c>
      <c r="H43" s="769"/>
      <c r="I43" s="228"/>
      <c r="J43" s="228"/>
      <c r="K43" s="228"/>
      <c r="L43" s="717" t="str">
        <f t="shared" si="10"/>
        <v/>
      </c>
      <c r="M43" s="717"/>
      <c r="N43" s="717"/>
      <c r="O43" s="717"/>
      <c r="P43" s="717" t="str">
        <f>IF(OR(G43=0,G43=""),"",IF(VLOOKUP(G43,'Geometry 2'!$C$4:$AI$14,1,TRUE)=VLOOKUP(G44,'Geometry 2'!$C$4:$AI$14,1,TRUE),"",IF(VLOOKUP(G43,'Geometry 2'!$C$4:$AI$14,33,TRUE)&lt;&gt;"n/a",MIN(G43,VLOOKUP(G43,'Geometry 2'!$C$4:$AI$14,1,TRUE))-VLOOKUP(G43,'Geometry 2'!$C$4:$AI$14,33,TRUE),"check")))</f>
        <v/>
      </c>
      <c r="Q43" s="717"/>
      <c r="R43" s="717"/>
      <c r="S43" s="717"/>
      <c r="T43" s="717" t="str">
        <f>IF($G43="","",VLOOKUP($G43,'Geometry 2'!$E$4:$AH$14,11,TRUE))</f>
        <v/>
      </c>
      <c r="U43" s="717"/>
      <c r="V43" s="717"/>
      <c r="W43" s="717"/>
      <c r="X43" s="716" t="str">
        <f>IF($G43="","",VLOOKUP($G43,'Geometry 2'!$E$4:$AJ$14,19,TRUE)-12*VLOOKUP($G43,'Geometry 2'!$E$4:$AJ$14,32,TRUE)*($D43-VLOOKUP($G43,'Geometry 2'!$E$5:$AH$14,1,TRUE)))</f>
        <v/>
      </c>
      <c r="Y43" s="716"/>
      <c r="Z43" s="716"/>
      <c r="AA43" s="716"/>
      <c r="AB43" s="757" t="str">
        <f>IF($G43="","",VLOOKUP($G43,'Geometry 2'!$E$4:$AJ$14,19,TRUE)-12*VLOOKUP($G43,'Geometry 2'!$E$4:$AJ$14,32,TRUE)*($G43-VLOOKUP($G43,'Geometry 2'!$E$5:$AH$14,1,TRUE)))</f>
        <v/>
      </c>
      <c r="AC43" s="758"/>
      <c r="AD43" s="758"/>
      <c r="AE43" s="759"/>
      <c r="AF43" s="716" t="str">
        <f>IF($G43="","",VLOOKUP($G43,'Geometry 2'!$E$4:$AJ$14,19,TRUE)-12*VLOOKUP($G43,'Geometry 2'!$E$4:$AJ$14,32,TRUE)*($G43-IF($P43="",0,$P43)-VLOOKUP($G43,'Geometry 2'!$E$5:$AH$14,1,TRUE)))</f>
        <v/>
      </c>
      <c r="AG43" s="716"/>
      <c r="AH43" s="716"/>
      <c r="AI43" s="716"/>
      <c r="AJ43" s="746" t="str">
        <f>IF($G43="","",VLOOKUP($G43,'Geometry 2'!$E$4:$AH$14,23,TRUE))</f>
        <v/>
      </c>
      <c r="AK43" s="747"/>
      <c r="AL43" s="747"/>
      <c r="AM43" s="748"/>
      <c r="AN43" s="717"/>
      <c r="AO43" s="717"/>
      <c r="AP43" s="717"/>
      <c r="AQ43" s="717"/>
      <c r="AR43" s="717" t="str">
        <f>IF($G43="","",VLOOKUP($G43,'Geometry 2'!$E$4:$AH$14,27,TRUE))</f>
        <v/>
      </c>
      <c r="AS43" s="717"/>
      <c r="AT43" s="717"/>
      <c r="AU43" s="718"/>
      <c r="AV43" s="715"/>
      <c r="AW43" s="716"/>
      <c r="AX43" s="716"/>
      <c r="AZ43" s="722" t="str">
        <f t="shared" si="5"/>
        <v/>
      </c>
      <c r="BA43" s="723"/>
      <c r="BB43" s="723"/>
      <c r="BC43" s="724"/>
      <c r="BD43" s="722"/>
      <c r="BE43" s="723"/>
      <c r="BF43" s="723"/>
      <c r="BG43" s="722" t="str">
        <f t="shared" si="9"/>
        <v/>
      </c>
      <c r="BH43" s="723"/>
      <c r="BI43" s="723"/>
      <c r="BJ43" s="723"/>
      <c r="BK43" s="724"/>
      <c r="BL43" s="722"/>
      <c r="BM43" s="723"/>
      <c r="BN43" s="723"/>
      <c r="BO43" s="723"/>
      <c r="BP43" s="725"/>
      <c r="BQ43" s="725"/>
      <c r="BR43" s="722" t="str">
        <f>IF(BP43="","",IF(OR(AND(Rev="H",Calculations!$F$27=TRUE),AND(Rev&lt;&gt;"H",Calculations!$F$30=TRUE)),IF(BP43&lt;=1,"Pass","Fail"),IF(BP43&lt;=1.05,"Pass","Fail")))</f>
        <v/>
      </c>
      <c r="BS43" s="723"/>
      <c r="BT43" s="724"/>
      <c r="BU43" s="49"/>
      <c r="BV43" s="25" t="str">
        <f>IFERROR(CONCATENATE(IF(AND($G43&lt;Hta_1,$G43&gt;=Hba_1,Input!U$21&lt;&gt;""),Input!$B$21&amp;";",""),IF(AND($G43&lt;Hta_2,$G43&gt;=Hba_2,Input!U$22&lt;&gt;""),Input!$B$22&amp;";",""),IF(AND($G43&lt;Hta_3,$G43&gt;=Hba_3,Input!U$23&lt;&gt;""),Input!$B$23&amp;";",""),IF(AND($G43&lt;Hta_4,$G43&gt;=Hba_4,Input!U$24&lt;&gt;""),Input!$B$24&amp;";",""),IF(AND($G43&lt;Hta_5,$G43&gt;=Hba_5,Input!U$25&lt;&gt;""),Input!$B$25&amp;";",""),IF(AND($G43&lt;Hta_6,$G43&gt;=Hba_6,Input!U$26&lt;&gt;""),Input!$B$26&amp;";",""),IF(AND($G43&lt;Hta_7,$G43&gt;=Hba_7,Input!U$27&lt;&gt;""),Input!$B$27&amp;";",""),IF(AND($G43&lt;Hta_8,$G43&gt;=Hba_8,Input!U$28&lt;&gt;""),Input!$B$28&amp;";",""),IF(AND($G43&lt;Hta_9,$G43&gt;=Hba_9,Input!U$29&lt;&gt;""),Input!$B$29&amp;";",""),IF(AND($G43&lt;Hta_10,$G43&gt;=Hba_10,Input!U$30&lt;&gt;""),Input!$B$30&amp;";",""),IF(AND($G43&lt;Hta_11,$G43&gt;=Hba_11,Input!U$31&lt;&gt;""),Input!$B$31&amp;";",""),IF(AND($G43&lt;Hta_12,$G43&gt;=Hba_12,Input!U$32&lt;&gt;""),Input!$B$32&amp;";",""),IF(AND($G43&lt;Hta_13,$G43&gt;=Hba_13,Input!U$33&lt;&gt;""),Input!$B$33&amp;";",""),IF(AND($G43&lt;Hta_14,$G43&gt;=Hba_14,Input!U$34&lt;&gt;""),Input!$B$34&amp;";",""),IF(AND($G43&lt;Hta_15,$G43&gt;=Hba_15,Input!U$35&lt;&gt;""),Input!$B$35&amp;";",""),IF(AND($G43&lt;Hta_16,$G43&gt;=Hba_16,Input!U$36&lt;&gt;""),Input!$B$36&amp;";",""),IF(AND($G43&lt;Hta_17,$G43&gt;=Hba_17,Input!U$37&lt;&gt;""),Input!$B$37&amp;";",""),IF(AND($G43&lt;Hta_18,$G43&gt;=Hba_18,Input!U$38&lt;&gt;""),Input!$B$38&amp;";",""),IF(AND($G43&lt;Hta_19,$G43&gt;=Hba_19,Input!U$39&lt;&gt;""),Input!$B$39&amp;";",""),IF(AND($G43&lt;Hta_20,$G43&gt;=Hba_20,Input!U$40&lt;&gt;""),Input!$B$40&amp;";",""),IF(AND($G43&lt;Hta_21,$G43&gt;=Hba_21,Input!U$41&lt;&gt;""),Input!$B$41&amp;";",""),IF(AND($G43&lt;Hta_22,$G43&gt;=Hba_22,Input!U$42&lt;&gt;""),Input!$B$42&amp;";",""),IF(AND($G43&lt;Hta_23,$G43&gt;=Hba_23,Input!U$43&lt;&gt;""),Input!$B$43&amp;";",""),IF(AND($G43&lt;Hta_24,$G43&gt;=Hba_24,Input!U$44&lt;&gt;""),Input!$B$44&amp;";",""),IF(AND($G43&lt;Hta_25,$G43&gt;=Hba_25,Input!U$45&lt;&gt;""),Input!$B$45&amp;";",""),IF(AND($G43&lt;Hta_26,$G43&gt;=Hba_26,Input!U$46&lt;&gt;""),Input!$B$46&amp;";",""),IF(AND($G43&lt;Hta_27,$G43&gt;=Hba_27,Input!U$47&lt;&gt;""),Input!$B$47&amp;";",""),IF(AND($G43&lt;Hta_28,$G43&gt;=Hba_28,Input!U$48&lt;&gt;""),Input!$B$48&amp;";",""),IF(AND($G43&lt;Hta_29,$G43&gt;=Hba_29,Input!U$49&lt;&gt;""),Input!$B$49&amp;";",""),IF(AND($G43&lt;Hta_30,$G43&gt;=Hba_30,Input!U$50&lt;&gt;""),Input!$B$50&amp;";","")),"")</f>
        <v/>
      </c>
      <c r="BW43" s="25" t="str">
        <f>IFERROR(CONCATENATE(IF(AND($G43&lt;Hta_1,$G43&gt;=Hba_1,Input!V$21&lt;&gt;""),Input!$B$21&amp;";",""),IF(AND($G43&lt;Hta_2,$G43&gt;=Hba_2,Input!V$22&lt;&gt;""),Input!$B$22&amp;";",""),IF(AND($G43&lt;Hta_3,$G43&gt;=Hba_3,Input!V$23&lt;&gt;""),Input!$B$23&amp;";",""),IF(AND($G43&lt;Hta_4,$G43&gt;=Hba_4,Input!V$24&lt;&gt;""),Input!$B$24&amp;";",""),IF(AND($G43&lt;Hta_5,$G43&gt;=Hba_5,Input!V$25&lt;&gt;""),Input!$B$25&amp;";",""),IF(AND($G43&lt;Hta_6,$G43&gt;=Hba_6,Input!V$26&lt;&gt;""),Input!$B$26&amp;";",""),IF(AND($G43&lt;Hta_7,$G43&gt;=Hba_7,Input!V$27&lt;&gt;""),Input!$B$27&amp;";",""),IF(AND($G43&lt;Hta_8,$G43&gt;=Hba_8,Input!V$28&lt;&gt;""),Input!$B$28&amp;";",""),IF(AND($G43&lt;Hta_9,$G43&gt;=Hba_9,Input!V$29&lt;&gt;""),Input!$B$29&amp;";",""),IF(AND($G43&lt;Hta_10,$G43&gt;=Hba_10,Input!V$30&lt;&gt;""),Input!$B$30&amp;";",""),IF(AND($G43&lt;Hta_11,$G43&gt;=Hba_11,Input!V$31&lt;&gt;""),Input!$B$31&amp;";",""),IF(AND($G43&lt;Hta_12,$G43&gt;=Hba_12,Input!V$32&lt;&gt;""),Input!$B$32&amp;";",""),IF(AND($G43&lt;Hta_13,$G43&gt;=Hba_13,Input!V$33&lt;&gt;""),Input!$B$33&amp;";",""),IF(AND($G43&lt;Hta_14,$G43&gt;=Hba_14,Input!V$34&lt;&gt;""),Input!$B$34&amp;";",""),IF(AND($G43&lt;Hta_15,$G43&gt;=Hba_15,Input!V$35&lt;&gt;""),Input!$B$35&amp;";",""),IF(AND($G43&lt;Hta_16,$G43&gt;=Hba_16,Input!V$36&lt;&gt;""),Input!$B$36&amp;";",""),IF(AND($G43&lt;Hta_17,$G43&gt;=Hba_17,Input!V$37&lt;&gt;""),Input!$B$37&amp;";",""),IF(AND($G43&lt;Hta_18,$G43&gt;=Hba_18,Input!V$38&lt;&gt;""),Input!$B$38&amp;";",""),IF(AND($G43&lt;Hta_19,$G43&gt;=Hba_19,Input!V$39&lt;&gt;""),Input!$B$39&amp;";",""),IF(AND($G43&lt;Hta_20,$G43&gt;=Hba_20,Input!V$40&lt;&gt;""),Input!$B$40&amp;";",""),IF(AND($G43&lt;Hta_21,$G43&gt;=Hba_21,Input!V$41&lt;&gt;""),Input!$B$41&amp;";",""),IF(AND($G43&lt;Hta_22,$G43&gt;=Hba_22,Input!V$42&lt;&gt;""),Input!$B$42&amp;";",""),IF(AND($G43&lt;Hta_23,$G43&gt;=Hba_23,Input!V$43&lt;&gt;""),Input!$B$43&amp;";",""),IF(AND($G43&lt;Hta_24,$G43&gt;=Hba_24,Input!V$44&lt;&gt;""),Input!$B$44&amp;";",""),IF(AND($G43&lt;Hta_25,$G43&gt;=Hba_25,Input!V$45&lt;&gt;""),Input!$B$45&amp;";",""),IF(AND($G43&lt;Hta_26,$G43&gt;=Hba_26,Input!V$46&lt;&gt;""),Input!$B$46&amp;";",""),IF(AND($G43&lt;Hta_27,$G43&gt;=Hba_27,Input!V$47&lt;&gt;""),Input!$B$47&amp;";",""),IF(AND($G43&lt;Hta_28,$G43&gt;=Hba_28,Input!V$48&lt;&gt;""),Input!$B$48&amp;";",""),IF(AND($G43&lt;Hta_29,$G43&gt;=Hba_29,Input!V$49&lt;&gt;""),Input!$B$49&amp;";",""),IF(AND($G43&lt;Hta_30,$G43&gt;=Hba_30,Input!V$50&lt;&gt;""),Input!$B$50&amp;";","")),"")</f>
        <v/>
      </c>
      <c r="BX43" s="25" t="str">
        <f>IFERROR(CONCATENATE(IF(AND($G43&lt;Hta_1,$G43&gt;=Hba_1,Input!W$21&lt;&gt;""),Input!$B$21&amp;";",""),IF(AND($G43&lt;Hta_2,$G43&gt;=Hba_2,Input!W$22&lt;&gt;""),Input!$B$22&amp;";",""),IF(AND($G43&lt;Hta_3,$G43&gt;=Hba_3,Input!W$23&lt;&gt;""),Input!$B$23&amp;";",""),IF(AND($G43&lt;Hta_4,$G43&gt;=Hba_4,Input!W$24&lt;&gt;""),Input!$B$24&amp;";",""),IF(AND($G43&lt;Hta_5,$G43&gt;=Hba_5,Input!W$25&lt;&gt;""),Input!$B$25&amp;";",""),IF(AND($G43&lt;Hta_6,$G43&gt;=Hba_6,Input!W$26&lt;&gt;""),Input!$B$26&amp;";",""),IF(AND($G43&lt;Hta_7,$G43&gt;=Hba_7,Input!W$27&lt;&gt;""),Input!$B$27&amp;";",""),IF(AND($G43&lt;Hta_8,$G43&gt;=Hba_8,Input!W$28&lt;&gt;""),Input!$B$28&amp;";",""),IF(AND($G43&lt;Hta_9,$G43&gt;=Hba_9,Input!W$29&lt;&gt;""),Input!$B$29&amp;";",""),IF(AND($G43&lt;Hta_10,$G43&gt;=Hba_10,Input!W$30&lt;&gt;""),Input!$B$30&amp;";",""),IF(AND($G43&lt;Hta_11,$G43&gt;=Hba_11,Input!W$31&lt;&gt;""),Input!$B$31&amp;";",""),IF(AND($G43&lt;Hta_12,$G43&gt;=Hba_12,Input!W$32&lt;&gt;""),Input!$B$32&amp;";",""),IF(AND($G43&lt;Hta_13,$G43&gt;=Hba_13,Input!W$33&lt;&gt;""),Input!$B$33&amp;";",""),IF(AND($G43&lt;Hta_14,$G43&gt;=Hba_14,Input!W$34&lt;&gt;""),Input!$B$34&amp;";",""),IF(AND($G43&lt;Hta_15,$G43&gt;=Hba_15,Input!W$35&lt;&gt;""),Input!$B$35&amp;";",""),IF(AND($G43&lt;Hta_16,$G43&gt;=Hba_16,Input!W$36&lt;&gt;""),Input!$B$36&amp;";",""),IF(AND($G43&lt;Hta_17,$G43&gt;=Hba_17,Input!W$37&lt;&gt;""),Input!$B$37&amp;";",""),IF(AND($G43&lt;Hta_18,$G43&gt;=Hba_18,Input!W$38&lt;&gt;""),Input!$B$38&amp;";",""),IF(AND($G43&lt;Hta_19,$G43&gt;=Hba_19,Input!W$39&lt;&gt;""),Input!$B$39&amp;";",""),IF(AND($G43&lt;Hta_20,$G43&gt;=Hba_20,Input!W$40&lt;&gt;""),Input!$B$40&amp;";",""),IF(AND($G43&lt;Hta_21,$G43&gt;=Hba_21,Input!W$41&lt;&gt;""),Input!$B$41&amp;";",""),IF(AND($G43&lt;Hta_22,$G43&gt;=Hba_22,Input!W$42&lt;&gt;""),Input!$B$42&amp;";",""),IF(AND($G43&lt;Hta_23,$G43&gt;=Hba_23,Input!W$43&lt;&gt;""),Input!$B$43&amp;";",""),IF(AND($G43&lt;Hta_24,$G43&gt;=Hba_24,Input!W$44&lt;&gt;""),Input!$B$44&amp;";",""),IF(AND($G43&lt;Hta_25,$G43&gt;=Hba_25,Input!W$45&lt;&gt;""),Input!$B$45&amp;";",""),IF(AND($G43&lt;Hta_26,$G43&gt;=Hba_26,Input!W$46&lt;&gt;""),Input!$B$46&amp;";",""),IF(AND($G43&lt;Hta_27,$G43&gt;=Hba_27,Input!W$47&lt;&gt;""),Input!$B$47&amp;";",""),IF(AND($G43&lt;Hta_28,$G43&gt;=Hba_28,Input!W$48&lt;&gt;""),Input!$B$48&amp;";",""),IF(AND($G43&lt;Hta_29,$G43&gt;=Hba_29,Input!W$49&lt;&gt;""),Input!$B$49&amp;";",""),IF(AND($G43&lt;Hta_30,$G43&gt;=Hba_30,Input!W$50&lt;&gt;""),Input!$B$50&amp;";","")),"")</f>
        <v/>
      </c>
      <c r="BY43" s="25" t="str">
        <f>IFERROR(CONCATENATE(IF(AND($G43&lt;Hta_1,$G43&gt;=Hba_1,Input!X$21&lt;&gt;""),Input!$B$21&amp;";",""),IF(AND($G43&lt;Hta_2,$G43&gt;=Hba_2,Input!X$22&lt;&gt;""),Input!$B$22&amp;";",""),IF(AND($G43&lt;Hta_3,$G43&gt;=Hba_3,Input!X$23&lt;&gt;""),Input!$B$23&amp;";",""),IF(AND($G43&lt;Hta_4,$G43&gt;=Hba_4,Input!X$24&lt;&gt;""),Input!$B$24&amp;";",""),IF(AND($G43&lt;Hta_5,$G43&gt;=Hba_5,Input!X$25&lt;&gt;""),Input!$B$25&amp;";",""),IF(AND($G43&lt;Hta_6,$G43&gt;=Hba_6,Input!X$26&lt;&gt;""),Input!$B$26&amp;";",""),IF(AND($G43&lt;Hta_7,$G43&gt;=Hba_7,Input!X$27&lt;&gt;""),Input!$B$27&amp;";",""),IF(AND($G43&lt;Hta_8,$G43&gt;=Hba_8,Input!X$28&lt;&gt;""),Input!$B$28&amp;";",""),IF(AND($G43&lt;Hta_9,$G43&gt;=Hba_9,Input!X$29&lt;&gt;""),Input!$B$29&amp;";",""),IF(AND($G43&lt;Hta_10,$G43&gt;=Hba_10,Input!X$30&lt;&gt;""),Input!$B$30&amp;";",""),IF(AND($G43&lt;Hta_11,$G43&gt;=Hba_11,Input!X$31&lt;&gt;""),Input!$B$31&amp;";",""),IF(AND($G43&lt;Hta_12,$G43&gt;=Hba_12,Input!X$32&lt;&gt;""),Input!$B$32&amp;";",""),IF(AND($G43&lt;Hta_13,$G43&gt;=Hba_13,Input!X$33&lt;&gt;""),Input!$B$33&amp;";",""),IF(AND($G43&lt;Hta_14,$G43&gt;=Hba_14,Input!X$34&lt;&gt;""),Input!$B$34&amp;";",""),IF(AND($G43&lt;Hta_15,$G43&gt;=Hba_15,Input!X$35&lt;&gt;""),Input!$B$35&amp;";",""),IF(AND($G43&lt;Hta_16,$G43&gt;=Hba_16,Input!X$36&lt;&gt;""),Input!$B$36&amp;";",""),IF(AND($G43&lt;Hta_17,$G43&gt;=Hba_17,Input!X$37&lt;&gt;""),Input!$B$37&amp;";",""),IF(AND($G43&lt;Hta_18,$G43&gt;=Hba_18,Input!X$38&lt;&gt;""),Input!$B$38&amp;";",""),IF(AND($G43&lt;Hta_19,$G43&gt;=Hba_19,Input!X$39&lt;&gt;""),Input!$B$39&amp;";",""),IF(AND($G43&lt;Hta_20,$G43&gt;=Hba_20,Input!X$40&lt;&gt;""),Input!$B$40&amp;";",""),IF(AND($G43&lt;Hta_21,$G43&gt;=Hba_21,Input!X$41&lt;&gt;""),Input!$B$41&amp;";",""),IF(AND($G43&lt;Hta_22,$G43&gt;=Hba_22,Input!X$42&lt;&gt;""),Input!$B$42&amp;";",""),IF(AND($G43&lt;Hta_23,$G43&gt;=Hba_23,Input!X$43&lt;&gt;""),Input!$B$43&amp;";",""),IF(AND($G43&lt;Hta_24,$G43&gt;=Hba_24,Input!X$44&lt;&gt;""),Input!$B$44&amp;";",""),IF(AND($G43&lt;Hta_25,$G43&gt;=Hba_25,Input!X$45&lt;&gt;""),Input!$B$45&amp;";",""),IF(AND($G43&lt;Hta_26,$G43&gt;=Hba_26,Input!X$46&lt;&gt;""),Input!$B$46&amp;";",""),IF(AND($G43&lt;Hta_27,$G43&gt;=Hba_27,Input!X$47&lt;&gt;""),Input!$B$47&amp;";",""),IF(AND($G43&lt;Hta_28,$G43&gt;=Hba_28,Input!X$48&lt;&gt;""),Input!$B$48&amp;";",""),IF(AND($G43&lt;Hta_29,$G43&gt;=Hba_29,Input!X$49&lt;&gt;""),Input!$B$49&amp;";",""),IF(AND($G43&lt;Hta_30,$G43&gt;=Hba_30,Input!X$50&lt;&gt;""),Input!$B$50&amp;";","")),"")</f>
        <v/>
      </c>
      <c r="BZ43" s="25" t="str">
        <f>IFERROR(CONCATENATE(IF(AND($G43&lt;Hta_1,$G43&gt;=Hba_1,Input!Y$21&lt;&gt;""),Input!$B$21&amp;";",""),IF(AND($G43&lt;Hta_2,$G43&gt;=Hba_2,Input!Y$22&lt;&gt;""),Input!$B$22&amp;";",""),IF(AND($G43&lt;Hta_3,$G43&gt;=Hba_3,Input!Y$23&lt;&gt;""),Input!$B$23&amp;";",""),IF(AND($G43&lt;Hta_4,$G43&gt;=Hba_4,Input!Y$24&lt;&gt;""),Input!$B$24&amp;";",""),IF(AND($G43&lt;Hta_5,$G43&gt;=Hba_5,Input!Y$25&lt;&gt;""),Input!$B$25&amp;";",""),IF(AND($G43&lt;Hta_6,$G43&gt;=Hba_6,Input!Y$26&lt;&gt;""),Input!$B$26&amp;";",""),IF(AND($G43&lt;Hta_7,$G43&gt;=Hba_7,Input!Y$27&lt;&gt;""),Input!$B$27&amp;";",""),IF(AND($G43&lt;Hta_8,$G43&gt;=Hba_8,Input!Y$28&lt;&gt;""),Input!$B$28&amp;";",""),IF(AND($G43&lt;Hta_9,$G43&gt;=Hba_9,Input!Y$29&lt;&gt;""),Input!$B$29&amp;";",""),IF(AND($G43&lt;Hta_10,$G43&gt;=Hba_10,Input!Y$30&lt;&gt;""),Input!$B$30&amp;";",""),IF(AND($G43&lt;Hta_11,$G43&gt;=Hba_11,Input!Y$31&lt;&gt;""),Input!$B$31&amp;";",""),IF(AND($G43&lt;Hta_12,$G43&gt;=Hba_12,Input!Y$32&lt;&gt;""),Input!$B$32&amp;";",""),IF(AND($G43&lt;Hta_13,$G43&gt;=Hba_13,Input!Y$33&lt;&gt;""),Input!$B$33&amp;";",""),IF(AND($G43&lt;Hta_14,$G43&gt;=Hba_14,Input!Y$34&lt;&gt;""),Input!$B$34&amp;";",""),IF(AND($G43&lt;Hta_15,$G43&gt;=Hba_15,Input!Y$35&lt;&gt;""),Input!$B$35&amp;";",""),IF(AND($G43&lt;Hta_16,$G43&gt;=Hba_16,Input!Y$36&lt;&gt;""),Input!$B$36&amp;";",""),IF(AND($G43&lt;Hta_17,$G43&gt;=Hba_17,Input!Y$37&lt;&gt;""),Input!$B$37&amp;";",""),IF(AND($G43&lt;Hta_18,$G43&gt;=Hba_18,Input!Y$38&lt;&gt;""),Input!$B$38&amp;";",""),IF(AND($G43&lt;Hta_19,$G43&gt;=Hba_19,Input!Y$39&lt;&gt;""),Input!$B$39&amp;";",""),IF(AND($G43&lt;Hta_20,$G43&gt;=Hba_20,Input!Y$40&lt;&gt;""),Input!$B$40&amp;";",""),IF(AND($G43&lt;Hta_21,$G43&gt;=Hba_21,Input!Y$41&lt;&gt;""),Input!$B$41&amp;";",""),IF(AND($G43&lt;Hta_22,$G43&gt;=Hba_22,Input!Y$42&lt;&gt;""),Input!$B$42&amp;";",""),IF(AND($G43&lt;Hta_23,$G43&gt;=Hba_23,Input!Y$43&lt;&gt;""),Input!$B$43&amp;";",""),IF(AND($G43&lt;Hta_24,$G43&gt;=Hba_24,Input!Y$44&lt;&gt;""),Input!$B$44&amp;";",""),IF(AND($G43&lt;Hta_25,$G43&gt;=Hba_25,Input!Y$45&lt;&gt;""),Input!$B$45&amp;";",""),IF(AND($G43&lt;Hta_26,$G43&gt;=Hba_26,Input!Y$46&lt;&gt;""),Input!$B$46&amp;";",""),IF(AND($G43&lt;Hta_27,$G43&gt;=Hba_27,Input!Y$47&lt;&gt;""),Input!$B$47&amp;";",""),IF(AND($G43&lt;Hta_28,$G43&gt;=Hba_28,Input!Y$48&lt;&gt;""),Input!$B$48&amp;";",""),IF(AND($G43&lt;Hta_29,$G43&gt;=Hba_29,Input!Y$49&lt;&gt;""),Input!$B$49&amp;";",""),IF(AND($G43&lt;Hta_30,$G43&gt;=Hba_30,Input!Y$50&lt;&gt;""),Input!$B$50&amp;";","")),"")</f>
        <v/>
      </c>
      <c r="CA43" s="25" t="str">
        <f>IFERROR(CONCATENATE(IF(AND($G43&lt;Hta_1,$G43&gt;=Hba_1,Input!Z$21&lt;&gt;""),Input!$B$21&amp;";",""),IF(AND($G43&lt;Hta_2,$G43&gt;=Hba_2,Input!Z$22&lt;&gt;""),Input!$B$22&amp;";",""),IF(AND($G43&lt;Hta_3,$G43&gt;=Hba_3,Input!Z$23&lt;&gt;""),Input!$B$23&amp;";",""),IF(AND($G43&lt;Hta_4,$G43&gt;=Hba_4,Input!Z$24&lt;&gt;""),Input!$B$24&amp;";",""),IF(AND($G43&lt;Hta_5,$G43&gt;=Hba_5,Input!Z$25&lt;&gt;""),Input!$B$25&amp;";",""),IF(AND($G43&lt;Hta_6,$G43&gt;=Hba_6,Input!Z$26&lt;&gt;""),Input!$B$26&amp;";",""),IF(AND($G43&lt;Hta_7,$G43&gt;=Hba_7,Input!Z$27&lt;&gt;""),Input!$B$27&amp;";",""),IF(AND($G43&lt;Hta_8,$G43&gt;=Hba_8,Input!Z$28&lt;&gt;""),Input!$B$28&amp;";",""),IF(AND($G43&lt;Hta_9,$G43&gt;=Hba_9,Input!Z$29&lt;&gt;""),Input!$B$29&amp;";",""),IF(AND($G43&lt;Hta_10,$G43&gt;=Hba_10,Input!Z$30&lt;&gt;""),Input!$B$30&amp;";",""),IF(AND($G43&lt;Hta_11,$G43&gt;=Hba_11,Input!Z$31&lt;&gt;""),Input!$B$31&amp;";",""),IF(AND($G43&lt;Hta_12,$G43&gt;=Hba_12,Input!Z$32&lt;&gt;""),Input!$B$32&amp;";",""),IF(AND($G43&lt;Hta_13,$G43&gt;=Hba_13,Input!Z$33&lt;&gt;""),Input!$B$33&amp;";",""),IF(AND($G43&lt;Hta_14,$G43&gt;=Hba_14,Input!Z$34&lt;&gt;""),Input!$B$34&amp;";",""),IF(AND($G43&lt;Hta_15,$G43&gt;=Hba_15,Input!Z$35&lt;&gt;""),Input!$B$35&amp;";",""),IF(AND($G43&lt;Hta_16,$G43&gt;=Hba_16,Input!Z$36&lt;&gt;""),Input!$B$36&amp;";",""),IF(AND($G43&lt;Hta_17,$G43&gt;=Hba_17,Input!Z$37&lt;&gt;""),Input!$B$37&amp;";",""),IF(AND($G43&lt;Hta_18,$G43&gt;=Hba_18,Input!Z$38&lt;&gt;""),Input!$B$38&amp;";",""),IF(AND($G43&lt;Hta_19,$G43&gt;=Hba_19,Input!Z$39&lt;&gt;""),Input!$B$39&amp;";",""),IF(AND($G43&lt;Hta_20,$G43&gt;=Hba_20,Input!Z$40&lt;&gt;""),Input!$B$40&amp;";",""),IF(AND($G43&lt;Hta_21,$G43&gt;=Hba_21,Input!Z$41&lt;&gt;""),Input!$B$41&amp;";",""),IF(AND($G43&lt;Hta_22,$G43&gt;=Hba_22,Input!Z$42&lt;&gt;""),Input!$B$42&amp;";",""),IF(AND($G43&lt;Hta_23,$G43&gt;=Hba_23,Input!Z$43&lt;&gt;""),Input!$B$43&amp;";",""),IF(AND($G43&lt;Hta_24,$G43&gt;=Hba_24,Input!Z$44&lt;&gt;""),Input!$B$44&amp;";",""),IF(AND($G43&lt;Hta_25,$G43&gt;=Hba_25,Input!Z$45&lt;&gt;""),Input!$B$45&amp;";",""),IF(AND($G43&lt;Hta_26,$G43&gt;=Hba_26,Input!Z$46&lt;&gt;""),Input!$B$46&amp;";",""),IF(AND($G43&lt;Hta_27,$G43&gt;=Hba_27,Input!Z$47&lt;&gt;""),Input!$B$47&amp;";",""),IF(AND($G43&lt;Hta_28,$G43&gt;=Hba_28,Input!Z$48&lt;&gt;""),Input!$B$48&amp;";",""),IF(AND($G43&lt;Hta_29,$G43&gt;=Hba_29,Input!Z$49&lt;&gt;""),Input!$B$49&amp;";",""),IF(AND($G43&lt;Hta_30,$G43&gt;=Hba_30,Input!Z$50&lt;&gt;""),Input!$B$50&amp;";","")),"")</f>
        <v/>
      </c>
      <c r="CB43" s="25" t="str">
        <f>IFERROR(CONCATENATE(IF(AND($G43&lt;Hta_1,$G43&gt;=Hba_1,Input!AA$21&lt;&gt;""),Input!$B$21&amp;";",""),IF(AND($G43&lt;Hta_2,$G43&gt;=Hba_2,Input!AA$22&lt;&gt;""),Input!$B$22&amp;";",""),IF(AND($G43&lt;Hta_3,$G43&gt;=Hba_3,Input!AA$23&lt;&gt;""),Input!$B$23&amp;";",""),IF(AND($G43&lt;Hta_4,$G43&gt;=Hba_4,Input!AA$24&lt;&gt;""),Input!$B$24&amp;";",""),IF(AND($G43&lt;Hta_5,$G43&gt;=Hba_5,Input!AA$25&lt;&gt;""),Input!$B$25&amp;";",""),IF(AND($G43&lt;Hta_6,$G43&gt;=Hba_6,Input!AA$26&lt;&gt;""),Input!$B$26&amp;";",""),IF(AND($G43&lt;Hta_7,$G43&gt;=Hba_7,Input!AA$27&lt;&gt;""),Input!$B$27&amp;";",""),IF(AND($G43&lt;Hta_8,$G43&gt;=Hba_8,Input!AA$28&lt;&gt;""),Input!$B$28&amp;";",""),IF(AND($G43&lt;Hta_9,$G43&gt;=Hba_9,Input!AA$29&lt;&gt;""),Input!$B$29&amp;";",""),IF(AND($G43&lt;Hta_10,$G43&gt;=Hba_10,Input!AA$30&lt;&gt;""),Input!$B$30&amp;";",""),IF(AND($G43&lt;Hta_11,$G43&gt;=Hba_11,Input!AA$31&lt;&gt;""),Input!$B$31&amp;";",""),IF(AND($G43&lt;Hta_12,$G43&gt;=Hba_12,Input!AA$32&lt;&gt;""),Input!$B$32&amp;";",""),IF(AND($G43&lt;Hta_13,$G43&gt;=Hba_13,Input!AA$33&lt;&gt;""),Input!$B$33&amp;";",""),IF(AND($G43&lt;Hta_14,$G43&gt;=Hba_14,Input!AA$34&lt;&gt;""),Input!$B$34&amp;";",""),IF(AND($G43&lt;Hta_15,$G43&gt;=Hba_15,Input!AA$35&lt;&gt;""),Input!$B$35&amp;";",""),IF(AND($G43&lt;Hta_16,$G43&gt;=Hba_16,Input!AA$36&lt;&gt;""),Input!$B$36&amp;";",""),IF(AND($G43&lt;Hta_17,$G43&gt;=Hba_17,Input!AA$37&lt;&gt;""),Input!$B$37&amp;";",""),IF(AND($G43&lt;Hta_18,$G43&gt;=Hba_18,Input!AA$38&lt;&gt;""),Input!$B$38&amp;";",""),IF(AND($G43&lt;Hta_19,$G43&gt;=Hba_19,Input!AA$39&lt;&gt;""),Input!$B$39&amp;";",""),IF(AND($G43&lt;Hta_20,$G43&gt;=Hba_20,Input!AA$40&lt;&gt;""),Input!$B$40&amp;";",""),IF(AND($G43&lt;Hta_21,$G43&gt;=Hba_21,Input!AA$41&lt;&gt;""),Input!$B$41&amp;";",""),IF(AND($G43&lt;Hta_22,$G43&gt;=Hba_22,Input!AA$42&lt;&gt;""),Input!$B$42&amp;";",""),IF(AND($G43&lt;Hta_23,$G43&gt;=Hba_23,Input!AA$43&lt;&gt;""),Input!$B$43&amp;";",""),IF(AND($G43&lt;Hta_24,$G43&gt;=Hba_24,Input!AA$44&lt;&gt;""),Input!$B$44&amp;";",""),IF(AND($G43&lt;Hta_25,$G43&gt;=Hba_25,Input!AA$45&lt;&gt;""),Input!$B$45&amp;";",""),IF(AND($G43&lt;Hta_26,$G43&gt;=Hba_26,Input!AA$46&lt;&gt;""),Input!$B$46&amp;";",""),IF(AND($G43&lt;Hta_27,$G43&gt;=Hba_27,Input!AA$47&lt;&gt;""),Input!$B$47&amp;";",""),IF(AND($G43&lt;Hta_28,$G43&gt;=Hba_28,Input!AA$48&lt;&gt;""),Input!$B$48&amp;";",""),IF(AND($G43&lt;Hta_29,$G43&gt;=Hba_29,Input!AA$49&lt;&gt;""),Input!$B$49&amp;";",""),IF(AND($G43&lt;Hta_30,$G43&gt;=Hba_30,Input!AA$50&lt;&gt;""),Input!$B$50&amp;";","")),"")</f>
        <v/>
      </c>
      <c r="CC43" s="25" t="str">
        <f>IFERROR(CONCATENATE(IF(AND($G43&lt;Hta_1,$G43&gt;=Hba_1,Input!AB$21&lt;&gt;""),Input!$B$21&amp;";",""),IF(AND($G43&lt;Hta_2,$G43&gt;=Hba_2,Input!AB$22&lt;&gt;""),Input!$B$22&amp;";",""),IF(AND($G43&lt;Hta_3,$G43&gt;=Hba_3,Input!AB$23&lt;&gt;""),Input!$B$23&amp;";",""),IF(AND($G43&lt;Hta_4,$G43&gt;=Hba_4,Input!AB$24&lt;&gt;""),Input!$B$24&amp;";",""),IF(AND($G43&lt;Hta_5,$G43&gt;=Hba_5,Input!AB$25&lt;&gt;""),Input!$B$25&amp;";",""),IF(AND($G43&lt;Hta_6,$G43&gt;=Hba_6,Input!AB$26&lt;&gt;""),Input!$B$26&amp;";",""),IF(AND($G43&lt;Hta_7,$G43&gt;=Hba_7,Input!AB$27&lt;&gt;""),Input!$B$27&amp;";",""),IF(AND($G43&lt;Hta_8,$G43&gt;=Hba_8,Input!AB$28&lt;&gt;""),Input!$B$28&amp;";",""),IF(AND($G43&lt;Hta_9,$G43&gt;=Hba_9,Input!AB$29&lt;&gt;""),Input!$B$29&amp;";",""),IF(AND($G43&lt;Hta_10,$G43&gt;=Hba_10,Input!AB$30&lt;&gt;""),Input!$B$30&amp;";",""),IF(AND($G43&lt;Hta_11,$G43&gt;=Hba_11,Input!AB$31&lt;&gt;""),Input!$B$31&amp;";",""),IF(AND($G43&lt;Hta_12,$G43&gt;=Hba_12,Input!AB$32&lt;&gt;""),Input!$B$32&amp;";",""),IF(AND($G43&lt;Hta_13,$G43&gt;=Hba_13,Input!AB$33&lt;&gt;""),Input!$B$33&amp;";",""),IF(AND($G43&lt;Hta_14,$G43&gt;=Hba_14,Input!AB$34&lt;&gt;""),Input!$B$34&amp;";",""),IF(AND($G43&lt;Hta_15,$G43&gt;=Hba_15,Input!AB$35&lt;&gt;""),Input!$B$35&amp;";",""),IF(AND($G43&lt;Hta_16,$G43&gt;=Hba_16,Input!AB$36&lt;&gt;""),Input!$B$36&amp;";",""),IF(AND($G43&lt;Hta_17,$G43&gt;=Hba_17,Input!AB$37&lt;&gt;""),Input!$B$37&amp;";",""),IF(AND($G43&lt;Hta_18,$G43&gt;=Hba_18,Input!AB$38&lt;&gt;""),Input!$B$38&amp;";",""),IF(AND($G43&lt;Hta_19,$G43&gt;=Hba_19,Input!AB$39&lt;&gt;""),Input!$B$39&amp;";",""),IF(AND($G43&lt;Hta_20,$G43&gt;=Hba_20,Input!AB$40&lt;&gt;""),Input!$B$40&amp;";",""),IF(AND($G43&lt;Hta_21,$G43&gt;=Hba_21,Input!AB$41&lt;&gt;""),Input!$B$41&amp;";",""),IF(AND($G43&lt;Hta_22,$G43&gt;=Hba_22,Input!AB$42&lt;&gt;""),Input!$B$42&amp;";",""),IF(AND($G43&lt;Hta_23,$G43&gt;=Hba_23,Input!AB$43&lt;&gt;""),Input!$B$43&amp;";",""),IF(AND($G43&lt;Hta_24,$G43&gt;=Hba_24,Input!AB$44&lt;&gt;""),Input!$B$44&amp;";",""),IF(AND($G43&lt;Hta_25,$G43&gt;=Hba_25,Input!AB$45&lt;&gt;""),Input!$B$45&amp;";",""),IF(AND($G43&lt;Hta_26,$G43&gt;=Hba_26,Input!AB$46&lt;&gt;""),Input!$B$46&amp;";",""),IF(AND($G43&lt;Hta_27,$G43&gt;=Hba_27,Input!AB$47&lt;&gt;""),Input!$B$47&amp;";",""),IF(AND($G43&lt;Hta_28,$G43&gt;=Hba_28,Input!AB$48&lt;&gt;""),Input!$B$48&amp;";",""),IF(AND($G43&lt;Hta_29,$G43&gt;=Hba_29,Input!AB$49&lt;&gt;""),Input!$B$49&amp;";",""),IF(AND($G43&lt;Hta_30,$G43&gt;=Hba_30,Input!AB$50&lt;&gt;""),Input!$B$50&amp;";","")),"")</f>
        <v/>
      </c>
      <c r="CD43" s="25" t="str">
        <f>IFERROR(CONCATENATE(IF(AND($G43&lt;Hta_1,$G43&gt;=Hba_1,Input!AC$21&lt;&gt;""),Input!$B$21&amp;";",""),IF(AND($G43&lt;Hta_2,$G43&gt;=Hba_2,Input!AC$22&lt;&gt;""),Input!$B$22&amp;";",""),IF(AND($G43&lt;Hta_3,$G43&gt;=Hba_3,Input!AC$23&lt;&gt;""),Input!$B$23&amp;";",""),IF(AND($G43&lt;Hta_4,$G43&gt;=Hba_4,Input!AC$24&lt;&gt;""),Input!$B$24&amp;";",""),IF(AND($G43&lt;Hta_5,$G43&gt;=Hba_5,Input!AC$25&lt;&gt;""),Input!$B$25&amp;";",""),IF(AND($G43&lt;Hta_6,$G43&gt;=Hba_6,Input!AC$26&lt;&gt;""),Input!$B$26&amp;";",""),IF(AND($G43&lt;Hta_7,$G43&gt;=Hba_7,Input!AC$27&lt;&gt;""),Input!$B$27&amp;";",""),IF(AND($G43&lt;Hta_8,$G43&gt;=Hba_8,Input!AC$28&lt;&gt;""),Input!$B$28&amp;";",""),IF(AND($G43&lt;Hta_9,$G43&gt;=Hba_9,Input!AC$29&lt;&gt;""),Input!$B$29&amp;";",""),IF(AND($G43&lt;Hta_10,$G43&gt;=Hba_10,Input!AC$30&lt;&gt;""),Input!$B$30&amp;";",""),IF(AND($G43&lt;Hta_11,$G43&gt;=Hba_11,Input!AC$31&lt;&gt;""),Input!$B$31&amp;";",""),IF(AND($G43&lt;Hta_12,$G43&gt;=Hba_12,Input!AC$32&lt;&gt;""),Input!$B$32&amp;";",""),IF(AND($G43&lt;Hta_13,$G43&gt;=Hba_13,Input!AC$33&lt;&gt;""),Input!$B$33&amp;";",""),IF(AND($G43&lt;Hta_14,$G43&gt;=Hba_14,Input!AC$34&lt;&gt;""),Input!$B$34&amp;";",""),IF(AND($G43&lt;Hta_15,$G43&gt;=Hba_15,Input!AC$35&lt;&gt;""),Input!$B$35&amp;";",""),IF(AND($G43&lt;Hta_16,$G43&gt;=Hba_16,Input!AC$36&lt;&gt;""),Input!$B$36&amp;";",""),IF(AND($G43&lt;Hta_17,$G43&gt;=Hba_17,Input!AC$37&lt;&gt;""),Input!$B$37&amp;";",""),IF(AND($G43&lt;Hta_18,$G43&gt;=Hba_18,Input!AC$38&lt;&gt;""),Input!$B$38&amp;";",""),IF(AND($G43&lt;Hta_19,$G43&gt;=Hba_19,Input!AC$39&lt;&gt;""),Input!$B$39&amp;";",""),IF(AND($G43&lt;Hta_20,$G43&gt;=Hba_20,Input!AC$40&lt;&gt;""),Input!$B$40&amp;";",""),IF(AND($G43&lt;Hta_21,$G43&gt;=Hba_21,Input!AC$41&lt;&gt;""),Input!$B$41&amp;";",""),IF(AND($G43&lt;Hta_22,$G43&gt;=Hba_22,Input!AC$42&lt;&gt;""),Input!$B$42&amp;";",""),IF(AND($G43&lt;Hta_23,$G43&gt;=Hba_23,Input!AC$43&lt;&gt;""),Input!$B$43&amp;";",""),IF(AND($G43&lt;Hta_24,$G43&gt;=Hba_24,Input!AC$44&lt;&gt;""),Input!$B$44&amp;";",""),IF(AND($G43&lt;Hta_25,$G43&gt;=Hba_25,Input!AC$45&lt;&gt;""),Input!$B$45&amp;";",""),IF(AND($G43&lt;Hta_26,$G43&gt;=Hba_26,Input!AC$46&lt;&gt;""),Input!$B$46&amp;";",""),IF(AND($G43&lt;Hta_27,$G43&gt;=Hba_27,Input!AC$47&lt;&gt;""),Input!$B$47&amp;";",""),IF(AND($G43&lt;Hta_28,$G43&gt;=Hba_28,Input!AC$48&lt;&gt;""),Input!$B$48&amp;";",""),IF(AND($G43&lt;Hta_29,$G43&gt;=Hba_29,Input!AC$49&lt;&gt;""),Input!$B$49&amp;";",""),IF(AND($G43&lt;Hta_30,$G43&gt;=Hba_30,Input!AC$50&lt;&gt;""),Input!$B$50&amp;";","")),"")</f>
        <v/>
      </c>
      <c r="CE43" s="25" t="str">
        <f>IFERROR(CONCATENATE(IF(AND($G43&lt;Hta_1,$G43&gt;=Hba_1,Input!AD$21&lt;&gt;""),Input!$B$21&amp;";",""),IF(AND($G43&lt;Hta_2,$G43&gt;=Hba_2,Input!AD$22&lt;&gt;""),Input!$B$22&amp;";",""),IF(AND($G43&lt;Hta_3,$G43&gt;=Hba_3,Input!AD$23&lt;&gt;""),Input!$B$23&amp;";",""),IF(AND($G43&lt;Hta_4,$G43&gt;=Hba_4,Input!AD$24&lt;&gt;""),Input!$B$24&amp;";",""),IF(AND($G43&lt;Hta_5,$G43&gt;=Hba_5,Input!AD$25&lt;&gt;""),Input!$B$25&amp;";",""),IF(AND($G43&lt;Hta_6,$G43&gt;=Hba_6,Input!AD$26&lt;&gt;""),Input!$B$26&amp;";",""),IF(AND($G43&lt;Hta_7,$G43&gt;=Hba_7,Input!AD$27&lt;&gt;""),Input!$B$27&amp;";",""),IF(AND($G43&lt;Hta_8,$G43&gt;=Hba_8,Input!AD$28&lt;&gt;""),Input!$B$28&amp;";",""),IF(AND($G43&lt;Hta_9,$G43&gt;=Hba_9,Input!AD$29&lt;&gt;""),Input!$B$29&amp;";",""),IF(AND($G43&lt;Hta_10,$G43&gt;=Hba_10,Input!AD$30&lt;&gt;""),Input!$B$30&amp;";",""),IF(AND($G43&lt;Hta_11,$G43&gt;=Hba_11,Input!AD$31&lt;&gt;""),Input!$B$31&amp;";",""),IF(AND($G43&lt;Hta_12,$G43&gt;=Hba_12,Input!AD$32&lt;&gt;""),Input!$B$32&amp;";",""),IF(AND($G43&lt;Hta_13,$G43&gt;=Hba_13,Input!AD$33&lt;&gt;""),Input!$B$33&amp;";",""),IF(AND($G43&lt;Hta_14,$G43&gt;=Hba_14,Input!AD$34&lt;&gt;""),Input!$B$34&amp;";",""),IF(AND($G43&lt;Hta_15,$G43&gt;=Hba_15,Input!AD$35&lt;&gt;""),Input!$B$35&amp;";",""),IF(AND($G43&lt;Hta_16,$G43&gt;=Hba_16,Input!AD$36&lt;&gt;""),Input!$B$36&amp;";",""),IF(AND($G43&lt;Hta_17,$G43&gt;=Hba_17,Input!AD$37&lt;&gt;""),Input!$B$37&amp;";",""),IF(AND($G43&lt;Hta_18,$G43&gt;=Hba_18,Input!AD$38&lt;&gt;""),Input!$B$38&amp;";",""),IF(AND($G43&lt;Hta_19,$G43&gt;=Hba_19,Input!AD$39&lt;&gt;""),Input!$B$39&amp;";",""),IF(AND($G43&lt;Hta_20,$G43&gt;=Hba_20,Input!AD$40&lt;&gt;""),Input!$B$40&amp;";",""),IF(AND($G43&lt;Hta_21,$G43&gt;=Hba_21,Input!AD$41&lt;&gt;""),Input!$B$41&amp;";",""),IF(AND($G43&lt;Hta_22,$G43&gt;=Hba_22,Input!AD$42&lt;&gt;""),Input!$B$42&amp;";",""),IF(AND($G43&lt;Hta_23,$G43&gt;=Hba_23,Input!AD$43&lt;&gt;""),Input!$B$43&amp;";",""),IF(AND($G43&lt;Hta_24,$G43&gt;=Hba_24,Input!AD$44&lt;&gt;""),Input!$B$44&amp;";",""),IF(AND($G43&lt;Hta_25,$G43&gt;=Hba_25,Input!AD$45&lt;&gt;""),Input!$B$45&amp;";",""),IF(AND($G43&lt;Hta_26,$G43&gt;=Hba_26,Input!AD$46&lt;&gt;""),Input!$B$46&amp;";",""),IF(AND($G43&lt;Hta_27,$G43&gt;=Hba_27,Input!AD$47&lt;&gt;""),Input!$B$47&amp;";",""),IF(AND($G43&lt;Hta_28,$G43&gt;=Hba_28,Input!AD$48&lt;&gt;""),Input!$B$48&amp;";",""),IF(AND($G43&lt;Hta_29,$G43&gt;=Hba_29,Input!AD$49&lt;&gt;""),Input!$B$49&amp;";",""),IF(AND($G43&lt;Hta_30,$G43&gt;=Hba_30,Input!AD$50&lt;&gt;""),Input!$B$50&amp;";","")),"")</f>
        <v/>
      </c>
      <c r="CF43" s="25" t="str">
        <f>IFERROR(CONCATENATE(IF(AND($G43&lt;Hta_1,$G43&gt;=Hba_1,Input!AE$21&lt;&gt;""),Input!$B$21&amp;";",""),IF(AND($G43&lt;Hta_2,$G43&gt;=Hba_2,Input!AE$22&lt;&gt;""),Input!$B$22&amp;";",""),IF(AND($G43&lt;Hta_3,$G43&gt;=Hba_3,Input!AE$23&lt;&gt;""),Input!$B$23&amp;";",""),IF(AND($G43&lt;Hta_4,$G43&gt;=Hba_4,Input!AE$24&lt;&gt;""),Input!$B$24&amp;";",""),IF(AND($G43&lt;Hta_5,$G43&gt;=Hba_5,Input!AE$25&lt;&gt;""),Input!$B$25&amp;";",""),IF(AND($G43&lt;Hta_6,$G43&gt;=Hba_6,Input!AE$26&lt;&gt;""),Input!$B$26&amp;";",""),IF(AND($G43&lt;Hta_7,$G43&gt;=Hba_7,Input!AE$27&lt;&gt;""),Input!$B$27&amp;";",""),IF(AND($G43&lt;Hta_8,$G43&gt;=Hba_8,Input!AE$28&lt;&gt;""),Input!$B$28&amp;";",""),IF(AND($G43&lt;Hta_9,$G43&gt;=Hba_9,Input!AE$29&lt;&gt;""),Input!$B$29&amp;";",""),IF(AND($G43&lt;Hta_10,$G43&gt;=Hba_10,Input!AE$30&lt;&gt;""),Input!$B$30&amp;";",""),IF(AND($G43&lt;Hta_11,$G43&gt;=Hba_11,Input!AE$31&lt;&gt;""),Input!$B$31&amp;";",""),IF(AND($G43&lt;Hta_12,$G43&gt;=Hba_12,Input!AE$32&lt;&gt;""),Input!$B$32&amp;";",""),IF(AND($G43&lt;Hta_13,$G43&gt;=Hba_13,Input!AE$33&lt;&gt;""),Input!$B$33&amp;";",""),IF(AND($G43&lt;Hta_14,$G43&gt;=Hba_14,Input!AE$34&lt;&gt;""),Input!$B$34&amp;";",""),IF(AND($G43&lt;Hta_15,$G43&gt;=Hba_15,Input!AE$35&lt;&gt;""),Input!$B$35&amp;";",""),IF(AND($G43&lt;Hta_16,$G43&gt;=Hba_16,Input!AE$36&lt;&gt;""),Input!$B$36&amp;";",""),IF(AND($G43&lt;Hta_17,$G43&gt;=Hba_17,Input!AE$37&lt;&gt;""),Input!$B$37&amp;";",""),IF(AND($G43&lt;Hta_18,$G43&gt;=Hba_18,Input!AE$38&lt;&gt;""),Input!$B$38&amp;";",""),IF(AND($G43&lt;Hta_19,$G43&gt;=Hba_19,Input!AE$39&lt;&gt;""),Input!$B$39&amp;";",""),IF(AND($G43&lt;Hta_20,$G43&gt;=Hba_20,Input!AE$40&lt;&gt;""),Input!$B$40&amp;";",""),IF(AND($G43&lt;Hta_21,$G43&gt;=Hba_21,Input!AE$41&lt;&gt;""),Input!$B$41&amp;";",""),IF(AND($G43&lt;Hta_22,$G43&gt;=Hba_22,Input!AE$42&lt;&gt;""),Input!$B$42&amp;";",""),IF(AND($G43&lt;Hta_23,$G43&gt;=Hba_23,Input!AE$43&lt;&gt;""),Input!$B$43&amp;";",""),IF(AND($G43&lt;Hta_24,$G43&gt;=Hba_24,Input!AE$44&lt;&gt;""),Input!$B$44&amp;";",""),IF(AND($G43&lt;Hta_25,$G43&gt;=Hba_25,Input!AE$45&lt;&gt;""),Input!$B$45&amp;";",""),IF(AND($G43&lt;Hta_26,$G43&gt;=Hba_26,Input!AE$46&lt;&gt;""),Input!$B$46&amp;";",""),IF(AND($G43&lt;Hta_27,$G43&gt;=Hba_27,Input!AE$47&lt;&gt;""),Input!$B$47&amp;";",""),IF(AND($G43&lt;Hta_28,$G43&gt;=Hba_28,Input!AE$48&lt;&gt;""),Input!$B$48&amp;";",""),IF(AND($G43&lt;Hta_29,$G43&gt;=Hba_29,Input!AE$49&lt;&gt;""),Input!$B$49&amp;";",""),IF(AND($G43&lt;Hta_30,$G43&gt;=Hba_30,Input!AE$50&lt;&gt;""),Input!$B$50&amp;";","")),"")</f>
        <v/>
      </c>
      <c r="CG43" s="25" t="str">
        <f>IFERROR(CONCATENATE(IF(AND($G43&lt;Hta_1,$G43&gt;=Hba_1,Input!AF$21&lt;&gt;""),Input!$B$21&amp;";",""),IF(AND($G43&lt;Hta_2,$G43&gt;=Hba_2,Input!AF$22&lt;&gt;""),Input!$B$22&amp;";",""),IF(AND($G43&lt;Hta_3,$G43&gt;=Hba_3,Input!AF$23&lt;&gt;""),Input!$B$23&amp;";",""),IF(AND($G43&lt;Hta_4,$G43&gt;=Hba_4,Input!AF$24&lt;&gt;""),Input!$B$24&amp;";",""),IF(AND($G43&lt;Hta_5,$G43&gt;=Hba_5,Input!AF$25&lt;&gt;""),Input!$B$25&amp;";",""),IF(AND($G43&lt;Hta_6,$G43&gt;=Hba_6,Input!AF$26&lt;&gt;""),Input!$B$26&amp;";",""),IF(AND($G43&lt;Hta_7,$G43&gt;=Hba_7,Input!AF$27&lt;&gt;""),Input!$B$27&amp;";",""),IF(AND($G43&lt;Hta_8,$G43&gt;=Hba_8,Input!AF$28&lt;&gt;""),Input!$B$28&amp;";",""),IF(AND($G43&lt;Hta_9,$G43&gt;=Hba_9,Input!AF$29&lt;&gt;""),Input!$B$29&amp;";",""),IF(AND($G43&lt;Hta_10,$G43&gt;=Hba_10,Input!AF$30&lt;&gt;""),Input!$B$30&amp;";",""),IF(AND($G43&lt;Hta_11,$G43&gt;=Hba_11,Input!AF$31&lt;&gt;""),Input!$B$31&amp;";",""),IF(AND($G43&lt;Hta_12,$G43&gt;=Hba_12,Input!AF$32&lt;&gt;""),Input!$B$32&amp;";",""),IF(AND($G43&lt;Hta_13,$G43&gt;=Hba_13,Input!AF$33&lt;&gt;""),Input!$B$33&amp;";",""),IF(AND($G43&lt;Hta_14,$G43&gt;=Hba_14,Input!AF$34&lt;&gt;""),Input!$B$34&amp;";",""),IF(AND($G43&lt;Hta_15,$G43&gt;=Hba_15,Input!AF$35&lt;&gt;""),Input!$B$35&amp;";",""),IF(AND($G43&lt;Hta_16,$G43&gt;=Hba_16,Input!AF$36&lt;&gt;""),Input!$B$36&amp;";",""),IF(AND($G43&lt;Hta_17,$G43&gt;=Hba_17,Input!AF$37&lt;&gt;""),Input!$B$37&amp;";",""),IF(AND($G43&lt;Hta_18,$G43&gt;=Hba_18,Input!AF$38&lt;&gt;""),Input!$B$38&amp;";",""),IF(AND($G43&lt;Hta_19,$G43&gt;=Hba_19,Input!AF$39&lt;&gt;""),Input!$B$39&amp;";",""),IF(AND($G43&lt;Hta_20,$G43&gt;=Hba_20,Input!AF$40&lt;&gt;""),Input!$B$40&amp;";",""),IF(AND($G43&lt;Hta_21,$G43&gt;=Hba_21,Input!AF$41&lt;&gt;""),Input!$B$41&amp;";",""),IF(AND($G43&lt;Hta_22,$G43&gt;=Hba_22,Input!AF$42&lt;&gt;""),Input!$B$42&amp;";",""),IF(AND($G43&lt;Hta_23,$G43&gt;=Hba_23,Input!AF$43&lt;&gt;""),Input!$B$43&amp;";",""),IF(AND($G43&lt;Hta_24,$G43&gt;=Hba_24,Input!AF$44&lt;&gt;""),Input!$B$44&amp;";",""),IF(AND($G43&lt;Hta_25,$G43&gt;=Hba_25,Input!AF$45&lt;&gt;""),Input!$B$45&amp;";",""),IF(AND($G43&lt;Hta_26,$G43&gt;=Hba_26,Input!AF$46&lt;&gt;""),Input!$B$46&amp;";",""),IF(AND($G43&lt;Hta_27,$G43&gt;=Hba_27,Input!AF$47&lt;&gt;""),Input!$B$47&amp;";",""),IF(AND($G43&lt;Hta_28,$G43&gt;=Hba_28,Input!AF$48&lt;&gt;""),Input!$B$48&amp;";",""),IF(AND($G43&lt;Hta_29,$G43&gt;=Hba_29,Input!AF$49&lt;&gt;""),Input!$B$49&amp;";",""),IF(AND($G43&lt;Hta_30,$G43&gt;=Hba_30,Input!AF$50&lt;&gt;""),Input!$B$50&amp;";","")),"")</f>
        <v/>
      </c>
      <c r="CH43" s="25" t="str">
        <f>IFERROR(CONCATENATE(IF(AND($G43&lt;Hta_1,$G43&gt;=Hba_1,Input!AG$21&lt;&gt;""),Input!$B$21&amp;";",""),IF(AND($G43&lt;Hta_2,$G43&gt;=Hba_2,Input!AG$22&lt;&gt;""),Input!$B$22&amp;";",""),IF(AND($G43&lt;Hta_3,$G43&gt;=Hba_3,Input!AG$23&lt;&gt;""),Input!$B$23&amp;";",""),IF(AND($G43&lt;Hta_4,$G43&gt;=Hba_4,Input!AG$24&lt;&gt;""),Input!$B$24&amp;";",""),IF(AND($G43&lt;Hta_5,$G43&gt;=Hba_5,Input!AG$25&lt;&gt;""),Input!$B$25&amp;";",""),IF(AND($G43&lt;Hta_6,$G43&gt;=Hba_6,Input!AG$26&lt;&gt;""),Input!$B$26&amp;";",""),IF(AND($G43&lt;Hta_7,$G43&gt;=Hba_7,Input!AG$27&lt;&gt;""),Input!$B$27&amp;";",""),IF(AND($G43&lt;Hta_8,$G43&gt;=Hba_8,Input!AG$28&lt;&gt;""),Input!$B$28&amp;";",""),IF(AND($G43&lt;Hta_9,$G43&gt;=Hba_9,Input!AG$29&lt;&gt;""),Input!$B$29&amp;";",""),IF(AND($G43&lt;Hta_10,$G43&gt;=Hba_10,Input!AG$30&lt;&gt;""),Input!$B$30&amp;";",""),IF(AND($G43&lt;Hta_11,$G43&gt;=Hba_11,Input!AG$31&lt;&gt;""),Input!$B$31&amp;";",""),IF(AND($G43&lt;Hta_12,$G43&gt;=Hba_12,Input!AG$32&lt;&gt;""),Input!$B$32&amp;";",""),IF(AND($G43&lt;Hta_13,$G43&gt;=Hba_13,Input!AG$33&lt;&gt;""),Input!$B$33&amp;";",""),IF(AND($G43&lt;Hta_14,$G43&gt;=Hba_14,Input!AG$34&lt;&gt;""),Input!$B$34&amp;";",""),IF(AND($G43&lt;Hta_15,$G43&gt;=Hba_15,Input!AG$35&lt;&gt;""),Input!$B$35&amp;";",""),IF(AND($G43&lt;Hta_16,$G43&gt;=Hba_16,Input!AG$36&lt;&gt;""),Input!$B$36&amp;";",""),IF(AND($G43&lt;Hta_17,$G43&gt;=Hba_17,Input!AG$37&lt;&gt;""),Input!$B$37&amp;";",""),IF(AND($G43&lt;Hta_18,$G43&gt;=Hba_18,Input!AG$38&lt;&gt;""),Input!$B$38&amp;";",""),IF(AND($G43&lt;Hta_19,$G43&gt;=Hba_19,Input!AG$39&lt;&gt;""),Input!$B$39&amp;";",""),IF(AND($G43&lt;Hta_20,$G43&gt;=Hba_20,Input!AG$40&lt;&gt;""),Input!$B$40&amp;";",""),IF(AND($G43&lt;Hta_21,$G43&gt;=Hba_21,Input!AG$41&lt;&gt;""),Input!$B$41&amp;";",""),IF(AND($G43&lt;Hta_22,$G43&gt;=Hba_22,Input!AG$42&lt;&gt;""),Input!$B$42&amp;";",""),IF(AND($G43&lt;Hta_23,$G43&gt;=Hba_23,Input!AG$43&lt;&gt;""),Input!$B$43&amp;";",""),IF(AND($G43&lt;Hta_24,$G43&gt;=Hba_24,Input!AG$44&lt;&gt;""),Input!$B$44&amp;";",""),IF(AND($G43&lt;Hta_25,$G43&gt;=Hba_25,Input!AG$45&lt;&gt;""),Input!$B$45&amp;";",""),IF(AND($G43&lt;Hta_26,$G43&gt;=Hba_26,Input!AG$46&lt;&gt;""),Input!$B$46&amp;";",""),IF(AND($G43&lt;Hta_27,$G43&gt;=Hba_27,Input!AG$47&lt;&gt;""),Input!$B$47&amp;";",""),IF(AND($G43&lt;Hta_28,$G43&gt;=Hba_28,Input!AG$48&lt;&gt;""),Input!$B$48&amp;";",""),IF(AND($G43&lt;Hta_29,$G43&gt;=Hba_29,Input!AG$49&lt;&gt;""),Input!$B$49&amp;";",""),IF(AND($G43&lt;Hta_30,$G43&gt;=Hba_30,Input!AG$50&lt;&gt;""),Input!$B$50&amp;";","")),"")</f>
        <v/>
      </c>
      <c r="CI43" s="25" t="str">
        <f>IFERROR(CONCATENATE(IF(AND($G43&lt;Hta_1,$G43&gt;=Hba_1,Input!AH$21&lt;&gt;""),Input!$B$21&amp;";",""),IF(AND($G43&lt;Hta_2,$G43&gt;=Hba_2,Input!AH$22&lt;&gt;""),Input!$B$22&amp;";",""),IF(AND($G43&lt;Hta_3,$G43&gt;=Hba_3,Input!AH$23&lt;&gt;""),Input!$B$23&amp;";",""),IF(AND($G43&lt;Hta_4,$G43&gt;=Hba_4,Input!AH$24&lt;&gt;""),Input!$B$24&amp;";",""),IF(AND($G43&lt;Hta_5,$G43&gt;=Hba_5,Input!AH$25&lt;&gt;""),Input!$B$25&amp;";",""),IF(AND($G43&lt;Hta_6,$G43&gt;=Hba_6,Input!AH$26&lt;&gt;""),Input!$B$26&amp;";",""),IF(AND($G43&lt;Hta_7,$G43&gt;=Hba_7,Input!AH$27&lt;&gt;""),Input!$B$27&amp;";",""),IF(AND($G43&lt;Hta_8,$G43&gt;=Hba_8,Input!AH$28&lt;&gt;""),Input!$B$28&amp;";",""),IF(AND($G43&lt;Hta_9,$G43&gt;=Hba_9,Input!AH$29&lt;&gt;""),Input!$B$29&amp;";",""),IF(AND($G43&lt;Hta_10,$G43&gt;=Hba_10,Input!AH$30&lt;&gt;""),Input!$B$30&amp;";",""),IF(AND($G43&lt;Hta_11,$G43&gt;=Hba_11,Input!AH$31&lt;&gt;""),Input!$B$31&amp;";",""),IF(AND($G43&lt;Hta_12,$G43&gt;=Hba_12,Input!AH$32&lt;&gt;""),Input!$B$32&amp;";",""),IF(AND($G43&lt;Hta_13,$G43&gt;=Hba_13,Input!AH$33&lt;&gt;""),Input!$B$33&amp;";",""),IF(AND($G43&lt;Hta_14,$G43&gt;=Hba_14,Input!AH$34&lt;&gt;""),Input!$B$34&amp;";",""),IF(AND($G43&lt;Hta_15,$G43&gt;=Hba_15,Input!AH$35&lt;&gt;""),Input!$B$35&amp;";",""),IF(AND($G43&lt;Hta_16,$G43&gt;=Hba_16,Input!AH$36&lt;&gt;""),Input!$B$36&amp;";",""),IF(AND($G43&lt;Hta_17,$G43&gt;=Hba_17,Input!AH$37&lt;&gt;""),Input!$B$37&amp;";",""),IF(AND($G43&lt;Hta_18,$G43&gt;=Hba_18,Input!AH$38&lt;&gt;""),Input!$B$38&amp;";",""),IF(AND($G43&lt;Hta_19,$G43&gt;=Hba_19,Input!AH$39&lt;&gt;""),Input!$B$39&amp;";",""),IF(AND($G43&lt;Hta_20,$G43&gt;=Hba_20,Input!AH$40&lt;&gt;""),Input!$B$40&amp;";",""),IF(AND($G43&lt;Hta_21,$G43&gt;=Hba_21,Input!AH$41&lt;&gt;""),Input!$B$41&amp;";",""),IF(AND($G43&lt;Hta_22,$G43&gt;=Hba_22,Input!AH$42&lt;&gt;""),Input!$B$42&amp;";",""),IF(AND($G43&lt;Hta_23,$G43&gt;=Hba_23,Input!AH$43&lt;&gt;""),Input!$B$43&amp;";",""),IF(AND($G43&lt;Hta_24,$G43&gt;=Hba_24,Input!AH$44&lt;&gt;""),Input!$B$44&amp;";",""),IF(AND($G43&lt;Hta_25,$G43&gt;=Hba_25,Input!AH$45&lt;&gt;""),Input!$B$45&amp;";",""),IF(AND($G43&lt;Hta_26,$G43&gt;=Hba_26,Input!AH$46&lt;&gt;""),Input!$B$46&amp;";",""),IF(AND($G43&lt;Hta_27,$G43&gt;=Hba_27,Input!AH$47&lt;&gt;""),Input!$B$47&amp;";",""),IF(AND($G43&lt;Hta_28,$G43&gt;=Hba_28,Input!AH$48&lt;&gt;""),Input!$B$48&amp;";",""),IF(AND($G43&lt;Hta_29,$G43&gt;=Hba_29,Input!AH$49&lt;&gt;""),Input!$B$49&amp;";",""),IF(AND($G43&lt;Hta_30,$G43&gt;=Hba_30,Input!AH$50&lt;&gt;""),Input!$B$50&amp;";","")),"")</f>
        <v/>
      </c>
      <c r="CJ43" s="25" t="str">
        <f>IFERROR(CONCATENATE(IF(AND($G43&lt;Hta_1,$G43&gt;=Hba_1,Input!AI$21&lt;&gt;""),Input!$B$21&amp;";",""),IF(AND($G43&lt;Hta_2,$G43&gt;=Hba_2,Input!AI$22&lt;&gt;""),Input!$B$22&amp;";",""),IF(AND($G43&lt;Hta_3,$G43&gt;=Hba_3,Input!AI$23&lt;&gt;""),Input!$B$23&amp;";",""),IF(AND($G43&lt;Hta_4,$G43&gt;=Hba_4,Input!AI$24&lt;&gt;""),Input!$B$24&amp;";",""),IF(AND($G43&lt;Hta_5,$G43&gt;=Hba_5,Input!AI$25&lt;&gt;""),Input!$B$25&amp;";",""),IF(AND($G43&lt;Hta_6,$G43&gt;=Hba_6,Input!AI$26&lt;&gt;""),Input!$B$26&amp;";",""),IF(AND($G43&lt;Hta_7,$G43&gt;=Hba_7,Input!AI$27&lt;&gt;""),Input!$B$27&amp;";",""),IF(AND($G43&lt;Hta_8,$G43&gt;=Hba_8,Input!AI$28&lt;&gt;""),Input!$B$28&amp;";",""),IF(AND($G43&lt;Hta_9,$G43&gt;=Hba_9,Input!AI$29&lt;&gt;""),Input!$B$29&amp;";",""),IF(AND($G43&lt;Hta_10,$G43&gt;=Hba_10,Input!AI$30&lt;&gt;""),Input!$B$30&amp;";",""),IF(AND($G43&lt;Hta_11,$G43&gt;=Hba_11,Input!AI$31&lt;&gt;""),Input!$B$31&amp;";",""),IF(AND($G43&lt;Hta_12,$G43&gt;=Hba_12,Input!AI$32&lt;&gt;""),Input!$B$32&amp;";",""),IF(AND($G43&lt;Hta_13,$G43&gt;=Hba_13,Input!AI$33&lt;&gt;""),Input!$B$33&amp;";",""),IF(AND($G43&lt;Hta_14,$G43&gt;=Hba_14,Input!AI$34&lt;&gt;""),Input!$B$34&amp;";",""),IF(AND($G43&lt;Hta_15,$G43&gt;=Hba_15,Input!AI$35&lt;&gt;""),Input!$B$35&amp;";",""),IF(AND($G43&lt;Hta_16,$G43&gt;=Hba_16,Input!AI$36&lt;&gt;""),Input!$B$36&amp;";",""),IF(AND($G43&lt;Hta_17,$G43&gt;=Hba_17,Input!AI$37&lt;&gt;""),Input!$B$37&amp;";",""),IF(AND($G43&lt;Hta_18,$G43&gt;=Hba_18,Input!AI$38&lt;&gt;""),Input!$B$38&amp;";",""),IF(AND($G43&lt;Hta_19,$G43&gt;=Hba_19,Input!AI$39&lt;&gt;""),Input!$B$39&amp;";",""),IF(AND($G43&lt;Hta_20,$G43&gt;=Hba_20,Input!AI$40&lt;&gt;""),Input!$B$40&amp;";",""),IF(AND($G43&lt;Hta_21,$G43&gt;=Hba_21,Input!AI$41&lt;&gt;""),Input!$B$41&amp;";",""),IF(AND($G43&lt;Hta_22,$G43&gt;=Hba_22,Input!AI$42&lt;&gt;""),Input!$B$42&amp;";",""),IF(AND($G43&lt;Hta_23,$G43&gt;=Hba_23,Input!AI$43&lt;&gt;""),Input!$B$43&amp;";",""),IF(AND($G43&lt;Hta_24,$G43&gt;=Hba_24,Input!AI$44&lt;&gt;""),Input!$B$44&amp;";",""),IF(AND($G43&lt;Hta_25,$G43&gt;=Hba_25,Input!AI$45&lt;&gt;""),Input!$B$45&amp;";",""),IF(AND($G43&lt;Hta_26,$G43&gt;=Hba_26,Input!AI$46&lt;&gt;""),Input!$B$46&amp;";",""),IF(AND($G43&lt;Hta_27,$G43&gt;=Hba_27,Input!AI$47&lt;&gt;""),Input!$B$47&amp;";",""),IF(AND($G43&lt;Hta_28,$G43&gt;=Hba_28,Input!AI$48&lt;&gt;""),Input!$B$48&amp;";",""),IF(AND($G43&lt;Hta_29,$G43&gt;=Hba_29,Input!AI$49&lt;&gt;""),Input!$B$49&amp;";",""),IF(AND($G43&lt;Hta_30,$G43&gt;=Hba_30,Input!AI$50&lt;&gt;""),Input!$B$50&amp;";","")),"")</f>
        <v/>
      </c>
      <c r="CK43" s="25" t="str">
        <f>IFERROR(CONCATENATE(IF(AND($G43&lt;Hta_1,$G43&gt;=Hba_1,Input!AJ$21&lt;&gt;""),Input!$B$21&amp;";",""),IF(AND($G43&lt;Hta_2,$G43&gt;=Hba_2,Input!AJ$22&lt;&gt;""),Input!$B$22&amp;";",""),IF(AND($G43&lt;Hta_3,$G43&gt;=Hba_3,Input!AJ$23&lt;&gt;""),Input!$B$23&amp;";",""),IF(AND($G43&lt;Hta_4,$G43&gt;=Hba_4,Input!AJ$24&lt;&gt;""),Input!$B$24&amp;";",""),IF(AND($G43&lt;Hta_5,$G43&gt;=Hba_5,Input!AJ$25&lt;&gt;""),Input!$B$25&amp;";",""),IF(AND($G43&lt;Hta_6,$G43&gt;=Hba_6,Input!AJ$26&lt;&gt;""),Input!$B$26&amp;";",""),IF(AND($G43&lt;Hta_7,$G43&gt;=Hba_7,Input!AJ$27&lt;&gt;""),Input!$B$27&amp;";",""),IF(AND($G43&lt;Hta_8,$G43&gt;=Hba_8,Input!AJ$28&lt;&gt;""),Input!$B$28&amp;";",""),IF(AND($G43&lt;Hta_9,$G43&gt;=Hba_9,Input!AJ$29&lt;&gt;""),Input!$B$29&amp;";",""),IF(AND($G43&lt;Hta_10,$G43&gt;=Hba_10,Input!AJ$30&lt;&gt;""),Input!$B$30&amp;";",""),IF(AND($G43&lt;Hta_11,$G43&gt;=Hba_11,Input!AJ$31&lt;&gt;""),Input!$B$31&amp;";",""),IF(AND($G43&lt;Hta_12,$G43&gt;=Hba_12,Input!AJ$32&lt;&gt;""),Input!$B$32&amp;";",""),IF(AND($G43&lt;Hta_13,$G43&gt;=Hba_13,Input!AJ$33&lt;&gt;""),Input!$B$33&amp;";",""),IF(AND($G43&lt;Hta_14,$G43&gt;=Hba_14,Input!AJ$34&lt;&gt;""),Input!$B$34&amp;";",""),IF(AND($G43&lt;Hta_15,$G43&gt;=Hba_15,Input!AJ$35&lt;&gt;""),Input!$B$35&amp;";",""),IF(AND($G43&lt;Hta_16,$G43&gt;=Hba_16,Input!AJ$36&lt;&gt;""),Input!$B$36&amp;";",""),IF(AND($G43&lt;Hta_17,$G43&gt;=Hba_17,Input!AJ$37&lt;&gt;""),Input!$B$37&amp;";",""),IF(AND($G43&lt;Hta_18,$G43&gt;=Hba_18,Input!AJ$38&lt;&gt;""),Input!$B$38&amp;";",""),IF(AND($G43&lt;Hta_19,$G43&gt;=Hba_19,Input!AJ$39&lt;&gt;""),Input!$B$39&amp;";",""),IF(AND($G43&lt;Hta_20,$G43&gt;=Hba_20,Input!AJ$40&lt;&gt;""),Input!$B$40&amp;";",""),IF(AND($G43&lt;Hta_21,$G43&gt;=Hba_21,Input!AJ$41&lt;&gt;""),Input!$B$41&amp;";",""),IF(AND($G43&lt;Hta_22,$G43&gt;=Hba_22,Input!AJ$42&lt;&gt;""),Input!$B$42&amp;";",""),IF(AND($G43&lt;Hta_23,$G43&gt;=Hba_23,Input!AJ$43&lt;&gt;""),Input!$B$43&amp;";",""),IF(AND($G43&lt;Hta_24,$G43&gt;=Hba_24,Input!AJ$44&lt;&gt;""),Input!$B$44&amp;";",""),IF(AND($G43&lt;Hta_25,$G43&gt;=Hba_25,Input!AJ$45&lt;&gt;""),Input!$B$45&amp;";",""),IF(AND($G43&lt;Hta_26,$G43&gt;=Hba_26,Input!AJ$46&lt;&gt;""),Input!$B$46&amp;";",""),IF(AND($G43&lt;Hta_27,$G43&gt;=Hba_27,Input!AJ$47&lt;&gt;""),Input!$B$47&amp;";",""),IF(AND($G43&lt;Hta_28,$G43&gt;=Hba_28,Input!AJ$48&lt;&gt;""),Input!$B$48&amp;";",""),IF(AND($G43&lt;Hta_29,$G43&gt;=Hba_29,Input!AJ$49&lt;&gt;""),Input!$B$49&amp;";",""),IF(AND($G43&lt;Hta_30,$G43&gt;=Hba_30,Input!AJ$50&lt;&gt;""),Input!$B$50&amp;";","")),"")</f>
        <v/>
      </c>
      <c r="CL43" s="25" t="str">
        <f>IFERROR(CONCATENATE(IF(AND($G43&lt;Hta_1,$G43&gt;=Hba_1,Input!AK$21&lt;&gt;""),Input!$B$21&amp;";",""),IF(AND($G43&lt;Hta_2,$G43&gt;=Hba_2,Input!AK$22&lt;&gt;""),Input!$B$22&amp;";",""),IF(AND($G43&lt;Hta_3,$G43&gt;=Hba_3,Input!AK$23&lt;&gt;""),Input!$B$23&amp;";",""),IF(AND($G43&lt;Hta_4,$G43&gt;=Hba_4,Input!AK$24&lt;&gt;""),Input!$B$24&amp;";",""),IF(AND($G43&lt;Hta_5,$G43&gt;=Hba_5,Input!AK$25&lt;&gt;""),Input!$B$25&amp;";",""),IF(AND($G43&lt;Hta_6,$G43&gt;=Hba_6,Input!AK$26&lt;&gt;""),Input!$B$26&amp;";",""),IF(AND($G43&lt;Hta_7,$G43&gt;=Hba_7,Input!AK$27&lt;&gt;""),Input!$B$27&amp;";",""),IF(AND($G43&lt;Hta_8,$G43&gt;=Hba_8,Input!AK$28&lt;&gt;""),Input!$B$28&amp;";",""),IF(AND($G43&lt;Hta_9,$G43&gt;=Hba_9,Input!AK$29&lt;&gt;""),Input!$B$29&amp;";",""),IF(AND($G43&lt;Hta_10,$G43&gt;=Hba_10,Input!AK$30&lt;&gt;""),Input!$B$30&amp;";",""),IF(AND($G43&lt;Hta_11,$G43&gt;=Hba_11,Input!AK$31&lt;&gt;""),Input!$B$31&amp;";",""),IF(AND($G43&lt;Hta_12,$G43&gt;=Hba_12,Input!AK$32&lt;&gt;""),Input!$B$32&amp;";",""),IF(AND($G43&lt;Hta_13,$G43&gt;=Hba_13,Input!AK$33&lt;&gt;""),Input!$B$33&amp;";",""),IF(AND($G43&lt;Hta_14,$G43&gt;=Hba_14,Input!AK$34&lt;&gt;""),Input!$B$34&amp;";",""),IF(AND($G43&lt;Hta_15,$G43&gt;=Hba_15,Input!AK$35&lt;&gt;""),Input!$B$35&amp;";",""),IF(AND($G43&lt;Hta_16,$G43&gt;=Hba_16,Input!AK$36&lt;&gt;""),Input!$B$36&amp;";",""),IF(AND($G43&lt;Hta_17,$G43&gt;=Hba_17,Input!AK$37&lt;&gt;""),Input!$B$37&amp;";",""),IF(AND($G43&lt;Hta_18,$G43&gt;=Hba_18,Input!AK$38&lt;&gt;""),Input!$B$38&amp;";",""),IF(AND($G43&lt;Hta_19,$G43&gt;=Hba_19,Input!AK$39&lt;&gt;""),Input!$B$39&amp;";",""),IF(AND($G43&lt;Hta_20,$G43&gt;=Hba_20,Input!AK$40&lt;&gt;""),Input!$B$40&amp;";",""),IF(AND($G43&lt;Hta_21,$G43&gt;=Hba_21,Input!AK$41&lt;&gt;""),Input!$B$41&amp;";",""),IF(AND($G43&lt;Hta_22,$G43&gt;=Hba_22,Input!AK$42&lt;&gt;""),Input!$B$42&amp;";",""),IF(AND($G43&lt;Hta_23,$G43&gt;=Hba_23,Input!AK$43&lt;&gt;""),Input!$B$43&amp;";",""),IF(AND($G43&lt;Hta_24,$G43&gt;=Hba_24,Input!AK$44&lt;&gt;""),Input!$B$44&amp;";",""),IF(AND($G43&lt;Hta_25,$G43&gt;=Hba_25,Input!AK$45&lt;&gt;""),Input!$B$45&amp;";",""),IF(AND($G43&lt;Hta_26,$G43&gt;=Hba_26,Input!AK$46&lt;&gt;""),Input!$B$46&amp;";",""),IF(AND($G43&lt;Hta_27,$G43&gt;=Hba_27,Input!AK$47&lt;&gt;""),Input!$B$47&amp;";",""),IF(AND($G43&lt;Hta_28,$G43&gt;=Hba_28,Input!AK$48&lt;&gt;""),Input!$B$48&amp;";",""),IF(AND($G43&lt;Hta_29,$G43&gt;=Hba_29,Input!AK$49&lt;&gt;""),Input!$B$49&amp;";",""),IF(AND($G43&lt;Hta_30,$G43&gt;=Hba_30,Input!AK$50&lt;&gt;""),Input!$B$50&amp;";","")),"")</f>
        <v/>
      </c>
      <c r="CM43" s="25" t="str">
        <f>IFERROR(CONCATENATE(IF(AND($G43&lt;Hta_1,$G43&gt;=Hba_1,Input!AL$21&lt;&gt;""),Input!$B$21&amp;";",""),IF(AND($G43&lt;Hta_2,$G43&gt;=Hba_2,Input!AL$22&lt;&gt;""),Input!$B$22&amp;";",""),IF(AND($G43&lt;Hta_3,$G43&gt;=Hba_3,Input!AL$23&lt;&gt;""),Input!$B$23&amp;";",""),IF(AND($G43&lt;Hta_4,$G43&gt;=Hba_4,Input!AL$24&lt;&gt;""),Input!$B$24&amp;";",""),IF(AND($G43&lt;Hta_5,$G43&gt;=Hba_5,Input!AL$25&lt;&gt;""),Input!$B$25&amp;";",""),IF(AND($G43&lt;Hta_6,$G43&gt;=Hba_6,Input!AL$26&lt;&gt;""),Input!$B$26&amp;";",""),IF(AND($G43&lt;Hta_7,$G43&gt;=Hba_7,Input!AL$27&lt;&gt;""),Input!$B$27&amp;";",""),IF(AND($G43&lt;Hta_8,$G43&gt;=Hba_8,Input!AL$28&lt;&gt;""),Input!$B$28&amp;";",""),IF(AND($G43&lt;Hta_9,$G43&gt;=Hba_9,Input!AL$29&lt;&gt;""),Input!$B$29&amp;";",""),IF(AND($G43&lt;Hta_10,$G43&gt;=Hba_10,Input!AL$30&lt;&gt;""),Input!$B$30&amp;";",""),IF(AND($G43&lt;Hta_11,$G43&gt;=Hba_11,Input!AL$31&lt;&gt;""),Input!$B$31&amp;";",""),IF(AND($G43&lt;Hta_12,$G43&gt;=Hba_12,Input!AL$32&lt;&gt;""),Input!$B$32&amp;";",""),IF(AND($G43&lt;Hta_13,$G43&gt;=Hba_13,Input!AL$33&lt;&gt;""),Input!$B$33&amp;";",""),IF(AND($G43&lt;Hta_14,$G43&gt;=Hba_14,Input!AL$34&lt;&gt;""),Input!$B$34&amp;";",""),IF(AND($G43&lt;Hta_15,$G43&gt;=Hba_15,Input!AL$35&lt;&gt;""),Input!$B$35&amp;";",""),IF(AND($G43&lt;Hta_16,$G43&gt;=Hba_16,Input!AL$36&lt;&gt;""),Input!$B$36&amp;";",""),IF(AND($G43&lt;Hta_17,$G43&gt;=Hba_17,Input!AL$37&lt;&gt;""),Input!$B$37&amp;";",""),IF(AND($G43&lt;Hta_18,$G43&gt;=Hba_18,Input!AL$38&lt;&gt;""),Input!$B$38&amp;";",""),IF(AND($G43&lt;Hta_19,$G43&gt;=Hba_19,Input!AL$39&lt;&gt;""),Input!$B$39&amp;";",""),IF(AND($G43&lt;Hta_20,$G43&gt;=Hba_20,Input!AL$40&lt;&gt;""),Input!$B$40&amp;";",""),IF(AND($G43&lt;Hta_21,$G43&gt;=Hba_21,Input!AL$41&lt;&gt;""),Input!$B$41&amp;";",""),IF(AND($G43&lt;Hta_22,$G43&gt;=Hba_22,Input!AL$42&lt;&gt;""),Input!$B$42&amp;";",""),IF(AND($G43&lt;Hta_23,$G43&gt;=Hba_23,Input!AL$43&lt;&gt;""),Input!$B$43&amp;";",""),IF(AND($G43&lt;Hta_24,$G43&gt;=Hba_24,Input!AL$44&lt;&gt;""),Input!$B$44&amp;";",""),IF(AND($G43&lt;Hta_25,$G43&gt;=Hba_25,Input!AL$45&lt;&gt;""),Input!$B$45&amp;";",""),IF(AND($G43&lt;Hta_26,$G43&gt;=Hba_26,Input!AL$46&lt;&gt;""),Input!$B$46&amp;";",""),IF(AND($G43&lt;Hta_27,$G43&gt;=Hba_27,Input!AL$47&lt;&gt;""),Input!$B$47&amp;";",""),IF(AND($G43&lt;Hta_28,$G43&gt;=Hba_28,Input!AL$48&lt;&gt;""),Input!$B$48&amp;";",""),IF(AND($G43&lt;Hta_29,$G43&gt;=Hba_29,Input!AL$49&lt;&gt;""),Input!$B$49&amp;";",""),IF(AND($G43&lt;Hta_30,$G43&gt;=Hba_30,Input!AL$50&lt;&gt;""),Input!$B$50&amp;";","")),"")</f>
        <v/>
      </c>
      <c r="CN43" s="60" t="str">
        <f t="shared" si="6"/>
        <v/>
      </c>
      <c r="CO43" s="798"/>
      <c r="CP43" s="799"/>
      <c r="CQ43" s="800"/>
      <c r="CR43" s="798"/>
      <c r="CS43" s="799"/>
      <c r="CT43" s="800"/>
      <c r="CU43" s="798" t="str">
        <f t="shared" si="7"/>
        <v/>
      </c>
      <c r="CV43" s="799"/>
      <c r="CW43" s="806"/>
      <c r="CX43" s="726"/>
      <c r="CY43" s="727"/>
      <c r="CZ43" s="732"/>
      <c r="DA43" s="726"/>
      <c r="DB43" s="727"/>
      <c r="DC43" s="732"/>
      <c r="DD43" s="726" t="str">
        <f t="shared" si="8"/>
        <v/>
      </c>
      <c r="DE43" s="727"/>
      <c r="DF43" s="728"/>
      <c r="DG43" s="53"/>
      <c r="DH43" s="54"/>
      <c r="DI43" s="54"/>
      <c r="DJ43" s="54"/>
      <c r="DK43" s="54"/>
      <c r="DL43" s="54"/>
      <c r="DM43" s="54"/>
      <c r="DN43" s="54"/>
      <c r="DO43" s="54"/>
      <c r="DP43" s="54"/>
      <c r="DQ43" s="57"/>
      <c r="DR43" s="57"/>
      <c r="DS43" s="57"/>
      <c r="DT43" s="57"/>
      <c r="DU43" s="57"/>
      <c r="DV43" s="57"/>
      <c r="DW43" s="57"/>
      <c r="DX43" s="57"/>
      <c r="DY43" s="57"/>
      <c r="DZ43" s="57"/>
      <c r="EA43" s="57"/>
      <c r="EB43" s="57"/>
      <c r="EC43" s="57"/>
      <c r="ED43" s="57"/>
      <c r="EE43" s="57"/>
      <c r="EF43" s="57"/>
      <c r="EG43" s="57"/>
      <c r="EH43" s="57"/>
      <c r="EI43" s="57"/>
      <c r="EJ43" s="57"/>
      <c r="EK43" s="57"/>
      <c r="EL43" s="133"/>
      <c r="EM43" s="133"/>
      <c r="EN43" s="133"/>
      <c r="EO43" s="133"/>
      <c r="EP43" s="133"/>
      <c r="EQ43" s="133"/>
      <c r="ER43" s="133"/>
      <c r="ES43" s="133"/>
      <c r="ET43" s="133"/>
      <c r="EU43" s="133"/>
      <c r="EV43" s="133"/>
      <c r="EW43" s="133"/>
      <c r="EX43" s="133"/>
      <c r="EY43" s="133"/>
      <c r="EZ43" s="133"/>
      <c r="FA43" s="133"/>
      <c r="FB43" s="133"/>
      <c r="FC43" s="133"/>
      <c r="FD43" s="133"/>
      <c r="FE43" s="133"/>
      <c r="FF43" s="133"/>
      <c r="FG43" s="133"/>
      <c r="FH43" s="133"/>
      <c r="FI43" s="133"/>
      <c r="FJ43" s="133"/>
      <c r="FK43" s="133"/>
      <c r="FL43" s="133"/>
      <c r="FM43" s="133"/>
      <c r="FN43" s="133"/>
      <c r="FO43" s="133"/>
      <c r="FP43" s="65"/>
      <c r="FQ43" s="125"/>
      <c r="FR43" s="123"/>
      <c r="FS43" s="121"/>
      <c r="FT43" s="119"/>
    </row>
    <row r="44" spans="2:176" ht="15.75" hidden="1" customHeight="1" thickBot="1" x14ac:dyDescent="0.3">
      <c r="B44" s="62" t="b">
        <f>IF(OR(AND(G44&gt;='Geometry 2'!$AK$5,G44&lt;'Geometry 2'!$AL$5),AND(G44&gt;='Geometry 2'!$AK$6,G44&lt;'Geometry 2'!$AL$6),AND(G44&gt;='Geometry 2'!$AK$7,G44&lt;'Geometry 2'!$AL$7),AND(G44&gt;='Geometry 2'!$AK$8,G44&lt;'Geometry 2'!$AL$8),AND(G44&gt;='Geometry 2'!$AK$9,G44&lt;'Geometry 2'!$AL$9),AND(G44&gt;='Geometry 2'!$AK$10,G44&lt;'Geometry 2'!$AL$10),AND(G44&gt;='Geometry 2'!$AK$11,G44&lt;'Geometry 2'!$AL$11),AND(G44&gt;='Geometry 2'!$AK$12,G44&lt;'Geometry 2'!$AL$12),AND(G44&gt;='Geometry 2'!$AK$13,G44&lt;'Geometry 2'!$AL$13),AND(G44&gt;='Geometry 2'!$AK$14,G44&lt;'Geometry 2'!$AL$14)),TRUE,FALSE)</f>
        <v>0</v>
      </c>
      <c r="C44" s="4" t="str">
        <f t="shared" si="3"/>
        <v/>
      </c>
      <c r="D44" s="766" t="str">
        <f t="shared" si="4"/>
        <v/>
      </c>
      <c r="E44" s="767"/>
      <c r="F44" s="17" t="str">
        <f t="shared" si="2"/>
        <v/>
      </c>
      <c r="G44" s="768" t="str">
        <f>IF(D44="","",MAX(0,G43-IF(inc="n/a",999,inc),MAX(IF(G43&lt;=Hta_1,0,Hta_1),IF(G43&lt;=Hta_2,0,Hta_2),IF(G43&lt;=Hta_3,0,Hta_3),IF(G43&lt;=Hta_4,0,Hta_4),IF(G43&lt;=Hta_5,0,Hta_5),IF(G43&lt;=Hta_6,0,Hta_6),IF(G43&lt;=Hta_7,0,Hta_7),IF(G43&lt;=Hta_8,0,Hta_8),IF(G43&lt;=Hta_9,0,Hta_9),IF(G43&lt;=Hta_10,0,Hta_10),IF(G43&lt;=Hta_11,0,Hta_11),IF(G43&lt;=Hta_12,0,Hta_12),IF(G43&lt;=Hta_13,0,Hta_13),IF(G43&lt;=Hta_14,0,Hta_14),IF(G43&lt;=Hta_15,0,Hta_15),IF(G43&lt;=Hta_16,0,Hta_16),IF(G43&lt;=Hta_17,0,Hta_17),IF(G43&lt;=Hta_18,0,Hta_18),IF(G43&lt;=Hta_19,0,Hta_19),IF(G43&lt;=Hta_20,0,Hta_20),IF(G43&lt;=Hta_21,0,Hta_21),IF(G43&lt;=Hta_22,0,Hta_22),IF(G43&lt;=Hta_23,0,Hta_23),IF(G43&lt;=Hta_24,0,Hta_24),IF(G43&lt;=Hta_25,0,Hta_25),IF(G43&lt;=Hta_26,0,Hta_26),IF(G43&lt;=Hta_27,0,Hta_27),IF(G43&lt;=Hta_28,0,Hta_28),IF(G43&lt;=Hta_29,0,Hta_29),IF(G43&lt;=Hta_30,0,Hta_30)),MAX(IF(G43&lt;=Hta_1-0.25,0,Hta_1-0.25),IF(G43&lt;=Hta_2-0.25,0,Hta_2-0.25),IF(G43&lt;=Hta_3-0.25,0,Hta_3-0.25),IF(G43&lt;=Hta_4-0.25,0,Hta_4-0.25),IF(G43&lt;=Hta_5-0.25,0,Hta_5-0.25),IF(G43&lt;=Hta_6-0.25,0,Hta_6-0.25),IF(G43&lt;=Hta_7-0.25,0,Hta_7-0.25),IF(G43&lt;=Hta_8-0.25,0,Hta_8-0.25),IF(G43&lt;=Hta_9-0.25,0,Hta_9-0.25),IF(G43&lt;=Hta_10-0.25,0,Hta_10-0.25),IF(G43&lt;=Hta_11-0.25,0,Hta_11-0.25),IF(G43&lt;=Hta_12-0.25,0,Hta_12-0.25),IF(G43&lt;=Hta_13-0.25,0,Hta_13-0.25),IF(G43&lt;=Hta_14-0.25,0,Hta_14-0.25),IF(G43&lt;=Hta_15-0.25,0,Hta_15-0.25),IF(G43&lt;=Hta_16-0.25,0,Hta_16-0.25),IF(G43&lt;=Hta_17-0.25,0,Hta_17-0.25),IF(G43&lt;=Hta_18-0.25,0,Hta_18-0.25),IF(G43&lt;=Hta_19-0.25,0,Hta_19-0.25),IF(G43&lt;=Hta_20-0.25,0,Hta_20-0.25),IF(G43&lt;=Hta_21-0.25,0,Hta_21-0.25),IF(G43&lt;=Hta_22-0.25,0,Hta_22-0.25),IF(G43&lt;=Hta_23-0.25,0,Hta_23-0.25),IF(G43&lt;=Hta_24-0.25,0,Hta_24-0.25),IF(G43&lt;=Hta_25-0.25,0,Hta_25-0.25),IF(G43&lt;=Hta_26-0.25,0,Hta_26-0.25),IF(G43&lt;=Hta_27-0.25,0,Hta_27-0.25),IF(G43&lt;=Hta_28-0.25,0,Hta_28-0.25),IF(G43&lt;=Hta_29-0.25,0,Hta_29-0.25),IF(G43&lt;=Hta_30-0.25,0,Hta_30-0.25)),MAX(IF(G43&lt;=Hba_1,0,Hba_1),IF(G43&lt;=Hba_2,0,Hba_2),IF(G43&lt;=Hba_3,0,Hba_3),IF(G43&lt;=Hba_4,0,Hba_4),IF(G43&lt;=Hba_5,0,Hba_5),IF(G43&lt;=Hba_6,0,Hba_6),IF(G43&lt;=Hba_7,0,Hba_7),IF(G43&lt;=Hba_8,0,Hba_8),IF(G43&lt;=Hba_9,0,Hba_9),IF(G43&lt;=Hba_10,0,Hba_10),IF(G43&lt;=Hba_11,0,Hba_11),IF(G43&lt;=Hba_12,0,Hba_12),IF(G43&lt;=Hba_13,0,Hba_13),IF(G43&lt;=Hba_14,0,Hba_14),IF(G43&lt;=Hba_15,0,Hba_15),IF(G43&lt;=Hba_16,0,Hba_16),IF(G43&lt;=Hba_17,0,Hba_17),IF(G43&lt;=Hba_18,0,Hba_18),IF(G43&lt;=Hba_19,0,Hba_19),IF(G43&lt;=Hba_20,0,Hba_20),IF(G43&lt;=Hba_21,0,Hba_21),IF(G43&lt;=Hba_22,0,Hba_22),IF(G43&lt;=Hba_23,0,Hba_23),IF(G43&lt;=Hba_24,0,Hba_24),IF(G43&lt;=Hba_25,0,Hba_25),IF(G43&lt;=Hba_26,0,Hba_26),IF(G43&lt;=Hba_27,0,Hba_27),IF(G43&lt;=Hba_28,0,Hba_28),IF(G43&lt;=Hba_29,0,Hba_29),IF(G43&lt;=Hba_30,0,Hba_30)),MAX(IF(G43&lt;=Input!$C$8,0,Input!$C$8),IF(G43&lt;=Input!$C$9,0,Input!$C$9),IF(G43&lt;=Input!$C$10,0,Input!$C$10),IF(G43&lt;=Input!$C$11,0,Input!$C$11),IF(G43&lt;=Input!$C$12,0,Input!$C$12),IF(G43&lt;=Input!$C$13,0,Input!$C$13),IF(G43&lt;=Input!$C$14,0,Input!$C$14),IF(G43&lt;=Input!$C$15,0,Input!$C$15),IF(G43&lt;=Input!$C$16,0,Input!$C$16)),MAX(IF(G43&lt;=Hba_1-0.25,0,Hba_1-0.25),IF(G43&lt;=Hba_2-0.25,0,Hba_2-0.25),IF(G43&lt;=Hba_3-0.25,0,Hba_3-0.25),IF(G43&lt;=Hba_4-0.25,0,Hba_4-0.25),IF(G43&lt;=Hba_5-0.25,0,Hba_5-0.25),IF(G43&lt;=Hba_6-0.25,0,Hba_6-0.25),IF(G43&lt;=Hba_7-0.25,0,Hba_7-0.25),IF(G43&lt;=Hba_8-0.25,0,Hba_8-0.25),IF(G43&lt;=Hba_9-0.25,0,Hba_9-0.25),IF(G43&lt;=Hba_10-0.25,0,Hba_10-0.25),IF(G43&lt;=Hba_11-0.25,0,Hba_11-0.25),IF(G43&lt;=Hba_12-0.25,0,Hba_12-0.25),IF(G43&lt;=Hba_13-0.25,0,Hba_13-0.25),IF(G43&lt;=Hba_14-0.25,0,Hba_14-0.25),IF(G43&lt;=Hba_15-0.25,0,Hba_15-0.25),IF(G43&lt;=Hba_16-0.25,0,Hba_16-0.25),IF(G43&lt;=Hba_17-0.25,0,Hba_17-0.25),IF(G43&lt;=Hba_18-0.25,0,Hba_18-0.25),IF(G43&lt;=Hba_19-0.25,0,Hba_19-0.25),IF(G43&lt;=Hba_20-0.25,0,Hba_20-0.25),IF(G43&lt;=Hba_21-0.25,0,Hba_21-0.25),IF(G43&lt;=Hba_22-0.25,0,Hba_22-0.25),IF(G43&lt;=Hba_23-0.25,0,Hba_23-0.25),IF(G43&lt;=Hba_24-0.25,0,Hba_24-0.25),IF(G43&lt;=Hba_25-0.25,0,Hba_25-0.25),IF(G43&lt;=Hba_26-0.25,0,Hba_26-0.25),IF(G43&lt;=Hba_27-0.25,0,Hba_27-0.25),IF(G43&lt;=Hba_28-0.25,0,Hba_28-0.25),IF(G43&lt;=Hba_29-0.25,0,Hba_29-0.25),IF(G43&lt;=Hba_30-0.25,0,Hba_30-0.25)),IF(G43&lt;='Macro References'!$A$38,0,'Macro References'!$A$38)))</f>
        <v/>
      </c>
      <c r="H44" s="769"/>
      <c r="I44" s="228"/>
      <c r="J44" s="228"/>
      <c r="K44" s="228"/>
      <c r="L44" s="717" t="str">
        <f t="shared" si="10"/>
        <v/>
      </c>
      <c r="M44" s="717"/>
      <c r="N44" s="717"/>
      <c r="O44" s="717"/>
      <c r="P44" s="717" t="str">
        <f>IF(OR(G44=0,G44=""),"",IF(VLOOKUP(G44,'Geometry 2'!$C$4:$AI$14,1,TRUE)=VLOOKUP(G45,'Geometry 2'!$C$4:$AI$14,1,TRUE),"",IF(VLOOKUP(G44,'Geometry 2'!$C$4:$AI$14,33,TRUE)&lt;&gt;"n/a",MIN(G44,VLOOKUP(G44,'Geometry 2'!$C$4:$AI$14,1,TRUE))-VLOOKUP(G44,'Geometry 2'!$C$4:$AI$14,33,TRUE),"check")))</f>
        <v/>
      </c>
      <c r="Q44" s="717"/>
      <c r="R44" s="717"/>
      <c r="S44" s="717"/>
      <c r="T44" s="717" t="str">
        <f>IF($G44="","",VLOOKUP($G44,'Geometry 2'!$E$4:$AH$14,11,TRUE))</f>
        <v/>
      </c>
      <c r="U44" s="717"/>
      <c r="V44" s="717"/>
      <c r="W44" s="717"/>
      <c r="X44" s="716" t="str">
        <f>IF($G44="","",VLOOKUP($G44,'Geometry 2'!$E$4:$AJ$14,19,TRUE)-12*VLOOKUP($G44,'Geometry 2'!$E$4:$AJ$14,32,TRUE)*($D44-VLOOKUP($G44,'Geometry 2'!$E$5:$AH$14,1,TRUE)))</f>
        <v/>
      </c>
      <c r="Y44" s="716"/>
      <c r="Z44" s="716"/>
      <c r="AA44" s="716"/>
      <c r="AB44" s="757" t="str">
        <f>IF($G44="","",VLOOKUP($G44,'Geometry 2'!$E$4:$AJ$14,19,TRUE)-12*VLOOKUP($G44,'Geometry 2'!$E$4:$AJ$14,32,TRUE)*($G44-VLOOKUP($G44,'Geometry 2'!$E$5:$AH$14,1,TRUE)))</f>
        <v/>
      </c>
      <c r="AC44" s="758"/>
      <c r="AD44" s="758"/>
      <c r="AE44" s="759"/>
      <c r="AF44" s="716" t="str">
        <f>IF($G44="","",VLOOKUP($G44,'Geometry 2'!$E$4:$AJ$14,19,TRUE)-12*VLOOKUP($G44,'Geometry 2'!$E$4:$AJ$14,32,TRUE)*($G44-IF($P44="",0,$P44)-VLOOKUP($G44,'Geometry 2'!$E$5:$AH$14,1,TRUE)))</f>
        <v/>
      </c>
      <c r="AG44" s="716"/>
      <c r="AH44" s="716"/>
      <c r="AI44" s="716"/>
      <c r="AJ44" s="746" t="str">
        <f>IF($G44="","",VLOOKUP($G44,'Geometry 2'!$E$4:$AH$14,23,TRUE))</f>
        <v/>
      </c>
      <c r="AK44" s="747"/>
      <c r="AL44" s="747"/>
      <c r="AM44" s="748"/>
      <c r="AN44" s="717"/>
      <c r="AO44" s="717"/>
      <c r="AP44" s="717"/>
      <c r="AQ44" s="717"/>
      <c r="AR44" s="717" t="str">
        <f>IF($G44="","",VLOOKUP($G44,'Geometry 2'!$E$4:$AH$14,27,TRUE))</f>
        <v/>
      </c>
      <c r="AS44" s="717"/>
      <c r="AT44" s="717"/>
      <c r="AU44" s="718"/>
      <c r="AV44" s="715"/>
      <c r="AW44" s="716"/>
      <c r="AX44" s="716"/>
      <c r="AZ44" s="722" t="str">
        <f t="shared" si="5"/>
        <v/>
      </c>
      <c r="BA44" s="723"/>
      <c r="BB44" s="723"/>
      <c r="BC44" s="724"/>
      <c r="BD44" s="722"/>
      <c r="BE44" s="723"/>
      <c r="BF44" s="723"/>
      <c r="BG44" s="722" t="str">
        <f t="shared" si="9"/>
        <v/>
      </c>
      <c r="BH44" s="723"/>
      <c r="BI44" s="723"/>
      <c r="BJ44" s="723"/>
      <c r="BK44" s="724"/>
      <c r="BL44" s="722"/>
      <c r="BM44" s="723"/>
      <c r="BN44" s="723"/>
      <c r="BO44" s="723"/>
      <c r="BP44" s="725"/>
      <c r="BQ44" s="725"/>
      <c r="BR44" s="722" t="str">
        <f>IF(BP44="","",IF(OR(AND(Rev="H",Calculations!$F$27=TRUE),AND(Rev&lt;&gt;"H",Calculations!$F$30=TRUE)),IF(BP44&lt;=1,"Pass","Fail"),IF(BP44&lt;=1.05,"Pass","Fail")))</f>
        <v/>
      </c>
      <c r="BS44" s="723"/>
      <c r="BT44" s="724"/>
      <c r="BU44" s="49"/>
      <c r="BV44" s="25" t="str">
        <f>IFERROR(CONCATENATE(IF(AND($G44&lt;Hta_1,$G44&gt;=Hba_1,Input!U$21&lt;&gt;""),Input!$B$21&amp;";",""),IF(AND($G44&lt;Hta_2,$G44&gt;=Hba_2,Input!U$22&lt;&gt;""),Input!$B$22&amp;";",""),IF(AND($G44&lt;Hta_3,$G44&gt;=Hba_3,Input!U$23&lt;&gt;""),Input!$B$23&amp;";",""),IF(AND($G44&lt;Hta_4,$G44&gt;=Hba_4,Input!U$24&lt;&gt;""),Input!$B$24&amp;";",""),IF(AND($G44&lt;Hta_5,$G44&gt;=Hba_5,Input!U$25&lt;&gt;""),Input!$B$25&amp;";",""),IF(AND($G44&lt;Hta_6,$G44&gt;=Hba_6,Input!U$26&lt;&gt;""),Input!$B$26&amp;";",""),IF(AND($G44&lt;Hta_7,$G44&gt;=Hba_7,Input!U$27&lt;&gt;""),Input!$B$27&amp;";",""),IF(AND($G44&lt;Hta_8,$G44&gt;=Hba_8,Input!U$28&lt;&gt;""),Input!$B$28&amp;";",""),IF(AND($G44&lt;Hta_9,$G44&gt;=Hba_9,Input!U$29&lt;&gt;""),Input!$B$29&amp;";",""),IF(AND($G44&lt;Hta_10,$G44&gt;=Hba_10,Input!U$30&lt;&gt;""),Input!$B$30&amp;";",""),IF(AND($G44&lt;Hta_11,$G44&gt;=Hba_11,Input!U$31&lt;&gt;""),Input!$B$31&amp;";",""),IF(AND($G44&lt;Hta_12,$G44&gt;=Hba_12,Input!U$32&lt;&gt;""),Input!$B$32&amp;";",""),IF(AND($G44&lt;Hta_13,$G44&gt;=Hba_13,Input!U$33&lt;&gt;""),Input!$B$33&amp;";",""),IF(AND($G44&lt;Hta_14,$G44&gt;=Hba_14,Input!U$34&lt;&gt;""),Input!$B$34&amp;";",""),IF(AND($G44&lt;Hta_15,$G44&gt;=Hba_15,Input!U$35&lt;&gt;""),Input!$B$35&amp;";",""),IF(AND($G44&lt;Hta_16,$G44&gt;=Hba_16,Input!U$36&lt;&gt;""),Input!$B$36&amp;";",""),IF(AND($G44&lt;Hta_17,$G44&gt;=Hba_17,Input!U$37&lt;&gt;""),Input!$B$37&amp;";",""),IF(AND($G44&lt;Hta_18,$G44&gt;=Hba_18,Input!U$38&lt;&gt;""),Input!$B$38&amp;";",""),IF(AND($G44&lt;Hta_19,$G44&gt;=Hba_19,Input!U$39&lt;&gt;""),Input!$B$39&amp;";",""),IF(AND($G44&lt;Hta_20,$G44&gt;=Hba_20,Input!U$40&lt;&gt;""),Input!$B$40&amp;";",""),IF(AND($G44&lt;Hta_21,$G44&gt;=Hba_21,Input!U$41&lt;&gt;""),Input!$B$41&amp;";",""),IF(AND($G44&lt;Hta_22,$G44&gt;=Hba_22,Input!U$42&lt;&gt;""),Input!$B$42&amp;";",""),IF(AND($G44&lt;Hta_23,$G44&gt;=Hba_23,Input!U$43&lt;&gt;""),Input!$B$43&amp;";",""),IF(AND($G44&lt;Hta_24,$G44&gt;=Hba_24,Input!U$44&lt;&gt;""),Input!$B$44&amp;";",""),IF(AND($G44&lt;Hta_25,$G44&gt;=Hba_25,Input!U$45&lt;&gt;""),Input!$B$45&amp;";",""),IF(AND($G44&lt;Hta_26,$G44&gt;=Hba_26,Input!U$46&lt;&gt;""),Input!$B$46&amp;";",""),IF(AND($G44&lt;Hta_27,$G44&gt;=Hba_27,Input!U$47&lt;&gt;""),Input!$B$47&amp;";",""),IF(AND($G44&lt;Hta_28,$G44&gt;=Hba_28,Input!U$48&lt;&gt;""),Input!$B$48&amp;";",""),IF(AND($G44&lt;Hta_29,$G44&gt;=Hba_29,Input!U$49&lt;&gt;""),Input!$B$49&amp;";",""),IF(AND($G44&lt;Hta_30,$G44&gt;=Hba_30,Input!U$50&lt;&gt;""),Input!$B$50&amp;";","")),"")</f>
        <v/>
      </c>
      <c r="BW44" s="25" t="str">
        <f>IFERROR(CONCATENATE(IF(AND($G44&lt;Hta_1,$G44&gt;=Hba_1,Input!V$21&lt;&gt;""),Input!$B$21&amp;";",""),IF(AND($G44&lt;Hta_2,$G44&gt;=Hba_2,Input!V$22&lt;&gt;""),Input!$B$22&amp;";",""),IF(AND($G44&lt;Hta_3,$G44&gt;=Hba_3,Input!V$23&lt;&gt;""),Input!$B$23&amp;";",""),IF(AND($G44&lt;Hta_4,$G44&gt;=Hba_4,Input!V$24&lt;&gt;""),Input!$B$24&amp;";",""),IF(AND($G44&lt;Hta_5,$G44&gt;=Hba_5,Input!V$25&lt;&gt;""),Input!$B$25&amp;";",""),IF(AND($G44&lt;Hta_6,$G44&gt;=Hba_6,Input!V$26&lt;&gt;""),Input!$B$26&amp;";",""),IF(AND($G44&lt;Hta_7,$G44&gt;=Hba_7,Input!V$27&lt;&gt;""),Input!$B$27&amp;";",""),IF(AND($G44&lt;Hta_8,$G44&gt;=Hba_8,Input!V$28&lt;&gt;""),Input!$B$28&amp;";",""),IF(AND($G44&lt;Hta_9,$G44&gt;=Hba_9,Input!V$29&lt;&gt;""),Input!$B$29&amp;";",""),IF(AND($G44&lt;Hta_10,$G44&gt;=Hba_10,Input!V$30&lt;&gt;""),Input!$B$30&amp;";",""),IF(AND($G44&lt;Hta_11,$G44&gt;=Hba_11,Input!V$31&lt;&gt;""),Input!$B$31&amp;";",""),IF(AND($G44&lt;Hta_12,$G44&gt;=Hba_12,Input!V$32&lt;&gt;""),Input!$B$32&amp;";",""),IF(AND($G44&lt;Hta_13,$G44&gt;=Hba_13,Input!V$33&lt;&gt;""),Input!$B$33&amp;";",""),IF(AND($G44&lt;Hta_14,$G44&gt;=Hba_14,Input!V$34&lt;&gt;""),Input!$B$34&amp;";",""),IF(AND($G44&lt;Hta_15,$G44&gt;=Hba_15,Input!V$35&lt;&gt;""),Input!$B$35&amp;";",""),IF(AND($G44&lt;Hta_16,$G44&gt;=Hba_16,Input!V$36&lt;&gt;""),Input!$B$36&amp;";",""),IF(AND($G44&lt;Hta_17,$G44&gt;=Hba_17,Input!V$37&lt;&gt;""),Input!$B$37&amp;";",""),IF(AND($G44&lt;Hta_18,$G44&gt;=Hba_18,Input!V$38&lt;&gt;""),Input!$B$38&amp;";",""),IF(AND($G44&lt;Hta_19,$G44&gt;=Hba_19,Input!V$39&lt;&gt;""),Input!$B$39&amp;";",""),IF(AND($G44&lt;Hta_20,$G44&gt;=Hba_20,Input!V$40&lt;&gt;""),Input!$B$40&amp;";",""),IF(AND($G44&lt;Hta_21,$G44&gt;=Hba_21,Input!V$41&lt;&gt;""),Input!$B$41&amp;";",""),IF(AND($G44&lt;Hta_22,$G44&gt;=Hba_22,Input!V$42&lt;&gt;""),Input!$B$42&amp;";",""),IF(AND($G44&lt;Hta_23,$G44&gt;=Hba_23,Input!V$43&lt;&gt;""),Input!$B$43&amp;";",""),IF(AND($G44&lt;Hta_24,$G44&gt;=Hba_24,Input!V$44&lt;&gt;""),Input!$B$44&amp;";",""),IF(AND($G44&lt;Hta_25,$G44&gt;=Hba_25,Input!V$45&lt;&gt;""),Input!$B$45&amp;";",""),IF(AND($G44&lt;Hta_26,$G44&gt;=Hba_26,Input!V$46&lt;&gt;""),Input!$B$46&amp;";",""),IF(AND($G44&lt;Hta_27,$G44&gt;=Hba_27,Input!V$47&lt;&gt;""),Input!$B$47&amp;";",""),IF(AND($G44&lt;Hta_28,$G44&gt;=Hba_28,Input!V$48&lt;&gt;""),Input!$B$48&amp;";",""),IF(AND($G44&lt;Hta_29,$G44&gt;=Hba_29,Input!V$49&lt;&gt;""),Input!$B$49&amp;";",""),IF(AND($G44&lt;Hta_30,$G44&gt;=Hba_30,Input!V$50&lt;&gt;""),Input!$B$50&amp;";","")),"")</f>
        <v/>
      </c>
      <c r="BX44" s="25" t="str">
        <f>IFERROR(CONCATENATE(IF(AND($G44&lt;Hta_1,$G44&gt;=Hba_1,Input!W$21&lt;&gt;""),Input!$B$21&amp;";",""),IF(AND($G44&lt;Hta_2,$G44&gt;=Hba_2,Input!W$22&lt;&gt;""),Input!$B$22&amp;";",""),IF(AND($G44&lt;Hta_3,$G44&gt;=Hba_3,Input!W$23&lt;&gt;""),Input!$B$23&amp;";",""),IF(AND($G44&lt;Hta_4,$G44&gt;=Hba_4,Input!W$24&lt;&gt;""),Input!$B$24&amp;";",""),IF(AND($G44&lt;Hta_5,$G44&gt;=Hba_5,Input!W$25&lt;&gt;""),Input!$B$25&amp;";",""),IF(AND($G44&lt;Hta_6,$G44&gt;=Hba_6,Input!W$26&lt;&gt;""),Input!$B$26&amp;";",""),IF(AND($G44&lt;Hta_7,$G44&gt;=Hba_7,Input!W$27&lt;&gt;""),Input!$B$27&amp;";",""),IF(AND($G44&lt;Hta_8,$G44&gt;=Hba_8,Input!W$28&lt;&gt;""),Input!$B$28&amp;";",""),IF(AND($G44&lt;Hta_9,$G44&gt;=Hba_9,Input!W$29&lt;&gt;""),Input!$B$29&amp;";",""),IF(AND($G44&lt;Hta_10,$G44&gt;=Hba_10,Input!W$30&lt;&gt;""),Input!$B$30&amp;";",""),IF(AND($G44&lt;Hta_11,$G44&gt;=Hba_11,Input!W$31&lt;&gt;""),Input!$B$31&amp;";",""),IF(AND($G44&lt;Hta_12,$G44&gt;=Hba_12,Input!W$32&lt;&gt;""),Input!$B$32&amp;";",""),IF(AND($G44&lt;Hta_13,$G44&gt;=Hba_13,Input!W$33&lt;&gt;""),Input!$B$33&amp;";",""),IF(AND($G44&lt;Hta_14,$G44&gt;=Hba_14,Input!W$34&lt;&gt;""),Input!$B$34&amp;";",""),IF(AND($G44&lt;Hta_15,$G44&gt;=Hba_15,Input!W$35&lt;&gt;""),Input!$B$35&amp;";",""),IF(AND($G44&lt;Hta_16,$G44&gt;=Hba_16,Input!W$36&lt;&gt;""),Input!$B$36&amp;";",""),IF(AND($G44&lt;Hta_17,$G44&gt;=Hba_17,Input!W$37&lt;&gt;""),Input!$B$37&amp;";",""),IF(AND($G44&lt;Hta_18,$G44&gt;=Hba_18,Input!W$38&lt;&gt;""),Input!$B$38&amp;";",""),IF(AND($G44&lt;Hta_19,$G44&gt;=Hba_19,Input!W$39&lt;&gt;""),Input!$B$39&amp;";",""),IF(AND($G44&lt;Hta_20,$G44&gt;=Hba_20,Input!W$40&lt;&gt;""),Input!$B$40&amp;";",""),IF(AND($G44&lt;Hta_21,$G44&gt;=Hba_21,Input!W$41&lt;&gt;""),Input!$B$41&amp;";",""),IF(AND($G44&lt;Hta_22,$G44&gt;=Hba_22,Input!W$42&lt;&gt;""),Input!$B$42&amp;";",""),IF(AND($G44&lt;Hta_23,$G44&gt;=Hba_23,Input!W$43&lt;&gt;""),Input!$B$43&amp;";",""),IF(AND($G44&lt;Hta_24,$G44&gt;=Hba_24,Input!W$44&lt;&gt;""),Input!$B$44&amp;";",""),IF(AND($G44&lt;Hta_25,$G44&gt;=Hba_25,Input!W$45&lt;&gt;""),Input!$B$45&amp;";",""),IF(AND($G44&lt;Hta_26,$G44&gt;=Hba_26,Input!W$46&lt;&gt;""),Input!$B$46&amp;";",""),IF(AND($G44&lt;Hta_27,$G44&gt;=Hba_27,Input!W$47&lt;&gt;""),Input!$B$47&amp;";",""),IF(AND($G44&lt;Hta_28,$G44&gt;=Hba_28,Input!W$48&lt;&gt;""),Input!$B$48&amp;";",""),IF(AND($G44&lt;Hta_29,$G44&gt;=Hba_29,Input!W$49&lt;&gt;""),Input!$B$49&amp;";",""),IF(AND($G44&lt;Hta_30,$G44&gt;=Hba_30,Input!W$50&lt;&gt;""),Input!$B$50&amp;";","")),"")</f>
        <v/>
      </c>
      <c r="BY44" s="25" t="str">
        <f>IFERROR(CONCATENATE(IF(AND($G44&lt;Hta_1,$G44&gt;=Hba_1,Input!X$21&lt;&gt;""),Input!$B$21&amp;";",""),IF(AND($G44&lt;Hta_2,$G44&gt;=Hba_2,Input!X$22&lt;&gt;""),Input!$B$22&amp;";",""),IF(AND($G44&lt;Hta_3,$G44&gt;=Hba_3,Input!X$23&lt;&gt;""),Input!$B$23&amp;";",""),IF(AND($G44&lt;Hta_4,$G44&gt;=Hba_4,Input!X$24&lt;&gt;""),Input!$B$24&amp;";",""),IF(AND($G44&lt;Hta_5,$G44&gt;=Hba_5,Input!X$25&lt;&gt;""),Input!$B$25&amp;";",""),IF(AND($G44&lt;Hta_6,$G44&gt;=Hba_6,Input!X$26&lt;&gt;""),Input!$B$26&amp;";",""),IF(AND($G44&lt;Hta_7,$G44&gt;=Hba_7,Input!X$27&lt;&gt;""),Input!$B$27&amp;";",""),IF(AND($G44&lt;Hta_8,$G44&gt;=Hba_8,Input!X$28&lt;&gt;""),Input!$B$28&amp;";",""),IF(AND($G44&lt;Hta_9,$G44&gt;=Hba_9,Input!X$29&lt;&gt;""),Input!$B$29&amp;";",""),IF(AND($G44&lt;Hta_10,$G44&gt;=Hba_10,Input!X$30&lt;&gt;""),Input!$B$30&amp;";",""),IF(AND($G44&lt;Hta_11,$G44&gt;=Hba_11,Input!X$31&lt;&gt;""),Input!$B$31&amp;";",""),IF(AND($G44&lt;Hta_12,$G44&gt;=Hba_12,Input!X$32&lt;&gt;""),Input!$B$32&amp;";",""),IF(AND($G44&lt;Hta_13,$G44&gt;=Hba_13,Input!X$33&lt;&gt;""),Input!$B$33&amp;";",""),IF(AND($G44&lt;Hta_14,$G44&gt;=Hba_14,Input!X$34&lt;&gt;""),Input!$B$34&amp;";",""),IF(AND($G44&lt;Hta_15,$G44&gt;=Hba_15,Input!X$35&lt;&gt;""),Input!$B$35&amp;";",""),IF(AND($G44&lt;Hta_16,$G44&gt;=Hba_16,Input!X$36&lt;&gt;""),Input!$B$36&amp;";",""),IF(AND($G44&lt;Hta_17,$G44&gt;=Hba_17,Input!X$37&lt;&gt;""),Input!$B$37&amp;";",""),IF(AND($G44&lt;Hta_18,$G44&gt;=Hba_18,Input!X$38&lt;&gt;""),Input!$B$38&amp;";",""),IF(AND($G44&lt;Hta_19,$G44&gt;=Hba_19,Input!X$39&lt;&gt;""),Input!$B$39&amp;";",""),IF(AND($G44&lt;Hta_20,$G44&gt;=Hba_20,Input!X$40&lt;&gt;""),Input!$B$40&amp;";",""),IF(AND($G44&lt;Hta_21,$G44&gt;=Hba_21,Input!X$41&lt;&gt;""),Input!$B$41&amp;";",""),IF(AND($G44&lt;Hta_22,$G44&gt;=Hba_22,Input!X$42&lt;&gt;""),Input!$B$42&amp;";",""),IF(AND($G44&lt;Hta_23,$G44&gt;=Hba_23,Input!X$43&lt;&gt;""),Input!$B$43&amp;";",""),IF(AND($G44&lt;Hta_24,$G44&gt;=Hba_24,Input!X$44&lt;&gt;""),Input!$B$44&amp;";",""),IF(AND($G44&lt;Hta_25,$G44&gt;=Hba_25,Input!X$45&lt;&gt;""),Input!$B$45&amp;";",""),IF(AND($G44&lt;Hta_26,$G44&gt;=Hba_26,Input!X$46&lt;&gt;""),Input!$B$46&amp;";",""),IF(AND($G44&lt;Hta_27,$G44&gt;=Hba_27,Input!X$47&lt;&gt;""),Input!$B$47&amp;";",""),IF(AND($G44&lt;Hta_28,$G44&gt;=Hba_28,Input!X$48&lt;&gt;""),Input!$B$48&amp;";",""),IF(AND($G44&lt;Hta_29,$G44&gt;=Hba_29,Input!X$49&lt;&gt;""),Input!$B$49&amp;";",""),IF(AND($G44&lt;Hta_30,$G44&gt;=Hba_30,Input!X$50&lt;&gt;""),Input!$B$50&amp;";","")),"")</f>
        <v/>
      </c>
      <c r="BZ44" s="25" t="str">
        <f>IFERROR(CONCATENATE(IF(AND($G44&lt;Hta_1,$G44&gt;=Hba_1,Input!Y$21&lt;&gt;""),Input!$B$21&amp;";",""),IF(AND($G44&lt;Hta_2,$G44&gt;=Hba_2,Input!Y$22&lt;&gt;""),Input!$B$22&amp;";",""),IF(AND($G44&lt;Hta_3,$G44&gt;=Hba_3,Input!Y$23&lt;&gt;""),Input!$B$23&amp;";",""),IF(AND($G44&lt;Hta_4,$G44&gt;=Hba_4,Input!Y$24&lt;&gt;""),Input!$B$24&amp;";",""),IF(AND($G44&lt;Hta_5,$G44&gt;=Hba_5,Input!Y$25&lt;&gt;""),Input!$B$25&amp;";",""),IF(AND($G44&lt;Hta_6,$G44&gt;=Hba_6,Input!Y$26&lt;&gt;""),Input!$B$26&amp;";",""),IF(AND($G44&lt;Hta_7,$G44&gt;=Hba_7,Input!Y$27&lt;&gt;""),Input!$B$27&amp;";",""),IF(AND($G44&lt;Hta_8,$G44&gt;=Hba_8,Input!Y$28&lt;&gt;""),Input!$B$28&amp;";",""),IF(AND($G44&lt;Hta_9,$G44&gt;=Hba_9,Input!Y$29&lt;&gt;""),Input!$B$29&amp;";",""),IF(AND($G44&lt;Hta_10,$G44&gt;=Hba_10,Input!Y$30&lt;&gt;""),Input!$B$30&amp;";",""),IF(AND($G44&lt;Hta_11,$G44&gt;=Hba_11,Input!Y$31&lt;&gt;""),Input!$B$31&amp;";",""),IF(AND($G44&lt;Hta_12,$G44&gt;=Hba_12,Input!Y$32&lt;&gt;""),Input!$B$32&amp;";",""),IF(AND($G44&lt;Hta_13,$G44&gt;=Hba_13,Input!Y$33&lt;&gt;""),Input!$B$33&amp;";",""),IF(AND($G44&lt;Hta_14,$G44&gt;=Hba_14,Input!Y$34&lt;&gt;""),Input!$B$34&amp;";",""),IF(AND($G44&lt;Hta_15,$G44&gt;=Hba_15,Input!Y$35&lt;&gt;""),Input!$B$35&amp;";",""),IF(AND($G44&lt;Hta_16,$G44&gt;=Hba_16,Input!Y$36&lt;&gt;""),Input!$B$36&amp;";",""),IF(AND($G44&lt;Hta_17,$G44&gt;=Hba_17,Input!Y$37&lt;&gt;""),Input!$B$37&amp;";",""),IF(AND($G44&lt;Hta_18,$G44&gt;=Hba_18,Input!Y$38&lt;&gt;""),Input!$B$38&amp;";",""),IF(AND($G44&lt;Hta_19,$G44&gt;=Hba_19,Input!Y$39&lt;&gt;""),Input!$B$39&amp;";",""),IF(AND($G44&lt;Hta_20,$G44&gt;=Hba_20,Input!Y$40&lt;&gt;""),Input!$B$40&amp;";",""),IF(AND($G44&lt;Hta_21,$G44&gt;=Hba_21,Input!Y$41&lt;&gt;""),Input!$B$41&amp;";",""),IF(AND($G44&lt;Hta_22,$G44&gt;=Hba_22,Input!Y$42&lt;&gt;""),Input!$B$42&amp;";",""),IF(AND($G44&lt;Hta_23,$G44&gt;=Hba_23,Input!Y$43&lt;&gt;""),Input!$B$43&amp;";",""),IF(AND($G44&lt;Hta_24,$G44&gt;=Hba_24,Input!Y$44&lt;&gt;""),Input!$B$44&amp;";",""),IF(AND($G44&lt;Hta_25,$G44&gt;=Hba_25,Input!Y$45&lt;&gt;""),Input!$B$45&amp;";",""),IF(AND($G44&lt;Hta_26,$G44&gt;=Hba_26,Input!Y$46&lt;&gt;""),Input!$B$46&amp;";",""),IF(AND($G44&lt;Hta_27,$G44&gt;=Hba_27,Input!Y$47&lt;&gt;""),Input!$B$47&amp;";",""),IF(AND($G44&lt;Hta_28,$G44&gt;=Hba_28,Input!Y$48&lt;&gt;""),Input!$B$48&amp;";",""),IF(AND($G44&lt;Hta_29,$G44&gt;=Hba_29,Input!Y$49&lt;&gt;""),Input!$B$49&amp;";",""),IF(AND($G44&lt;Hta_30,$G44&gt;=Hba_30,Input!Y$50&lt;&gt;""),Input!$B$50&amp;";","")),"")</f>
        <v/>
      </c>
      <c r="CA44" s="25" t="str">
        <f>IFERROR(CONCATENATE(IF(AND($G44&lt;Hta_1,$G44&gt;=Hba_1,Input!Z$21&lt;&gt;""),Input!$B$21&amp;";",""),IF(AND($G44&lt;Hta_2,$G44&gt;=Hba_2,Input!Z$22&lt;&gt;""),Input!$B$22&amp;";",""),IF(AND($G44&lt;Hta_3,$G44&gt;=Hba_3,Input!Z$23&lt;&gt;""),Input!$B$23&amp;";",""),IF(AND($G44&lt;Hta_4,$G44&gt;=Hba_4,Input!Z$24&lt;&gt;""),Input!$B$24&amp;";",""),IF(AND($G44&lt;Hta_5,$G44&gt;=Hba_5,Input!Z$25&lt;&gt;""),Input!$B$25&amp;";",""),IF(AND($G44&lt;Hta_6,$G44&gt;=Hba_6,Input!Z$26&lt;&gt;""),Input!$B$26&amp;";",""),IF(AND($G44&lt;Hta_7,$G44&gt;=Hba_7,Input!Z$27&lt;&gt;""),Input!$B$27&amp;";",""),IF(AND($G44&lt;Hta_8,$G44&gt;=Hba_8,Input!Z$28&lt;&gt;""),Input!$B$28&amp;";",""),IF(AND($G44&lt;Hta_9,$G44&gt;=Hba_9,Input!Z$29&lt;&gt;""),Input!$B$29&amp;";",""),IF(AND($G44&lt;Hta_10,$G44&gt;=Hba_10,Input!Z$30&lt;&gt;""),Input!$B$30&amp;";",""),IF(AND($G44&lt;Hta_11,$G44&gt;=Hba_11,Input!Z$31&lt;&gt;""),Input!$B$31&amp;";",""),IF(AND($G44&lt;Hta_12,$G44&gt;=Hba_12,Input!Z$32&lt;&gt;""),Input!$B$32&amp;";",""),IF(AND($G44&lt;Hta_13,$G44&gt;=Hba_13,Input!Z$33&lt;&gt;""),Input!$B$33&amp;";",""),IF(AND($G44&lt;Hta_14,$G44&gt;=Hba_14,Input!Z$34&lt;&gt;""),Input!$B$34&amp;";",""),IF(AND($G44&lt;Hta_15,$G44&gt;=Hba_15,Input!Z$35&lt;&gt;""),Input!$B$35&amp;";",""),IF(AND($G44&lt;Hta_16,$G44&gt;=Hba_16,Input!Z$36&lt;&gt;""),Input!$B$36&amp;";",""),IF(AND($G44&lt;Hta_17,$G44&gt;=Hba_17,Input!Z$37&lt;&gt;""),Input!$B$37&amp;";",""),IF(AND($G44&lt;Hta_18,$G44&gt;=Hba_18,Input!Z$38&lt;&gt;""),Input!$B$38&amp;";",""),IF(AND($G44&lt;Hta_19,$G44&gt;=Hba_19,Input!Z$39&lt;&gt;""),Input!$B$39&amp;";",""),IF(AND($G44&lt;Hta_20,$G44&gt;=Hba_20,Input!Z$40&lt;&gt;""),Input!$B$40&amp;";",""),IF(AND($G44&lt;Hta_21,$G44&gt;=Hba_21,Input!Z$41&lt;&gt;""),Input!$B$41&amp;";",""),IF(AND($G44&lt;Hta_22,$G44&gt;=Hba_22,Input!Z$42&lt;&gt;""),Input!$B$42&amp;";",""),IF(AND($G44&lt;Hta_23,$G44&gt;=Hba_23,Input!Z$43&lt;&gt;""),Input!$B$43&amp;";",""),IF(AND($G44&lt;Hta_24,$G44&gt;=Hba_24,Input!Z$44&lt;&gt;""),Input!$B$44&amp;";",""),IF(AND($G44&lt;Hta_25,$G44&gt;=Hba_25,Input!Z$45&lt;&gt;""),Input!$B$45&amp;";",""),IF(AND($G44&lt;Hta_26,$G44&gt;=Hba_26,Input!Z$46&lt;&gt;""),Input!$B$46&amp;";",""),IF(AND($G44&lt;Hta_27,$G44&gt;=Hba_27,Input!Z$47&lt;&gt;""),Input!$B$47&amp;";",""),IF(AND($G44&lt;Hta_28,$G44&gt;=Hba_28,Input!Z$48&lt;&gt;""),Input!$B$48&amp;";",""),IF(AND($G44&lt;Hta_29,$G44&gt;=Hba_29,Input!Z$49&lt;&gt;""),Input!$B$49&amp;";",""),IF(AND($G44&lt;Hta_30,$G44&gt;=Hba_30,Input!Z$50&lt;&gt;""),Input!$B$50&amp;";","")),"")</f>
        <v/>
      </c>
      <c r="CB44" s="25" t="str">
        <f>IFERROR(CONCATENATE(IF(AND($G44&lt;Hta_1,$G44&gt;=Hba_1,Input!AA$21&lt;&gt;""),Input!$B$21&amp;";",""),IF(AND($G44&lt;Hta_2,$G44&gt;=Hba_2,Input!AA$22&lt;&gt;""),Input!$B$22&amp;";",""),IF(AND($G44&lt;Hta_3,$G44&gt;=Hba_3,Input!AA$23&lt;&gt;""),Input!$B$23&amp;";",""),IF(AND($G44&lt;Hta_4,$G44&gt;=Hba_4,Input!AA$24&lt;&gt;""),Input!$B$24&amp;";",""),IF(AND($G44&lt;Hta_5,$G44&gt;=Hba_5,Input!AA$25&lt;&gt;""),Input!$B$25&amp;";",""),IF(AND($G44&lt;Hta_6,$G44&gt;=Hba_6,Input!AA$26&lt;&gt;""),Input!$B$26&amp;";",""),IF(AND($G44&lt;Hta_7,$G44&gt;=Hba_7,Input!AA$27&lt;&gt;""),Input!$B$27&amp;";",""),IF(AND($G44&lt;Hta_8,$G44&gt;=Hba_8,Input!AA$28&lt;&gt;""),Input!$B$28&amp;";",""),IF(AND($G44&lt;Hta_9,$G44&gt;=Hba_9,Input!AA$29&lt;&gt;""),Input!$B$29&amp;";",""),IF(AND($G44&lt;Hta_10,$G44&gt;=Hba_10,Input!AA$30&lt;&gt;""),Input!$B$30&amp;";",""),IF(AND($G44&lt;Hta_11,$G44&gt;=Hba_11,Input!AA$31&lt;&gt;""),Input!$B$31&amp;";",""),IF(AND($G44&lt;Hta_12,$G44&gt;=Hba_12,Input!AA$32&lt;&gt;""),Input!$B$32&amp;";",""),IF(AND($G44&lt;Hta_13,$G44&gt;=Hba_13,Input!AA$33&lt;&gt;""),Input!$B$33&amp;";",""),IF(AND($G44&lt;Hta_14,$G44&gt;=Hba_14,Input!AA$34&lt;&gt;""),Input!$B$34&amp;";",""),IF(AND($G44&lt;Hta_15,$G44&gt;=Hba_15,Input!AA$35&lt;&gt;""),Input!$B$35&amp;";",""),IF(AND($G44&lt;Hta_16,$G44&gt;=Hba_16,Input!AA$36&lt;&gt;""),Input!$B$36&amp;";",""),IF(AND($G44&lt;Hta_17,$G44&gt;=Hba_17,Input!AA$37&lt;&gt;""),Input!$B$37&amp;";",""),IF(AND($G44&lt;Hta_18,$G44&gt;=Hba_18,Input!AA$38&lt;&gt;""),Input!$B$38&amp;";",""),IF(AND($G44&lt;Hta_19,$G44&gt;=Hba_19,Input!AA$39&lt;&gt;""),Input!$B$39&amp;";",""),IF(AND($G44&lt;Hta_20,$G44&gt;=Hba_20,Input!AA$40&lt;&gt;""),Input!$B$40&amp;";",""),IF(AND($G44&lt;Hta_21,$G44&gt;=Hba_21,Input!AA$41&lt;&gt;""),Input!$B$41&amp;";",""),IF(AND($G44&lt;Hta_22,$G44&gt;=Hba_22,Input!AA$42&lt;&gt;""),Input!$B$42&amp;";",""),IF(AND($G44&lt;Hta_23,$G44&gt;=Hba_23,Input!AA$43&lt;&gt;""),Input!$B$43&amp;";",""),IF(AND($G44&lt;Hta_24,$G44&gt;=Hba_24,Input!AA$44&lt;&gt;""),Input!$B$44&amp;";",""),IF(AND($G44&lt;Hta_25,$G44&gt;=Hba_25,Input!AA$45&lt;&gt;""),Input!$B$45&amp;";",""),IF(AND($G44&lt;Hta_26,$G44&gt;=Hba_26,Input!AA$46&lt;&gt;""),Input!$B$46&amp;";",""),IF(AND($G44&lt;Hta_27,$G44&gt;=Hba_27,Input!AA$47&lt;&gt;""),Input!$B$47&amp;";",""),IF(AND($G44&lt;Hta_28,$G44&gt;=Hba_28,Input!AA$48&lt;&gt;""),Input!$B$48&amp;";",""),IF(AND($G44&lt;Hta_29,$G44&gt;=Hba_29,Input!AA$49&lt;&gt;""),Input!$B$49&amp;";",""),IF(AND($G44&lt;Hta_30,$G44&gt;=Hba_30,Input!AA$50&lt;&gt;""),Input!$B$50&amp;";","")),"")</f>
        <v/>
      </c>
      <c r="CC44" s="25" t="str">
        <f>IFERROR(CONCATENATE(IF(AND($G44&lt;Hta_1,$G44&gt;=Hba_1,Input!AB$21&lt;&gt;""),Input!$B$21&amp;";",""),IF(AND($G44&lt;Hta_2,$G44&gt;=Hba_2,Input!AB$22&lt;&gt;""),Input!$B$22&amp;";",""),IF(AND($G44&lt;Hta_3,$G44&gt;=Hba_3,Input!AB$23&lt;&gt;""),Input!$B$23&amp;";",""),IF(AND($G44&lt;Hta_4,$G44&gt;=Hba_4,Input!AB$24&lt;&gt;""),Input!$B$24&amp;";",""),IF(AND($G44&lt;Hta_5,$G44&gt;=Hba_5,Input!AB$25&lt;&gt;""),Input!$B$25&amp;";",""),IF(AND($G44&lt;Hta_6,$G44&gt;=Hba_6,Input!AB$26&lt;&gt;""),Input!$B$26&amp;";",""),IF(AND($G44&lt;Hta_7,$G44&gt;=Hba_7,Input!AB$27&lt;&gt;""),Input!$B$27&amp;";",""),IF(AND($G44&lt;Hta_8,$G44&gt;=Hba_8,Input!AB$28&lt;&gt;""),Input!$B$28&amp;";",""),IF(AND($G44&lt;Hta_9,$G44&gt;=Hba_9,Input!AB$29&lt;&gt;""),Input!$B$29&amp;";",""),IF(AND($G44&lt;Hta_10,$G44&gt;=Hba_10,Input!AB$30&lt;&gt;""),Input!$B$30&amp;";",""),IF(AND($G44&lt;Hta_11,$G44&gt;=Hba_11,Input!AB$31&lt;&gt;""),Input!$B$31&amp;";",""),IF(AND($G44&lt;Hta_12,$G44&gt;=Hba_12,Input!AB$32&lt;&gt;""),Input!$B$32&amp;";",""),IF(AND($G44&lt;Hta_13,$G44&gt;=Hba_13,Input!AB$33&lt;&gt;""),Input!$B$33&amp;";",""),IF(AND($G44&lt;Hta_14,$G44&gt;=Hba_14,Input!AB$34&lt;&gt;""),Input!$B$34&amp;";",""),IF(AND($G44&lt;Hta_15,$G44&gt;=Hba_15,Input!AB$35&lt;&gt;""),Input!$B$35&amp;";",""),IF(AND($G44&lt;Hta_16,$G44&gt;=Hba_16,Input!AB$36&lt;&gt;""),Input!$B$36&amp;";",""),IF(AND($G44&lt;Hta_17,$G44&gt;=Hba_17,Input!AB$37&lt;&gt;""),Input!$B$37&amp;";",""),IF(AND($G44&lt;Hta_18,$G44&gt;=Hba_18,Input!AB$38&lt;&gt;""),Input!$B$38&amp;";",""),IF(AND($G44&lt;Hta_19,$G44&gt;=Hba_19,Input!AB$39&lt;&gt;""),Input!$B$39&amp;";",""),IF(AND($G44&lt;Hta_20,$G44&gt;=Hba_20,Input!AB$40&lt;&gt;""),Input!$B$40&amp;";",""),IF(AND($G44&lt;Hta_21,$G44&gt;=Hba_21,Input!AB$41&lt;&gt;""),Input!$B$41&amp;";",""),IF(AND($G44&lt;Hta_22,$G44&gt;=Hba_22,Input!AB$42&lt;&gt;""),Input!$B$42&amp;";",""),IF(AND($G44&lt;Hta_23,$G44&gt;=Hba_23,Input!AB$43&lt;&gt;""),Input!$B$43&amp;";",""),IF(AND($G44&lt;Hta_24,$G44&gt;=Hba_24,Input!AB$44&lt;&gt;""),Input!$B$44&amp;";",""),IF(AND($G44&lt;Hta_25,$G44&gt;=Hba_25,Input!AB$45&lt;&gt;""),Input!$B$45&amp;";",""),IF(AND($G44&lt;Hta_26,$G44&gt;=Hba_26,Input!AB$46&lt;&gt;""),Input!$B$46&amp;";",""),IF(AND($G44&lt;Hta_27,$G44&gt;=Hba_27,Input!AB$47&lt;&gt;""),Input!$B$47&amp;";",""),IF(AND($G44&lt;Hta_28,$G44&gt;=Hba_28,Input!AB$48&lt;&gt;""),Input!$B$48&amp;";",""),IF(AND($G44&lt;Hta_29,$G44&gt;=Hba_29,Input!AB$49&lt;&gt;""),Input!$B$49&amp;";",""),IF(AND($G44&lt;Hta_30,$G44&gt;=Hba_30,Input!AB$50&lt;&gt;""),Input!$B$50&amp;";","")),"")</f>
        <v/>
      </c>
      <c r="CD44" s="25" t="str">
        <f>IFERROR(CONCATENATE(IF(AND($G44&lt;Hta_1,$G44&gt;=Hba_1,Input!AC$21&lt;&gt;""),Input!$B$21&amp;";",""),IF(AND($G44&lt;Hta_2,$G44&gt;=Hba_2,Input!AC$22&lt;&gt;""),Input!$B$22&amp;";",""),IF(AND($G44&lt;Hta_3,$G44&gt;=Hba_3,Input!AC$23&lt;&gt;""),Input!$B$23&amp;";",""),IF(AND($G44&lt;Hta_4,$G44&gt;=Hba_4,Input!AC$24&lt;&gt;""),Input!$B$24&amp;";",""),IF(AND($G44&lt;Hta_5,$G44&gt;=Hba_5,Input!AC$25&lt;&gt;""),Input!$B$25&amp;";",""),IF(AND($G44&lt;Hta_6,$G44&gt;=Hba_6,Input!AC$26&lt;&gt;""),Input!$B$26&amp;";",""),IF(AND($G44&lt;Hta_7,$G44&gt;=Hba_7,Input!AC$27&lt;&gt;""),Input!$B$27&amp;";",""),IF(AND($G44&lt;Hta_8,$G44&gt;=Hba_8,Input!AC$28&lt;&gt;""),Input!$B$28&amp;";",""),IF(AND($G44&lt;Hta_9,$G44&gt;=Hba_9,Input!AC$29&lt;&gt;""),Input!$B$29&amp;";",""),IF(AND($G44&lt;Hta_10,$G44&gt;=Hba_10,Input!AC$30&lt;&gt;""),Input!$B$30&amp;";",""),IF(AND($G44&lt;Hta_11,$G44&gt;=Hba_11,Input!AC$31&lt;&gt;""),Input!$B$31&amp;";",""),IF(AND($G44&lt;Hta_12,$G44&gt;=Hba_12,Input!AC$32&lt;&gt;""),Input!$B$32&amp;";",""),IF(AND($G44&lt;Hta_13,$G44&gt;=Hba_13,Input!AC$33&lt;&gt;""),Input!$B$33&amp;";",""),IF(AND($G44&lt;Hta_14,$G44&gt;=Hba_14,Input!AC$34&lt;&gt;""),Input!$B$34&amp;";",""),IF(AND($G44&lt;Hta_15,$G44&gt;=Hba_15,Input!AC$35&lt;&gt;""),Input!$B$35&amp;";",""),IF(AND($G44&lt;Hta_16,$G44&gt;=Hba_16,Input!AC$36&lt;&gt;""),Input!$B$36&amp;";",""),IF(AND($G44&lt;Hta_17,$G44&gt;=Hba_17,Input!AC$37&lt;&gt;""),Input!$B$37&amp;";",""),IF(AND($G44&lt;Hta_18,$G44&gt;=Hba_18,Input!AC$38&lt;&gt;""),Input!$B$38&amp;";",""),IF(AND($G44&lt;Hta_19,$G44&gt;=Hba_19,Input!AC$39&lt;&gt;""),Input!$B$39&amp;";",""),IF(AND($G44&lt;Hta_20,$G44&gt;=Hba_20,Input!AC$40&lt;&gt;""),Input!$B$40&amp;";",""),IF(AND($G44&lt;Hta_21,$G44&gt;=Hba_21,Input!AC$41&lt;&gt;""),Input!$B$41&amp;";",""),IF(AND($G44&lt;Hta_22,$G44&gt;=Hba_22,Input!AC$42&lt;&gt;""),Input!$B$42&amp;";",""),IF(AND($G44&lt;Hta_23,$G44&gt;=Hba_23,Input!AC$43&lt;&gt;""),Input!$B$43&amp;";",""),IF(AND($G44&lt;Hta_24,$G44&gt;=Hba_24,Input!AC$44&lt;&gt;""),Input!$B$44&amp;";",""),IF(AND($G44&lt;Hta_25,$G44&gt;=Hba_25,Input!AC$45&lt;&gt;""),Input!$B$45&amp;";",""),IF(AND($G44&lt;Hta_26,$G44&gt;=Hba_26,Input!AC$46&lt;&gt;""),Input!$B$46&amp;";",""),IF(AND($G44&lt;Hta_27,$G44&gt;=Hba_27,Input!AC$47&lt;&gt;""),Input!$B$47&amp;";",""),IF(AND($G44&lt;Hta_28,$G44&gt;=Hba_28,Input!AC$48&lt;&gt;""),Input!$B$48&amp;";",""),IF(AND($G44&lt;Hta_29,$G44&gt;=Hba_29,Input!AC$49&lt;&gt;""),Input!$B$49&amp;";",""),IF(AND($G44&lt;Hta_30,$G44&gt;=Hba_30,Input!AC$50&lt;&gt;""),Input!$B$50&amp;";","")),"")</f>
        <v/>
      </c>
      <c r="CE44" s="25" t="str">
        <f>IFERROR(CONCATENATE(IF(AND($G44&lt;Hta_1,$G44&gt;=Hba_1,Input!AD$21&lt;&gt;""),Input!$B$21&amp;";",""),IF(AND($G44&lt;Hta_2,$G44&gt;=Hba_2,Input!AD$22&lt;&gt;""),Input!$B$22&amp;";",""),IF(AND($G44&lt;Hta_3,$G44&gt;=Hba_3,Input!AD$23&lt;&gt;""),Input!$B$23&amp;";",""),IF(AND($G44&lt;Hta_4,$G44&gt;=Hba_4,Input!AD$24&lt;&gt;""),Input!$B$24&amp;";",""),IF(AND($G44&lt;Hta_5,$G44&gt;=Hba_5,Input!AD$25&lt;&gt;""),Input!$B$25&amp;";",""),IF(AND($G44&lt;Hta_6,$G44&gt;=Hba_6,Input!AD$26&lt;&gt;""),Input!$B$26&amp;";",""),IF(AND($G44&lt;Hta_7,$G44&gt;=Hba_7,Input!AD$27&lt;&gt;""),Input!$B$27&amp;";",""),IF(AND($G44&lt;Hta_8,$G44&gt;=Hba_8,Input!AD$28&lt;&gt;""),Input!$B$28&amp;";",""),IF(AND($G44&lt;Hta_9,$G44&gt;=Hba_9,Input!AD$29&lt;&gt;""),Input!$B$29&amp;";",""),IF(AND($G44&lt;Hta_10,$G44&gt;=Hba_10,Input!AD$30&lt;&gt;""),Input!$B$30&amp;";",""),IF(AND($G44&lt;Hta_11,$G44&gt;=Hba_11,Input!AD$31&lt;&gt;""),Input!$B$31&amp;";",""),IF(AND($G44&lt;Hta_12,$G44&gt;=Hba_12,Input!AD$32&lt;&gt;""),Input!$B$32&amp;";",""),IF(AND($G44&lt;Hta_13,$G44&gt;=Hba_13,Input!AD$33&lt;&gt;""),Input!$B$33&amp;";",""),IF(AND($G44&lt;Hta_14,$G44&gt;=Hba_14,Input!AD$34&lt;&gt;""),Input!$B$34&amp;";",""),IF(AND($G44&lt;Hta_15,$G44&gt;=Hba_15,Input!AD$35&lt;&gt;""),Input!$B$35&amp;";",""),IF(AND($G44&lt;Hta_16,$G44&gt;=Hba_16,Input!AD$36&lt;&gt;""),Input!$B$36&amp;";",""),IF(AND($G44&lt;Hta_17,$G44&gt;=Hba_17,Input!AD$37&lt;&gt;""),Input!$B$37&amp;";",""),IF(AND($G44&lt;Hta_18,$G44&gt;=Hba_18,Input!AD$38&lt;&gt;""),Input!$B$38&amp;";",""),IF(AND($G44&lt;Hta_19,$G44&gt;=Hba_19,Input!AD$39&lt;&gt;""),Input!$B$39&amp;";",""),IF(AND($G44&lt;Hta_20,$G44&gt;=Hba_20,Input!AD$40&lt;&gt;""),Input!$B$40&amp;";",""),IF(AND($G44&lt;Hta_21,$G44&gt;=Hba_21,Input!AD$41&lt;&gt;""),Input!$B$41&amp;";",""),IF(AND($G44&lt;Hta_22,$G44&gt;=Hba_22,Input!AD$42&lt;&gt;""),Input!$B$42&amp;";",""),IF(AND($G44&lt;Hta_23,$G44&gt;=Hba_23,Input!AD$43&lt;&gt;""),Input!$B$43&amp;";",""),IF(AND($G44&lt;Hta_24,$G44&gt;=Hba_24,Input!AD$44&lt;&gt;""),Input!$B$44&amp;";",""),IF(AND($G44&lt;Hta_25,$G44&gt;=Hba_25,Input!AD$45&lt;&gt;""),Input!$B$45&amp;";",""),IF(AND($G44&lt;Hta_26,$G44&gt;=Hba_26,Input!AD$46&lt;&gt;""),Input!$B$46&amp;";",""),IF(AND($G44&lt;Hta_27,$G44&gt;=Hba_27,Input!AD$47&lt;&gt;""),Input!$B$47&amp;";",""),IF(AND($G44&lt;Hta_28,$G44&gt;=Hba_28,Input!AD$48&lt;&gt;""),Input!$B$48&amp;";",""),IF(AND($G44&lt;Hta_29,$G44&gt;=Hba_29,Input!AD$49&lt;&gt;""),Input!$B$49&amp;";",""),IF(AND($G44&lt;Hta_30,$G44&gt;=Hba_30,Input!AD$50&lt;&gt;""),Input!$B$50&amp;";","")),"")</f>
        <v/>
      </c>
      <c r="CF44" s="25" t="str">
        <f>IFERROR(CONCATENATE(IF(AND($G44&lt;Hta_1,$G44&gt;=Hba_1,Input!AE$21&lt;&gt;""),Input!$B$21&amp;";",""),IF(AND($G44&lt;Hta_2,$G44&gt;=Hba_2,Input!AE$22&lt;&gt;""),Input!$B$22&amp;";",""),IF(AND($G44&lt;Hta_3,$G44&gt;=Hba_3,Input!AE$23&lt;&gt;""),Input!$B$23&amp;";",""),IF(AND($G44&lt;Hta_4,$G44&gt;=Hba_4,Input!AE$24&lt;&gt;""),Input!$B$24&amp;";",""),IF(AND($G44&lt;Hta_5,$G44&gt;=Hba_5,Input!AE$25&lt;&gt;""),Input!$B$25&amp;";",""),IF(AND($G44&lt;Hta_6,$G44&gt;=Hba_6,Input!AE$26&lt;&gt;""),Input!$B$26&amp;";",""),IF(AND($G44&lt;Hta_7,$G44&gt;=Hba_7,Input!AE$27&lt;&gt;""),Input!$B$27&amp;";",""),IF(AND($G44&lt;Hta_8,$G44&gt;=Hba_8,Input!AE$28&lt;&gt;""),Input!$B$28&amp;";",""),IF(AND($G44&lt;Hta_9,$G44&gt;=Hba_9,Input!AE$29&lt;&gt;""),Input!$B$29&amp;";",""),IF(AND($G44&lt;Hta_10,$G44&gt;=Hba_10,Input!AE$30&lt;&gt;""),Input!$B$30&amp;";",""),IF(AND($G44&lt;Hta_11,$G44&gt;=Hba_11,Input!AE$31&lt;&gt;""),Input!$B$31&amp;";",""),IF(AND($G44&lt;Hta_12,$G44&gt;=Hba_12,Input!AE$32&lt;&gt;""),Input!$B$32&amp;";",""),IF(AND($G44&lt;Hta_13,$G44&gt;=Hba_13,Input!AE$33&lt;&gt;""),Input!$B$33&amp;";",""),IF(AND($G44&lt;Hta_14,$G44&gt;=Hba_14,Input!AE$34&lt;&gt;""),Input!$B$34&amp;";",""),IF(AND($G44&lt;Hta_15,$G44&gt;=Hba_15,Input!AE$35&lt;&gt;""),Input!$B$35&amp;";",""),IF(AND($G44&lt;Hta_16,$G44&gt;=Hba_16,Input!AE$36&lt;&gt;""),Input!$B$36&amp;";",""),IF(AND($G44&lt;Hta_17,$G44&gt;=Hba_17,Input!AE$37&lt;&gt;""),Input!$B$37&amp;";",""),IF(AND($G44&lt;Hta_18,$G44&gt;=Hba_18,Input!AE$38&lt;&gt;""),Input!$B$38&amp;";",""),IF(AND($G44&lt;Hta_19,$G44&gt;=Hba_19,Input!AE$39&lt;&gt;""),Input!$B$39&amp;";",""),IF(AND($G44&lt;Hta_20,$G44&gt;=Hba_20,Input!AE$40&lt;&gt;""),Input!$B$40&amp;";",""),IF(AND($G44&lt;Hta_21,$G44&gt;=Hba_21,Input!AE$41&lt;&gt;""),Input!$B$41&amp;";",""),IF(AND($G44&lt;Hta_22,$G44&gt;=Hba_22,Input!AE$42&lt;&gt;""),Input!$B$42&amp;";",""),IF(AND($G44&lt;Hta_23,$G44&gt;=Hba_23,Input!AE$43&lt;&gt;""),Input!$B$43&amp;";",""),IF(AND($G44&lt;Hta_24,$G44&gt;=Hba_24,Input!AE$44&lt;&gt;""),Input!$B$44&amp;";",""),IF(AND($G44&lt;Hta_25,$G44&gt;=Hba_25,Input!AE$45&lt;&gt;""),Input!$B$45&amp;";",""),IF(AND($G44&lt;Hta_26,$G44&gt;=Hba_26,Input!AE$46&lt;&gt;""),Input!$B$46&amp;";",""),IF(AND($G44&lt;Hta_27,$G44&gt;=Hba_27,Input!AE$47&lt;&gt;""),Input!$B$47&amp;";",""),IF(AND($G44&lt;Hta_28,$G44&gt;=Hba_28,Input!AE$48&lt;&gt;""),Input!$B$48&amp;";",""),IF(AND($G44&lt;Hta_29,$G44&gt;=Hba_29,Input!AE$49&lt;&gt;""),Input!$B$49&amp;";",""),IF(AND($G44&lt;Hta_30,$G44&gt;=Hba_30,Input!AE$50&lt;&gt;""),Input!$B$50&amp;";","")),"")</f>
        <v/>
      </c>
      <c r="CG44" s="25" t="str">
        <f>IFERROR(CONCATENATE(IF(AND($G44&lt;Hta_1,$G44&gt;=Hba_1,Input!AF$21&lt;&gt;""),Input!$B$21&amp;";",""),IF(AND($G44&lt;Hta_2,$G44&gt;=Hba_2,Input!AF$22&lt;&gt;""),Input!$B$22&amp;";",""),IF(AND($G44&lt;Hta_3,$G44&gt;=Hba_3,Input!AF$23&lt;&gt;""),Input!$B$23&amp;";",""),IF(AND($G44&lt;Hta_4,$G44&gt;=Hba_4,Input!AF$24&lt;&gt;""),Input!$B$24&amp;";",""),IF(AND($G44&lt;Hta_5,$G44&gt;=Hba_5,Input!AF$25&lt;&gt;""),Input!$B$25&amp;";",""),IF(AND($G44&lt;Hta_6,$G44&gt;=Hba_6,Input!AF$26&lt;&gt;""),Input!$B$26&amp;";",""),IF(AND($G44&lt;Hta_7,$G44&gt;=Hba_7,Input!AF$27&lt;&gt;""),Input!$B$27&amp;";",""),IF(AND($G44&lt;Hta_8,$G44&gt;=Hba_8,Input!AF$28&lt;&gt;""),Input!$B$28&amp;";",""),IF(AND($G44&lt;Hta_9,$G44&gt;=Hba_9,Input!AF$29&lt;&gt;""),Input!$B$29&amp;";",""),IF(AND($G44&lt;Hta_10,$G44&gt;=Hba_10,Input!AF$30&lt;&gt;""),Input!$B$30&amp;";",""),IF(AND($G44&lt;Hta_11,$G44&gt;=Hba_11,Input!AF$31&lt;&gt;""),Input!$B$31&amp;";",""),IF(AND($G44&lt;Hta_12,$G44&gt;=Hba_12,Input!AF$32&lt;&gt;""),Input!$B$32&amp;";",""),IF(AND($G44&lt;Hta_13,$G44&gt;=Hba_13,Input!AF$33&lt;&gt;""),Input!$B$33&amp;";",""),IF(AND($G44&lt;Hta_14,$G44&gt;=Hba_14,Input!AF$34&lt;&gt;""),Input!$B$34&amp;";",""),IF(AND($G44&lt;Hta_15,$G44&gt;=Hba_15,Input!AF$35&lt;&gt;""),Input!$B$35&amp;";",""),IF(AND($G44&lt;Hta_16,$G44&gt;=Hba_16,Input!AF$36&lt;&gt;""),Input!$B$36&amp;";",""),IF(AND($G44&lt;Hta_17,$G44&gt;=Hba_17,Input!AF$37&lt;&gt;""),Input!$B$37&amp;";",""),IF(AND($G44&lt;Hta_18,$G44&gt;=Hba_18,Input!AF$38&lt;&gt;""),Input!$B$38&amp;";",""),IF(AND($G44&lt;Hta_19,$G44&gt;=Hba_19,Input!AF$39&lt;&gt;""),Input!$B$39&amp;";",""),IF(AND($G44&lt;Hta_20,$G44&gt;=Hba_20,Input!AF$40&lt;&gt;""),Input!$B$40&amp;";",""),IF(AND($G44&lt;Hta_21,$G44&gt;=Hba_21,Input!AF$41&lt;&gt;""),Input!$B$41&amp;";",""),IF(AND($G44&lt;Hta_22,$G44&gt;=Hba_22,Input!AF$42&lt;&gt;""),Input!$B$42&amp;";",""),IF(AND($G44&lt;Hta_23,$G44&gt;=Hba_23,Input!AF$43&lt;&gt;""),Input!$B$43&amp;";",""),IF(AND($G44&lt;Hta_24,$G44&gt;=Hba_24,Input!AF$44&lt;&gt;""),Input!$B$44&amp;";",""),IF(AND($G44&lt;Hta_25,$G44&gt;=Hba_25,Input!AF$45&lt;&gt;""),Input!$B$45&amp;";",""),IF(AND($G44&lt;Hta_26,$G44&gt;=Hba_26,Input!AF$46&lt;&gt;""),Input!$B$46&amp;";",""),IF(AND($G44&lt;Hta_27,$G44&gt;=Hba_27,Input!AF$47&lt;&gt;""),Input!$B$47&amp;";",""),IF(AND($G44&lt;Hta_28,$G44&gt;=Hba_28,Input!AF$48&lt;&gt;""),Input!$B$48&amp;";",""),IF(AND($G44&lt;Hta_29,$G44&gt;=Hba_29,Input!AF$49&lt;&gt;""),Input!$B$49&amp;";",""),IF(AND($G44&lt;Hta_30,$G44&gt;=Hba_30,Input!AF$50&lt;&gt;""),Input!$B$50&amp;";","")),"")</f>
        <v/>
      </c>
      <c r="CH44" s="25" t="str">
        <f>IFERROR(CONCATENATE(IF(AND($G44&lt;Hta_1,$G44&gt;=Hba_1,Input!AG$21&lt;&gt;""),Input!$B$21&amp;";",""),IF(AND($G44&lt;Hta_2,$G44&gt;=Hba_2,Input!AG$22&lt;&gt;""),Input!$B$22&amp;";",""),IF(AND($G44&lt;Hta_3,$G44&gt;=Hba_3,Input!AG$23&lt;&gt;""),Input!$B$23&amp;";",""),IF(AND($G44&lt;Hta_4,$G44&gt;=Hba_4,Input!AG$24&lt;&gt;""),Input!$B$24&amp;";",""),IF(AND($G44&lt;Hta_5,$G44&gt;=Hba_5,Input!AG$25&lt;&gt;""),Input!$B$25&amp;";",""),IF(AND($G44&lt;Hta_6,$G44&gt;=Hba_6,Input!AG$26&lt;&gt;""),Input!$B$26&amp;";",""),IF(AND($G44&lt;Hta_7,$G44&gt;=Hba_7,Input!AG$27&lt;&gt;""),Input!$B$27&amp;";",""),IF(AND($G44&lt;Hta_8,$G44&gt;=Hba_8,Input!AG$28&lt;&gt;""),Input!$B$28&amp;";",""),IF(AND($G44&lt;Hta_9,$G44&gt;=Hba_9,Input!AG$29&lt;&gt;""),Input!$B$29&amp;";",""),IF(AND($G44&lt;Hta_10,$G44&gt;=Hba_10,Input!AG$30&lt;&gt;""),Input!$B$30&amp;";",""),IF(AND($G44&lt;Hta_11,$G44&gt;=Hba_11,Input!AG$31&lt;&gt;""),Input!$B$31&amp;";",""),IF(AND($G44&lt;Hta_12,$G44&gt;=Hba_12,Input!AG$32&lt;&gt;""),Input!$B$32&amp;";",""),IF(AND($G44&lt;Hta_13,$G44&gt;=Hba_13,Input!AG$33&lt;&gt;""),Input!$B$33&amp;";",""),IF(AND($G44&lt;Hta_14,$G44&gt;=Hba_14,Input!AG$34&lt;&gt;""),Input!$B$34&amp;";",""),IF(AND($G44&lt;Hta_15,$G44&gt;=Hba_15,Input!AG$35&lt;&gt;""),Input!$B$35&amp;";",""),IF(AND($G44&lt;Hta_16,$G44&gt;=Hba_16,Input!AG$36&lt;&gt;""),Input!$B$36&amp;";",""),IF(AND($G44&lt;Hta_17,$G44&gt;=Hba_17,Input!AG$37&lt;&gt;""),Input!$B$37&amp;";",""),IF(AND($G44&lt;Hta_18,$G44&gt;=Hba_18,Input!AG$38&lt;&gt;""),Input!$B$38&amp;";",""),IF(AND($G44&lt;Hta_19,$G44&gt;=Hba_19,Input!AG$39&lt;&gt;""),Input!$B$39&amp;";",""),IF(AND($G44&lt;Hta_20,$G44&gt;=Hba_20,Input!AG$40&lt;&gt;""),Input!$B$40&amp;";",""),IF(AND($G44&lt;Hta_21,$G44&gt;=Hba_21,Input!AG$41&lt;&gt;""),Input!$B$41&amp;";",""),IF(AND($G44&lt;Hta_22,$G44&gt;=Hba_22,Input!AG$42&lt;&gt;""),Input!$B$42&amp;";",""),IF(AND($G44&lt;Hta_23,$G44&gt;=Hba_23,Input!AG$43&lt;&gt;""),Input!$B$43&amp;";",""),IF(AND($G44&lt;Hta_24,$G44&gt;=Hba_24,Input!AG$44&lt;&gt;""),Input!$B$44&amp;";",""),IF(AND($G44&lt;Hta_25,$G44&gt;=Hba_25,Input!AG$45&lt;&gt;""),Input!$B$45&amp;";",""),IF(AND($G44&lt;Hta_26,$G44&gt;=Hba_26,Input!AG$46&lt;&gt;""),Input!$B$46&amp;";",""),IF(AND($G44&lt;Hta_27,$G44&gt;=Hba_27,Input!AG$47&lt;&gt;""),Input!$B$47&amp;";",""),IF(AND($G44&lt;Hta_28,$G44&gt;=Hba_28,Input!AG$48&lt;&gt;""),Input!$B$48&amp;";",""),IF(AND($G44&lt;Hta_29,$G44&gt;=Hba_29,Input!AG$49&lt;&gt;""),Input!$B$49&amp;";",""),IF(AND($G44&lt;Hta_30,$G44&gt;=Hba_30,Input!AG$50&lt;&gt;""),Input!$B$50&amp;";","")),"")</f>
        <v/>
      </c>
      <c r="CI44" s="25" t="str">
        <f>IFERROR(CONCATENATE(IF(AND($G44&lt;Hta_1,$G44&gt;=Hba_1,Input!AH$21&lt;&gt;""),Input!$B$21&amp;";",""),IF(AND($G44&lt;Hta_2,$G44&gt;=Hba_2,Input!AH$22&lt;&gt;""),Input!$B$22&amp;";",""),IF(AND($G44&lt;Hta_3,$G44&gt;=Hba_3,Input!AH$23&lt;&gt;""),Input!$B$23&amp;";",""),IF(AND($G44&lt;Hta_4,$G44&gt;=Hba_4,Input!AH$24&lt;&gt;""),Input!$B$24&amp;";",""),IF(AND($G44&lt;Hta_5,$G44&gt;=Hba_5,Input!AH$25&lt;&gt;""),Input!$B$25&amp;";",""),IF(AND($G44&lt;Hta_6,$G44&gt;=Hba_6,Input!AH$26&lt;&gt;""),Input!$B$26&amp;";",""),IF(AND($G44&lt;Hta_7,$G44&gt;=Hba_7,Input!AH$27&lt;&gt;""),Input!$B$27&amp;";",""),IF(AND($G44&lt;Hta_8,$G44&gt;=Hba_8,Input!AH$28&lt;&gt;""),Input!$B$28&amp;";",""),IF(AND($G44&lt;Hta_9,$G44&gt;=Hba_9,Input!AH$29&lt;&gt;""),Input!$B$29&amp;";",""),IF(AND($G44&lt;Hta_10,$G44&gt;=Hba_10,Input!AH$30&lt;&gt;""),Input!$B$30&amp;";",""),IF(AND($G44&lt;Hta_11,$G44&gt;=Hba_11,Input!AH$31&lt;&gt;""),Input!$B$31&amp;";",""),IF(AND($G44&lt;Hta_12,$G44&gt;=Hba_12,Input!AH$32&lt;&gt;""),Input!$B$32&amp;";",""),IF(AND($G44&lt;Hta_13,$G44&gt;=Hba_13,Input!AH$33&lt;&gt;""),Input!$B$33&amp;";",""),IF(AND($G44&lt;Hta_14,$G44&gt;=Hba_14,Input!AH$34&lt;&gt;""),Input!$B$34&amp;";",""),IF(AND($G44&lt;Hta_15,$G44&gt;=Hba_15,Input!AH$35&lt;&gt;""),Input!$B$35&amp;";",""),IF(AND($G44&lt;Hta_16,$G44&gt;=Hba_16,Input!AH$36&lt;&gt;""),Input!$B$36&amp;";",""),IF(AND($G44&lt;Hta_17,$G44&gt;=Hba_17,Input!AH$37&lt;&gt;""),Input!$B$37&amp;";",""),IF(AND($G44&lt;Hta_18,$G44&gt;=Hba_18,Input!AH$38&lt;&gt;""),Input!$B$38&amp;";",""),IF(AND($G44&lt;Hta_19,$G44&gt;=Hba_19,Input!AH$39&lt;&gt;""),Input!$B$39&amp;";",""),IF(AND($G44&lt;Hta_20,$G44&gt;=Hba_20,Input!AH$40&lt;&gt;""),Input!$B$40&amp;";",""),IF(AND($G44&lt;Hta_21,$G44&gt;=Hba_21,Input!AH$41&lt;&gt;""),Input!$B$41&amp;";",""),IF(AND($G44&lt;Hta_22,$G44&gt;=Hba_22,Input!AH$42&lt;&gt;""),Input!$B$42&amp;";",""),IF(AND($G44&lt;Hta_23,$G44&gt;=Hba_23,Input!AH$43&lt;&gt;""),Input!$B$43&amp;";",""),IF(AND($G44&lt;Hta_24,$G44&gt;=Hba_24,Input!AH$44&lt;&gt;""),Input!$B$44&amp;";",""),IF(AND($G44&lt;Hta_25,$G44&gt;=Hba_25,Input!AH$45&lt;&gt;""),Input!$B$45&amp;";",""),IF(AND($G44&lt;Hta_26,$G44&gt;=Hba_26,Input!AH$46&lt;&gt;""),Input!$B$46&amp;";",""),IF(AND($G44&lt;Hta_27,$G44&gt;=Hba_27,Input!AH$47&lt;&gt;""),Input!$B$47&amp;";",""),IF(AND($G44&lt;Hta_28,$G44&gt;=Hba_28,Input!AH$48&lt;&gt;""),Input!$B$48&amp;";",""),IF(AND($G44&lt;Hta_29,$G44&gt;=Hba_29,Input!AH$49&lt;&gt;""),Input!$B$49&amp;";",""),IF(AND($G44&lt;Hta_30,$G44&gt;=Hba_30,Input!AH$50&lt;&gt;""),Input!$B$50&amp;";","")),"")</f>
        <v/>
      </c>
      <c r="CJ44" s="25" t="str">
        <f>IFERROR(CONCATENATE(IF(AND($G44&lt;Hta_1,$G44&gt;=Hba_1,Input!AI$21&lt;&gt;""),Input!$B$21&amp;";",""),IF(AND($G44&lt;Hta_2,$G44&gt;=Hba_2,Input!AI$22&lt;&gt;""),Input!$B$22&amp;";",""),IF(AND($G44&lt;Hta_3,$G44&gt;=Hba_3,Input!AI$23&lt;&gt;""),Input!$B$23&amp;";",""),IF(AND($G44&lt;Hta_4,$G44&gt;=Hba_4,Input!AI$24&lt;&gt;""),Input!$B$24&amp;";",""),IF(AND($G44&lt;Hta_5,$G44&gt;=Hba_5,Input!AI$25&lt;&gt;""),Input!$B$25&amp;";",""),IF(AND($G44&lt;Hta_6,$G44&gt;=Hba_6,Input!AI$26&lt;&gt;""),Input!$B$26&amp;";",""),IF(AND($G44&lt;Hta_7,$G44&gt;=Hba_7,Input!AI$27&lt;&gt;""),Input!$B$27&amp;";",""),IF(AND($G44&lt;Hta_8,$G44&gt;=Hba_8,Input!AI$28&lt;&gt;""),Input!$B$28&amp;";",""),IF(AND($G44&lt;Hta_9,$G44&gt;=Hba_9,Input!AI$29&lt;&gt;""),Input!$B$29&amp;";",""),IF(AND($G44&lt;Hta_10,$G44&gt;=Hba_10,Input!AI$30&lt;&gt;""),Input!$B$30&amp;";",""),IF(AND($G44&lt;Hta_11,$G44&gt;=Hba_11,Input!AI$31&lt;&gt;""),Input!$B$31&amp;";",""),IF(AND($G44&lt;Hta_12,$G44&gt;=Hba_12,Input!AI$32&lt;&gt;""),Input!$B$32&amp;";",""),IF(AND($G44&lt;Hta_13,$G44&gt;=Hba_13,Input!AI$33&lt;&gt;""),Input!$B$33&amp;";",""),IF(AND($G44&lt;Hta_14,$G44&gt;=Hba_14,Input!AI$34&lt;&gt;""),Input!$B$34&amp;";",""),IF(AND($G44&lt;Hta_15,$G44&gt;=Hba_15,Input!AI$35&lt;&gt;""),Input!$B$35&amp;";",""),IF(AND($G44&lt;Hta_16,$G44&gt;=Hba_16,Input!AI$36&lt;&gt;""),Input!$B$36&amp;";",""),IF(AND($G44&lt;Hta_17,$G44&gt;=Hba_17,Input!AI$37&lt;&gt;""),Input!$B$37&amp;";",""),IF(AND($G44&lt;Hta_18,$G44&gt;=Hba_18,Input!AI$38&lt;&gt;""),Input!$B$38&amp;";",""),IF(AND($G44&lt;Hta_19,$G44&gt;=Hba_19,Input!AI$39&lt;&gt;""),Input!$B$39&amp;";",""),IF(AND($G44&lt;Hta_20,$G44&gt;=Hba_20,Input!AI$40&lt;&gt;""),Input!$B$40&amp;";",""),IF(AND($G44&lt;Hta_21,$G44&gt;=Hba_21,Input!AI$41&lt;&gt;""),Input!$B$41&amp;";",""),IF(AND($G44&lt;Hta_22,$G44&gt;=Hba_22,Input!AI$42&lt;&gt;""),Input!$B$42&amp;";",""),IF(AND($G44&lt;Hta_23,$G44&gt;=Hba_23,Input!AI$43&lt;&gt;""),Input!$B$43&amp;";",""),IF(AND($G44&lt;Hta_24,$G44&gt;=Hba_24,Input!AI$44&lt;&gt;""),Input!$B$44&amp;";",""),IF(AND($G44&lt;Hta_25,$G44&gt;=Hba_25,Input!AI$45&lt;&gt;""),Input!$B$45&amp;";",""),IF(AND($G44&lt;Hta_26,$G44&gt;=Hba_26,Input!AI$46&lt;&gt;""),Input!$B$46&amp;";",""),IF(AND($G44&lt;Hta_27,$G44&gt;=Hba_27,Input!AI$47&lt;&gt;""),Input!$B$47&amp;";",""),IF(AND($G44&lt;Hta_28,$G44&gt;=Hba_28,Input!AI$48&lt;&gt;""),Input!$B$48&amp;";",""),IF(AND($G44&lt;Hta_29,$G44&gt;=Hba_29,Input!AI$49&lt;&gt;""),Input!$B$49&amp;";",""),IF(AND($G44&lt;Hta_30,$G44&gt;=Hba_30,Input!AI$50&lt;&gt;""),Input!$B$50&amp;";","")),"")</f>
        <v/>
      </c>
      <c r="CK44" s="25" t="str">
        <f>IFERROR(CONCATENATE(IF(AND($G44&lt;Hta_1,$G44&gt;=Hba_1,Input!AJ$21&lt;&gt;""),Input!$B$21&amp;";",""),IF(AND($G44&lt;Hta_2,$G44&gt;=Hba_2,Input!AJ$22&lt;&gt;""),Input!$B$22&amp;";",""),IF(AND($G44&lt;Hta_3,$G44&gt;=Hba_3,Input!AJ$23&lt;&gt;""),Input!$B$23&amp;";",""),IF(AND($G44&lt;Hta_4,$G44&gt;=Hba_4,Input!AJ$24&lt;&gt;""),Input!$B$24&amp;";",""),IF(AND($G44&lt;Hta_5,$G44&gt;=Hba_5,Input!AJ$25&lt;&gt;""),Input!$B$25&amp;";",""),IF(AND($G44&lt;Hta_6,$G44&gt;=Hba_6,Input!AJ$26&lt;&gt;""),Input!$B$26&amp;";",""),IF(AND($G44&lt;Hta_7,$G44&gt;=Hba_7,Input!AJ$27&lt;&gt;""),Input!$B$27&amp;";",""),IF(AND($G44&lt;Hta_8,$G44&gt;=Hba_8,Input!AJ$28&lt;&gt;""),Input!$B$28&amp;";",""),IF(AND($G44&lt;Hta_9,$G44&gt;=Hba_9,Input!AJ$29&lt;&gt;""),Input!$B$29&amp;";",""),IF(AND($G44&lt;Hta_10,$G44&gt;=Hba_10,Input!AJ$30&lt;&gt;""),Input!$B$30&amp;";",""),IF(AND($G44&lt;Hta_11,$G44&gt;=Hba_11,Input!AJ$31&lt;&gt;""),Input!$B$31&amp;";",""),IF(AND($G44&lt;Hta_12,$G44&gt;=Hba_12,Input!AJ$32&lt;&gt;""),Input!$B$32&amp;";",""),IF(AND($G44&lt;Hta_13,$G44&gt;=Hba_13,Input!AJ$33&lt;&gt;""),Input!$B$33&amp;";",""),IF(AND($G44&lt;Hta_14,$G44&gt;=Hba_14,Input!AJ$34&lt;&gt;""),Input!$B$34&amp;";",""),IF(AND($G44&lt;Hta_15,$G44&gt;=Hba_15,Input!AJ$35&lt;&gt;""),Input!$B$35&amp;";",""),IF(AND($G44&lt;Hta_16,$G44&gt;=Hba_16,Input!AJ$36&lt;&gt;""),Input!$B$36&amp;";",""),IF(AND($G44&lt;Hta_17,$G44&gt;=Hba_17,Input!AJ$37&lt;&gt;""),Input!$B$37&amp;";",""),IF(AND($G44&lt;Hta_18,$G44&gt;=Hba_18,Input!AJ$38&lt;&gt;""),Input!$B$38&amp;";",""),IF(AND($G44&lt;Hta_19,$G44&gt;=Hba_19,Input!AJ$39&lt;&gt;""),Input!$B$39&amp;";",""),IF(AND($G44&lt;Hta_20,$G44&gt;=Hba_20,Input!AJ$40&lt;&gt;""),Input!$B$40&amp;";",""),IF(AND($G44&lt;Hta_21,$G44&gt;=Hba_21,Input!AJ$41&lt;&gt;""),Input!$B$41&amp;";",""),IF(AND($G44&lt;Hta_22,$G44&gt;=Hba_22,Input!AJ$42&lt;&gt;""),Input!$B$42&amp;";",""),IF(AND($G44&lt;Hta_23,$G44&gt;=Hba_23,Input!AJ$43&lt;&gt;""),Input!$B$43&amp;";",""),IF(AND($G44&lt;Hta_24,$G44&gt;=Hba_24,Input!AJ$44&lt;&gt;""),Input!$B$44&amp;";",""),IF(AND($G44&lt;Hta_25,$G44&gt;=Hba_25,Input!AJ$45&lt;&gt;""),Input!$B$45&amp;";",""),IF(AND($G44&lt;Hta_26,$G44&gt;=Hba_26,Input!AJ$46&lt;&gt;""),Input!$B$46&amp;";",""),IF(AND($G44&lt;Hta_27,$G44&gt;=Hba_27,Input!AJ$47&lt;&gt;""),Input!$B$47&amp;";",""),IF(AND($G44&lt;Hta_28,$G44&gt;=Hba_28,Input!AJ$48&lt;&gt;""),Input!$B$48&amp;";",""),IF(AND($G44&lt;Hta_29,$G44&gt;=Hba_29,Input!AJ$49&lt;&gt;""),Input!$B$49&amp;";",""),IF(AND($G44&lt;Hta_30,$G44&gt;=Hba_30,Input!AJ$50&lt;&gt;""),Input!$B$50&amp;";","")),"")</f>
        <v/>
      </c>
      <c r="CL44" s="25" t="str">
        <f>IFERROR(CONCATENATE(IF(AND($G44&lt;Hta_1,$G44&gt;=Hba_1,Input!AK$21&lt;&gt;""),Input!$B$21&amp;";",""),IF(AND($G44&lt;Hta_2,$G44&gt;=Hba_2,Input!AK$22&lt;&gt;""),Input!$B$22&amp;";",""),IF(AND($G44&lt;Hta_3,$G44&gt;=Hba_3,Input!AK$23&lt;&gt;""),Input!$B$23&amp;";",""),IF(AND($G44&lt;Hta_4,$G44&gt;=Hba_4,Input!AK$24&lt;&gt;""),Input!$B$24&amp;";",""),IF(AND($G44&lt;Hta_5,$G44&gt;=Hba_5,Input!AK$25&lt;&gt;""),Input!$B$25&amp;";",""),IF(AND($G44&lt;Hta_6,$G44&gt;=Hba_6,Input!AK$26&lt;&gt;""),Input!$B$26&amp;";",""),IF(AND($G44&lt;Hta_7,$G44&gt;=Hba_7,Input!AK$27&lt;&gt;""),Input!$B$27&amp;";",""),IF(AND($G44&lt;Hta_8,$G44&gt;=Hba_8,Input!AK$28&lt;&gt;""),Input!$B$28&amp;";",""),IF(AND($G44&lt;Hta_9,$G44&gt;=Hba_9,Input!AK$29&lt;&gt;""),Input!$B$29&amp;";",""),IF(AND($G44&lt;Hta_10,$G44&gt;=Hba_10,Input!AK$30&lt;&gt;""),Input!$B$30&amp;";",""),IF(AND($G44&lt;Hta_11,$G44&gt;=Hba_11,Input!AK$31&lt;&gt;""),Input!$B$31&amp;";",""),IF(AND($G44&lt;Hta_12,$G44&gt;=Hba_12,Input!AK$32&lt;&gt;""),Input!$B$32&amp;";",""),IF(AND($G44&lt;Hta_13,$G44&gt;=Hba_13,Input!AK$33&lt;&gt;""),Input!$B$33&amp;";",""),IF(AND($G44&lt;Hta_14,$G44&gt;=Hba_14,Input!AK$34&lt;&gt;""),Input!$B$34&amp;";",""),IF(AND($G44&lt;Hta_15,$G44&gt;=Hba_15,Input!AK$35&lt;&gt;""),Input!$B$35&amp;";",""),IF(AND($G44&lt;Hta_16,$G44&gt;=Hba_16,Input!AK$36&lt;&gt;""),Input!$B$36&amp;";",""),IF(AND($G44&lt;Hta_17,$G44&gt;=Hba_17,Input!AK$37&lt;&gt;""),Input!$B$37&amp;";",""),IF(AND($G44&lt;Hta_18,$G44&gt;=Hba_18,Input!AK$38&lt;&gt;""),Input!$B$38&amp;";",""),IF(AND($G44&lt;Hta_19,$G44&gt;=Hba_19,Input!AK$39&lt;&gt;""),Input!$B$39&amp;";",""),IF(AND($G44&lt;Hta_20,$G44&gt;=Hba_20,Input!AK$40&lt;&gt;""),Input!$B$40&amp;";",""),IF(AND($G44&lt;Hta_21,$G44&gt;=Hba_21,Input!AK$41&lt;&gt;""),Input!$B$41&amp;";",""),IF(AND($G44&lt;Hta_22,$G44&gt;=Hba_22,Input!AK$42&lt;&gt;""),Input!$B$42&amp;";",""),IF(AND($G44&lt;Hta_23,$G44&gt;=Hba_23,Input!AK$43&lt;&gt;""),Input!$B$43&amp;";",""),IF(AND($G44&lt;Hta_24,$G44&gt;=Hba_24,Input!AK$44&lt;&gt;""),Input!$B$44&amp;";",""),IF(AND($G44&lt;Hta_25,$G44&gt;=Hba_25,Input!AK$45&lt;&gt;""),Input!$B$45&amp;";",""),IF(AND($G44&lt;Hta_26,$G44&gt;=Hba_26,Input!AK$46&lt;&gt;""),Input!$B$46&amp;";",""),IF(AND($G44&lt;Hta_27,$G44&gt;=Hba_27,Input!AK$47&lt;&gt;""),Input!$B$47&amp;";",""),IF(AND($G44&lt;Hta_28,$G44&gt;=Hba_28,Input!AK$48&lt;&gt;""),Input!$B$48&amp;";",""),IF(AND($G44&lt;Hta_29,$G44&gt;=Hba_29,Input!AK$49&lt;&gt;""),Input!$B$49&amp;";",""),IF(AND($G44&lt;Hta_30,$G44&gt;=Hba_30,Input!AK$50&lt;&gt;""),Input!$B$50&amp;";","")),"")</f>
        <v/>
      </c>
      <c r="CM44" s="25" t="str">
        <f>IFERROR(CONCATENATE(IF(AND($G44&lt;Hta_1,$G44&gt;=Hba_1,Input!AL$21&lt;&gt;""),Input!$B$21&amp;";",""),IF(AND($G44&lt;Hta_2,$G44&gt;=Hba_2,Input!AL$22&lt;&gt;""),Input!$B$22&amp;";",""),IF(AND($G44&lt;Hta_3,$G44&gt;=Hba_3,Input!AL$23&lt;&gt;""),Input!$B$23&amp;";",""),IF(AND($G44&lt;Hta_4,$G44&gt;=Hba_4,Input!AL$24&lt;&gt;""),Input!$B$24&amp;";",""),IF(AND($G44&lt;Hta_5,$G44&gt;=Hba_5,Input!AL$25&lt;&gt;""),Input!$B$25&amp;";",""),IF(AND($G44&lt;Hta_6,$G44&gt;=Hba_6,Input!AL$26&lt;&gt;""),Input!$B$26&amp;";",""),IF(AND($G44&lt;Hta_7,$G44&gt;=Hba_7,Input!AL$27&lt;&gt;""),Input!$B$27&amp;";",""),IF(AND($G44&lt;Hta_8,$G44&gt;=Hba_8,Input!AL$28&lt;&gt;""),Input!$B$28&amp;";",""),IF(AND($G44&lt;Hta_9,$G44&gt;=Hba_9,Input!AL$29&lt;&gt;""),Input!$B$29&amp;";",""),IF(AND($G44&lt;Hta_10,$G44&gt;=Hba_10,Input!AL$30&lt;&gt;""),Input!$B$30&amp;";",""),IF(AND($G44&lt;Hta_11,$G44&gt;=Hba_11,Input!AL$31&lt;&gt;""),Input!$B$31&amp;";",""),IF(AND($G44&lt;Hta_12,$G44&gt;=Hba_12,Input!AL$32&lt;&gt;""),Input!$B$32&amp;";",""),IF(AND($G44&lt;Hta_13,$G44&gt;=Hba_13,Input!AL$33&lt;&gt;""),Input!$B$33&amp;";",""),IF(AND($G44&lt;Hta_14,$G44&gt;=Hba_14,Input!AL$34&lt;&gt;""),Input!$B$34&amp;";",""),IF(AND($G44&lt;Hta_15,$G44&gt;=Hba_15,Input!AL$35&lt;&gt;""),Input!$B$35&amp;";",""),IF(AND($G44&lt;Hta_16,$G44&gt;=Hba_16,Input!AL$36&lt;&gt;""),Input!$B$36&amp;";",""),IF(AND($G44&lt;Hta_17,$G44&gt;=Hba_17,Input!AL$37&lt;&gt;""),Input!$B$37&amp;";",""),IF(AND($G44&lt;Hta_18,$G44&gt;=Hba_18,Input!AL$38&lt;&gt;""),Input!$B$38&amp;";",""),IF(AND($G44&lt;Hta_19,$G44&gt;=Hba_19,Input!AL$39&lt;&gt;""),Input!$B$39&amp;";",""),IF(AND($G44&lt;Hta_20,$G44&gt;=Hba_20,Input!AL$40&lt;&gt;""),Input!$B$40&amp;";",""),IF(AND($G44&lt;Hta_21,$G44&gt;=Hba_21,Input!AL$41&lt;&gt;""),Input!$B$41&amp;";",""),IF(AND($G44&lt;Hta_22,$G44&gt;=Hba_22,Input!AL$42&lt;&gt;""),Input!$B$42&amp;";",""),IF(AND($G44&lt;Hta_23,$G44&gt;=Hba_23,Input!AL$43&lt;&gt;""),Input!$B$43&amp;";",""),IF(AND($G44&lt;Hta_24,$G44&gt;=Hba_24,Input!AL$44&lt;&gt;""),Input!$B$44&amp;";",""),IF(AND($G44&lt;Hta_25,$G44&gt;=Hba_25,Input!AL$45&lt;&gt;""),Input!$B$45&amp;";",""),IF(AND($G44&lt;Hta_26,$G44&gt;=Hba_26,Input!AL$46&lt;&gt;""),Input!$B$46&amp;";",""),IF(AND($G44&lt;Hta_27,$G44&gt;=Hba_27,Input!AL$47&lt;&gt;""),Input!$B$47&amp;";",""),IF(AND($G44&lt;Hta_28,$G44&gt;=Hba_28,Input!AL$48&lt;&gt;""),Input!$B$48&amp;";",""),IF(AND($G44&lt;Hta_29,$G44&gt;=Hba_29,Input!AL$49&lt;&gt;""),Input!$B$49&amp;";",""),IF(AND($G44&lt;Hta_30,$G44&gt;=Hba_30,Input!AL$50&lt;&gt;""),Input!$B$50&amp;";","")),"")</f>
        <v/>
      </c>
      <c r="CN44" s="59" t="str">
        <f t="shared" si="6"/>
        <v/>
      </c>
      <c r="CO44" s="791"/>
      <c r="CP44" s="792"/>
      <c r="CQ44" s="793"/>
      <c r="CR44" s="791"/>
      <c r="CS44" s="792"/>
      <c r="CT44" s="793"/>
      <c r="CU44" s="791" t="str">
        <f t="shared" si="7"/>
        <v/>
      </c>
      <c r="CV44" s="792"/>
      <c r="CW44" s="807"/>
      <c r="CX44" s="808"/>
      <c r="CY44" s="730"/>
      <c r="CZ44" s="809"/>
      <c r="DA44" s="733"/>
      <c r="DB44" s="734"/>
      <c r="DC44" s="735"/>
      <c r="DD44" s="729" t="str">
        <f t="shared" si="8"/>
        <v/>
      </c>
      <c r="DE44" s="730"/>
      <c r="DF44" s="731"/>
      <c r="DG44" s="55"/>
      <c r="DH44" s="56"/>
      <c r="DI44" s="56"/>
      <c r="DJ44" s="56"/>
      <c r="DK44" s="56"/>
      <c r="DL44" s="56"/>
      <c r="DM44" s="56"/>
      <c r="DN44" s="56"/>
      <c r="DO44" s="56"/>
      <c r="DP44" s="56"/>
      <c r="DQ44" s="58"/>
      <c r="DR44" s="58"/>
      <c r="DS44" s="58"/>
      <c r="DT44" s="58"/>
      <c r="DU44" s="58"/>
      <c r="DV44" s="58"/>
      <c r="DW44" s="58"/>
      <c r="DX44" s="58"/>
      <c r="DY44" s="58"/>
      <c r="DZ44" s="58"/>
      <c r="EA44" s="58"/>
      <c r="EB44" s="58"/>
      <c r="EC44" s="58"/>
      <c r="ED44" s="58"/>
      <c r="EE44" s="58"/>
      <c r="EF44" s="58"/>
      <c r="EG44" s="58"/>
      <c r="EH44" s="58"/>
      <c r="EI44" s="58"/>
      <c r="EJ44" s="58"/>
      <c r="EK44" s="58"/>
      <c r="EL44" s="134"/>
      <c r="EM44" s="134"/>
      <c r="EN44" s="134"/>
      <c r="EO44" s="134"/>
      <c r="EP44" s="134"/>
      <c r="EQ44" s="134"/>
      <c r="ER44" s="134"/>
      <c r="ES44" s="134"/>
      <c r="ET44" s="134"/>
      <c r="EU44" s="134"/>
      <c r="EV44" s="134"/>
      <c r="EW44" s="134"/>
      <c r="EX44" s="134"/>
      <c r="EY44" s="134"/>
      <c r="EZ44" s="134"/>
      <c r="FA44" s="134"/>
      <c r="FB44" s="134"/>
      <c r="FC44" s="134"/>
      <c r="FD44" s="134"/>
      <c r="FE44" s="134"/>
      <c r="FF44" s="134"/>
      <c r="FG44" s="134"/>
      <c r="FH44" s="134"/>
      <c r="FI44" s="134"/>
      <c r="FJ44" s="134"/>
      <c r="FK44" s="134"/>
      <c r="FL44" s="134"/>
      <c r="FM44" s="134"/>
      <c r="FN44" s="134"/>
      <c r="FO44" s="134"/>
      <c r="FP44" s="65"/>
      <c r="FQ44" s="124"/>
      <c r="FR44" s="122"/>
      <c r="FS44" s="120"/>
      <c r="FT44" s="119"/>
    </row>
    <row r="45" spans="2:176" ht="15.75" hidden="1" customHeight="1" thickBot="1" x14ac:dyDescent="0.3">
      <c r="B45" s="62" t="b">
        <f>IF(OR(AND(G45&gt;='Geometry 2'!$AK$5,G45&lt;'Geometry 2'!$AL$5),AND(G45&gt;='Geometry 2'!$AK$6,G45&lt;'Geometry 2'!$AL$6),AND(G45&gt;='Geometry 2'!$AK$7,G45&lt;'Geometry 2'!$AL$7),AND(G45&gt;='Geometry 2'!$AK$8,G45&lt;'Geometry 2'!$AL$8),AND(G45&gt;='Geometry 2'!$AK$9,G45&lt;'Geometry 2'!$AL$9),AND(G45&gt;='Geometry 2'!$AK$10,G45&lt;'Geometry 2'!$AL$10),AND(G45&gt;='Geometry 2'!$AK$11,G45&lt;'Geometry 2'!$AL$11),AND(G45&gt;='Geometry 2'!$AK$12,G45&lt;'Geometry 2'!$AL$12),AND(G45&gt;='Geometry 2'!$AK$13,G45&lt;'Geometry 2'!$AL$13),AND(G45&gt;='Geometry 2'!$AK$14,G45&lt;'Geometry 2'!$AL$14)),TRUE,FALSE)</f>
        <v>0</v>
      </c>
      <c r="C45" s="4" t="str">
        <f t="shared" si="3"/>
        <v/>
      </c>
      <c r="D45" s="766" t="str">
        <f t="shared" si="4"/>
        <v/>
      </c>
      <c r="E45" s="767"/>
      <c r="F45" s="17" t="str">
        <f t="shared" si="2"/>
        <v/>
      </c>
      <c r="G45" s="768" t="str">
        <f>IF(D45="","",MAX(0,G44-IF(inc="n/a",999,inc),MAX(IF(G44&lt;=Hta_1,0,Hta_1),IF(G44&lt;=Hta_2,0,Hta_2),IF(G44&lt;=Hta_3,0,Hta_3),IF(G44&lt;=Hta_4,0,Hta_4),IF(G44&lt;=Hta_5,0,Hta_5),IF(G44&lt;=Hta_6,0,Hta_6),IF(G44&lt;=Hta_7,0,Hta_7),IF(G44&lt;=Hta_8,0,Hta_8),IF(G44&lt;=Hta_9,0,Hta_9),IF(G44&lt;=Hta_10,0,Hta_10),IF(G44&lt;=Hta_11,0,Hta_11),IF(G44&lt;=Hta_12,0,Hta_12),IF(G44&lt;=Hta_13,0,Hta_13),IF(G44&lt;=Hta_14,0,Hta_14),IF(G44&lt;=Hta_15,0,Hta_15),IF(G44&lt;=Hta_16,0,Hta_16),IF(G44&lt;=Hta_17,0,Hta_17),IF(G44&lt;=Hta_18,0,Hta_18),IF(G44&lt;=Hta_19,0,Hta_19),IF(G44&lt;=Hta_20,0,Hta_20),IF(G44&lt;=Hta_21,0,Hta_21),IF(G44&lt;=Hta_22,0,Hta_22),IF(G44&lt;=Hta_23,0,Hta_23),IF(G44&lt;=Hta_24,0,Hta_24),IF(G44&lt;=Hta_25,0,Hta_25),IF(G44&lt;=Hta_26,0,Hta_26),IF(G44&lt;=Hta_27,0,Hta_27),IF(G44&lt;=Hta_28,0,Hta_28),IF(G44&lt;=Hta_29,0,Hta_29),IF(G44&lt;=Hta_30,0,Hta_30)),MAX(IF(G44&lt;=Hta_1-0.25,0,Hta_1-0.25),IF(G44&lt;=Hta_2-0.25,0,Hta_2-0.25),IF(G44&lt;=Hta_3-0.25,0,Hta_3-0.25),IF(G44&lt;=Hta_4-0.25,0,Hta_4-0.25),IF(G44&lt;=Hta_5-0.25,0,Hta_5-0.25),IF(G44&lt;=Hta_6-0.25,0,Hta_6-0.25),IF(G44&lt;=Hta_7-0.25,0,Hta_7-0.25),IF(G44&lt;=Hta_8-0.25,0,Hta_8-0.25),IF(G44&lt;=Hta_9-0.25,0,Hta_9-0.25),IF(G44&lt;=Hta_10-0.25,0,Hta_10-0.25),IF(G44&lt;=Hta_11-0.25,0,Hta_11-0.25),IF(G44&lt;=Hta_12-0.25,0,Hta_12-0.25),IF(G44&lt;=Hta_13-0.25,0,Hta_13-0.25),IF(G44&lt;=Hta_14-0.25,0,Hta_14-0.25),IF(G44&lt;=Hta_15-0.25,0,Hta_15-0.25),IF(G44&lt;=Hta_16-0.25,0,Hta_16-0.25),IF(G44&lt;=Hta_17-0.25,0,Hta_17-0.25),IF(G44&lt;=Hta_18-0.25,0,Hta_18-0.25),IF(G44&lt;=Hta_19-0.25,0,Hta_19-0.25),IF(G44&lt;=Hta_20-0.25,0,Hta_20-0.25),IF(G44&lt;=Hta_21-0.25,0,Hta_21-0.25),IF(G44&lt;=Hta_22-0.25,0,Hta_22-0.25),IF(G44&lt;=Hta_23-0.25,0,Hta_23-0.25),IF(G44&lt;=Hta_24-0.25,0,Hta_24-0.25),IF(G44&lt;=Hta_25-0.25,0,Hta_25-0.25),IF(G44&lt;=Hta_26-0.25,0,Hta_26-0.25),IF(G44&lt;=Hta_27-0.25,0,Hta_27-0.25),IF(G44&lt;=Hta_28-0.25,0,Hta_28-0.25),IF(G44&lt;=Hta_29-0.25,0,Hta_29-0.25),IF(G44&lt;=Hta_30-0.25,0,Hta_30-0.25)),MAX(IF(G44&lt;=Hba_1,0,Hba_1),IF(G44&lt;=Hba_2,0,Hba_2),IF(G44&lt;=Hba_3,0,Hba_3),IF(G44&lt;=Hba_4,0,Hba_4),IF(G44&lt;=Hba_5,0,Hba_5),IF(G44&lt;=Hba_6,0,Hba_6),IF(G44&lt;=Hba_7,0,Hba_7),IF(G44&lt;=Hba_8,0,Hba_8),IF(G44&lt;=Hba_9,0,Hba_9),IF(G44&lt;=Hba_10,0,Hba_10),IF(G44&lt;=Hba_11,0,Hba_11),IF(G44&lt;=Hba_12,0,Hba_12),IF(G44&lt;=Hba_13,0,Hba_13),IF(G44&lt;=Hba_14,0,Hba_14),IF(G44&lt;=Hba_15,0,Hba_15),IF(G44&lt;=Hba_16,0,Hba_16),IF(G44&lt;=Hba_17,0,Hba_17),IF(G44&lt;=Hba_18,0,Hba_18),IF(G44&lt;=Hba_19,0,Hba_19),IF(G44&lt;=Hba_20,0,Hba_20),IF(G44&lt;=Hba_21,0,Hba_21),IF(G44&lt;=Hba_22,0,Hba_22),IF(G44&lt;=Hba_23,0,Hba_23),IF(G44&lt;=Hba_24,0,Hba_24),IF(G44&lt;=Hba_25,0,Hba_25),IF(G44&lt;=Hba_26,0,Hba_26),IF(G44&lt;=Hba_27,0,Hba_27),IF(G44&lt;=Hba_28,0,Hba_28),IF(G44&lt;=Hba_29,0,Hba_29),IF(G44&lt;=Hba_30,0,Hba_30)),MAX(IF(G44&lt;=Input!$C$8,0,Input!$C$8),IF(G44&lt;=Input!$C$9,0,Input!$C$9),IF(G44&lt;=Input!$C$10,0,Input!$C$10),IF(G44&lt;=Input!$C$11,0,Input!$C$11),IF(G44&lt;=Input!$C$12,0,Input!$C$12),IF(G44&lt;=Input!$C$13,0,Input!$C$13),IF(G44&lt;=Input!$C$14,0,Input!$C$14),IF(G44&lt;=Input!$C$15,0,Input!$C$15),IF(G44&lt;=Input!$C$16,0,Input!$C$16)),MAX(IF(G44&lt;=Hba_1-0.25,0,Hba_1-0.25),IF(G44&lt;=Hba_2-0.25,0,Hba_2-0.25),IF(G44&lt;=Hba_3-0.25,0,Hba_3-0.25),IF(G44&lt;=Hba_4-0.25,0,Hba_4-0.25),IF(G44&lt;=Hba_5-0.25,0,Hba_5-0.25),IF(G44&lt;=Hba_6-0.25,0,Hba_6-0.25),IF(G44&lt;=Hba_7-0.25,0,Hba_7-0.25),IF(G44&lt;=Hba_8-0.25,0,Hba_8-0.25),IF(G44&lt;=Hba_9-0.25,0,Hba_9-0.25),IF(G44&lt;=Hba_10-0.25,0,Hba_10-0.25),IF(G44&lt;=Hba_11-0.25,0,Hba_11-0.25),IF(G44&lt;=Hba_12-0.25,0,Hba_12-0.25),IF(G44&lt;=Hba_13-0.25,0,Hba_13-0.25),IF(G44&lt;=Hba_14-0.25,0,Hba_14-0.25),IF(G44&lt;=Hba_15-0.25,0,Hba_15-0.25),IF(G44&lt;=Hba_16-0.25,0,Hba_16-0.25),IF(G44&lt;=Hba_17-0.25,0,Hba_17-0.25),IF(G44&lt;=Hba_18-0.25,0,Hba_18-0.25),IF(G44&lt;=Hba_19-0.25,0,Hba_19-0.25),IF(G44&lt;=Hba_20-0.25,0,Hba_20-0.25),IF(G44&lt;=Hba_21-0.25,0,Hba_21-0.25),IF(G44&lt;=Hba_22-0.25,0,Hba_22-0.25),IF(G44&lt;=Hba_23-0.25,0,Hba_23-0.25),IF(G44&lt;=Hba_24-0.25,0,Hba_24-0.25),IF(G44&lt;=Hba_25-0.25,0,Hba_25-0.25),IF(G44&lt;=Hba_26-0.25,0,Hba_26-0.25),IF(G44&lt;=Hba_27-0.25,0,Hba_27-0.25),IF(G44&lt;=Hba_28-0.25,0,Hba_28-0.25),IF(G44&lt;=Hba_29-0.25,0,Hba_29-0.25),IF(G44&lt;=Hba_30-0.25,0,Hba_30-0.25)),IF(G44&lt;='Macro References'!$A$38,0,'Macro References'!$A$38)))</f>
        <v/>
      </c>
      <c r="H45" s="769"/>
      <c r="I45" s="228"/>
      <c r="J45" s="228"/>
      <c r="K45" s="228"/>
      <c r="L45" s="717" t="str">
        <f t="shared" si="10"/>
        <v/>
      </c>
      <c r="M45" s="717"/>
      <c r="N45" s="717"/>
      <c r="O45" s="717"/>
      <c r="P45" s="717" t="str">
        <f>IF(OR(G45=0,G45=""),"",IF(VLOOKUP(G45,'Geometry 2'!$C$4:$AI$14,1,TRUE)=VLOOKUP(G46,'Geometry 2'!$C$4:$AI$14,1,TRUE),"",IF(VLOOKUP(G45,'Geometry 2'!$C$4:$AI$14,33,TRUE)&lt;&gt;"n/a",MIN(G45,VLOOKUP(G45,'Geometry 2'!$C$4:$AI$14,1,TRUE))-VLOOKUP(G45,'Geometry 2'!$C$4:$AI$14,33,TRUE),"check")))</f>
        <v/>
      </c>
      <c r="Q45" s="717"/>
      <c r="R45" s="717"/>
      <c r="S45" s="717"/>
      <c r="T45" s="717" t="str">
        <f>IF($G45="","",VLOOKUP($G45,'Geometry 2'!$E$4:$AH$14,11,TRUE))</f>
        <v/>
      </c>
      <c r="U45" s="717"/>
      <c r="V45" s="717"/>
      <c r="W45" s="717"/>
      <c r="X45" s="716" t="str">
        <f>IF($G45="","",VLOOKUP($G45,'Geometry 2'!$E$4:$AJ$14,19,TRUE)-12*VLOOKUP($G45,'Geometry 2'!$E$4:$AJ$14,32,TRUE)*($D45-VLOOKUP($G45,'Geometry 2'!$E$5:$AH$14,1,TRUE)))</f>
        <v/>
      </c>
      <c r="Y45" s="716"/>
      <c r="Z45" s="716"/>
      <c r="AA45" s="716"/>
      <c r="AB45" s="757" t="str">
        <f>IF($G45="","",VLOOKUP($G45,'Geometry 2'!$E$4:$AJ$14,19,TRUE)-12*VLOOKUP($G45,'Geometry 2'!$E$4:$AJ$14,32,TRUE)*($G45-VLOOKUP($G45,'Geometry 2'!$E$5:$AH$14,1,TRUE)))</f>
        <v/>
      </c>
      <c r="AC45" s="758"/>
      <c r="AD45" s="758"/>
      <c r="AE45" s="759"/>
      <c r="AF45" s="716" t="str">
        <f>IF($G45="","",VLOOKUP($G45,'Geometry 2'!$E$4:$AJ$14,19,TRUE)-12*VLOOKUP($G45,'Geometry 2'!$E$4:$AJ$14,32,TRUE)*($G45-IF($P45="",0,$P45)-VLOOKUP($G45,'Geometry 2'!$E$5:$AH$14,1,TRUE)))</f>
        <v/>
      </c>
      <c r="AG45" s="716"/>
      <c r="AH45" s="716"/>
      <c r="AI45" s="716"/>
      <c r="AJ45" s="746" t="str">
        <f>IF($G45="","",VLOOKUP($G45,'Geometry 2'!$E$4:$AH$14,23,TRUE))</f>
        <v/>
      </c>
      <c r="AK45" s="747"/>
      <c r="AL45" s="747"/>
      <c r="AM45" s="748"/>
      <c r="AN45" s="717"/>
      <c r="AO45" s="717"/>
      <c r="AP45" s="717"/>
      <c r="AQ45" s="717"/>
      <c r="AR45" s="717" t="str">
        <f>IF($G45="","",VLOOKUP($G45,'Geometry 2'!$E$4:$AH$14,27,TRUE))</f>
        <v/>
      </c>
      <c r="AS45" s="717"/>
      <c r="AT45" s="717"/>
      <c r="AU45" s="718"/>
      <c r="AV45" s="715"/>
      <c r="AW45" s="716"/>
      <c r="AX45" s="716"/>
      <c r="AZ45" s="722" t="str">
        <f t="shared" si="5"/>
        <v/>
      </c>
      <c r="BA45" s="723"/>
      <c r="BB45" s="723"/>
      <c r="BC45" s="724"/>
      <c r="BD45" s="722"/>
      <c r="BE45" s="723"/>
      <c r="BF45" s="723"/>
      <c r="BG45" s="722" t="str">
        <f t="shared" si="9"/>
        <v/>
      </c>
      <c r="BH45" s="723"/>
      <c r="BI45" s="723"/>
      <c r="BJ45" s="723"/>
      <c r="BK45" s="724"/>
      <c r="BL45" s="722"/>
      <c r="BM45" s="723"/>
      <c r="BN45" s="723"/>
      <c r="BO45" s="723"/>
      <c r="BP45" s="725"/>
      <c r="BQ45" s="725"/>
      <c r="BR45" s="722" t="str">
        <f>IF(BP45="","",IF(OR(AND(Rev="H",Calculations!$F$27=TRUE),AND(Rev&lt;&gt;"H",Calculations!$F$30=TRUE)),IF(BP45&lt;=1,"Pass","Fail"),IF(BP45&lt;=1.05,"Pass","Fail")))</f>
        <v/>
      </c>
      <c r="BS45" s="723"/>
      <c r="BT45" s="724"/>
      <c r="BU45" s="49"/>
      <c r="BV45" s="25" t="str">
        <f>IFERROR(CONCATENATE(IF(AND($G45&lt;Hta_1,$G45&gt;=Hba_1,Input!U$21&lt;&gt;""),Input!$B$21&amp;";",""),IF(AND($G45&lt;Hta_2,$G45&gt;=Hba_2,Input!U$22&lt;&gt;""),Input!$B$22&amp;";",""),IF(AND($G45&lt;Hta_3,$G45&gt;=Hba_3,Input!U$23&lt;&gt;""),Input!$B$23&amp;";",""),IF(AND($G45&lt;Hta_4,$G45&gt;=Hba_4,Input!U$24&lt;&gt;""),Input!$B$24&amp;";",""),IF(AND($G45&lt;Hta_5,$G45&gt;=Hba_5,Input!U$25&lt;&gt;""),Input!$B$25&amp;";",""),IF(AND($G45&lt;Hta_6,$G45&gt;=Hba_6,Input!U$26&lt;&gt;""),Input!$B$26&amp;";",""),IF(AND($G45&lt;Hta_7,$G45&gt;=Hba_7,Input!U$27&lt;&gt;""),Input!$B$27&amp;";",""),IF(AND($G45&lt;Hta_8,$G45&gt;=Hba_8,Input!U$28&lt;&gt;""),Input!$B$28&amp;";",""),IF(AND($G45&lt;Hta_9,$G45&gt;=Hba_9,Input!U$29&lt;&gt;""),Input!$B$29&amp;";",""),IF(AND($G45&lt;Hta_10,$G45&gt;=Hba_10,Input!U$30&lt;&gt;""),Input!$B$30&amp;";",""),IF(AND($G45&lt;Hta_11,$G45&gt;=Hba_11,Input!U$31&lt;&gt;""),Input!$B$31&amp;";",""),IF(AND($G45&lt;Hta_12,$G45&gt;=Hba_12,Input!U$32&lt;&gt;""),Input!$B$32&amp;";",""),IF(AND($G45&lt;Hta_13,$G45&gt;=Hba_13,Input!U$33&lt;&gt;""),Input!$B$33&amp;";",""),IF(AND($G45&lt;Hta_14,$G45&gt;=Hba_14,Input!U$34&lt;&gt;""),Input!$B$34&amp;";",""),IF(AND($G45&lt;Hta_15,$G45&gt;=Hba_15,Input!U$35&lt;&gt;""),Input!$B$35&amp;";",""),IF(AND($G45&lt;Hta_16,$G45&gt;=Hba_16,Input!U$36&lt;&gt;""),Input!$B$36&amp;";",""),IF(AND($G45&lt;Hta_17,$G45&gt;=Hba_17,Input!U$37&lt;&gt;""),Input!$B$37&amp;";",""),IF(AND($G45&lt;Hta_18,$G45&gt;=Hba_18,Input!U$38&lt;&gt;""),Input!$B$38&amp;";",""),IF(AND($G45&lt;Hta_19,$G45&gt;=Hba_19,Input!U$39&lt;&gt;""),Input!$B$39&amp;";",""),IF(AND($G45&lt;Hta_20,$G45&gt;=Hba_20,Input!U$40&lt;&gt;""),Input!$B$40&amp;";",""),IF(AND($G45&lt;Hta_21,$G45&gt;=Hba_21,Input!U$41&lt;&gt;""),Input!$B$41&amp;";",""),IF(AND($G45&lt;Hta_22,$G45&gt;=Hba_22,Input!U$42&lt;&gt;""),Input!$B$42&amp;";",""),IF(AND($G45&lt;Hta_23,$G45&gt;=Hba_23,Input!U$43&lt;&gt;""),Input!$B$43&amp;";",""),IF(AND($G45&lt;Hta_24,$G45&gt;=Hba_24,Input!U$44&lt;&gt;""),Input!$B$44&amp;";",""),IF(AND($G45&lt;Hta_25,$G45&gt;=Hba_25,Input!U$45&lt;&gt;""),Input!$B$45&amp;";",""),IF(AND($G45&lt;Hta_26,$G45&gt;=Hba_26,Input!U$46&lt;&gt;""),Input!$B$46&amp;";",""),IF(AND($G45&lt;Hta_27,$G45&gt;=Hba_27,Input!U$47&lt;&gt;""),Input!$B$47&amp;";",""),IF(AND($G45&lt;Hta_28,$G45&gt;=Hba_28,Input!U$48&lt;&gt;""),Input!$B$48&amp;";",""),IF(AND($G45&lt;Hta_29,$G45&gt;=Hba_29,Input!U$49&lt;&gt;""),Input!$B$49&amp;";",""),IF(AND($G45&lt;Hta_30,$G45&gt;=Hba_30,Input!U$50&lt;&gt;""),Input!$B$50&amp;";","")),"")</f>
        <v/>
      </c>
      <c r="BW45" s="25" t="str">
        <f>IFERROR(CONCATENATE(IF(AND($G45&lt;Hta_1,$G45&gt;=Hba_1,Input!V$21&lt;&gt;""),Input!$B$21&amp;";",""),IF(AND($G45&lt;Hta_2,$G45&gt;=Hba_2,Input!V$22&lt;&gt;""),Input!$B$22&amp;";",""),IF(AND($G45&lt;Hta_3,$G45&gt;=Hba_3,Input!V$23&lt;&gt;""),Input!$B$23&amp;";",""),IF(AND($G45&lt;Hta_4,$G45&gt;=Hba_4,Input!V$24&lt;&gt;""),Input!$B$24&amp;";",""),IF(AND($G45&lt;Hta_5,$G45&gt;=Hba_5,Input!V$25&lt;&gt;""),Input!$B$25&amp;";",""),IF(AND($G45&lt;Hta_6,$G45&gt;=Hba_6,Input!V$26&lt;&gt;""),Input!$B$26&amp;";",""),IF(AND($G45&lt;Hta_7,$G45&gt;=Hba_7,Input!V$27&lt;&gt;""),Input!$B$27&amp;";",""),IF(AND($G45&lt;Hta_8,$G45&gt;=Hba_8,Input!V$28&lt;&gt;""),Input!$B$28&amp;";",""),IF(AND($G45&lt;Hta_9,$G45&gt;=Hba_9,Input!V$29&lt;&gt;""),Input!$B$29&amp;";",""),IF(AND($G45&lt;Hta_10,$G45&gt;=Hba_10,Input!V$30&lt;&gt;""),Input!$B$30&amp;";",""),IF(AND($G45&lt;Hta_11,$G45&gt;=Hba_11,Input!V$31&lt;&gt;""),Input!$B$31&amp;";",""),IF(AND($G45&lt;Hta_12,$G45&gt;=Hba_12,Input!V$32&lt;&gt;""),Input!$B$32&amp;";",""),IF(AND($G45&lt;Hta_13,$G45&gt;=Hba_13,Input!V$33&lt;&gt;""),Input!$B$33&amp;";",""),IF(AND($G45&lt;Hta_14,$G45&gt;=Hba_14,Input!V$34&lt;&gt;""),Input!$B$34&amp;";",""),IF(AND($G45&lt;Hta_15,$G45&gt;=Hba_15,Input!V$35&lt;&gt;""),Input!$B$35&amp;";",""),IF(AND($G45&lt;Hta_16,$G45&gt;=Hba_16,Input!V$36&lt;&gt;""),Input!$B$36&amp;";",""),IF(AND($G45&lt;Hta_17,$G45&gt;=Hba_17,Input!V$37&lt;&gt;""),Input!$B$37&amp;";",""),IF(AND($G45&lt;Hta_18,$G45&gt;=Hba_18,Input!V$38&lt;&gt;""),Input!$B$38&amp;";",""),IF(AND($G45&lt;Hta_19,$G45&gt;=Hba_19,Input!V$39&lt;&gt;""),Input!$B$39&amp;";",""),IF(AND($G45&lt;Hta_20,$G45&gt;=Hba_20,Input!V$40&lt;&gt;""),Input!$B$40&amp;";",""),IF(AND($G45&lt;Hta_21,$G45&gt;=Hba_21,Input!V$41&lt;&gt;""),Input!$B$41&amp;";",""),IF(AND($G45&lt;Hta_22,$G45&gt;=Hba_22,Input!V$42&lt;&gt;""),Input!$B$42&amp;";",""),IF(AND($G45&lt;Hta_23,$G45&gt;=Hba_23,Input!V$43&lt;&gt;""),Input!$B$43&amp;";",""),IF(AND($G45&lt;Hta_24,$G45&gt;=Hba_24,Input!V$44&lt;&gt;""),Input!$B$44&amp;";",""),IF(AND($G45&lt;Hta_25,$G45&gt;=Hba_25,Input!V$45&lt;&gt;""),Input!$B$45&amp;";",""),IF(AND($G45&lt;Hta_26,$G45&gt;=Hba_26,Input!V$46&lt;&gt;""),Input!$B$46&amp;";",""),IF(AND($G45&lt;Hta_27,$G45&gt;=Hba_27,Input!V$47&lt;&gt;""),Input!$B$47&amp;";",""),IF(AND($G45&lt;Hta_28,$G45&gt;=Hba_28,Input!V$48&lt;&gt;""),Input!$B$48&amp;";",""),IF(AND($G45&lt;Hta_29,$G45&gt;=Hba_29,Input!V$49&lt;&gt;""),Input!$B$49&amp;";",""),IF(AND($G45&lt;Hta_30,$G45&gt;=Hba_30,Input!V$50&lt;&gt;""),Input!$B$50&amp;";","")),"")</f>
        <v/>
      </c>
      <c r="BX45" s="25" t="str">
        <f>IFERROR(CONCATENATE(IF(AND($G45&lt;Hta_1,$G45&gt;=Hba_1,Input!W$21&lt;&gt;""),Input!$B$21&amp;";",""),IF(AND($G45&lt;Hta_2,$G45&gt;=Hba_2,Input!W$22&lt;&gt;""),Input!$B$22&amp;";",""),IF(AND($G45&lt;Hta_3,$G45&gt;=Hba_3,Input!W$23&lt;&gt;""),Input!$B$23&amp;";",""),IF(AND($G45&lt;Hta_4,$G45&gt;=Hba_4,Input!W$24&lt;&gt;""),Input!$B$24&amp;";",""),IF(AND($G45&lt;Hta_5,$G45&gt;=Hba_5,Input!W$25&lt;&gt;""),Input!$B$25&amp;";",""),IF(AND($G45&lt;Hta_6,$G45&gt;=Hba_6,Input!W$26&lt;&gt;""),Input!$B$26&amp;";",""),IF(AND($G45&lt;Hta_7,$G45&gt;=Hba_7,Input!W$27&lt;&gt;""),Input!$B$27&amp;";",""),IF(AND($G45&lt;Hta_8,$G45&gt;=Hba_8,Input!W$28&lt;&gt;""),Input!$B$28&amp;";",""),IF(AND($G45&lt;Hta_9,$G45&gt;=Hba_9,Input!W$29&lt;&gt;""),Input!$B$29&amp;";",""),IF(AND($G45&lt;Hta_10,$G45&gt;=Hba_10,Input!W$30&lt;&gt;""),Input!$B$30&amp;";",""),IF(AND($G45&lt;Hta_11,$G45&gt;=Hba_11,Input!W$31&lt;&gt;""),Input!$B$31&amp;";",""),IF(AND($G45&lt;Hta_12,$G45&gt;=Hba_12,Input!W$32&lt;&gt;""),Input!$B$32&amp;";",""),IF(AND($G45&lt;Hta_13,$G45&gt;=Hba_13,Input!W$33&lt;&gt;""),Input!$B$33&amp;";",""),IF(AND($G45&lt;Hta_14,$G45&gt;=Hba_14,Input!W$34&lt;&gt;""),Input!$B$34&amp;";",""),IF(AND($G45&lt;Hta_15,$G45&gt;=Hba_15,Input!W$35&lt;&gt;""),Input!$B$35&amp;";",""),IF(AND($G45&lt;Hta_16,$G45&gt;=Hba_16,Input!W$36&lt;&gt;""),Input!$B$36&amp;";",""),IF(AND($G45&lt;Hta_17,$G45&gt;=Hba_17,Input!W$37&lt;&gt;""),Input!$B$37&amp;";",""),IF(AND($G45&lt;Hta_18,$G45&gt;=Hba_18,Input!W$38&lt;&gt;""),Input!$B$38&amp;";",""),IF(AND($G45&lt;Hta_19,$G45&gt;=Hba_19,Input!W$39&lt;&gt;""),Input!$B$39&amp;";",""),IF(AND($G45&lt;Hta_20,$G45&gt;=Hba_20,Input!W$40&lt;&gt;""),Input!$B$40&amp;";",""),IF(AND($G45&lt;Hta_21,$G45&gt;=Hba_21,Input!W$41&lt;&gt;""),Input!$B$41&amp;";",""),IF(AND($G45&lt;Hta_22,$G45&gt;=Hba_22,Input!W$42&lt;&gt;""),Input!$B$42&amp;";",""),IF(AND($G45&lt;Hta_23,$G45&gt;=Hba_23,Input!W$43&lt;&gt;""),Input!$B$43&amp;";",""),IF(AND($G45&lt;Hta_24,$G45&gt;=Hba_24,Input!W$44&lt;&gt;""),Input!$B$44&amp;";",""),IF(AND($G45&lt;Hta_25,$G45&gt;=Hba_25,Input!W$45&lt;&gt;""),Input!$B$45&amp;";",""),IF(AND($G45&lt;Hta_26,$G45&gt;=Hba_26,Input!W$46&lt;&gt;""),Input!$B$46&amp;";",""),IF(AND($G45&lt;Hta_27,$G45&gt;=Hba_27,Input!W$47&lt;&gt;""),Input!$B$47&amp;";",""),IF(AND($G45&lt;Hta_28,$G45&gt;=Hba_28,Input!W$48&lt;&gt;""),Input!$B$48&amp;";",""),IF(AND($G45&lt;Hta_29,$G45&gt;=Hba_29,Input!W$49&lt;&gt;""),Input!$B$49&amp;";",""),IF(AND($G45&lt;Hta_30,$G45&gt;=Hba_30,Input!W$50&lt;&gt;""),Input!$B$50&amp;";","")),"")</f>
        <v/>
      </c>
      <c r="BY45" s="25" t="str">
        <f>IFERROR(CONCATENATE(IF(AND($G45&lt;Hta_1,$G45&gt;=Hba_1,Input!X$21&lt;&gt;""),Input!$B$21&amp;";",""),IF(AND($G45&lt;Hta_2,$G45&gt;=Hba_2,Input!X$22&lt;&gt;""),Input!$B$22&amp;";",""),IF(AND($G45&lt;Hta_3,$G45&gt;=Hba_3,Input!X$23&lt;&gt;""),Input!$B$23&amp;";",""),IF(AND($G45&lt;Hta_4,$G45&gt;=Hba_4,Input!X$24&lt;&gt;""),Input!$B$24&amp;";",""),IF(AND($G45&lt;Hta_5,$G45&gt;=Hba_5,Input!X$25&lt;&gt;""),Input!$B$25&amp;";",""),IF(AND($G45&lt;Hta_6,$G45&gt;=Hba_6,Input!X$26&lt;&gt;""),Input!$B$26&amp;";",""),IF(AND($G45&lt;Hta_7,$G45&gt;=Hba_7,Input!X$27&lt;&gt;""),Input!$B$27&amp;";",""),IF(AND($G45&lt;Hta_8,$G45&gt;=Hba_8,Input!X$28&lt;&gt;""),Input!$B$28&amp;";",""),IF(AND($G45&lt;Hta_9,$G45&gt;=Hba_9,Input!X$29&lt;&gt;""),Input!$B$29&amp;";",""),IF(AND($G45&lt;Hta_10,$G45&gt;=Hba_10,Input!X$30&lt;&gt;""),Input!$B$30&amp;";",""),IF(AND($G45&lt;Hta_11,$G45&gt;=Hba_11,Input!X$31&lt;&gt;""),Input!$B$31&amp;";",""),IF(AND($G45&lt;Hta_12,$G45&gt;=Hba_12,Input!X$32&lt;&gt;""),Input!$B$32&amp;";",""),IF(AND($G45&lt;Hta_13,$G45&gt;=Hba_13,Input!X$33&lt;&gt;""),Input!$B$33&amp;";",""),IF(AND($G45&lt;Hta_14,$G45&gt;=Hba_14,Input!X$34&lt;&gt;""),Input!$B$34&amp;";",""),IF(AND($G45&lt;Hta_15,$G45&gt;=Hba_15,Input!X$35&lt;&gt;""),Input!$B$35&amp;";",""),IF(AND($G45&lt;Hta_16,$G45&gt;=Hba_16,Input!X$36&lt;&gt;""),Input!$B$36&amp;";",""),IF(AND($G45&lt;Hta_17,$G45&gt;=Hba_17,Input!X$37&lt;&gt;""),Input!$B$37&amp;";",""),IF(AND($G45&lt;Hta_18,$G45&gt;=Hba_18,Input!X$38&lt;&gt;""),Input!$B$38&amp;";",""),IF(AND($G45&lt;Hta_19,$G45&gt;=Hba_19,Input!X$39&lt;&gt;""),Input!$B$39&amp;";",""),IF(AND($G45&lt;Hta_20,$G45&gt;=Hba_20,Input!X$40&lt;&gt;""),Input!$B$40&amp;";",""),IF(AND($G45&lt;Hta_21,$G45&gt;=Hba_21,Input!X$41&lt;&gt;""),Input!$B$41&amp;";",""),IF(AND($G45&lt;Hta_22,$G45&gt;=Hba_22,Input!X$42&lt;&gt;""),Input!$B$42&amp;";",""),IF(AND($G45&lt;Hta_23,$G45&gt;=Hba_23,Input!X$43&lt;&gt;""),Input!$B$43&amp;";",""),IF(AND($G45&lt;Hta_24,$G45&gt;=Hba_24,Input!X$44&lt;&gt;""),Input!$B$44&amp;";",""),IF(AND($G45&lt;Hta_25,$G45&gt;=Hba_25,Input!X$45&lt;&gt;""),Input!$B$45&amp;";",""),IF(AND($G45&lt;Hta_26,$G45&gt;=Hba_26,Input!X$46&lt;&gt;""),Input!$B$46&amp;";",""),IF(AND($G45&lt;Hta_27,$G45&gt;=Hba_27,Input!X$47&lt;&gt;""),Input!$B$47&amp;";",""),IF(AND($G45&lt;Hta_28,$G45&gt;=Hba_28,Input!X$48&lt;&gt;""),Input!$B$48&amp;";",""),IF(AND($G45&lt;Hta_29,$G45&gt;=Hba_29,Input!X$49&lt;&gt;""),Input!$B$49&amp;";",""),IF(AND($G45&lt;Hta_30,$G45&gt;=Hba_30,Input!X$50&lt;&gt;""),Input!$B$50&amp;";","")),"")</f>
        <v/>
      </c>
      <c r="BZ45" s="25" t="str">
        <f>IFERROR(CONCATENATE(IF(AND($G45&lt;Hta_1,$G45&gt;=Hba_1,Input!Y$21&lt;&gt;""),Input!$B$21&amp;";",""),IF(AND($G45&lt;Hta_2,$G45&gt;=Hba_2,Input!Y$22&lt;&gt;""),Input!$B$22&amp;";",""),IF(AND($G45&lt;Hta_3,$G45&gt;=Hba_3,Input!Y$23&lt;&gt;""),Input!$B$23&amp;";",""),IF(AND($G45&lt;Hta_4,$G45&gt;=Hba_4,Input!Y$24&lt;&gt;""),Input!$B$24&amp;";",""),IF(AND($G45&lt;Hta_5,$G45&gt;=Hba_5,Input!Y$25&lt;&gt;""),Input!$B$25&amp;";",""),IF(AND($G45&lt;Hta_6,$G45&gt;=Hba_6,Input!Y$26&lt;&gt;""),Input!$B$26&amp;";",""),IF(AND($G45&lt;Hta_7,$G45&gt;=Hba_7,Input!Y$27&lt;&gt;""),Input!$B$27&amp;";",""),IF(AND($G45&lt;Hta_8,$G45&gt;=Hba_8,Input!Y$28&lt;&gt;""),Input!$B$28&amp;";",""),IF(AND($G45&lt;Hta_9,$G45&gt;=Hba_9,Input!Y$29&lt;&gt;""),Input!$B$29&amp;";",""),IF(AND($G45&lt;Hta_10,$G45&gt;=Hba_10,Input!Y$30&lt;&gt;""),Input!$B$30&amp;";",""),IF(AND($G45&lt;Hta_11,$G45&gt;=Hba_11,Input!Y$31&lt;&gt;""),Input!$B$31&amp;";",""),IF(AND($G45&lt;Hta_12,$G45&gt;=Hba_12,Input!Y$32&lt;&gt;""),Input!$B$32&amp;";",""),IF(AND($G45&lt;Hta_13,$G45&gt;=Hba_13,Input!Y$33&lt;&gt;""),Input!$B$33&amp;";",""),IF(AND($G45&lt;Hta_14,$G45&gt;=Hba_14,Input!Y$34&lt;&gt;""),Input!$B$34&amp;";",""),IF(AND($G45&lt;Hta_15,$G45&gt;=Hba_15,Input!Y$35&lt;&gt;""),Input!$B$35&amp;";",""),IF(AND($G45&lt;Hta_16,$G45&gt;=Hba_16,Input!Y$36&lt;&gt;""),Input!$B$36&amp;";",""),IF(AND($G45&lt;Hta_17,$G45&gt;=Hba_17,Input!Y$37&lt;&gt;""),Input!$B$37&amp;";",""),IF(AND($G45&lt;Hta_18,$G45&gt;=Hba_18,Input!Y$38&lt;&gt;""),Input!$B$38&amp;";",""),IF(AND($G45&lt;Hta_19,$G45&gt;=Hba_19,Input!Y$39&lt;&gt;""),Input!$B$39&amp;";",""),IF(AND($G45&lt;Hta_20,$G45&gt;=Hba_20,Input!Y$40&lt;&gt;""),Input!$B$40&amp;";",""),IF(AND($G45&lt;Hta_21,$G45&gt;=Hba_21,Input!Y$41&lt;&gt;""),Input!$B$41&amp;";",""),IF(AND($G45&lt;Hta_22,$G45&gt;=Hba_22,Input!Y$42&lt;&gt;""),Input!$B$42&amp;";",""),IF(AND($G45&lt;Hta_23,$G45&gt;=Hba_23,Input!Y$43&lt;&gt;""),Input!$B$43&amp;";",""),IF(AND($G45&lt;Hta_24,$G45&gt;=Hba_24,Input!Y$44&lt;&gt;""),Input!$B$44&amp;";",""),IF(AND($G45&lt;Hta_25,$G45&gt;=Hba_25,Input!Y$45&lt;&gt;""),Input!$B$45&amp;";",""),IF(AND($G45&lt;Hta_26,$G45&gt;=Hba_26,Input!Y$46&lt;&gt;""),Input!$B$46&amp;";",""),IF(AND($G45&lt;Hta_27,$G45&gt;=Hba_27,Input!Y$47&lt;&gt;""),Input!$B$47&amp;";",""),IF(AND($G45&lt;Hta_28,$G45&gt;=Hba_28,Input!Y$48&lt;&gt;""),Input!$B$48&amp;";",""),IF(AND($G45&lt;Hta_29,$G45&gt;=Hba_29,Input!Y$49&lt;&gt;""),Input!$B$49&amp;";",""),IF(AND($G45&lt;Hta_30,$G45&gt;=Hba_30,Input!Y$50&lt;&gt;""),Input!$B$50&amp;";","")),"")</f>
        <v/>
      </c>
      <c r="CA45" s="25" t="str">
        <f>IFERROR(CONCATENATE(IF(AND($G45&lt;Hta_1,$G45&gt;=Hba_1,Input!Z$21&lt;&gt;""),Input!$B$21&amp;";",""),IF(AND($G45&lt;Hta_2,$G45&gt;=Hba_2,Input!Z$22&lt;&gt;""),Input!$B$22&amp;";",""),IF(AND($G45&lt;Hta_3,$G45&gt;=Hba_3,Input!Z$23&lt;&gt;""),Input!$B$23&amp;";",""),IF(AND($G45&lt;Hta_4,$G45&gt;=Hba_4,Input!Z$24&lt;&gt;""),Input!$B$24&amp;";",""),IF(AND($G45&lt;Hta_5,$G45&gt;=Hba_5,Input!Z$25&lt;&gt;""),Input!$B$25&amp;";",""),IF(AND($G45&lt;Hta_6,$G45&gt;=Hba_6,Input!Z$26&lt;&gt;""),Input!$B$26&amp;";",""),IF(AND($G45&lt;Hta_7,$G45&gt;=Hba_7,Input!Z$27&lt;&gt;""),Input!$B$27&amp;";",""),IF(AND($G45&lt;Hta_8,$G45&gt;=Hba_8,Input!Z$28&lt;&gt;""),Input!$B$28&amp;";",""),IF(AND($G45&lt;Hta_9,$G45&gt;=Hba_9,Input!Z$29&lt;&gt;""),Input!$B$29&amp;";",""),IF(AND($G45&lt;Hta_10,$G45&gt;=Hba_10,Input!Z$30&lt;&gt;""),Input!$B$30&amp;";",""),IF(AND($G45&lt;Hta_11,$G45&gt;=Hba_11,Input!Z$31&lt;&gt;""),Input!$B$31&amp;";",""),IF(AND($G45&lt;Hta_12,$G45&gt;=Hba_12,Input!Z$32&lt;&gt;""),Input!$B$32&amp;";",""),IF(AND($G45&lt;Hta_13,$G45&gt;=Hba_13,Input!Z$33&lt;&gt;""),Input!$B$33&amp;";",""),IF(AND($G45&lt;Hta_14,$G45&gt;=Hba_14,Input!Z$34&lt;&gt;""),Input!$B$34&amp;";",""),IF(AND($G45&lt;Hta_15,$G45&gt;=Hba_15,Input!Z$35&lt;&gt;""),Input!$B$35&amp;";",""),IF(AND($G45&lt;Hta_16,$G45&gt;=Hba_16,Input!Z$36&lt;&gt;""),Input!$B$36&amp;";",""),IF(AND($G45&lt;Hta_17,$G45&gt;=Hba_17,Input!Z$37&lt;&gt;""),Input!$B$37&amp;";",""),IF(AND($G45&lt;Hta_18,$G45&gt;=Hba_18,Input!Z$38&lt;&gt;""),Input!$B$38&amp;";",""),IF(AND($G45&lt;Hta_19,$G45&gt;=Hba_19,Input!Z$39&lt;&gt;""),Input!$B$39&amp;";",""),IF(AND($G45&lt;Hta_20,$G45&gt;=Hba_20,Input!Z$40&lt;&gt;""),Input!$B$40&amp;";",""),IF(AND($G45&lt;Hta_21,$G45&gt;=Hba_21,Input!Z$41&lt;&gt;""),Input!$B$41&amp;";",""),IF(AND($G45&lt;Hta_22,$G45&gt;=Hba_22,Input!Z$42&lt;&gt;""),Input!$B$42&amp;";",""),IF(AND($G45&lt;Hta_23,$G45&gt;=Hba_23,Input!Z$43&lt;&gt;""),Input!$B$43&amp;";",""),IF(AND($G45&lt;Hta_24,$G45&gt;=Hba_24,Input!Z$44&lt;&gt;""),Input!$B$44&amp;";",""),IF(AND($G45&lt;Hta_25,$G45&gt;=Hba_25,Input!Z$45&lt;&gt;""),Input!$B$45&amp;";",""),IF(AND($G45&lt;Hta_26,$G45&gt;=Hba_26,Input!Z$46&lt;&gt;""),Input!$B$46&amp;";",""),IF(AND($G45&lt;Hta_27,$G45&gt;=Hba_27,Input!Z$47&lt;&gt;""),Input!$B$47&amp;";",""),IF(AND($G45&lt;Hta_28,$G45&gt;=Hba_28,Input!Z$48&lt;&gt;""),Input!$B$48&amp;";",""),IF(AND($G45&lt;Hta_29,$G45&gt;=Hba_29,Input!Z$49&lt;&gt;""),Input!$B$49&amp;";",""),IF(AND($G45&lt;Hta_30,$G45&gt;=Hba_30,Input!Z$50&lt;&gt;""),Input!$B$50&amp;";","")),"")</f>
        <v/>
      </c>
      <c r="CB45" s="25" t="str">
        <f>IFERROR(CONCATENATE(IF(AND($G45&lt;Hta_1,$G45&gt;=Hba_1,Input!AA$21&lt;&gt;""),Input!$B$21&amp;";",""),IF(AND($G45&lt;Hta_2,$G45&gt;=Hba_2,Input!AA$22&lt;&gt;""),Input!$B$22&amp;";",""),IF(AND($G45&lt;Hta_3,$G45&gt;=Hba_3,Input!AA$23&lt;&gt;""),Input!$B$23&amp;";",""),IF(AND($G45&lt;Hta_4,$G45&gt;=Hba_4,Input!AA$24&lt;&gt;""),Input!$B$24&amp;";",""),IF(AND($G45&lt;Hta_5,$G45&gt;=Hba_5,Input!AA$25&lt;&gt;""),Input!$B$25&amp;";",""),IF(AND($G45&lt;Hta_6,$G45&gt;=Hba_6,Input!AA$26&lt;&gt;""),Input!$B$26&amp;";",""),IF(AND($G45&lt;Hta_7,$G45&gt;=Hba_7,Input!AA$27&lt;&gt;""),Input!$B$27&amp;";",""),IF(AND($G45&lt;Hta_8,$G45&gt;=Hba_8,Input!AA$28&lt;&gt;""),Input!$B$28&amp;";",""),IF(AND($G45&lt;Hta_9,$G45&gt;=Hba_9,Input!AA$29&lt;&gt;""),Input!$B$29&amp;";",""),IF(AND($G45&lt;Hta_10,$G45&gt;=Hba_10,Input!AA$30&lt;&gt;""),Input!$B$30&amp;";",""),IF(AND($G45&lt;Hta_11,$G45&gt;=Hba_11,Input!AA$31&lt;&gt;""),Input!$B$31&amp;";",""),IF(AND($G45&lt;Hta_12,$G45&gt;=Hba_12,Input!AA$32&lt;&gt;""),Input!$B$32&amp;";",""),IF(AND($G45&lt;Hta_13,$G45&gt;=Hba_13,Input!AA$33&lt;&gt;""),Input!$B$33&amp;";",""),IF(AND($G45&lt;Hta_14,$G45&gt;=Hba_14,Input!AA$34&lt;&gt;""),Input!$B$34&amp;";",""),IF(AND($G45&lt;Hta_15,$G45&gt;=Hba_15,Input!AA$35&lt;&gt;""),Input!$B$35&amp;";",""),IF(AND($G45&lt;Hta_16,$G45&gt;=Hba_16,Input!AA$36&lt;&gt;""),Input!$B$36&amp;";",""),IF(AND($G45&lt;Hta_17,$G45&gt;=Hba_17,Input!AA$37&lt;&gt;""),Input!$B$37&amp;";",""),IF(AND($G45&lt;Hta_18,$G45&gt;=Hba_18,Input!AA$38&lt;&gt;""),Input!$B$38&amp;";",""),IF(AND($G45&lt;Hta_19,$G45&gt;=Hba_19,Input!AA$39&lt;&gt;""),Input!$B$39&amp;";",""),IF(AND($G45&lt;Hta_20,$G45&gt;=Hba_20,Input!AA$40&lt;&gt;""),Input!$B$40&amp;";",""),IF(AND($G45&lt;Hta_21,$G45&gt;=Hba_21,Input!AA$41&lt;&gt;""),Input!$B$41&amp;";",""),IF(AND($G45&lt;Hta_22,$G45&gt;=Hba_22,Input!AA$42&lt;&gt;""),Input!$B$42&amp;";",""),IF(AND($G45&lt;Hta_23,$G45&gt;=Hba_23,Input!AA$43&lt;&gt;""),Input!$B$43&amp;";",""),IF(AND($G45&lt;Hta_24,$G45&gt;=Hba_24,Input!AA$44&lt;&gt;""),Input!$B$44&amp;";",""),IF(AND($G45&lt;Hta_25,$G45&gt;=Hba_25,Input!AA$45&lt;&gt;""),Input!$B$45&amp;";",""),IF(AND($G45&lt;Hta_26,$G45&gt;=Hba_26,Input!AA$46&lt;&gt;""),Input!$B$46&amp;";",""),IF(AND($G45&lt;Hta_27,$G45&gt;=Hba_27,Input!AA$47&lt;&gt;""),Input!$B$47&amp;";",""),IF(AND($G45&lt;Hta_28,$G45&gt;=Hba_28,Input!AA$48&lt;&gt;""),Input!$B$48&amp;";",""),IF(AND($G45&lt;Hta_29,$G45&gt;=Hba_29,Input!AA$49&lt;&gt;""),Input!$B$49&amp;";",""),IF(AND($G45&lt;Hta_30,$G45&gt;=Hba_30,Input!AA$50&lt;&gt;""),Input!$B$50&amp;";","")),"")</f>
        <v/>
      </c>
      <c r="CC45" s="25" t="str">
        <f>IFERROR(CONCATENATE(IF(AND($G45&lt;Hta_1,$G45&gt;=Hba_1,Input!AB$21&lt;&gt;""),Input!$B$21&amp;";",""),IF(AND($G45&lt;Hta_2,$G45&gt;=Hba_2,Input!AB$22&lt;&gt;""),Input!$B$22&amp;";",""),IF(AND($G45&lt;Hta_3,$G45&gt;=Hba_3,Input!AB$23&lt;&gt;""),Input!$B$23&amp;";",""),IF(AND($G45&lt;Hta_4,$G45&gt;=Hba_4,Input!AB$24&lt;&gt;""),Input!$B$24&amp;";",""),IF(AND($G45&lt;Hta_5,$G45&gt;=Hba_5,Input!AB$25&lt;&gt;""),Input!$B$25&amp;";",""),IF(AND($G45&lt;Hta_6,$G45&gt;=Hba_6,Input!AB$26&lt;&gt;""),Input!$B$26&amp;";",""),IF(AND($G45&lt;Hta_7,$G45&gt;=Hba_7,Input!AB$27&lt;&gt;""),Input!$B$27&amp;";",""),IF(AND($G45&lt;Hta_8,$G45&gt;=Hba_8,Input!AB$28&lt;&gt;""),Input!$B$28&amp;";",""),IF(AND($G45&lt;Hta_9,$G45&gt;=Hba_9,Input!AB$29&lt;&gt;""),Input!$B$29&amp;";",""),IF(AND($G45&lt;Hta_10,$G45&gt;=Hba_10,Input!AB$30&lt;&gt;""),Input!$B$30&amp;";",""),IF(AND($G45&lt;Hta_11,$G45&gt;=Hba_11,Input!AB$31&lt;&gt;""),Input!$B$31&amp;";",""),IF(AND($G45&lt;Hta_12,$G45&gt;=Hba_12,Input!AB$32&lt;&gt;""),Input!$B$32&amp;";",""),IF(AND($G45&lt;Hta_13,$G45&gt;=Hba_13,Input!AB$33&lt;&gt;""),Input!$B$33&amp;";",""),IF(AND($G45&lt;Hta_14,$G45&gt;=Hba_14,Input!AB$34&lt;&gt;""),Input!$B$34&amp;";",""),IF(AND($G45&lt;Hta_15,$G45&gt;=Hba_15,Input!AB$35&lt;&gt;""),Input!$B$35&amp;";",""),IF(AND($G45&lt;Hta_16,$G45&gt;=Hba_16,Input!AB$36&lt;&gt;""),Input!$B$36&amp;";",""),IF(AND($G45&lt;Hta_17,$G45&gt;=Hba_17,Input!AB$37&lt;&gt;""),Input!$B$37&amp;";",""),IF(AND($G45&lt;Hta_18,$G45&gt;=Hba_18,Input!AB$38&lt;&gt;""),Input!$B$38&amp;";",""),IF(AND($G45&lt;Hta_19,$G45&gt;=Hba_19,Input!AB$39&lt;&gt;""),Input!$B$39&amp;";",""),IF(AND($G45&lt;Hta_20,$G45&gt;=Hba_20,Input!AB$40&lt;&gt;""),Input!$B$40&amp;";",""),IF(AND($G45&lt;Hta_21,$G45&gt;=Hba_21,Input!AB$41&lt;&gt;""),Input!$B$41&amp;";",""),IF(AND($G45&lt;Hta_22,$G45&gt;=Hba_22,Input!AB$42&lt;&gt;""),Input!$B$42&amp;";",""),IF(AND($G45&lt;Hta_23,$G45&gt;=Hba_23,Input!AB$43&lt;&gt;""),Input!$B$43&amp;";",""),IF(AND($G45&lt;Hta_24,$G45&gt;=Hba_24,Input!AB$44&lt;&gt;""),Input!$B$44&amp;";",""),IF(AND($G45&lt;Hta_25,$G45&gt;=Hba_25,Input!AB$45&lt;&gt;""),Input!$B$45&amp;";",""),IF(AND($G45&lt;Hta_26,$G45&gt;=Hba_26,Input!AB$46&lt;&gt;""),Input!$B$46&amp;";",""),IF(AND($G45&lt;Hta_27,$G45&gt;=Hba_27,Input!AB$47&lt;&gt;""),Input!$B$47&amp;";",""),IF(AND($G45&lt;Hta_28,$G45&gt;=Hba_28,Input!AB$48&lt;&gt;""),Input!$B$48&amp;";",""),IF(AND($G45&lt;Hta_29,$G45&gt;=Hba_29,Input!AB$49&lt;&gt;""),Input!$B$49&amp;";",""),IF(AND($G45&lt;Hta_30,$G45&gt;=Hba_30,Input!AB$50&lt;&gt;""),Input!$B$50&amp;";","")),"")</f>
        <v/>
      </c>
      <c r="CD45" s="25" t="str">
        <f>IFERROR(CONCATENATE(IF(AND($G45&lt;Hta_1,$G45&gt;=Hba_1,Input!AC$21&lt;&gt;""),Input!$B$21&amp;";",""),IF(AND($G45&lt;Hta_2,$G45&gt;=Hba_2,Input!AC$22&lt;&gt;""),Input!$B$22&amp;";",""),IF(AND($G45&lt;Hta_3,$G45&gt;=Hba_3,Input!AC$23&lt;&gt;""),Input!$B$23&amp;";",""),IF(AND($G45&lt;Hta_4,$G45&gt;=Hba_4,Input!AC$24&lt;&gt;""),Input!$B$24&amp;";",""),IF(AND($G45&lt;Hta_5,$G45&gt;=Hba_5,Input!AC$25&lt;&gt;""),Input!$B$25&amp;";",""),IF(AND($G45&lt;Hta_6,$G45&gt;=Hba_6,Input!AC$26&lt;&gt;""),Input!$B$26&amp;";",""),IF(AND($G45&lt;Hta_7,$G45&gt;=Hba_7,Input!AC$27&lt;&gt;""),Input!$B$27&amp;";",""),IF(AND($G45&lt;Hta_8,$G45&gt;=Hba_8,Input!AC$28&lt;&gt;""),Input!$B$28&amp;";",""),IF(AND($G45&lt;Hta_9,$G45&gt;=Hba_9,Input!AC$29&lt;&gt;""),Input!$B$29&amp;";",""),IF(AND($G45&lt;Hta_10,$G45&gt;=Hba_10,Input!AC$30&lt;&gt;""),Input!$B$30&amp;";",""),IF(AND($G45&lt;Hta_11,$G45&gt;=Hba_11,Input!AC$31&lt;&gt;""),Input!$B$31&amp;";",""),IF(AND($G45&lt;Hta_12,$G45&gt;=Hba_12,Input!AC$32&lt;&gt;""),Input!$B$32&amp;";",""),IF(AND($G45&lt;Hta_13,$G45&gt;=Hba_13,Input!AC$33&lt;&gt;""),Input!$B$33&amp;";",""),IF(AND($G45&lt;Hta_14,$G45&gt;=Hba_14,Input!AC$34&lt;&gt;""),Input!$B$34&amp;";",""),IF(AND($G45&lt;Hta_15,$G45&gt;=Hba_15,Input!AC$35&lt;&gt;""),Input!$B$35&amp;";",""),IF(AND($G45&lt;Hta_16,$G45&gt;=Hba_16,Input!AC$36&lt;&gt;""),Input!$B$36&amp;";",""),IF(AND($G45&lt;Hta_17,$G45&gt;=Hba_17,Input!AC$37&lt;&gt;""),Input!$B$37&amp;";",""),IF(AND($G45&lt;Hta_18,$G45&gt;=Hba_18,Input!AC$38&lt;&gt;""),Input!$B$38&amp;";",""),IF(AND($G45&lt;Hta_19,$G45&gt;=Hba_19,Input!AC$39&lt;&gt;""),Input!$B$39&amp;";",""),IF(AND($G45&lt;Hta_20,$G45&gt;=Hba_20,Input!AC$40&lt;&gt;""),Input!$B$40&amp;";",""),IF(AND($G45&lt;Hta_21,$G45&gt;=Hba_21,Input!AC$41&lt;&gt;""),Input!$B$41&amp;";",""),IF(AND($G45&lt;Hta_22,$G45&gt;=Hba_22,Input!AC$42&lt;&gt;""),Input!$B$42&amp;";",""),IF(AND($G45&lt;Hta_23,$G45&gt;=Hba_23,Input!AC$43&lt;&gt;""),Input!$B$43&amp;";",""),IF(AND($G45&lt;Hta_24,$G45&gt;=Hba_24,Input!AC$44&lt;&gt;""),Input!$B$44&amp;";",""),IF(AND($G45&lt;Hta_25,$G45&gt;=Hba_25,Input!AC$45&lt;&gt;""),Input!$B$45&amp;";",""),IF(AND($G45&lt;Hta_26,$G45&gt;=Hba_26,Input!AC$46&lt;&gt;""),Input!$B$46&amp;";",""),IF(AND($G45&lt;Hta_27,$G45&gt;=Hba_27,Input!AC$47&lt;&gt;""),Input!$B$47&amp;";",""),IF(AND($G45&lt;Hta_28,$G45&gt;=Hba_28,Input!AC$48&lt;&gt;""),Input!$B$48&amp;";",""),IF(AND($G45&lt;Hta_29,$G45&gt;=Hba_29,Input!AC$49&lt;&gt;""),Input!$B$49&amp;";",""),IF(AND($G45&lt;Hta_30,$G45&gt;=Hba_30,Input!AC$50&lt;&gt;""),Input!$B$50&amp;";","")),"")</f>
        <v/>
      </c>
      <c r="CE45" s="25" t="str">
        <f>IFERROR(CONCATENATE(IF(AND($G45&lt;Hta_1,$G45&gt;=Hba_1,Input!AD$21&lt;&gt;""),Input!$B$21&amp;";",""),IF(AND($G45&lt;Hta_2,$G45&gt;=Hba_2,Input!AD$22&lt;&gt;""),Input!$B$22&amp;";",""),IF(AND($G45&lt;Hta_3,$G45&gt;=Hba_3,Input!AD$23&lt;&gt;""),Input!$B$23&amp;";",""),IF(AND($G45&lt;Hta_4,$G45&gt;=Hba_4,Input!AD$24&lt;&gt;""),Input!$B$24&amp;";",""),IF(AND($G45&lt;Hta_5,$G45&gt;=Hba_5,Input!AD$25&lt;&gt;""),Input!$B$25&amp;";",""),IF(AND($G45&lt;Hta_6,$G45&gt;=Hba_6,Input!AD$26&lt;&gt;""),Input!$B$26&amp;";",""),IF(AND($G45&lt;Hta_7,$G45&gt;=Hba_7,Input!AD$27&lt;&gt;""),Input!$B$27&amp;";",""),IF(AND($G45&lt;Hta_8,$G45&gt;=Hba_8,Input!AD$28&lt;&gt;""),Input!$B$28&amp;";",""),IF(AND($G45&lt;Hta_9,$G45&gt;=Hba_9,Input!AD$29&lt;&gt;""),Input!$B$29&amp;";",""),IF(AND($G45&lt;Hta_10,$G45&gt;=Hba_10,Input!AD$30&lt;&gt;""),Input!$B$30&amp;";",""),IF(AND($G45&lt;Hta_11,$G45&gt;=Hba_11,Input!AD$31&lt;&gt;""),Input!$B$31&amp;";",""),IF(AND($G45&lt;Hta_12,$G45&gt;=Hba_12,Input!AD$32&lt;&gt;""),Input!$B$32&amp;";",""),IF(AND($G45&lt;Hta_13,$G45&gt;=Hba_13,Input!AD$33&lt;&gt;""),Input!$B$33&amp;";",""),IF(AND($G45&lt;Hta_14,$G45&gt;=Hba_14,Input!AD$34&lt;&gt;""),Input!$B$34&amp;";",""),IF(AND($G45&lt;Hta_15,$G45&gt;=Hba_15,Input!AD$35&lt;&gt;""),Input!$B$35&amp;";",""),IF(AND($G45&lt;Hta_16,$G45&gt;=Hba_16,Input!AD$36&lt;&gt;""),Input!$B$36&amp;";",""),IF(AND($G45&lt;Hta_17,$G45&gt;=Hba_17,Input!AD$37&lt;&gt;""),Input!$B$37&amp;";",""),IF(AND($G45&lt;Hta_18,$G45&gt;=Hba_18,Input!AD$38&lt;&gt;""),Input!$B$38&amp;";",""),IF(AND($G45&lt;Hta_19,$G45&gt;=Hba_19,Input!AD$39&lt;&gt;""),Input!$B$39&amp;";",""),IF(AND($G45&lt;Hta_20,$G45&gt;=Hba_20,Input!AD$40&lt;&gt;""),Input!$B$40&amp;";",""),IF(AND($G45&lt;Hta_21,$G45&gt;=Hba_21,Input!AD$41&lt;&gt;""),Input!$B$41&amp;";",""),IF(AND($G45&lt;Hta_22,$G45&gt;=Hba_22,Input!AD$42&lt;&gt;""),Input!$B$42&amp;";",""),IF(AND($G45&lt;Hta_23,$G45&gt;=Hba_23,Input!AD$43&lt;&gt;""),Input!$B$43&amp;";",""),IF(AND($G45&lt;Hta_24,$G45&gt;=Hba_24,Input!AD$44&lt;&gt;""),Input!$B$44&amp;";",""),IF(AND($G45&lt;Hta_25,$G45&gt;=Hba_25,Input!AD$45&lt;&gt;""),Input!$B$45&amp;";",""),IF(AND($G45&lt;Hta_26,$G45&gt;=Hba_26,Input!AD$46&lt;&gt;""),Input!$B$46&amp;";",""),IF(AND($G45&lt;Hta_27,$G45&gt;=Hba_27,Input!AD$47&lt;&gt;""),Input!$B$47&amp;";",""),IF(AND($G45&lt;Hta_28,$G45&gt;=Hba_28,Input!AD$48&lt;&gt;""),Input!$B$48&amp;";",""),IF(AND($G45&lt;Hta_29,$G45&gt;=Hba_29,Input!AD$49&lt;&gt;""),Input!$B$49&amp;";",""),IF(AND($G45&lt;Hta_30,$G45&gt;=Hba_30,Input!AD$50&lt;&gt;""),Input!$B$50&amp;";","")),"")</f>
        <v/>
      </c>
      <c r="CF45" s="25" t="str">
        <f>IFERROR(CONCATENATE(IF(AND($G45&lt;Hta_1,$G45&gt;=Hba_1,Input!AE$21&lt;&gt;""),Input!$B$21&amp;";",""),IF(AND($G45&lt;Hta_2,$G45&gt;=Hba_2,Input!AE$22&lt;&gt;""),Input!$B$22&amp;";",""),IF(AND($G45&lt;Hta_3,$G45&gt;=Hba_3,Input!AE$23&lt;&gt;""),Input!$B$23&amp;";",""),IF(AND($G45&lt;Hta_4,$G45&gt;=Hba_4,Input!AE$24&lt;&gt;""),Input!$B$24&amp;";",""),IF(AND($G45&lt;Hta_5,$G45&gt;=Hba_5,Input!AE$25&lt;&gt;""),Input!$B$25&amp;";",""),IF(AND($G45&lt;Hta_6,$G45&gt;=Hba_6,Input!AE$26&lt;&gt;""),Input!$B$26&amp;";",""),IF(AND($G45&lt;Hta_7,$G45&gt;=Hba_7,Input!AE$27&lt;&gt;""),Input!$B$27&amp;";",""),IF(AND($G45&lt;Hta_8,$G45&gt;=Hba_8,Input!AE$28&lt;&gt;""),Input!$B$28&amp;";",""),IF(AND($G45&lt;Hta_9,$G45&gt;=Hba_9,Input!AE$29&lt;&gt;""),Input!$B$29&amp;";",""),IF(AND($G45&lt;Hta_10,$G45&gt;=Hba_10,Input!AE$30&lt;&gt;""),Input!$B$30&amp;";",""),IF(AND($G45&lt;Hta_11,$G45&gt;=Hba_11,Input!AE$31&lt;&gt;""),Input!$B$31&amp;";",""),IF(AND($G45&lt;Hta_12,$G45&gt;=Hba_12,Input!AE$32&lt;&gt;""),Input!$B$32&amp;";",""),IF(AND($G45&lt;Hta_13,$G45&gt;=Hba_13,Input!AE$33&lt;&gt;""),Input!$B$33&amp;";",""),IF(AND($G45&lt;Hta_14,$G45&gt;=Hba_14,Input!AE$34&lt;&gt;""),Input!$B$34&amp;";",""),IF(AND($G45&lt;Hta_15,$G45&gt;=Hba_15,Input!AE$35&lt;&gt;""),Input!$B$35&amp;";",""),IF(AND($G45&lt;Hta_16,$G45&gt;=Hba_16,Input!AE$36&lt;&gt;""),Input!$B$36&amp;";",""),IF(AND($G45&lt;Hta_17,$G45&gt;=Hba_17,Input!AE$37&lt;&gt;""),Input!$B$37&amp;";",""),IF(AND($G45&lt;Hta_18,$G45&gt;=Hba_18,Input!AE$38&lt;&gt;""),Input!$B$38&amp;";",""),IF(AND($G45&lt;Hta_19,$G45&gt;=Hba_19,Input!AE$39&lt;&gt;""),Input!$B$39&amp;";",""),IF(AND($G45&lt;Hta_20,$G45&gt;=Hba_20,Input!AE$40&lt;&gt;""),Input!$B$40&amp;";",""),IF(AND($G45&lt;Hta_21,$G45&gt;=Hba_21,Input!AE$41&lt;&gt;""),Input!$B$41&amp;";",""),IF(AND($G45&lt;Hta_22,$G45&gt;=Hba_22,Input!AE$42&lt;&gt;""),Input!$B$42&amp;";",""),IF(AND($G45&lt;Hta_23,$G45&gt;=Hba_23,Input!AE$43&lt;&gt;""),Input!$B$43&amp;";",""),IF(AND($G45&lt;Hta_24,$G45&gt;=Hba_24,Input!AE$44&lt;&gt;""),Input!$B$44&amp;";",""),IF(AND($G45&lt;Hta_25,$G45&gt;=Hba_25,Input!AE$45&lt;&gt;""),Input!$B$45&amp;";",""),IF(AND($G45&lt;Hta_26,$G45&gt;=Hba_26,Input!AE$46&lt;&gt;""),Input!$B$46&amp;";",""),IF(AND($G45&lt;Hta_27,$G45&gt;=Hba_27,Input!AE$47&lt;&gt;""),Input!$B$47&amp;";",""),IF(AND($G45&lt;Hta_28,$G45&gt;=Hba_28,Input!AE$48&lt;&gt;""),Input!$B$48&amp;";",""),IF(AND($G45&lt;Hta_29,$G45&gt;=Hba_29,Input!AE$49&lt;&gt;""),Input!$B$49&amp;";",""),IF(AND($G45&lt;Hta_30,$G45&gt;=Hba_30,Input!AE$50&lt;&gt;""),Input!$B$50&amp;";","")),"")</f>
        <v/>
      </c>
      <c r="CG45" s="25" t="str">
        <f>IFERROR(CONCATENATE(IF(AND($G45&lt;Hta_1,$G45&gt;=Hba_1,Input!AF$21&lt;&gt;""),Input!$B$21&amp;";",""),IF(AND($G45&lt;Hta_2,$G45&gt;=Hba_2,Input!AF$22&lt;&gt;""),Input!$B$22&amp;";",""),IF(AND($G45&lt;Hta_3,$G45&gt;=Hba_3,Input!AF$23&lt;&gt;""),Input!$B$23&amp;";",""),IF(AND($G45&lt;Hta_4,$G45&gt;=Hba_4,Input!AF$24&lt;&gt;""),Input!$B$24&amp;";",""),IF(AND($G45&lt;Hta_5,$G45&gt;=Hba_5,Input!AF$25&lt;&gt;""),Input!$B$25&amp;";",""),IF(AND($G45&lt;Hta_6,$G45&gt;=Hba_6,Input!AF$26&lt;&gt;""),Input!$B$26&amp;";",""),IF(AND($G45&lt;Hta_7,$G45&gt;=Hba_7,Input!AF$27&lt;&gt;""),Input!$B$27&amp;";",""),IF(AND($G45&lt;Hta_8,$G45&gt;=Hba_8,Input!AF$28&lt;&gt;""),Input!$B$28&amp;";",""),IF(AND($G45&lt;Hta_9,$G45&gt;=Hba_9,Input!AF$29&lt;&gt;""),Input!$B$29&amp;";",""),IF(AND($G45&lt;Hta_10,$G45&gt;=Hba_10,Input!AF$30&lt;&gt;""),Input!$B$30&amp;";",""),IF(AND($G45&lt;Hta_11,$G45&gt;=Hba_11,Input!AF$31&lt;&gt;""),Input!$B$31&amp;";",""),IF(AND($G45&lt;Hta_12,$G45&gt;=Hba_12,Input!AF$32&lt;&gt;""),Input!$B$32&amp;";",""),IF(AND($G45&lt;Hta_13,$G45&gt;=Hba_13,Input!AF$33&lt;&gt;""),Input!$B$33&amp;";",""),IF(AND($G45&lt;Hta_14,$G45&gt;=Hba_14,Input!AF$34&lt;&gt;""),Input!$B$34&amp;";",""),IF(AND($G45&lt;Hta_15,$G45&gt;=Hba_15,Input!AF$35&lt;&gt;""),Input!$B$35&amp;";",""),IF(AND($G45&lt;Hta_16,$G45&gt;=Hba_16,Input!AF$36&lt;&gt;""),Input!$B$36&amp;";",""),IF(AND($G45&lt;Hta_17,$G45&gt;=Hba_17,Input!AF$37&lt;&gt;""),Input!$B$37&amp;";",""),IF(AND($G45&lt;Hta_18,$G45&gt;=Hba_18,Input!AF$38&lt;&gt;""),Input!$B$38&amp;";",""),IF(AND($G45&lt;Hta_19,$G45&gt;=Hba_19,Input!AF$39&lt;&gt;""),Input!$B$39&amp;";",""),IF(AND($G45&lt;Hta_20,$G45&gt;=Hba_20,Input!AF$40&lt;&gt;""),Input!$B$40&amp;";",""),IF(AND($G45&lt;Hta_21,$G45&gt;=Hba_21,Input!AF$41&lt;&gt;""),Input!$B$41&amp;";",""),IF(AND($G45&lt;Hta_22,$G45&gt;=Hba_22,Input!AF$42&lt;&gt;""),Input!$B$42&amp;";",""),IF(AND($G45&lt;Hta_23,$G45&gt;=Hba_23,Input!AF$43&lt;&gt;""),Input!$B$43&amp;";",""),IF(AND($G45&lt;Hta_24,$G45&gt;=Hba_24,Input!AF$44&lt;&gt;""),Input!$B$44&amp;";",""),IF(AND($G45&lt;Hta_25,$G45&gt;=Hba_25,Input!AF$45&lt;&gt;""),Input!$B$45&amp;";",""),IF(AND($G45&lt;Hta_26,$G45&gt;=Hba_26,Input!AF$46&lt;&gt;""),Input!$B$46&amp;";",""),IF(AND($G45&lt;Hta_27,$G45&gt;=Hba_27,Input!AF$47&lt;&gt;""),Input!$B$47&amp;";",""),IF(AND($G45&lt;Hta_28,$G45&gt;=Hba_28,Input!AF$48&lt;&gt;""),Input!$B$48&amp;";",""),IF(AND($G45&lt;Hta_29,$G45&gt;=Hba_29,Input!AF$49&lt;&gt;""),Input!$B$49&amp;";",""),IF(AND($G45&lt;Hta_30,$G45&gt;=Hba_30,Input!AF$50&lt;&gt;""),Input!$B$50&amp;";","")),"")</f>
        <v/>
      </c>
      <c r="CH45" s="25" t="str">
        <f>IFERROR(CONCATENATE(IF(AND($G45&lt;Hta_1,$G45&gt;=Hba_1,Input!AG$21&lt;&gt;""),Input!$B$21&amp;";",""),IF(AND($G45&lt;Hta_2,$G45&gt;=Hba_2,Input!AG$22&lt;&gt;""),Input!$B$22&amp;";",""),IF(AND($G45&lt;Hta_3,$G45&gt;=Hba_3,Input!AG$23&lt;&gt;""),Input!$B$23&amp;";",""),IF(AND($G45&lt;Hta_4,$G45&gt;=Hba_4,Input!AG$24&lt;&gt;""),Input!$B$24&amp;";",""),IF(AND($G45&lt;Hta_5,$G45&gt;=Hba_5,Input!AG$25&lt;&gt;""),Input!$B$25&amp;";",""),IF(AND($G45&lt;Hta_6,$G45&gt;=Hba_6,Input!AG$26&lt;&gt;""),Input!$B$26&amp;";",""),IF(AND($G45&lt;Hta_7,$G45&gt;=Hba_7,Input!AG$27&lt;&gt;""),Input!$B$27&amp;";",""),IF(AND($G45&lt;Hta_8,$G45&gt;=Hba_8,Input!AG$28&lt;&gt;""),Input!$B$28&amp;";",""),IF(AND($G45&lt;Hta_9,$G45&gt;=Hba_9,Input!AG$29&lt;&gt;""),Input!$B$29&amp;";",""),IF(AND($G45&lt;Hta_10,$G45&gt;=Hba_10,Input!AG$30&lt;&gt;""),Input!$B$30&amp;";",""),IF(AND($G45&lt;Hta_11,$G45&gt;=Hba_11,Input!AG$31&lt;&gt;""),Input!$B$31&amp;";",""),IF(AND($G45&lt;Hta_12,$G45&gt;=Hba_12,Input!AG$32&lt;&gt;""),Input!$B$32&amp;";",""),IF(AND($G45&lt;Hta_13,$G45&gt;=Hba_13,Input!AG$33&lt;&gt;""),Input!$B$33&amp;";",""),IF(AND($G45&lt;Hta_14,$G45&gt;=Hba_14,Input!AG$34&lt;&gt;""),Input!$B$34&amp;";",""),IF(AND($G45&lt;Hta_15,$G45&gt;=Hba_15,Input!AG$35&lt;&gt;""),Input!$B$35&amp;";",""),IF(AND($G45&lt;Hta_16,$G45&gt;=Hba_16,Input!AG$36&lt;&gt;""),Input!$B$36&amp;";",""),IF(AND($G45&lt;Hta_17,$G45&gt;=Hba_17,Input!AG$37&lt;&gt;""),Input!$B$37&amp;";",""),IF(AND($G45&lt;Hta_18,$G45&gt;=Hba_18,Input!AG$38&lt;&gt;""),Input!$B$38&amp;";",""),IF(AND($G45&lt;Hta_19,$G45&gt;=Hba_19,Input!AG$39&lt;&gt;""),Input!$B$39&amp;";",""),IF(AND($G45&lt;Hta_20,$G45&gt;=Hba_20,Input!AG$40&lt;&gt;""),Input!$B$40&amp;";",""),IF(AND($G45&lt;Hta_21,$G45&gt;=Hba_21,Input!AG$41&lt;&gt;""),Input!$B$41&amp;";",""),IF(AND($G45&lt;Hta_22,$G45&gt;=Hba_22,Input!AG$42&lt;&gt;""),Input!$B$42&amp;";",""),IF(AND($G45&lt;Hta_23,$G45&gt;=Hba_23,Input!AG$43&lt;&gt;""),Input!$B$43&amp;";",""),IF(AND($G45&lt;Hta_24,$G45&gt;=Hba_24,Input!AG$44&lt;&gt;""),Input!$B$44&amp;";",""),IF(AND($G45&lt;Hta_25,$G45&gt;=Hba_25,Input!AG$45&lt;&gt;""),Input!$B$45&amp;";",""),IF(AND($G45&lt;Hta_26,$G45&gt;=Hba_26,Input!AG$46&lt;&gt;""),Input!$B$46&amp;";",""),IF(AND($G45&lt;Hta_27,$G45&gt;=Hba_27,Input!AG$47&lt;&gt;""),Input!$B$47&amp;";",""),IF(AND($G45&lt;Hta_28,$G45&gt;=Hba_28,Input!AG$48&lt;&gt;""),Input!$B$48&amp;";",""),IF(AND($G45&lt;Hta_29,$G45&gt;=Hba_29,Input!AG$49&lt;&gt;""),Input!$B$49&amp;";",""),IF(AND($G45&lt;Hta_30,$G45&gt;=Hba_30,Input!AG$50&lt;&gt;""),Input!$B$50&amp;";","")),"")</f>
        <v/>
      </c>
      <c r="CI45" s="25" t="str">
        <f>IFERROR(CONCATENATE(IF(AND($G45&lt;Hta_1,$G45&gt;=Hba_1,Input!AH$21&lt;&gt;""),Input!$B$21&amp;";",""),IF(AND($G45&lt;Hta_2,$G45&gt;=Hba_2,Input!AH$22&lt;&gt;""),Input!$B$22&amp;";",""),IF(AND($G45&lt;Hta_3,$G45&gt;=Hba_3,Input!AH$23&lt;&gt;""),Input!$B$23&amp;";",""),IF(AND($G45&lt;Hta_4,$G45&gt;=Hba_4,Input!AH$24&lt;&gt;""),Input!$B$24&amp;";",""),IF(AND($G45&lt;Hta_5,$G45&gt;=Hba_5,Input!AH$25&lt;&gt;""),Input!$B$25&amp;";",""),IF(AND($G45&lt;Hta_6,$G45&gt;=Hba_6,Input!AH$26&lt;&gt;""),Input!$B$26&amp;";",""),IF(AND($G45&lt;Hta_7,$G45&gt;=Hba_7,Input!AH$27&lt;&gt;""),Input!$B$27&amp;";",""),IF(AND($G45&lt;Hta_8,$G45&gt;=Hba_8,Input!AH$28&lt;&gt;""),Input!$B$28&amp;";",""),IF(AND($G45&lt;Hta_9,$G45&gt;=Hba_9,Input!AH$29&lt;&gt;""),Input!$B$29&amp;";",""),IF(AND($G45&lt;Hta_10,$G45&gt;=Hba_10,Input!AH$30&lt;&gt;""),Input!$B$30&amp;";",""),IF(AND($G45&lt;Hta_11,$G45&gt;=Hba_11,Input!AH$31&lt;&gt;""),Input!$B$31&amp;";",""),IF(AND($G45&lt;Hta_12,$G45&gt;=Hba_12,Input!AH$32&lt;&gt;""),Input!$B$32&amp;";",""),IF(AND($G45&lt;Hta_13,$G45&gt;=Hba_13,Input!AH$33&lt;&gt;""),Input!$B$33&amp;";",""),IF(AND($G45&lt;Hta_14,$G45&gt;=Hba_14,Input!AH$34&lt;&gt;""),Input!$B$34&amp;";",""),IF(AND($G45&lt;Hta_15,$G45&gt;=Hba_15,Input!AH$35&lt;&gt;""),Input!$B$35&amp;";",""),IF(AND($G45&lt;Hta_16,$G45&gt;=Hba_16,Input!AH$36&lt;&gt;""),Input!$B$36&amp;";",""),IF(AND($G45&lt;Hta_17,$G45&gt;=Hba_17,Input!AH$37&lt;&gt;""),Input!$B$37&amp;";",""),IF(AND($G45&lt;Hta_18,$G45&gt;=Hba_18,Input!AH$38&lt;&gt;""),Input!$B$38&amp;";",""),IF(AND($G45&lt;Hta_19,$G45&gt;=Hba_19,Input!AH$39&lt;&gt;""),Input!$B$39&amp;";",""),IF(AND($G45&lt;Hta_20,$G45&gt;=Hba_20,Input!AH$40&lt;&gt;""),Input!$B$40&amp;";",""),IF(AND($G45&lt;Hta_21,$G45&gt;=Hba_21,Input!AH$41&lt;&gt;""),Input!$B$41&amp;";",""),IF(AND($G45&lt;Hta_22,$G45&gt;=Hba_22,Input!AH$42&lt;&gt;""),Input!$B$42&amp;";",""),IF(AND($G45&lt;Hta_23,$G45&gt;=Hba_23,Input!AH$43&lt;&gt;""),Input!$B$43&amp;";",""),IF(AND($G45&lt;Hta_24,$G45&gt;=Hba_24,Input!AH$44&lt;&gt;""),Input!$B$44&amp;";",""),IF(AND($G45&lt;Hta_25,$G45&gt;=Hba_25,Input!AH$45&lt;&gt;""),Input!$B$45&amp;";",""),IF(AND($G45&lt;Hta_26,$G45&gt;=Hba_26,Input!AH$46&lt;&gt;""),Input!$B$46&amp;";",""),IF(AND($G45&lt;Hta_27,$G45&gt;=Hba_27,Input!AH$47&lt;&gt;""),Input!$B$47&amp;";",""),IF(AND($G45&lt;Hta_28,$G45&gt;=Hba_28,Input!AH$48&lt;&gt;""),Input!$B$48&amp;";",""),IF(AND($G45&lt;Hta_29,$G45&gt;=Hba_29,Input!AH$49&lt;&gt;""),Input!$B$49&amp;";",""),IF(AND($G45&lt;Hta_30,$G45&gt;=Hba_30,Input!AH$50&lt;&gt;""),Input!$B$50&amp;";","")),"")</f>
        <v/>
      </c>
      <c r="CJ45" s="25" t="str">
        <f>IFERROR(CONCATENATE(IF(AND($G45&lt;Hta_1,$G45&gt;=Hba_1,Input!AI$21&lt;&gt;""),Input!$B$21&amp;";",""),IF(AND($G45&lt;Hta_2,$G45&gt;=Hba_2,Input!AI$22&lt;&gt;""),Input!$B$22&amp;";",""),IF(AND($G45&lt;Hta_3,$G45&gt;=Hba_3,Input!AI$23&lt;&gt;""),Input!$B$23&amp;";",""),IF(AND($G45&lt;Hta_4,$G45&gt;=Hba_4,Input!AI$24&lt;&gt;""),Input!$B$24&amp;";",""),IF(AND($G45&lt;Hta_5,$G45&gt;=Hba_5,Input!AI$25&lt;&gt;""),Input!$B$25&amp;";",""),IF(AND($G45&lt;Hta_6,$G45&gt;=Hba_6,Input!AI$26&lt;&gt;""),Input!$B$26&amp;";",""),IF(AND($G45&lt;Hta_7,$G45&gt;=Hba_7,Input!AI$27&lt;&gt;""),Input!$B$27&amp;";",""),IF(AND($G45&lt;Hta_8,$G45&gt;=Hba_8,Input!AI$28&lt;&gt;""),Input!$B$28&amp;";",""),IF(AND($G45&lt;Hta_9,$G45&gt;=Hba_9,Input!AI$29&lt;&gt;""),Input!$B$29&amp;";",""),IF(AND($G45&lt;Hta_10,$G45&gt;=Hba_10,Input!AI$30&lt;&gt;""),Input!$B$30&amp;";",""),IF(AND($G45&lt;Hta_11,$G45&gt;=Hba_11,Input!AI$31&lt;&gt;""),Input!$B$31&amp;";",""),IF(AND($G45&lt;Hta_12,$G45&gt;=Hba_12,Input!AI$32&lt;&gt;""),Input!$B$32&amp;";",""),IF(AND($G45&lt;Hta_13,$G45&gt;=Hba_13,Input!AI$33&lt;&gt;""),Input!$B$33&amp;";",""),IF(AND($G45&lt;Hta_14,$G45&gt;=Hba_14,Input!AI$34&lt;&gt;""),Input!$B$34&amp;";",""),IF(AND($G45&lt;Hta_15,$G45&gt;=Hba_15,Input!AI$35&lt;&gt;""),Input!$B$35&amp;";",""),IF(AND($G45&lt;Hta_16,$G45&gt;=Hba_16,Input!AI$36&lt;&gt;""),Input!$B$36&amp;";",""),IF(AND($G45&lt;Hta_17,$G45&gt;=Hba_17,Input!AI$37&lt;&gt;""),Input!$B$37&amp;";",""),IF(AND($G45&lt;Hta_18,$G45&gt;=Hba_18,Input!AI$38&lt;&gt;""),Input!$B$38&amp;";",""),IF(AND($G45&lt;Hta_19,$G45&gt;=Hba_19,Input!AI$39&lt;&gt;""),Input!$B$39&amp;";",""),IF(AND($G45&lt;Hta_20,$G45&gt;=Hba_20,Input!AI$40&lt;&gt;""),Input!$B$40&amp;";",""),IF(AND($G45&lt;Hta_21,$G45&gt;=Hba_21,Input!AI$41&lt;&gt;""),Input!$B$41&amp;";",""),IF(AND($G45&lt;Hta_22,$G45&gt;=Hba_22,Input!AI$42&lt;&gt;""),Input!$B$42&amp;";",""),IF(AND($G45&lt;Hta_23,$G45&gt;=Hba_23,Input!AI$43&lt;&gt;""),Input!$B$43&amp;";",""),IF(AND($G45&lt;Hta_24,$G45&gt;=Hba_24,Input!AI$44&lt;&gt;""),Input!$B$44&amp;";",""),IF(AND($G45&lt;Hta_25,$G45&gt;=Hba_25,Input!AI$45&lt;&gt;""),Input!$B$45&amp;";",""),IF(AND($G45&lt;Hta_26,$G45&gt;=Hba_26,Input!AI$46&lt;&gt;""),Input!$B$46&amp;";",""),IF(AND($G45&lt;Hta_27,$G45&gt;=Hba_27,Input!AI$47&lt;&gt;""),Input!$B$47&amp;";",""),IF(AND($G45&lt;Hta_28,$G45&gt;=Hba_28,Input!AI$48&lt;&gt;""),Input!$B$48&amp;";",""),IF(AND($G45&lt;Hta_29,$G45&gt;=Hba_29,Input!AI$49&lt;&gt;""),Input!$B$49&amp;";",""),IF(AND($G45&lt;Hta_30,$G45&gt;=Hba_30,Input!AI$50&lt;&gt;""),Input!$B$50&amp;";","")),"")</f>
        <v/>
      </c>
      <c r="CK45" s="25" t="str">
        <f>IFERROR(CONCATENATE(IF(AND($G45&lt;Hta_1,$G45&gt;=Hba_1,Input!AJ$21&lt;&gt;""),Input!$B$21&amp;";",""),IF(AND($G45&lt;Hta_2,$G45&gt;=Hba_2,Input!AJ$22&lt;&gt;""),Input!$B$22&amp;";",""),IF(AND($G45&lt;Hta_3,$G45&gt;=Hba_3,Input!AJ$23&lt;&gt;""),Input!$B$23&amp;";",""),IF(AND($G45&lt;Hta_4,$G45&gt;=Hba_4,Input!AJ$24&lt;&gt;""),Input!$B$24&amp;";",""),IF(AND($G45&lt;Hta_5,$G45&gt;=Hba_5,Input!AJ$25&lt;&gt;""),Input!$B$25&amp;";",""),IF(AND($G45&lt;Hta_6,$G45&gt;=Hba_6,Input!AJ$26&lt;&gt;""),Input!$B$26&amp;";",""),IF(AND($G45&lt;Hta_7,$G45&gt;=Hba_7,Input!AJ$27&lt;&gt;""),Input!$B$27&amp;";",""),IF(AND($G45&lt;Hta_8,$G45&gt;=Hba_8,Input!AJ$28&lt;&gt;""),Input!$B$28&amp;";",""),IF(AND($G45&lt;Hta_9,$G45&gt;=Hba_9,Input!AJ$29&lt;&gt;""),Input!$B$29&amp;";",""),IF(AND($G45&lt;Hta_10,$G45&gt;=Hba_10,Input!AJ$30&lt;&gt;""),Input!$B$30&amp;";",""),IF(AND($G45&lt;Hta_11,$G45&gt;=Hba_11,Input!AJ$31&lt;&gt;""),Input!$B$31&amp;";",""),IF(AND($G45&lt;Hta_12,$G45&gt;=Hba_12,Input!AJ$32&lt;&gt;""),Input!$B$32&amp;";",""),IF(AND($G45&lt;Hta_13,$G45&gt;=Hba_13,Input!AJ$33&lt;&gt;""),Input!$B$33&amp;";",""),IF(AND($G45&lt;Hta_14,$G45&gt;=Hba_14,Input!AJ$34&lt;&gt;""),Input!$B$34&amp;";",""),IF(AND($G45&lt;Hta_15,$G45&gt;=Hba_15,Input!AJ$35&lt;&gt;""),Input!$B$35&amp;";",""),IF(AND($G45&lt;Hta_16,$G45&gt;=Hba_16,Input!AJ$36&lt;&gt;""),Input!$B$36&amp;";",""),IF(AND($G45&lt;Hta_17,$G45&gt;=Hba_17,Input!AJ$37&lt;&gt;""),Input!$B$37&amp;";",""),IF(AND($G45&lt;Hta_18,$G45&gt;=Hba_18,Input!AJ$38&lt;&gt;""),Input!$B$38&amp;";",""),IF(AND($G45&lt;Hta_19,$G45&gt;=Hba_19,Input!AJ$39&lt;&gt;""),Input!$B$39&amp;";",""),IF(AND($G45&lt;Hta_20,$G45&gt;=Hba_20,Input!AJ$40&lt;&gt;""),Input!$B$40&amp;";",""),IF(AND($G45&lt;Hta_21,$G45&gt;=Hba_21,Input!AJ$41&lt;&gt;""),Input!$B$41&amp;";",""),IF(AND($G45&lt;Hta_22,$G45&gt;=Hba_22,Input!AJ$42&lt;&gt;""),Input!$B$42&amp;";",""),IF(AND($G45&lt;Hta_23,$G45&gt;=Hba_23,Input!AJ$43&lt;&gt;""),Input!$B$43&amp;";",""),IF(AND($G45&lt;Hta_24,$G45&gt;=Hba_24,Input!AJ$44&lt;&gt;""),Input!$B$44&amp;";",""),IF(AND($G45&lt;Hta_25,$G45&gt;=Hba_25,Input!AJ$45&lt;&gt;""),Input!$B$45&amp;";",""),IF(AND($G45&lt;Hta_26,$G45&gt;=Hba_26,Input!AJ$46&lt;&gt;""),Input!$B$46&amp;";",""),IF(AND($G45&lt;Hta_27,$G45&gt;=Hba_27,Input!AJ$47&lt;&gt;""),Input!$B$47&amp;";",""),IF(AND($G45&lt;Hta_28,$G45&gt;=Hba_28,Input!AJ$48&lt;&gt;""),Input!$B$48&amp;";",""),IF(AND($G45&lt;Hta_29,$G45&gt;=Hba_29,Input!AJ$49&lt;&gt;""),Input!$B$49&amp;";",""),IF(AND($G45&lt;Hta_30,$G45&gt;=Hba_30,Input!AJ$50&lt;&gt;""),Input!$B$50&amp;";","")),"")</f>
        <v/>
      </c>
      <c r="CL45" s="25" t="str">
        <f>IFERROR(CONCATENATE(IF(AND($G45&lt;Hta_1,$G45&gt;=Hba_1,Input!AK$21&lt;&gt;""),Input!$B$21&amp;";",""),IF(AND($G45&lt;Hta_2,$G45&gt;=Hba_2,Input!AK$22&lt;&gt;""),Input!$B$22&amp;";",""),IF(AND($G45&lt;Hta_3,$G45&gt;=Hba_3,Input!AK$23&lt;&gt;""),Input!$B$23&amp;";",""),IF(AND($G45&lt;Hta_4,$G45&gt;=Hba_4,Input!AK$24&lt;&gt;""),Input!$B$24&amp;";",""),IF(AND($G45&lt;Hta_5,$G45&gt;=Hba_5,Input!AK$25&lt;&gt;""),Input!$B$25&amp;";",""),IF(AND($G45&lt;Hta_6,$G45&gt;=Hba_6,Input!AK$26&lt;&gt;""),Input!$B$26&amp;";",""),IF(AND($G45&lt;Hta_7,$G45&gt;=Hba_7,Input!AK$27&lt;&gt;""),Input!$B$27&amp;";",""),IF(AND($G45&lt;Hta_8,$G45&gt;=Hba_8,Input!AK$28&lt;&gt;""),Input!$B$28&amp;";",""),IF(AND($G45&lt;Hta_9,$G45&gt;=Hba_9,Input!AK$29&lt;&gt;""),Input!$B$29&amp;";",""),IF(AND($G45&lt;Hta_10,$G45&gt;=Hba_10,Input!AK$30&lt;&gt;""),Input!$B$30&amp;";",""),IF(AND($G45&lt;Hta_11,$G45&gt;=Hba_11,Input!AK$31&lt;&gt;""),Input!$B$31&amp;";",""),IF(AND($G45&lt;Hta_12,$G45&gt;=Hba_12,Input!AK$32&lt;&gt;""),Input!$B$32&amp;";",""),IF(AND($G45&lt;Hta_13,$G45&gt;=Hba_13,Input!AK$33&lt;&gt;""),Input!$B$33&amp;";",""),IF(AND($G45&lt;Hta_14,$G45&gt;=Hba_14,Input!AK$34&lt;&gt;""),Input!$B$34&amp;";",""),IF(AND($G45&lt;Hta_15,$G45&gt;=Hba_15,Input!AK$35&lt;&gt;""),Input!$B$35&amp;";",""),IF(AND($G45&lt;Hta_16,$G45&gt;=Hba_16,Input!AK$36&lt;&gt;""),Input!$B$36&amp;";",""),IF(AND($G45&lt;Hta_17,$G45&gt;=Hba_17,Input!AK$37&lt;&gt;""),Input!$B$37&amp;";",""),IF(AND($G45&lt;Hta_18,$G45&gt;=Hba_18,Input!AK$38&lt;&gt;""),Input!$B$38&amp;";",""),IF(AND($G45&lt;Hta_19,$G45&gt;=Hba_19,Input!AK$39&lt;&gt;""),Input!$B$39&amp;";",""),IF(AND($G45&lt;Hta_20,$G45&gt;=Hba_20,Input!AK$40&lt;&gt;""),Input!$B$40&amp;";",""),IF(AND($G45&lt;Hta_21,$G45&gt;=Hba_21,Input!AK$41&lt;&gt;""),Input!$B$41&amp;";",""),IF(AND($G45&lt;Hta_22,$G45&gt;=Hba_22,Input!AK$42&lt;&gt;""),Input!$B$42&amp;";",""),IF(AND($G45&lt;Hta_23,$G45&gt;=Hba_23,Input!AK$43&lt;&gt;""),Input!$B$43&amp;";",""),IF(AND($G45&lt;Hta_24,$G45&gt;=Hba_24,Input!AK$44&lt;&gt;""),Input!$B$44&amp;";",""),IF(AND($G45&lt;Hta_25,$G45&gt;=Hba_25,Input!AK$45&lt;&gt;""),Input!$B$45&amp;";",""),IF(AND($G45&lt;Hta_26,$G45&gt;=Hba_26,Input!AK$46&lt;&gt;""),Input!$B$46&amp;";",""),IF(AND($G45&lt;Hta_27,$G45&gt;=Hba_27,Input!AK$47&lt;&gt;""),Input!$B$47&amp;";",""),IF(AND($G45&lt;Hta_28,$G45&gt;=Hba_28,Input!AK$48&lt;&gt;""),Input!$B$48&amp;";",""),IF(AND($G45&lt;Hta_29,$G45&gt;=Hba_29,Input!AK$49&lt;&gt;""),Input!$B$49&amp;";",""),IF(AND($G45&lt;Hta_30,$G45&gt;=Hba_30,Input!AK$50&lt;&gt;""),Input!$B$50&amp;";","")),"")</f>
        <v/>
      </c>
      <c r="CM45" s="25" t="str">
        <f>IFERROR(CONCATENATE(IF(AND($G45&lt;Hta_1,$G45&gt;=Hba_1,Input!AL$21&lt;&gt;""),Input!$B$21&amp;";",""),IF(AND($G45&lt;Hta_2,$G45&gt;=Hba_2,Input!AL$22&lt;&gt;""),Input!$B$22&amp;";",""),IF(AND($G45&lt;Hta_3,$G45&gt;=Hba_3,Input!AL$23&lt;&gt;""),Input!$B$23&amp;";",""),IF(AND($G45&lt;Hta_4,$G45&gt;=Hba_4,Input!AL$24&lt;&gt;""),Input!$B$24&amp;";",""),IF(AND($G45&lt;Hta_5,$G45&gt;=Hba_5,Input!AL$25&lt;&gt;""),Input!$B$25&amp;";",""),IF(AND($G45&lt;Hta_6,$G45&gt;=Hba_6,Input!AL$26&lt;&gt;""),Input!$B$26&amp;";",""),IF(AND($G45&lt;Hta_7,$G45&gt;=Hba_7,Input!AL$27&lt;&gt;""),Input!$B$27&amp;";",""),IF(AND($G45&lt;Hta_8,$G45&gt;=Hba_8,Input!AL$28&lt;&gt;""),Input!$B$28&amp;";",""),IF(AND($G45&lt;Hta_9,$G45&gt;=Hba_9,Input!AL$29&lt;&gt;""),Input!$B$29&amp;";",""),IF(AND($G45&lt;Hta_10,$G45&gt;=Hba_10,Input!AL$30&lt;&gt;""),Input!$B$30&amp;";",""),IF(AND($G45&lt;Hta_11,$G45&gt;=Hba_11,Input!AL$31&lt;&gt;""),Input!$B$31&amp;";",""),IF(AND($G45&lt;Hta_12,$G45&gt;=Hba_12,Input!AL$32&lt;&gt;""),Input!$B$32&amp;";",""),IF(AND($G45&lt;Hta_13,$G45&gt;=Hba_13,Input!AL$33&lt;&gt;""),Input!$B$33&amp;";",""),IF(AND($G45&lt;Hta_14,$G45&gt;=Hba_14,Input!AL$34&lt;&gt;""),Input!$B$34&amp;";",""),IF(AND($G45&lt;Hta_15,$G45&gt;=Hba_15,Input!AL$35&lt;&gt;""),Input!$B$35&amp;";",""),IF(AND($G45&lt;Hta_16,$G45&gt;=Hba_16,Input!AL$36&lt;&gt;""),Input!$B$36&amp;";",""),IF(AND($G45&lt;Hta_17,$G45&gt;=Hba_17,Input!AL$37&lt;&gt;""),Input!$B$37&amp;";",""),IF(AND($G45&lt;Hta_18,$G45&gt;=Hba_18,Input!AL$38&lt;&gt;""),Input!$B$38&amp;";",""),IF(AND($G45&lt;Hta_19,$G45&gt;=Hba_19,Input!AL$39&lt;&gt;""),Input!$B$39&amp;";",""),IF(AND($G45&lt;Hta_20,$G45&gt;=Hba_20,Input!AL$40&lt;&gt;""),Input!$B$40&amp;";",""),IF(AND($G45&lt;Hta_21,$G45&gt;=Hba_21,Input!AL$41&lt;&gt;""),Input!$B$41&amp;";",""),IF(AND($G45&lt;Hta_22,$G45&gt;=Hba_22,Input!AL$42&lt;&gt;""),Input!$B$42&amp;";",""),IF(AND($G45&lt;Hta_23,$G45&gt;=Hba_23,Input!AL$43&lt;&gt;""),Input!$B$43&amp;";",""),IF(AND($G45&lt;Hta_24,$G45&gt;=Hba_24,Input!AL$44&lt;&gt;""),Input!$B$44&amp;";",""),IF(AND($G45&lt;Hta_25,$G45&gt;=Hba_25,Input!AL$45&lt;&gt;""),Input!$B$45&amp;";",""),IF(AND($G45&lt;Hta_26,$G45&gt;=Hba_26,Input!AL$46&lt;&gt;""),Input!$B$46&amp;";",""),IF(AND($G45&lt;Hta_27,$G45&gt;=Hba_27,Input!AL$47&lt;&gt;""),Input!$B$47&amp;";",""),IF(AND($G45&lt;Hta_28,$G45&gt;=Hba_28,Input!AL$48&lt;&gt;""),Input!$B$48&amp;";",""),IF(AND($G45&lt;Hta_29,$G45&gt;=Hba_29,Input!AL$49&lt;&gt;""),Input!$B$49&amp;";",""),IF(AND($G45&lt;Hta_30,$G45&gt;=Hba_30,Input!AL$50&lt;&gt;""),Input!$B$50&amp;";","")),"")</f>
        <v/>
      </c>
      <c r="CN45" s="60" t="str">
        <f t="shared" si="6"/>
        <v/>
      </c>
      <c r="CO45" s="798"/>
      <c r="CP45" s="799"/>
      <c r="CQ45" s="800"/>
      <c r="CR45" s="798"/>
      <c r="CS45" s="799"/>
      <c r="CT45" s="800"/>
      <c r="CU45" s="798" t="str">
        <f t="shared" si="7"/>
        <v/>
      </c>
      <c r="CV45" s="799"/>
      <c r="CW45" s="806"/>
      <c r="CX45" s="726"/>
      <c r="CY45" s="727"/>
      <c r="CZ45" s="732"/>
      <c r="DA45" s="726"/>
      <c r="DB45" s="727"/>
      <c r="DC45" s="732"/>
      <c r="DD45" s="726" t="str">
        <f t="shared" si="8"/>
        <v/>
      </c>
      <c r="DE45" s="727"/>
      <c r="DF45" s="728"/>
      <c r="DG45" s="53"/>
      <c r="DH45" s="54"/>
      <c r="DI45" s="54"/>
      <c r="DJ45" s="54"/>
      <c r="DK45" s="54"/>
      <c r="DL45" s="54"/>
      <c r="DM45" s="54"/>
      <c r="DN45" s="54"/>
      <c r="DO45" s="54"/>
      <c r="DP45" s="54"/>
      <c r="DQ45" s="57"/>
      <c r="DR45" s="57"/>
      <c r="DS45" s="57"/>
      <c r="DT45" s="57"/>
      <c r="DU45" s="57"/>
      <c r="DV45" s="57"/>
      <c r="DW45" s="57"/>
      <c r="DX45" s="57"/>
      <c r="DY45" s="57"/>
      <c r="DZ45" s="57"/>
      <c r="EA45" s="57"/>
      <c r="EB45" s="57"/>
      <c r="EC45" s="57"/>
      <c r="ED45" s="57"/>
      <c r="EE45" s="57"/>
      <c r="EF45" s="57"/>
      <c r="EG45" s="57"/>
      <c r="EH45" s="57"/>
      <c r="EI45" s="57"/>
      <c r="EJ45" s="57"/>
      <c r="EK45" s="57"/>
      <c r="EL45" s="133"/>
      <c r="EM45" s="133"/>
      <c r="EN45" s="133"/>
      <c r="EO45" s="133"/>
      <c r="EP45" s="133"/>
      <c r="EQ45" s="133"/>
      <c r="ER45" s="133"/>
      <c r="ES45" s="133"/>
      <c r="ET45" s="133"/>
      <c r="EU45" s="133"/>
      <c r="EV45" s="133"/>
      <c r="EW45" s="133"/>
      <c r="EX45" s="133"/>
      <c r="EY45" s="133"/>
      <c r="EZ45" s="133"/>
      <c r="FA45" s="133"/>
      <c r="FB45" s="133"/>
      <c r="FC45" s="133"/>
      <c r="FD45" s="133"/>
      <c r="FE45" s="133"/>
      <c r="FF45" s="133"/>
      <c r="FG45" s="133"/>
      <c r="FH45" s="133"/>
      <c r="FI45" s="133"/>
      <c r="FJ45" s="133"/>
      <c r="FK45" s="133"/>
      <c r="FL45" s="133"/>
      <c r="FM45" s="133"/>
      <c r="FN45" s="133"/>
      <c r="FO45" s="133"/>
      <c r="FP45" s="65"/>
      <c r="FQ45" s="125"/>
      <c r="FR45" s="123"/>
      <c r="FS45" s="121"/>
      <c r="FT45" s="119"/>
    </row>
    <row r="46" spans="2:176" ht="15.75" hidden="1" customHeight="1" thickBot="1" x14ac:dyDescent="0.3">
      <c r="B46" s="62" t="b">
        <f>IF(OR(AND(G46&gt;='Geometry 2'!$AK$5,G46&lt;'Geometry 2'!$AL$5),AND(G46&gt;='Geometry 2'!$AK$6,G46&lt;'Geometry 2'!$AL$6),AND(G46&gt;='Geometry 2'!$AK$7,G46&lt;'Geometry 2'!$AL$7),AND(G46&gt;='Geometry 2'!$AK$8,G46&lt;'Geometry 2'!$AL$8),AND(G46&gt;='Geometry 2'!$AK$9,G46&lt;'Geometry 2'!$AL$9),AND(G46&gt;='Geometry 2'!$AK$10,G46&lt;'Geometry 2'!$AL$10),AND(G46&gt;='Geometry 2'!$AK$11,G46&lt;'Geometry 2'!$AL$11),AND(G46&gt;='Geometry 2'!$AK$12,G46&lt;'Geometry 2'!$AL$12),AND(G46&gt;='Geometry 2'!$AK$13,G46&lt;'Geometry 2'!$AL$13),AND(G46&gt;='Geometry 2'!$AK$14,G46&lt;'Geometry 2'!$AL$14)),TRUE,FALSE)</f>
        <v>0</v>
      </c>
      <c r="C46" s="4" t="str">
        <f t="shared" si="3"/>
        <v/>
      </c>
      <c r="D46" s="766" t="str">
        <f t="shared" si="4"/>
        <v/>
      </c>
      <c r="E46" s="767"/>
      <c r="F46" s="17" t="str">
        <f t="shared" si="2"/>
        <v/>
      </c>
      <c r="G46" s="768" t="str">
        <f>IF(D46="","",MAX(0,G45-IF(inc="n/a",999,inc),MAX(IF(G45&lt;=Hta_1,0,Hta_1),IF(G45&lt;=Hta_2,0,Hta_2),IF(G45&lt;=Hta_3,0,Hta_3),IF(G45&lt;=Hta_4,0,Hta_4),IF(G45&lt;=Hta_5,0,Hta_5),IF(G45&lt;=Hta_6,0,Hta_6),IF(G45&lt;=Hta_7,0,Hta_7),IF(G45&lt;=Hta_8,0,Hta_8),IF(G45&lt;=Hta_9,0,Hta_9),IF(G45&lt;=Hta_10,0,Hta_10),IF(G45&lt;=Hta_11,0,Hta_11),IF(G45&lt;=Hta_12,0,Hta_12),IF(G45&lt;=Hta_13,0,Hta_13),IF(G45&lt;=Hta_14,0,Hta_14),IF(G45&lt;=Hta_15,0,Hta_15),IF(G45&lt;=Hta_16,0,Hta_16),IF(G45&lt;=Hta_17,0,Hta_17),IF(G45&lt;=Hta_18,0,Hta_18),IF(G45&lt;=Hta_19,0,Hta_19),IF(G45&lt;=Hta_20,0,Hta_20),IF(G45&lt;=Hta_21,0,Hta_21),IF(G45&lt;=Hta_22,0,Hta_22),IF(G45&lt;=Hta_23,0,Hta_23),IF(G45&lt;=Hta_24,0,Hta_24),IF(G45&lt;=Hta_25,0,Hta_25),IF(G45&lt;=Hta_26,0,Hta_26),IF(G45&lt;=Hta_27,0,Hta_27),IF(G45&lt;=Hta_28,0,Hta_28),IF(G45&lt;=Hta_29,0,Hta_29),IF(G45&lt;=Hta_30,0,Hta_30)),MAX(IF(G45&lt;=Hta_1-0.25,0,Hta_1-0.25),IF(G45&lt;=Hta_2-0.25,0,Hta_2-0.25),IF(G45&lt;=Hta_3-0.25,0,Hta_3-0.25),IF(G45&lt;=Hta_4-0.25,0,Hta_4-0.25),IF(G45&lt;=Hta_5-0.25,0,Hta_5-0.25),IF(G45&lt;=Hta_6-0.25,0,Hta_6-0.25),IF(G45&lt;=Hta_7-0.25,0,Hta_7-0.25),IF(G45&lt;=Hta_8-0.25,0,Hta_8-0.25),IF(G45&lt;=Hta_9-0.25,0,Hta_9-0.25),IF(G45&lt;=Hta_10-0.25,0,Hta_10-0.25),IF(G45&lt;=Hta_11-0.25,0,Hta_11-0.25),IF(G45&lt;=Hta_12-0.25,0,Hta_12-0.25),IF(G45&lt;=Hta_13-0.25,0,Hta_13-0.25),IF(G45&lt;=Hta_14-0.25,0,Hta_14-0.25),IF(G45&lt;=Hta_15-0.25,0,Hta_15-0.25),IF(G45&lt;=Hta_16-0.25,0,Hta_16-0.25),IF(G45&lt;=Hta_17-0.25,0,Hta_17-0.25),IF(G45&lt;=Hta_18-0.25,0,Hta_18-0.25),IF(G45&lt;=Hta_19-0.25,0,Hta_19-0.25),IF(G45&lt;=Hta_20-0.25,0,Hta_20-0.25),IF(G45&lt;=Hta_21-0.25,0,Hta_21-0.25),IF(G45&lt;=Hta_22-0.25,0,Hta_22-0.25),IF(G45&lt;=Hta_23-0.25,0,Hta_23-0.25),IF(G45&lt;=Hta_24-0.25,0,Hta_24-0.25),IF(G45&lt;=Hta_25-0.25,0,Hta_25-0.25),IF(G45&lt;=Hta_26-0.25,0,Hta_26-0.25),IF(G45&lt;=Hta_27-0.25,0,Hta_27-0.25),IF(G45&lt;=Hta_28-0.25,0,Hta_28-0.25),IF(G45&lt;=Hta_29-0.25,0,Hta_29-0.25),IF(G45&lt;=Hta_30-0.25,0,Hta_30-0.25)),MAX(IF(G45&lt;=Hba_1,0,Hba_1),IF(G45&lt;=Hba_2,0,Hba_2),IF(G45&lt;=Hba_3,0,Hba_3),IF(G45&lt;=Hba_4,0,Hba_4),IF(G45&lt;=Hba_5,0,Hba_5),IF(G45&lt;=Hba_6,0,Hba_6),IF(G45&lt;=Hba_7,0,Hba_7),IF(G45&lt;=Hba_8,0,Hba_8),IF(G45&lt;=Hba_9,0,Hba_9),IF(G45&lt;=Hba_10,0,Hba_10),IF(G45&lt;=Hba_11,0,Hba_11),IF(G45&lt;=Hba_12,0,Hba_12),IF(G45&lt;=Hba_13,0,Hba_13),IF(G45&lt;=Hba_14,0,Hba_14),IF(G45&lt;=Hba_15,0,Hba_15),IF(G45&lt;=Hba_16,0,Hba_16),IF(G45&lt;=Hba_17,0,Hba_17),IF(G45&lt;=Hba_18,0,Hba_18),IF(G45&lt;=Hba_19,0,Hba_19),IF(G45&lt;=Hba_20,0,Hba_20),IF(G45&lt;=Hba_21,0,Hba_21),IF(G45&lt;=Hba_22,0,Hba_22),IF(G45&lt;=Hba_23,0,Hba_23),IF(G45&lt;=Hba_24,0,Hba_24),IF(G45&lt;=Hba_25,0,Hba_25),IF(G45&lt;=Hba_26,0,Hba_26),IF(G45&lt;=Hba_27,0,Hba_27),IF(G45&lt;=Hba_28,0,Hba_28),IF(G45&lt;=Hba_29,0,Hba_29),IF(G45&lt;=Hba_30,0,Hba_30)),MAX(IF(G45&lt;=Input!$C$8,0,Input!$C$8),IF(G45&lt;=Input!$C$9,0,Input!$C$9),IF(G45&lt;=Input!$C$10,0,Input!$C$10),IF(G45&lt;=Input!$C$11,0,Input!$C$11),IF(G45&lt;=Input!$C$12,0,Input!$C$12),IF(G45&lt;=Input!$C$13,0,Input!$C$13),IF(G45&lt;=Input!$C$14,0,Input!$C$14),IF(G45&lt;=Input!$C$15,0,Input!$C$15),IF(G45&lt;=Input!$C$16,0,Input!$C$16)),MAX(IF(G45&lt;=Hba_1-0.25,0,Hba_1-0.25),IF(G45&lt;=Hba_2-0.25,0,Hba_2-0.25),IF(G45&lt;=Hba_3-0.25,0,Hba_3-0.25),IF(G45&lt;=Hba_4-0.25,0,Hba_4-0.25),IF(G45&lt;=Hba_5-0.25,0,Hba_5-0.25),IF(G45&lt;=Hba_6-0.25,0,Hba_6-0.25),IF(G45&lt;=Hba_7-0.25,0,Hba_7-0.25),IF(G45&lt;=Hba_8-0.25,0,Hba_8-0.25),IF(G45&lt;=Hba_9-0.25,0,Hba_9-0.25),IF(G45&lt;=Hba_10-0.25,0,Hba_10-0.25),IF(G45&lt;=Hba_11-0.25,0,Hba_11-0.25),IF(G45&lt;=Hba_12-0.25,0,Hba_12-0.25),IF(G45&lt;=Hba_13-0.25,0,Hba_13-0.25),IF(G45&lt;=Hba_14-0.25,0,Hba_14-0.25),IF(G45&lt;=Hba_15-0.25,0,Hba_15-0.25),IF(G45&lt;=Hba_16-0.25,0,Hba_16-0.25),IF(G45&lt;=Hba_17-0.25,0,Hba_17-0.25),IF(G45&lt;=Hba_18-0.25,0,Hba_18-0.25),IF(G45&lt;=Hba_19-0.25,0,Hba_19-0.25),IF(G45&lt;=Hba_20-0.25,0,Hba_20-0.25),IF(G45&lt;=Hba_21-0.25,0,Hba_21-0.25),IF(G45&lt;=Hba_22-0.25,0,Hba_22-0.25),IF(G45&lt;=Hba_23-0.25,0,Hba_23-0.25),IF(G45&lt;=Hba_24-0.25,0,Hba_24-0.25),IF(G45&lt;=Hba_25-0.25,0,Hba_25-0.25),IF(G45&lt;=Hba_26-0.25,0,Hba_26-0.25),IF(G45&lt;=Hba_27-0.25,0,Hba_27-0.25),IF(G45&lt;=Hba_28-0.25,0,Hba_28-0.25),IF(G45&lt;=Hba_29-0.25,0,Hba_29-0.25),IF(G45&lt;=Hba_30-0.25,0,Hba_30-0.25)),IF(G45&lt;='Macro References'!$A$38,0,'Macro References'!$A$38)))</f>
        <v/>
      </c>
      <c r="H46" s="769"/>
      <c r="I46" s="228"/>
      <c r="J46" s="228"/>
      <c r="K46" s="228"/>
      <c r="L46" s="717" t="str">
        <f t="shared" si="10"/>
        <v/>
      </c>
      <c r="M46" s="717"/>
      <c r="N46" s="717"/>
      <c r="O46" s="717"/>
      <c r="P46" s="717" t="str">
        <f>IF(OR(G46=0,G46=""),"",IF(VLOOKUP(G46,'Geometry 2'!$C$4:$AI$14,1,TRUE)=VLOOKUP(G47,'Geometry 2'!$C$4:$AI$14,1,TRUE),"",IF(VLOOKUP(G46,'Geometry 2'!$C$4:$AI$14,33,TRUE)&lt;&gt;"n/a",MIN(G46,VLOOKUP(G46,'Geometry 2'!$C$4:$AI$14,1,TRUE))-VLOOKUP(G46,'Geometry 2'!$C$4:$AI$14,33,TRUE),"check")))</f>
        <v/>
      </c>
      <c r="Q46" s="717"/>
      <c r="R46" s="717"/>
      <c r="S46" s="717"/>
      <c r="T46" s="717" t="str">
        <f>IF($G46="","",VLOOKUP($G46,'Geometry 2'!$E$4:$AH$14,11,TRUE))</f>
        <v/>
      </c>
      <c r="U46" s="717"/>
      <c r="V46" s="717"/>
      <c r="W46" s="717"/>
      <c r="X46" s="716" t="str">
        <f>IF($G46="","",VLOOKUP($G46,'Geometry 2'!$E$4:$AJ$14,19,TRUE)-12*VLOOKUP($G46,'Geometry 2'!$E$4:$AJ$14,32,TRUE)*($D46-VLOOKUP($G46,'Geometry 2'!$E$5:$AH$14,1,TRUE)))</f>
        <v/>
      </c>
      <c r="Y46" s="716"/>
      <c r="Z46" s="716"/>
      <c r="AA46" s="716"/>
      <c r="AB46" s="757" t="str">
        <f>IF($G46="","",VLOOKUP($G46,'Geometry 2'!$E$4:$AJ$14,19,TRUE)-12*VLOOKUP($G46,'Geometry 2'!$E$4:$AJ$14,32,TRUE)*($G46-VLOOKUP($G46,'Geometry 2'!$E$5:$AH$14,1,TRUE)))</f>
        <v/>
      </c>
      <c r="AC46" s="758"/>
      <c r="AD46" s="758"/>
      <c r="AE46" s="759"/>
      <c r="AF46" s="716" t="str">
        <f>IF($G46="","",VLOOKUP($G46,'Geometry 2'!$E$4:$AJ$14,19,TRUE)-12*VLOOKUP($G46,'Geometry 2'!$E$4:$AJ$14,32,TRUE)*($G46-IF($P46="",0,$P46)-VLOOKUP($G46,'Geometry 2'!$E$5:$AH$14,1,TRUE)))</f>
        <v/>
      </c>
      <c r="AG46" s="716"/>
      <c r="AH46" s="716"/>
      <c r="AI46" s="716"/>
      <c r="AJ46" s="746" t="str">
        <f>IF($G46="","",VLOOKUP($G46,'Geometry 2'!$E$4:$AH$14,23,TRUE))</f>
        <v/>
      </c>
      <c r="AK46" s="747"/>
      <c r="AL46" s="747"/>
      <c r="AM46" s="748"/>
      <c r="AN46" s="717"/>
      <c r="AO46" s="717"/>
      <c r="AP46" s="717"/>
      <c r="AQ46" s="717"/>
      <c r="AR46" s="717" t="str">
        <f>IF($G46="","",VLOOKUP($G46,'Geometry 2'!$E$4:$AH$14,27,TRUE))</f>
        <v/>
      </c>
      <c r="AS46" s="717"/>
      <c r="AT46" s="717"/>
      <c r="AU46" s="718"/>
      <c r="AV46" s="715"/>
      <c r="AW46" s="716"/>
      <c r="AX46" s="716"/>
      <c r="AZ46" s="722" t="str">
        <f t="shared" si="5"/>
        <v/>
      </c>
      <c r="BA46" s="723"/>
      <c r="BB46" s="723"/>
      <c r="BC46" s="724"/>
      <c r="BD46" s="722"/>
      <c r="BE46" s="723"/>
      <c r="BF46" s="723"/>
      <c r="BG46" s="722" t="str">
        <f t="shared" si="9"/>
        <v/>
      </c>
      <c r="BH46" s="723"/>
      <c r="BI46" s="723"/>
      <c r="BJ46" s="723"/>
      <c r="BK46" s="724"/>
      <c r="BL46" s="722"/>
      <c r="BM46" s="723"/>
      <c r="BN46" s="723"/>
      <c r="BO46" s="723"/>
      <c r="BP46" s="725"/>
      <c r="BQ46" s="725"/>
      <c r="BR46" s="722" t="str">
        <f>IF(BP46="","",IF(OR(AND(Rev="H",Calculations!$F$27=TRUE),AND(Rev&lt;&gt;"H",Calculations!$F$30=TRUE)),IF(BP46&lt;=1,"Pass","Fail"),IF(BP46&lt;=1.05,"Pass","Fail")))</f>
        <v/>
      </c>
      <c r="BS46" s="723"/>
      <c r="BT46" s="724"/>
      <c r="BU46" s="49"/>
      <c r="BV46" s="25" t="str">
        <f>IFERROR(CONCATENATE(IF(AND($G46&lt;Hta_1,$G46&gt;=Hba_1,Input!U$21&lt;&gt;""),Input!$B$21&amp;";",""),IF(AND($G46&lt;Hta_2,$G46&gt;=Hba_2,Input!U$22&lt;&gt;""),Input!$B$22&amp;";",""),IF(AND($G46&lt;Hta_3,$G46&gt;=Hba_3,Input!U$23&lt;&gt;""),Input!$B$23&amp;";",""),IF(AND($G46&lt;Hta_4,$G46&gt;=Hba_4,Input!U$24&lt;&gt;""),Input!$B$24&amp;";",""),IF(AND($G46&lt;Hta_5,$G46&gt;=Hba_5,Input!U$25&lt;&gt;""),Input!$B$25&amp;";",""),IF(AND($G46&lt;Hta_6,$G46&gt;=Hba_6,Input!U$26&lt;&gt;""),Input!$B$26&amp;";",""),IF(AND($G46&lt;Hta_7,$G46&gt;=Hba_7,Input!U$27&lt;&gt;""),Input!$B$27&amp;";",""),IF(AND($G46&lt;Hta_8,$G46&gt;=Hba_8,Input!U$28&lt;&gt;""),Input!$B$28&amp;";",""),IF(AND($G46&lt;Hta_9,$G46&gt;=Hba_9,Input!U$29&lt;&gt;""),Input!$B$29&amp;";",""),IF(AND($G46&lt;Hta_10,$G46&gt;=Hba_10,Input!U$30&lt;&gt;""),Input!$B$30&amp;";",""),IF(AND($G46&lt;Hta_11,$G46&gt;=Hba_11,Input!U$31&lt;&gt;""),Input!$B$31&amp;";",""),IF(AND($G46&lt;Hta_12,$G46&gt;=Hba_12,Input!U$32&lt;&gt;""),Input!$B$32&amp;";",""),IF(AND($G46&lt;Hta_13,$G46&gt;=Hba_13,Input!U$33&lt;&gt;""),Input!$B$33&amp;";",""),IF(AND($G46&lt;Hta_14,$G46&gt;=Hba_14,Input!U$34&lt;&gt;""),Input!$B$34&amp;";",""),IF(AND($G46&lt;Hta_15,$G46&gt;=Hba_15,Input!U$35&lt;&gt;""),Input!$B$35&amp;";",""),IF(AND($G46&lt;Hta_16,$G46&gt;=Hba_16,Input!U$36&lt;&gt;""),Input!$B$36&amp;";",""),IF(AND($G46&lt;Hta_17,$G46&gt;=Hba_17,Input!U$37&lt;&gt;""),Input!$B$37&amp;";",""),IF(AND($G46&lt;Hta_18,$G46&gt;=Hba_18,Input!U$38&lt;&gt;""),Input!$B$38&amp;";",""),IF(AND($G46&lt;Hta_19,$G46&gt;=Hba_19,Input!U$39&lt;&gt;""),Input!$B$39&amp;";",""),IF(AND($G46&lt;Hta_20,$G46&gt;=Hba_20,Input!U$40&lt;&gt;""),Input!$B$40&amp;";",""),IF(AND($G46&lt;Hta_21,$G46&gt;=Hba_21,Input!U$41&lt;&gt;""),Input!$B$41&amp;";",""),IF(AND($G46&lt;Hta_22,$G46&gt;=Hba_22,Input!U$42&lt;&gt;""),Input!$B$42&amp;";",""),IF(AND($G46&lt;Hta_23,$G46&gt;=Hba_23,Input!U$43&lt;&gt;""),Input!$B$43&amp;";",""),IF(AND($G46&lt;Hta_24,$G46&gt;=Hba_24,Input!U$44&lt;&gt;""),Input!$B$44&amp;";",""),IF(AND($G46&lt;Hta_25,$G46&gt;=Hba_25,Input!U$45&lt;&gt;""),Input!$B$45&amp;";",""),IF(AND($G46&lt;Hta_26,$G46&gt;=Hba_26,Input!U$46&lt;&gt;""),Input!$B$46&amp;";",""),IF(AND($G46&lt;Hta_27,$G46&gt;=Hba_27,Input!U$47&lt;&gt;""),Input!$B$47&amp;";",""),IF(AND($G46&lt;Hta_28,$G46&gt;=Hba_28,Input!U$48&lt;&gt;""),Input!$B$48&amp;";",""),IF(AND($G46&lt;Hta_29,$G46&gt;=Hba_29,Input!U$49&lt;&gt;""),Input!$B$49&amp;";",""),IF(AND($G46&lt;Hta_30,$G46&gt;=Hba_30,Input!U$50&lt;&gt;""),Input!$B$50&amp;";","")),"")</f>
        <v/>
      </c>
      <c r="BW46" s="25" t="str">
        <f>IFERROR(CONCATENATE(IF(AND($G46&lt;Hta_1,$G46&gt;=Hba_1,Input!V$21&lt;&gt;""),Input!$B$21&amp;";",""),IF(AND($G46&lt;Hta_2,$G46&gt;=Hba_2,Input!V$22&lt;&gt;""),Input!$B$22&amp;";",""),IF(AND($G46&lt;Hta_3,$G46&gt;=Hba_3,Input!V$23&lt;&gt;""),Input!$B$23&amp;";",""),IF(AND($G46&lt;Hta_4,$G46&gt;=Hba_4,Input!V$24&lt;&gt;""),Input!$B$24&amp;";",""),IF(AND($G46&lt;Hta_5,$G46&gt;=Hba_5,Input!V$25&lt;&gt;""),Input!$B$25&amp;";",""),IF(AND($G46&lt;Hta_6,$G46&gt;=Hba_6,Input!V$26&lt;&gt;""),Input!$B$26&amp;";",""),IF(AND($G46&lt;Hta_7,$G46&gt;=Hba_7,Input!V$27&lt;&gt;""),Input!$B$27&amp;";",""),IF(AND($G46&lt;Hta_8,$G46&gt;=Hba_8,Input!V$28&lt;&gt;""),Input!$B$28&amp;";",""),IF(AND($G46&lt;Hta_9,$G46&gt;=Hba_9,Input!V$29&lt;&gt;""),Input!$B$29&amp;";",""),IF(AND($G46&lt;Hta_10,$G46&gt;=Hba_10,Input!V$30&lt;&gt;""),Input!$B$30&amp;";",""),IF(AND($G46&lt;Hta_11,$G46&gt;=Hba_11,Input!V$31&lt;&gt;""),Input!$B$31&amp;";",""),IF(AND($G46&lt;Hta_12,$G46&gt;=Hba_12,Input!V$32&lt;&gt;""),Input!$B$32&amp;";",""),IF(AND($G46&lt;Hta_13,$G46&gt;=Hba_13,Input!V$33&lt;&gt;""),Input!$B$33&amp;";",""),IF(AND($G46&lt;Hta_14,$G46&gt;=Hba_14,Input!V$34&lt;&gt;""),Input!$B$34&amp;";",""),IF(AND($G46&lt;Hta_15,$G46&gt;=Hba_15,Input!V$35&lt;&gt;""),Input!$B$35&amp;";",""),IF(AND($G46&lt;Hta_16,$G46&gt;=Hba_16,Input!V$36&lt;&gt;""),Input!$B$36&amp;";",""),IF(AND($G46&lt;Hta_17,$G46&gt;=Hba_17,Input!V$37&lt;&gt;""),Input!$B$37&amp;";",""),IF(AND($G46&lt;Hta_18,$G46&gt;=Hba_18,Input!V$38&lt;&gt;""),Input!$B$38&amp;";",""),IF(AND($G46&lt;Hta_19,$G46&gt;=Hba_19,Input!V$39&lt;&gt;""),Input!$B$39&amp;";",""),IF(AND($G46&lt;Hta_20,$G46&gt;=Hba_20,Input!V$40&lt;&gt;""),Input!$B$40&amp;";",""),IF(AND($G46&lt;Hta_21,$G46&gt;=Hba_21,Input!V$41&lt;&gt;""),Input!$B$41&amp;";",""),IF(AND($G46&lt;Hta_22,$G46&gt;=Hba_22,Input!V$42&lt;&gt;""),Input!$B$42&amp;";",""),IF(AND($G46&lt;Hta_23,$G46&gt;=Hba_23,Input!V$43&lt;&gt;""),Input!$B$43&amp;";",""),IF(AND($G46&lt;Hta_24,$G46&gt;=Hba_24,Input!V$44&lt;&gt;""),Input!$B$44&amp;";",""),IF(AND($G46&lt;Hta_25,$G46&gt;=Hba_25,Input!V$45&lt;&gt;""),Input!$B$45&amp;";",""),IF(AND($G46&lt;Hta_26,$G46&gt;=Hba_26,Input!V$46&lt;&gt;""),Input!$B$46&amp;";",""),IF(AND($G46&lt;Hta_27,$G46&gt;=Hba_27,Input!V$47&lt;&gt;""),Input!$B$47&amp;";",""),IF(AND($G46&lt;Hta_28,$G46&gt;=Hba_28,Input!V$48&lt;&gt;""),Input!$B$48&amp;";",""),IF(AND($G46&lt;Hta_29,$G46&gt;=Hba_29,Input!V$49&lt;&gt;""),Input!$B$49&amp;";",""),IF(AND($G46&lt;Hta_30,$G46&gt;=Hba_30,Input!V$50&lt;&gt;""),Input!$B$50&amp;";","")),"")</f>
        <v/>
      </c>
      <c r="BX46" s="25" t="str">
        <f>IFERROR(CONCATENATE(IF(AND($G46&lt;Hta_1,$G46&gt;=Hba_1,Input!W$21&lt;&gt;""),Input!$B$21&amp;";",""),IF(AND($G46&lt;Hta_2,$G46&gt;=Hba_2,Input!W$22&lt;&gt;""),Input!$B$22&amp;";",""),IF(AND($G46&lt;Hta_3,$G46&gt;=Hba_3,Input!W$23&lt;&gt;""),Input!$B$23&amp;";",""),IF(AND($G46&lt;Hta_4,$G46&gt;=Hba_4,Input!W$24&lt;&gt;""),Input!$B$24&amp;";",""),IF(AND($G46&lt;Hta_5,$G46&gt;=Hba_5,Input!W$25&lt;&gt;""),Input!$B$25&amp;";",""),IF(AND($G46&lt;Hta_6,$G46&gt;=Hba_6,Input!W$26&lt;&gt;""),Input!$B$26&amp;";",""),IF(AND($G46&lt;Hta_7,$G46&gt;=Hba_7,Input!W$27&lt;&gt;""),Input!$B$27&amp;";",""),IF(AND($G46&lt;Hta_8,$G46&gt;=Hba_8,Input!W$28&lt;&gt;""),Input!$B$28&amp;";",""),IF(AND($G46&lt;Hta_9,$G46&gt;=Hba_9,Input!W$29&lt;&gt;""),Input!$B$29&amp;";",""),IF(AND($G46&lt;Hta_10,$G46&gt;=Hba_10,Input!W$30&lt;&gt;""),Input!$B$30&amp;";",""),IF(AND($G46&lt;Hta_11,$G46&gt;=Hba_11,Input!W$31&lt;&gt;""),Input!$B$31&amp;";",""),IF(AND($G46&lt;Hta_12,$G46&gt;=Hba_12,Input!W$32&lt;&gt;""),Input!$B$32&amp;";",""),IF(AND($G46&lt;Hta_13,$G46&gt;=Hba_13,Input!W$33&lt;&gt;""),Input!$B$33&amp;";",""),IF(AND($G46&lt;Hta_14,$G46&gt;=Hba_14,Input!W$34&lt;&gt;""),Input!$B$34&amp;";",""),IF(AND($G46&lt;Hta_15,$G46&gt;=Hba_15,Input!W$35&lt;&gt;""),Input!$B$35&amp;";",""),IF(AND($G46&lt;Hta_16,$G46&gt;=Hba_16,Input!W$36&lt;&gt;""),Input!$B$36&amp;";",""),IF(AND($G46&lt;Hta_17,$G46&gt;=Hba_17,Input!W$37&lt;&gt;""),Input!$B$37&amp;";",""),IF(AND($G46&lt;Hta_18,$G46&gt;=Hba_18,Input!W$38&lt;&gt;""),Input!$B$38&amp;";",""),IF(AND($G46&lt;Hta_19,$G46&gt;=Hba_19,Input!W$39&lt;&gt;""),Input!$B$39&amp;";",""),IF(AND($G46&lt;Hta_20,$G46&gt;=Hba_20,Input!W$40&lt;&gt;""),Input!$B$40&amp;";",""),IF(AND($G46&lt;Hta_21,$G46&gt;=Hba_21,Input!W$41&lt;&gt;""),Input!$B$41&amp;";",""),IF(AND($G46&lt;Hta_22,$G46&gt;=Hba_22,Input!W$42&lt;&gt;""),Input!$B$42&amp;";",""),IF(AND($G46&lt;Hta_23,$G46&gt;=Hba_23,Input!W$43&lt;&gt;""),Input!$B$43&amp;";",""),IF(AND($G46&lt;Hta_24,$G46&gt;=Hba_24,Input!W$44&lt;&gt;""),Input!$B$44&amp;";",""),IF(AND($G46&lt;Hta_25,$G46&gt;=Hba_25,Input!W$45&lt;&gt;""),Input!$B$45&amp;";",""),IF(AND($G46&lt;Hta_26,$G46&gt;=Hba_26,Input!W$46&lt;&gt;""),Input!$B$46&amp;";",""),IF(AND($G46&lt;Hta_27,$G46&gt;=Hba_27,Input!W$47&lt;&gt;""),Input!$B$47&amp;";",""),IF(AND($G46&lt;Hta_28,$G46&gt;=Hba_28,Input!W$48&lt;&gt;""),Input!$B$48&amp;";",""),IF(AND($G46&lt;Hta_29,$G46&gt;=Hba_29,Input!W$49&lt;&gt;""),Input!$B$49&amp;";",""),IF(AND($G46&lt;Hta_30,$G46&gt;=Hba_30,Input!W$50&lt;&gt;""),Input!$B$50&amp;";","")),"")</f>
        <v/>
      </c>
      <c r="BY46" s="25" t="str">
        <f>IFERROR(CONCATENATE(IF(AND($G46&lt;Hta_1,$G46&gt;=Hba_1,Input!X$21&lt;&gt;""),Input!$B$21&amp;";",""),IF(AND($G46&lt;Hta_2,$G46&gt;=Hba_2,Input!X$22&lt;&gt;""),Input!$B$22&amp;";",""),IF(AND($G46&lt;Hta_3,$G46&gt;=Hba_3,Input!X$23&lt;&gt;""),Input!$B$23&amp;";",""),IF(AND($G46&lt;Hta_4,$G46&gt;=Hba_4,Input!X$24&lt;&gt;""),Input!$B$24&amp;";",""),IF(AND($G46&lt;Hta_5,$G46&gt;=Hba_5,Input!X$25&lt;&gt;""),Input!$B$25&amp;";",""),IF(AND($G46&lt;Hta_6,$G46&gt;=Hba_6,Input!X$26&lt;&gt;""),Input!$B$26&amp;";",""),IF(AND($G46&lt;Hta_7,$G46&gt;=Hba_7,Input!X$27&lt;&gt;""),Input!$B$27&amp;";",""),IF(AND($G46&lt;Hta_8,$G46&gt;=Hba_8,Input!X$28&lt;&gt;""),Input!$B$28&amp;";",""),IF(AND($G46&lt;Hta_9,$G46&gt;=Hba_9,Input!X$29&lt;&gt;""),Input!$B$29&amp;";",""),IF(AND($G46&lt;Hta_10,$G46&gt;=Hba_10,Input!X$30&lt;&gt;""),Input!$B$30&amp;";",""),IF(AND($G46&lt;Hta_11,$G46&gt;=Hba_11,Input!X$31&lt;&gt;""),Input!$B$31&amp;";",""),IF(AND($G46&lt;Hta_12,$G46&gt;=Hba_12,Input!X$32&lt;&gt;""),Input!$B$32&amp;";",""),IF(AND($G46&lt;Hta_13,$G46&gt;=Hba_13,Input!X$33&lt;&gt;""),Input!$B$33&amp;";",""),IF(AND($G46&lt;Hta_14,$G46&gt;=Hba_14,Input!X$34&lt;&gt;""),Input!$B$34&amp;";",""),IF(AND($G46&lt;Hta_15,$G46&gt;=Hba_15,Input!X$35&lt;&gt;""),Input!$B$35&amp;";",""),IF(AND($G46&lt;Hta_16,$G46&gt;=Hba_16,Input!X$36&lt;&gt;""),Input!$B$36&amp;";",""),IF(AND($G46&lt;Hta_17,$G46&gt;=Hba_17,Input!X$37&lt;&gt;""),Input!$B$37&amp;";",""),IF(AND($G46&lt;Hta_18,$G46&gt;=Hba_18,Input!X$38&lt;&gt;""),Input!$B$38&amp;";",""),IF(AND($G46&lt;Hta_19,$G46&gt;=Hba_19,Input!X$39&lt;&gt;""),Input!$B$39&amp;";",""),IF(AND($G46&lt;Hta_20,$G46&gt;=Hba_20,Input!X$40&lt;&gt;""),Input!$B$40&amp;";",""),IF(AND($G46&lt;Hta_21,$G46&gt;=Hba_21,Input!X$41&lt;&gt;""),Input!$B$41&amp;";",""),IF(AND($G46&lt;Hta_22,$G46&gt;=Hba_22,Input!X$42&lt;&gt;""),Input!$B$42&amp;";",""),IF(AND($G46&lt;Hta_23,$G46&gt;=Hba_23,Input!X$43&lt;&gt;""),Input!$B$43&amp;";",""),IF(AND($G46&lt;Hta_24,$G46&gt;=Hba_24,Input!X$44&lt;&gt;""),Input!$B$44&amp;";",""),IF(AND($G46&lt;Hta_25,$G46&gt;=Hba_25,Input!X$45&lt;&gt;""),Input!$B$45&amp;";",""),IF(AND($G46&lt;Hta_26,$G46&gt;=Hba_26,Input!X$46&lt;&gt;""),Input!$B$46&amp;";",""),IF(AND($G46&lt;Hta_27,$G46&gt;=Hba_27,Input!X$47&lt;&gt;""),Input!$B$47&amp;";",""),IF(AND($G46&lt;Hta_28,$G46&gt;=Hba_28,Input!X$48&lt;&gt;""),Input!$B$48&amp;";",""),IF(AND($G46&lt;Hta_29,$G46&gt;=Hba_29,Input!X$49&lt;&gt;""),Input!$B$49&amp;";",""),IF(AND($G46&lt;Hta_30,$G46&gt;=Hba_30,Input!X$50&lt;&gt;""),Input!$B$50&amp;";","")),"")</f>
        <v/>
      </c>
      <c r="BZ46" s="25" t="str">
        <f>IFERROR(CONCATENATE(IF(AND($G46&lt;Hta_1,$G46&gt;=Hba_1,Input!Y$21&lt;&gt;""),Input!$B$21&amp;";",""),IF(AND($G46&lt;Hta_2,$G46&gt;=Hba_2,Input!Y$22&lt;&gt;""),Input!$B$22&amp;";",""),IF(AND($G46&lt;Hta_3,$G46&gt;=Hba_3,Input!Y$23&lt;&gt;""),Input!$B$23&amp;";",""),IF(AND($G46&lt;Hta_4,$G46&gt;=Hba_4,Input!Y$24&lt;&gt;""),Input!$B$24&amp;";",""),IF(AND($G46&lt;Hta_5,$G46&gt;=Hba_5,Input!Y$25&lt;&gt;""),Input!$B$25&amp;";",""),IF(AND($G46&lt;Hta_6,$G46&gt;=Hba_6,Input!Y$26&lt;&gt;""),Input!$B$26&amp;";",""),IF(AND($G46&lt;Hta_7,$G46&gt;=Hba_7,Input!Y$27&lt;&gt;""),Input!$B$27&amp;";",""),IF(AND($G46&lt;Hta_8,$G46&gt;=Hba_8,Input!Y$28&lt;&gt;""),Input!$B$28&amp;";",""),IF(AND($G46&lt;Hta_9,$G46&gt;=Hba_9,Input!Y$29&lt;&gt;""),Input!$B$29&amp;";",""),IF(AND($G46&lt;Hta_10,$G46&gt;=Hba_10,Input!Y$30&lt;&gt;""),Input!$B$30&amp;";",""),IF(AND($G46&lt;Hta_11,$G46&gt;=Hba_11,Input!Y$31&lt;&gt;""),Input!$B$31&amp;";",""),IF(AND($G46&lt;Hta_12,$G46&gt;=Hba_12,Input!Y$32&lt;&gt;""),Input!$B$32&amp;";",""),IF(AND($G46&lt;Hta_13,$G46&gt;=Hba_13,Input!Y$33&lt;&gt;""),Input!$B$33&amp;";",""),IF(AND($G46&lt;Hta_14,$G46&gt;=Hba_14,Input!Y$34&lt;&gt;""),Input!$B$34&amp;";",""),IF(AND($G46&lt;Hta_15,$G46&gt;=Hba_15,Input!Y$35&lt;&gt;""),Input!$B$35&amp;";",""),IF(AND($G46&lt;Hta_16,$G46&gt;=Hba_16,Input!Y$36&lt;&gt;""),Input!$B$36&amp;";",""),IF(AND($G46&lt;Hta_17,$G46&gt;=Hba_17,Input!Y$37&lt;&gt;""),Input!$B$37&amp;";",""),IF(AND($G46&lt;Hta_18,$G46&gt;=Hba_18,Input!Y$38&lt;&gt;""),Input!$B$38&amp;";",""),IF(AND($G46&lt;Hta_19,$G46&gt;=Hba_19,Input!Y$39&lt;&gt;""),Input!$B$39&amp;";",""),IF(AND($G46&lt;Hta_20,$G46&gt;=Hba_20,Input!Y$40&lt;&gt;""),Input!$B$40&amp;";",""),IF(AND($G46&lt;Hta_21,$G46&gt;=Hba_21,Input!Y$41&lt;&gt;""),Input!$B$41&amp;";",""),IF(AND($G46&lt;Hta_22,$G46&gt;=Hba_22,Input!Y$42&lt;&gt;""),Input!$B$42&amp;";",""),IF(AND($G46&lt;Hta_23,$G46&gt;=Hba_23,Input!Y$43&lt;&gt;""),Input!$B$43&amp;";",""),IF(AND($G46&lt;Hta_24,$G46&gt;=Hba_24,Input!Y$44&lt;&gt;""),Input!$B$44&amp;";",""),IF(AND($G46&lt;Hta_25,$G46&gt;=Hba_25,Input!Y$45&lt;&gt;""),Input!$B$45&amp;";",""),IF(AND($G46&lt;Hta_26,$G46&gt;=Hba_26,Input!Y$46&lt;&gt;""),Input!$B$46&amp;";",""),IF(AND($G46&lt;Hta_27,$G46&gt;=Hba_27,Input!Y$47&lt;&gt;""),Input!$B$47&amp;";",""),IF(AND($G46&lt;Hta_28,$G46&gt;=Hba_28,Input!Y$48&lt;&gt;""),Input!$B$48&amp;";",""),IF(AND($G46&lt;Hta_29,$G46&gt;=Hba_29,Input!Y$49&lt;&gt;""),Input!$B$49&amp;";",""),IF(AND($G46&lt;Hta_30,$G46&gt;=Hba_30,Input!Y$50&lt;&gt;""),Input!$B$50&amp;";","")),"")</f>
        <v/>
      </c>
      <c r="CA46" s="25" t="str">
        <f>IFERROR(CONCATENATE(IF(AND($G46&lt;Hta_1,$G46&gt;=Hba_1,Input!Z$21&lt;&gt;""),Input!$B$21&amp;";",""),IF(AND($G46&lt;Hta_2,$G46&gt;=Hba_2,Input!Z$22&lt;&gt;""),Input!$B$22&amp;";",""),IF(AND($G46&lt;Hta_3,$G46&gt;=Hba_3,Input!Z$23&lt;&gt;""),Input!$B$23&amp;";",""),IF(AND($G46&lt;Hta_4,$G46&gt;=Hba_4,Input!Z$24&lt;&gt;""),Input!$B$24&amp;";",""),IF(AND($G46&lt;Hta_5,$G46&gt;=Hba_5,Input!Z$25&lt;&gt;""),Input!$B$25&amp;";",""),IF(AND($G46&lt;Hta_6,$G46&gt;=Hba_6,Input!Z$26&lt;&gt;""),Input!$B$26&amp;";",""),IF(AND($G46&lt;Hta_7,$G46&gt;=Hba_7,Input!Z$27&lt;&gt;""),Input!$B$27&amp;";",""),IF(AND($G46&lt;Hta_8,$G46&gt;=Hba_8,Input!Z$28&lt;&gt;""),Input!$B$28&amp;";",""),IF(AND($G46&lt;Hta_9,$G46&gt;=Hba_9,Input!Z$29&lt;&gt;""),Input!$B$29&amp;";",""),IF(AND($G46&lt;Hta_10,$G46&gt;=Hba_10,Input!Z$30&lt;&gt;""),Input!$B$30&amp;";",""),IF(AND($G46&lt;Hta_11,$G46&gt;=Hba_11,Input!Z$31&lt;&gt;""),Input!$B$31&amp;";",""),IF(AND($G46&lt;Hta_12,$G46&gt;=Hba_12,Input!Z$32&lt;&gt;""),Input!$B$32&amp;";",""),IF(AND($G46&lt;Hta_13,$G46&gt;=Hba_13,Input!Z$33&lt;&gt;""),Input!$B$33&amp;";",""),IF(AND($G46&lt;Hta_14,$G46&gt;=Hba_14,Input!Z$34&lt;&gt;""),Input!$B$34&amp;";",""),IF(AND($G46&lt;Hta_15,$G46&gt;=Hba_15,Input!Z$35&lt;&gt;""),Input!$B$35&amp;";",""),IF(AND($G46&lt;Hta_16,$G46&gt;=Hba_16,Input!Z$36&lt;&gt;""),Input!$B$36&amp;";",""),IF(AND($G46&lt;Hta_17,$G46&gt;=Hba_17,Input!Z$37&lt;&gt;""),Input!$B$37&amp;";",""),IF(AND($G46&lt;Hta_18,$G46&gt;=Hba_18,Input!Z$38&lt;&gt;""),Input!$B$38&amp;";",""),IF(AND($G46&lt;Hta_19,$G46&gt;=Hba_19,Input!Z$39&lt;&gt;""),Input!$B$39&amp;";",""),IF(AND($G46&lt;Hta_20,$G46&gt;=Hba_20,Input!Z$40&lt;&gt;""),Input!$B$40&amp;";",""),IF(AND($G46&lt;Hta_21,$G46&gt;=Hba_21,Input!Z$41&lt;&gt;""),Input!$B$41&amp;";",""),IF(AND($G46&lt;Hta_22,$G46&gt;=Hba_22,Input!Z$42&lt;&gt;""),Input!$B$42&amp;";",""),IF(AND($G46&lt;Hta_23,$G46&gt;=Hba_23,Input!Z$43&lt;&gt;""),Input!$B$43&amp;";",""),IF(AND($G46&lt;Hta_24,$G46&gt;=Hba_24,Input!Z$44&lt;&gt;""),Input!$B$44&amp;";",""),IF(AND($G46&lt;Hta_25,$G46&gt;=Hba_25,Input!Z$45&lt;&gt;""),Input!$B$45&amp;";",""),IF(AND($G46&lt;Hta_26,$G46&gt;=Hba_26,Input!Z$46&lt;&gt;""),Input!$B$46&amp;";",""),IF(AND($G46&lt;Hta_27,$G46&gt;=Hba_27,Input!Z$47&lt;&gt;""),Input!$B$47&amp;";",""),IF(AND($G46&lt;Hta_28,$G46&gt;=Hba_28,Input!Z$48&lt;&gt;""),Input!$B$48&amp;";",""),IF(AND($G46&lt;Hta_29,$G46&gt;=Hba_29,Input!Z$49&lt;&gt;""),Input!$B$49&amp;";",""),IF(AND($G46&lt;Hta_30,$G46&gt;=Hba_30,Input!Z$50&lt;&gt;""),Input!$B$50&amp;";","")),"")</f>
        <v/>
      </c>
      <c r="CB46" s="25" t="str">
        <f>IFERROR(CONCATENATE(IF(AND($G46&lt;Hta_1,$G46&gt;=Hba_1,Input!AA$21&lt;&gt;""),Input!$B$21&amp;";",""),IF(AND($G46&lt;Hta_2,$G46&gt;=Hba_2,Input!AA$22&lt;&gt;""),Input!$B$22&amp;";",""),IF(AND($G46&lt;Hta_3,$G46&gt;=Hba_3,Input!AA$23&lt;&gt;""),Input!$B$23&amp;";",""),IF(AND($G46&lt;Hta_4,$G46&gt;=Hba_4,Input!AA$24&lt;&gt;""),Input!$B$24&amp;";",""),IF(AND($G46&lt;Hta_5,$G46&gt;=Hba_5,Input!AA$25&lt;&gt;""),Input!$B$25&amp;";",""),IF(AND($G46&lt;Hta_6,$G46&gt;=Hba_6,Input!AA$26&lt;&gt;""),Input!$B$26&amp;";",""),IF(AND($G46&lt;Hta_7,$G46&gt;=Hba_7,Input!AA$27&lt;&gt;""),Input!$B$27&amp;";",""),IF(AND($G46&lt;Hta_8,$G46&gt;=Hba_8,Input!AA$28&lt;&gt;""),Input!$B$28&amp;";",""),IF(AND($G46&lt;Hta_9,$G46&gt;=Hba_9,Input!AA$29&lt;&gt;""),Input!$B$29&amp;";",""),IF(AND($G46&lt;Hta_10,$G46&gt;=Hba_10,Input!AA$30&lt;&gt;""),Input!$B$30&amp;";",""),IF(AND($G46&lt;Hta_11,$G46&gt;=Hba_11,Input!AA$31&lt;&gt;""),Input!$B$31&amp;";",""),IF(AND($G46&lt;Hta_12,$G46&gt;=Hba_12,Input!AA$32&lt;&gt;""),Input!$B$32&amp;";",""),IF(AND($G46&lt;Hta_13,$G46&gt;=Hba_13,Input!AA$33&lt;&gt;""),Input!$B$33&amp;";",""),IF(AND($G46&lt;Hta_14,$G46&gt;=Hba_14,Input!AA$34&lt;&gt;""),Input!$B$34&amp;";",""),IF(AND($G46&lt;Hta_15,$G46&gt;=Hba_15,Input!AA$35&lt;&gt;""),Input!$B$35&amp;";",""),IF(AND($G46&lt;Hta_16,$G46&gt;=Hba_16,Input!AA$36&lt;&gt;""),Input!$B$36&amp;";",""),IF(AND($G46&lt;Hta_17,$G46&gt;=Hba_17,Input!AA$37&lt;&gt;""),Input!$B$37&amp;";",""),IF(AND($G46&lt;Hta_18,$G46&gt;=Hba_18,Input!AA$38&lt;&gt;""),Input!$B$38&amp;";",""),IF(AND($G46&lt;Hta_19,$G46&gt;=Hba_19,Input!AA$39&lt;&gt;""),Input!$B$39&amp;";",""),IF(AND($G46&lt;Hta_20,$G46&gt;=Hba_20,Input!AA$40&lt;&gt;""),Input!$B$40&amp;";",""),IF(AND($G46&lt;Hta_21,$G46&gt;=Hba_21,Input!AA$41&lt;&gt;""),Input!$B$41&amp;";",""),IF(AND($G46&lt;Hta_22,$G46&gt;=Hba_22,Input!AA$42&lt;&gt;""),Input!$B$42&amp;";",""),IF(AND($G46&lt;Hta_23,$G46&gt;=Hba_23,Input!AA$43&lt;&gt;""),Input!$B$43&amp;";",""),IF(AND($G46&lt;Hta_24,$G46&gt;=Hba_24,Input!AA$44&lt;&gt;""),Input!$B$44&amp;";",""),IF(AND($G46&lt;Hta_25,$G46&gt;=Hba_25,Input!AA$45&lt;&gt;""),Input!$B$45&amp;";",""),IF(AND($G46&lt;Hta_26,$G46&gt;=Hba_26,Input!AA$46&lt;&gt;""),Input!$B$46&amp;";",""),IF(AND($G46&lt;Hta_27,$G46&gt;=Hba_27,Input!AA$47&lt;&gt;""),Input!$B$47&amp;";",""),IF(AND($G46&lt;Hta_28,$G46&gt;=Hba_28,Input!AA$48&lt;&gt;""),Input!$B$48&amp;";",""),IF(AND($G46&lt;Hta_29,$G46&gt;=Hba_29,Input!AA$49&lt;&gt;""),Input!$B$49&amp;";",""),IF(AND($G46&lt;Hta_30,$G46&gt;=Hba_30,Input!AA$50&lt;&gt;""),Input!$B$50&amp;";","")),"")</f>
        <v/>
      </c>
      <c r="CC46" s="25" t="str">
        <f>IFERROR(CONCATENATE(IF(AND($G46&lt;Hta_1,$G46&gt;=Hba_1,Input!AB$21&lt;&gt;""),Input!$B$21&amp;";",""),IF(AND($G46&lt;Hta_2,$G46&gt;=Hba_2,Input!AB$22&lt;&gt;""),Input!$B$22&amp;";",""),IF(AND($G46&lt;Hta_3,$G46&gt;=Hba_3,Input!AB$23&lt;&gt;""),Input!$B$23&amp;";",""),IF(AND($G46&lt;Hta_4,$G46&gt;=Hba_4,Input!AB$24&lt;&gt;""),Input!$B$24&amp;";",""),IF(AND($G46&lt;Hta_5,$G46&gt;=Hba_5,Input!AB$25&lt;&gt;""),Input!$B$25&amp;";",""),IF(AND($G46&lt;Hta_6,$G46&gt;=Hba_6,Input!AB$26&lt;&gt;""),Input!$B$26&amp;";",""),IF(AND($G46&lt;Hta_7,$G46&gt;=Hba_7,Input!AB$27&lt;&gt;""),Input!$B$27&amp;";",""),IF(AND($G46&lt;Hta_8,$G46&gt;=Hba_8,Input!AB$28&lt;&gt;""),Input!$B$28&amp;";",""),IF(AND($G46&lt;Hta_9,$G46&gt;=Hba_9,Input!AB$29&lt;&gt;""),Input!$B$29&amp;";",""),IF(AND($G46&lt;Hta_10,$G46&gt;=Hba_10,Input!AB$30&lt;&gt;""),Input!$B$30&amp;";",""),IF(AND($G46&lt;Hta_11,$G46&gt;=Hba_11,Input!AB$31&lt;&gt;""),Input!$B$31&amp;";",""),IF(AND($G46&lt;Hta_12,$G46&gt;=Hba_12,Input!AB$32&lt;&gt;""),Input!$B$32&amp;";",""),IF(AND($G46&lt;Hta_13,$G46&gt;=Hba_13,Input!AB$33&lt;&gt;""),Input!$B$33&amp;";",""),IF(AND($G46&lt;Hta_14,$G46&gt;=Hba_14,Input!AB$34&lt;&gt;""),Input!$B$34&amp;";",""),IF(AND($G46&lt;Hta_15,$G46&gt;=Hba_15,Input!AB$35&lt;&gt;""),Input!$B$35&amp;";",""),IF(AND($G46&lt;Hta_16,$G46&gt;=Hba_16,Input!AB$36&lt;&gt;""),Input!$B$36&amp;";",""),IF(AND($G46&lt;Hta_17,$G46&gt;=Hba_17,Input!AB$37&lt;&gt;""),Input!$B$37&amp;";",""),IF(AND($G46&lt;Hta_18,$G46&gt;=Hba_18,Input!AB$38&lt;&gt;""),Input!$B$38&amp;";",""),IF(AND($G46&lt;Hta_19,$G46&gt;=Hba_19,Input!AB$39&lt;&gt;""),Input!$B$39&amp;";",""),IF(AND($G46&lt;Hta_20,$G46&gt;=Hba_20,Input!AB$40&lt;&gt;""),Input!$B$40&amp;";",""),IF(AND($G46&lt;Hta_21,$G46&gt;=Hba_21,Input!AB$41&lt;&gt;""),Input!$B$41&amp;";",""),IF(AND($G46&lt;Hta_22,$G46&gt;=Hba_22,Input!AB$42&lt;&gt;""),Input!$B$42&amp;";",""),IF(AND($G46&lt;Hta_23,$G46&gt;=Hba_23,Input!AB$43&lt;&gt;""),Input!$B$43&amp;";",""),IF(AND($G46&lt;Hta_24,$G46&gt;=Hba_24,Input!AB$44&lt;&gt;""),Input!$B$44&amp;";",""),IF(AND($G46&lt;Hta_25,$G46&gt;=Hba_25,Input!AB$45&lt;&gt;""),Input!$B$45&amp;";",""),IF(AND($G46&lt;Hta_26,$G46&gt;=Hba_26,Input!AB$46&lt;&gt;""),Input!$B$46&amp;";",""),IF(AND($G46&lt;Hta_27,$G46&gt;=Hba_27,Input!AB$47&lt;&gt;""),Input!$B$47&amp;";",""),IF(AND($G46&lt;Hta_28,$G46&gt;=Hba_28,Input!AB$48&lt;&gt;""),Input!$B$48&amp;";",""),IF(AND($G46&lt;Hta_29,$G46&gt;=Hba_29,Input!AB$49&lt;&gt;""),Input!$B$49&amp;";",""),IF(AND($G46&lt;Hta_30,$G46&gt;=Hba_30,Input!AB$50&lt;&gt;""),Input!$B$50&amp;";","")),"")</f>
        <v/>
      </c>
      <c r="CD46" s="25" t="str">
        <f>IFERROR(CONCATENATE(IF(AND($G46&lt;Hta_1,$G46&gt;=Hba_1,Input!AC$21&lt;&gt;""),Input!$B$21&amp;";",""),IF(AND($G46&lt;Hta_2,$G46&gt;=Hba_2,Input!AC$22&lt;&gt;""),Input!$B$22&amp;";",""),IF(AND($G46&lt;Hta_3,$G46&gt;=Hba_3,Input!AC$23&lt;&gt;""),Input!$B$23&amp;";",""),IF(AND($G46&lt;Hta_4,$G46&gt;=Hba_4,Input!AC$24&lt;&gt;""),Input!$B$24&amp;";",""),IF(AND($G46&lt;Hta_5,$G46&gt;=Hba_5,Input!AC$25&lt;&gt;""),Input!$B$25&amp;";",""),IF(AND($G46&lt;Hta_6,$G46&gt;=Hba_6,Input!AC$26&lt;&gt;""),Input!$B$26&amp;";",""),IF(AND($G46&lt;Hta_7,$G46&gt;=Hba_7,Input!AC$27&lt;&gt;""),Input!$B$27&amp;";",""),IF(AND($G46&lt;Hta_8,$G46&gt;=Hba_8,Input!AC$28&lt;&gt;""),Input!$B$28&amp;";",""),IF(AND($G46&lt;Hta_9,$G46&gt;=Hba_9,Input!AC$29&lt;&gt;""),Input!$B$29&amp;";",""),IF(AND($G46&lt;Hta_10,$G46&gt;=Hba_10,Input!AC$30&lt;&gt;""),Input!$B$30&amp;";",""),IF(AND($G46&lt;Hta_11,$G46&gt;=Hba_11,Input!AC$31&lt;&gt;""),Input!$B$31&amp;";",""),IF(AND($G46&lt;Hta_12,$G46&gt;=Hba_12,Input!AC$32&lt;&gt;""),Input!$B$32&amp;";",""),IF(AND($G46&lt;Hta_13,$G46&gt;=Hba_13,Input!AC$33&lt;&gt;""),Input!$B$33&amp;";",""),IF(AND($G46&lt;Hta_14,$G46&gt;=Hba_14,Input!AC$34&lt;&gt;""),Input!$B$34&amp;";",""),IF(AND($G46&lt;Hta_15,$G46&gt;=Hba_15,Input!AC$35&lt;&gt;""),Input!$B$35&amp;";",""),IF(AND($G46&lt;Hta_16,$G46&gt;=Hba_16,Input!AC$36&lt;&gt;""),Input!$B$36&amp;";",""),IF(AND($G46&lt;Hta_17,$G46&gt;=Hba_17,Input!AC$37&lt;&gt;""),Input!$B$37&amp;";",""),IF(AND($G46&lt;Hta_18,$G46&gt;=Hba_18,Input!AC$38&lt;&gt;""),Input!$B$38&amp;";",""),IF(AND($G46&lt;Hta_19,$G46&gt;=Hba_19,Input!AC$39&lt;&gt;""),Input!$B$39&amp;";",""),IF(AND($G46&lt;Hta_20,$G46&gt;=Hba_20,Input!AC$40&lt;&gt;""),Input!$B$40&amp;";",""),IF(AND($G46&lt;Hta_21,$G46&gt;=Hba_21,Input!AC$41&lt;&gt;""),Input!$B$41&amp;";",""),IF(AND($G46&lt;Hta_22,$G46&gt;=Hba_22,Input!AC$42&lt;&gt;""),Input!$B$42&amp;";",""),IF(AND($G46&lt;Hta_23,$G46&gt;=Hba_23,Input!AC$43&lt;&gt;""),Input!$B$43&amp;";",""),IF(AND($G46&lt;Hta_24,$G46&gt;=Hba_24,Input!AC$44&lt;&gt;""),Input!$B$44&amp;";",""),IF(AND($G46&lt;Hta_25,$G46&gt;=Hba_25,Input!AC$45&lt;&gt;""),Input!$B$45&amp;";",""),IF(AND($G46&lt;Hta_26,$G46&gt;=Hba_26,Input!AC$46&lt;&gt;""),Input!$B$46&amp;";",""),IF(AND($G46&lt;Hta_27,$G46&gt;=Hba_27,Input!AC$47&lt;&gt;""),Input!$B$47&amp;";",""),IF(AND($G46&lt;Hta_28,$G46&gt;=Hba_28,Input!AC$48&lt;&gt;""),Input!$B$48&amp;";",""),IF(AND($G46&lt;Hta_29,$G46&gt;=Hba_29,Input!AC$49&lt;&gt;""),Input!$B$49&amp;";",""),IF(AND($G46&lt;Hta_30,$G46&gt;=Hba_30,Input!AC$50&lt;&gt;""),Input!$B$50&amp;";","")),"")</f>
        <v/>
      </c>
      <c r="CE46" s="25" t="str">
        <f>IFERROR(CONCATENATE(IF(AND($G46&lt;Hta_1,$G46&gt;=Hba_1,Input!AD$21&lt;&gt;""),Input!$B$21&amp;";",""),IF(AND($G46&lt;Hta_2,$G46&gt;=Hba_2,Input!AD$22&lt;&gt;""),Input!$B$22&amp;";",""),IF(AND($G46&lt;Hta_3,$G46&gt;=Hba_3,Input!AD$23&lt;&gt;""),Input!$B$23&amp;";",""),IF(AND($G46&lt;Hta_4,$G46&gt;=Hba_4,Input!AD$24&lt;&gt;""),Input!$B$24&amp;";",""),IF(AND($G46&lt;Hta_5,$G46&gt;=Hba_5,Input!AD$25&lt;&gt;""),Input!$B$25&amp;";",""),IF(AND($G46&lt;Hta_6,$G46&gt;=Hba_6,Input!AD$26&lt;&gt;""),Input!$B$26&amp;";",""),IF(AND($G46&lt;Hta_7,$G46&gt;=Hba_7,Input!AD$27&lt;&gt;""),Input!$B$27&amp;";",""),IF(AND($G46&lt;Hta_8,$G46&gt;=Hba_8,Input!AD$28&lt;&gt;""),Input!$B$28&amp;";",""),IF(AND($G46&lt;Hta_9,$G46&gt;=Hba_9,Input!AD$29&lt;&gt;""),Input!$B$29&amp;";",""),IF(AND($G46&lt;Hta_10,$G46&gt;=Hba_10,Input!AD$30&lt;&gt;""),Input!$B$30&amp;";",""),IF(AND($G46&lt;Hta_11,$G46&gt;=Hba_11,Input!AD$31&lt;&gt;""),Input!$B$31&amp;";",""),IF(AND($G46&lt;Hta_12,$G46&gt;=Hba_12,Input!AD$32&lt;&gt;""),Input!$B$32&amp;";",""),IF(AND($G46&lt;Hta_13,$G46&gt;=Hba_13,Input!AD$33&lt;&gt;""),Input!$B$33&amp;";",""),IF(AND($G46&lt;Hta_14,$G46&gt;=Hba_14,Input!AD$34&lt;&gt;""),Input!$B$34&amp;";",""),IF(AND($G46&lt;Hta_15,$G46&gt;=Hba_15,Input!AD$35&lt;&gt;""),Input!$B$35&amp;";",""),IF(AND($G46&lt;Hta_16,$G46&gt;=Hba_16,Input!AD$36&lt;&gt;""),Input!$B$36&amp;";",""),IF(AND($G46&lt;Hta_17,$G46&gt;=Hba_17,Input!AD$37&lt;&gt;""),Input!$B$37&amp;";",""),IF(AND($G46&lt;Hta_18,$G46&gt;=Hba_18,Input!AD$38&lt;&gt;""),Input!$B$38&amp;";",""),IF(AND($G46&lt;Hta_19,$G46&gt;=Hba_19,Input!AD$39&lt;&gt;""),Input!$B$39&amp;";",""),IF(AND($G46&lt;Hta_20,$G46&gt;=Hba_20,Input!AD$40&lt;&gt;""),Input!$B$40&amp;";",""),IF(AND($G46&lt;Hta_21,$G46&gt;=Hba_21,Input!AD$41&lt;&gt;""),Input!$B$41&amp;";",""),IF(AND($G46&lt;Hta_22,$G46&gt;=Hba_22,Input!AD$42&lt;&gt;""),Input!$B$42&amp;";",""),IF(AND($G46&lt;Hta_23,$G46&gt;=Hba_23,Input!AD$43&lt;&gt;""),Input!$B$43&amp;";",""),IF(AND($G46&lt;Hta_24,$G46&gt;=Hba_24,Input!AD$44&lt;&gt;""),Input!$B$44&amp;";",""),IF(AND($G46&lt;Hta_25,$G46&gt;=Hba_25,Input!AD$45&lt;&gt;""),Input!$B$45&amp;";",""),IF(AND($G46&lt;Hta_26,$G46&gt;=Hba_26,Input!AD$46&lt;&gt;""),Input!$B$46&amp;";",""),IF(AND($G46&lt;Hta_27,$G46&gt;=Hba_27,Input!AD$47&lt;&gt;""),Input!$B$47&amp;";",""),IF(AND($G46&lt;Hta_28,$G46&gt;=Hba_28,Input!AD$48&lt;&gt;""),Input!$B$48&amp;";",""),IF(AND($G46&lt;Hta_29,$G46&gt;=Hba_29,Input!AD$49&lt;&gt;""),Input!$B$49&amp;";",""),IF(AND($G46&lt;Hta_30,$G46&gt;=Hba_30,Input!AD$50&lt;&gt;""),Input!$B$50&amp;";","")),"")</f>
        <v/>
      </c>
      <c r="CF46" s="25" t="str">
        <f>IFERROR(CONCATENATE(IF(AND($G46&lt;Hta_1,$G46&gt;=Hba_1,Input!AE$21&lt;&gt;""),Input!$B$21&amp;";",""),IF(AND($G46&lt;Hta_2,$G46&gt;=Hba_2,Input!AE$22&lt;&gt;""),Input!$B$22&amp;";",""),IF(AND($G46&lt;Hta_3,$G46&gt;=Hba_3,Input!AE$23&lt;&gt;""),Input!$B$23&amp;";",""),IF(AND($G46&lt;Hta_4,$G46&gt;=Hba_4,Input!AE$24&lt;&gt;""),Input!$B$24&amp;";",""),IF(AND($G46&lt;Hta_5,$G46&gt;=Hba_5,Input!AE$25&lt;&gt;""),Input!$B$25&amp;";",""),IF(AND($G46&lt;Hta_6,$G46&gt;=Hba_6,Input!AE$26&lt;&gt;""),Input!$B$26&amp;";",""),IF(AND($G46&lt;Hta_7,$G46&gt;=Hba_7,Input!AE$27&lt;&gt;""),Input!$B$27&amp;";",""),IF(AND($G46&lt;Hta_8,$G46&gt;=Hba_8,Input!AE$28&lt;&gt;""),Input!$B$28&amp;";",""),IF(AND($G46&lt;Hta_9,$G46&gt;=Hba_9,Input!AE$29&lt;&gt;""),Input!$B$29&amp;";",""),IF(AND($G46&lt;Hta_10,$G46&gt;=Hba_10,Input!AE$30&lt;&gt;""),Input!$B$30&amp;";",""),IF(AND($G46&lt;Hta_11,$G46&gt;=Hba_11,Input!AE$31&lt;&gt;""),Input!$B$31&amp;";",""),IF(AND($G46&lt;Hta_12,$G46&gt;=Hba_12,Input!AE$32&lt;&gt;""),Input!$B$32&amp;";",""),IF(AND($G46&lt;Hta_13,$G46&gt;=Hba_13,Input!AE$33&lt;&gt;""),Input!$B$33&amp;";",""),IF(AND($G46&lt;Hta_14,$G46&gt;=Hba_14,Input!AE$34&lt;&gt;""),Input!$B$34&amp;";",""),IF(AND($G46&lt;Hta_15,$G46&gt;=Hba_15,Input!AE$35&lt;&gt;""),Input!$B$35&amp;";",""),IF(AND($G46&lt;Hta_16,$G46&gt;=Hba_16,Input!AE$36&lt;&gt;""),Input!$B$36&amp;";",""),IF(AND($G46&lt;Hta_17,$G46&gt;=Hba_17,Input!AE$37&lt;&gt;""),Input!$B$37&amp;";",""),IF(AND($G46&lt;Hta_18,$G46&gt;=Hba_18,Input!AE$38&lt;&gt;""),Input!$B$38&amp;";",""),IF(AND($G46&lt;Hta_19,$G46&gt;=Hba_19,Input!AE$39&lt;&gt;""),Input!$B$39&amp;";",""),IF(AND($G46&lt;Hta_20,$G46&gt;=Hba_20,Input!AE$40&lt;&gt;""),Input!$B$40&amp;";",""),IF(AND($G46&lt;Hta_21,$G46&gt;=Hba_21,Input!AE$41&lt;&gt;""),Input!$B$41&amp;";",""),IF(AND($G46&lt;Hta_22,$G46&gt;=Hba_22,Input!AE$42&lt;&gt;""),Input!$B$42&amp;";",""),IF(AND($G46&lt;Hta_23,$G46&gt;=Hba_23,Input!AE$43&lt;&gt;""),Input!$B$43&amp;";",""),IF(AND($G46&lt;Hta_24,$G46&gt;=Hba_24,Input!AE$44&lt;&gt;""),Input!$B$44&amp;";",""),IF(AND($G46&lt;Hta_25,$G46&gt;=Hba_25,Input!AE$45&lt;&gt;""),Input!$B$45&amp;";",""),IF(AND($G46&lt;Hta_26,$G46&gt;=Hba_26,Input!AE$46&lt;&gt;""),Input!$B$46&amp;";",""),IF(AND($G46&lt;Hta_27,$G46&gt;=Hba_27,Input!AE$47&lt;&gt;""),Input!$B$47&amp;";",""),IF(AND($G46&lt;Hta_28,$G46&gt;=Hba_28,Input!AE$48&lt;&gt;""),Input!$B$48&amp;";",""),IF(AND($G46&lt;Hta_29,$G46&gt;=Hba_29,Input!AE$49&lt;&gt;""),Input!$B$49&amp;";",""),IF(AND($G46&lt;Hta_30,$G46&gt;=Hba_30,Input!AE$50&lt;&gt;""),Input!$B$50&amp;";","")),"")</f>
        <v/>
      </c>
      <c r="CG46" s="25" t="str">
        <f>IFERROR(CONCATENATE(IF(AND($G46&lt;Hta_1,$G46&gt;=Hba_1,Input!AF$21&lt;&gt;""),Input!$B$21&amp;";",""),IF(AND($G46&lt;Hta_2,$G46&gt;=Hba_2,Input!AF$22&lt;&gt;""),Input!$B$22&amp;";",""),IF(AND($G46&lt;Hta_3,$G46&gt;=Hba_3,Input!AF$23&lt;&gt;""),Input!$B$23&amp;";",""),IF(AND($G46&lt;Hta_4,$G46&gt;=Hba_4,Input!AF$24&lt;&gt;""),Input!$B$24&amp;";",""),IF(AND($G46&lt;Hta_5,$G46&gt;=Hba_5,Input!AF$25&lt;&gt;""),Input!$B$25&amp;";",""),IF(AND($G46&lt;Hta_6,$G46&gt;=Hba_6,Input!AF$26&lt;&gt;""),Input!$B$26&amp;";",""),IF(AND($G46&lt;Hta_7,$G46&gt;=Hba_7,Input!AF$27&lt;&gt;""),Input!$B$27&amp;";",""),IF(AND($G46&lt;Hta_8,$G46&gt;=Hba_8,Input!AF$28&lt;&gt;""),Input!$B$28&amp;";",""),IF(AND($G46&lt;Hta_9,$G46&gt;=Hba_9,Input!AF$29&lt;&gt;""),Input!$B$29&amp;";",""),IF(AND($G46&lt;Hta_10,$G46&gt;=Hba_10,Input!AF$30&lt;&gt;""),Input!$B$30&amp;";",""),IF(AND($G46&lt;Hta_11,$G46&gt;=Hba_11,Input!AF$31&lt;&gt;""),Input!$B$31&amp;";",""),IF(AND($G46&lt;Hta_12,$G46&gt;=Hba_12,Input!AF$32&lt;&gt;""),Input!$B$32&amp;";",""),IF(AND($G46&lt;Hta_13,$G46&gt;=Hba_13,Input!AF$33&lt;&gt;""),Input!$B$33&amp;";",""),IF(AND($G46&lt;Hta_14,$G46&gt;=Hba_14,Input!AF$34&lt;&gt;""),Input!$B$34&amp;";",""),IF(AND($G46&lt;Hta_15,$G46&gt;=Hba_15,Input!AF$35&lt;&gt;""),Input!$B$35&amp;";",""),IF(AND($G46&lt;Hta_16,$G46&gt;=Hba_16,Input!AF$36&lt;&gt;""),Input!$B$36&amp;";",""),IF(AND($G46&lt;Hta_17,$G46&gt;=Hba_17,Input!AF$37&lt;&gt;""),Input!$B$37&amp;";",""),IF(AND($G46&lt;Hta_18,$G46&gt;=Hba_18,Input!AF$38&lt;&gt;""),Input!$B$38&amp;";",""),IF(AND($G46&lt;Hta_19,$G46&gt;=Hba_19,Input!AF$39&lt;&gt;""),Input!$B$39&amp;";",""),IF(AND($G46&lt;Hta_20,$G46&gt;=Hba_20,Input!AF$40&lt;&gt;""),Input!$B$40&amp;";",""),IF(AND($G46&lt;Hta_21,$G46&gt;=Hba_21,Input!AF$41&lt;&gt;""),Input!$B$41&amp;";",""),IF(AND($G46&lt;Hta_22,$G46&gt;=Hba_22,Input!AF$42&lt;&gt;""),Input!$B$42&amp;";",""),IF(AND($G46&lt;Hta_23,$G46&gt;=Hba_23,Input!AF$43&lt;&gt;""),Input!$B$43&amp;";",""),IF(AND($G46&lt;Hta_24,$G46&gt;=Hba_24,Input!AF$44&lt;&gt;""),Input!$B$44&amp;";",""),IF(AND($G46&lt;Hta_25,$G46&gt;=Hba_25,Input!AF$45&lt;&gt;""),Input!$B$45&amp;";",""),IF(AND($G46&lt;Hta_26,$G46&gt;=Hba_26,Input!AF$46&lt;&gt;""),Input!$B$46&amp;";",""),IF(AND($G46&lt;Hta_27,$G46&gt;=Hba_27,Input!AF$47&lt;&gt;""),Input!$B$47&amp;";",""),IF(AND($G46&lt;Hta_28,$G46&gt;=Hba_28,Input!AF$48&lt;&gt;""),Input!$B$48&amp;";",""),IF(AND($G46&lt;Hta_29,$G46&gt;=Hba_29,Input!AF$49&lt;&gt;""),Input!$B$49&amp;";",""),IF(AND($G46&lt;Hta_30,$G46&gt;=Hba_30,Input!AF$50&lt;&gt;""),Input!$B$50&amp;";","")),"")</f>
        <v/>
      </c>
      <c r="CH46" s="25" t="str">
        <f>IFERROR(CONCATENATE(IF(AND($G46&lt;Hta_1,$G46&gt;=Hba_1,Input!AG$21&lt;&gt;""),Input!$B$21&amp;";",""),IF(AND($G46&lt;Hta_2,$G46&gt;=Hba_2,Input!AG$22&lt;&gt;""),Input!$B$22&amp;";",""),IF(AND($G46&lt;Hta_3,$G46&gt;=Hba_3,Input!AG$23&lt;&gt;""),Input!$B$23&amp;";",""),IF(AND($G46&lt;Hta_4,$G46&gt;=Hba_4,Input!AG$24&lt;&gt;""),Input!$B$24&amp;";",""),IF(AND($G46&lt;Hta_5,$G46&gt;=Hba_5,Input!AG$25&lt;&gt;""),Input!$B$25&amp;";",""),IF(AND($G46&lt;Hta_6,$G46&gt;=Hba_6,Input!AG$26&lt;&gt;""),Input!$B$26&amp;";",""),IF(AND($G46&lt;Hta_7,$G46&gt;=Hba_7,Input!AG$27&lt;&gt;""),Input!$B$27&amp;";",""),IF(AND($G46&lt;Hta_8,$G46&gt;=Hba_8,Input!AG$28&lt;&gt;""),Input!$B$28&amp;";",""),IF(AND($G46&lt;Hta_9,$G46&gt;=Hba_9,Input!AG$29&lt;&gt;""),Input!$B$29&amp;";",""),IF(AND($G46&lt;Hta_10,$G46&gt;=Hba_10,Input!AG$30&lt;&gt;""),Input!$B$30&amp;";",""),IF(AND($G46&lt;Hta_11,$G46&gt;=Hba_11,Input!AG$31&lt;&gt;""),Input!$B$31&amp;";",""),IF(AND($G46&lt;Hta_12,$G46&gt;=Hba_12,Input!AG$32&lt;&gt;""),Input!$B$32&amp;";",""),IF(AND($G46&lt;Hta_13,$G46&gt;=Hba_13,Input!AG$33&lt;&gt;""),Input!$B$33&amp;";",""),IF(AND($G46&lt;Hta_14,$G46&gt;=Hba_14,Input!AG$34&lt;&gt;""),Input!$B$34&amp;";",""),IF(AND($G46&lt;Hta_15,$G46&gt;=Hba_15,Input!AG$35&lt;&gt;""),Input!$B$35&amp;";",""),IF(AND($G46&lt;Hta_16,$G46&gt;=Hba_16,Input!AG$36&lt;&gt;""),Input!$B$36&amp;";",""),IF(AND($G46&lt;Hta_17,$G46&gt;=Hba_17,Input!AG$37&lt;&gt;""),Input!$B$37&amp;";",""),IF(AND($G46&lt;Hta_18,$G46&gt;=Hba_18,Input!AG$38&lt;&gt;""),Input!$B$38&amp;";",""),IF(AND($G46&lt;Hta_19,$G46&gt;=Hba_19,Input!AG$39&lt;&gt;""),Input!$B$39&amp;";",""),IF(AND($G46&lt;Hta_20,$G46&gt;=Hba_20,Input!AG$40&lt;&gt;""),Input!$B$40&amp;";",""),IF(AND($G46&lt;Hta_21,$G46&gt;=Hba_21,Input!AG$41&lt;&gt;""),Input!$B$41&amp;";",""),IF(AND($G46&lt;Hta_22,$G46&gt;=Hba_22,Input!AG$42&lt;&gt;""),Input!$B$42&amp;";",""),IF(AND($G46&lt;Hta_23,$G46&gt;=Hba_23,Input!AG$43&lt;&gt;""),Input!$B$43&amp;";",""),IF(AND($G46&lt;Hta_24,$G46&gt;=Hba_24,Input!AG$44&lt;&gt;""),Input!$B$44&amp;";",""),IF(AND($G46&lt;Hta_25,$G46&gt;=Hba_25,Input!AG$45&lt;&gt;""),Input!$B$45&amp;";",""),IF(AND($G46&lt;Hta_26,$G46&gt;=Hba_26,Input!AG$46&lt;&gt;""),Input!$B$46&amp;";",""),IF(AND($G46&lt;Hta_27,$G46&gt;=Hba_27,Input!AG$47&lt;&gt;""),Input!$B$47&amp;";",""),IF(AND($G46&lt;Hta_28,$G46&gt;=Hba_28,Input!AG$48&lt;&gt;""),Input!$B$48&amp;";",""),IF(AND($G46&lt;Hta_29,$G46&gt;=Hba_29,Input!AG$49&lt;&gt;""),Input!$B$49&amp;";",""),IF(AND($G46&lt;Hta_30,$G46&gt;=Hba_30,Input!AG$50&lt;&gt;""),Input!$B$50&amp;";","")),"")</f>
        <v/>
      </c>
      <c r="CI46" s="25" t="str">
        <f>IFERROR(CONCATENATE(IF(AND($G46&lt;Hta_1,$G46&gt;=Hba_1,Input!AH$21&lt;&gt;""),Input!$B$21&amp;";",""),IF(AND($G46&lt;Hta_2,$G46&gt;=Hba_2,Input!AH$22&lt;&gt;""),Input!$B$22&amp;";",""),IF(AND($G46&lt;Hta_3,$G46&gt;=Hba_3,Input!AH$23&lt;&gt;""),Input!$B$23&amp;";",""),IF(AND($G46&lt;Hta_4,$G46&gt;=Hba_4,Input!AH$24&lt;&gt;""),Input!$B$24&amp;";",""),IF(AND($G46&lt;Hta_5,$G46&gt;=Hba_5,Input!AH$25&lt;&gt;""),Input!$B$25&amp;";",""),IF(AND($G46&lt;Hta_6,$G46&gt;=Hba_6,Input!AH$26&lt;&gt;""),Input!$B$26&amp;";",""),IF(AND($G46&lt;Hta_7,$G46&gt;=Hba_7,Input!AH$27&lt;&gt;""),Input!$B$27&amp;";",""),IF(AND($G46&lt;Hta_8,$G46&gt;=Hba_8,Input!AH$28&lt;&gt;""),Input!$B$28&amp;";",""),IF(AND($G46&lt;Hta_9,$G46&gt;=Hba_9,Input!AH$29&lt;&gt;""),Input!$B$29&amp;";",""),IF(AND($G46&lt;Hta_10,$G46&gt;=Hba_10,Input!AH$30&lt;&gt;""),Input!$B$30&amp;";",""),IF(AND($G46&lt;Hta_11,$G46&gt;=Hba_11,Input!AH$31&lt;&gt;""),Input!$B$31&amp;";",""),IF(AND($G46&lt;Hta_12,$G46&gt;=Hba_12,Input!AH$32&lt;&gt;""),Input!$B$32&amp;";",""),IF(AND($G46&lt;Hta_13,$G46&gt;=Hba_13,Input!AH$33&lt;&gt;""),Input!$B$33&amp;";",""),IF(AND($G46&lt;Hta_14,$G46&gt;=Hba_14,Input!AH$34&lt;&gt;""),Input!$B$34&amp;";",""),IF(AND($G46&lt;Hta_15,$G46&gt;=Hba_15,Input!AH$35&lt;&gt;""),Input!$B$35&amp;";",""),IF(AND($G46&lt;Hta_16,$G46&gt;=Hba_16,Input!AH$36&lt;&gt;""),Input!$B$36&amp;";",""),IF(AND($G46&lt;Hta_17,$G46&gt;=Hba_17,Input!AH$37&lt;&gt;""),Input!$B$37&amp;";",""),IF(AND($G46&lt;Hta_18,$G46&gt;=Hba_18,Input!AH$38&lt;&gt;""),Input!$B$38&amp;";",""),IF(AND($G46&lt;Hta_19,$G46&gt;=Hba_19,Input!AH$39&lt;&gt;""),Input!$B$39&amp;";",""),IF(AND($G46&lt;Hta_20,$G46&gt;=Hba_20,Input!AH$40&lt;&gt;""),Input!$B$40&amp;";",""),IF(AND($G46&lt;Hta_21,$G46&gt;=Hba_21,Input!AH$41&lt;&gt;""),Input!$B$41&amp;";",""),IF(AND($G46&lt;Hta_22,$G46&gt;=Hba_22,Input!AH$42&lt;&gt;""),Input!$B$42&amp;";",""),IF(AND($G46&lt;Hta_23,$G46&gt;=Hba_23,Input!AH$43&lt;&gt;""),Input!$B$43&amp;";",""),IF(AND($G46&lt;Hta_24,$G46&gt;=Hba_24,Input!AH$44&lt;&gt;""),Input!$B$44&amp;";",""),IF(AND($G46&lt;Hta_25,$G46&gt;=Hba_25,Input!AH$45&lt;&gt;""),Input!$B$45&amp;";",""),IF(AND($G46&lt;Hta_26,$G46&gt;=Hba_26,Input!AH$46&lt;&gt;""),Input!$B$46&amp;";",""),IF(AND($G46&lt;Hta_27,$G46&gt;=Hba_27,Input!AH$47&lt;&gt;""),Input!$B$47&amp;";",""),IF(AND($G46&lt;Hta_28,$G46&gt;=Hba_28,Input!AH$48&lt;&gt;""),Input!$B$48&amp;";",""),IF(AND($G46&lt;Hta_29,$G46&gt;=Hba_29,Input!AH$49&lt;&gt;""),Input!$B$49&amp;";",""),IF(AND($G46&lt;Hta_30,$G46&gt;=Hba_30,Input!AH$50&lt;&gt;""),Input!$B$50&amp;";","")),"")</f>
        <v/>
      </c>
      <c r="CJ46" s="25" t="str">
        <f>IFERROR(CONCATENATE(IF(AND($G46&lt;Hta_1,$G46&gt;=Hba_1,Input!AI$21&lt;&gt;""),Input!$B$21&amp;";",""),IF(AND($G46&lt;Hta_2,$G46&gt;=Hba_2,Input!AI$22&lt;&gt;""),Input!$B$22&amp;";",""),IF(AND($G46&lt;Hta_3,$G46&gt;=Hba_3,Input!AI$23&lt;&gt;""),Input!$B$23&amp;";",""),IF(AND($G46&lt;Hta_4,$G46&gt;=Hba_4,Input!AI$24&lt;&gt;""),Input!$B$24&amp;";",""),IF(AND($G46&lt;Hta_5,$G46&gt;=Hba_5,Input!AI$25&lt;&gt;""),Input!$B$25&amp;";",""),IF(AND($G46&lt;Hta_6,$G46&gt;=Hba_6,Input!AI$26&lt;&gt;""),Input!$B$26&amp;";",""),IF(AND($G46&lt;Hta_7,$G46&gt;=Hba_7,Input!AI$27&lt;&gt;""),Input!$B$27&amp;";",""),IF(AND($G46&lt;Hta_8,$G46&gt;=Hba_8,Input!AI$28&lt;&gt;""),Input!$B$28&amp;";",""),IF(AND($G46&lt;Hta_9,$G46&gt;=Hba_9,Input!AI$29&lt;&gt;""),Input!$B$29&amp;";",""),IF(AND($G46&lt;Hta_10,$G46&gt;=Hba_10,Input!AI$30&lt;&gt;""),Input!$B$30&amp;";",""),IF(AND($G46&lt;Hta_11,$G46&gt;=Hba_11,Input!AI$31&lt;&gt;""),Input!$B$31&amp;";",""),IF(AND($G46&lt;Hta_12,$G46&gt;=Hba_12,Input!AI$32&lt;&gt;""),Input!$B$32&amp;";",""),IF(AND($G46&lt;Hta_13,$G46&gt;=Hba_13,Input!AI$33&lt;&gt;""),Input!$B$33&amp;";",""),IF(AND($G46&lt;Hta_14,$G46&gt;=Hba_14,Input!AI$34&lt;&gt;""),Input!$B$34&amp;";",""),IF(AND($G46&lt;Hta_15,$G46&gt;=Hba_15,Input!AI$35&lt;&gt;""),Input!$B$35&amp;";",""),IF(AND($G46&lt;Hta_16,$G46&gt;=Hba_16,Input!AI$36&lt;&gt;""),Input!$B$36&amp;";",""),IF(AND($G46&lt;Hta_17,$G46&gt;=Hba_17,Input!AI$37&lt;&gt;""),Input!$B$37&amp;";",""),IF(AND($G46&lt;Hta_18,$G46&gt;=Hba_18,Input!AI$38&lt;&gt;""),Input!$B$38&amp;";",""),IF(AND($G46&lt;Hta_19,$G46&gt;=Hba_19,Input!AI$39&lt;&gt;""),Input!$B$39&amp;";",""),IF(AND($G46&lt;Hta_20,$G46&gt;=Hba_20,Input!AI$40&lt;&gt;""),Input!$B$40&amp;";",""),IF(AND($G46&lt;Hta_21,$G46&gt;=Hba_21,Input!AI$41&lt;&gt;""),Input!$B$41&amp;";",""),IF(AND($G46&lt;Hta_22,$G46&gt;=Hba_22,Input!AI$42&lt;&gt;""),Input!$B$42&amp;";",""),IF(AND($G46&lt;Hta_23,$G46&gt;=Hba_23,Input!AI$43&lt;&gt;""),Input!$B$43&amp;";",""),IF(AND($G46&lt;Hta_24,$G46&gt;=Hba_24,Input!AI$44&lt;&gt;""),Input!$B$44&amp;";",""),IF(AND($G46&lt;Hta_25,$G46&gt;=Hba_25,Input!AI$45&lt;&gt;""),Input!$B$45&amp;";",""),IF(AND($G46&lt;Hta_26,$G46&gt;=Hba_26,Input!AI$46&lt;&gt;""),Input!$B$46&amp;";",""),IF(AND($G46&lt;Hta_27,$G46&gt;=Hba_27,Input!AI$47&lt;&gt;""),Input!$B$47&amp;";",""),IF(AND($G46&lt;Hta_28,$G46&gt;=Hba_28,Input!AI$48&lt;&gt;""),Input!$B$48&amp;";",""),IF(AND($G46&lt;Hta_29,$G46&gt;=Hba_29,Input!AI$49&lt;&gt;""),Input!$B$49&amp;";",""),IF(AND($G46&lt;Hta_30,$G46&gt;=Hba_30,Input!AI$50&lt;&gt;""),Input!$B$50&amp;";","")),"")</f>
        <v/>
      </c>
      <c r="CK46" s="25" t="str">
        <f>IFERROR(CONCATENATE(IF(AND($G46&lt;Hta_1,$G46&gt;=Hba_1,Input!AJ$21&lt;&gt;""),Input!$B$21&amp;";",""),IF(AND($G46&lt;Hta_2,$G46&gt;=Hba_2,Input!AJ$22&lt;&gt;""),Input!$B$22&amp;";",""),IF(AND($G46&lt;Hta_3,$G46&gt;=Hba_3,Input!AJ$23&lt;&gt;""),Input!$B$23&amp;";",""),IF(AND($G46&lt;Hta_4,$G46&gt;=Hba_4,Input!AJ$24&lt;&gt;""),Input!$B$24&amp;";",""),IF(AND($G46&lt;Hta_5,$G46&gt;=Hba_5,Input!AJ$25&lt;&gt;""),Input!$B$25&amp;";",""),IF(AND($G46&lt;Hta_6,$G46&gt;=Hba_6,Input!AJ$26&lt;&gt;""),Input!$B$26&amp;";",""),IF(AND($G46&lt;Hta_7,$G46&gt;=Hba_7,Input!AJ$27&lt;&gt;""),Input!$B$27&amp;";",""),IF(AND($G46&lt;Hta_8,$G46&gt;=Hba_8,Input!AJ$28&lt;&gt;""),Input!$B$28&amp;";",""),IF(AND($G46&lt;Hta_9,$G46&gt;=Hba_9,Input!AJ$29&lt;&gt;""),Input!$B$29&amp;";",""),IF(AND($G46&lt;Hta_10,$G46&gt;=Hba_10,Input!AJ$30&lt;&gt;""),Input!$B$30&amp;";",""),IF(AND($G46&lt;Hta_11,$G46&gt;=Hba_11,Input!AJ$31&lt;&gt;""),Input!$B$31&amp;";",""),IF(AND($G46&lt;Hta_12,$G46&gt;=Hba_12,Input!AJ$32&lt;&gt;""),Input!$B$32&amp;";",""),IF(AND($G46&lt;Hta_13,$G46&gt;=Hba_13,Input!AJ$33&lt;&gt;""),Input!$B$33&amp;";",""),IF(AND($G46&lt;Hta_14,$G46&gt;=Hba_14,Input!AJ$34&lt;&gt;""),Input!$B$34&amp;";",""),IF(AND($G46&lt;Hta_15,$G46&gt;=Hba_15,Input!AJ$35&lt;&gt;""),Input!$B$35&amp;";",""),IF(AND($G46&lt;Hta_16,$G46&gt;=Hba_16,Input!AJ$36&lt;&gt;""),Input!$B$36&amp;";",""),IF(AND($G46&lt;Hta_17,$G46&gt;=Hba_17,Input!AJ$37&lt;&gt;""),Input!$B$37&amp;";",""),IF(AND($G46&lt;Hta_18,$G46&gt;=Hba_18,Input!AJ$38&lt;&gt;""),Input!$B$38&amp;";",""),IF(AND($G46&lt;Hta_19,$G46&gt;=Hba_19,Input!AJ$39&lt;&gt;""),Input!$B$39&amp;";",""),IF(AND($G46&lt;Hta_20,$G46&gt;=Hba_20,Input!AJ$40&lt;&gt;""),Input!$B$40&amp;";",""),IF(AND($G46&lt;Hta_21,$G46&gt;=Hba_21,Input!AJ$41&lt;&gt;""),Input!$B$41&amp;";",""),IF(AND($G46&lt;Hta_22,$G46&gt;=Hba_22,Input!AJ$42&lt;&gt;""),Input!$B$42&amp;";",""),IF(AND($G46&lt;Hta_23,$G46&gt;=Hba_23,Input!AJ$43&lt;&gt;""),Input!$B$43&amp;";",""),IF(AND($G46&lt;Hta_24,$G46&gt;=Hba_24,Input!AJ$44&lt;&gt;""),Input!$B$44&amp;";",""),IF(AND($G46&lt;Hta_25,$G46&gt;=Hba_25,Input!AJ$45&lt;&gt;""),Input!$B$45&amp;";",""),IF(AND($G46&lt;Hta_26,$G46&gt;=Hba_26,Input!AJ$46&lt;&gt;""),Input!$B$46&amp;";",""),IF(AND($G46&lt;Hta_27,$G46&gt;=Hba_27,Input!AJ$47&lt;&gt;""),Input!$B$47&amp;";",""),IF(AND($G46&lt;Hta_28,$G46&gt;=Hba_28,Input!AJ$48&lt;&gt;""),Input!$B$48&amp;";",""),IF(AND($G46&lt;Hta_29,$G46&gt;=Hba_29,Input!AJ$49&lt;&gt;""),Input!$B$49&amp;";",""),IF(AND($G46&lt;Hta_30,$G46&gt;=Hba_30,Input!AJ$50&lt;&gt;""),Input!$B$50&amp;";","")),"")</f>
        <v/>
      </c>
      <c r="CL46" s="25" t="str">
        <f>IFERROR(CONCATENATE(IF(AND($G46&lt;Hta_1,$G46&gt;=Hba_1,Input!AK$21&lt;&gt;""),Input!$B$21&amp;";",""),IF(AND($G46&lt;Hta_2,$G46&gt;=Hba_2,Input!AK$22&lt;&gt;""),Input!$B$22&amp;";",""),IF(AND($G46&lt;Hta_3,$G46&gt;=Hba_3,Input!AK$23&lt;&gt;""),Input!$B$23&amp;";",""),IF(AND($G46&lt;Hta_4,$G46&gt;=Hba_4,Input!AK$24&lt;&gt;""),Input!$B$24&amp;";",""),IF(AND($G46&lt;Hta_5,$G46&gt;=Hba_5,Input!AK$25&lt;&gt;""),Input!$B$25&amp;";",""),IF(AND($G46&lt;Hta_6,$G46&gt;=Hba_6,Input!AK$26&lt;&gt;""),Input!$B$26&amp;";",""),IF(AND($G46&lt;Hta_7,$G46&gt;=Hba_7,Input!AK$27&lt;&gt;""),Input!$B$27&amp;";",""),IF(AND($G46&lt;Hta_8,$G46&gt;=Hba_8,Input!AK$28&lt;&gt;""),Input!$B$28&amp;";",""),IF(AND($G46&lt;Hta_9,$G46&gt;=Hba_9,Input!AK$29&lt;&gt;""),Input!$B$29&amp;";",""),IF(AND($G46&lt;Hta_10,$G46&gt;=Hba_10,Input!AK$30&lt;&gt;""),Input!$B$30&amp;";",""),IF(AND($G46&lt;Hta_11,$G46&gt;=Hba_11,Input!AK$31&lt;&gt;""),Input!$B$31&amp;";",""),IF(AND($G46&lt;Hta_12,$G46&gt;=Hba_12,Input!AK$32&lt;&gt;""),Input!$B$32&amp;";",""),IF(AND($G46&lt;Hta_13,$G46&gt;=Hba_13,Input!AK$33&lt;&gt;""),Input!$B$33&amp;";",""),IF(AND($G46&lt;Hta_14,$G46&gt;=Hba_14,Input!AK$34&lt;&gt;""),Input!$B$34&amp;";",""),IF(AND($G46&lt;Hta_15,$G46&gt;=Hba_15,Input!AK$35&lt;&gt;""),Input!$B$35&amp;";",""),IF(AND($G46&lt;Hta_16,$G46&gt;=Hba_16,Input!AK$36&lt;&gt;""),Input!$B$36&amp;";",""),IF(AND($G46&lt;Hta_17,$G46&gt;=Hba_17,Input!AK$37&lt;&gt;""),Input!$B$37&amp;";",""),IF(AND($G46&lt;Hta_18,$G46&gt;=Hba_18,Input!AK$38&lt;&gt;""),Input!$B$38&amp;";",""),IF(AND($G46&lt;Hta_19,$G46&gt;=Hba_19,Input!AK$39&lt;&gt;""),Input!$B$39&amp;";",""),IF(AND($G46&lt;Hta_20,$G46&gt;=Hba_20,Input!AK$40&lt;&gt;""),Input!$B$40&amp;";",""),IF(AND($G46&lt;Hta_21,$G46&gt;=Hba_21,Input!AK$41&lt;&gt;""),Input!$B$41&amp;";",""),IF(AND($G46&lt;Hta_22,$G46&gt;=Hba_22,Input!AK$42&lt;&gt;""),Input!$B$42&amp;";",""),IF(AND($G46&lt;Hta_23,$G46&gt;=Hba_23,Input!AK$43&lt;&gt;""),Input!$B$43&amp;";",""),IF(AND($G46&lt;Hta_24,$G46&gt;=Hba_24,Input!AK$44&lt;&gt;""),Input!$B$44&amp;";",""),IF(AND($G46&lt;Hta_25,$G46&gt;=Hba_25,Input!AK$45&lt;&gt;""),Input!$B$45&amp;";",""),IF(AND($G46&lt;Hta_26,$G46&gt;=Hba_26,Input!AK$46&lt;&gt;""),Input!$B$46&amp;";",""),IF(AND($G46&lt;Hta_27,$G46&gt;=Hba_27,Input!AK$47&lt;&gt;""),Input!$B$47&amp;";",""),IF(AND($G46&lt;Hta_28,$G46&gt;=Hba_28,Input!AK$48&lt;&gt;""),Input!$B$48&amp;";",""),IF(AND($G46&lt;Hta_29,$G46&gt;=Hba_29,Input!AK$49&lt;&gt;""),Input!$B$49&amp;";",""),IF(AND($G46&lt;Hta_30,$G46&gt;=Hba_30,Input!AK$50&lt;&gt;""),Input!$B$50&amp;";","")),"")</f>
        <v/>
      </c>
      <c r="CM46" s="25" t="str">
        <f>IFERROR(CONCATENATE(IF(AND($G46&lt;Hta_1,$G46&gt;=Hba_1,Input!AL$21&lt;&gt;""),Input!$B$21&amp;";",""),IF(AND($G46&lt;Hta_2,$G46&gt;=Hba_2,Input!AL$22&lt;&gt;""),Input!$B$22&amp;";",""),IF(AND($G46&lt;Hta_3,$G46&gt;=Hba_3,Input!AL$23&lt;&gt;""),Input!$B$23&amp;";",""),IF(AND($G46&lt;Hta_4,$G46&gt;=Hba_4,Input!AL$24&lt;&gt;""),Input!$B$24&amp;";",""),IF(AND($G46&lt;Hta_5,$G46&gt;=Hba_5,Input!AL$25&lt;&gt;""),Input!$B$25&amp;";",""),IF(AND($G46&lt;Hta_6,$G46&gt;=Hba_6,Input!AL$26&lt;&gt;""),Input!$B$26&amp;";",""),IF(AND($G46&lt;Hta_7,$G46&gt;=Hba_7,Input!AL$27&lt;&gt;""),Input!$B$27&amp;";",""),IF(AND($G46&lt;Hta_8,$G46&gt;=Hba_8,Input!AL$28&lt;&gt;""),Input!$B$28&amp;";",""),IF(AND($G46&lt;Hta_9,$G46&gt;=Hba_9,Input!AL$29&lt;&gt;""),Input!$B$29&amp;";",""),IF(AND($G46&lt;Hta_10,$G46&gt;=Hba_10,Input!AL$30&lt;&gt;""),Input!$B$30&amp;";",""),IF(AND($G46&lt;Hta_11,$G46&gt;=Hba_11,Input!AL$31&lt;&gt;""),Input!$B$31&amp;";",""),IF(AND($G46&lt;Hta_12,$G46&gt;=Hba_12,Input!AL$32&lt;&gt;""),Input!$B$32&amp;";",""),IF(AND($G46&lt;Hta_13,$G46&gt;=Hba_13,Input!AL$33&lt;&gt;""),Input!$B$33&amp;";",""),IF(AND($G46&lt;Hta_14,$G46&gt;=Hba_14,Input!AL$34&lt;&gt;""),Input!$B$34&amp;";",""),IF(AND($G46&lt;Hta_15,$G46&gt;=Hba_15,Input!AL$35&lt;&gt;""),Input!$B$35&amp;";",""),IF(AND($G46&lt;Hta_16,$G46&gt;=Hba_16,Input!AL$36&lt;&gt;""),Input!$B$36&amp;";",""),IF(AND($G46&lt;Hta_17,$G46&gt;=Hba_17,Input!AL$37&lt;&gt;""),Input!$B$37&amp;";",""),IF(AND($G46&lt;Hta_18,$G46&gt;=Hba_18,Input!AL$38&lt;&gt;""),Input!$B$38&amp;";",""),IF(AND($G46&lt;Hta_19,$G46&gt;=Hba_19,Input!AL$39&lt;&gt;""),Input!$B$39&amp;";",""),IF(AND($G46&lt;Hta_20,$G46&gt;=Hba_20,Input!AL$40&lt;&gt;""),Input!$B$40&amp;";",""),IF(AND($G46&lt;Hta_21,$G46&gt;=Hba_21,Input!AL$41&lt;&gt;""),Input!$B$41&amp;";",""),IF(AND($G46&lt;Hta_22,$G46&gt;=Hba_22,Input!AL$42&lt;&gt;""),Input!$B$42&amp;";",""),IF(AND($G46&lt;Hta_23,$G46&gt;=Hba_23,Input!AL$43&lt;&gt;""),Input!$B$43&amp;";",""),IF(AND($G46&lt;Hta_24,$G46&gt;=Hba_24,Input!AL$44&lt;&gt;""),Input!$B$44&amp;";",""),IF(AND($G46&lt;Hta_25,$G46&gt;=Hba_25,Input!AL$45&lt;&gt;""),Input!$B$45&amp;";",""),IF(AND($G46&lt;Hta_26,$G46&gt;=Hba_26,Input!AL$46&lt;&gt;""),Input!$B$46&amp;";",""),IF(AND($G46&lt;Hta_27,$G46&gt;=Hba_27,Input!AL$47&lt;&gt;""),Input!$B$47&amp;";",""),IF(AND($G46&lt;Hta_28,$G46&gt;=Hba_28,Input!AL$48&lt;&gt;""),Input!$B$48&amp;";",""),IF(AND($G46&lt;Hta_29,$G46&gt;=Hba_29,Input!AL$49&lt;&gt;""),Input!$B$49&amp;";",""),IF(AND($G46&lt;Hta_30,$G46&gt;=Hba_30,Input!AL$50&lt;&gt;""),Input!$B$50&amp;";","")),"")</f>
        <v/>
      </c>
      <c r="CN46" s="59" t="str">
        <f t="shared" si="6"/>
        <v/>
      </c>
      <c r="CO46" s="791"/>
      <c r="CP46" s="792"/>
      <c r="CQ46" s="793"/>
      <c r="CR46" s="791"/>
      <c r="CS46" s="792"/>
      <c r="CT46" s="793"/>
      <c r="CU46" s="791" t="str">
        <f t="shared" si="7"/>
        <v/>
      </c>
      <c r="CV46" s="792"/>
      <c r="CW46" s="807"/>
      <c r="CX46" s="808"/>
      <c r="CY46" s="730"/>
      <c r="CZ46" s="809"/>
      <c r="DA46" s="733"/>
      <c r="DB46" s="734"/>
      <c r="DC46" s="735"/>
      <c r="DD46" s="729" t="str">
        <f t="shared" si="8"/>
        <v/>
      </c>
      <c r="DE46" s="730"/>
      <c r="DF46" s="731"/>
      <c r="DG46" s="55"/>
      <c r="DH46" s="56"/>
      <c r="DI46" s="56"/>
      <c r="DJ46" s="56"/>
      <c r="DK46" s="56"/>
      <c r="DL46" s="56"/>
      <c r="DM46" s="56"/>
      <c r="DN46" s="56"/>
      <c r="DO46" s="56"/>
      <c r="DP46" s="56"/>
      <c r="DQ46" s="58"/>
      <c r="DR46" s="58"/>
      <c r="DS46" s="58"/>
      <c r="DT46" s="58"/>
      <c r="DU46" s="58"/>
      <c r="DV46" s="58"/>
      <c r="DW46" s="58"/>
      <c r="DX46" s="58"/>
      <c r="DY46" s="58"/>
      <c r="DZ46" s="58"/>
      <c r="EA46" s="58"/>
      <c r="EB46" s="58"/>
      <c r="EC46" s="58"/>
      <c r="ED46" s="58"/>
      <c r="EE46" s="58"/>
      <c r="EF46" s="58"/>
      <c r="EG46" s="58"/>
      <c r="EH46" s="58"/>
      <c r="EI46" s="58"/>
      <c r="EJ46" s="58"/>
      <c r="EK46" s="58"/>
      <c r="EL46" s="134"/>
      <c r="EM46" s="134"/>
      <c r="EN46" s="134"/>
      <c r="EO46" s="134"/>
      <c r="EP46" s="134"/>
      <c r="EQ46" s="134"/>
      <c r="ER46" s="134"/>
      <c r="ES46" s="134"/>
      <c r="ET46" s="134"/>
      <c r="EU46" s="134"/>
      <c r="EV46" s="134"/>
      <c r="EW46" s="134"/>
      <c r="EX46" s="134"/>
      <c r="EY46" s="134"/>
      <c r="EZ46" s="134"/>
      <c r="FA46" s="134"/>
      <c r="FB46" s="134"/>
      <c r="FC46" s="134"/>
      <c r="FD46" s="134"/>
      <c r="FE46" s="134"/>
      <c r="FF46" s="134"/>
      <c r="FG46" s="134"/>
      <c r="FH46" s="134"/>
      <c r="FI46" s="134"/>
      <c r="FJ46" s="134"/>
      <c r="FK46" s="134"/>
      <c r="FL46" s="134"/>
      <c r="FM46" s="134"/>
      <c r="FN46" s="134"/>
      <c r="FO46" s="134"/>
      <c r="FP46" s="65"/>
      <c r="FQ46" s="124"/>
      <c r="FR46" s="122"/>
      <c r="FS46" s="120"/>
      <c r="FT46" s="119"/>
    </row>
    <row r="47" spans="2:176" ht="15.75" hidden="1" customHeight="1" thickBot="1" x14ac:dyDescent="0.3">
      <c r="B47" s="62" t="b">
        <f>IF(OR(AND(G47&gt;='Geometry 2'!$AK$5,G47&lt;'Geometry 2'!$AL$5),AND(G47&gt;='Geometry 2'!$AK$6,G47&lt;'Geometry 2'!$AL$6),AND(G47&gt;='Geometry 2'!$AK$7,G47&lt;'Geometry 2'!$AL$7),AND(G47&gt;='Geometry 2'!$AK$8,G47&lt;'Geometry 2'!$AL$8),AND(G47&gt;='Geometry 2'!$AK$9,G47&lt;'Geometry 2'!$AL$9),AND(G47&gt;='Geometry 2'!$AK$10,G47&lt;'Geometry 2'!$AL$10),AND(G47&gt;='Geometry 2'!$AK$11,G47&lt;'Geometry 2'!$AL$11),AND(G47&gt;='Geometry 2'!$AK$12,G47&lt;'Geometry 2'!$AL$12),AND(G47&gt;='Geometry 2'!$AK$13,G47&lt;'Geometry 2'!$AL$13),AND(G47&gt;='Geometry 2'!$AK$14,G47&lt;'Geometry 2'!$AL$14)),TRUE,FALSE)</f>
        <v>0</v>
      </c>
      <c r="C47" s="4" t="str">
        <f t="shared" si="3"/>
        <v/>
      </c>
      <c r="D47" s="766" t="str">
        <f t="shared" si="4"/>
        <v/>
      </c>
      <c r="E47" s="767"/>
      <c r="F47" s="17" t="str">
        <f t="shared" si="2"/>
        <v/>
      </c>
      <c r="G47" s="768" t="str">
        <f>IF(D47="","",MAX(0,G46-IF(inc="n/a",999,inc),MAX(IF(G46&lt;=Hta_1,0,Hta_1),IF(G46&lt;=Hta_2,0,Hta_2),IF(G46&lt;=Hta_3,0,Hta_3),IF(G46&lt;=Hta_4,0,Hta_4),IF(G46&lt;=Hta_5,0,Hta_5),IF(G46&lt;=Hta_6,0,Hta_6),IF(G46&lt;=Hta_7,0,Hta_7),IF(G46&lt;=Hta_8,0,Hta_8),IF(G46&lt;=Hta_9,0,Hta_9),IF(G46&lt;=Hta_10,0,Hta_10),IF(G46&lt;=Hta_11,0,Hta_11),IF(G46&lt;=Hta_12,0,Hta_12),IF(G46&lt;=Hta_13,0,Hta_13),IF(G46&lt;=Hta_14,0,Hta_14),IF(G46&lt;=Hta_15,0,Hta_15),IF(G46&lt;=Hta_16,0,Hta_16),IF(G46&lt;=Hta_17,0,Hta_17),IF(G46&lt;=Hta_18,0,Hta_18),IF(G46&lt;=Hta_19,0,Hta_19),IF(G46&lt;=Hta_20,0,Hta_20),IF(G46&lt;=Hta_21,0,Hta_21),IF(G46&lt;=Hta_22,0,Hta_22),IF(G46&lt;=Hta_23,0,Hta_23),IF(G46&lt;=Hta_24,0,Hta_24),IF(G46&lt;=Hta_25,0,Hta_25),IF(G46&lt;=Hta_26,0,Hta_26),IF(G46&lt;=Hta_27,0,Hta_27),IF(G46&lt;=Hta_28,0,Hta_28),IF(G46&lt;=Hta_29,0,Hta_29),IF(G46&lt;=Hta_30,0,Hta_30)),MAX(IF(G46&lt;=Hta_1-0.25,0,Hta_1-0.25),IF(G46&lt;=Hta_2-0.25,0,Hta_2-0.25),IF(G46&lt;=Hta_3-0.25,0,Hta_3-0.25),IF(G46&lt;=Hta_4-0.25,0,Hta_4-0.25),IF(G46&lt;=Hta_5-0.25,0,Hta_5-0.25),IF(G46&lt;=Hta_6-0.25,0,Hta_6-0.25),IF(G46&lt;=Hta_7-0.25,0,Hta_7-0.25),IF(G46&lt;=Hta_8-0.25,0,Hta_8-0.25),IF(G46&lt;=Hta_9-0.25,0,Hta_9-0.25),IF(G46&lt;=Hta_10-0.25,0,Hta_10-0.25),IF(G46&lt;=Hta_11-0.25,0,Hta_11-0.25),IF(G46&lt;=Hta_12-0.25,0,Hta_12-0.25),IF(G46&lt;=Hta_13-0.25,0,Hta_13-0.25),IF(G46&lt;=Hta_14-0.25,0,Hta_14-0.25),IF(G46&lt;=Hta_15-0.25,0,Hta_15-0.25),IF(G46&lt;=Hta_16-0.25,0,Hta_16-0.25),IF(G46&lt;=Hta_17-0.25,0,Hta_17-0.25),IF(G46&lt;=Hta_18-0.25,0,Hta_18-0.25),IF(G46&lt;=Hta_19-0.25,0,Hta_19-0.25),IF(G46&lt;=Hta_20-0.25,0,Hta_20-0.25),IF(G46&lt;=Hta_21-0.25,0,Hta_21-0.25),IF(G46&lt;=Hta_22-0.25,0,Hta_22-0.25),IF(G46&lt;=Hta_23-0.25,0,Hta_23-0.25),IF(G46&lt;=Hta_24-0.25,0,Hta_24-0.25),IF(G46&lt;=Hta_25-0.25,0,Hta_25-0.25),IF(G46&lt;=Hta_26-0.25,0,Hta_26-0.25),IF(G46&lt;=Hta_27-0.25,0,Hta_27-0.25),IF(G46&lt;=Hta_28-0.25,0,Hta_28-0.25),IF(G46&lt;=Hta_29-0.25,0,Hta_29-0.25),IF(G46&lt;=Hta_30-0.25,0,Hta_30-0.25)),MAX(IF(G46&lt;=Hba_1,0,Hba_1),IF(G46&lt;=Hba_2,0,Hba_2),IF(G46&lt;=Hba_3,0,Hba_3),IF(G46&lt;=Hba_4,0,Hba_4),IF(G46&lt;=Hba_5,0,Hba_5),IF(G46&lt;=Hba_6,0,Hba_6),IF(G46&lt;=Hba_7,0,Hba_7),IF(G46&lt;=Hba_8,0,Hba_8),IF(G46&lt;=Hba_9,0,Hba_9),IF(G46&lt;=Hba_10,0,Hba_10),IF(G46&lt;=Hba_11,0,Hba_11),IF(G46&lt;=Hba_12,0,Hba_12),IF(G46&lt;=Hba_13,0,Hba_13),IF(G46&lt;=Hba_14,0,Hba_14),IF(G46&lt;=Hba_15,0,Hba_15),IF(G46&lt;=Hba_16,0,Hba_16),IF(G46&lt;=Hba_17,0,Hba_17),IF(G46&lt;=Hba_18,0,Hba_18),IF(G46&lt;=Hba_19,0,Hba_19),IF(G46&lt;=Hba_20,0,Hba_20),IF(G46&lt;=Hba_21,0,Hba_21),IF(G46&lt;=Hba_22,0,Hba_22),IF(G46&lt;=Hba_23,0,Hba_23),IF(G46&lt;=Hba_24,0,Hba_24),IF(G46&lt;=Hba_25,0,Hba_25),IF(G46&lt;=Hba_26,0,Hba_26),IF(G46&lt;=Hba_27,0,Hba_27),IF(G46&lt;=Hba_28,0,Hba_28),IF(G46&lt;=Hba_29,0,Hba_29),IF(G46&lt;=Hba_30,0,Hba_30)),MAX(IF(G46&lt;=Input!$C$8,0,Input!$C$8),IF(G46&lt;=Input!$C$9,0,Input!$C$9),IF(G46&lt;=Input!$C$10,0,Input!$C$10),IF(G46&lt;=Input!$C$11,0,Input!$C$11),IF(G46&lt;=Input!$C$12,0,Input!$C$12),IF(G46&lt;=Input!$C$13,0,Input!$C$13),IF(G46&lt;=Input!$C$14,0,Input!$C$14),IF(G46&lt;=Input!$C$15,0,Input!$C$15),IF(G46&lt;=Input!$C$16,0,Input!$C$16)),MAX(IF(G46&lt;=Hba_1-0.25,0,Hba_1-0.25),IF(G46&lt;=Hba_2-0.25,0,Hba_2-0.25),IF(G46&lt;=Hba_3-0.25,0,Hba_3-0.25),IF(G46&lt;=Hba_4-0.25,0,Hba_4-0.25),IF(G46&lt;=Hba_5-0.25,0,Hba_5-0.25),IF(G46&lt;=Hba_6-0.25,0,Hba_6-0.25),IF(G46&lt;=Hba_7-0.25,0,Hba_7-0.25),IF(G46&lt;=Hba_8-0.25,0,Hba_8-0.25),IF(G46&lt;=Hba_9-0.25,0,Hba_9-0.25),IF(G46&lt;=Hba_10-0.25,0,Hba_10-0.25),IF(G46&lt;=Hba_11-0.25,0,Hba_11-0.25),IF(G46&lt;=Hba_12-0.25,0,Hba_12-0.25),IF(G46&lt;=Hba_13-0.25,0,Hba_13-0.25),IF(G46&lt;=Hba_14-0.25,0,Hba_14-0.25),IF(G46&lt;=Hba_15-0.25,0,Hba_15-0.25),IF(G46&lt;=Hba_16-0.25,0,Hba_16-0.25),IF(G46&lt;=Hba_17-0.25,0,Hba_17-0.25),IF(G46&lt;=Hba_18-0.25,0,Hba_18-0.25),IF(G46&lt;=Hba_19-0.25,0,Hba_19-0.25),IF(G46&lt;=Hba_20-0.25,0,Hba_20-0.25),IF(G46&lt;=Hba_21-0.25,0,Hba_21-0.25),IF(G46&lt;=Hba_22-0.25,0,Hba_22-0.25),IF(G46&lt;=Hba_23-0.25,0,Hba_23-0.25),IF(G46&lt;=Hba_24-0.25,0,Hba_24-0.25),IF(G46&lt;=Hba_25-0.25,0,Hba_25-0.25),IF(G46&lt;=Hba_26-0.25,0,Hba_26-0.25),IF(G46&lt;=Hba_27-0.25,0,Hba_27-0.25),IF(G46&lt;=Hba_28-0.25,0,Hba_28-0.25),IF(G46&lt;=Hba_29-0.25,0,Hba_29-0.25),IF(G46&lt;=Hba_30-0.25,0,Hba_30-0.25)),IF(G46&lt;='Macro References'!$A$38,0,'Macro References'!$A$38)))</f>
        <v/>
      </c>
      <c r="H47" s="769"/>
      <c r="I47" s="228"/>
      <c r="J47" s="228"/>
      <c r="K47" s="228"/>
      <c r="L47" s="717" t="str">
        <f t="shared" si="10"/>
        <v/>
      </c>
      <c r="M47" s="717"/>
      <c r="N47" s="717"/>
      <c r="O47" s="717"/>
      <c r="P47" s="717" t="str">
        <f>IF(OR(G47=0,G47=""),"",IF(VLOOKUP(G47,'Geometry 2'!$C$4:$AI$14,1,TRUE)=VLOOKUP(G48,'Geometry 2'!$C$4:$AI$14,1,TRUE),"",IF(VLOOKUP(G47,'Geometry 2'!$C$4:$AI$14,33,TRUE)&lt;&gt;"n/a",MIN(G47,VLOOKUP(G47,'Geometry 2'!$C$4:$AI$14,1,TRUE))-VLOOKUP(G47,'Geometry 2'!$C$4:$AI$14,33,TRUE),"check")))</f>
        <v/>
      </c>
      <c r="Q47" s="717"/>
      <c r="R47" s="717"/>
      <c r="S47" s="717"/>
      <c r="T47" s="717" t="str">
        <f>IF($G47="","",VLOOKUP($G47,'Geometry 2'!$E$4:$AH$14,11,TRUE))</f>
        <v/>
      </c>
      <c r="U47" s="717"/>
      <c r="V47" s="717"/>
      <c r="W47" s="717"/>
      <c r="X47" s="716" t="str">
        <f>IF($G47="","",VLOOKUP($G47,'Geometry 2'!$E$4:$AJ$14,19,TRUE)-12*VLOOKUP($G47,'Geometry 2'!$E$4:$AJ$14,32,TRUE)*($D47-VLOOKUP($G47,'Geometry 2'!$E$5:$AH$14,1,TRUE)))</f>
        <v/>
      </c>
      <c r="Y47" s="716"/>
      <c r="Z47" s="716"/>
      <c r="AA47" s="716"/>
      <c r="AB47" s="757" t="str">
        <f>IF($G47="","",VLOOKUP($G47,'Geometry 2'!$E$4:$AJ$14,19,TRUE)-12*VLOOKUP($G47,'Geometry 2'!$E$4:$AJ$14,32,TRUE)*($G47-VLOOKUP($G47,'Geometry 2'!$E$5:$AH$14,1,TRUE)))</f>
        <v/>
      </c>
      <c r="AC47" s="758"/>
      <c r="AD47" s="758"/>
      <c r="AE47" s="759"/>
      <c r="AF47" s="716" t="str">
        <f>IF($G47="","",VLOOKUP($G47,'Geometry 2'!$E$4:$AJ$14,19,TRUE)-12*VLOOKUP($G47,'Geometry 2'!$E$4:$AJ$14,32,TRUE)*($G47-IF($P47="",0,$P47)-VLOOKUP($G47,'Geometry 2'!$E$5:$AH$14,1,TRUE)))</f>
        <v/>
      </c>
      <c r="AG47" s="716"/>
      <c r="AH47" s="716"/>
      <c r="AI47" s="716"/>
      <c r="AJ47" s="746" t="str">
        <f>IF($G47="","",VLOOKUP($G47,'Geometry 2'!$E$4:$AH$14,23,TRUE))</f>
        <v/>
      </c>
      <c r="AK47" s="747"/>
      <c r="AL47" s="747"/>
      <c r="AM47" s="748"/>
      <c r="AN47" s="717"/>
      <c r="AO47" s="717"/>
      <c r="AP47" s="717"/>
      <c r="AQ47" s="717"/>
      <c r="AR47" s="717" t="str">
        <f>IF($G47="","",VLOOKUP($G47,'Geometry 2'!$E$4:$AH$14,27,TRUE))</f>
        <v/>
      </c>
      <c r="AS47" s="717"/>
      <c r="AT47" s="717"/>
      <c r="AU47" s="718"/>
      <c r="AV47" s="715"/>
      <c r="AW47" s="716"/>
      <c r="AX47" s="716"/>
      <c r="AZ47" s="722" t="str">
        <f t="shared" si="5"/>
        <v/>
      </c>
      <c r="BA47" s="723"/>
      <c r="BB47" s="723"/>
      <c r="BC47" s="724"/>
      <c r="BD47" s="722"/>
      <c r="BE47" s="723"/>
      <c r="BF47" s="723"/>
      <c r="BG47" s="722" t="str">
        <f t="shared" si="9"/>
        <v/>
      </c>
      <c r="BH47" s="723"/>
      <c r="BI47" s="723"/>
      <c r="BJ47" s="723"/>
      <c r="BK47" s="724"/>
      <c r="BL47" s="722"/>
      <c r="BM47" s="723"/>
      <c r="BN47" s="723"/>
      <c r="BO47" s="723"/>
      <c r="BP47" s="725"/>
      <c r="BQ47" s="725"/>
      <c r="BR47" s="722" t="str">
        <f>IF(BP47="","",IF(OR(AND(Rev="H",Calculations!$F$27=TRUE),AND(Rev&lt;&gt;"H",Calculations!$F$30=TRUE)),IF(BP47&lt;=1,"Pass","Fail"),IF(BP47&lt;=1.05,"Pass","Fail")))</f>
        <v/>
      </c>
      <c r="BS47" s="723"/>
      <c r="BT47" s="724"/>
      <c r="BU47" s="49"/>
      <c r="BV47" s="25" t="str">
        <f>IFERROR(CONCATENATE(IF(AND($G47&lt;Hta_1,$G47&gt;=Hba_1,Input!U$21&lt;&gt;""),Input!$B$21&amp;";",""),IF(AND($G47&lt;Hta_2,$G47&gt;=Hba_2,Input!U$22&lt;&gt;""),Input!$B$22&amp;";",""),IF(AND($G47&lt;Hta_3,$G47&gt;=Hba_3,Input!U$23&lt;&gt;""),Input!$B$23&amp;";",""),IF(AND($G47&lt;Hta_4,$G47&gt;=Hba_4,Input!U$24&lt;&gt;""),Input!$B$24&amp;";",""),IF(AND($G47&lt;Hta_5,$G47&gt;=Hba_5,Input!U$25&lt;&gt;""),Input!$B$25&amp;";",""),IF(AND($G47&lt;Hta_6,$G47&gt;=Hba_6,Input!U$26&lt;&gt;""),Input!$B$26&amp;";",""),IF(AND($G47&lt;Hta_7,$G47&gt;=Hba_7,Input!U$27&lt;&gt;""),Input!$B$27&amp;";",""),IF(AND($G47&lt;Hta_8,$G47&gt;=Hba_8,Input!U$28&lt;&gt;""),Input!$B$28&amp;";",""),IF(AND($G47&lt;Hta_9,$G47&gt;=Hba_9,Input!U$29&lt;&gt;""),Input!$B$29&amp;";",""),IF(AND($G47&lt;Hta_10,$G47&gt;=Hba_10,Input!U$30&lt;&gt;""),Input!$B$30&amp;";",""),IF(AND($G47&lt;Hta_11,$G47&gt;=Hba_11,Input!U$31&lt;&gt;""),Input!$B$31&amp;";",""),IF(AND($G47&lt;Hta_12,$G47&gt;=Hba_12,Input!U$32&lt;&gt;""),Input!$B$32&amp;";",""),IF(AND($G47&lt;Hta_13,$G47&gt;=Hba_13,Input!U$33&lt;&gt;""),Input!$B$33&amp;";",""),IF(AND($G47&lt;Hta_14,$G47&gt;=Hba_14,Input!U$34&lt;&gt;""),Input!$B$34&amp;";",""),IF(AND($G47&lt;Hta_15,$G47&gt;=Hba_15,Input!U$35&lt;&gt;""),Input!$B$35&amp;";",""),IF(AND($G47&lt;Hta_16,$G47&gt;=Hba_16,Input!U$36&lt;&gt;""),Input!$B$36&amp;";",""),IF(AND($G47&lt;Hta_17,$G47&gt;=Hba_17,Input!U$37&lt;&gt;""),Input!$B$37&amp;";",""),IF(AND($G47&lt;Hta_18,$G47&gt;=Hba_18,Input!U$38&lt;&gt;""),Input!$B$38&amp;";",""),IF(AND($G47&lt;Hta_19,$G47&gt;=Hba_19,Input!U$39&lt;&gt;""),Input!$B$39&amp;";",""),IF(AND($G47&lt;Hta_20,$G47&gt;=Hba_20,Input!U$40&lt;&gt;""),Input!$B$40&amp;";",""),IF(AND($G47&lt;Hta_21,$G47&gt;=Hba_21,Input!U$41&lt;&gt;""),Input!$B$41&amp;";",""),IF(AND($G47&lt;Hta_22,$G47&gt;=Hba_22,Input!U$42&lt;&gt;""),Input!$B$42&amp;";",""),IF(AND($G47&lt;Hta_23,$G47&gt;=Hba_23,Input!U$43&lt;&gt;""),Input!$B$43&amp;";",""),IF(AND($G47&lt;Hta_24,$G47&gt;=Hba_24,Input!U$44&lt;&gt;""),Input!$B$44&amp;";",""),IF(AND($G47&lt;Hta_25,$G47&gt;=Hba_25,Input!U$45&lt;&gt;""),Input!$B$45&amp;";",""),IF(AND($G47&lt;Hta_26,$G47&gt;=Hba_26,Input!U$46&lt;&gt;""),Input!$B$46&amp;";",""),IF(AND($G47&lt;Hta_27,$G47&gt;=Hba_27,Input!U$47&lt;&gt;""),Input!$B$47&amp;";",""),IF(AND($G47&lt;Hta_28,$G47&gt;=Hba_28,Input!U$48&lt;&gt;""),Input!$B$48&amp;";",""),IF(AND($G47&lt;Hta_29,$G47&gt;=Hba_29,Input!U$49&lt;&gt;""),Input!$B$49&amp;";",""),IF(AND($G47&lt;Hta_30,$G47&gt;=Hba_30,Input!U$50&lt;&gt;""),Input!$B$50&amp;";","")),"")</f>
        <v/>
      </c>
      <c r="BW47" s="25" t="str">
        <f>IFERROR(CONCATENATE(IF(AND($G47&lt;Hta_1,$G47&gt;=Hba_1,Input!V$21&lt;&gt;""),Input!$B$21&amp;";",""),IF(AND($G47&lt;Hta_2,$G47&gt;=Hba_2,Input!V$22&lt;&gt;""),Input!$B$22&amp;";",""),IF(AND($G47&lt;Hta_3,$G47&gt;=Hba_3,Input!V$23&lt;&gt;""),Input!$B$23&amp;";",""),IF(AND($G47&lt;Hta_4,$G47&gt;=Hba_4,Input!V$24&lt;&gt;""),Input!$B$24&amp;";",""),IF(AND($G47&lt;Hta_5,$G47&gt;=Hba_5,Input!V$25&lt;&gt;""),Input!$B$25&amp;";",""),IF(AND($G47&lt;Hta_6,$G47&gt;=Hba_6,Input!V$26&lt;&gt;""),Input!$B$26&amp;";",""),IF(AND($G47&lt;Hta_7,$G47&gt;=Hba_7,Input!V$27&lt;&gt;""),Input!$B$27&amp;";",""),IF(AND($G47&lt;Hta_8,$G47&gt;=Hba_8,Input!V$28&lt;&gt;""),Input!$B$28&amp;";",""),IF(AND($G47&lt;Hta_9,$G47&gt;=Hba_9,Input!V$29&lt;&gt;""),Input!$B$29&amp;";",""),IF(AND($G47&lt;Hta_10,$G47&gt;=Hba_10,Input!V$30&lt;&gt;""),Input!$B$30&amp;";",""),IF(AND($G47&lt;Hta_11,$G47&gt;=Hba_11,Input!V$31&lt;&gt;""),Input!$B$31&amp;";",""),IF(AND($G47&lt;Hta_12,$G47&gt;=Hba_12,Input!V$32&lt;&gt;""),Input!$B$32&amp;";",""),IF(AND($G47&lt;Hta_13,$G47&gt;=Hba_13,Input!V$33&lt;&gt;""),Input!$B$33&amp;";",""),IF(AND($G47&lt;Hta_14,$G47&gt;=Hba_14,Input!V$34&lt;&gt;""),Input!$B$34&amp;";",""),IF(AND($G47&lt;Hta_15,$G47&gt;=Hba_15,Input!V$35&lt;&gt;""),Input!$B$35&amp;";",""),IF(AND($G47&lt;Hta_16,$G47&gt;=Hba_16,Input!V$36&lt;&gt;""),Input!$B$36&amp;";",""),IF(AND($G47&lt;Hta_17,$G47&gt;=Hba_17,Input!V$37&lt;&gt;""),Input!$B$37&amp;";",""),IF(AND($G47&lt;Hta_18,$G47&gt;=Hba_18,Input!V$38&lt;&gt;""),Input!$B$38&amp;";",""),IF(AND($G47&lt;Hta_19,$G47&gt;=Hba_19,Input!V$39&lt;&gt;""),Input!$B$39&amp;";",""),IF(AND($G47&lt;Hta_20,$G47&gt;=Hba_20,Input!V$40&lt;&gt;""),Input!$B$40&amp;";",""),IF(AND($G47&lt;Hta_21,$G47&gt;=Hba_21,Input!V$41&lt;&gt;""),Input!$B$41&amp;";",""),IF(AND($G47&lt;Hta_22,$G47&gt;=Hba_22,Input!V$42&lt;&gt;""),Input!$B$42&amp;";",""),IF(AND($G47&lt;Hta_23,$G47&gt;=Hba_23,Input!V$43&lt;&gt;""),Input!$B$43&amp;";",""),IF(AND($G47&lt;Hta_24,$G47&gt;=Hba_24,Input!V$44&lt;&gt;""),Input!$B$44&amp;";",""),IF(AND($G47&lt;Hta_25,$G47&gt;=Hba_25,Input!V$45&lt;&gt;""),Input!$B$45&amp;";",""),IF(AND($G47&lt;Hta_26,$G47&gt;=Hba_26,Input!V$46&lt;&gt;""),Input!$B$46&amp;";",""),IF(AND($G47&lt;Hta_27,$G47&gt;=Hba_27,Input!V$47&lt;&gt;""),Input!$B$47&amp;";",""),IF(AND($G47&lt;Hta_28,$G47&gt;=Hba_28,Input!V$48&lt;&gt;""),Input!$B$48&amp;";",""),IF(AND($G47&lt;Hta_29,$G47&gt;=Hba_29,Input!V$49&lt;&gt;""),Input!$B$49&amp;";",""),IF(AND($G47&lt;Hta_30,$G47&gt;=Hba_30,Input!V$50&lt;&gt;""),Input!$B$50&amp;";","")),"")</f>
        <v/>
      </c>
      <c r="BX47" s="25" t="str">
        <f>IFERROR(CONCATENATE(IF(AND($G47&lt;Hta_1,$G47&gt;=Hba_1,Input!W$21&lt;&gt;""),Input!$B$21&amp;";",""),IF(AND($G47&lt;Hta_2,$G47&gt;=Hba_2,Input!W$22&lt;&gt;""),Input!$B$22&amp;";",""),IF(AND($G47&lt;Hta_3,$G47&gt;=Hba_3,Input!W$23&lt;&gt;""),Input!$B$23&amp;";",""),IF(AND($G47&lt;Hta_4,$G47&gt;=Hba_4,Input!W$24&lt;&gt;""),Input!$B$24&amp;";",""),IF(AND($G47&lt;Hta_5,$G47&gt;=Hba_5,Input!W$25&lt;&gt;""),Input!$B$25&amp;";",""),IF(AND($G47&lt;Hta_6,$G47&gt;=Hba_6,Input!W$26&lt;&gt;""),Input!$B$26&amp;";",""),IF(AND($G47&lt;Hta_7,$G47&gt;=Hba_7,Input!W$27&lt;&gt;""),Input!$B$27&amp;";",""),IF(AND($G47&lt;Hta_8,$G47&gt;=Hba_8,Input!W$28&lt;&gt;""),Input!$B$28&amp;";",""),IF(AND($G47&lt;Hta_9,$G47&gt;=Hba_9,Input!W$29&lt;&gt;""),Input!$B$29&amp;";",""),IF(AND($G47&lt;Hta_10,$G47&gt;=Hba_10,Input!W$30&lt;&gt;""),Input!$B$30&amp;";",""),IF(AND($G47&lt;Hta_11,$G47&gt;=Hba_11,Input!W$31&lt;&gt;""),Input!$B$31&amp;";",""),IF(AND($G47&lt;Hta_12,$G47&gt;=Hba_12,Input!W$32&lt;&gt;""),Input!$B$32&amp;";",""),IF(AND($G47&lt;Hta_13,$G47&gt;=Hba_13,Input!W$33&lt;&gt;""),Input!$B$33&amp;";",""),IF(AND($G47&lt;Hta_14,$G47&gt;=Hba_14,Input!W$34&lt;&gt;""),Input!$B$34&amp;";",""),IF(AND($G47&lt;Hta_15,$G47&gt;=Hba_15,Input!W$35&lt;&gt;""),Input!$B$35&amp;";",""),IF(AND($G47&lt;Hta_16,$G47&gt;=Hba_16,Input!W$36&lt;&gt;""),Input!$B$36&amp;";",""),IF(AND($G47&lt;Hta_17,$G47&gt;=Hba_17,Input!W$37&lt;&gt;""),Input!$B$37&amp;";",""),IF(AND($G47&lt;Hta_18,$G47&gt;=Hba_18,Input!W$38&lt;&gt;""),Input!$B$38&amp;";",""),IF(AND($G47&lt;Hta_19,$G47&gt;=Hba_19,Input!W$39&lt;&gt;""),Input!$B$39&amp;";",""),IF(AND($G47&lt;Hta_20,$G47&gt;=Hba_20,Input!W$40&lt;&gt;""),Input!$B$40&amp;";",""),IF(AND($G47&lt;Hta_21,$G47&gt;=Hba_21,Input!W$41&lt;&gt;""),Input!$B$41&amp;";",""),IF(AND($G47&lt;Hta_22,$G47&gt;=Hba_22,Input!W$42&lt;&gt;""),Input!$B$42&amp;";",""),IF(AND($G47&lt;Hta_23,$G47&gt;=Hba_23,Input!W$43&lt;&gt;""),Input!$B$43&amp;";",""),IF(AND($G47&lt;Hta_24,$G47&gt;=Hba_24,Input!W$44&lt;&gt;""),Input!$B$44&amp;";",""),IF(AND($G47&lt;Hta_25,$G47&gt;=Hba_25,Input!W$45&lt;&gt;""),Input!$B$45&amp;";",""),IF(AND($G47&lt;Hta_26,$G47&gt;=Hba_26,Input!W$46&lt;&gt;""),Input!$B$46&amp;";",""),IF(AND($G47&lt;Hta_27,$G47&gt;=Hba_27,Input!W$47&lt;&gt;""),Input!$B$47&amp;";",""),IF(AND($G47&lt;Hta_28,$G47&gt;=Hba_28,Input!W$48&lt;&gt;""),Input!$B$48&amp;";",""),IF(AND($G47&lt;Hta_29,$G47&gt;=Hba_29,Input!W$49&lt;&gt;""),Input!$B$49&amp;";",""),IF(AND($G47&lt;Hta_30,$G47&gt;=Hba_30,Input!W$50&lt;&gt;""),Input!$B$50&amp;";","")),"")</f>
        <v/>
      </c>
      <c r="BY47" s="25" t="str">
        <f>IFERROR(CONCATENATE(IF(AND($G47&lt;Hta_1,$G47&gt;=Hba_1,Input!X$21&lt;&gt;""),Input!$B$21&amp;";",""),IF(AND($G47&lt;Hta_2,$G47&gt;=Hba_2,Input!X$22&lt;&gt;""),Input!$B$22&amp;";",""),IF(AND($G47&lt;Hta_3,$G47&gt;=Hba_3,Input!X$23&lt;&gt;""),Input!$B$23&amp;";",""),IF(AND($G47&lt;Hta_4,$G47&gt;=Hba_4,Input!X$24&lt;&gt;""),Input!$B$24&amp;";",""),IF(AND($G47&lt;Hta_5,$G47&gt;=Hba_5,Input!X$25&lt;&gt;""),Input!$B$25&amp;";",""),IF(AND($G47&lt;Hta_6,$G47&gt;=Hba_6,Input!X$26&lt;&gt;""),Input!$B$26&amp;";",""),IF(AND($G47&lt;Hta_7,$G47&gt;=Hba_7,Input!X$27&lt;&gt;""),Input!$B$27&amp;";",""),IF(AND($G47&lt;Hta_8,$G47&gt;=Hba_8,Input!X$28&lt;&gt;""),Input!$B$28&amp;";",""),IF(AND($G47&lt;Hta_9,$G47&gt;=Hba_9,Input!X$29&lt;&gt;""),Input!$B$29&amp;";",""),IF(AND($G47&lt;Hta_10,$G47&gt;=Hba_10,Input!X$30&lt;&gt;""),Input!$B$30&amp;";",""),IF(AND($G47&lt;Hta_11,$G47&gt;=Hba_11,Input!X$31&lt;&gt;""),Input!$B$31&amp;";",""),IF(AND($G47&lt;Hta_12,$G47&gt;=Hba_12,Input!X$32&lt;&gt;""),Input!$B$32&amp;";",""),IF(AND($G47&lt;Hta_13,$G47&gt;=Hba_13,Input!X$33&lt;&gt;""),Input!$B$33&amp;";",""),IF(AND($G47&lt;Hta_14,$G47&gt;=Hba_14,Input!X$34&lt;&gt;""),Input!$B$34&amp;";",""),IF(AND($G47&lt;Hta_15,$G47&gt;=Hba_15,Input!X$35&lt;&gt;""),Input!$B$35&amp;";",""),IF(AND($G47&lt;Hta_16,$G47&gt;=Hba_16,Input!X$36&lt;&gt;""),Input!$B$36&amp;";",""),IF(AND($G47&lt;Hta_17,$G47&gt;=Hba_17,Input!X$37&lt;&gt;""),Input!$B$37&amp;";",""),IF(AND($G47&lt;Hta_18,$G47&gt;=Hba_18,Input!X$38&lt;&gt;""),Input!$B$38&amp;";",""),IF(AND($G47&lt;Hta_19,$G47&gt;=Hba_19,Input!X$39&lt;&gt;""),Input!$B$39&amp;";",""),IF(AND($G47&lt;Hta_20,$G47&gt;=Hba_20,Input!X$40&lt;&gt;""),Input!$B$40&amp;";",""),IF(AND($G47&lt;Hta_21,$G47&gt;=Hba_21,Input!X$41&lt;&gt;""),Input!$B$41&amp;";",""),IF(AND($G47&lt;Hta_22,$G47&gt;=Hba_22,Input!X$42&lt;&gt;""),Input!$B$42&amp;";",""),IF(AND($G47&lt;Hta_23,$G47&gt;=Hba_23,Input!X$43&lt;&gt;""),Input!$B$43&amp;";",""),IF(AND($G47&lt;Hta_24,$G47&gt;=Hba_24,Input!X$44&lt;&gt;""),Input!$B$44&amp;";",""),IF(AND($G47&lt;Hta_25,$G47&gt;=Hba_25,Input!X$45&lt;&gt;""),Input!$B$45&amp;";",""),IF(AND($G47&lt;Hta_26,$G47&gt;=Hba_26,Input!X$46&lt;&gt;""),Input!$B$46&amp;";",""),IF(AND($G47&lt;Hta_27,$G47&gt;=Hba_27,Input!X$47&lt;&gt;""),Input!$B$47&amp;";",""),IF(AND($G47&lt;Hta_28,$G47&gt;=Hba_28,Input!X$48&lt;&gt;""),Input!$B$48&amp;";",""),IF(AND($G47&lt;Hta_29,$G47&gt;=Hba_29,Input!X$49&lt;&gt;""),Input!$B$49&amp;";",""),IF(AND($G47&lt;Hta_30,$G47&gt;=Hba_30,Input!X$50&lt;&gt;""),Input!$B$50&amp;";","")),"")</f>
        <v/>
      </c>
      <c r="BZ47" s="25" t="str">
        <f>IFERROR(CONCATENATE(IF(AND($G47&lt;Hta_1,$G47&gt;=Hba_1,Input!Y$21&lt;&gt;""),Input!$B$21&amp;";",""),IF(AND($G47&lt;Hta_2,$G47&gt;=Hba_2,Input!Y$22&lt;&gt;""),Input!$B$22&amp;";",""),IF(AND($G47&lt;Hta_3,$G47&gt;=Hba_3,Input!Y$23&lt;&gt;""),Input!$B$23&amp;";",""),IF(AND($G47&lt;Hta_4,$G47&gt;=Hba_4,Input!Y$24&lt;&gt;""),Input!$B$24&amp;";",""),IF(AND($G47&lt;Hta_5,$G47&gt;=Hba_5,Input!Y$25&lt;&gt;""),Input!$B$25&amp;";",""),IF(AND($G47&lt;Hta_6,$G47&gt;=Hba_6,Input!Y$26&lt;&gt;""),Input!$B$26&amp;";",""),IF(AND($G47&lt;Hta_7,$G47&gt;=Hba_7,Input!Y$27&lt;&gt;""),Input!$B$27&amp;";",""),IF(AND($G47&lt;Hta_8,$G47&gt;=Hba_8,Input!Y$28&lt;&gt;""),Input!$B$28&amp;";",""),IF(AND($G47&lt;Hta_9,$G47&gt;=Hba_9,Input!Y$29&lt;&gt;""),Input!$B$29&amp;";",""),IF(AND($G47&lt;Hta_10,$G47&gt;=Hba_10,Input!Y$30&lt;&gt;""),Input!$B$30&amp;";",""),IF(AND($G47&lt;Hta_11,$G47&gt;=Hba_11,Input!Y$31&lt;&gt;""),Input!$B$31&amp;";",""),IF(AND($G47&lt;Hta_12,$G47&gt;=Hba_12,Input!Y$32&lt;&gt;""),Input!$B$32&amp;";",""),IF(AND($G47&lt;Hta_13,$G47&gt;=Hba_13,Input!Y$33&lt;&gt;""),Input!$B$33&amp;";",""),IF(AND($G47&lt;Hta_14,$G47&gt;=Hba_14,Input!Y$34&lt;&gt;""),Input!$B$34&amp;";",""),IF(AND($G47&lt;Hta_15,$G47&gt;=Hba_15,Input!Y$35&lt;&gt;""),Input!$B$35&amp;";",""),IF(AND($G47&lt;Hta_16,$G47&gt;=Hba_16,Input!Y$36&lt;&gt;""),Input!$B$36&amp;";",""),IF(AND($G47&lt;Hta_17,$G47&gt;=Hba_17,Input!Y$37&lt;&gt;""),Input!$B$37&amp;";",""),IF(AND($G47&lt;Hta_18,$G47&gt;=Hba_18,Input!Y$38&lt;&gt;""),Input!$B$38&amp;";",""),IF(AND($G47&lt;Hta_19,$G47&gt;=Hba_19,Input!Y$39&lt;&gt;""),Input!$B$39&amp;";",""),IF(AND($G47&lt;Hta_20,$G47&gt;=Hba_20,Input!Y$40&lt;&gt;""),Input!$B$40&amp;";",""),IF(AND($G47&lt;Hta_21,$G47&gt;=Hba_21,Input!Y$41&lt;&gt;""),Input!$B$41&amp;";",""),IF(AND($G47&lt;Hta_22,$G47&gt;=Hba_22,Input!Y$42&lt;&gt;""),Input!$B$42&amp;";",""),IF(AND($G47&lt;Hta_23,$G47&gt;=Hba_23,Input!Y$43&lt;&gt;""),Input!$B$43&amp;";",""),IF(AND($G47&lt;Hta_24,$G47&gt;=Hba_24,Input!Y$44&lt;&gt;""),Input!$B$44&amp;";",""),IF(AND($G47&lt;Hta_25,$G47&gt;=Hba_25,Input!Y$45&lt;&gt;""),Input!$B$45&amp;";",""),IF(AND($G47&lt;Hta_26,$G47&gt;=Hba_26,Input!Y$46&lt;&gt;""),Input!$B$46&amp;";",""),IF(AND($G47&lt;Hta_27,$G47&gt;=Hba_27,Input!Y$47&lt;&gt;""),Input!$B$47&amp;";",""),IF(AND($G47&lt;Hta_28,$G47&gt;=Hba_28,Input!Y$48&lt;&gt;""),Input!$B$48&amp;";",""),IF(AND($G47&lt;Hta_29,$G47&gt;=Hba_29,Input!Y$49&lt;&gt;""),Input!$B$49&amp;";",""),IF(AND($G47&lt;Hta_30,$G47&gt;=Hba_30,Input!Y$50&lt;&gt;""),Input!$B$50&amp;";","")),"")</f>
        <v/>
      </c>
      <c r="CA47" s="25" t="str">
        <f>IFERROR(CONCATENATE(IF(AND($G47&lt;Hta_1,$G47&gt;=Hba_1,Input!Z$21&lt;&gt;""),Input!$B$21&amp;";",""),IF(AND($G47&lt;Hta_2,$G47&gt;=Hba_2,Input!Z$22&lt;&gt;""),Input!$B$22&amp;";",""),IF(AND($G47&lt;Hta_3,$G47&gt;=Hba_3,Input!Z$23&lt;&gt;""),Input!$B$23&amp;";",""),IF(AND($G47&lt;Hta_4,$G47&gt;=Hba_4,Input!Z$24&lt;&gt;""),Input!$B$24&amp;";",""),IF(AND($G47&lt;Hta_5,$G47&gt;=Hba_5,Input!Z$25&lt;&gt;""),Input!$B$25&amp;";",""),IF(AND($G47&lt;Hta_6,$G47&gt;=Hba_6,Input!Z$26&lt;&gt;""),Input!$B$26&amp;";",""),IF(AND($G47&lt;Hta_7,$G47&gt;=Hba_7,Input!Z$27&lt;&gt;""),Input!$B$27&amp;";",""),IF(AND($G47&lt;Hta_8,$G47&gt;=Hba_8,Input!Z$28&lt;&gt;""),Input!$B$28&amp;";",""),IF(AND($G47&lt;Hta_9,$G47&gt;=Hba_9,Input!Z$29&lt;&gt;""),Input!$B$29&amp;";",""),IF(AND($G47&lt;Hta_10,$G47&gt;=Hba_10,Input!Z$30&lt;&gt;""),Input!$B$30&amp;";",""),IF(AND($G47&lt;Hta_11,$G47&gt;=Hba_11,Input!Z$31&lt;&gt;""),Input!$B$31&amp;";",""),IF(AND($G47&lt;Hta_12,$G47&gt;=Hba_12,Input!Z$32&lt;&gt;""),Input!$B$32&amp;";",""),IF(AND($G47&lt;Hta_13,$G47&gt;=Hba_13,Input!Z$33&lt;&gt;""),Input!$B$33&amp;";",""),IF(AND($G47&lt;Hta_14,$G47&gt;=Hba_14,Input!Z$34&lt;&gt;""),Input!$B$34&amp;";",""),IF(AND($G47&lt;Hta_15,$G47&gt;=Hba_15,Input!Z$35&lt;&gt;""),Input!$B$35&amp;";",""),IF(AND($G47&lt;Hta_16,$G47&gt;=Hba_16,Input!Z$36&lt;&gt;""),Input!$B$36&amp;";",""),IF(AND($G47&lt;Hta_17,$G47&gt;=Hba_17,Input!Z$37&lt;&gt;""),Input!$B$37&amp;";",""),IF(AND($G47&lt;Hta_18,$G47&gt;=Hba_18,Input!Z$38&lt;&gt;""),Input!$B$38&amp;";",""),IF(AND($G47&lt;Hta_19,$G47&gt;=Hba_19,Input!Z$39&lt;&gt;""),Input!$B$39&amp;";",""),IF(AND($G47&lt;Hta_20,$G47&gt;=Hba_20,Input!Z$40&lt;&gt;""),Input!$B$40&amp;";",""),IF(AND($G47&lt;Hta_21,$G47&gt;=Hba_21,Input!Z$41&lt;&gt;""),Input!$B$41&amp;";",""),IF(AND($G47&lt;Hta_22,$G47&gt;=Hba_22,Input!Z$42&lt;&gt;""),Input!$B$42&amp;";",""),IF(AND($G47&lt;Hta_23,$G47&gt;=Hba_23,Input!Z$43&lt;&gt;""),Input!$B$43&amp;";",""),IF(AND($G47&lt;Hta_24,$G47&gt;=Hba_24,Input!Z$44&lt;&gt;""),Input!$B$44&amp;";",""),IF(AND($G47&lt;Hta_25,$G47&gt;=Hba_25,Input!Z$45&lt;&gt;""),Input!$B$45&amp;";",""),IF(AND($G47&lt;Hta_26,$G47&gt;=Hba_26,Input!Z$46&lt;&gt;""),Input!$B$46&amp;";",""),IF(AND($G47&lt;Hta_27,$G47&gt;=Hba_27,Input!Z$47&lt;&gt;""),Input!$B$47&amp;";",""),IF(AND($G47&lt;Hta_28,$G47&gt;=Hba_28,Input!Z$48&lt;&gt;""),Input!$B$48&amp;";",""),IF(AND($G47&lt;Hta_29,$G47&gt;=Hba_29,Input!Z$49&lt;&gt;""),Input!$B$49&amp;";",""),IF(AND($G47&lt;Hta_30,$G47&gt;=Hba_30,Input!Z$50&lt;&gt;""),Input!$B$50&amp;";","")),"")</f>
        <v/>
      </c>
      <c r="CB47" s="25" t="str">
        <f>IFERROR(CONCATENATE(IF(AND($G47&lt;Hta_1,$G47&gt;=Hba_1,Input!AA$21&lt;&gt;""),Input!$B$21&amp;";",""),IF(AND($G47&lt;Hta_2,$G47&gt;=Hba_2,Input!AA$22&lt;&gt;""),Input!$B$22&amp;";",""),IF(AND($G47&lt;Hta_3,$G47&gt;=Hba_3,Input!AA$23&lt;&gt;""),Input!$B$23&amp;";",""),IF(AND($G47&lt;Hta_4,$G47&gt;=Hba_4,Input!AA$24&lt;&gt;""),Input!$B$24&amp;";",""),IF(AND($G47&lt;Hta_5,$G47&gt;=Hba_5,Input!AA$25&lt;&gt;""),Input!$B$25&amp;";",""),IF(AND($G47&lt;Hta_6,$G47&gt;=Hba_6,Input!AA$26&lt;&gt;""),Input!$B$26&amp;";",""),IF(AND($G47&lt;Hta_7,$G47&gt;=Hba_7,Input!AA$27&lt;&gt;""),Input!$B$27&amp;";",""),IF(AND($G47&lt;Hta_8,$G47&gt;=Hba_8,Input!AA$28&lt;&gt;""),Input!$B$28&amp;";",""),IF(AND($G47&lt;Hta_9,$G47&gt;=Hba_9,Input!AA$29&lt;&gt;""),Input!$B$29&amp;";",""),IF(AND($G47&lt;Hta_10,$G47&gt;=Hba_10,Input!AA$30&lt;&gt;""),Input!$B$30&amp;";",""),IF(AND($G47&lt;Hta_11,$G47&gt;=Hba_11,Input!AA$31&lt;&gt;""),Input!$B$31&amp;";",""),IF(AND($G47&lt;Hta_12,$G47&gt;=Hba_12,Input!AA$32&lt;&gt;""),Input!$B$32&amp;";",""),IF(AND($G47&lt;Hta_13,$G47&gt;=Hba_13,Input!AA$33&lt;&gt;""),Input!$B$33&amp;";",""),IF(AND($G47&lt;Hta_14,$G47&gt;=Hba_14,Input!AA$34&lt;&gt;""),Input!$B$34&amp;";",""),IF(AND($G47&lt;Hta_15,$G47&gt;=Hba_15,Input!AA$35&lt;&gt;""),Input!$B$35&amp;";",""),IF(AND($G47&lt;Hta_16,$G47&gt;=Hba_16,Input!AA$36&lt;&gt;""),Input!$B$36&amp;";",""),IF(AND($G47&lt;Hta_17,$G47&gt;=Hba_17,Input!AA$37&lt;&gt;""),Input!$B$37&amp;";",""),IF(AND($G47&lt;Hta_18,$G47&gt;=Hba_18,Input!AA$38&lt;&gt;""),Input!$B$38&amp;";",""),IF(AND($G47&lt;Hta_19,$G47&gt;=Hba_19,Input!AA$39&lt;&gt;""),Input!$B$39&amp;";",""),IF(AND($G47&lt;Hta_20,$G47&gt;=Hba_20,Input!AA$40&lt;&gt;""),Input!$B$40&amp;";",""),IF(AND($G47&lt;Hta_21,$G47&gt;=Hba_21,Input!AA$41&lt;&gt;""),Input!$B$41&amp;";",""),IF(AND($G47&lt;Hta_22,$G47&gt;=Hba_22,Input!AA$42&lt;&gt;""),Input!$B$42&amp;";",""),IF(AND($G47&lt;Hta_23,$G47&gt;=Hba_23,Input!AA$43&lt;&gt;""),Input!$B$43&amp;";",""),IF(AND($G47&lt;Hta_24,$G47&gt;=Hba_24,Input!AA$44&lt;&gt;""),Input!$B$44&amp;";",""),IF(AND($G47&lt;Hta_25,$G47&gt;=Hba_25,Input!AA$45&lt;&gt;""),Input!$B$45&amp;";",""),IF(AND($G47&lt;Hta_26,$G47&gt;=Hba_26,Input!AA$46&lt;&gt;""),Input!$B$46&amp;";",""),IF(AND($G47&lt;Hta_27,$G47&gt;=Hba_27,Input!AA$47&lt;&gt;""),Input!$B$47&amp;";",""),IF(AND($G47&lt;Hta_28,$G47&gt;=Hba_28,Input!AA$48&lt;&gt;""),Input!$B$48&amp;";",""),IF(AND($G47&lt;Hta_29,$G47&gt;=Hba_29,Input!AA$49&lt;&gt;""),Input!$B$49&amp;";",""),IF(AND($G47&lt;Hta_30,$G47&gt;=Hba_30,Input!AA$50&lt;&gt;""),Input!$B$50&amp;";","")),"")</f>
        <v/>
      </c>
      <c r="CC47" s="25" t="str">
        <f>IFERROR(CONCATENATE(IF(AND($G47&lt;Hta_1,$G47&gt;=Hba_1,Input!AB$21&lt;&gt;""),Input!$B$21&amp;";",""),IF(AND($G47&lt;Hta_2,$G47&gt;=Hba_2,Input!AB$22&lt;&gt;""),Input!$B$22&amp;";",""),IF(AND($G47&lt;Hta_3,$G47&gt;=Hba_3,Input!AB$23&lt;&gt;""),Input!$B$23&amp;";",""),IF(AND($G47&lt;Hta_4,$G47&gt;=Hba_4,Input!AB$24&lt;&gt;""),Input!$B$24&amp;";",""),IF(AND($G47&lt;Hta_5,$G47&gt;=Hba_5,Input!AB$25&lt;&gt;""),Input!$B$25&amp;";",""),IF(AND($G47&lt;Hta_6,$G47&gt;=Hba_6,Input!AB$26&lt;&gt;""),Input!$B$26&amp;";",""),IF(AND($G47&lt;Hta_7,$G47&gt;=Hba_7,Input!AB$27&lt;&gt;""),Input!$B$27&amp;";",""),IF(AND($G47&lt;Hta_8,$G47&gt;=Hba_8,Input!AB$28&lt;&gt;""),Input!$B$28&amp;";",""),IF(AND($G47&lt;Hta_9,$G47&gt;=Hba_9,Input!AB$29&lt;&gt;""),Input!$B$29&amp;";",""),IF(AND($G47&lt;Hta_10,$G47&gt;=Hba_10,Input!AB$30&lt;&gt;""),Input!$B$30&amp;";",""),IF(AND($G47&lt;Hta_11,$G47&gt;=Hba_11,Input!AB$31&lt;&gt;""),Input!$B$31&amp;";",""),IF(AND($G47&lt;Hta_12,$G47&gt;=Hba_12,Input!AB$32&lt;&gt;""),Input!$B$32&amp;";",""),IF(AND($G47&lt;Hta_13,$G47&gt;=Hba_13,Input!AB$33&lt;&gt;""),Input!$B$33&amp;";",""),IF(AND($G47&lt;Hta_14,$G47&gt;=Hba_14,Input!AB$34&lt;&gt;""),Input!$B$34&amp;";",""),IF(AND($G47&lt;Hta_15,$G47&gt;=Hba_15,Input!AB$35&lt;&gt;""),Input!$B$35&amp;";",""),IF(AND($G47&lt;Hta_16,$G47&gt;=Hba_16,Input!AB$36&lt;&gt;""),Input!$B$36&amp;";",""),IF(AND($G47&lt;Hta_17,$G47&gt;=Hba_17,Input!AB$37&lt;&gt;""),Input!$B$37&amp;";",""),IF(AND($G47&lt;Hta_18,$G47&gt;=Hba_18,Input!AB$38&lt;&gt;""),Input!$B$38&amp;";",""),IF(AND($G47&lt;Hta_19,$G47&gt;=Hba_19,Input!AB$39&lt;&gt;""),Input!$B$39&amp;";",""),IF(AND($G47&lt;Hta_20,$G47&gt;=Hba_20,Input!AB$40&lt;&gt;""),Input!$B$40&amp;";",""),IF(AND($G47&lt;Hta_21,$G47&gt;=Hba_21,Input!AB$41&lt;&gt;""),Input!$B$41&amp;";",""),IF(AND($G47&lt;Hta_22,$G47&gt;=Hba_22,Input!AB$42&lt;&gt;""),Input!$B$42&amp;";",""),IF(AND($G47&lt;Hta_23,$G47&gt;=Hba_23,Input!AB$43&lt;&gt;""),Input!$B$43&amp;";",""),IF(AND($G47&lt;Hta_24,$G47&gt;=Hba_24,Input!AB$44&lt;&gt;""),Input!$B$44&amp;";",""),IF(AND($G47&lt;Hta_25,$G47&gt;=Hba_25,Input!AB$45&lt;&gt;""),Input!$B$45&amp;";",""),IF(AND($G47&lt;Hta_26,$G47&gt;=Hba_26,Input!AB$46&lt;&gt;""),Input!$B$46&amp;";",""),IF(AND($G47&lt;Hta_27,$G47&gt;=Hba_27,Input!AB$47&lt;&gt;""),Input!$B$47&amp;";",""),IF(AND($G47&lt;Hta_28,$G47&gt;=Hba_28,Input!AB$48&lt;&gt;""),Input!$B$48&amp;";",""),IF(AND($G47&lt;Hta_29,$G47&gt;=Hba_29,Input!AB$49&lt;&gt;""),Input!$B$49&amp;";",""),IF(AND($G47&lt;Hta_30,$G47&gt;=Hba_30,Input!AB$50&lt;&gt;""),Input!$B$50&amp;";","")),"")</f>
        <v/>
      </c>
      <c r="CD47" s="25" t="str">
        <f>IFERROR(CONCATENATE(IF(AND($G47&lt;Hta_1,$G47&gt;=Hba_1,Input!AC$21&lt;&gt;""),Input!$B$21&amp;";",""),IF(AND($G47&lt;Hta_2,$G47&gt;=Hba_2,Input!AC$22&lt;&gt;""),Input!$B$22&amp;";",""),IF(AND($G47&lt;Hta_3,$G47&gt;=Hba_3,Input!AC$23&lt;&gt;""),Input!$B$23&amp;";",""),IF(AND($G47&lt;Hta_4,$G47&gt;=Hba_4,Input!AC$24&lt;&gt;""),Input!$B$24&amp;";",""),IF(AND($G47&lt;Hta_5,$G47&gt;=Hba_5,Input!AC$25&lt;&gt;""),Input!$B$25&amp;";",""),IF(AND($G47&lt;Hta_6,$G47&gt;=Hba_6,Input!AC$26&lt;&gt;""),Input!$B$26&amp;";",""),IF(AND($G47&lt;Hta_7,$G47&gt;=Hba_7,Input!AC$27&lt;&gt;""),Input!$B$27&amp;";",""),IF(AND($G47&lt;Hta_8,$G47&gt;=Hba_8,Input!AC$28&lt;&gt;""),Input!$B$28&amp;";",""),IF(AND($G47&lt;Hta_9,$G47&gt;=Hba_9,Input!AC$29&lt;&gt;""),Input!$B$29&amp;";",""),IF(AND($G47&lt;Hta_10,$G47&gt;=Hba_10,Input!AC$30&lt;&gt;""),Input!$B$30&amp;";",""),IF(AND($G47&lt;Hta_11,$G47&gt;=Hba_11,Input!AC$31&lt;&gt;""),Input!$B$31&amp;";",""),IF(AND($G47&lt;Hta_12,$G47&gt;=Hba_12,Input!AC$32&lt;&gt;""),Input!$B$32&amp;";",""),IF(AND($G47&lt;Hta_13,$G47&gt;=Hba_13,Input!AC$33&lt;&gt;""),Input!$B$33&amp;";",""),IF(AND($G47&lt;Hta_14,$G47&gt;=Hba_14,Input!AC$34&lt;&gt;""),Input!$B$34&amp;";",""),IF(AND($G47&lt;Hta_15,$G47&gt;=Hba_15,Input!AC$35&lt;&gt;""),Input!$B$35&amp;";",""),IF(AND($G47&lt;Hta_16,$G47&gt;=Hba_16,Input!AC$36&lt;&gt;""),Input!$B$36&amp;";",""),IF(AND($G47&lt;Hta_17,$G47&gt;=Hba_17,Input!AC$37&lt;&gt;""),Input!$B$37&amp;";",""),IF(AND($G47&lt;Hta_18,$G47&gt;=Hba_18,Input!AC$38&lt;&gt;""),Input!$B$38&amp;";",""),IF(AND($G47&lt;Hta_19,$G47&gt;=Hba_19,Input!AC$39&lt;&gt;""),Input!$B$39&amp;";",""),IF(AND($G47&lt;Hta_20,$G47&gt;=Hba_20,Input!AC$40&lt;&gt;""),Input!$B$40&amp;";",""),IF(AND($G47&lt;Hta_21,$G47&gt;=Hba_21,Input!AC$41&lt;&gt;""),Input!$B$41&amp;";",""),IF(AND($G47&lt;Hta_22,$G47&gt;=Hba_22,Input!AC$42&lt;&gt;""),Input!$B$42&amp;";",""),IF(AND($G47&lt;Hta_23,$G47&gt;=Hba_23,Input!AC$43&lt;&gt;""),Input!$B$43&amp;";",""),IF(AND($G47&lt;Hta_24,$G47&gt;=Hba_24,Input!AC$44&lt;&gt;""),Input!$B$44&amp;";",""),IF(AND($G47&lt;Hta_25,$G47&gt;=Hba_25,Input!AC$45&lt;&gt;""),Input!$B$45&amp;";",""),IF(AND($G47&lt;Hta_26,$G47&gt;=Hba_26,Input!AC$46&lt;&gt;""),Input!$B$46&amp;";",""),IF(AND($G47&lt;Hta_27,$G47&gt;=Hba_27,Input!AC$47&lt;&gt;""),Input!$B$47&amp;";",""),IF(AND($G47&lt;Hta_28,$G47&gt;=Hba_28,Input!AC$48&lt;&gt;""),Input!$B$48&amp;";",""),IF(AND($G47&lt;Hta_29,$G47&gt;=Hba_29,Input!AC$49&lt;&gt;""),Input!$B$49&amp;";",""),IF(AND($G47&lt;Hta_30,$G47&gt;=Hba_30,Input!AC$50&lt;&gt;""),Input!$B$50&amp;";","")),"")</f>
        <v/>
      </c>
      <c r="CE47" s="25" t="str">
        <f>IFERROR(CONCATENATE(IF(AND($G47&lt;Hta_1,$G47&gt;=Hba_1,Input!AD$21&lt;&gt;""),Input!$B$21&amp;";",""),IF(AND($G47&lt;Hta_2,$G47&gt;=Hba_2,Input!AD$22&lt;&gt;""),Input!$B$22&amp;";",""),IF(AND($G47&lt;Hta_3,$G47&gt;=Hba_3,Input!AD$23&lt;&gt;""),Input!$B$23&amp;";",""),IF(AND($G47&lt;Hta_4,$G47&gt;=Hba_4,Input!AD$24&lt;&gt;""),Input!$B$24&amp;";",""),IF(AND($G47&lt;Hta_5,$G47&gt;=Hba_5,Input!AD$25&lt;&gt;""),Input!$B$25&amp;";",""),IF(AND($G47&lt;Hta_6,$G47&gt;=Hba_6,Input!AD$26&lt;&gt;""),Input!$B$26&amp;";",""),IF(AND($G47&lt;Hta_7,$G47&gt;=Hba_7,Input!AD$27&lt;&gt;""),Input!$B$27&amp;";",""),IF(AND($G47&lt;Hta_8,$G47&gt;=Hba_8,Input!AD$28&lt;&gt;""),Input!$B$28&amp;";",""),IF(AND($G47&lt;Hta_9,$G47&gt;=Hba_9,Input!AD$29&lt;&gt;""),Input!$B$29&amp;";",""),IF(AND($G47&lt;Hta_10,$G47&gt;=Hba_10,Input!AD$30&lt;&gt;""),Input!$B$30&amp;";",""),IF(AND($G47&lt;Hta_11,$G47&gt;=Hba_11,Input!AD$31&lt;&gt;""),Input!$B$31&amp;";",""),IF(AND($G47&lt;Hta_12,$G47&gt;=Hba_12,Input!AD$32&lt;&gt;""),Input!$B$32&amp;";",""),IF(AND($G47&lt;Hta_13,$G47&gt;=Hba_13,Input!AD$33&lt;&gt;""),Input!$B$33&amp;";",""),IF(AND($G47&lt;Hta_14,$G47&gt;=Hba_14,Input!AD$34&lt;&gt;""),Input!$B$34&amp;";",""),IF(AND($G47&lt;Hta_15,$G47&gt;=Hba_15,Input!AD$35&lt;&gt;""),Input!$B$35&amp;";",""),IF(AND($G47&lt;Hta_16,$G47&gt;=Hba_16,Input!AD$36&lt;&gt;""),Input!$B$36&amp;";",""),IF(AND($G47&lt;Hta_17,$G47&gt;=Hba_17,Input!AD$37&lt;&gt;""),Input!$B$37&amp;";",""),IF(AND($G47&lt;Hta_18,$G47&gt;=Hba_18,Input!AD$38&lt;&gt;""),Input!$B$38&amp;";",""),IF(AND($G47&lt;Hta_19,$G47&gt;=Hba_19,Input!AD$39&lt;&gt;""),Input!$B$39&amp;";",""),IF(AND($G47&lt;Hta_20,$G47&gt;=Hba_20,Input!AD$40&lt;&gt;""),Input!$B$40&amp;";",""),IF(AND($G47&lt;Hta_21,$G47&gt;=Hba_21,Input!AD$41&lt;&gt;""),Input!$B$41&amp;";",""),IF(AND($G47&lt;Hta_22,$G47&gt;=Hba_22,Input!AD$42&lt;&gt;""),Input!$B$42&amp;";",""),IF(AND($G47&lt;Hta_23,$G47&gt;=Hba_23,Input!AD$43&lt;&gt;""),Input!$B$43&amp;";",""),IF(AND($G47&lt;Hta_24,$G47&gt;=Hba_24,Input!AD$44&lt;&gt;""),Input!$B$44&amp;";",""),IF(AND($G47&lt;Hta_25,$G47&gt;=Hba_25,Input!AD$45&lt;&gt;""),Input!$B$45&amp;";",""),IF(AND($G47&lt;Hta_26,$G47&gt;=Hba_26,Input!AD$46&lt;&gt;""),Input!$B$46&amp;";",""),IF(AND($G47&lt;Hta_27,$G47&gt;=Hba_27,Input!AD$47&lt;&gt;""),Input!$B$47&amp;";",""),IF(AND($G47&lt;Hta_28,$G47&gt;=Hba_28,Input!AD$48&lt;&gt;""),Input!$B$48&amp;";",""),IF(AND($G47&lt;Hta_29,$G47&gt;=Hba_29,Input!AD$49&lt;&gt;""),Input!$B$49&amp;";",""),IF(AND($G47&lt;Hta_30,$G47&gt;=Hba_30,Input!AD$50&lt;&gt;""),Input!$B$50&amp;";","")),"")</f>
        <v/>
      </c>
      <c r="CF47" s="25" t="str">
        <f>IFERROR(CONCATENATE(IF(AND($G47&lt;Hta_1,$G47&gt;=Hba_1,Input!AE$21&lt;&gt;""),Input!$B$21&amp;";",""),IF(AND($G47&lt;Hta_2,$G47&gt;=Hba_2,Input!AE$22&lt;&gt;""),Input!$B$22&amp;";",""),IF(AND($G47&lt;Hta_3,$G47&gt;=Hba_3,Input!AE$23&lt;&gt;""),Input!$B$23&amp;";",""),IF(AND($G47&lt;Hta_4,$G47&gt;=Hba_4,Input!AE$24&lt;&gt;""),Input!$B$24&amp;";",""),IF(AND($G47&lt;Hta_5,$G47&gt;=Hba_5,Input!AE$25&lt;&gt;""),Input!$B$25&amp;";",""),IF(AND($G47&lt;Hta_6,$G47&gt;=Hba_6,Input!AE$26&lt;&gt;""),Input!$B$26&amp;";",""),IF(AND($G47&lt;Hta_7,$G47&gt;=Hba_7,Input!AE$27&lt;&gt;""),Input!$B$27&amp;";",""),IF(AND($G47&lt;Hta_8,$G47&gt;=Hba_8,Input!AE$28&lt;&gt;""),Input!$B$28&amp;";",""),IF(AND($G47&lt;Hta_9,$G47&gt;=Hba_9,Input!AE$29&lt;&gt;""),Input!$B$29&amp;";",""),IF(AND($G47&lt;Hta_10,$G47&gt;=Hba_10,Input!AE$30&lt;&gt;""),Input!$B$30&amp;";",""),IF(AND($G47&lt;Hta_11,$G47&gt;=Hba_11,Input!AE$31&lt;&gt;""),Input!$B$31&amp;";",""),IF(AND($G47&lt;Hta_12,$G47&gt;=Hba_12,Input!AE$32&lt;&gt;""),Input!$B$32&amp;";",""),IF(AND($G47&lt;Hta_13,$G47&gt;=Hba_13,Input!AE$33&lt;&gt;""),Input!$B$33&amp;";",""),IF(AND($G47&lt;Hta_14,$G47&gt;=Hba_14,Input!AE$34&lt;&gt;""),Input!$B$34&amp;";",""),IF(AND($G47&lt;Hta_15,$G47&gt;=Hba_15,Input!AE$35&lt;&gt;""),Input!$B$35&amp;";",""),IF(AND($G47&lt;Hta_16,$G47&gt;=Hba_16,Input!AE$36&lt;&gt;""),Input!$B$36&amp;";",""),IF(AND($G47&lt;Hta_17,$G47&gt;=Hba_17,Input!AE$37&lt;&gt;""),Input!$B$37&amp;";",""),IF(AND($G47&lt;Hta_18,$G47&gt;=Hba_18,Input!AE$38&lt;&gt;""),Input!$B$38&amp;";",""),IF(AND($G47&lt;Hta_19,$G47&gt;=Hba_19,Input!AE$39&lt;&gt;""),Input!$B$39&amp;";",""),IF(AND($G47&lt;Hta_20,$G47&gt;=Hba_20,Input!AE$40&lt;&gt;""),Input!$B$40&amp;";",""),IF(AND($G47&lt;Hta_21,$G47&gt;=Hba_21,Input!AE$41&lt;&gt;""),Input!$B$41&amp;";",""),IF(AND($G47&lt;Hta_22,$G47&gt;=Hba_22,Input!AE$42&lt;&gt;""),Input!$B$42&amp;";",""),IF(AND($G47&lt;Hta_23,$G47&gt;=Hba_23,Input!AE$43&lt;&gt;""),Input!$B$43&amp;";",""),IF(AND($G47&lt;Hta_24,$G47&gt;=Hba_24,Input!AE$44&lt;&gt;""),Input!$B$44&amp;";",""),IF(AND($G47&lt;Hta_25,$G47&gt;=Hba_25,Input!AE$45&lt;&gt;""),Input!$B$45&amp;";",""),IF(AND($G47&lt;Hta_26,$G47&gt;=Hba_26,Input!AE$46&lt;&gt;""),Input!$B$46&amp;";",""),IF(AND($G47&lt;Hta_27,$G47&gt;=Hba_27,Input!AE$47&lt;&gt;""),Input!$B$47&amp;";",""),IF(AND($G47&lt;Hta_28,$G47&gt;=Hba_28,Input!AE$48&lt;&gt;""),Input!$B$48&amp;";",""),IF(AND($G47&lt;Hta_29,$G47&gt;=Hba_29,Input!AE$49&lt;&gt;""),Input!$B$49&amp;";",""),IF(AND($G47&lt;Hta_30,$G47&gt;=Hba_30,Input!AE$50&lt;&gt;""),Input!$B$50&amp;";","")),"")</f>
        <v/>
      </c>
      <c r="CG47" s="25" t="str">
        <f>IFERROR(CONCATENATE(IF(AND($G47&lt;Hta_1,$G47&gt;=Hba_1,Input!AF$21&lt;&gt;""),Input!$B$21&amp;";",""),IF(AND($G47&lt;Hta_2,$G47&gt;=Hba_2,Input!AF$22&lt;&gt;""),Input!$B$22&amp;";",""),IF(AND($G47&lt;Hta_3,$G47&gt;=Hba_3,Input!AF$23&lt;&gt;""),Input!$B$23&amp;";",""),IF(AND($G47&lt;Hta_4,$G47&gt;=Hba_4,Input!AF$24&lt;&gt;""),Input!$B$24&amp;";",""),IF(AND($G47&lt;Hta_5,$G47&gt;=Hba_5,Input!AF$25&lt;&gt;""),Input!$B$25&amp;";",""),IF(AND($G47&lt;Hta_6,$G47&gt;=Hba_6,Input!AF$26&lt;&gt;""),Input!$B$26&amp;";",""),IF(AND($G47&lt;Hta_7,$G47&gt;=Hba_7,Input!AF$27&lt;&gt;""),Input!$B$27&amp;";",""),IF(AND($G47&lt;Hta_8,$G47&gt;=Hba_8,Input!AF$28&lt;&gt;""),Input!$B$28&amp;";",""),IF(AND($G47&lt;Hta_9,$G47&gt;=Hba_9,Input!AF$29&lt;&gt;""),Input!$B$29&amp;";",""),IF(AND($G47&lt;Hta_10,$G47&gt;=Hba_10,Input!AF$30&lt;&gt;""),Input!$B$30&amp;";",""),IF(AND($G47&lt;Hta_11,$G47&gt;=Hba_11,Input!AF$31&lt;&gt;""),Input!$B$31&amp;";",""),IF(AND($G47&lt;Hta_12,$G47&gt;=Hba_12,Input!AF$32&lt;&gt;""),Input!$B$32&amp;";",""),IF(AND($G47&lt;Hta_13,$G47&gt;=Hba_13,Input!AF$33&lt;&gt;""),Input!$B$33&amp;";",""),IF(AND($G47&lt;Hta_14,$G47&gt;=Hba_14,Input!AF$34&lt;&gt;""),Input!$B$34&amp;";",""),IF(AND($G47&lt;Hta_15,$G47&gt;=Hba_15,Input!AF$35&lt;&gt;""),Input!$B$35&amp;";",""),IF(AND($G47&lt;Hta_16,$G47&gt;=Hba_16,Input!AF$36&lt;&gt;""),Input!$B$36&amp;";",""),IF(AND($G47&lt;Hta_17,$G47&gt;=Hba_17,Input!AF$37&lt;&gt;""),Input!$B$37&amp;";",""),IF(AND($G47&lt;Hta_18,$G47&gt;=Hba_18,Input!AF$38&lt;&gt;""),Input!$B$38&amp;";",""),IF(AND($G47&lt;Hta_19,$G47&gt;=Hba_19,Input!AF$39&lt;&gt;""),Input!$B$39&amp;";",""),IF(AND($G47&lt;Hta_20,$G47&gt;=Hba_20,Input!AF$40&lt;&gt;""),Input!$B$40&amp;";",""),IF(AND($G47&lt;Hta_21,$G47&gt;=Hba_21,Input!AF$41&lt;&gt;""),Input!$B$41&amp;";",""),IF(AND($G47&lt;Hta_22,$G47&gt;=Hba_22,Input!AF$42&lt;&gt;""),Input!$B$42&amp;";",""),IF(AND($G47&lt;Hta_23,$G47&gt;=Hba_23,Input!AF$43&lt;&gt;""),Input!$B$43&amp;";",""),IF(AND($G47&lt;Hta_24,$G47&gt;=Hba_24,Input!AF$44&lt;&gt;""),Input!$B$44&amp;";",""),IF(AND($G47&lt;Hta_25,$G47&gt;=Hba_25,Input!AF$45&lt;&gt;""),Input!$B$45&amp;";",""),IF(AND($G47&lt;Hta_26,$G47&gt;=Hba_26,Input!AF$46&lt;&gt;""),Input!$B$46&amp;";",""),IF(AND($G47&lt;Hta_27,$G47&gt;=Hba_27,Input!AF$47&lt;&gt;""),Input!$B$47&amp;";",""),IF(AND($G47&lt;Hta_28,$G47&gt;=Hba_28,Input!AF$48&lt;&gt;""),Input!$B$48&amp;";",""),IF(AND($G47&lt;Hta_29,$G47&gt;=Hba_29,Input!AF$49&lt;&gt;""),Input!$B$49&amp;";",""),IF(AND($G47&lt;Hta_30,$G47&gt;=Hba_30,Input!AF$50&lt;&gt;""),Input!$B$50&amp;";","")),"")</f>
        <v/>
      </c>
      <c r="CH47" s="25" t="str">
        <f>IFERROR(CONCATENATE(IF(AND($G47&lt;Hta_1,$G47&gt;=Hba_1,Input!AG$21&lt;&gt;""),Input!$B$21&amp;";",""),IF(AND($G47&lt;Hta_2,$G47&gt;=Hba_2,Input!AG$22&lt;&gt;""),Input!$B$22&amp;";",""),IF(AND($G47&lt;Hta_3,$G47&gt;=Hba_3,Input!AG$23&lt;&gt;""),Input!$B$23&amp;";",""),IF(AND($G47&lt;Hta_4,$G47&gt;=Hba_4,Input!AG$24&lt;&gt;""),Input!$B$24&amp;";",""),IF(AND($G47&lt;Hta_5,$G47&gt;=Hba_5,Input!AG$25&lt;&gt;""),Input!$B$25&amp;";",""),IF(AND($G47&lt;Hta_6,$G47&gt;=Hba_6,Input!AG$26&lt;&gt;""),Input!$B$26&amp;";",""),IF(AND($G47&lt;Hta_7,$G47&gt;=Hba_7,Input!AG$27&lt;&gt;""),Input!$B$27&amp;";",""),IF(AND($G47&lt;Hta_8,$G47&gt;=Hba_8,Input!AG$28&lt;&gt;""),Input!$B$28&amp;";",""),IF(AND($G47&lt;Hta_9,$G47&gt;=Hba_9,Input!AG$29&lt;&gt;""),Input!$B$29&amp;";",""),IF(AND($G47&lt;Hta_10,$G47&gt;=Hba_10,Input!AG$30&lt;&gt;""),Input!$B$30&amp;";",""),IF(AND($G47&lt;Hta_11,$G47&gt;=Hba_11,Input!AG$31&lt;&gt;""),Input!$B$31&amp;";",""),IF(AND($G47&lt;Hta_12,$G47&gt;=Hba_12,Input!AG$32&lt;&gt;""),Input!$B$32&amp;";",""),IF(AND($G47&lt;Hta_13,$G47&gt;=Hba_13,Input!AG$33&lt;&gt;""),Input!$B$33&amp;";",""),IF(AND($G47&lt;Hta_14,$G47&gt;=Hba_14,Input!AG$34&lt;&gt;""),Input!$B$34&amp;";",""),IF(AND($G47&lt;Hta_15,$G47&gt;=Hba_15,Input!AG$35&lt;&gt;""),Input!$B$35&amp;";",""),IF(AND($G47&lt;Hta_16,$G47&gt;=Hba_16,Input!AG$36&lt;&gt;""),Input!$B$36&amp;";",""),IF(AND($G47&lt;Hta_17,$G47&gt;=Hba_17,Input!AG$37&lt;&gt;""),Input!$B$37&amp;";",""),IF(AND($G47&lt;Hta_18,$G47&gt;=Hba_18,Input!AG$38&lt;&gt;""),Input!$B$38&amp;";",""),IF(AND($G47&lt;Hta_19,$G47&gt;=Hba_19,Input!AG$39&lt;&gt;""),Input!$B$39&amp;";",""),IF(AND($G47&lt;Hta_20,$G47&gt;=Hba_20,Input!AG$40&lt;&gt;""),Input!$B$40&amp;";",""),IF(AND($G47&lt;Hta_21,$G47&gt;=Hba_21,Input!AG$41&lt;&gt;""),Input!$B$41&amp;";",""),IF(AND($G47&lt;Hta_22,$G47&gt;=Hba_22,Input!AG$42&lt;&gt;""),Input!$B$42&amp;";",""),IF(AND($G47&lt;Hta_23,$G47&gt;=Hba_23,Input!AG$43&lt;&gt;""),Input!$B$43&amp;";",""),IF(AND($G47&lt;Hta_24,$G47&gt;=Hba_24,Input!AG$44&lt;&gt;""),Input!$B$44&amp;";",""),IF(AND($G47&lt;Hta_25,$G47&gt;=Hba_25,Input!AG$45&lt;&gt;""),Input!$B$45&amp;";",""),IF(AND($G47&lt;Hta_26,$G47&gt;=Hba_26,Input!AG$46&lt;&gt;""),Input!$B$46&amp;";",""),IF(AND($G47&lt;Hta_27,$G47&gt;=Hba_27,Input!AG$47&lt;&gt;""),Input!$B$47&amp;";",""),IF(AND($G47&lt;Hta_28,$G47&gt;=Hba_28,Input!AG$48&lt;&gt;""),Input!$B$48&amp;";",""),IF(AND($G47&lt;Hta_29,$G47&gt;=Hba_29,Input!AG$49&lt;&gt;""),Input!$B$49&amp;";",""),IF(AND($G47&lt;Hta_30,$G47&gt;=Hba_30,Input!AG$50&lt;&gt;""),Input!$B$50&amp;";","")),"")</f>
        <v/>
      </c>
      <c r="CI47" s="25" t="str">
        <f>IFERROR(CONCATENATE(IF(AND($G47&lt;Hta_1,$G47&gt;=Hba_1,Input!AH$21&lt;&gt;""),Input!$B$21&amp;";",""),IF(AND($G47&lt;Hta_2,$G47&gt;=Hba_2,Input!AH$22&lt;&gt;""),Input!$B$22&amp;";",""),IF(AND($G47&lt;Hta_3,$G47&gt;=Hba_3,Input!AH$23&lt;&gt;""),Input!$B$23&amp;";",""),IF(AND($G47&lt;Hta_4,$G47&gt;=Hba_4,Input!AH$24&lt;&gt;""),Input!$B$24&amp;";",""),IF(AND($G47&lt;Hta_5,$G47&gt;=Hba_5,Input!AH$25&lt;&gt;""),Input!$B$25&amp;";",""),IF(AND($G47&lt;Hta_6,$G47&gt;=Hba_6,Input!AH$26&lt;&gt;""),Input!$B$26&amp;";",""),IF(AND($G47&lt;Hta_7,$G47&gt;=Hba_7,Input!AH$27&lt;&gt;""),Input!$B$27&amp;";",""),IF(AND($G47&lt;Hta_8,$G47&gt;=Hba_8,Input!AH$28&lt;&gt;""),Input!$B$28&amp;";",""),IF(AND($G47&lt;Hta_9,$G47&gt;=Hba_9,Input!AH$29&lt;&gt;""),Input!$B$29&amp;";",""),IF(AND($G47&lt;Hta_10,$G47&gt;=Hba_10,Input!AH$30&lt;&gt;""),Input!$B$30&amp;";",""),IF(AND($G47&lt;Hta_11,$G47&gt;=Hba_11,Input!AH$31&lt;&gt;""),Input!$B$31&amp;";",""),IF(AND($G47&lt;Hta_12,$G47&gt;=Hba_12,Input!AH$32&lt;&gt;""),Input!$B$32&amp;";",""),IF(AND($G47&lt;Hta_13,$G47&gt;=Hba_13,Input!AH$33&lt;&gt;""),Input!$B$33&amp;";",""),IF(AND($G47&lt;Hta_14,$G47&gt;=Hba_14,Input!AH$34&lt;&gt;""),Input!$B$34&amp;";",""),IF(AND($G47&lt;Hta_15,$G47&gt;=Hba_15,Input!AH$35&lt;&gt;""),Input!$B$35&amp;";",""),IF(AND($G47&lt;Hta_16,$G47&gt;=Hba_16,Input!AH$36&lt;&gt;""),Input!$B$36&amp;";",""),IF(AND($G47&lt;Hta_17,$G47&gt;=Hba_17,Input!AH$37&lt;&gt;""),Input!$B$37&amp;";",""),IF(AND($G47&lt;Hta_18,$G47&gt;=Hba_18,Input!AH$38&lt;&gt;""),Input!$B$38&amp;";",""),IF(AND($G47&lt;Hta_19,$G47&gt;=Hba_19,Input!AH$39&lt;&gt;""),Input!$B$39&amp;";",""),IF(AND($G47&lt;Hta_20,$G47&gt;=Hba_20,Input!AH$40&lt;&gt;""),Input!$B$40&amp;";",""),IF(AND($G47&lt;Hta_21,$G47&gt;=Hba_21,Input!AH$41&lt;&gt;""),Input!$B$41&amp;";",""),IF(AND($G47&lt;Hta_22,$G47&gt;=Hba_22,Input!AH$42&lt;&gt;""),Input!$B$42&amp;";",""),IF(AND($G47&lt;Hta_23,$G47&gt;=Hba_23,Input!AH$43&lt;&gt;""),Input!$B$43&amp;";",""),IF(AND($G47&lt;Hta_24,$G47&gt;=Hba_24,Input!AH$44&lt;&gt;""),Input!$B$44&amp;";",""),IF(AND($G47&lt;Hta_25,$G47&gt;=Hba_25,Input!AH$45&lt;&gt;""),Input!$B$45&amp;";",""),IF(AND($G47&lt;Hta_26,$G47&gt;=Hba_26,Input!AH$46&lt;&gt;""),Input!$B$46&amp;";",""),IF(AND($G47&lt;Hta_27,$G47&gt;=Hba_27,Input!AH$47&lt;&gt;""),Input!$B$47&amp;";",""),IF(AND($G47&lt;Hta_28,$G47&gt;=Hba_28,Input!AH$48&lt;&gt;""),Input!$B$48&amp;";",""),IF(AND($G47&lt;Hta_29,$G47&gt;=Hba_29,Input!AH$49&lt;&gt;""),Input!$B$49&amp;";",""),IF(AND($G47&lt;Hta_30,$G47&gt;=Hba_30,Input!AH$50&lt;&gt;""),Input!$B$50&amp;";","")),"")</f>
        <v/>
      </c>
      <c r="CJ47" s="25" t="str">
        <f>IFERROR(CONCATENATE(IF(AND($G47&lt;Hta_1,$G47&gt;=Hba_1,Input!AI$21&lt;&gt;""),Input!$B$21&amp;";",""),IF(AND($G47&lt;Hta_2,$G47&gt;=Hba_2,Input!AI$22&lt;&gt;""),Input!$B$22&amp;";",""),IF(AND($G47&lt;Hta_3,$G47&gt;=Hba_3,Input!AI$23&lt;&gt;""),Input!$B$23&amp;";",""),IF(AND($G47&lt;Hta_4,$G47&gt;=Hba_4,Input!AI$24&lt;&gt;""),Input!$B$24&amp;";",""),IF(AND($G47&lt;Hta_5,$G47&gt;=Hba_5,Input!AI$25&lt;&gt;""),Input!$B$25&amp;";",""),IF(AND($G47&lt;Hta_6,$G47&gt;=Hba_6,Input!AI$26&lt;&gt;""),Input!$B$26&amp;";",""),IF(AND($G47&lt;Hta_7,$G47&gt;=Hba_7,Input!AI$27&lt;&gt;""),Input!$B$27&amp;";",""),IF(AND($G47&lt;Hta_8,$G47&gt;=Hba_8,Input!AI$28&lt;&gt;""),Input!$B$28&amp;";",""),IF(AND($G47&lt;Hta_9,$G47&gt;=Hba_9,Input!AI$29&lt;&gt;""),Input!$B$29&amp;";",""),IF(AND($G47&lt;Hta_10,$G47&gt;=Hba_10,Input!AI$30&lt;&gt;""),Input!$B$30&amp;";",""),IF(AND($G47&lt;Hta_11,$G47&gt;=Hba_11,Input!AI$31&lt;&gt;""),Input!$B$31&amp;";",""),IF(AND($G47&lt;Hta_12,$G47&gt;=Hba_12,Input!AI$32&lt;&gt;""),Input!$B$32&amp;";",""),IF(AND($G47&lt;Hta_13,$G47&gt;=Hba_13,Input!AI$33&lt;&gt;""),Input!$B$33&amp;";",""),IF(AND($G47&lt;Hta_14,$G47&gt;=Hba_14,Input!AI$34&lt;&gt;""),Input!$B$34&amp;";",""),IF(AND($G47&lt;Hta_15,$G47&gt;=Hba_15,Input!AI$35&lt;&gt;""),Input!$B$35&amp;";",""),IF(AND($G47&lt;Hta_16,$G47&gt;=Hba_16,Input!AI$36&lt;&gt;""),Input!$B$36&amp;";",""),IF(AND($G47&lt;Hta_17,$G47&gt;=Hba_17,Input!AI$37&lt;&gt;""),Input!$B$37&amp;";",""),IF(AND($G47&lt;Hta_18,$G47&gt;=Hba_18,Input!AI$38&lt;&gt;""),Input!$B$38&amp;";",""),IF(AND($G47&lt;Hta_19,$G47&gt;=Hba_19,Input!AI$39&lt;&gt;""),Input!$B$39&amp;";",""),IF(AND($G47&lt;Hta_20,$G47&gt;=Hba_20,Input!AI$40&lt;&gt;""),Input!$B$40&amp;";",""),IF(AND($G47&lt;Hta_21,$G47&gt;=Hba_21,Input!AI$41&lt;&gt;""),Input!$B$41&amp;";",""),IF(AND($G47&lt;Hta_22,$G47&gt;=Hba_22,Input!AI$42&lt;&gt;""),Input!$B$42&amp;";",""),IF(AND($G47&lt;Hta_23,$G47&gt;=Hba_23,Input!AI$43&lt;&gt;""),Input!$B$43&amp;";",""),IF(AND($G47&lt;Hta_24,$G47&gt;=Hba_24,Input!AI$44&lt;&gt;""),Input!$B$44&amp;";",""),IF(AND($G47&lt;Hta_25,$G47&gt;=Hba_25,Input!AI$45&lt;&gt;""),Input!$B$45&amp;";",""),IF(AND($G47&lt;Hta_26,$G47&gt;=Hba_26,Input!AI$46&lt;&gt;""),Input!$B$46&amp;";",""),IF(AND($G47&lt;Hta_27,$G47&gt;=Hba_27,Input!AI$47&lt;&gt;""),Input!$B$47&amp;";",""),IF(AND($G47&lt;Hta_28,$G47&gt;=Hba_28,Input!AI$48&lt;&gt;""),Input!$B$48&amp;";",""),IF(AND($G47&lt;Hta_29,$G47&gt;=Hba_29,Input!AI$49&lt;&gt;""),Input!$B$49&amp;";",""),IF(AND($G47&lt;Hta_30,$G47&gt;=Hba_30,Input!AI$50&lt;&gt;""),Input!$B$50&amp;";","")),"")</f>
        <v/>
      </c>
      <c r="CK47" s="25" t="str">
        <f>IFERROR(CONCATENATE(IF(AND($G47&lt;Hta_1,$G47&gt;=Hba_1,Input!AJ$21&lt;&gt;""),Input!$B$21&amp;";",""),IF(AND($G47&lt;Hta_2,$G47&gt;=Hba_2,Input!AJ$22&lt;&gt;""),Input!$B$22&amp;";",""),IF(AND($G47&lt;Hta_3,$G47&gt;=Hba_3,Input!AJ$23&lt;&gt;""),Input!$B$23&amp;";",""),IF(AND($G47&lt;Hta_4,$G47&gt;=Hba_4,Input!AJ$24&lt;&gt;""),Input!$B$24&amp;";",""),IF(AND($G47&lt;Hta_5,$G47&gt;=Hba_5,Input!AJ$25&lt;&gt;""),Input!$B$25&amp;";",""),IF(AND($G47&lt;Hta_6,$G47&gt;=Hba_6,Input!AJ$26&lt;&gt;""),Input!$B$26&amp;";",""),IF(AND($G47&lt;Hta_7,$G47&gt;=Hba_7,Input!AJ$27&lt;&gt;""),Input!$B$27&amp;";",""),IF(AND($G47&lt;Hta_8,$G47&gt;=Hba_8,Input!AJ$28&lt;&gt;""),Input!$B$28&amp;";",""),IF(AND($G47&lt;Hta_9,$G47&gt;=Hba_9,Input!AJ$29&lt;&gt;""),Input!$B$29&amp;";",""),IF(AND($G47&lt;Hta_10,$G47&gt;=Hba_10,Input!AJ$30&lt;&gt;""),Input!$B$30&amp;";",""),IF(AND($G47&lt;Hta_11,$G47&gt;=Hba_11,Input!AJ$31&lt;&gt;""),Input!$B$31&amp;";",""),IF(AND($G47&lt;Hta_12,$G47&gt;=Hba_12,Input!AJ$32&lt;&gt;""),Input!$B$32&amp;";",""),IF(AND($G47&lt;Hta_13,$G47&gt;=Hba_13,Input!AJ$33&lt;&gt;""),Input!$B$33&amp;";",""),IF(AND($G47&lt;Hta_14,$G47&gt;=Hba_14,Input!AJ$34&lt;&gt;""),Input!$B$34&amp;";",""),IF(AND($G47&lt;Hta_15,$G47&gt;=Hba_15,Input!AJ$35&lt;&gt;""),Input!$B$35&amp;";",""),IF(AND($G47&lt;Hta_16,$G47&gt;=Hba_16,Input!AJ$36&lt;&gt;""),Input!$B$36&amp;";",""),IF(AND($G47&lt;Hta_17,$G47&gt;=Hba_17,Input!AJ$37&lt;&gt;""),Input!$B$37&amp;";",""),IF(AND($G47&lt;Hta_18,$G47&gt;=Hba_18,Input!AJ$38&lt;&gt;""),Input!$B$38&amp;";",""),IF(AND($G47&lt;Hta_19,$G47&gt;=Hba_19,Input!AJ$39&lt;&gt;""),Input!$B$39&amp;";",""),IF(AND($G47&lt;Hta_20,$G47&gt;=Hba_20,Input!AJ$40&lt;&gt;""),Input!$B$40&amp;";",""),IF(AND($G47&lt;Hta_21,$G47&gt;=Hba_21,Input!AJ$41&lt;&gt;""),Input!$B$41&amp;";",""),IF(AND($G47&lt;Hta_22,$G47&gt;=Hba_22,Input!AJ$42&lt;&gt;""),Input!$B$42&amp;";",""),IF(AND($G47&lt;Hta_23,$G47&gt;=Hba_23,Input!AJ$43&lt;&gt;""),Input!$B$43&amp;";",""),IF(AND($G47&lt;Hta_24,$G47&gt;=Hba_24,Input!AJ$44&lt;&gt;""),Input!$B$44&amp;";",""),IF(AND($G47&lt;Hta_25,$G47&gt;=Hba_25,Input!AJ$45&lt;&gt;""),Input!$B$45&amp;";",""),IF(AND($G47&lt;Hta_26,$G47&gt;=Hba_26,Input!AJ$46&lt;&gt;""),Input!$B$46&amp;";",""),IF(AND($G47&lt;Hta_27,$G47&gt;=Hba_27,Input!AJ$47&lt;&gt;""),Input!$B$47&amp;";",""),IF(AND($G47&lt;Hta_28,$G47&gt;=Hba_28,Input!AJ$48&lt;&gt;""),Input!$B$48&amp;";",""),IF(AND($G47&lt;Hta_29,$G47&gt;=Hba_29,Input!AJ$49&lt;&gt;""),Input!$B$49&amp;";",""),IF(AND($G47&lt;Hta_30,$G47&gt;=Hba_30,Input!AJ$50&lt;&gt;""),Input!$B$50&amp;";","")),"")</f>
        <v/>
      </c>
      <c r="CL47" s="25" t="str">
        <f>IFERROR(CONCATENATE(IF(AND($G47&lt;Hta_1,$G47&gt;=Hba_1,Input!AK$21&lt;&gt;""),Input!$B$21&amp;";",""),IF(AND($G47&lt;Hta_2,$G47&gt;=Hba_2,Input!AK$22&lt;&gt;""),Input!$B$22&amp;";",""),IF(AND($G47&lt;Hta_3,$G47&gt;=Hba_3,Input!AK$23&lt;&gt;""),Input!$B$23&amp;";",""),IF(AND($G47&lt;Hta_4,$G47&gt;=Hba_4,Input!AK$24&lt;&gt;""),Input!$B$24&amp;";",""),IF(AND($G47&lt;Hta_5,$G47&gt;=Hba_5,Input!AK$25&lt;&gt;""),Input!$B$25&amp;";",""),IF(AND($G47&lt;Hta_6,$G47&gt;=Hba_6,Input!AK$26&lt;&gt;""),Input!$B$26&amp;";",""),IF(AND($G47&lt;Hta_7,$G47&gt;=Hba_7,Input!AK$27&lt;&gt;""),Input!$B$27&amp;";",""),IF(AND($G47&lt;Hta_8,$G47&gt;=Hba_8,Input!AK$28&lt;&gt;""),Input!$B$28&amp;";",""),IF(AND($G47&lt;Hta_9,$G47&gt;=Hba_9,Input!AK$29&lt;&gt;""),Input!$B$29&amp;";",""),IF(AND($G47&lt;Hta_10,$G47&gt;=Hba_10,Input!AK$30&lt;&gt;""),Input!$B$30&amp;";",""),IF(AND($G47&lt;Hta_11,$G47&gt;=Hba_11,Input!AK$31&lt;&gt;""),Input!$B$31&amp;";",""),IF(AND($G47&lt;Hta_12,$G47&gt;=Hba_12,Input!AK$32&lt;&gt;""),Input!$B$32&amp;";",""),IF(AND($G47&lt;Hta_13,$G47&gt;=Hba_13,Input!AK$33&lt;&gt;""),Input!$B$33&amp;";",""),IF(AND($G47&lt;Hta_14,$G47&gt;=Hba_14,Input!AK$34&lt;&gt;""),Input!$B$34&amp;";",""),IF(AND($G47&lt;Hta_15,$G47&gt;=Hba_15,Input!AK$35&lt;&gt;""),Input!$B$35&amp;";",""),IF(AND($G47&lt;Hta_16,$G47&gt;=Hba_16,Input!AK$36&lt;&gt;""),Input!$B$36&amp;";",""),IF(AND($G47&lt;Hta_17,$G47&gt;=Hba_17,Input!AK$37&lt;&gt;""),Input!$B$37&amp;";",""),IF(AND($G47&lt;Hta_18,$G47&gt;=Hba_18,Input!AK$38&lt;&gt;""),Input!$B$38&amp;";",""),IF(AND($G47&lt;Hta_19,$G47&gt;=Hba_19,Input!AK$39&lt;&gt;""),Input!$B$39&amp;";",""),IF(AND($G47&lt;Hta_20,$G47&gt;=Hba_20,Input!AK$40&lt;&gt;""),Input!$B$40&amp;";",""),IF(AND($G47&lt;Hta_21,$G47&gt;=Hba_21,Input!AK$41&lt;&gt;""),Input!$B$41&amp;";",""),IF(AND($G47&lt;Hta_22,$G47&gt;=Hba_22,Input!AK$42&lt;&gt;""),Input!$B$42&amp;";",""),IF(AND($G47&lt;Hta_23,$G47&gt;=Hba_23,Input!AK$43&lt;&gt;""),Input!$B$43&amp;";",""),IF(AND($G47&lt;Hta_24,$G47&gt;=Hba_24,Input!AK$44&lt;&gt;""),Input!$B$44&amp;";",""),IF(AND($G47&lt;Hta_25,$G47&gt;=Hba_25,Input!AK$45&lt;&gt;""),Input!$B$45&amp;";",""),IF(AND($G47&lt;Hta_26,$G47&gt;=Hba_26,Input!AK$46&lt;&gt;""),Input!$B$46&amp;";",""),IF(AND($G47&lt;Hta_27,$G47&gt;=Hba_27,Input!AK$47&lt;&gt;""),Input!$B$47&amp;";",""),IF(AND($G47&lt;Hta_28,$G47&gt;=Hba_28,Input!AK$48&lt;&gt;""),Input!$B$48&amp;";",""),IF(AND($G47&lt;Hta_29,$G47&gt;=Hba_29,Input!AK$49&lt;&gt;""),Input!$B$49&amp;";",""),IF(AND($G47&lt;Hta_30,$G47&gt;=Hba_30,Input!AK$50&lt;&gt;""),Input!$B$50&amp;";","")),"")</f>
        <v/>
      </c>
      <c r="CM47" s="25" t="str">
        <f>IFERROR(CONCATENATE(IF(AND($G47&lt;Hta_1,$G47&gt;=Hba_1,Input!AL$21&lt;&gt;""),Input!$B$21&amp;";",""),IF(AND($G47&lt;Hta_2,$G47&gt;=Hba_2,Input!AL$22&lt;&gt;""),Input!$B$22&amp;";",""),IF(AND($G47&lt;Hta_3,$G47&gt;=Hba_3,Input!AL$23&lt;&gt;""),Input!$B$23&amp;";",""),IF(AND($G47&lt;Hta_4,$G47&gt;=Hba_4,Input!AL$24&lt;&gt;""),Input!$B$24&amp;";",""),IF(AND($G47&lt;Hta_5,$G47&gt;=Hba_5,Input!AL$25&lt;&gt;""),Input!$B$25&amp;";",""),IF(AND($G47&lt;Hta_6,$G47&gt;=Hba_6,Input!AL$26&lt;&gt;""),Input!$B$26&amp;";",""),IF(AND($G47&lt;Hta_7,$G47&gt;=Hba_7,Input!AL$27&lt;&gt;""),Input!$B$27&amp;";",""),IF(AND($G47&lt;Hta_8,$G47&gt;=Hba_8,Input!AL$28&lt;&gt;""),Input!$B$28&amp;";",""),IF(AND($G47&lt;Hta_9,$G47&gt;=Hba_9,Input!AL$29&lt;&gt;""),Input!$B$29&amp;";",""),IF(AND($G47&lt;Hta_10,$G47&gt;=Hba_10,Input!AL$30&lt;&gt;""),Input!$B$30&amp;";",""),IF(AND($G47&lt;Hta_11,$G47&gt;=Hba_11,Input!AL$31&lt;&gt;""),Input!$B$31&amp;";",""),IF(AND($G47&lt;Hta_12,$G47&gt;=Hba_12,Input!AL$32&lt;&gt;""),Input!$B$32&amp;";",""),IF(AND($G47&lt;Hta_13,$G47&gt;=Hba_13,Input!AL$33&lt;&gt;""),Input!$B$33&amp;";",""),IF(AND($G47&lt;Hta_14,$G47&gt;=Hba_14,Input!AL$34&lt;&gt;""),Input!$B$34&amp;";",""),IF(AND($G47&lt;Hta_15,$G47&gt;=Hba_15,Input!AL$35&lt;&gt;""),Input!$B$35&amp;";",""),IF(AND($G47&lt;Hta_16,$G47&gt;=Hba_16,Input!AL$36&lt;&gt;""),Input!$B$36&amp;";",""),IF(AND($G47&lt;Hta_17,$G47&gt;=Hba_17,Input!AL$37&lt;&gt;""),Input!$B$37&amp;";",""),IF(AND($G47&lt;Hta_18,$G47&gt;=Hba_18,Input!AL$38&lt;&gt;""),Input!$B$38&amp;";",""),IF(AND($G47&lt;Hta_19,$G47&gt;=Hba_19,Input!AL$39&lt;&gt;""),Input!$B$39&amp;";",""),IF(AND($G47&lt;Hta_20,$G47&gt;=Hba_20,Input!AL$40&lt;&gt;""),Input!$B$40&amp;";",""),IF(AND($G47&lt;Hta_21,$G47&gt;=Hba_21,Input!AL$41&lt;&gt;""),Input!$B$41&amp;";",""),IF(AND($G47&lt;Hta_22,$G47&gt;=Hba_22,Input!AL$42&lt;&gt;""),Input!$B$42&amp;";",""),IF(AND($G47&lt;Hta_23,$G47&gt;=Hba_23,Input!AL$43&lt;&gt;""),Input!$B$43&amp;";",""),IF(AND($G47&lt;Hta_24,$G47&gt;=Hba_24,Input!AL$44&lt;&gt;""),Input!$B$44&amp;";",""),IF(AND($G47&lt;Hta_25,$G47&gt;=Hba_25,Input!AL$45&lt;&gt;""),Input!$B$45&amp;";",""),IF(AND($G47&lt;Hta_26,$G47&gt;=Hba_26,Input!AL$46&lt;&gt;""),Input!$B$46&amp;";",""),IF(AND($G47&lt;Hta_27,$G47&gt;=Hba_27,Input!AL$47&lt;&gt;""),Input!$B$47&amp;";",""),IF(AND($G47&lt;Hta_28,$G47&gt;=Hba_28,Input!AL$48&lt;&gt;""),Input!$B$48&amp;";",""),IF(AND($G47&lt;Hta_29,$G47&gt;=Hba_29,Input!AL$49&lt;&gt;""),Input!$B$49&amp;";",""),IF(AND($G47&lt;Hta_30,$G47&gt;=Hba_30,Input!AL$50&lt;&gt;""),Input!$B$50&amp;";","")),"")</f>
        <v/>
      </c>
      <c r="CN47" s="60" t="str">
        <f t="shared" si="6"/>
        <v/>
      </c>
      <c r="CO47" s="798"/>
      <c r="CP47" s="799"/>
      <c r="CQ47" s="800"/>
      <c r="CR47" s="798"/>
      <c r="CS47" s="799"/>
      <c r="CT47" s="800"/>
      <c r="CU47" s="798" t="str">
        <f t="shared" si="7"/>
        <v/>
      </c>
      <c r="CV47" s="799"/>
      <c r="CW47" s="806"/>
      <c r="CX47" s="726"/>
      <c r="CY47" s="727"/>
      <c r="CZ47" s="732"/>
      <c r="DA47" s="726"/>
      <c r="DB47" s="727"/>
      <c r="DC47" s="732"/>
      <c r="DD47" s="726" t="str">
        <f t="shared" si="8"/>
        <v/>
      </c>
      <c r="DE47" s="727"/>
      <c r="DF47" s="728"/>
      <c r="DG47" s="53"/>
      <c r="DH47" s="54"/>
      <c r="DI47" s="54"/>
      <c r="DJ47" s="54"/>
      <c r="DK47" s="54"/>
      <c r="DL47" s="54"/>
      <c r="DM47" s="54"/>
      <c r="DN47" s="54"/>
      <c r="DO47" s="54"/>
      <c r="DP47" s="54"/>
      <c r="DQ47" s="57"/>
      <c r="DR47" s="57"/>
      <c r="DS47" s="57"/>
      <c r="DT47" s="57"/>
      <c r="DU47" s="57"/>
      <c r="DV47" s="57"/>
      <c r="DW47" s="57"/>
      <c r="DX47" s="57"/>
      <c r="DY47" s="57"/>
      <c r="DZ47" s="57"/>
      <c r="EA47" s="57"/>
      <c r="EB47" s="57"/>
      <c r="EC47" s="57"/>
      <c r="ED47" s="57"/>
      <c r="EE47" s="57"/>
      <c r="EF47" s="57"/>
      <c r="EG47" s="57"/>
      <c r="EH47" s="57"/>
      <c r="EI47" s="57"/>
      <c r="EJ47" s="57"/>
      <c r="EK47" s="57"/>
      <c r="EL47" s="133"/>
      <c r="EM47" s="133"/>
      <c r="EN47" s="133"/>
      <c r="EO47" s="133"/>
      <c r="EP47" s="133"/>
      <c r="EQ47" s="133"/>
      <c r="ER47" s="133"/>
      <c r="ES47" s="133"/>
      <c r="ET47" s="133"/>
      <c r="EU47" s="133"/>
      <c r="EV47" s="133"/>
      <c r="EW47" s="133"/>
      <c r="EX47" s="133"/>
      <c r="EY47" s="133"/>
      <c r="EZ47" s="133"/>
      <c r="FA47" s="133"/>
      <c r="FB47" s="133"/>
      <c r="FC47" s="133"/>
      <c r="FD47" s="133"/>
      <c r="FE47" s="133"/>
      <c r="FF47" s="133"/>
      <c r="FG47" s="133"/>
      <c r="FH47" s="133"/>
      <c r="FI47" s="133"/>
      <c r="FJ47" s="133"/>
      <c r="FK47" s="133"/>
      <c r="FL47" s="133"/>
      <c r="FM47" s="133"/>
      <c r="FN47" s="133"/>
      <c r="FO47" s="133"/>
      <c r="FP47" s="65"/>
      <c r="FQ47" s="125"/>
      <c r="FR47" s="123"/>
      <c r="FS47" s="121"/>
      <c r="FT47" s="119"/>
    </row>
    <row r="48" spans="2:176" ht="15.75" hidden="1" customHeight="1" thickBot="1" x14ac:dyDescent="0.3">
      <c r="B48" s="62" t="b">
        <f>IF(OR(AND(G48&gt;='Geometry 2'!$AK$5,G48&lt;'Geometry 2'!$AL$5),AND(G48&gt;='Geometry 2'!$AK$6,G48&lt;'Geometry 2'!$AL$6),AND(G48&gt;='Geometry 2'!$AK$7,G48&lt;'Geometry 2'!$AL$7),AND(G48&gt;='Geometry 2'!$AK$8,G48&lt;'Geometry 2'!$AL$8),AND(G48&gt;='Geometry 2'!$AK$9,G48&lt;'Geometry 2'!$AL$9),AND(G48&gt;='Geometry 2'!$AK$10,G48&lt;'Geometry 2'!$AL$10),AND(G48&gt;='Geometry 2'!$AK$11,G48&lt;'Geometry 2'!$AL$11),AND(G48&gt;='Geometry 2'!$AK$12,G48&lt;'Geometry 2'!$AL$12),AND(G48&gt;='Geometry 2'!$AK$13,G48&lt;'Geometry 2'!$AL$13),AND(G48&gt;='Geometry 2'!$AK$14,G48&lt;'Geometry 2'!$AL$14)),TRUE,FALSE)</f>
        <v>0</v>
      </c>
      <c r="C48" s="4" t="str">
        <f t="shared" si="3"/>
        <v/>
      </c>
      <c r="D48" s="766" t="str">
        <f t="shared" si="4"/>
        <v/>
      </c>
      <c r="E48" s="767"/>
      <c r="F48" s="17" t="str">
        <f t="shared" si="2"/>
        <v/>
      </c>
      <c r="G48" s="768" t="str">
        <f>IF(D48="","",MAX(0,G47-IF(inc="n/a",999,inc),MAX(IF(G47&lt;=Hta_1,0,Hta_1),IF(G47&lt;=Hta_2,0,Hta_2),IF(G47&lt;=Hta_3,0,Hta_3),IF(G47&lt;=Hta_4,0,Hta_4),IF(G47&lt;=Hta_5,0,Hta_5),IF(G47&lt;=Hta_6,0,Hta_6),IF(G47&lt;=Hta_7,0,Hta_7),IF(G47&lt;=Hta_8,0,Hta_8),IF(G47&lt;=Hta_9,0,Hta_9),IF(G47&lt;=Hta_10,0,Hta_10),IF(G47&lt;=Hta_11,0,Hta_11),IF(G47&lt;=Hta_12,0,Hta_12),IF(G47&lt;=Hta_13,0,Hta_13),IF(G47&lt;=Hta_14,0,Hta_14),IF(G47&lt;=Hta_15,0,Hta_15),IF(G47&lt;=Hta_16,0,Hta_16),IF(G47&lt;=Hta_17,0,Hta_17),IF(G47&lt;=Hta_18,0,Hta_18),IF(G47&lt;=Hta_19,0,Hta_19),IF(G47&lt;=Hta_20,0,Hta_20),IF(G47&lt;=Hta_21,0,Hta_21),IF(G47&lt;=Hta_22,0,Hta_22),IF(G47&lt;=Hta_23,0,Hta_23),IF(G47&lt;=Hta_24,0,Hta_24),IF(G47&lt;=Hta_25,0,Hta_25),IF(G47&lt;=Hta_26,0,Hta_26),IF(G47&lt;=Hta_27,0,Hta_27),IF(G47&lt;=Hta_28,0,Hta_28),IF(G47&lt;=Hta_29,0,Hta_29),IF(G47&lt;=Hta_30,0,Hta_30)),MAX(IF(G47&lt;=Hta_1-0.25,0,Hta_1-0.25),IF(G47&lt;=Hta_2-0.25,0,Hta_2-0.25),IF(G47&lt;=Hta_3-0.25,0,Hta_3-0.25),IF(G47&lt;=Hta_4-0.25,0,Hta_4-0.25),IF(G47&lt;=Hta_5-0.25,0,Hta_5-0.25),IF(G47&lt;=Hta_6-0.25,0,Hta_6-0.25),IF(G47&lt;=Hta_7-0.25,0,Hta_7-0.25),IF(G47&lt;=Hta_8-0.25,0,Hta_8-0.25),IF(G47&lt;=Hta_9-0.25,0,Hta_9-0.25),IF(G47&lt;=Hta_10-0.25,0,Hta_10-0.25),IF(G47&lt;=Hta_11-0.25,0,Hta_11-0.25),IF(G47&lt;=Hta_12-0.25,0,Hta_12-0.25),IF(G47&lt;=Hta_13-0.25,0,Hta_13-0.25),IF(G47&lt;=Hta_14-0.25,0,Hta_14-0.25),IF(G47&lt;=Hta_15-0.25,0,Hta_15-0.25),IF(G47&lt;=Hta_16-0.25,0,Hta_16-0.25),IF(G47&lt;=Hta_17-0.25,0,Hta_17-0.25),IF(G47&lt;=Hta_18-0.25,0,Hta_18-0.25),IF(G47&lt;=Hta_19-0.25,0,Hta_19-0.25),IF(G47&lt;=Hta_20-0.25,0,Hta_20-0.25),IF(G47&lt;=Hta_21-0.25,0,Hta_21-0.25),IF(G47&lt;=Hta_22-0.25,0,Hta_22-0.25),IF(G47&lt;=Hta_23-0.25,0,Hta_23-0.25),IF(G47&lt;=Hta_24-0.25,0,Hta_24-0.25),IF(G47&lt;=Hta_25-0.25,0,Hta_25-0.25),IF(G47&lt;=Hta_26-0.25,0,Hta_26-0.25),IF(G47&lt;=Hta_27-0.25,0,Hta_27-0.25),IF(G47&lt;=Hta_28-0.25,0,Hta_28-0.25),IF(G47&lt;=Hta_29-0.25,0,Hta_29-0.25),IF(G47&lt;=Hta_30-0.25,0,Hta_30-0.25)),MAX(IF(G47&lt;=Hba_1,0,Hba_1),IF(G47&lt;=Hba_2,0,Hba_2),IF(G47&lt;=Hba_3,0,Hba_3),IF(G47&lt;=Hba_4,0,Hba_4),IF(G47&lt;=Hba_5,0,Hba_5),IF(G47&lt;=Hba_6,0,Hba_6),IF(G47&lt;=Hba_7,0,Hba_7),IF(G47&lt;=Hba_8,0,Hba_8),IF(G47&lt;=Hba_9,0,Hba_9),IF(G47&lt;=Hba_10,0,Hba_10),IF(G47&lt;=Hba_11,0,Hba_11),IF(G47&lt;=Hba_12,0,Hba_12),IF(G47&lt;=Hba_13,0,Hba_13),IF(G47&lt;=Hba_14,0,Hba_14),IF(G47&lt;=Hba_15,0,Hba_15),IF(G47&lt;=Hba_16,0,Hba_16),IF(G47&lt;=Hba_17,0,Hba_17),IF(G47&lt;=Hba_18,0,Hba_18),IF(G47&lt;=Hba_19,0,Hba_19),IF(G47&lt;=Hba_20,0,Hba_20),IF(G47&lt;=Hba_21,0,Hba_21),IF(G47&lt;=Hba_22,0,Hba_22),IF(G47&lt;=Hba_23,0,Hba_23),IF(G47&lt;=Hba_24,0,Hba_24),IF(G47&lt;=Hba_25,0,Hba_25),IF(G47&lt;=Hba_26,0,Hba_26),IF(G47&lt;=Hba_27,0,Hba_27),IF(G47&lt;=Hba_28,0,Hba_28),IF(G47&lt;=Hba_29,0,Hba_29),IF(G47&lt;=Hba_30,0,Hba_30)),MAX(IF(G47&lt;=Input!$C$8,0,Input!$C$8),IF(G47&lt;=Input!$C$9,0,Input!$C$9),IF(G47&lt;=Input!$C$10,0,Input!$C$10),IF(G47&lt;=Input!$C$11,0,Input!$C$11),IF(G47&lt;=Input!$C$12,0,Input!$C$12),IF(G47&lt;=Input!$C$13,0,Input!$C$13),IF(G47&lt;=Input!$C$14,0,Input!$C$14),IF(G47&lt;=Input!$C$15,0,Input!$C$15),IF(G47&lt;=Input!$C$16,0,Input!$C$16)),MAX(IF(G47&lt;=Hba_1-0.25,0,Hba_1-0.25),IF(G47&lt;=Hba_2-0.25,0,Hba_2-0.25),IF(G47&lt;=Hba_3-0.25,0,Hba_3-0.25),IF(G47&lt;=Hba_4-0.25,0,Hba_4-0.25),IF(G47&lt;=Hba_5-0.25,0,Hba_5-0.25),IF(G47&lt;=Hba_6-0.25,0,Hba_6-0.25),IF(G47&lt;=Hba_7-0.25,0,Hba_7-0.25),IF(G47&lt;=Hba_8-0.25,0,Hba_8-0.25),IF(G47&lt;=Hba_9-0.25,0,Hba_9-0.25),IF(G47&lt;=Hba_10-0.25,0,Hba_10-0.25),IF(G47&lt;=Hba_11-0.25,0,Hba_11-0.25),IF(G47&lt;=Hba_12-0.25,0,Hba_12-0.25),IF(G47&lt;=Hba_13-0.25,0,Hba_13-0.25),IF(G47&lt;=Hba_14-0.25,0,Hba_14-0.25),IF(G47&lt;=Hba_15-0.25,0,Hba_15-0.25),IF(G47&lt;=Hba_16-0.25,0,Hba_16-0.25),IF(G47&lt;=Hba_17-0.25,0,Hba_17-0.25),IF(G47&lt;=Hba_18-0.25,0,Hba_18-0.25),IF(G47&lt;=Hba_19-0.25,0,Hba_19-0.25),IF(G47&lt;=Hba_20-0.25,0,Hba_20-0.25),IF(G47&lt;=Hba_21-0.25,0,Hba_21-0.25),IF(G47&lt;=Hba_22-0.25,0,Hba_22-0.25),IF(G47&lt;=Hba_23-0.25,0,Hba_23-0.25),IF(G47&lt;=Hba_24-0.25,0,Hba_24-0.25),IF(G47&lt;=Hba_25-0.25,0,Hba_25-0.25),IF(G47&lt;=Hba_26-0.25,0,Hba_26-0.25),IF(G47&lt;=Hba_27-0.25,0,Hba_27-0.25),IF(G47&lt;=Hba_28-0.25,0,Hba_28-0.25),IF(G47&lt;=Hba_29-0.25,0,Hba_29-0.25),IF(G47&lt;=Hba_30-0.25,0,Hba_30-0.25)),IF(G47&lt;='Macro References'!$A$38,0,'Macro References'!$A$38)))</f>
        <v/>
      </c>
      <c r="H48" s="769"/>
      <c r="I48" s="228"/>
      <c r="J48" s="228"/>
      <c r="K48" s="228"/>
      <c r="L48" s="717" t="str">
        <f t="shared" si="10"/>
        <v/>
      </c>
      <c r="M48" s="717"/>
      <c r="N48" s="717"/>
      <c r="O48" s="717"/>
      <c r="P48" s="717" t="str">
        <f>IF(OR(G48=0,G48=""),"",IF(VLOOKUP(G48,'Geometry 2'!$C$4:$AI$14,1,TRUE)=VLOOKUP(G49,'Geometry 2'!$C$4:$AI$14,1,TRUE),"",IF(VLOOKUP(G48,'Geometry 2'!$C$4:$AI$14,33,TRUE)&lt;&gt;"n/a",MIN(G48,VLOOKUP(G48,'Geometry 2'!$C$4:$AI$14,1,TRUE))-VLOOKUP(G48,'Geometry 2'!$C$4:$AI$14,33,TRUE),"check")))</f>
        <v/>
      </c>
      <c r="Q48" s="717"/>
      <c r="R48" s="717"/>
      <c r="S48" s="717"/>
      <c r="T48" s="717" t="str">
        <f>IF($G48="","",VLOOKUP($G48,'Geometry 2'!$E$4:$AH$14,11,TRUE))</f>
        <v/>
      </c>
      <c r="U48" s="717"/>
      <c r="V48" s="717"/>
      <c r="W48" s="717"/>
      <c r="X48" s="716" t="str">
        <f>IF($G48="","",VLOOKUP($G48,'Geometry 2'!$E$4:$AJ$14,19,TRUE)-12*VLOOKUP($G48,'Geometry 2'!$E$4:$AJ$14,32,TRUE)*($D48-VLOOKUP($G48,'Geometry 2'!$E$5:$AH$14,1,TRUE)))</f>
        <v/>
      </c>
      <c r="Y48" s="716"/>
      <c r="Z48" s="716"/>
      <c r="AA48" s="716"/>
      <c r="AB48" s="757" t="str">
        <f>IF($G48="","",VLOOKUP($G48,'Geometry 2'!$E$4:$AJ$14,19,TRUE)-12*VLOOKUP($G48,'Geometry 2'!$E$4:$AJ$14,32,TRUE)*($G48-VLOOKUP($G48,'Geometry 2'!$E$5:$AH$14,1,TRUE)))</f>
        <v/>
      </c>
      <c r="AC48" s="758"/>
      <c r="AD48" s="758"/>
      <c r="AE48" s="759"/>
      <c r="AF48" s="716" t="str">
        <f>IF($G48="","",VLOOKUP($G48,'Geometry 2'!$E$4:$AJ$14,19,TRUE)-12*VLOOKUP($G48,'Geometry 2'!$E$4:$AJ$14,32,TRUE)*($G48-IF($P48="",0,$P48)-VLOOKUP($G48,'Geometry 2'!$E$5:$AH$14,1,TRUE)))</f>
        <v/>
      </c>
      <c r="AG48" s="716"/>
      <c r="AH48" s="716"/>
      <c r="AI48" s="716"/>
      <c r="AJ48" s="746" t="str">
        <f>IF($G48="","",VLOOKUP($G48,'Geometry 2'!$E$4:$AH$14,23,TRUE))</f>
        <v/>
      </c>
      <c r="AK48" s="747"/>
      <c r="AL48" s="747"/>
      <c r="AM48" s="748"/>
      <c r="AN48" s="717"/>
      <c r="AO48" s="717"/>
      <c r="AP48" s="717"/>
      <c r="AQ48" s="717"/>
      <c r="AR48" s="717" t="str">
        <f>IF($G48="","",VLOOKUP($G48,'Geometry 2'!$E$4:$AH$14,27,TRUE))</f>
        <v/>
      </c>
      <c r="AS48" s="717"/>
      <c r="AT48" s="717"/>
      <c r="AU48" s="718"/>
      <c r="AV48" s="715"/>
      <c r="AW48" s="716"/>
      <c r="AX48" s="716"/>
      <c r="AZ48" s="722" t="str">
        <f t="shared" si="5"/>
        <v/>
      </c>
      <c r="BA48" s="723"/>
      <c r="BB48" s="723"/>
      <c r="BC48" s="724"/>
      <c r="BD48" s="722"/>
      <c r="BE48" s="723"/>
      <c r="BF48" s="723"/>
      <c r="BG48" s="722" t="str">
        <f t="shared" si="9"/>
        <v/>
      </c>
      <c r="BH48" s="723"/>
      <c r="BI48" s="723"/>
      <c r="BJ48" s="723"/>
      <c r="BK48" s="724"/>
      <c r="BL48" s="722"/>
      <c r="BM48" s="723"/>
      <c r="BN48" s="723"/>
      <c r="BO48" s="723"/>
      <c r="BP48" s="725"/>
      <c r="BQ48" s="725"/>
      <c r="BR48" s="722" t="str">
        <f>IF(BP48="","",IF(OR(AND(Rev="H",Calculations!$F$27=TRUE),AND(Rev&lt;&gt;"H",Calculations!$F$30=TRUE)),IF(BP48&lt;=1,"Pass","Fail"),IF(BP48&lt;=1.05,"Pass","Fail")))</f>
        <v/>
      </c>
      <c r="BS48" s="723"/>
      <c r="BT48" s="724"/>
      <c r="BU48" s="49"/>
      <c r="BV48" s="25" t="str">
        <f>IFERROR(CONCATENATE(IF(AND($G48&lt;Hta_1,$G48&gt;=Hba_1,Input!U$21&lt;&gt;""),Input!$B$21&amp;";",""),IF(AND($G48&lt;Hta_2,$G48&gt;=Hba_2,Input!U$22&lt;&gt;""),Input!$B$22&amp;";",""),IF(AND($G48&lt;Hta_3,$G48&gt;=Hba_3,Input!U$23&lt;&gt;""),Input!$B$23&amp;";",""),IF(AND($G48&lt;Hta_4,$G48&gt;=Hba_4,Input!U$24&lt;&gt;""),Input!$B$24&amp;";",""),IF(AND($G48&lt;Hta_5,$G48&gt;=Hba_5,Input!U$25&lt;&gt;""),Input!$B$25&amp;";",""),IF(AND($G48&lt;Hta_6,$G48&gt;=Hba_6,Input!U$26&lt;&gt;""),Input!$B$26&amp;";",""),IF(AND($G48&lt;Hta_7,$G48&gt;=Hba_7,Input!U$27&lt;&gt;""),Input!$B$27&amp;";",""),IF(AND($G48&lt;Hta_8,$G48&gt;=Hba_8,Input!U$28&lt;&gt;""),Input!$B$28&amp;";",""),IF(AND($G48&lt;Hta_9,$G48&gt;=Hba_9,Input!U$29&lt;&gt;""),Input!$B$29&amp;";",""),IF(AND($G48&lt;Hta_10,$G48&gt;=Hba_10,Input!U$30&lt;&gt;""),Input!$B$30&amp;";",""),IF(AND($G48&lt;Hta_11,$G48&gt;=Hba_11,Input!U$31&lt;&gt;""),Input!$B$31&amp;";",""),IF(AND($G48&lt;Hta_12,$G48&gt;=Hba_12,Input!U$32&lt;&gt;""),Input!$B$32&amp;";",""),IF(AND($G48&lt;Hta_13,$G48&gt;=Hba_13,Input!U$33&lt;&gt;""),Input!$B$33&amp;";",""),IF(AND($G48&lt;Hta_14,$G48&gt;=Hba_14,Input!U$34&lt;&gt;""),Input!$B$34&amp;";",""),IF(AND($G48&lt;Hta_15,$G48&gt;=Hba_15,Input!U$35&lt;&gt;""),Input!$B$35&amp;";",""),IF(AND($G48&lt;Hta_16,$G48&gt;=Hba_16,Input!U$36&lt;&gt;""),Input!$B$36&amp;";",""),IF(AND($G48&lt;Hta_17,$G48&gt;=Hba_17,Input!U$37&lt;&gt;""),Input!$B$37&amp;";",""),IF(AND($G48&lt;Hta_18,$G48&gt;=Hba_18,Input!U$38&lt;&gt;""),Input!$B$38&amp;";",""),IF(AND($G48&lt;Hta_19,$G48&gt;=Hba_19,Input!U$39&lt;&gt;""),Input!$B$39&amp;";",""),IF(AND($G48&lt;Hta_20,$G48&gt;=Hba_20,Input!U$40&lt;&gt;""),Input!$B$40&amp;";",""),IF(AND($G48&lt;Hta_21,$G48&gt;=Hba_21,Input!U$41&lt;&gt;""),Input!$B$41&amp;";",""),IF(AND($G48&lt;Hta_22,$G48&gt;=Hba_22,Input!U$42&lt;&gt;""),Input!$B$42&amp;";",""),IF(AND($G48&lt;Hta_23,$G48&gt;=Hba_23,Input!U$43&lt;&gt;""),Input!$B$43&amp;";",""),IF(AND($G48&lt;Hta_24,$G48&gt;=Hba_24,Input!U$44&lt;&gt;""),Input!$B$44&amp;";",""),IF(AND($G48&lt;Hta_25,$G48&gt;=Hba_25,Input!U$45&lt;&gt;""),Input!$B$45&amp;";",""),IF(AND($G48&lt;Hta_26,$G48&gt;=Hba_26,Input!U$46&lt;&gt;""),Input!$B$46&amp;";",""),IF(AND($G48&lt;Hta_27,$G48&gt;=Hba_27,Input!U$47&lt;&gt;""),Input!$B$47&amp;";",""),IF(AND($G48&lt;Hta_28,$G48&gt;=Hba_28,Input!U$48&lt;&gt;""),Input!$B$48&amp;";",""),IF(AND($G48&lt;Hta_29,$G48&gt;=Hba_29,Input!U$49&lt;&gt;""),Input!$B$49&amp;";",""),IF(AND($G48&lt;Hta_30,$G48&gt;=Hba_30,Input!U$50&lt;&gt;""),Input!$B$50&amp;";","")),"")</f>
        <v/>
      </c>
      <c r="BW48" s="25" t="str">
        <f>IFERROR(CONCATENATE(IF(AND($G48&lt;Hta_1,$G48&gt;=Hba_1,Input!V$21&lt;&gt;""),Input!$B$21&amp;";",""),IF(AND($G48&lt;Hta_2,$G48&gt;=Hba_2,Input!V$22&lt;&gt;""),Input!$B$22&amp;";",""),IF(AND($G48&lt;Hta_3,$G48&gt;=Hba_3,Input!V$23&lt;&gt;""),Input!$B$23&amp;";",""),IF(AND($G48&lt;Hta_4,$G48&gt;=Hba_4,Input!V$24&lt;&gt;""),Input!$B$24&amp;";",""),IF(AND($G48&lt;Hta_5,$G48&gt;=Hba_5,Input!V$25&lt;&gt;""),Input!$B$25&amp;";",""),IF(AND($G48&lt;Hta_6,$G48&gt;=Hba_6,Input!V$26&lt;&gt;""),Input!$B$26&amp;";",""),IF(AND($G48&lt;Hta_7,$G48&gt;=Hba_7,Input!V$27&lt;&gt;""),Input!$B$27&amp;";",""),IF(AND($G48&lt;Hta_8,$G48&gt;=Hba_8,Input!V$28&lt;&gt;""),Input!$B$28&amp;";",""),IF(AND($G48&lt;Hta_9,$G48&gt;=Hba_9,Input!V$29&lt;&gt;""),Input!$B$29&amp;";",""),IF(AND($G48&lt;Hta_10,$G48&gt;=Hba_10,Input!V$30&lt;&gt;""),Input!$B$30&amp;";",""),IF(AND($G48&lt;Hta_11,$G48&gt;=Hba_11,Input!V$31&lt;&gt;""),Input!$B$31&amp;";",""),IF(AND($G48&lt;Hta_12,$G48&gt;=Hba_12,Input!V$32&lt;&gt;""),Input!$B$32&amp;";",""),IF(AND($G48&lt;Hta_13,$G48&gt;=Hba_13,Input!V$33&lt;&gt;""),Input!$B$33&amp;";",""),IF(AND($G48&lt;Hta_14,$G48&gt;=Hba_14,Input!V$34&lt;&gt;""),Input!$B$34&amp;";",""),IF(AND($G48&lt;Hta_15,$G48&gt;=Hba_15,Input!V$35&lt;&gt;""),Input!$B$35&amp;";",""),IF(AND($G48&lt;Hta_16,$G48&gt;=Hba_16,Input!V$36&lt;&gt;""),Input!$B$36&amp;";",""),IF(AND($G48&lt;Hta_17,$G48&gt;=Hba_17,Input!V$37&lt;&gt;""),Input!$B$37&amp;";",""),IF(AND($G48&lt;Hta_18,$G48&gt;=Hba_18,Input!V$38&lt;&gt;""),Input!$B$38&amp;";",""),IF(AND($G48&lt;Hta_19,$G48&gt;=Hba_19,Input!V$39&lt;&gt;""),Input!$B$39&amp;";",""),IF(AND($G48&lt;Hta_20,$G48&gt;=Hba_20,Input!V$40&lt;&gt;""),Input!$B$40&amp;";",""),IF(AND($G48&lt;Hta_21,$G48&gt;=Hba_21,Input!V$41&lt;&gt;""),Input!$B$41&amp;";",""),IF(AND($G48&lt;Hta_22,$G48&gt;=Hba_22,Input!V$42&lt;&gt;""),Input!$B$42&amp;";",""),IF(AND($G48&lt;Hta_23,$G48&gt;=Hba_23,Input!V$43&lt;&gt;""),Input!$B$43&amp;";",""),IF(AND($G48&lt;Hta_24,$G48&gt;=Hba_24,Input!V$44&lt;&gt;""),Input!$B$44&amp;";",""),IF(AND($G48&lt;Hta_25,$G48&gt;=Hba_25,Input!V$45&lt;&gt;""),Input!$B$45&amp;";",""),IF(AND($G48&lt;Hta_26,$G48&gt;=Hba_26,Input!V$46&lt;&gt;""),Input!$B$46&amp;";",""),IF(AND($G48&lt;Hta_27,$G48&gt;=Hba_27,Input!V$47&lt;&gt;""),Input!$B$47&amp;";",""),IF(AND($G48&lt;Hta_28,$G48&gt;=Hba_28,Input!V$48&lt;&gt;""),Input!$B$48&amp;";",""),IF(AND($G48&lt;Hta_29,$G48&gt;=Hba_29,Input!V$49&lt;&gt;""),Input!$B$49&amp;";",""),IF(AND($G48&lt;Hta_30,$G48&gt;=Hba_30,Input!V$50&lt;&gt;""),Input!$B$50&amp;";","")),"")</f>
        <v/>
      </c>
      <c r="BX48" s="25" t="str">
        <f>IFERROR(CONCATENATE(IF(AND($G48&lt;Hta_1,$G48&gt;=Hba_1,Input!W$21&lt;&gt;""),Input!$B$21&amp;";",""),IF(AND($G48&lt;Hta_2,$G48&gt;=Hba_2,Input!W$22&lt;&gt;""),Input!$B$22&amp;";",""),IF(AND($G48&lt;Hta_3,$G48&gt;=Hba_3,Input!W$23&lt;&gt;""),Input!$B$23&amp;";",""),IF(AND($G48&lt;Hta_4,$G48&gt;=Hba_4,Input!W$24&lt;&gt;""),Input!$B$24&amp;";",""),IF(AND($G48&lt;Hta_5,$G48&gt;=Hba_5,Input!W$25&lt;&gt;""),Input!$B$25&amp;";",""),IF(AND($G48&lt;Hta_6,$G48&gt;=Hba_6,Input!W$26&lt;&gt;""),Input!$B$26&amp;";",""),IF(AND($G48&lt;Hta_7,$G48&gt;=Hba_7,Input!W$27&lt;&gt;""),Input!$B$27&amp;";",""),IF(AND($G48&lt;Hta_8,$G48&gt;=Hba_8,Input!W$28&lt;&gt;""),Input!$B$28&amp;";",""),IF(AND($G48&lt;Hta_9,$G48&gt;=Hba_9,Input!W$29&lt;&gt;""),Input!$B$29&amp;";",""),IF(AND($G48&lt;Hta_10,$G48&gt;=Hba_10,Input!W$30&lt;&gt;""),Input!$B$30&amp;";",""),IF(AND($G48&lt;Hta_11,$G48&gt;=Hba_11,Input!W$31&lt;&gt;""),Input!$B$31&amp;";",""),IF(AND($G48&lt;Hta_12,$G48&gt;=Hba_12,Input!W$32&lt;&gt;""),Input!$B$32&amp;";",""),IF(AND($G48&lt;Hta_13,$G48&gt;=Hba_13,Input!W$33&lt;&gt;""),Input!$B$33&amp;";",""),IF(AND($G48&lt;Hta_14,$G48&gt;=Hba_14,Input!W$34&lt;&gt;""),Input!$B$34&amp;";",""),IF(AND($G48&lt;Hta_15,$G48&gt;=Hba_15,Input!W$35&lt;&gt;""),Input!$B$35&amp;";",""),IF(AND($G48&lt;Hta_16,$G48&gt;=Hba_16,Input!W$36&lt;&gt;""),Input!$B$36&amp;";",""),IF(AND($G48&lt;Hta_17,$G48&gt;=Hba_17,Input!W$37&lt;&gt;""),Input!$B$37&amp;";",""),IF(AND($G48&lt;Hta_18,$G48&gt;=Hba_18,Input!W$38&lt;&gt;""),Input!$B$38&amp;";",""),IF(AND($G48&lt;Hta_19,$G48&gt;=Hba_19,Input!W$39&lt;&gt;""),Input!$B$39&amp;";",""),IF(AND($G48&lt;Hta_20,$G48&gt;=Hba_20,Input!W$40&lt;&gt;""),Input!$B$40&amp;";",""),IF(AND($G48&lt;Hta_21,$G48&gt;=Hba_21,Input!W$41&lt;&gt;""),Input!$B$41&amp;";",""),IF(AND($G48&lt;Hta_22,$G48&gt;=Hba_22,Input!W$42&lt;&gt;""),Input!$B$42&amp;";",""),IF(AND($G48&lt;Hta_23,$G48&gt;=Hba_23,Input!W$43&lt;&gt;""),Input!$B$43&amp;";",""),IF(AND($G48&lt;Hta_24,$G48&gt;=Hba_24,Input!W$44&lt;&gt;""),Input!$B$44&amp;";",""),IF(AND($G48&lt;Hta_25,$G48&gt;=Hba_25,Input!W$45&lt;&gt;""),Input!$B$45&amp;";",""),IF(AND($G48&lt;Hta_26,$G48&gt;=Hba_26,Input!W$46&lt;&gt;""),Input!$B$46&amp;";",""),IF(AND($G48&lt;Hta_27,$G48&gt;=Hba_27,Input!W$47&lt;&gt;""),Input!$B$47&amp;";",""),IF(AND($G48&lt;Hta_28,$G48&gt;=Hba_28,Input!W$48&lt;&gt;""),Input!$B$48&amp;";",""),IF(AND($G48&lt;Hta_29,$G48&gt;=Hba_29,Input!W$49&lt;&gt;""),Input!$B$49&amp;";",""),IF(AND($G48&lt;Hta_30,$G48&gt;=Hba_30,Input!W$50&lt;&gt;""),Input!$B$50&amp;";","")),"")</f>
        <v/>
      </c>
      <c r="BY48" s="25" t="str">
        <f>IFERROR(CONCATENATE(IF(AND($G48&lt;Hta_1,$G48&gt;=Hba_1,Input!X$21&lt;&gt;""),Input!$B$21&amp;";",""),IF(AND($G48&lt;Hta_2,$G48&gt;=Hba_2,Input!X$22&lt;&gt;""),Input!$B$22&amp;";",""),IF(AND($G48&lt;Hta_3,$G48&gt;=Hba_3,Input!X$23&lt;&gt;""),Input!$B$23&amp;";",""),IF(AND($G48&lt;Hta_4,$G48&gt;=Hba_4,Input!X$24&lt;&gt;""),Input!$B$24&amp;";",""),IF(AND($G48&lt;Hta_5,$G48&gt;=Hba_5,Input!X$25&lt;&gt;""),Input!$B$25&amp;";",""),IF(AND($G48&lt;Hta_6,$G48&gt;=Hba_6,Input!X$26&lt;&gt;""),Input!$B$26&amp;";",""),IF(AND($G48&lt;Hta_7,$G48&gt;=Hba_7,Input!X$27&lt;&gt;""),Input!$B$27&amp;";",""),IF(AND($G48&lt;Hta_8,$G48&gt;=Hba_8,Input!X$28&lt;&gt;""),Input!$B$28&amp;";",""),IF(AND($G48&lt;Hta_9,$G48&gt;=Hba_9,Input!X$29&lt;&gt;""),Input!$B$29&amp;";",""),IF(AND($G48&lt;Hta_10,$G48&gt;=Hba_10,Input!X$30&lt;&gt;""),Input!$B$30&amp;";",""),IF(AND($G48&lt;Hta_11,$G48&gt;=Hba_11,Input!X$31&lt;&gt;""),Input!$B$31&amp;";",""),IF(AND($G48&lt;Hta_12,$G48&gt;=Hba_12,Input!X$32&lt;&gt;""),Input!$B$32&amp;";",""),IF(AND($G48&lt;Hta_13,$G48&gt;=Hba_13,Input!X$33&lt;&gt;""),Input!$B$33&amp;";",""),IF(AND($G48&lt;Hta_14,$G48&gt;=Hba_14,Input!X$34&lt;&gt;""),Input!$B$34&amp;";",""),IF(AND($G48&lt;Hta_15,$G48&gt;=Hba_15,Input!X$35&lt;&gt;""),Input!$B$35&amp;";",""),IF(AND($G48&lt;Hta_16,$G48&gt;=Hba_16,Input!X$36&lt;&gt;""),Input!$B$36&amp;";",""),IF(AND($G48&lt;Hta_17,$G48&gt;=Hba_17,Input!X$37&lt;&gt;""),Input!$B$37&amp;";",""),IF(AND($G48&lt;Hta_18,$G48&gt;=Hba_18,Input!X$38&lt;&gt;""),Input!$B$38&amp;";",""),IF(AND($G48&lt;Hta_19,$G48&gt;=Hba_19,Input!X$39&lt;&gt;""),Input!$B$39&amp;";",""),IF(AND($G48&lt;Hta_20,$G48&gt;=Hba_20,Input!X$40&lt;&gt;""),Input!$B$40&amp;";",""),IF(AND($G48&lt;Hta_21,$G48&gt;=Hba_21,Input!X$41&lt;&gt;""),Input!$B$41&amp;";",""),IF(AND($G48&lt;Hta_22,$G48&gt;=Hba_22,Input!X$42&lt;&gt;""),Input!$B$42&amp;";",""),IF(AND($G48&lt;Hta_23,$G48&gt;=Hba_23,Input!X$43&lt;&gt;""),Input!$B$43&amp;";",""),IF(AND($G48&lt;Hta_24,$G48&gt;=Hba_24,Input!X$44&lt;&gt;""),Input!$B$44&amp;";",""),IF(AND($G48&lt;Hta_25,$G48&gt;=Hba_25,Input!X$45&lt;&gt;""),Input!$B$45&amp;";",""),IF(AND($G48&lt;Hta_26,$G48&gt;=Hba_26,Input!X$46&lt;&gt;""),Input!$B$46&amp;";",""),IF(AND($G48&lt;Hta_27,$G48&gt;=Hba_27,Input!X$47&lt;&gt;""),Input!$B$47&amp;";",""),IF(AND($G48&lt;Hta_28,$G48&gt;=Hba_28,Input!X$48&lt;&gt;""),Input!$B$48&amp;";",""),IF(AND($G48&lt;Hta_29,$G48&gt;=Hba_29,Input!X$49&lt;&gt;""),Input!$B$49&amp;";",""),IF(AND($G48&lt;Hta_30,$G48&gt;=Hba_30,Input!X$50&lt;&gt;""),Input!$B$50&amp;";","")),"")</f>
        <v/>
      </c>
      <c r="BZ48" s="25" t="str">
        <f>IFERROR(CONCATENATE(IF(AND($G48&lt;Hta_1,$G48&gt;=Hba_1,Input!Y$21&lt;&gt;""),Input!$B$21&amp;";",""),IF(AND($G48&lt;Hta_2,$G48&gt;=Hba_2,Input!Y$22&lt;&gt;""),Input!$B$22&amp;";",""),IF(AND($G48&lt;Hta_3,$G48&gt;=Hba_3,Input!Y$23&lt;&gt;""),Input!$B$23&amp;";",""),IF(AND($G48&lt;Hta_4,$G48&gt;=Hba_4,Input!Y$24&lt;&gt;""),Input!$B$24&amp;";",""),IF(AND($G48&lt;Hta_5,$G48&gt;=Hba_5,Input!Y$25&lt;&gt;""),Input!$B$25&amp;";",""),IF(AND($G48&lt;Hta_6,$G48&gt;=Hba_6,Input!Y$26&lt;&gt;""),Input!$B$26&amp;";",""),IF(AND($G48&lt;Hta_7,$G48&gt;=Hba_7,Input!Y$27&lt;&gt;""),Input!$B$27&amp;";",""),IF(AND($G48&lt;Hta_8,$G48&gt;=Hba_8,Input!Y$28&lt;&gt;""),Input!$B$28&amp;";",""),IF(AND($G48&lt;Hta_9,$G48&gt;=Hba_9,Input!Y$29&lt;&gt;""),Input!$B$29&amp;";",""),IF(AND($G48&lt;Hta_10,$G48&gt;=Hba_10,Input!Y$30&lt;&gt;""),Input!$B$30&amp;";",""),IF(AND($G48&lt;Hta_11,$G48&gt;=Hba_11,Input!Y$31&lt;&gt;""),Input!$B$31&amp;";",""),IF(AND($G48&lt;Hta_12,$G48&gt;=Hba_12,Input!Y$32&lt;&gt;""),Input!$B$32&amp;";",""),IF(AND($G48&lt;Hta_13,$G48&gt;=Hba_13,Input!Y$33&lt;&gt;""),Input!$B$33&amp;";",""),IF(AND($G48&lt;Hta_14,$G48&gt;=Hba_14,Input!Y$34&lt;&gt;""),Input!$B$34&amp;";",""),IF(AND($G48&lt;Hta_15,$G48&gt;=Hba_15,Input!Y$35&lt;&gt;""),Input!$B$35&amp;";",""),IF(AND($G48&lt;Hta_16,$G48&gt;=Hba_16,Input!Y$36&lt;&gt;""),Input!$B$36&amp;";",""),IF(AND($G48&lt;Hta_17,$G48&gt;=Hba_17,Input!Y$37&lt;&gt;""),Input!$B$37&amp;";",""),IF(AND($G48&lt;Hta_18,$G48&gt;=Hba_18,Input!Y$38&lt;&gt;""),Input!$B$38&amp;";",""),IF(AND($G48&lt;Hta_19,$G48&gt;=Hba_19,Input!Y$39&lt;&gt;""),Input!$B$39&amp;";",""),IF(AND($G48&lt;Hta_20,$G48&gt;=Hba_20,Input!Y$40&lt;&gt;""),Input!$B$40&amp;";",""),IF(AND($G48&lt;Hta_21,$G48&gt;=Hba_21,Input!Y$41&lt;&gt;""),Input!$B$41&amp;";",""),IF(AND($G48&lt;Hta_22,$G48&gt;=Hba_22,Input!Y$42&lt;&gt;""),Input!$B$42&amp;";",""),IF(AND($G48&lt;Hta_23,$G48&gt;=Hba_23,Input!Y$43&lt;&gt;""),Input!$B$43&amp;";",""),IF(AND($G48&lt;Hta_24,$G48&gt;=Hba_24,Input!Y$44&lt;&gt;""),Input!$B$44&amp;";",""),IF(AND($G48&lt;Hta_25,$G48&gt;=Hba_25,Input!Y$45&lt;&gt;""),Input!$B$45&amp;";",""),IF(AND($G48&lt;Hta_26,$G48&gt;=Hba_26,Input!Y$46&lt;&gt;""),Input!$B$46&amp;";",""),IF(AND($G48&lt;Hta_27,$G48&gt;=Hba_27,Input!Y$47&lt;&gt;""),Input!$B$47&amp;";",""),IF(AND($G48&lt;Hta_28,$G48&gt;=Hba_28,Input!Y$48&lt;&gt;""),Input!$B$48&amp;";",""),IF(AND($G48&lt;Hta_29,$G48&gt;=Hba_29,Input!Y$49&lt;&gt;""),Input!$B$49&amp;";",""),IF(AND($G48&lt;Hta_30,$G48&gt;=Hba_30,Input!Y$50&lt;&gt;""),Input!$B$50&amp;";","")),"")</f>
        <v/>
      </c>
      <c r="CA48" s="25" t="str">
        <f>IFERROR(CONCATENATE(IF(AND($G48&lt;Hta_1,$G48&gt;=Hba_1,Input!Z$21&lt;&gt;""),Input!$B$21&amp;";",""),IF(AND($G48&lt;Hta_2,$G48&gt;=Hba_2,Input!Z$22&lt;&gt;""),Input!$B$22&amp;";",""),IF(AND($G48&lt;Hta_3,$G48&gt;=Hba_3,Input!Z$23&lt;&gt;""),Input!$B$23&amp;";",""),IF(AND($G48&lt;Hta_4,$G48&gt;=Hba_4,Input!Z$24&lt;&gt;""),Input!$B$24&amp;";",""),IF(AND($G48&lt;Hta_5,$G48&gt;=Hba_5,Input!Z$25&lt;&gt;""),Input!$B$25&amp;";",""),IF(AND($G48&lt;Hta_6,$G48&gt;=Hba_6,Input!Z$26&lt;&gt;""),Input!$B$26&amp;";",""),IF(AND($G48&lt;Hta_7,$G48&gt;=Hba_7,Input!Z$27&lt;&gt;""),Input!$B$27&amp;";",""),IF(AND($G48&lt;Hta_8,$G48&gt;=Hba_8,Input!Z$28&lt;&gt;""),Input!$B$28&amp;";",""),IF(AND($G48&lt;Hta_9,$G48&gt;=Hba_9,Input!Z$29&lt;&gt;""),Input!$B$29&amp;";",""),IF(AND($G48&lt;Hta_10,$G48&gt;=Hba_10,Input!Z$30&lt;&gt;""),Input!$B$30&amp;";",""),IF(AND($G48&lt;Hta_11,$G48&gt;=Hba_11,Input!Z$31&lt;&gt;""),Input!$B$31&amp;";",""),IF(AND($G48&lt;Hta_12,$G48&gt;=Hba_12,Input!Z$32&lt;&gt;""),Input!$B$32&amp;";",""),IF(AND($G48&lt;Hta_13,$G48&gt;=Hba_13,Input!Z$33&lt;&gt;""),Input!$B$33&amp;";",""),IF(AND($G48&lt;Hta_14,$G48&gt;=Hba_14,Input!Z$34&lt;&gt;""),Input!$B$34&amp;";",""),IF(AND($G48&lt;Hta_15,$G48&gt;=Hba_15,Input!Z$35&lt;&gt;""),Input!$B$35&amp;";",""),IF(AND($G48&lt;Hta_16,$G48&gt;=Hba_16,Input!Z$36&lt;&gt;""),Input!$B$36&amp;";",""),IF(AND($G48&lt;Hta_17,$G48&gt;=Hba_17,Input!Z$37&lt;&gt;""),Input!$B$37&amp;";",""),IF(AND($G48&lt;Hta_18,$G48&gt;=Hba_18,Input!Z$38&lt;&gt;""),Input!$B$38&amp;";",""),IF(AND($G48&lt;Hta_19,$G48&gt;=Hba_19,Input!Z$39&lt;&gt;""),Input!$B$39&amp;";",""),IF(AND($G48&lt;Hta_20,$G48&gt;=Hba_20,Input!Z$40&lt;&gt;""),Input!$B$40&amp;";",""),IF(AND($G48&lt;Hta_21,$G48&gt;=Hba_21,Input!Z$41&lt;&gt;""),Input!$B$41&amp;";",""),IF(AND($G48&lt;Hta_22,$G48&gt;=Hba_22,Input!Z$42&lt;&gt;""),Input!$B$42&amp;";",""),IF(AND($G48&lt;Hta_23,$G48&gt;=Hba_23,Input!Z$43&lt;&gt;""),Input!$B$43&amp;";",""),IF(AND($G48&lt;Hta_24,$G48&gt;=Hba_24,Input!Z$44&lt;&gt;""),Input!$B$44&amp;";",""),IF(AND($G48&lt;Hta_25,$G48&gt;=Hba_25,Input!Z$45&lt;&gt;""),Input!$B$45&amp;";",""),IF(AND($G48&lt;Hta_26,$G48&gt;=Hba_26,Input!Z$46&lt;&gt;""),Input!$B$46&amp;";",""),IF(AND($G48&lt;Hta_27,$G48&gt;=Hba_27,Input!Z$47&lt;&gt;""),Input!$B$47&amp;";",""),IF(AND($G48&lt;Hta_28,$G48&gt;=Hba_28,Input!Z$48&lt;&gt;""),Input!$B$48&amp;";",""),IF(AND($G48&lt;Hta_29,$G48&gt;=Hba_29,Input!Z$49&lt;&gt;""),Input!$B$49&amp;";",""),IF(AND($G48&lt;Hta_30,$G48&gt;=Hba_30,Input!Z$50&lt;&gt;""),Input!$B$50&amp;";","")),"")</f>
        <v/>
      </c>
      <c r="CB48" s="25" t="str">
        <f>IFERROR(CONCATENATE(IF(AND($G48&lt;Hta_1,$G48&gt;=Hba_1,Input!AA$21&lt;&gt;""),Input!$B$21&amp;";",""),IF(AND($G48&lt;Hta_2,$G48&gt;=Hba_2,Input!AA$22&lt;&gt;""),Input!$B$22&amp;";",""),IF(AND($G48&lt;Hta_3,$G48&gt;=Hba_3,Input!AA$23&lt;&gt;""),Input!$B$23&amp;";",""),IF(AND($G48&lt;Hta_4,$G48&gt;=Hba_4,Input!AA$24&lt;&gt;""),Input!$B$24&amp;";",""),IF(AND($G48&lt;Hta_5,$G48&gt;=Hba_5,Input!AA$25&lt;&gt;""),Input!$B$25&amp;";",""),IF(AND($G48&lt;Hta_6,$G48&gt;=Hba_6,Input!AA$26&lt;&gt;""),Input!$B$26&amp;";",""),IF(AND($G48&lt;Hta_7,$G48&gt;=Hba_7,Input!AA$27&lt;&gt;""),Input!$B$27&amp;";",""),IF(AND($G48&lt;Hta_8,$G48&gt;=Hba_8,Input!AA$28&lt;&gt;""),Input!$B$28&amp;";",""),IF(AND($G48&lt;Hta_9,$G48&gt;=Hba_9,Input!AA$29&lt;&gt;""),Input!$B$29&amp;";",""),IF(AND($G48&lt;Hta_10,$G48&gt;=Hba_10,Input!AA$30&lt;&gt;""),Input!$B$30&amp;";",""),IF(AND($G48&lt;Hta_11,$G48&gt;=Hba_11,Input!AA$31&lt;&gt;""),Input!$B$31&amp;";",""),IF(AND($G48&lt;Hta_12,$G48&gt;=Hba_12,Input!AA$32&lt;&gt;""),Input!$B$32&amp;";",""),IF(AND($G48&lt;Hta_13,$G48&gt;=Hba_13,Input!AA$33&lt;&gt;""),Input!$B$33&amp;";",""),IF(AND($G48&lt;Hta_14,$G48&gt;=Hba_14,Input!AA$34&lt;&gt;""),Input!$B$34&amp;";",""),IF(AND($G48&lt;Hta_15,$G48&gt;=Hba_15,Input!AA$35&lt;&gt;""),Input!$B$35&amp;";",""),IF(AND($G48&lt;Hta_16,$G48&gt;=Hba_16,Input!AA$36&lt;&gt;""),Input!$B$36&amp;";",""),IF(AND($G48&lt;Hta_17,$G48&gt;=Hba_17,Input!AA$37&lt;&gt;""),Input!$B$37&amp;";",""),IF(AND($G48&lt;Hta_18,$G48&gt;=Hba_18,Input!AA$38&lt;&gt;""),Input!$B$38&amp;";",""),IF(AND($G48&lt;Hta_19,$G48&gt;=Hba_19,Input!AA$39&lt;&gt;""),Input!$B$39&amp;";",""),IF(AND($G48&lt;Hta_20,$G48&gt;=Hba_20,Input!AA$40&lt;&gt;""),Input!$B$40&amp;";",""),IF(AND($G48&lt;Hta_21,$G48&gt;=Hba_21,Input!AA$41&lt;&gt;""),Input!$B$41&amp;";",""),IF(AND($G48&lt;Hta_22,$G48&gt;=Hba_22,Input!AA$42&lt;&gt;""),Input!$B$42&amp;";",""),IF(AND($G48&lt;Hta_23,$G48&gt;=Hba_23,Input!AA$43&lt;&gt;""),Input!$B$43&amp;";",""),IF(AND($G48&lt;Hta_24,$G48&gt;=Hba_24,Input!AA$44&lt;&gt;""),Input!$B$44&amp;";",""),IF(AND($G48&lt;Hta_25,$G48&gt;=Hba_25,Input!AA$45&lt;&gt;""),Input!$B$45&amp;";",""),IF(AND($G48&lt;Hta_26,$G48&gt;=Hba_26,Input!AA$46&lt;&gt;""),Input!$B$46&amp;";",""),IF(AND($G48&lt;Hta_27,$G48&gt;=Hba_27,Input!AA$47&lt;&gt;""),Input!$B$47&amp;";",""),IF(AND($G48&lt;Hta_28,$G48&gt;=Hba_28,Input!AA$48&lt;&gt;""),Input!$B$48&amp;";",""),IF(AND($G48&lt;Hta_29,$G48&gt;=Hba_29,Input!AA$49&lt;&gt;""),Input!$B$49&amp;";",""),IF(AND($G48&lt;Hta_30,$G48&gt;=Hba_30,Input!AA$50&lt;&gt;""),Input!$B$50&amp;";","")),"")</f>
        <v/>
      </c>
      <c r="CC48" s="25" t="str">
        <f>IFERROR(CONCATENATE(IF(AND($G48&lt;Hta_1,$G48&gt;=Hba_1,Input!AB$21&lt;&gt;""),Input!$B$21&amp;";",""),IF(AND($G48&lt;Hta_2,$G48&gt;=Hba_2,Input!AB$22&lt;&gt;""),Input!$B$22&amp;";",""),IF(AND($G48&lt;Hta_3,$G48&gt;=Hba_3,Input!AB$23&lt;&gt;""),Input!$B$23&amp;";",""),IF(AND($G48&lt;Hta_4,$G48&gt;=Hba_4,Input!AB$24&lt;&gt;""),Input!$B$24&amp;";",""),IF(AND($G48&lt;Hta_5,$G48&gt;=Hba_5,Input!AB$25&lt;&gt;""),Input!$B$25&amp;";",""),IF(AND($G48&lt;Hta_6,$G48&gt;=Hba_6,Input!AB$26&lt;&gt;""),Input!$B$26&amp;";",""),IF(AND($G48&lt;Hta_7,$G48&gt;=Hba_7,Input!AB$27&lt;&gt;""),Input!$B$27&amp;";",""),IF(AND($G48&lt;Hta_8,$G48&gt;=Hba_8,Input!AB$28&lt;&gt;""),Input!$B$28&amp;";",""),IF(AND($G48&lt;Hta_9,$G48&gt;=Hba_9,Input!AB$29&lt;&gt;""),Input!$B$29&amp;";",""),IF(AND($G48&lt;Hta_10,$G48&gt;=Hba_10,Input!AB$30&lt;&gt;""),Input!$B$30&amp;";",""),IF(AND($G48&lt;Hta_11,$G48&gt;=Hba_11,Input!AB$31&lt;&gt;""),Input!$B$31&amp;";",""),IF(AND($G48&lt;Hta_12,$G48&gt;=Hba_12,Input!AB$32&lt;&gt;""),Input!$B$32&amp;";",""),IF(AND($G48&lt;Hta_13,$G48&gt;=Hba_13,Input!AB$33&lt;&gt;""),Input!$B$33&amp;";",""),IF(AND($G48&lt;Hta_14,$G48&gt;=Hba_14,Input!AB$34&lt;&gt;""),Input!$B$34&amp;";",""),IF(AND($G48&lt;Hta_15,$G48&gt;=Hba_15,Input!AB$35&lt;&gt;""),Input!$B$35&amp;";",""),IF(AND($G48&lt;Hta_16,$G48&gt;=Hba_16,Input!AB$36&lt;&gt;""),Input!$B$36&amp;";",""),IF(AND($G48&lt;Hta_17,$G48&gt;=Hba_17,Input!AB$37&lt;&gt;""),Input!$B$37&amp;";",""),IF(AND($G48&lt;Hta_18,$G48&gt;=Hba_18,Input!AB$38&lt;&gt;""),Input!$B$38&amp;";",""),IF(AND($G48&lt;Hta_19,$G48&gt;=Hba_19,Input!AB$39&lt;&gt;""),Input!$B$39&amp;";",""),IF(AND($G48&lt;Hta_20,$G48&gt;=Hba_20,Input!AB$40&lt;&gt;""),Input!$B$40&amp;";",""),IF(AND($G48&lt;Hta_21,$G48&gt;=Hba_21,Input!AB$41&lt;&gt;""),Input!$B$41&amp;";",""),IF(AND($G48&lt;Hta_22,$G48&gt;=Hba_22,Input!AB$42&lt;&gt;""),Input!$B$42&amp;";",""),IF(AND($G48&lt;Hta_23,$G48&gt;=Hba_23,Input!AB$43&lt;&gt;""),Input!$B$43&amp;";",""),IF(AND($G48&lt;Hta_24,$G48&gt;=Hba_24,Input!AB$44&lt;&gt;""),Input!$B$44&amp;";",""),IF(AND($G48&lt;Hta_25,$G48&gt;=Hba_25,Input!AB$45&lt;&gt;""),Input!$B$45&amp;";",""),IF(AND($G48&lt;Hta_26,$G48&gt;=Hba_26,Input!AB$46&lt;&gt;""),Input!$B$46&amp;";",""),IF(AND($G48&lt;Hta_27,$G48&gt;=Hba_27,Input!AB$47&lt;&gt;""),Input!$B$47&amp;";",""),IF(AND($G48&lt;Hta_28,$G48&gt;=Hba_28,Input!AB$48&lt;&gt;""),Input!$B$48&amp;";",""),IF(AND($G48&lt;Hta_29,$G48&gt;=Hba_29,Input!AB$49&lt;&gt;""),Input!$B$49&amp;";",""),IF(AND($G48&lt;Hta_30,$G48&gt;=Hba_30,Input!AB$50&lt;&gt;""),Input!$B$50&amp;";","")),"")</f>
        <v/>
      </c>
      <c r="CD48" s="25" t="str">
        <f>IFERROR(CONCATENATE(IF(AND($G48&lt;Hta_1,$G48&gt;=Hba_1,Input!AC$21&lt;&gt;""),Input!$B$21&amp;";",""),IF(AND($G48&lt;Hta_2,$G48&gt;=Hba_2,Input!AC$22&lt;&gt;""),Input!$B$22&amp;";",""),IF(AND($G48&lt;Hta_3,$G48&gt;=Hba_3,Input!AC$23&lt;&gt;""),Input!$B$23&amp;";",""),IF(AND($G48&lt;Hta_4,$G48&gt;=Hba_4,Input!AC$24&lt;&gt;""),Input!$B$24&amp;";",""),IF(AND($G48&lt;Hta_5,$G48&gt;=Hba_5,Input!AC$25&lt;&gt;""),Input!$B$25&amp;";",""),IF(AND($G48&lt;Hta_6,$G48&gt;=Hba_6,Input!AC$26&lt;&gt;""),Input!$B$26&amp;";",""),IF(AND($G48&lt;Hta_7,$G48&gt;=Hba_7,Input!AC$27&lt;&gt;""),Input!$B$27&amp;";",""),IF(AND($G48&lt;Hta_8,$G48&gt;=Hba_8,Input!AC$28&lt;&gt;""),Input!$B$28&amp;";",""),IF(AND($G48&lt;Hta_9,$G48&gt;=Hba_9,Input!AC$29&lt;&gt;""),Input!$B$29&amp;";",""),IF(AND($G48&lt;Hta_10,$G48&gt;=Hba_10,Input!AC$30&lt;&gt;""),Input!$B$30&amp;";",""),IF(AND($G48&lt;Hta_11,$G48&gt;=Hba_11,Input!AC$31&lt;&gt;""),Input!$B$31&amp;";",""),IF(AND($G48&lt;Hta_12,$G48&gt;=Hba_12,Input!AC$32&lt;&gt;""),Input!$B$32&amp;";",""),IF(AND($G48&lt;Hta_13,$G48&gt;=Hba_13,Input!AC$33&lt;&gt;""),Input!$B$33&amp;";",""),IF(AND($G48&lt;Hta_14,$G48&gt;=Hba_14,Input!AC$34&lt;&gt;""),Input!$B$34&amp;";",""),IF(AND($G48&lt;Hta_15,$G48&gt;=Hba_15,Input!AC$35&lt;&gt;""),Input!$B$35&amp;";",""),IF(AND($G48&lt;Hta_16,$G48&gt;=Hba_16,Input!AC$36&lt;&gt;""),Input!$B$36&amp;";",""),IF(AND($G48&lt;Hta_17,$G48&gt;=Hba_17,Input!AC$37&lt;&gt;""),Input!$B$37&amp;";",""),IF(AND($G48&lt;Hta_18,$G48&gt;=Hba_18,Input!AC$38&lt;&gt;""),Input!$B$38&amp;";",""),IF(AND($G48&lt;Hta_19,$G48&gt;=Hba_19,Input!AC$39&lt;&gt;""),Input!$B$39&amp;";",""),IF(AND($G48&lt;Hta_20,$G48&gt;=Hba_20,Input!AC$40&lt;&gt;""),Input!$B$40&amp;";",""),IF(AND($G48&lt;Hta_21,$G48&gt;=Hba_21,Input!AC$41&lt;&gt;""),Input!$B$41&amp;";",""),IF(AND($G48&lt;Hta_22,$G48&gt;=Hba_22,Input!AC$42&lt;&gt;""),Input!$B$42&amp;";",""),IF(AND($G48&lt;Hta_23,$G48&gt;=Hba_23,Input!AC$43&lt;&gt;""),Input!$B$43&amp;";",""),IF(AND($G48&lt;Hta_24,$G48&gt;=Hba_24,Input!AC$44&lt;&gt;""),Input!$B$44&amp;";",""),IF(AND($G48&lt;Hta_25,$G48&gt;=Hba_25,Input!AC$45&lt;&gt;""),Input!$B$45&amp;";",""),IF(AND($G48&lt;Hta_26,$G48&gt;=Hba_26,Input!AC$46&lt;&gt;""),Input!$B$46&amp;";",""),IF(AND($G48&lt;Hta_27,$G48&gt;=Hba_27,Input!AC$47&lt;&gt;""),Input!$B$47&amp;";",""),IF(AND($G48&lt;Hta_28,$G48&gt;=Hba_28,Input!AC$48&lt;&gt;""),Input!$B$48&amp;";",""),IF(AND($G48&lt;Hta_29,$G48&gt;=Hba_29,Input!AC$49&lt;&gt;""),Input!$B$49&amp;";",""),IF(AND($G48&lt;Hta_30,$G48&gt;=Hba_30,Input!AC$50&lt;&gt;""),Input!$B$50&amp;";","")),"")</f>
        <v/>
      </c>
      <c r="CE48" s="25" t="str">
        <f>IFERROR(CONCATENATE(IF(AND($G48&lt;Hta_1,$G48&gt;=Hba_1,Input!AD$21&lt;&gt;""),Input!$B$21&amp;";",""),IF(AND($G48&lt;Hta_2,$G48&gt;=Hba_2,Input!AD$22&lt;&gt;""),Input!$B$22&amp;";",""),IF(AND($G48&lt;Hta_3,$G48&gt;=Hba_3,Input!AD$23&lt;&gt;""),Input!$B$23&amp;";",""),IF(AND($G48&lt;Hta_4,$G48&gt;=Hba_4,Input!AD$24&lt;&gt;""),Input!$B$24&amp;";",""),IF(AND($G48&lt;Hta_5,$G48&gt;=Hba_5,Input!AD$25&lt;&gt;""),Input!$B$25&amp;";",""),IF(AND($G48&lt;Hta_6,$G48&gt;=Hba_6,Input!AD$26&lt;&gt;""),Input!$B$26&amp;";",""),IF(AND($G48&lt;Hta_7,$G48&gt;=Hba_7,Input!AD$27&lt;&gt;""),Input!$B$27&amp;";",""),IF(AND($G48&lt;Hta_8,$G48&gt;=Hba_8,Input!AD$28&lt;&gt;""),Input!$B$28&amp;";",""),IF(AND($G48&lt;Hta_9,$G48&gt;=Hba_9,Input!AD$29&lt;&gt;""),Input!$B$29&amp;";",""),IF(AND($G48&lt;Hta_10,$G48&gt;=Hba_10,Input!AD$30&lt;&gt;""),Input!$B$30&amp;";",""),IF(AND($G48&lt;Hta_11,$G48&gt;=Hba_11,Input!AD$31&lt;&gt;""),Input!$B$31&amp;";",""),IF(AND($G48&lt;Hta_12,$G48&gt;=Hba_12,Input!AD$32&lt;&gt;""),Input!$B$32&amp;";",""),IF(AND($G48&lt;Hta_13,$G48&gt;=Hba_13,Input!AD$33&lt;&gt;""),Input!$B$33&amp;";",""),IF(AND($G48&lt;Hta_14,$G48&gt;=Hba_14,Input!AD$34&lt;&gt;""),Input!$B$34&amp;";",""),IF(AND($G48&lt;Hta_15,$G48&gt;=Hba_15,Input!AD$35&lt;&gt;""),Input!$B$35&amp;";",""),IF(AND($G48&lt;Hta_16,$G48&gt;=Hba_16,Input!AD$36&lt;&gt;""),Input!$B$36&amp;";",""),IF(AND($G48&lt;Hta_17,$G48&gt;=Hba_17,Input!AD$37&lt;&gt;""),Input!$B$37&amp;";",""),IF(AND($G48&lt;Hta_18,$G48&gt;=Hba_18,Input!AD$38&lt;&gt;""),Input!$B$38&amp;";",""),IF(AND($G48&lt;Hta_19,$G48&gt;=Hba_19,Input!AD$39&lt;&gt;""),Input!$B$39&amp;";",""),IF(AND($G48&lt;Hta_20,$G48&gt;=Hba_20,Input!AD$40&lt;&gt;""),Input!$B$40&amp;";",""),IF(AND($G48&lt;Hta_21,$G48&gt;=Hba_21,Input!AD$41&lt;&gt;""),Input!$B$41&amp;";",""),IF(AND($G48&lt;Hta_22,$G48&gt;=Hba_22,Input!AD$42&lt;&gt;""),Input!$B$42&amp;";",""),IF(AND($G48&lt;Hta_23,$G48&gt;=Hba_23,Input!AD$43&lt;&gt;""),Input!$B$43&amp;";",""),IF(AND($G48&lt;Hta_24,$G48&gt;=Hba_24,Input!AD$44&lt;&gt;""),Input!$B$44&amp;";",""),IF(AND($G48&lt;Hta_25,$G48&gt;=Hba_25,Input!AD$45&lt;&gt;""),Input!$B$45&amp;";",""),IF(AND($G48&lt;Hta_26,$G48&gt;=Hba_26,Input!AD$46&lt;&gt;""),Input!$B$46&amp;";",""),IF(AND($G48&lt;Hta_27,$G48&gt;=Hba_27,Input!AD$47&lt;&gt;""),Input!$B$47&amp;";",""),IF(AND($G48&lt;Hta_28,$G48&gt;=Hba_28,Input!AD$48&lt;&gt;""),Input!$B$48&amp;";",""),IF(AND($G48&lt;Hta_29,$G48&gt;=Hba_29,Input!AD$49&lt;&gt;""),Input!$B$49&amp;";",""),IF(AND($G48&lt;Hta_30,$G48&gt;=Hba_30,Input!AD$50&lt;&gt;""),Input!$B$50&amp;";","")),"")</f>
        <v/>
      </c>
      <c r="CF48" s="25" t="str">
        <f>IFERROR(CONCATENATE(IF(AND($G48&lt;Hta_1,$G48&gt;=Hba_1,Input!AE$21&lt;&gt;""),Input!$B$21&amp;";",""),IF(AND($G48&lt;Hta_2,$G48&gt;=Hba_2,Input!AE$22&lt;&gt;""),Input!$B$22&amp;";",""),IF(AND($G48&lt;Hta_3,$G48&gt;=Hba_3,Input!AE$23&lt;&gt;""),Input!$B$23&amp;";",""),IF(AND($G48&lt;Hta_4,$G48&gt;=Hba_4,Input!AE$24&lt;&gt;""),Input!$B$24&amp;";",""),IF(AND($G48&lt;Hta_5,$G48&gt;=Hba_5,Input!AE$25&lt;&gt;""),Input!$B$25&amp;";",""),IF(AND($G48&lt;Hta_6,$G48&gt;=Hba_6,Input!AE$26&lt;&gt;""),Input!$B$26&amp;";",""),IF(AND($G48&lt;Hta_7,$G48&gt;=Hba_7,Input!AE$27&lt;&gt;""),Input!$B$27&amp;";",""),IF(AND($G48&lt;Hta_8,$G48&gt;=Hba_8,Input!AE$28&lt;&gt;""),Input!$B$28&amp;";",""),IF(AND($G48&lt;Hta_9,$G48&gt;=Hba_9,Input!AE$29&lt;&gt;""),Input!$B$29&amp;";",""),IF(AND($G48&lt;Hta_10,$G48&gt;=Hba_10,Input!AE$30&lt;&gt;""),Input!$B$30&amp;";",""),IF(AND($G48&lt;Hta_11,$G48&gt;=Hba_11,Input!AE$31&lt;&gt;""),Input!$B$31&amp;";",""),IF(AND($G48&lt;Hta_12,$G48&gt;=Hba_12,Input!AE$32&lt;&gt;""),Input!$B$32&amp;";",""),IF(AND($G48&lt;Hta_13,$G48&gt;=Hba_13,Input!AE$33&lt;&gt;""),Input!$B$33&amp;";",""),IF(AND($G48&lt;Hta_14,$G48&gt;=Hba_14,Input!AE$34&lt;&gt;""),Input!$B$34&amp;";",""),IF(AND($G48&lt;Hta_15,$G48&gt;=Hba_15,Input!AE$35&lt;&gt;""),Input!$B$35&amp;";",""),IF(AND($G48&lt;Hta_16,$G48&gt;=Hba_16,Input!AE$36&lt;&gt;""),Input!$B$36&amp;";",""),IF(AND($G48&lt;Hta_17,$G48&gt;=Hba_17,Input!AE$37&lt;&gt;""),Input!$B$37&amp;";",""),IF(AND($G48&lt;Hta_18,$G48&gt;=Hba_18,Input!AE$38&lt;&gt;""),Input!$B$38&amp;";",""),IF(AND($G48&lt;Hta_19,$G48&gt;=Hba_19,Input!AE$39&lt;&gt;""),Input!$B$39&amp;";",""),IF(AND($G48&lt;Hta_20,$G48&gt;=Hba_20,Input!AE$40&lt;&gt;""),Input!$B$40&amp;";",""),IF(AND($G48&lt;Hta_21,$G48&gt;=Hba_21,Input!AE$41&lt;&gt;""),Input!$B$41&amp;";",""),IF(AND($G48&lt;Hta_22,$G48&gt;=Hba_22,Input!AE$42&lt;&gt;""),Input!$B$42&amp;";",""),IF(AND($G48&lt;Hta_23,$G48&gt;=Hba_23,Input!AE$43&lt;&gt;""),Input!$B$43&amp;";",""),IF(AND($G48&lt;Hta_24,$G48&gt;=Hba_24,Input!AE$44&lt;&gt;""),Input!$B$44&amp;";",""),IF(AND($G48&lt;Hta_25,$G48&gt;=Hba_25,Input!AE$45&lt;&gt;""),Input!$B$45&amp;";",""),IF(AND($G48&lt;Hta_26,$G48&gt;=Hba_26,Input!AE$46&lt;&gt;""),Input!$B$46&amp;";",""),IF(AND($G48&lt;Hta_27,$G48&gt;=Hba_27,Input!AE$47&lt;&gt;""),Input!$B$47&amp;";",""),IF(AND($G48&lt;Hta_28,$G48&gt;=Hba_28,Input!AE$48&lt;&gt;""),Input!$B$48&amp;";",""),IF(AND($G48&lt;Hta_29,$G48&gt;=Hba_29,Input!AE$49&lt;&gt;""),Input!$B$49&amp;";",""),IF(AND($G48&lt;Hta_30,$G48&gt;=Hba_30,Input!AE$50&lt;&gt;""),Input!$B$50&amp;";","")),"")</f>
        <v/>
      </c>
      <c r="CG48" s="25" t="str">
        <f>IFERROR(CONCATENATE(IF(AND($G48&lt;Hta_1,$G48&gt;=Hba_1,Input!AF$21&lt;&gt;""),Input!$B$21&amp;";",""),IF(AND($G48&lt;Hta_2,$G48&gt;=Hba_2,Input!AF$22&lt;&gt;""),Input!$B$22&amp;";",""),IF(AND($G48&lt;Hta_3,$G48&gt;=Hba_3,Input!AF$23&lt;&gt;""),Input!$B$23&amp;";",""),IF(AND($G48&lt;Hta_4,$G48&gt;=Hba_4,Input!AF$24&lt;&gt;""),Input!$B$24&amp;";",""),IF(AND($G48&lt;Hta_5,$G48&gt;=Hba_5,Input!AF$25&lt;&gt;""),Input!$B$25&amp;";",""),IF(AND($G48&lt;Hta_6,$G48&gt;=Hba_6,Input!AF$26&lt;&gt;""),Input!$B$26&amp;";",""),IF(AND($G48&lt;Hta_7,$G48&gt;=Hba_7,Input!AF$27&lt;&gt;""),Input!$B$27&amp;";",""),IF(AND($G48&lt;Hta_8,$G48&gt;=Hba_8,Input!AF$28&lt;&gt;""),Input!$B$28&amp;";",""),IF(AND($G48&lt;Hta_9,$G48&gt;=Hba_9,Input!AF$29&lt;&gt;""),Input!$B$29&amp;";",""),IF(AND($G48&lt;Hta_10,$G48&gt;=Hba_10,Input!AF$30&lt;&gt;""),Input!$B$30&amp;";",""),IF(AND($G48&lt;Hta_11,$G48&gt;=Hba_11,Input!AF$31&lt;&gt;""),Input!$B$31&amp;";",""),IF(AND($G48&lt;Hta_12,$G48&gt;=Hba_12,Input!AF$32&lt;&gt;""),Input!$B$32&amp;";",""),IF(AND($G48&lt;Hta_13,$G48&gt;=Hba_13,Input!AF$33&lt;&gt;""),Input!$B$33&amp;";",""),IF(AND($G48&lt;Hta_14,$G48&gt;=Hba_14,Input!AF$34&lt;&gt;""),Input!$B$34&amp;";",""),IF(AND($G48&lt;Hta_15,$G48&gt;=Hba_15,Input!AF$35&lt;&gt;""),Input!$B$35&amp;";",""),IF(AND($G48&lt;Hta_16,$G48&gt;=Hba_16,Input!AF$36&lt;&gt;""),Input!$B$36&amp;";",""),IF(AND($G48&lt;Hta_17,$G48&gt;=Hba_17,Input!AF$37&lt;&gt;""),Input!$B$37&amp;";",""),IF(AND($G48&lt;Hta_18,$G48&gt;=Hba_18,Input!AF$38&lt;&gt;""),Input!$B$38&amp;";",""),IF(AND($G48&lt;Hta_19,$G48&gt;=Hba_19,Input!AF$39&lt;&gt;""),Input!$B$39&amp;";",""),IF(AND($G48&lt;Hta_20,$G48&gt;=Hba_20,Input!AF$40&lt;&gt;""),Input!$B$40&amp;";",""),IF(AND($G48&lt;Hta_21,$G48&gt;=Hba_21,Input!AF$41&lt;&gt;""),Input!$B$41&amp;";",""),IF(AND($G48&lt;Hta_22,$G48&gt;=Hba_22,Input!AF$42&lt;&gt;""),Input!$B$42&amp;";",""),IF(AND($G48&lt;Hta_23,$G48&gt;=Hba_23,Input!AF$43&lt;&gt;""),Input!$B$43&amp;";",""),IF(AND($G48&lt;Hta_24,$G48&gt;=Hba_24,Input!AF$44&lt;&gt;""),Input!$B$44&amp;";",""),IF(AND($G48&lt;Hta_25,$G48&gt;=Hba_25,Input!AF$45&lt;&gt;""),Input!$B$45&amp;";",""),IF(AND($G48&lt;Hta_26,$G48&gt;=Hba_26,Input!AF$46&lt;&gt;""),Input!$B$46&amp;";",""),IF(AND($G48&lt;Hta_27,$G48&gt;=Hba_27,Input!AF$47&lt;&gt;""),Input!$B$47&amp;";",""),IF(AND($G48&lt;Hta_28,$G48&gt;=Hba_28,Input!AF$48&lt;&gt;""),Input!$B$48&amp;";",""),IF(AND($G48&lt;Hta_29,$G48&gt;=Hba_29,Input!AF$49&lt;&gt;""),Input!$B$49&amp;";",""),IF(AND($G48&lt;Hta_30,$G48&gt;=Hba_30,Input!AF$50&lt;&gt;""),Input!$B$50&amp;";","")),"")</f>
        <v/>
      </c>
      <c r="CH48" s="25" t="str">
        <f>IFERROR(CONCATENATE(IF(AND($G48&lt;Hta_1,$G48&gt;=Hba_1,Input!AG$21&lt;&gt;""),Input!$B$21&amp;";",""),IF(AND($G48&lt;Hta_2,$G48&gt;=Hba_2,Input!AG$22&lt;&gt;""),Input!$B$22&amp;";",""),IF(AND($G48&lt;Hta_3,$G48&gt;=Hba_3,Input!AG$23&lt;&gt;""),Input!$B$23&amp;";",""),IF(AND($G48&lt;Hta_4,$G48&gt;=Hba_4,Input!AG$24&lt;&gt;""),Input!$B$24&amp;";",""),IF(AND($G48&lt;Hta_5,$G48&gt;=Hba_5,Input!AG$25&lt;&gt;""),Input!$B$25&amp;";",""),IF(AND($G48&lt;Hta_6,$G48&gt;=Hba_6,Input!AG$26&lt;&gt;""),Input!$B$26&amp;";",""),IF(AND($G48&lt;Hta_7,$G48&gt;=Hba_7,Input!AG$27&lt;&gt;""),Input!$B$27&amp;";",""),IF(AND($G48&lt;Hta_8,$G48&gt;=Hba_8,Input!AG$28&lt;&gt;""),Input!$B$28&amp;";",""),IF(AND($G48&lt;Hta_9,$G48&gt;=Hba_9,Input!AG$29&lt;&gt;""),Input!$B$29&amp;";",""),IF(AND($G48&lt;Hta_10,$G48&gt;=Hba_10,Input!AG$30&lt;&gt;""),Input!$B$30&amp;";",""),IF(AND($G48&lt;Hta_11,$G48&gt;=Hba_11,Input!AG$31&lt;&gt;""),Input!$B$31&amp;";",""),IF(AND($G48&lt;Hta_12,$G48&gt;=Hba_12,Input!AG$32&lt;&gt;""),Input!$B$32&amp;";",""),IF(AND($G48&lt;Hta_13,$G48&gt;=Hba_13,Input!AG$33&lt;&gt;""),Input!$B$33&amp;";",""),IF(AND($G48&lt;Hta_14,$G48&gt;=Hba_14,Input!AG$34&lt;&gt;""),Input!$B$34&amp;";",""),IF(AND($G48&lt;Hta_15,$G48&gt;=Hba_15,Input!AG$35&lt;&gt;""),Input!$B$35&amp;";",""),IF(AND($G48&lt;Hta_16,$G48&gt;=Hba_16,Input!AG$36&lt;&gt;""),Input!$B$36&amp;";",""),IF(AND($G48&lt;Hta_17,$G48&gt;=Hba_17,Input!AG$37&lt;&gt;""),Input!$B$37&amp;";",""),IF(AND($G48&lt;Hta_18,$G48&gt;=Hba_18,Input!AG$38&lt;&gt;""),Input!$B$38&amp;";",""),IF(AND($G48&lt;Hta_19,$G48&gt;=Hba_19,Input!AG$39&lt;&gt;""),Input!$B$39&amp;";",""),IF(AND($G48&lt;Hta_20,$G48&gt;=Hba_20,Input!AG$40&lt;&gt;""),Input!$B$40&amp;";",""),IF(AND($G48&lt;Hta_21,$G48&gt;=Hba_21,Input!AG$41&lt;&gt;""),Input!$B$41&amp;";",""),IF(AND($G48&lt;Hta_22,$G48&gt;=Hba_22,Input!AG$42&lt;&gt;""),Input!$B$42&amp;";",""),IF(AND($G48&lt;Hta_23,$G48&gt;=Hba_23,Input!AG$43&lt;&gt;""),Input!$B$43&amp;";",""),IF(AND($G48&lt;Hta_24,$G48&gt;=Hba_24,Input!AG$44&lt;&gt;""),Input!$B$44&amp;";",""),IF(AND($G48&lt;Hta_25,$G48&gt;=Hba_25,Input!AG$45&lt;&gt;""),Input!$B$45&amp;";",""),IF(AND($G48&lt;Hta_26,$G48&gt;=Hba_26,Input!AG$46&lt;&gt;""),Input!$B$46&amp;";",""),IF(AND($G48&lt;Hta_27,$G48&gt;=Hba_27,Input!AG$47&lt;&gt;""),Input!$B$47&amp;";",""),IF(AND($G48&lt;Hta_28,$G48&gt;=Hba_28,Input!AG$48&lt;&gt;""),Input!$B$48&amp;";",""),IF(AND($G48&lt;Hta_29,$G48&gt;=Hba_29,Input!AG$49&lt;&gt;""),Input!$B$49&amp;";",""),IF(AND($G48&lt;Hta_30,$G48&gt;=Hba_30,Input!AG$50&lt;&gt;""),Input!$B$50&amp;";","")),"")</f>
        <v/>
      </c>
      <c r="CI48" s="25" t="str">
        <f>IFERROR(CONCATENATE(IF(AND($G48&lt;Hta_1,$G48&gt;=Hba_1,Input!AH$21&lt;&gt;""),Input!$B$21&amp;";",""),IF(AND($G48&lt;Hta_2,$G48&gt;=Hba_2,Input!AH$22&lt;&gt;""),Input!$B$22&amp;";",""),IF(AND($G48&lt;Hta_3,$G48&gt;=Hba_3,Input!AH$23&lt;&gt;""),Input!$B$23&amp;";",""),IF(AND($G48&lt;Hta_4,$G48&gt;=Hba_4,Input!AH$24&lt;&gt;""),Input!$B$24&amp;";",""),IF(AND($G48&lt;Hta_5,$G48&gt;=Hba_5,Input!AH$25&lt;&gt;""),Input!$B$25&amp;";",""),IF(AND($G48&lt;Hta_6,$G48&gt;=Hba_6,Input!AH$26&lt;&gt;""),Input!$B$26&amp;";",""),IF(AND($G48&lt;Hta_7,$G48&gt;=Hba_7,Input!AH$27&lt;&gt;""),Input!$B$27&amp;";",""),IF(AND($G48&lt;Hta_8,$G48&gt;=Hba_8,Input!AH$28&lt;&gt;""),Input!$B$28&amp;";",""),IF(AND($G48&lt;Hta_9,$G48&gt;=Hba_9,Input!AH$29&lt;&gt;""),Input!$B$29&amp;";",""),IF(AND($G48&lt;Hta_10,$G48&gt;=Hba_10,Input!AH$30&lt;&gt;""),Input!$B$30&amp;";",""),IF(AND($G48&lt;Hta_11,$G48&gt;=Hba_11,Input!AH$31&lt;&gt;""),Input!$B$31&amp;";",""),IF(AND($G48&lt;Hta_12,$G48&gt;=Hba_12,Input!AH$32&lt;&gt;""),Input!$B$32&amp;";",""),IF(AND($G48&lt;Hta_13,$G48&gt;=Hba_13,Input!AH$33&lt;&gt;""),Input!$B$33&amp;";",""),IF(AND($G48&lt;Hta_14,$G48&gt;=Hba_14,Input!AH$34&lt;&gt;""),Input!$B$34&amp;";",""),IF(AND($G48&lt;Hta_15,$G48&gt;=Hba_15,Input!AH$35&lt;&gt;""),Input!$B$35&amp;";",""),IF(AND($G48&lt;Hta_16,$G48&gt;=Hba_16,Input!AH$36&lt;&gt;""),Input!$B$36&amp;";",""),IF(AND($G48&lt;Hta_17,$G48&gt;=Hba_17,Input!AH$37&lt;&gt;""),Input!$B$37&amp;";",""),IF(AND($G48&lt;Hta_18,$G48&gt;=Hba_18,Input!AH$38&lt;&gt;""),Input!$B$38&amp;";",""),IF(AND($G48&lt;Hta_19,$G48&gt;=Hba_19,Input!AH$39&lt;&gt;""),Input!$B$39&amp;";",""),IF(AND($G48&lt;Hta_20,$G48&gt;=Hba_20,Input!AH$40&lt;&gt;""),Input!$B$40&amp;";",""),IF(AND($G48&lt;Hta_21,$G48&gt;=Hba_21,Input!AH$41&lt;&gt;""),Input!$B$41&amp;";",""),IF(AND($G48&lt;Hta_22,$G48&gt;=Hba_22,Input!AH$42&lt;&gt;""),Input!$B$42&amp;";",""),IF(AND($G48&lt;Hta_23,$G48&gt;=Hba_23,Input!AH$43&lt;&gt;""),Input!$B$43&amp;";",""),IF(AND($G48&lt;Hta_24,$G48&gt;=Hba_24,Input!AH$44&lt;&gt;""),Input!$B$44&amp;";",""),IF(AND($G48&lt;Hta_25,$G48&gt;=Hba_25,Input!AH$45&lt;&gt;""),Input!$B$45&amp;";",""),IF(AND($G48&lt;Hta_26,$G48&gt;=Hba_26,Input!AH$46&lt;&gt;""),Input!$B$46&amp;";",""),IF(AND($G48&lt;Hta_27,$G48&gt;=Hba_27,Input!AH$47&lt;&gt;""),Input!$B$47&amp;";",""),IF(AND($G48&lt;Hta_28,$G48&gt;=Hba_28,Input!AH$48&lt;&gt;""),Input!$B$48&amp;";",""),IF(AND($G48&lt;Hta_29,$G48&gt;=Hba_29,Input!AH$49&lt;&gt;""),Input!$B$49&amp;";",""),IF(AND($G48&lt;Hta_30,$G48&gt;=Hba_30,Input!AH$50&lt;&gt;""),Input!$B$50&amp;";","")),"")</f>
        <v/>
      </c>
      <c r="CJ48" s="25" t="str">
        <f>IFERROR(CONCATENATE(IF(AND($G48&lt;Hta_1,$G48&gt;=Hba_1,Input!AI$21&lt;&gt;""),Input!$B$21&amp;";",""),IF(AND($G48&lt;Hta_2,$G48&gt;=Hba_2,Input!AI$22&lt;&gt;""),Input!$B$22&amp;";",""),IF(AND($G48&lt;Hta_3,$G48&gt;=Hba_3,Input!AI$23&lt;&gt;""),Input!$B$23&amp;";",""),IF(AND($G48&lt;Hta_4,$G48&gt;=Hba_4,Input!AI$24&lt;&gt;""),Input!$B$24&amp;";",""),IF(AND($G48&lt;Hta_5,$G48&gt;=Hba_5,Input!AI$25&lt;&gt;""),Input!$B$25&amp;";",""),IF(AND($G48&lt;Hta_6,$G48&gt;=Hba_6,Input!AI$26&lt;&gt;""),Input!$B$26&amp;";",""),IF(AND($G48&lt;Hta_7,$G48&gt;=Hba_7,Input!AI$27&lt;&gt;""),Input!$B$27&amp;";",""),IF(AND($G48&lt;Hta_8,$G48&gt;=Hba_8,Input!AI$28&lt;&gt;""),Input!$B$28&amp;";",""),IF(AND($G48&lt;Hta_9,$G48&gt;=Hba_9,Input!AI$29&lt;&gt;""),Input!$B$29&amp;";",""),IF(AND($G48&lt;Hta_10,$G48&gt;=Hba_10,Input!AI$30&lt;&gt;""),Input!$B$30&amp;";",""),IF(AND($G48&lt;Hta_11,$G48&gt;=Hba_11,Input!AI$31&lt;&gt;""),Input!$B$31&amp;";",""),IF(AND($G48&lt;Hta_12,$G48&gt;=Hba_12,Input!AI$32&lt;&gt;""),Input!$B$32&amp;";",""),IF(AND($G48&lt;Hta_13,$G48&gt;=Hba_13,Input!AI$33&lt;&gt;""),Input!$B$33&amp;";",""),IF(AND($G48&lt;Hta_14,$G48&gt;=Hba_14,Input!AI$34&lt;&gt;""),Input!$B$34&amp;";",""),IF(AND($G48&lt;Hta_15,$G48&gt;=Hba_15,Input!AI$35&lt;&gt;""),Input!$B$35&amp;";",""),IF(AND($G48&lt;Hta_16,$G48&gt;=Hba_16,Input!AI$36&lt;&gt;""),Input!$B$36&amp;";",""),IF(AND($G48&lt;Hta_17,$G48&gt;=Hba_17,Input!AI$37&lt;&gt;""),Input!$B$37&amp;";",""),IF(AND($G48&lt;Hta_18,$G48&gt;=Hba_18,Input!AI$38&lt;&gt;""),Input!$B$38&amp;";",""),IF(AND($G48&lt;Hta_19,$G48&gt;=Hba_19,Input!AI$39&lt;&gt;""),Input!$B$39&amp;";",""),IF(AND($G48&lt;Hta_20,$G48&gt;=Hba_20,Input!AI$40&lt;&gt;""),Input!$B$40&amp;";",""),IF(AND($G48&lt;Hta_21,$G48&gt;=Hba_21,Input!AI$41&lt;&gt;""),Input!$B$41&amp;";",""),IF(AND($G48&lt;Hta_22,$G48&gt;=Hba_22,Input!AI$42&lt;&gt;""),Input!$B$42&amp;";",""),IF(AND($G48&lt;Hta_23,$G48&gt;=Hba_23,Input!AI$43&lt;&gt;""),Input!$B$43&amp;";",""),IF(AND($G48&lt;Hta_24,$G48&gt;=Hba_24,Input!AI$44&lt;&gt;""),Input!$B$44&amp;";",""),IF(AND($G48&lt;Hta_25,$G48&gt;=Hba_25,Input!AI$45&lt;&gt;""),Input!$B$45&amp;";",""),IF(AND($G48&lt;Hta_26,$G48&gt;=Hba_26,Input!AI$46&lt;&gt;""),Input!$B$46&amp;";",""),IF(AND($G48&lt;Hta_27,$G48&gt;=Hba_27,Input!AI$47&lt;&gt;""),Input!$B$47&amp;";",""),IF(AND($G48&lt;Hta_28,$G48&gt;=Hba_28,Input!AI$48&lt;&gt;""),Input!$B$48&amp;";",""),IF(AND($G48&lt;Hta_29,$G48&gt;=Hba_29,Input!AI$49&lt;&gt;""),Input!$B$49&amp;";",""),IF(AND($G48&lt;Hta_30,$G48&gt;=Hba_30,Input!AI$50&lt;&gt;""),Input!$B$50&amp;";","")),"")</f>
        <v/>
      </c>
      <c r="CK48" s="25" t="str">
        <f>IFERROR(CONCATENATE(IF(AND($G48&lt;Hta_1,$G48&gt;=Hba_1,Input!AJ$21&lt;&gt;""),Input!$B$21&amp;";",""),IF(AND($G48&lt;Hta_2,$G48&gt;=Hba_2,Input!AJ$22&lt;&gt;""),Input!$B$22&amp;";",""),IF(AND($G48&lt;Hta_3,$G48&gt;=Hba_3,Input!AJ$23&lt;&gt;""),Input!$B$23&amp;";",""),IF(AND($G48&lt;Hta_4,$G48&gt;=Hba_4,Input!AJ$24&lt;&gt;""),Input!$B$24&amp;";",""),IF(AND($G48&lt;Hta_5,$G48&gt;=Hba_5,Input!AJ$25&lt;&gt;""),Input!$B$25&amp;";",""),IF(AND($G48&lt;Hta_6,$G48&gt;=Hba_6,Input!AJ$26&lt;&gt;""),Input!$B$26&amp;";",""),IF(AND($G48&lt;Hta_7,$G48&gt;=Hba_7,Input!AJ$27&lt;&gt;""),Input!$B$27&amp;";",""),IF(AND($G48&lt;Hta_8,$G48&gt;=Hba_8,Input!AJ$28&lt;&gt;""),Input!$B$28&amp;";",""),IF(AND($G48&lt;Hta_9,$G48&gt;=Hba_9,Input!AJ$29&lt;&gt;""),Input!$B$29&amp;";",""),IF(AND($G48&lt;Hta_10,$G48&gt;=Hba_10,Input!AJ$30&lt;&gt;""),Input!$B$30&amp;";",""),IF(AND($G48&lt;Hta_11,$G48&gt;=Hba_11,Input!AJ$31&lt;&gt;""),Input!$B$31&amp;";",""),IF(AND($G48&lt;Hta_12,$G48&gt;=Hba_12,Input!AJ$32&lt;&gt;""),Input!$B$32&amp;";",""),IF(AND($G48&lt;Hta_13,$G48&gt;=Hba_13,Input!AJ$33&lt;&gt;""),Input!$B$33&amp;";",""),IF(AND($G48&lt;Hta_14,$G48&gt;=Hba_14,Input!AJ$34&lt;&gt;""),Input!$B$34&amp;";",""),IF(AND($G48&lt;Hta_15,$G48&gt;=Hba_15,Input!AJ$35&lt;&gt;""),Input!$B$35&amp;";",""),IF(AND($G48&lt;Hta_16,$G48&gt;=Hba_16,Input!AJ$36&lt;&gt;""),Input!$B$36&amp;";",""),IF(AND($G48&lt;Hta_17,$G48&gt;=Hba_17,Input!AJ$37&lt;&gt;""),Input!$B$37&amp;";",""),IF(AND($G48&lt;Hta_18,$G48&gt;=Hba_18,Input!AJ$38&lt;&gt;""),Input!$B$38&amp;";",""),IF(AND($G48&lt;Hta_19,$G48&gt;=Hba_19,Input!AJ$39&lt;&gt;""),Input!$B$39&amp;";",""),IF(AND($G48&lt;Hta_20,$G48&gt;=Hba_20,Input!AJ$40&lt;&gt;""),Input!$B$40&amp;";",""),IF(AND($G48&lt;Hta_21,$G48&gt;=Hba_21,Input!AJ$41&lt;&gt;""),Input!$B$41&amp;";",""),IF(AND($G48&lt;Hta_22,$G48&gt;=Hba_22,Input!AJ$42&lt;&gt;""),Input!$B$42&amp;";",""),IF(AND($G48&lt;Hta_23,$G48&gt;=Hba_23,Input!AJ$43&lt;&gt;""),Input!$B$43&amp;";",""),IF(AND($G48&lt;Hta_24,$G48&gt;=Hba_24,Input!AJ$44&lt;&gt;""),Input!$B$44&amp;";",""),IF(AND($G48&lt;Hta_25,$G48&gt;=Hba_25,Input!AJ$45&lt;&gt;""),Input!$B$45&amp;";",""),IF(AND($G48&lt;Hta_26,$G48&gt;=Hba_26,Input!AJ$46&lt;&gt;""),Input!$B$46&amp;";",""),IF(AND($G48&lt;Hta_27,$G48&gt;=Hba_27,Input!AJ$47&lt;&gt;""),Input!$B$47&amp;";",""),IF(AND($G48&lt;Hta_28,$G48&gt;=Hba_28,Input!AJ$48&lt;&gt;""),Input!$B$48&amp;";",""),IF(AND($G48&lt;Hta_29,$G48&gt;=Hba_29,Input!AJ$49&lt;&gt;""),Input!$B$49&amp;";",""),IF(AND($G48&lt;Hta_30,$G48&gt;=Hba_30,Input!AJ$50&lt;&gt;""),Input!$B$50&amp;";","")),"")</f>
        <v/>
      </c>
      <c r="CL48" s="25" t="str">
        <f>IFERROR(CONCATENATE(IF(AND($G48&lt;Hta_1,$G48&gt;=Hba_1,Input!AK$21&lt;&gt;""),Input!$B$21&amp;";",""),IF(AND($G48&lt;Hta_2,$G48&gt;=Hba_2,Input!AK$22&lt;&gt;""),Input!$B$22&amp;";",""),IF(AND($G48&lt;Hta_3,$G48&gt;=Hba_3,Input!AK$23&lt;&gt;""),Input!$B$23&amp;";",""),IF(AND($G48&lt;Hta_4,$G48&gt;=Hba_4,Input!AK$24&lt;&gt;""),Input!$B$24&amp;";",""),IF(AND($G48&lt;Hta_5,$G48&gt;=Hba_5,Input!AK$25&lt;&gt;""),Input!$B$25&amp;";",""),IF(AND($G48&lt;Hta_6,$G48&gt;=Hba_6,Input!AK$26&lt;&gt;""),Input!$B$26&amp;";",""),IF(AND($G48&lt;Hta_7,$G48&gt;=Hba_7,Input!AK$27&lt;&gt;""),Input!$B$27&amp;";",""),IF(AND($G48&lt;Hta_8,$G48&gt;=Hba_8,Input!AK$28&lt;&gt;""),Input!$B$28&amp;";",""),IF(AND($G48&lt;Hta_9,$G48&gt;=Hba_9,Input!AK$29&lt;&gt;""),Input!$B$29&amp;";",""),IF(AND($G48&lt;Hta_10,$G48&gt;=Hba_10,Input!AK$30&lt;&gt;""),Input!$B$30&amp;";",""),IF(AND($G48&lt;Hta_11,$G48&gt;=Hba_11,Input!AK$31&lt;&gt;""),Input!$B$31&amp;";",""),IF(AND($G48&lt;Hta_12,$G48&gt;=Hba_12,Input!AK$32&lt;&gt;""),Input!$B$32&amp;";",""),IF(AND($G48&lt;Hta_13,$G48&gt;=Hba_13,Input!AK$33&lt;&gt;""),Input!$B$33&amp;";",""),IF(AND($G48&lt;Hta_14,$G48&gt;=Hba_14,Input!AK$34&lt;&gt;""),Input!$B$34&amp;";",""),IF(AND($G48&lt;Hta_15,$G48&gt;=Hba_15,Input!AK$35&lt;&gt;""),Input!$B$35&amp;";",""),IF(AND($G48&lt;Hta_16,$G48&gt;=Hba_16,Input!AK$36&lt;&gt;""),Input!$B$36&amp;";",""),IF(AND($G48&lt;Hta_17,$G48&gt;=Hba_17,Input!AK$37&lt;&gt;""),Input!$B$37&amp;";",""),IF(AND($G48&lt;Hta_18,$G48&gt;=Hba_18,Input!AK$38&lt;&gt;""),Input!$B$38&amp;";",""),IF(AND($G48&lt;Hta_19,$G48&gt;=Hba_19,Input!AK$39&lt;&gt;""),Input!$B$39&amp;";",""),IF(AND($G48&lt;Hta_20,$G48&gt;=Hba_20,Input!AK$40&lt;&gt;""),Input!$B$40&amp;";",""),IF(AND($G48&lt;Hta_21,$G48&gt;=Hba_21,Input!AK$41&lt;&gt;""),Input!$B$41&amp;";",""),IF(AND($G48&lt;Hta_22,$G48&gt;=Hba_22,Input!AK$42&lt;&gt;""),Input!$B$42&amp;";",""),IF(AND($G48&lt;Hta_23,$G48&gt;=Hba_23,Input!AK$43&lt;&gt;""),Input!$B$43&amp;";",""),IF(AND($G48&lt;Hta_24,$G48&gt;=Hba_24,Input!AK$44&lt;&gt;""),Input!$B$44&amp;";",""),IF(AND($G48&lt;Hta_25,$G48&gt;=Hba_25,Input!AK$45&lt;&gt;""),Input!$B$45&amp;";",""),IF(AND($G48&lt;Hta_26,$G48&gt;=Hba_26,Input!AK$46&lt;&gt;""),Input!$B$46&amp;";",""),IF(AND($G48&lt;Hta_27,$G48&gt;=Hba_27,Input!AK$47&lt;&gt;""),Input!$B$47&amp;";",""),IF(AND($G48&lt;Hta_28,$G48&gt;=Hba_28,Input!AK$48&lt;&gt;""),Input!$B$48&amp;";",""),IF(AND($G48&lt;Hta_29,$G48&gt;=Hba_29,Input!AK$49&lt;&gt;""),Input!$B$49&amp;";",""),IF(AND($G48&lt;Hta_30,$G48&gt;=Hba_30,Input!AK$50&lt;&gt;""),Input!$B$50&amp;";","")),"")</f>
        <v/>
      </c>
      <c r="CM48" s="25" t="str">
        <f>IFERROR(CONCATENATE(IF(AND($G48&lt;Hta_1,$G48&gt;=Hba_1,Input!AL$21&lt;&gt;""),Input!$B$21&amp;";",""),IF(AND($G48&lt;Hta_2,$G48&gt;=Hba_2,Input!AL$22&lt;&gt;""),Input!$B$22&amp;";",""),IF(AND($G48&lt;Hta_3,$G48&gt;=Hba_3,Input!AL$23&lt;&gt;""),Input!$B$23&amp;";",""),IF(AND($G48&lt;Hta_4,$G48&gt;=Hba_4,Input!AL$24&lt;&gt;""),Input!$B$24&amp;";",""),IF(AND($G48&lt;Hta_5,$G48&gt;=Hba_5,Input!AL$25&lt;&gt;""),Input!$B$25&amp;";",""),IF(AND($G48&lt;Hta_6,$G48&gt;=Hba_6,Input!AL$26&lt;&gt;""),Input!$B$26&amp;";",""),IF(AND($G48&lt;Hta_7,$G48&gt;=Hba_7,Input!AL$27&lt;&gt;""),Input!$B$27&amp;";",""),IF(AND($G48&lt;Hta_8,$G48&gt;=Hba_8,Input!AL$28&lt;&gt;""),Input!$B$28&amp;";",""),IF(AND($G48&lt;Hta_9,$G48&gt;=Hba_9,Input!AL$29&lt;&gt;""),Input!$B$29&amp;";",""),IF(AND($G48&lt;Hta_10,$G48&gt;=Hba_10,Input!AL$30&lt;&gt;""),Input!$B$30&amp;";",""),IF(AND($G48&lt;Hta_11,$G48&gt;=Hba_11,Input!AL$31&lt;&gt;""),Input!$B$31&amp;";",""),IF(AND($G48&lt;Hta_12,$G48&gt;=Hba_12,Input!AL$32&lt;&gt;""),Input!$B$32&amp;";",""),IF(AND($G48&lt;Hta_13,$G48&gt;=Hba_13,Input!AL$33&lt;&gt;""),Input!$B$33&amp;";",""),IF(AND($G48&lt;Hta_14,$G48&gt;=Hba_14,Input!AL$34&lt;&gt;""),Input!$B$34&amp;";",""),IF(AND($G48&lt;Hta_15,$G48&gt;=Hba_15,Input!AL$35&lt;&gt;""),Input!$B$35&amp;";",""),IF(AND($G48&lt;Hta_16,$G48&gt;=Hba_16,Input!AL$36&lt;&gt;""),Input!$B$36&amp;";",""),IF(AND($G48&lt;Hta_17,$G48&gt;=Hba_17,Input!AL$37&lt;&gt;""),Input!$B$37&amp;";",""),IF(AND($G48&lt;Hta_18,$G48&gt;=Hba_18,Input!AL$38&lt;&gt;""),Input!$B$38&amp;";",""),IF(AND($G48&lt;Hta_19,$G48&gt;=Hba_19,Input!AL$39&lt;&gt;""),Input!$B$39&amp;";",""),IF(AND($G48&lt;Hta_20,$G48&gt;=Hba_20,Input!AL$40&lt;&gt;""),Input!$B$40&amp;";",""),IF(AND($G48&lt;Hta_21,$G48&gt;=Hba_21,Input!AL$41&lt;&gt;""),Input!$B$41&amp;";",""),IF(AND($G48&lt;Hta_22,$G48&gt;=Hba_22,Input!AL$42&lt;&gt;""),Input!$B$42&amp;";",""),IF(AND($G48&lt;Hta_23,$G48&gt;=Hba_23,Input!AL$43&lt;&gt;""),Input!$B$43&amp;";",""),IF(AND($G48&lt;Hta_24,$G48&gt;=Hba_24,Input!AL$44&lt;&gt;""),Input!$B$44&amp;";",""),IF(AND($G48&lt;Hta_25,$G48&gt;=Hba_25,Input!AL$45&lt;&gt;""),Input!$B$45&amp;";",""),IF(AND($G48&lt;Hta_26,$G48&gt;=Hba_26,Input!AL$46&lt;&gt;""),Input!$B$46&amp;";",""),IF(AND($G48&lt;Hta_27,$G48&gt;=Hba_27,Input!AL$47&lt;&gt;""),Input!$B$47&amp;";",""),IF(AND($G48&lt;Hta_28,$G48&gt;=Hba_28,Input!AL$48&lt;&gt;""),Input!$B$48&amp;";",""),IF(AND($G48&lt;Hta_29,$G48&gt;=Hba_29,Input!AL$49&lt;&gt;""),Input!$B$49&amp;";",""),IF(AND($G48&lt;Hta_30,$G48&gt;=Hba_30,Input!AL$50&lt;&gt;""),Input!$B$50&amp;";","")),"")</f>
        <v/>
      </c>
      <c r="CN48" s="59" t="str">
        <f t="shared" si="6"/>
        <v/>
      </c>
      <c r="CO48" s="791"/>
      <c r="CP48" s="792"/>
      <c r="CQ48" s="793"/>
      <c r="CR48" s="791"/>
      <c r="CS48" s="792"/>
      <c r="CT48" s="793"/>
      <c r="CU48" s="791" t="str">
        <f t="shared" si="7"/>
        <v/>
      </c>
      <c r="CV48" s="792"/>
      <c r="CW48" s="807"/>
      <c r="CX48" s="808"/>
      <c r="CY48" s="730"/>
      <c r="CZ48" s="809"/>
      <c r="DA48" s="733"/>
      <c r="DB48" s="734"/>
      <c r="DC48" s="735"/>
      <c r="DD48" s="729" t="str">
        <f t="shared" si="8"/>
        <v/>
      </c>
      <c r="DE48" s="730"/>
      <c r="DF48" s="731"/>
      <c r="DG48" s="55"/>
      <c r="DH48" s="56"/>
      <c r="DI48" s="56"/>
      <c r="DJ48" s="56"/>
      <c r="DK48" s="56"/>
      <c r="DL48" s="56"/>
      <c r="DM48" s="56"/>
      <c r="DN48" s="56"/>
      <c r="DO48" s="56"/>
      <c r="DP48" s="56"/>
      <c r="DQ48" s="58"/>
      <c r="DR48" s="58"/>
      <c r="DS48" s="58"/>
      <c r="DT48" s="58"/>
      <c r="DU48" s="58"/>
      <c r="DV48" s="58"/>
      <c r="DW48" s="58"/>
      <c r="DX48" s="58"/>
      <c r="DY48" s="58"/>
      <c r="DZ48" s="58"/>
      <c r="EA48" s="58"/>
      <c r="EB48" s="58"/>
      <c r="EC48" s="58"/>
      <c r="ED48" s="58"/>
      <c r="EE48" s="58"/>
      <c r="EF48" s="58"/>
      <c r="EG48" s="58"/>
      <c r="EH48" s="58"/>
      <c r="EI48" s="58"/>
      <c r="EJ48" s="58"/>
      <c r="EK48" s="58"/>
      <c r="EL48" s="134"/>
      <c r="EM48" s="134"/>
      <c r="EN48" s="134"/>
      <c r="EO48" s="134"/>
      <c r="EP48" s="134"/>
      <c r="EQ48" s="134"/>
      <c r="ER48" s="134"/>
      <c r="ES48" s="134"/>
      <c r="ET48" s="134"/>
      <c r="EU48" s="134"/>
      <c r="EV48" s="134"/>
      <c r="EW48" s="134"/>
      <c r="EX48" s="134"/>
      <c r="EY48" s="134"/>
      <c r="EZ48" s="134"/>
      <c r="FA48" s="134"/>
      <c r="FB48" s="134"/>
      <c r="FC48" s="134"/>
      <c r="FD48" s="134"/>
      <c r="FE48" s="134"/>
      <c r="FF48" s="134"/>
      <c r="FG48" s="134"/>
      <c r="FH48" s="134"/>
      <c r="FI48" s="134"/>
      <c r="FJ48" s="134"/>
      <c r="FK48" s="134"/>
      <c r="FL48" s="134"/>
      <c r="FM48" s="134"/>
      <c r="FN48" s="134"/>
      <c r="FO48" s="134"/>
      <c r="FP48" s="65"/>
      <c r="FQ48" s="124"/>
      <c r="FR48" s="122"/>
      <c r="FS48" s="120"/>
      <c r="FT48" s="119"/>
    </row>
    <row r="49" spans="2:176" ht="15.75" hidden="1" customHeight="1" thickBot="1" x14ac:dyDescent="0.3">
      <c r="B49" s="62" t="b">
        <f>IF(OR(AND(G49&gt;='Geometry 2'!$AK$5,G49&lt;'Geometry 2'!$AL$5),AND(G49&gt;='Geometry 2'!$AK$6,G49&lt;'Geometry 2'!$AL$6),AND(G49&gt;='Geometry 2'!$AK$7,G49&lt;'Geometry 2'!$AL$7),AND(G49&gt;='Geometry 2'!$AK$8,G49&lt;'Geometry 2'!$AL$8),AND(G49&gt;='Geometry 2'!$AK$9,G49&lt;'Geometry 2'!$AL$9),AND(G49&gt;='Geometry 2'!$AK$10,G49&lt;'Geometry 2'!$AL$10),AND(G49&gt;='Geometry 2'!$AK$11,G49&lt;'Geometry 2'!$AL$11),AND(G49&gt;='Geometry 2'!$AK$12,G49&lt;'Geometry 2'!$AL$12),AND(G49&gt;='Geometry 2'!$AK$13,G49&lt;'Geometry 2'!$AL$13),AND(G49&gt;='Geometry 2'!$AK$14,G49&lt;'Geometry 2'!$AL$14)),TRUE,FALSE)</f>
        <v>0</v>
      </c>
      <c r="C49" s="4" t="str">
        <f t="shared" si="3"/>
        <v/>
      </c>
      <c r="D49" s="766" t="str">
        <f t="shared" si="4"/>
        <v/>
      </c>
      <c r="E49" s="767"/>
      <c r="F49" s="17" t="str">
        <f t="shared" si="2"/>
        <v/>
      </c>
      <c r="G49" s="768" t="str">
        <f>IF(D49="","",MAX(0,G48-IF(inc="n/a",999,inc),MAX(IF(G48&lt;=Hta_1,0,Hta_1),IF(G48&lt;=Hta_2,0,Hta_2),IF(G48&lt;=Hta_3,0,Hta_3),IF(G48&lt;=Hta_4,0,Hta_4),IF(G48&lt;=Hta_5,0,Hta_5),IF(G48&lt;=Hta_6,0,Hta_6),IF(G48&lt;=Hta_7,0,Hta_7),IF(G48&lt;=Hta_8,0,Hta_8),IF(G48&lt;=Hta_9,0,Hta_9),IF(G48&lt;=Hta_10,0,Hta_10),IF(G48&lt;=Hta_11,0,Hta_11),IF(G48&lt;=Hta_12,0,Hta_12),IF(G48&lt;=Hta_13,0,Hta_13),IF(G48&lt;=Hta_14,0,Hta_14),IF(G48&lt;=Hta_15,0,Hta_15),IF(G48&lt;=Hta_16,0,Hta_16),IF(G48&lt;=Hta_17,0,Hta_17),IF(G48&lt;=Hta_18,0,Hta_18),IF(G48&lt;=Hta_19,0,Hta_19),IF(G48&lt;=Hta_20,0,Hta_20),IF(G48&lt;=Hta_21,0,Hta_21),IF(G48&lt;=Hta_22,0,Hta_22),IF(G48&lt;=Hta_23,0,Hta_23),IF(G48&lt;=Hta_24,0,Hta_24),IF(G48&lt;=Hta_25,0,Hta_25),IF(G48&lt;=Hta_26,0,Hta_26),IF(G48&lt;=Hta_27,0,Hta_27),IF(G48&lt;=Hta_28,0,Hta_28),IF(G48&lt;=Hta_29,0,Hta_29),IF(G48&lt;=Hta_30,0,Hta_30)),MAX(IF(G48&lt;=Hta_1-0.25,0,Hta_1-0.25),IF(G48&lt;=Hta_2-0.25,0,Hta_2-0.25),IF(G48&lt;=Hta_3-0.25,0,Hta_3-0.25),IF(G48&lt;=Hta_4-0.25,0,Hta_4-0.25),IF(G48&lt;=Hta_5-0.25,0,Hta_5-0.25),IF(G48&lt;=Hta_6-0.25,0,Hta_6-0.25),IF(G48&lt;=Hta_7-0.25,0,Hta_7-0.25),IF(G48&lt;=Hta_8-0.25,0,Hta_8-0.25),IF(G48&lt;=Hta_9-0.25,0,Hta_9-0.25),IF(G48&lt;=Hta_10-0.25,0,Hta_10-0.25),IF(G48&lt;=Hta_11-0.25,0,Hta_11-0.25),IF(G48&lt;=Hta_12-0.25,0,Hta_12-0.25),IF(G48&lt;=Hta_13-0.25,0,Hta_13-0.25),IF(G48&lt;=Hta_14-0.25,0,Hta_14-0.25),IF(G48&lt;=Hta_15-0.25,0,Hta_15-0.25),IF(G48&lt;=Hta_16-0.25,0,Hta_16-0.25),IF(G48&lt;=Hta_17-0.25,0,Hta_17-0.25),IF(G48&lt;=Hta_18-0.25,0,Hta_18-0.25),IF(G48&lt;=Hta_19-0.25,0,Hta_19-0.25),IF(G48&lt;=Hta_20-0.25,0,Hta_20-0.25),IF(G48&lt;=Hta_21-0.25,0,Hta_21-0.25),IF(G48&lt;=Hta_22-0.25,0,Hta_22-0.25),IF(G48&lt;=Hta_23-0.25,0,Hta_23-0.25),IF(G48&lt;=Hta_24-0.25,0,Hta_24-0.25),IF(G48&lt;=Hta_25-0.25,0,Hta_25-0.25),IF(G48&lt;=Hta_26-0.25,0,Hta_26-0.25),IF(G48&lt;=Hta_27-0.25,0,Hta_27-0.25),IF(G48&lt;=Hta_28-0.25,0,Hta_28-0.25),IF(G48&lt;=Hta_29-0.25,0,Hta_29-0.25),IF(G48&lt;=Hta_30-0.25,0,Hta_30-0.25)),MAX(IF(G48&lt;=Hba_1,0,Hba_1),IF(G48&lt;=Hba_2,0,Hba_2),IF(G48&lt;=Hba_3,0,Hba_3),IF(G48&lt;=Hba_4,0,Hba_4),IF(G48&lt;=Hba_5,0,Hba_5),IF(G48&lt;=Hba_6,0,Hba_6),IF(G48&lt;=Hba_7,0,Hba_7),IF(G48&lt;=Hba_8,0,Hba_8),IF(G48&lt;=Hba_9,0,Hba_9),IF(G48&lt;=Hba_10,0,Hba_10),IF(G48&lt;=Hba_11,0,Hba_11),IF(G48&lt;=Hba_12,0,Hba_12),IF(G48&lt;=Hba_13,0,Hba_13),IF(G48&lt;=Hba_14,0,Hba_14),IF(G48&lt;=Hba_15,0,Hba_15),IF(G48&lt;=Hba_16,0,Hba_16),IF(G48&lt;=Hba_17,0,Hba_17),IF(G48&lt;=Hba_18,0,Hba_18),IF(G48&lt;=Hba_19,0,Hba_19),IF(G48&lt;=Hba_20,0,Hba_20),IF(G48&lt;=Hba_21,0,Hba_21),IF(G48&lt;=Hba_22,0,Hba_22),IF(G48&lt;=Hba_23,0,Hba_23),IF(G48&lt;=Hba_24,0,Hba_24),IF(G48&lt;=Hba_25,0,Hba_25),IF(G48&lt;=Hba_26,0,Hba_26),IF(G48&lt;=Hba_27,0,Hba_27),IF(G48&lt;=Hba_28,0,Hba_28),IF(G48&lt;=Hba_29,0,Hba_29),IF(G48&lt;=Hba_30,0,Hba_30)),MAX(IF(G48&lt;=Input!$C$8,0,Input!$C$8),IF(G48&lt;=Input!$C$9,0,Input!$C$9),IF(G48&lt;=Input!$C$10,0,Input!$C$10),IF(G48&lt;=Input!$C$11,0,Input!$C$11),IF(G48&lt;=Input!$C$12,0,Input!$C$12),IF(G48&lt;=Input!$C$13,0,Input!$C$13),IF(G48&lt;=Input!$C$14,0,Input!$C$14),IF(G48&lt;=Input!$C$15,0,Input!$C$15),IF(G48&lt;=Input!$C$16,0,Input!$C$16)),MAX(IF(G48&lt;=Hba_1-0.25,0,Hba_1-0.25),IF(G48&lt;=Hba_2-0.25,0,Hba_2-0.25),IF(G48&lt;=Hba_3-0.25,0,Hba_3-0.25),IF(G48&lt;=Hba_4-0.25,0,Hba_4-0.25),IF(G48&lt;=Hba_5-0.25,0,Hba_5-0.25),IF(G48&lt;=Hba_6-0.25,0,Hba_6-0.25),IF(G48&lt;=Hba_7-0.25,0,Hba_7-0.25),IF(G48&lt;=Hba_8-0.25,0,Hba_8-0.25),IF(G48&lt;=Hba_9-0.25,0,Hba_9-0.25),IF(G48&lt;=Hba_10-0.25,0,Hba_10-0.25),IF(G48&lt;=Hba_11-0.25,0,Hba_11-0.25),IF(G48&lt;=Hba_12-0.25,0,Hba_12-0.25),IF(G48&lt;=Hba_13-0.25,0,Hba_13-0.25),IF(G48&lt;=Hba_14-0.25,0,Hba_14-0.25),IF(G48&lt;=Hba_15-0.25,0,Hba_15-0.25),IF(G48&lt;=Hba_16-0.25,0,Hba_16-0.25),IF(G48&lt;=Hba_17-0.25,0,Hba_17-0.25),IF(G48&lt;=Hba_18-0.25,0,Hba_18-0.25),IF(G48&lt;=Hba_19-0.25,0,Hba_19-0.25),IF(G48&lt;=Hba_20-0.25,0,Hba_20-0.25),IF(G48&lt;=Hba_21-0.25,0,Hba_21-0.25),IF(G48&lt;=Hba_22-0.25,0,Hba_22-0.25),IF(G48&lt;=Hba_23-0.25,0,Hba_23-0.25),IF(G48&lt;=Hba_24-0.25,0,Hba_24-0.25),IF(G48&lt;=Hba_25-0.25,0,Hba_25-0.25),IF(G48&lt;=Hba_26-0.25,0,Hba_26-0.25),IF(G48&lt;=Hba_27-0.25,0,Hba_27-0.25),IF(G48&lt;=Hba_28-0.25,0,Hba_28-0.25),IF(G48&lt;=Hba_29-0.25,0,Hba_29-0.25),IF(G48&lt;=Hba_30-0.25,0,Hba_30-0.25)),IF(G48&lt;='Macro References'!$A$38,0,'Macro References'!$A$38)))</f>
        <v/>
      </c>
      <c r="H49" s="769"/>
      <c r="I49" s="228"/>
      <c r="J49" s="228"/>
      <c r="K49" s="228"/>
      <c r="L49" s="717" t="str">
        <f t="shared" si="10"/>
        <v/>
      </c>
      <c r="M49" s="717"/>
      <c r="N49" s="717"/>
      <c r="O49" s="717"/>
      <c r="P49" s="717" t="str">
        <f>IF(OR(G49=0,G49=""),"",IF(VLOOKUP(G49,'Geometry 2'!$C$4:$AI$14,1,TRUE)=VLOOKUP(G50,'Geometry 2'!$C$4:$AI$14,1,TRUE),"",IF(VLOOKUP(G49,'Geometry 2'!$C$4:$AI$14,33,TRUE)&lt;&gt;"n/a",MIN(G49,VLOOKUP(G49,'Geometry 2'!$C$4:$AI$14,1,TRUE))-VLOOKUP(G49,'Geometry 2'!$C$4:$AI$14,33,TRUE),"check")))</f>
        <v/>
      </c>
      <c r="Q49" s="717"/>
      <c r="R49" s="717"/>
      <c r="S49" s="717"/>
      <c r="T49" s="717" t="str">
        <f>IF($G49="","",VLOOKUP($G49,'Geometry 2'!$E$4:$AH$14,11,TRUE))</f>
        <v/>
      </c>
      <c r="U49" s="717"/>
      <c r="V49" s="717"/>
      <c r="W49" s="717"/>
      <c r="X49" s="716" t="str">
        <f>IF($G49="","",VLOOKUP($G49,'Geometry 2'!$E$4:$AJ$14,19,TRUE)-12*VLOOKUP($G49,'Geometry 2'!$E$4:$AJ$14,32,TRUE)*($D49-VLOOKUP($G49,'Geometry 2'!$E$5:$AH$14,1,TRUE)))</f>
        <v/>
      </c>
      <c r="Y49" s="716"/>
      <c r="Z49" s="716"/>
      <c r="AA49" s="716"/>
      <c r="AB49" s="757" t="str">
        <f>IF($G49="","",VLOOKUP($G49,'Geometry 2'!$E$4:$AJ$14,19,TRUE)-12*VLOOKUP($G49,'Geometry 2'!$E$4:$AJ$14,32,TRUE)*($G49-VLOOKUP($G49,'Geometry 2'!$E$5:$AH$14,1,TRUE)))</f>
        <v/>
      </c>
      <c r="AC49" s="758"/>
      <c r="AD49" s="758"/>
      <c r="AE49" s="759"/>
      <c r="AF49" s="716" t="str">
        <f>IF($G49="","",VLOOKUP($G49,'Geometry 2'!$E$4:$AJ$14,19,TRUE)-12*VLOOKUP($G49,'Geometry 2'!$E$4:$AJ$14,32,TRUE)*($G49-IF($P49="",0,$P49)-VLOOKUP($G49,'Geometry 2'!$E$5:$AH$14,1,TRUE)))</f>
        <v/>
      </c>
      <c r="AG49" s="716"/>
      <c r="AH49" s="716"/>
      <c r="AI49" s="716"/>
      <c r="AJ49" s="746" t="str">
        <f>IF($G49="","",VLOOKUP($G49,'Geometry 2'!$E$4:$AH$14,23,TRUE))</f>
        <v/>
      </c>
      <c r="AK49" s="747"/>
      <c r="AL49" s="747"/>
      <c r="AM49" s="748"/>
      <c r="AN49" s="717"/>
      <c r="AO49" s="717"/>
      <c r="AP49" s="717"/>
      <c r="AQ49" s="717"/>
      <c r="AR49" s="717" t="str">
        <f>IF($G49="","",VLOOKUP($G49,'Geometry 2'!$E$4:$AH$14,27,TRUE))</f>
        <v/>
      </c>
      <c r="AS49" s="717"/>
      <c r="AT49" s="717"/>
      <c r="AU49" s="718"/>
      <c r="AV49" s="715"/>
      <c r="AW49" s="716"/>
      <c r="AX49" s="716"/>
      <c r="AZ49" s="722" t="str">
        <f t="shared" si="5"/>
        <v/>
      </c>
      <c r="BA49" s="723"/>
      <c r="BB49" s="723"/>
      <c r="BC49" s="724"/>
      <c r="BD49" s="722"/>
      <c r="BE49" s="723"/>
      <c r="BF49" s="723"/>
      <c r="BG49" s="722" t="str">
        <f t="shared" si="9"/>
        <v/>
      </c>
      <c r="BH49" s="723"/>
      <c r="BI49" s="723"/>
      <c r="BJ49" s="723"/>
      <c r="BK49" s="724"/>
      <c r="BL49" s="722"/>
      <c r="BM49" s="723"/>
      <c r="BN49" s="723"/>
      <c r="BO49" s="723"/>
      <c r="BP49" s="725"/>
      <c r="BQ49" s="725"/>
      <c r="BR49" s="722" t="str">
        <f>IF(BP49="","",IF(OR(AND(Rev="H",Calculations!$F$27=TRUE),AND(Rev&lt;&gt;"H",Calculations!$F$30=TRUE)),IF(BP49&lt;=1,"Pass","Fail"),IF(BP49&lt;=1.05,"Pass","Fail")))</f>
        <v/>
      </c>
      <c r="BS49" s="723"/>
      <c r="BT49" s="724"/>
      <c r="BU49" s="49"/>
      <c r="BV49" s="25" t="str">
        <f>IFERROR(CONCATENATE(IF(AND($G49&lt;Hta_1,$G49&gt;=Hba_1,Input!U$21&lt;&gt;""),Input!$B$21&amp;";",""),IF(AND($G49&lt;Hta_2,$G49&gt;=Hba_2,Input!U$22&lt;&gt;""),Input!$B$22&amp;";",""),IF(AND($G49&lt;Hta_3,$G49&gt;=Hba_3,Input!U$23&lt;&gt;""),Input!$B$23&amp;";",""),IF(AND($G49&lt;Hta_4,$G49&gt;=Hba_4,Input!U$24&lt;&gt;""),Input!$B$24&amp;";",""),IF(AND($G49&lt;Hta_5,$G49&gt;=Hba_5,Input!U$25&lt;&gt;""),Input!$B$25&amp;";",""),IF(AND($G49&lt;Hta_6,$G49&gt;=Hba_6,Input!U$26&lt;&gt;""),Input!$B$26&amp;";",""),IF(AND($G49&lt;Hta_7,$G49&gt;=Hba_7,Input!U$27&lt;&gt;""),Input!$B$27&amp;";",""),IF(AND($G49&lt;Hta_8,$G49&gt;=Hba_8,Input!U$28&lt;&gt;""),Input!$B$28&amp;";",""),IF(AND($G49&lt;Hta_9,$G49&gt;=Hba_9,Input!U$29&lt;&gt;""),Input!$B$29&amp;";",""),IF(AND($G49&lt;Hta_10,$G49&gt;=Hba_10,Input!U$30&lt;&gt;""),Input!$B$30&amp;";",""),IF(AND($G49&lt;Hta_11,$G49&gt;=Hba_11,Input!U$31&lt;&gt;""),Input!$B$31&amp;";",""),IF(AND($G49&lt;Hta_12,$G49&gt;=Hba_12,Input!U$32&lt;&gt;""),Input!$B$32&amp;";",""),IF(AND($G49&lt;Hta_13,$G49&gt;=Hba_13,Input!U$33&lt;&gt;""),Input!$B$33&amp;";",""),IF(AND($G49&lt;Hta_14,$G49&gt;=Hba_14,Input!U$34&lt;&gt;""),Input!$B$34&amp;";",""),IF(AND($G49&lt;Hta_15,$G49&gt;=Hba_15,Input!U$35&lt;&gt;""),Input!$B$35&amp;";",""),IF(AND($G49&lt;Hta_16,$G49&gt;=Hba_16,Input!U$36&lt;&gt;""),Input!$B$36&amp;";",""),IF(AND($G49&lt;Hta_17,$G49&gt;=Hba_17,Input!U$37&lt;&gt;""),Input!$B$37&amp;";",""),IF(AND($G49&lt;Hta_18,$G49&gt;=Hba_18,Input!U$38&lt;&gt;""),Input!$B$38&amp;";",""),IF(AND($G49&lt;Hta_19,$G49&gt;=Hba_19,Input!U$39&lt;&gt;""),Input!$B$39&amp;";",""),IF(AND($G49&lt;Hta_20,$G49&gt;=Hba_20,Input!U$40&lt;&gt;""),Input!$B$40&amp;";",""),IF(AND($G49&lt;Hta_21,$G49&gt;=Hba_21,Input!U$41&lt;&gt;""),Input!$B$41&amp;";",""),IF(AND($G49&lt;Hta_22,$G49&gt;=Hba_22,Input!U$42&lt;&gt;""),Input!$B$42&amp;";",""),IF(AND($G49&lt;Hta_23,$G49&gt;=Hba_23,Input!U$43&lt;&gt;""),Input!$B$43&amp;";",""),IF(AND($G49&lt;Hta_24,$G49&gt;=Hba_24,Input!U$44&lt;&gt;""),Input!$B$44&amp;";",""),IF(AND($G49&lt;Hta_25,$G49&gt;=Hba_25,Input!U$45&lt;&gt;""),Input!$B$45&amp;";",""),IF(AND($G49&lt;Hta_26,$G49&gt;=Hba_26,Input!U$46&lt;&gt;""),Input!$B$46&amp;";",""),IF(AND($G49&lt;Hta_27,$G49&gt;=Hba_27,Input!U$47&lt;&gt;""),Input!$B$47&amp;";",""),IF(AND($G49&lt;Hta_28,$G49&gt;=Hba_28,Input!U$48&lt;&gt;""),Input!$B$48&amp;";",""),IF(AND($G49&lt;Hta_29,$G49&gt;=Hba_29,Input!U$49&lt;&gt;""),Input!$B$49&amp;";",""),IF(AND($G49&lt;Hta_30,$G49&gt;=Hba_30,Input!U$50&lt;&gt;""),Input!$B$50&amp;";","")),"")</f>
        <v/>
      </c>
      <c r="BW49" s="25" t="str">
        <f>IFERROR(CONCATENATE(IF(AND($G49&lt;Hta_1,$G49&gt;=Hba_1,Input!V$21&lt;&gt;""),Input!$B$21&amp;";",""),IF(AND($G49&lt;Hta_2,$G49&gt;=Hba_2,Input!V$22&lt;&gt;""),Input!$B$22&amp;";",""),IF(AND($G49&lt;Hta_3,$G49&gt;=Hba_3,Input!V$23&lt;&gt;""),Input!$B$23&amp;";",""),IF(AND($G49&lt;Hta_4,$G49&gt;=Hba_4,Input!V$24&lt;&gt;""),Input!$B$24&amp;";",""),IF(AND($G49&lt;Hta_5,$G49&gt;=Hba_5,Input!V$25&lt;&gt;""),Input!$B$25&amp;";",""),IF(AND($G49&lt;Hta_6,$G49&gt;=Hba_6,Input!V$26&lt;&gt;""),Input!$B$26&amp;";",""),IF(AND($G49&lt;Hta_7,$G49&gt;=Hba_7,Input!V$27&lt;&gt;""),Input!$B$27&amp;";",""),IF(AND($G49&lt;Hta_8,$G49&gt;=Hba_8,Input!V$28&lt;&gt;""),Input!$B$28&amp;";",""),IF(AND($G49&lt;Hta_9,$G49&gt;=Hba_9,Input!V$29&lt;&gt;""),Input!$B$29&amp;";",""),IF(AND($G49&lt;Hta_10,$G49&gt;=Hba_10,Input!V$30&lt;&gt;""),Input!$B$30&amp;";",""),IF(AND($G49&lt;Hta_11,$G49&gt;=Hba_11,Input!V$31&lt;&gt;""),Input!$B$31&amp;";",""),IF(AND($G49&lt;Hta_12,$G49&gt;=Hba_12,Input!V$32&lt;&gt;""),Input!$B$32&amp;";",""),IF(AND($G49&lt;Hta_13,$G49&gt;=Hba_13,Input!V$33&lt;&gt;""),Input!$B$33&amp;";",""),IF(AND($G49&lt;Hta_14,$G49&gt;=Hba_14,Input!V$34&lt;&gt;""),Input!$B$34&amp;";",""),IF(AND($G49&lt;Hta_15,$G49&gt;=Hba_15,Input!V$35&lt;&gt;""),Input!$B$35&amp;";",""),IF(AND($G49&lt;Hta_16,$G49&gt;=Hba_16,Input!V$36&lt;&gt;""),Input!$B$36&amp;";",""),IF(AND($G49&lt;Hta_17,$G49&gt;=Hba_17,Input!V$37&lt;&gt;""),Input!$B$37&amp;";",""),IF(AND($G49&lt;Hta_18,$G49&gt;=Hba_18,Input!V$38&lt;&gt;""),Input!$B$38&amp;";",""),IF(AND($G49&lt;Hta_19,$G49&gt;=Hba_19,Input!V$39&lt;&gt;""),Input!$B$39&amp;";",""),IF(AND($G49&lt;Hta_20,$G49&gt;=Hba_20,Input!V$40&lt;&gt;""),Input!$B$40&amp;";",""),IF(AND($G49&lt;Hta_21,$G49&gt;=Hba_21,Input!V$41&lt;&gt;""),Input!$B$41&amp;";",""),IF(AND($G49&lt;Hta_22,$G49&gt;=Hba_22,Input!V$42&lt;&gt;""),Input!$B$42&amp;";",""),IF(AND($G49&lt;Hta_23,$G49&gt;=Hba_23,Input!V$43&lt;&gt;""),Input!$B$43&amp;";",""),IF(AND($G49&lt;Hta_24,$G49&gt;=Hba_24,Input!V$44&lt;&gt;""),Input!$B$44&amp;";",""),IF(AND($G49&lt;Hta_25,$G49&gt;=Hba_25,Input!V$45&lt;&gt;""),Input!$B$45&amp;";",""),IF(AND($G49&lt;Hta_26,$G49&gt;=Hba_26,Input!V$46&lt;&gt;""),Input!$B$46&amp;";",""),IF(AND($G49&lt;Hta_27,$G49&gt;=Hba_27,Input!V$47&lt;&gt;""),Input!$B$47&amp;";",""),IF(AND($G49&lt;Hta_28,$G49&gt;=Hba_28,Input!V$48&lt;&gt;""),Input!$B$48&amp;";",""),IF(AND($G49&lt;Hta_29,$G49&gt;=Hba_29,Input!V$49&lt;&gt;""),Input!$B$49&amp;";",""),IF(AND($G49&lt;Hta_30,$G49&gt;=Hba_30,Input!V$50&lt;&gt;""),Input!$B$50&amp;";","")),"")</f>
        <v/>
      </c>
      <c r="BX49" s="25" t="str">
        <f>IFERROR(CONCATENATE(IF(AND($G49&lt;Hta_1,$G49&gt;=Hba_1,Input!W$21&lt;&gt;""),Input!$B$21&amp;";",""),IF(AND($G49&lt;Hta_2,$G49&gt;=Hba_2,Input!W$22&lt;&gt;""),Input!$B$22&amp;";",""),IF(AND($G49&lt;Hta_3,$G49&gt;=Hba_3,Input!W$23&lt;&gt;""),Input!$B$23&amp;";",""),IF(AND($G49&lt;Hta_4,$G49&gt;=Hba_4,Input!W$24&lt;&gt;""),Input!$B$24&amp;";",""),IF(AND($G49&lt;Hta_5,$G49&gt;=Hba_5,Input!W$25&lt;&gt;""),Input!$B$25&amp;";",""),IF(AND($G49&lt;Hta_6,$G49&gt;=Hba_6,Input!W$26&lt;&gt;""),Input!$B$26&amp;";",""),IF(AND($G49&lt;Hta_7,$G49&gt;=Hba_7,Input!W$27&lt;&gt;""),Input!$B$27&amp;";",""),IF(AND($G49&lt;Hta_8,$G49&gt;=Hba_8,Input!W$28&lt;&gt;""),Input!$B$28&amp;";",""),IF(AND($G49&lt;Hta_9,$G49&gt;=Hba_9,Input!W$29&lt;&gt;""),Input!$B$29&amp;";",""),IF(AND($G49&lt;Hta_10,$G49&gt;=Hba_10,Input!W$30&lt;&gt;""),Input!$B$30&amp;";",""),IF(AND($G49&lt;Hta_11,$G49&gt;=Hba_11,Input!W$31&lt;&gt;""),Input!$B$31&amp;";",""),IF(AND($G49&lt;Hta_12,$G49&gt;=Hba_12,Input!W$32&lt;&gt;""),Input!$B$32&amp;";",""),IF(AND($G49&lt;Hta_13,$G49&gt;=Hba_13,Input!W$33&lt;&gt;""),Input!$B$33&amp;";",""),IF(AND($G49&lt;Hta_14,$G49&gt;=Hba_14,Input!W$34&lt;&gt;""),Input!$B$34&amp;";",""),IF(AND($G49&lt;Hta_15,$G49&gt;=Hba_15,Input!W$35&lt;&gt;""),Input!$B$35&amp;";",""),IF(AND($G49&lt;Hta_16,$G49&gt;=Hba_16,Input!W$36&lt;&gt;""),Input!$B$36&amp;";",""),IF(AND($G49&lt;Hta_17,$G49&gt;=Hba_17,Input!W$37&lt;&gt;""),Input!$B$37&amp;";",""),IF(AND($G49&lt;Hta_18,$G49&gt;=Hba_18,Input!W$38&lt;&gt;""),Input!$B$38&amp;";",""),IF(AND($G49&lt;Hta_19,$G49&gt;=Hba_19,Input!W$39&lt;&gt;""),Input!$B$39&amp;";",""),IF(AND($G49&lt;Hta_20,$G49&gt;=Hba_20,Input!W$40&lt;&gt;""),Input!$B$40&amp;";",""),IF(AND($G49&lt;Hta_21,$G49&gt;=Hba_21,Input!W$41&lt;&gt;""),Input!$B$41&amp;";",""),IF(AND($G49&lt;Hta_22,$G49&gt;=Hba_22,Input!W$42&lt;&gt;""),Input!$B$42&amp;";",""),IF(AND($G49&lt;Hta_23,$G49&gt;=Hba_23,Input!W$43&lt;&gt;""),Input!$B$43&amp;";",""),IF(AND($G49&lt;Hta_24,$G49&gt;=Hba_24,Input!W$44&lt;&gt;""),Input!$B$44&amp;";",""),IF(AND($G49&lt;Hta_25,$G49&gt;=Hba_25,Input!W$45&lt;&gt;""),Input!$B$45&amp;";",""),IF(AND($G49&lt;Hta_26,$G49&gt;=Hba_26,Input!W$46&lt;&gt;""),Input!$B$46&amp;";",""),IF(AND($G49&lt;Hta_27,$G49&gt;=Hba_27,Input!W$47&lt;&gt;""),Input!$B$47&amp;";",""),IF(AND($G49&lt;Hta_28,$G49&gt;=Hba_28,Input!W$48&lt;&gt;""),Input!$B$48&amp;";",""),IF(AND($G49&lt;Hta_29,$G49&gt;=Hba_29,Input!W$49&lt;&gt;""),Input!$B$49&amp;";",""),IF(AND($G49&lt;Hta_30,$G49&gt;=Hba_30,Input!W$50&lt;&gt;""),Input!$B$50&amp;";","")),"")</f>
        <v/>
      </c>
      <c r="BY49" s="25" t="str">
        <f>IFERROR(CONCATENATE(IF(AND($G49&lt;Hta_1,$G49&gt;=Hba_1,Input!X$21&lt;&gt;""),Input!$B$21&amp;";",""),IF(AND($G49&lt;Hta_2,$G49&gt;=Hba_2,Input!X$22&lt;&gt;""),Input!$B$22&amp;";",""),IF(AND($G49&lt;Hta_3,$G49&gt;=Hba_3,Input!X$23&lt;&gt;""),Input!$B$23&amp;";",""),IF(AND($G49&lt;Hta_4,$G49&gt;=Hba_4,Input!X$24&lt;&gt;""),Input!$B$24&amp;";",""),IF(AND($G49&lt;Hta_5,$G49&gt;=Hba_5,Input!X$25&lt;&gt;""),Input!$B$25&amp;";",""),IF(AND($G49&lt;Hta_6,$G49&gt;=Hba_6,Input!X$26&lt;&gt;""),Input!$B$26&amp;";",""),IF(AND($G49&lt;Hta_7,$G49&gt;=Hba_7,Input!X$27&lt;&gt;""),Input!$B$27&amp;";",""),IF(AND($G49&lt;Hta_8,$G49&gt;=Hba_8,Input!X$28&lt;&gt;""),Input!$B$28&amp;";",""),IF(AND($G49&lt;Hta_9,$G49&gt;=Hba_9,Input!X$29&lt;&gt;""),Input!$B$29&amp;";",""),IF(AND($G49&lt;Hta_10,$G49&gt;=Hba_10,Input!X$30&lt;&gt;""),Input!$B$30&amp;";",""),IF(AND($G49&lt;Hta_11,$G49&gt;=Hba_11,Input!X$31&lt;&gt;""),Input!$B$31&amp;";",""),IF(AND($G49&lt;Hta_12,$G49&gt;=Hba_12,Input!X$32&lt;&gt;""),Input!$B$32&amp;";",""),IF(AND($G49&lt;Hta_13,$G49&gt;=Hba_13,Input!X$33&lt;&gt;""),Input!$B$33&amp;";",""),IF(AND($G49&lt;Hta_14,$G49&gt;=Hba_14,Input!X$34&lt;&gt;""),Input!$B$34&amp;";",""),IF(AND($G49&lt;Hta_15,$G49&gt;=Hba_15,Input!X$35&lt;&gt;""),Input!$B$35&amp;";",""),IF(AND($G49&lt;Hta_16,$G49&gt;=Hba_16,Input!X$36&lt;&gt;""),Input!$B$36&amp;";",""),IF(AND($G49&lt;Hta_17,$G49&gt;=Hba_17,Input!X$37&lt;&gt;""),Input!$B$37&amp;";",""),IF(AND($G49&lt;Hta_18,$G49&gt;=Hba_18,Input!X$38&lt;&gt;""),Input!$B$38&amp;";",""),IF(AND($G49&lt;Hta_19,$G49&gt;=Hba_19,Input!X$39&lt;&gt;""),Input!$B$39&amp;";",""),IF(AND($G49&lt;Hta_20,$G49&gt;=Hba_20,Input!X$40&lt;&gt;""),Input!$B$40&amp;";",""),IF(AND($G49&lt;Hta_21,$G49&gt;=Hba_21,Input!X$41&lt;&gt;""),Input!$B$41&amp;";",""),IF(AND($G49&lt;Hta_22,$G49&gt;=Hba_22,Input!X$42&lt;&gt;""),Input!$B$42&amp;";",""),IF(AND($G49&lt;Hta_23,$G49&gt;=Hba_23,Input!X$43&lt;&gt;""),Input!$B$43&amp;";",""),IF(AND($G49&lt;Hta_24,$G49&gt;=Hba_24,Input!X$44&lt;&gt;""),Input!$B$44&amp;";",""),IF(AND($G49&lt;Hta_25,$G49&gt;=Hba_25,Input!X$45&lt;&gt;""),Input!$B$45&amp;";",""),IF(AND($G49&lt;Hta_26,$G49&gt;=Hba_26,Input!X$46&lt;&gt;""),Input!$B$46&amp;";",""),IF(AND($G49&lt;Hta_27,$G49&gt;=Hba_27,Input!X$47&lt;&gt;""),Input!$B$47&amp;";",""),IF(AND($G49&lt;Hta_28,$G49&gt;=Hba_28,Input!X$48&lt;&gt;""),Input!$B$48&amp;";",""),IF(AND($G49&lt;Hta_29,$G49&gt;=Hba_29,Input!X$49&lt;&gt;""),Input!$B$49&amp;";",""),IF(AND($G49&lt;Hta_30,$G49&gt;=Hba_30,Input!X$50&lt;&gt;""),Input!$B$50&amp;";","")),"")</f>
        <v/>
      </c>
      <c r="BZ49" s="25" t="str">
        <f>IFERROR(CONCATENATE(IF(AND($G49&lt;Hta_1,$G49&gt;=Hba_1,Input!Y$21&lt;&gt;""),Input!$B$21&amp;";",""),IF(AND($G49&lt;Hta_2,$G49&gt;=Hba_2,Input!Y$22&lt;&gt;""),Input!$B$22&amp;";",""),IF(AND($G49&lt;Hta_3,$G49&gt;=Hba_3,Input!Y$23&lt;&gt;""),Input!$B$23&amp;";",""),IF(AND($G49&lt;Hta_4,$G49&gt;=Hba_4,Input!Y$24&lt;&gt;""),Input!$B$24&amp;";",""),IF(AND($G49&lt;Hta_5,$G49&gt;=Hba_5,Input!Y$25&lt;&gt;""),Input!$B$25&amp;";",""),IF(AND($G49&lt;Hta_6,$G49&gt;=Hba_6,Input!Y$26&lt;&gt;""),Input!$B$26&amp;";",""),IF(AND($G49&lt;Hta_7,$G49&gt;=Hba_7,Input!Y$27&lt;&gt;""),Input!$B$27&amp;";",""),IF(AND($G49&lt;Hta_8,$G49&gt;=Hba_8,Input!Y$28&lt;&gt;""),Input!$B$28&amp;";",""),IF(AND($G49&lt;Hta_9,$G49&gt;=Hba_9,Input!Y$29&lt;&gt;""),Input!$B$29&amp;";",""),IF(AND($G49&lt;Hta_10,$G49&gt;=Hba_10,Input!Y$30&lt;&gt;""),Input!$B$30&amp;";",""),IF(AND($G49&lt;Hta_11,$G49&gt;=Hba_11,Input!Y$31&lt;&gt;""),Input!$B$31&amp;";",""),IF(AND($G49&lt;Hta_12,$G49&gt;=Hba_12,Input!Y$32&lt;&gt;""),Input!$B$32&amp;";",""),IF(AND($G49&lt;Hta_13,$G49&gt;=Hba_13,Input!Y$33&lt;&gt;""),Input!$B$33&amp;";",""),IF(AND($G49&lt;Hta_14,$G49&gt;=Hba_14,Input!Y$34&lt;&gt;""),Input!$B$34&amp;";",""),IF(AND($G49&lt;Hta_15,$G49&gt;=Hba_15,Input!Y$35&lt;&gt;""),Input!$B$35&amp;";",""),IF(AND($G49&lt;Hta_16,$G49&gt;=Hba_16,Input!Y$36&lt;&gt;""),Input!$B$36&amp;";",""),IF(AND($G49&lt;Hta_17,$G49&gt;=Hba_17,Input!Y$37&lt;&gt;""),Input!$B$37&amp;";",""),IF(AND($G49&lt;Hta_18,$G49&gt;=Hba_18,Input!Y$38&lt;&gt;""),Input!$B$38&amp;";",""),IF(AND($G49&lt;Hta_19,$G49&gt;=Hba_19,Input!Y$39&lt;&gt;""),Input!$B$39&amp;";",""),IF(AND($G49&lt;Hta_20,$G49&gt;=Hba_20,Input!Y$40&lt;&gt;""),Input!$B$40&amp;";",""),IF(AND($G49&lt;Hta_21,$G49&gt;=Hba_21,Input!Y$41&lt;&gt;""),Input!$B$41&amp;";",""),IF(AND($G49&lt;Hta_22,$G49&gt;=Hba_22,Input!Y$42&lt;&gt;""),Input!$B$42&amp;";",""),IF(AND($G49&lt;Hta_23,$G49&gt;=Hba_23,Input!Y$43&lt;&gt;""),Input!$B$43&amp;";",""),IF(AND($G49&lt;Hta_24,$G49&gt;=Hba_24,Input!Y$44&lt;&gt;""),Input!$B$44&amp;";",""),IF(AND($G49&lt;Hta_25,$G49&gt;=Hba_25,Input!Y$45&lt;&gt;""),Input!$B$45&amp;";",""),IF(AND($G49&lt;Hta_26,$G49&gt;=Hba_26,Input!Y$46&lt;&gt;""),Input!$B$46&amp;";",""),IF(AND($G49&lt;Hta_27,$G49&gt;=Hba_27,Input!Y$47&lt;&gt;""),Input!$B$47&amp;";",""),IF(AND($G49&lt;Hta_28,$G49&gt;=Hba_28,Input!Y$48&lt;&gt;""),Input!$B$48&amp;";",""),IF(AND($G49&lt;Hta_29,$G49&gt;=Hba_29,Input!Y$49&lt;&gt;""),Input!$B$49&amp;";",""),IF(AND($G49&lt;Hta_30,$G49&gt;=Hba_30,Input!Y$50&lt;&gt;""),Input!$B$50&amp;";","")),"")</f>
        <v/>
      </c>
      <c r="CA49" s="25" t="str">
        <f>IFERROR(CONCATENATE(IF(AND($G49&lt;Hta_1,$G49&gt;=Hba_1,Input!Z$21&lt;&gt;""),Input!$B$21&amp;";",""),IF(AND($G49&lt;Hta_2,$G49&gt;=Hba_2,Input!Z$22&lt;&gt;""),Input!$B$22&amp;";",""),IF(AND($G49&lt;Hta_3,$G49&gt;=Hba_3,Input!Z$23&lt;&gt;""),Input!$B$23&amp;";",""),IF(AND($G49&lt;Hta_4,$G49&gt;=Hba_4,Input!Z$24&lt;&gt;""),Input!$B$24&amp;";",""),IF(AND($G49&lt;Hta_5,$G49&gt;=Hba_5,Input!Z$25&lt;&gt;""),Input!$B$25&amp;";",""),IF(AND($G49&lt;Hta_6,$G49&gt;=Hba_6,Input!Z$26&lt;&gt;""),Input!$B$26&amp;";",""),IF(AND($G49&lt;Hta_7,$G49&gt;=Hba_7,Input!Z$27&lt;&gt;""),Input!$B$27&amp;";",""),IF(AND($G49&lt;Hta_8,$G49&gt;=Hba_8,Input!Z$28&lt;&gt;""),Input!$B$28&amp;";",""),IF(AND($G49&lt;Hta_9,$G49&gt;=Hba_9,Input!Z$29&lt;&gt;""),Input!$B$29&amp;";",""),IF(AND($G49&lt;Hta_10,$G49&gt;=Hba_10,Input!Z$30&lt;&gt;""),Input!$B$30&amp;";",""),IF(AND($G49&lt;Hta_11,$G49&gt;=Hba_11,Input!Z$31&lt;&gt;""),Input!$B$31&amp;";",""),IF(AND($G49&lt;Hta_12,$G49&gt;=Hba_12,Input!Z$32&lt;&gt;""),Input!$B$32&amp;";",""),IF(AND($G49&lt;Hta_13,$G49&gt;=Hba_13,Input!Z$33&lt;&gt;""),Input!$B$33&amp;";",""),IF(AND($G49&lt;Hta_14,$G49&gt;=Hba_14,Input!Z$34&lt;&gt;""),Input!$B$34&amp;";",""),IF(AND($G49&lt;Hta_15,$G49&gt;=Hba_15,Input!Z$35&lt;&gt;""),Input!$B$35&amp;";",""),IF(AND($G49&lt;Hta_16,$G49&gt;=Hba_16,Input!Z$36&lt;&gt;""),Input!$B$36&amp;";",""),IF(AND($G49&lt;Hta_17,$G49&gt;=Hba_17,Input!Z$37&lt;&gt;""),Input!$B$37&amp;";",""),IF(AND($G49&lt;Hta_18,$G49&gt;=Hba_18,Input!Z$38&lt;&gt;""),Input!$B$38&amp;";",""),IF(AND($G49&lt;Hta_19,$G49&gt;=Hba_19,Input!Z$39&lt;&gt;""),Input!$B$39&amp;";",""),IF(AND($G49&lt;Hta_20,$G49&gt;=Hba_20,Input!Z$40&lt;&gt;""),Input!$B$40&amp;";",""),IF(AND($G49&lt;Hta_21,$G49&gt;=Hba_21,Input!Z$41&lt;&gt;""),Input!$B$41&amp;";",""),IF(AND($G49&lt;Hta_22,$G49&gt;=Hba_22,Input!Z$42&lt;&gt;""),Input!$B$42&amp;";",""),IF(AND($G49&lt;Hta_23,$G49&gt;=Hba_23,Input!Z$43&lt;&gt;""),Input!$B$43&amp;";",""),IF(AND($G49&lt;Hta_24,$G49&gt;=Hba_24,Input!Z$44&lt;&gt;""),Input!$B$44&amp;";",""),IF(AND($G49&lt;Hta_25,$G49&gt;=Hba_25,Input!Z$45&lt;&gt;""),Input!$B$45&amp;";",""),IF(AND($G49&lt;Hta_26,$G49&gt;=Hba_26,Input!Z$46&lt;&gt;""),Input!$B$46&amp;";",""),IF(AND($G49&lt;Hta_27,$G49&gt;=Hba_27,Input!Z$47&lt;&gt;""),Input!$B$47&amp;";",""),IF(AND($G49&lt;Hta_28,$G49&gt;=Hba_28,Input!Z$48&lt;&gt;""),Input!$B$48&amp;";",""),IF(AND($G49&lt;Hta_29,$G49&gt;=Hba_29,Input!Z$49&lt;&gt;""),Input!$B$49&amp;";",""),IF(AND($G49&lt;Hta_30,$G49&gt;=Hba_30,Input!Z$50&lt;&gt;""),Input!$B$50&amp;";","")),"")</f>
        <v/>
      </c>
      <c r="CB49" s="25" t="str">
        <f>IFERROR(CONCATENATE(IF(AND($G49&lt;Hta_1,$G49&gt;=Hba_1,Input!AA$21&lt;&gt;""),Input!$B$21&amp;";",""),IF(AND($G49&lt;Hta_2,$G49&gt;=Hba_2,Input!AA$22&lt;&gt;""),Input!$B$22&amp;";",""),IF(AND($G49&lt;Hta_3,$G49&gt;=Hba_3,Input!AA$23&lt;&gt;""),Input!$B$23&amp;";",""),IF(AND($G49&lt;Hta_4,$G49&gt;=Hba_4,Input!AA$24&lt;&gt;""),Input!$B$24&amp;";",""),IF(AND($G49&lt;Hta_5,$G49&gt;=Hba_5,Input!AA$25&lt;&gt;""),Input!$B$25&amp;";",""),IF(AND($G49&lt;Hta_6,$G49&gt;=Hba_6,Input!AA$26&lt;&gt;""),Input!$B$26&amp;";",""),IF(AND($G49&lt;Hta_7,$G49&gt;=Hba_7,Input!AA$27&lt;&gt;""),Input!$B$27&amp;";",""),IF(AND($G49&lt;Hta_8,$G49&gt;=Hba_8,Input!AA$28&lt;&gt;""),Input!$B$28&amp;";",""),IF(AND($G49&lt;Hta_9,$G49&gt;=Hba_9,Input!AA$29&lt;&gt;""),Input!$B$29&amp;";",""),IF(AND($G49&lt;Hta_10,$G49&gt;=Hba_10,Input!AA$30&lt;&gt;""),Input!$B$30&amp;";",""),IF(AND($G49&lt;Hta_11,$G49&gt;=Hba_11,Input!AA$31&lt;&gt;""),Input!$B$31&amp;";",""),IF(AND($G49&lt;Hta_12,$G49&gt;=Hba_12,Input!AA$32&lt;&gt;""),Input!$B$32&amp;";",""),IF(AND($G49&lt;Hta_13,$G49&gt;=Hba_13,Input!AA$33&lt;&gt;""),Input!$B$33&amp;";",""),IF(AND($G49&lt;Hta_14,$G49&gt;=Hba_14,Input!AA$34&lt;&gt;""),Input!$B$34&amp;";",""),IF(AND($G49&lt;Hta_15,$G49&gt;=Hba_15,Input!AA$35&lt;&gt;""),Input!$B$35&amp;";",""),IF(AND($G49&lt;Hta_16,$G49&gt;=Hba_16,Input!AA$36&lt;&gt;""),Input!$B$36&amp;";",""),IF(AND($G49&lt;Hta_17,$G49&gt;=Hba_17,Input!AA$37&lt;&gt;""),Input!$B$37&amp;";",""),IF(AND($G49&lt;Hta_18,$G49&gt;=Hba_18,Input!AA$38&lt;&gt;""),Input!$B$38&amp;";",""),IF(AND($G49&lt;Hta_19,$G49&gt;=Hba_19,Input!AA$39&lt;&gt;""),Input!$B$39&amp;";",""),IF(AND($G49&lt;Hta_20,$G49&gt;=Hba_20,Input!AA$40&lt;&gt;""),Input!$B$40&amp;";",""),IF(AND($G49&lt;Hta_21,$G49&gt;=Hba_21,Input!AA$41&lt;&gt;""),Input!$B$41&amp;";",""),IF(AND($G49&lt;Hta_22,$G49&gt;=Hba_22,Input!AA$42&lt;&gt;""),Input!$B$42&amp;";",""),IF(AND($G49&lt;Hta_23,$G49&gt;=Hba_23,Input!AA$43&lt;&gt;""),Input!$B$43&amp;";",""),IF(AND($G49&lt;Hta_24,$G49&gt;=Hba_24,Input!AA$44&lt;&gt;""),Input!$B$44&amp;";",""),IF(AND($G49&lt;Hta_25,$G49&gt;=Hba_25,Input!AA$45&lt;&gt;""),Input!$B$45&amp;";",""),IF(AND($G49&lt;Hta_26,$G49&gt;=Hba_26,Input!AA$46&lt;&gt;""),Input!$B$46&amp;";",""),IF(AND($G49&lt;Hta_27,$G49&gt;=Hba_27,Input!AA$47&lt;&gt;""),Input!$B$47&amp;";",""),IF(AND($G49&lt;Hta_28,$G49&gt;=Hba_28,Input!AA$48&lt;&gt;""),Input!$B$48&amp;";",""),IF(AND($G49&lt;Hta_29,$G49&gt;=Hba_29,Input!AA$49&lt;&gt;""),Input!$B$49&amp;";",""),IF(AND($G49&lt;Hta_30,$G49&gt;=Hba_30,Input!AA$50&lt;&gt;""),Input!$B$50&amp;";","")),"")</f>
        <v/>
      </c>
      <c r="CC49" s="25" t="str">
        <f>IFERROR(CONCATENATE(IF(AND($G49&lt;Hta_1,$G49&gt;=Hba_1,Input!AB$21&lt;&gt;""),Input!$B$21&amp;";",""),IF(AND($G49&lt;Hta_2,$G49&gt;=Hba_2,Input!AB$22&lt;&gt;""),Input!$B$22&amp;";",""),IF(AND($G49&lt;Hta_3,$G49&gt;=Hba_3,Input!AB$23&lt;&gt;""),Input!$B$23&amp;";",""),IF(AND($G49&lt;Hta_4,$G49&gt;=Hba_4,Input!AB$24&lt;&gt;""),Input!$B$24&amp;";",""),IF(AND($G49&lt;Hta_5,$G49&gt;=Hba_5,Input!AB$25&lt;&gt;""),Input!$B$25&amp;";",""),IF(AND($G49&lt;Hta_6,$G49&gt;=Hba_6,Input!AB$26&lt;&gt;""),Input!$B$26&amp;";",""),IF(AND($G49&lt;Hta_7,$G49&gt;=Hba_7,Input!AB$27&lt;&gt;""),Input!$B$27&amp;";",""),IF(AND($G49&lt;Hta_8,$G49&gt;=Hba_8,Input!AB$28&lt;&gt;""),Input!$B$28&amp;";",""),IF(AND($G49&lt;Hta_9,$G49&gt;=Hba_9,Input!AB$29&lt;&gt;""),Input!$B$29&amp;";",""),IF(AND($G49&lt;Hta_10,$G49&gt;=Hba_10,Input!AB$30&lt;&gt;""),Input!$B$30&amp;";",""),IF(AND($G49&lt;Hta_11,$G49&gt;=Hba_11,Input!AB$31&lt;&gt;""),Input!$B$31&amp;";",""),IF(AND($G49&lt;Hta_12,$G49&gt;=Hba_12,Input!AB$32&lt;&gt;""),Input!$B$32&amp;";",""),IF(AND($G49&lt;Hta_13,$G49&gt;=Hba_13,Input!AB$33&lt;&gt;""),Input!$B$33&amp;";",""),IF(AND($G49&lt;Hta_14,$G49&gt;=Hba_14,Input!AB$34&lt;&gt;""),Input!$B$34&amp;";",""),IF(AND($G49&lt;Hta_15,$G49&gt;=Hba_15,Input!AB$35&lt;&gt;""),Input!$B$35&amp;";",""),IF(AND($G49&lt;Hta_16,$G49&gt;=Hba_16,Input!AB$36&lt;&gt;""),Input!$B$36&amp;";",""),IF(AND($G49&lt;Hta_17,$G49&gt;=Hba_17,Input!AB$37&lt;&gt;""),Input!$B$37&amp;";",""),IF(AND($G49&lt;Hta_18,$G49&gt;=Hba_18,Input!AB$38&lt;&gt;""),Input!$B$38&amp;";",""),IF(AND($G49&lt;Hta_19,$G49&gt;=Hba_19,Input!AB$39&lt;&gt;""),Input!$B$39&amp;";",""),IF(AND($G49&lt;Hta_20,$G49&gt;=Hba_20,Input!AB$40&lt;&gt;""),Input!$B$40&amp;";",""),IF(AND($G49&lt;Hta_21,$G49&gt;=Hba_21,Input!AB$41&lt;&gt;""),Input!$B$41&amp;";",""),IF(AND($G49&lt;Hta_22,$G49&gt;=Hba_22,Input!AB$42&lt;&gt;""),Input!$B$42&amp;";",""),IF(AND($G49&lt;Hta_23,$G49&gt;=Hba_23,Input!AB$43&lt;&gt;""),Input!$B$43&amp;";",""),IF(AND($G49&lt;Hta_24,$G49&gt;=Hba_24,Input!AB$44&lt;&gt;""),Input!$B$44&amp;";",""),IF(AND($G49&lt;Hta_25,$G49&gt;=Hba_25,Input!AB$45&lt;&gt;""),Input!$B$45&amp;";",""),IF(AND($G49&lt;Hta_26,$G49&gt;=Hba_26,Input!AB$46&lt;&gt;""),Input!$B$46&amp;";",""),IF(AND($G49&lt;Hta_27,$G49&gt;=Hba_27,Input!AB$47&lt;&gt;""),Input!$B$47&amp;";",""),IF(AND($G49&lt;Hta_28,$G49&gt;=Hba_28,Input!AB$48&lt;&gt;""),Input!$B$48&amp;";",""),IF(AND($G49&lt;Hta_29,$G49&gt;=Hba_29,Input!AB$49&lt;&gt;""),Input!$B$49&amp;";",""),IF(AND($G49&lt;Hta_30,$G49&gt;=Hba_30,Input!AB$50&lt;&gt;""),Input!$B$50&amp;";","")),"")</f>
        <v/>
      </c>
      <c r="CD49" s="25" t="str">
        <f>IFERROR(CONCATENATE(IF(AND($G49&lt;Hta_1,$G49&gt;=Hba_1,Input!AC$21&lt;&gt;""),Input!$B$21&amp;";",""),IF(AND($G49&lt;Hta_2,$G49&gt;=Hba_2,Input!AC$22&lt;&gt;""),Input!$B$22&amp;";",""),IF(AND($G49&lt;Hta_3,$G49&gt;=Hba_3,Input!AC$23&lt;&gt;""),Input!$B$23&amp;";",""),IF(AND($G49&lt;Hta_4,$G49&gt;=Hba_4,Input!AC$24&lt;&gt;""),Input!$B$24&amp;";",""),IF(AND($G49&lt;Hta_5,$G49&gt;=Hba_5,Input!AC$25&lt;&gt;""),Input!$B$25&amp;";",""),IF(AND($G49&lt;Hta_6,$G49&gt;=Hba_6,Input!AC$26&lt;&gt;""),Input!$B$26&amp;";",""),IF(AND($G49&lt;Hta_7,$G49&gt;=Hba_7,Input!AC$27&lt;&gt;""),Input!$B$27&amp;";",""),IF(AND($G49&lt;Hta_8,$G49&gt;=Hba_8,Input!AC$28&lt;&gt;""),Input!$B$28&amp;";",""),IF(AND($G49&lt;Hta_9,$G49&gt;=Hba_9,Input!AC$29&lt;&gt;""),Input!$B$29&amp;";",""),IF(AND($G49&lt;Hta_10,$G49&gt;=Hba_10,Input!AC$30&lt;&gt;""),Input!$B$30&amp;";",""),IF(AND($G49&lt;Hta_11,$G49&gt;=Hba_11,Input!AC$31&lt;&gt;""),Input!$B$31&amp;";",""),IF(AND($G49&lt;Hta_12,$G49&gt;=Hba_12,Input!AC$32&lt;&gt;""),Input!$B$32&amp;";",""),IF(AND($G49&lt;Hta_13,$G49&gt;=Hba_13,Input!AC$33&lt;&gt;""),Input!$B$33&amp;";",""),IF(AND($G49&lt;Hta_14,$G49&gt;=Hba_14,Input!AC$34&lt;&gt;""),Input!$B$34&amp;";",""),IF(AND($G49&lt;Hta_15,$G49&gt;=Hba_15,Input!AC$35&lt;&gt;""),Input!$B$35&amp;";",""),IF(AND($G49&lt;Hta_16,$G49&gt;=Hba_16,Input!AC$36&lt;&gt;""),Input!$B$36&amp;";",""),IF(AND($G49&lt;Hta_17,$G49&gt;=Hba_17,Input!AC$37&lt;&gt;""),Input!$B$37&amp;";",""),IF(AND($G49&lt;Hta_18,$G49&gt;=Hba_18,Input!AC$38&lt;&gt;""),Input!$B$38&amp;";",""),IF(AND($G49&lt;Hta_19,$G49&gt;=Hba_19,Input!AC$39&lt;&gt;""),Input!$B$39&amp;";",""),IF(AND($G49&lt;Hta_20,$G49&gt;=Hba_20,Input!AC$40&lt;&gt;""),Input!$B$40&amp;";",""),IF(AND($G49&lt;Hta_21,$G49&gt;=Hba_21,Input!AC$41&lt;&gt;""),Input!$B$41&amp;";",""),IF(AND($G49&lt;Hta_22,$G49&gt;=Hba_22,Input!AC$42&lt;&gt;""),Input!$B$42&amp;";",""),IF(AND($G49&lt;Hta_23,$G49&gt;=Hba_23,Input!AC$43&lt;&gt;""),Input!$B$43&amp;";",""),IF(AND($G49&lt;Hta_24,$G49&gt;=Hba_24,Input!AC$44&lt;&gt;""),Input!$B$44&amp;";",""),IF(AND($G49&lt;Hta_25,$G49&gt;=Hba_25,Input!AC$45&lt;&gt;""),Input!$B$45&amp;";",""),IF(AND($G49&lt;Hta_26,$G49&gt;=Hba_26,Input!AC$46&lt;&gt;""),Input!$B$46&amp;";",""),IF(AND($G49&lt;Hta_27,$G49&gt;=Hba_27,Input!AC$47&lt;&gt;""),Input!$B$47&amp;";",""),IF(AND($G49&lt;Hta_28,$G49&gt;=Hba_28,Input!AC$48&lt;&gt;""),Input!$B$48&amp;";",""),IF(AND($G49&lt;Hta_29,$G49&gt;=Hba_29,Input!AC$49&lt;&gt;""),Input!$B$49&amp;";",""),IF(AND($G49&lt;Hta_30,$G49&gt;=Hba_30,Input!AC$50&lt;&gt;""),Input!$B$50&amp;";","")),"")</f>
        <v/>
      </c>
      <c r="CE49" s="25" t="str">
        <f>IFERROR(CONCATENATE(IF(AND($G49&lt;Hta_1,$G49&gt;=Hba_1,Input!AD$21&lt;&gt;""),Input!$B$21&amp;";",""),IF(AND($G49&lt;Hta_2,$G49&gt;=Hba_2,Input!AD$22&lt;&gt;""),Input!$B$22&amp;";",""),IF(AND($G49&lt;Hta_3,$G49&gt;=Hba_3,Input!AD$23&lt;&gt;""),Input!$B$23&amp;";",""),IF(AND($G49&lt;Hta_4,$G49&gt;=Hba_4,Input!AD$24&lt;&gt;""),Input!$B$24&amp;";",""),IF(AND($G49&lt;Hta_5,$G49&gt;=Hba_5,Input!AD$25&lt;&gt;""),Input!$B$25&amp;";",""),IF(AND($G49&lt;Hta_6,$G49&gt;=Hba_6,Input!AD$26&lt;&gt;""),Input!$B$26&amp;";",""),IF(AND($G49&lt;Hta_7,$G49&gt;=Hba_7,Input!AD$27&lt;&gt;""),Input!$B$27&amp;";",""),IF(AND($G49&lt;Hta_8,$G49&gt;=Hba_8,Input!AD$28&lt;&gt;""),Input!$B$28&amp;";",""),IF(AND($G49&lt;Hta_9,$G49&gt;=Hba_9,Input!AD$29&lt;&gt;""),Input!$B$29&amp;";",""),IF(AND($G49&lt;Hta_10,$G49&gt;=Hba_10,Input!AD$30&lt;&gt;""),Input!$B$30&amp;";",""),IF(AND($G49&lt;Hta_11,$G49&gt;=Hba_11,Input!AD$31&lt;&gt;""),Input!$B$31&amp;";",""),IF(AND($G49&lt;Hta_12,$G49&gt;=Hba_12,Input!AD$32&lt;&gt;""),Input!$B$32&amp;";",""),IF(AND($G49&lt;Hta_13,$G49&gt;=Hba_13,Input!AD$33&lt;&gt;""),Input!$B$33&amp;";",""),IF(AND($G49&lt;Hta_14,$G49&gt;=Hba_14,Input!AD$34&lt;&gt;""),Input!$B$34&amp;";",""),IF(AND($G49&lt;Hta_15,$G49&gt;=Hba_15,Input!AD$35&lt;&gt;""),Input!$B$35&amp;";",""),IF(AND($G49&lt;Hta_16,$G49&gt;=Hba_16,Input!AD$36&lt;&gt;""),Input!$B$36&amp;";",""),IF(AND($G49&lt;Hta_17,$G49&gt;=Hba_17,Input!AD$37&lt;&gt;""),Input!$B$37&amp;";",""),IF(AND($G49&lt;Hta_18,$G49&gt;=Hba_18,Input!AD$38&lt;&gt;""),Input!$B$38&amp;";",""),IF(AND($G49&lt;Hta_19,$G49&gt;=Hba_19,Input!AD$39&lt;&gt;""),Input!$B$39&amp;";",""),IF(AND($G49&lt;Hta_20,$G49&gt;=Hba_20,Input!AD$40&lt;&gt;""),Input!$B$40&amp;";",""),IF(AND($G49&lt;Hta_21,$G49&gt;=Hba_21,Input!AD$41&lt;&gt;""),Input!$B$41&amp;";",""),IF(AND($G49&lt;Hta_22,$G49&gt;=Hba_22,Input!AD$42&lt;&gt;""),Input!$B$42&amp;";",""),IF(AND($G49&lt;Hta_23,$G49&gt;=Hba_23,Input!AD$43&lt;&gt;""),Input!$B$43&amp;";",""),IF(AND($G49&lt;Hta_24,$G49&gt;=Hba_24,Input!AD$44&lt;&gt;""),Input!$B$44&amp;";",""),IF(AND($G49&lt;Hta_25,$G49&gt;=Hba_25,Input!AD$45&lt;&gt;""),Input!$B$45&amp;";",""),IF(AND($G49&lt;Hta_26,$G49&gt;=Hba_26,Input!AD$46&lt;&gt;""),Input!$B$46&amp;";",""),IF(AND($G49&lt;Hta_27,$G49&gt;=Hba_27,Input!AD$47&lt;&gt;""),Input!$B$47&amp;";",""),IF(AND($G49&lt;Hta_28,$G49&gt;=Hba_28,Input!AD$48&lt;&gt;""),Input!$B$48&amp;";",""),IF(AND($G49&lt;Hta_29,$G49&gt;=Hba_29,Input!AD$49&lt;&gt;""),Input!$B$49&amp;";",""),IF(AND($G49&lt;Hta_30,$G49&gt;=Hba_30,Input!AD$50&lt;&gt;""),Input!$B$50&amp;";","")),"")</f>
        <v/>
      </c>
      <c r="CF49" s="25" t="str">
        <f>IFERROR(CONCATENATE(IF(AND($G49&lt;Hta_1,$G49&gt;=Hba_1,Input!AE$21&lt;&gt;""),Input!$B$21&amp;";",""),IF(AND($G49&lt;Hta_2,$G49&gt;=Hba_2,Input!AE$22&lt;&gt;""),Input!$B$22&amp;";",""),IF(AND($G49&lt;Hta_3,$G49&gt;=Hba_3,Input!AE$23&lt;&gt;""),Input!$B$23&amp;";",""),IF(AND($G49&lt;Hta_4,$G49&gt;=Hba_4,Input!AE$24&lt;&gt;""),Input!$B$24&amp;";",""),IF(AND($G49&lt;Hta_5,$G49&gt;=Hba_5,Input!AE$25&lt;&gt;""),Input!$B$25&amp;";",""),IF(AND($G49&lt;Hta_6,$G49&gt;=Hba_6,Input!AE$26&lt;&gt;""),Input!$B$26&amp;";",""),IF(AND($G49&lt;Hta_7,$G49&gt;=Hba_7,Input!AE$27&lt;&gt;""),Input!$B$27&amp;";",""),IF(AND($G49&lt;Hta_8,$G49&gt;=Hba_8,Input!AE$28&lt;&gt;""),Input!$B$28&amp;";",""),IF(AND($G49&lt;Hta_9,$G49&gt;=Hba_9,Input!AE$29&lt;&gt;""),Input!$B$29&amp;";",""),IF(AND($G49&lt;Hta_10,$G49&gt;=Hba_10,Input!AE$30&lt;&gt;""),Input!$B$30&amp;";",""),IF(AND($G49&lt;Hta_11,$G49&gt;=Hba_11,Input!AE$31&lt;&gt;""),Input!$B$31&amp;";",""),IF(AND($G49&lt;Hta_12,$G49&gt;=Hba_12,Input!AE$32&lt;&gt;""),Input!$B$32&amp;";",""),IF(AND($G49&lt;Hta_13,$G49&gt;=Hba_13,Input!AE$33&lt;&gt;""),Input!$B$33&amp;";",""),IF(AND($G49&lt;Hta_14,$G49&gt;=Hba_14,Input!AE$34&lt;&gt;""),Input!$B$34&amp;";",""),IF(AND($G49&lt;Hta_15,$G49&gt;=Hba_15,Input!AE$35&lt;&gt;""),Input!$B$35&amp;";",""),IF(AND($G49&lt;Hta_16,$G49&gt;=Hba_16,Input!AE$36&lt;&gt;""),Input!$B$36&amp;";",""),IF(AND($G49&lt;Hta_17,$G49&gt;=Hba_17,Input!AE$37&lt;&gt;""),Input!$B$37&amp;";",""),IF(AND($G49&lt;Hta_18,$G49&gt;=Hba_18,Input!AE$38&lt;&gt;""),Input!$B$38&amp;";",""),IF(AND($G49&lt;Hta_19,$G49&gt;=Hba_19,Input!AE$39&lt;&gt;""),Input!$B$39&amp;";",""),IF(AND($G49&lt;Hta_20,$G49&gt;=Hba_20,Input!AE$40&lt;&gt;""),Input!$B$40&amp;";",""),IF(AND($G49&lt;Hta_21,$G49&gt;=Hba_21,Input!AE$41&lt;&gt;""),Input!$B$41&amp;";",""),IF(AND($G49&lt;Hta_22,$G49&gt;=Hba_22,Input!AE$42&lt;&gt;""),Input!$B$42&amp;";",""),IF(AND($G49&lt;Hta_23,$G49&gt;=Hba_23,Input!AE$43&lt;&gt;""),Input!$B$43&amp;";",""),IF(AND($G49&lt;Hta_24,$G49&gt;=Hba_24,Input!AE$44&lt;&gt;""),Input!$B$44&amp;";",""),IF(AND($G49&lt;Hta_25,$G49&gt;=Hba_25,Input!AE$45&lt;&gt;""),Input!$B$45&amp;";",""),IF(AND($G49&lt;Hta_26,$G49&gt;=Hba_26,Input!AE$46&lt;&gt;""),Input!$B$46&amp;";",""),IF(AND($G49&lt;Hta_27,$G49&gt;=Hba_27,Input!AE$47&lt;&gt;""),Input!$B$47&amp;";",""),IF(AND($G49&lt;Hta_28,$G49&gt;=Hba_28,Input!AE$48&lt;&gt;""),Input!$B$48&amp;";",""),IF(AND($G49&lt;Hta_29,$G49&gt;=Hba_29,Input!AE$49&lt;&gt;""),Input!$B$49&amp;";",""),IF(AND($G49&lt;Hta_30,$G49&gt;=Hba_30,Input!AE$50&lt;&gt;""),Input!$B$50&amp;";","")),"")</f>
        <v/>
      </c>
      <c r="CG49" s="25" t="str">
        <f>IFERROR(CONCATENATE(IF(AND($G49&lt;Hta_1,$G49&gt;=Hba_1,Input!AF$21&lt;&gt;""),Input!$B$21&amp;";",""),IF(AND($G49&lt;Hta_2,$G49&gt;=Hba_2,Input!AF$22&lt;&gt;""),Input!$B$22&amp;";",""),IF(AND($G49&lt;Hta_3,$G49&gt;=Hba_3,Input!AF$23&lt;&gt;""),Input!$B$23&amp;";",""),IF(AND($G49&lt;Hta_4,$G49&gt;=Hba_4,Input!AF$24&lt;&gt;""),Input!$B$24&amp;";",""),IF(AND($G49&lt;Hta_5,$G49&gt;=Hba_5,Input!AF$25&lt;&gt;""),Input!$B$25&amp;";",""),IF(AND($G49&lt;Hta_6,$G49&gt;=Hba_6,Input!AF$26&lt;&gt;""),Input!$B$26&amp;";",""),IF(AND($G49&lt;Hta_7,$G49&gt;=Hba_7,Input!AF$27&lt;&gt;""),Input!$B$27&amp;";",""),IF(AND($G49&lt;Hta_8,$G49&gt;=Hba_8,Input!AF$28&lt;&gt;""),Input!$B$28&amp;";",""),IF(AND($G49&lt;Hta_9,$G49&gt;=Hba_9,Input!AF$29&lt;&gt;""),Input!$B$29&amp;";",""),IF(AND($G49&lt;Hta_10,$G49&gt;=Hba_10,Input!AF$30&lt;&gt;""),Input!$B$30&amp;";",""),IF(AND($G49&lt;Hta_11,$G49&gt;=Hba_11,Input!AF$31&lt;&gt;""),Input!$B$31&amp;";",""),IF(AND($G49&lt;Hta_12,$G49&gt;=Hba_12,Input!AF$32&lt;&gt;""),Input!$B$32&amp;";",""),IF(AND($G49&lt;Hta_13,$G49&gt;=Hba_13,Input!AF$33&lt;&gt;""),Input!$B$33&amp;";",""),IF(AND($G49&lt;Hta_14,$G49&gt;=Hba_14,Input!AF$34&lt;&gt;""),Input!$B$34&amp;";",""),IF(AND($G49&lt;Hta_15,$G49&gt;=Hba_15,Input!AF$35&lt;&gt;""),Input!$B$35&amp;";",""),IF(AND($G49&lt;Hta_16,$G49&gt;=Hba_16,Input!AF$36&lt;&gt;""),Input!$B$36&amp;";",""),IF(AND($G49&lt;Hta_17,$G49&gt;=Hba_17,Input!AF$37&lt;&gt;""),Input!$B$37&amp;";",""),IF(AND($G49&lt;Hta_18,$G49&gt;=Hba_18,Input!AF$38&lt;&gt;""),Input!$B$38&amp;";",""),IF(AND($G49&lt;Hta_19,$G49&gt;=Hba_19,Input!AF$39&lt;&gt;""),Input!$B$39&amp;";",""),IF(AND($G49&lt;Hta_20,$G49&gt;=Hba_20,Input!AF$40&lt;&gt;""),Input!$B$40&amp;";",""),IF(AND($G49&lt;Hta_21,$G49&gt;=Hba_21,Input!AF$41&lt;&gt;""),Input!$B$41&amp;";",""),IF(AND($G49&lt;Hta_22,$G49&gt;=Hba_22,Input!AF$42&lt;&gt;""),Input!$B$42&amp;";",""),IF(AND($G49&lt;Hta_23,$G49&gt;=Hba_23,Input!AF$43&lt;&gt;""),Input!$B$43&amp;";",""),IF(AND($G49&lt;Hta_24,$G49&gt;=Hba_24,Input!AF$44&lt;&gt;""),Input!$B$44&amp;";",""),IF(AND($G49&lt;Hta_25,$G49&gt;=Hba_25,Input!AF$45&lt;&gt;""),Input!$B$45&amp;";",""),IF(AND($G49&lt;Hta_26,$G49&gt;=Hba_26,Input!AF$46&lt;&gt;""),Input!$B$46&amp;";",""),IF(AND($G49&lt;Hta_27,$G49&gt;=Hba_27,Input!AF$47&lt;&gt;""),Input!$B$47&amp;";",""),IF(AND($G49&lt;Hta_28,$G49&gt;=Hba_28,Input!AF$48&lt;&gt;""),Input!$B$48&amp;";",""),IF(AND($G49&lt;Hta_29,$G49&gt;=Hba_29,Input!AF$49&lt;&gt;""),Input!$B$49&amp;";",""),IF(AND($G49&lt;Hta_30,$G49&gt;=Hba_30,Input!AF$50&lt;&gt;""),Input!$B$50&amp;";","")),"")</f>
        <v/>
      </c>
      <c r="CH49" s="25" t="str">
        <f>IFERROR(CONCATENATE(IF(AND($G49&lt;Hta_1,$G49&gt;=Hba_1,Input!AG$21&lt;&gt;""),Input!$B$21&amp;";",""),IF(AND($G49&lt;Hta_2,$G49&gt;=Hba_2,Input!AG$22&lt;&gt;""),Input!$B$22&amp;";",""),IF(AND($G49&lt;Hta_3,$G49&gt;=Hba_3,Input!AG$23&lt;&gt;""),Input!$B$23&amp;";",""),IF(AND($G49&lt;Hta_4,$G49&gt;=Hba_4,Input!AG$24&lt;&gt;""),Input!$B$24&amp;";",""),IF(AND($G49&lt;Hta_5,$G49&gt;=Hba_5,Input!AG$25&lt;&gt;""),Input!$B$25&amp;";",""),IF(AND($G49&lt;Hta_6,$G49&gt;=Hba_6,Input!AG$26&lt;&gt;""),Input!$B$26&amp;";",""),IF(AND($G49&lt;Hta_7,$G49&gt;=Hba_7,Input!AG$27&lt;&gt;""),Input!$B$27&amp;";",""),IF(AND($G49&lt;Hta_8,$G49&gt;=Hba_8,Input!AG$28&lt;&gt;""),Input!$B$28&amp;";",""),IF(AND($G49&lt;Hta_9,$G49&gt;=Hba_9,Input!AG$29&lt;&gt;""),Input!$B$29&amp;";",""),IF(AND($G49&lt;Hta_10,$G49&gt;=Hba_10,Input!AG$30&lt;&gt;""),Input!$B$30&amp;";",""),IF(AND($G49&lt;Hta_11,$G49&gt;=Hba_11,Input!AG$31&lt;&gt;""),Input!$B$31&amp;";",""),IF(AND($G49&lt;Hta_12,$G49&gt;=Hba_12,Input!AG$32&lt;&gt;""),Input!$B$32&amp;";",""),IF(AND($G49&lt;Hta_13,$G49&gt;=Hba_13,Input!AG$33&lt;&gt;""),Input!$B$33&amp;";",""),IF(AND($G49&lt;Hta_14,$G49&gt;=Hba_14,Input!AG$34&lt;&gt;""),Input!$B$34&amp;";",""),IF(AND($G49&lt;Hta_15,$G49&gt;=Hba_15,Input!AG$35&lt;&gt;""),Input!$B$35&amp;";",""),IF(AND($G49&lt;Hta_16,$G49&gt;=Hba_16,Input!AG$36&lt;&gt;""),Input!$B$36&amp;";",""),IF(AND($G49&lt;Hta_17,$G49&gt;=Hba_17,Input!AG$37&lt;&gt;""),Input!$B$37&amp;";",""),IF(AND($G49&lt;Hta_18,$G49&gt;=Hba_18,Input!AG$38&lt;&gt;""),Input!$B$38&amp;";",""),IF(AND($G49&lt;Hta_19,$G49&gt;=Hba_19,Input!AG$39&lt;&gt;""),Input!$B$39&amp;";",""),IF(AND($G49&lt;Hta_20,$G49&gt;=Hba_20,Input!AG$40&lt;&gt;""),Input!$B$40&amp;";",""),IF(AND($G49&lt;Hta_21,$G49&gt;=Hba_21,Input!AG$41&lt;&gt;""),Input!$B$41&amp;";",""),IF(AND($G49&lt;Hta_22,$G49&gt;=Hba_22,Input!AG$42&lt;&gt;""),Input!$B$42&amp;";",""),IF(AND($G49&lt;Hta_23,$G49&gt;=Hba_23,Input!AG$43&lt;&gt;""),Input!$B$43&amp;";",""),IF(AND($G49&lt;Hta_24,$G49&gt;=Hba_24,Input!AG$44&lt;&gt;""),Input!$B$44&amp;";",""),IF(AND($G49&lt;Hta_25,$G49&gt;=Hba_25,Input!AG$45&lt;&gt;""),Input!$B$45&amp;";",""),IF(AND($G49&lt;Hta_26,$G49&gt;=Hba_26,Input!AG$46&lt;&gt;""),Input!$B$46&amp;";",""),IF(AND($G49&lt;Hta_27,$G49&gt;=Hba_27,Input!AG$47&lt;&gt;""),Input!$B$47&amp;";",""),IF(AND($G49&lt;Hta_28,$G49&gt;=Hba_28,Input!AG$48&lt;&gt;""),Input!$B$48&amp;";",""),IF(AND($G49&lt;Hta_29,$G49&gt;=Hba_29,Input!AG$49&lt;&gt;""),Input!$B$49&amp;";",""),IF(AND($G49&lt;Hta_30,$G49&gt;=Hba_30,Input!AG$50&lt;&gt;""),Input!$B$50&amp;";","")),"")</f>
        <v/>
      </c>
      <c r="CI49" s="25" t="str">
        <f>IFERROR(CONCATENATE(IF(AND($G49&lt;Hta_1,$G49&gt;=Hba_1,Input!AH$21&lt;&gt;""),Input!$B$21&amp;";",""),IF(AND($G49&lt;Hta_2,$G49&gt;=Hba_2,Input!AH$22&lt;&gt;""),Input!$B$22&amp;";",""),IF(AND($G49&lt;Hta_3,$G49&gt;=Hba_3,Input!AH$23&lt;&gt;""),Input!$B$23&amp;";",""),IF(AND($G49&lt;Hta_4,$G49&gt;=Hba_4,Input!AH$24&lt;&gt;""),Input!$B$24&amp;";",""),IF(AND($G49&lt;Hta_5,$G49&gt;=Hba_5,Input!AH$25&lt;&gt;""),Input!$B$25&amp;";",""),IF(AND($G49&lt;Hta_6,$G49&gt;=Hba_6,Input!AH$26&lt;&gt;""),Input!$B$26&amp;";",""),IF(AND($G49&lt;Hta_7,$G49&gt;=Hba_7,Input!AH$27&lt;&gt;""),Input!$B$27&amp;";",""),IF(AND($G49&lt;Hta_8,$G49&gt;=Hba_8,Input!AH$28&lt;&gt;""),Input!$B$28&amp;";",""),IF(AND($G49&lt;Hta_9,$G49&gt;=Hba_9,Input!AH$29&lt;&gt;""),Input!$B$29&amp;";",""),IF(AND($G49&lt;Hta_10,$G49&gt;=Hba_10,Input!AH$30&lt;&gt;""),Input!$B$30&amp;";",""),IF(AND($G49&lt;Hta_11,$G49&gt;=Hba_11,Input!AH$31&lt;&gt;""),Input!$B$31&amp;";",""),IF(AND($G49&lt;Hta_12,$G49&gt;=Hba_12,Input!AH$32&lt;&gt;""),Input!$B$32&amp;";",""),IF(AND($G49&lt;Hta_13,$G49&gt;=Hba_13,Input!AH$33&lt;&gt;""),Input!$B$33&amp;";",""),IF(AND($G49&lt;Hta_14,$G49&gt;=Hba_14,Input!AH$34&lt;&gt;""),Input!$B$34&amp;";",""),IF(AND($G49&lt;Hta_15,$G49&gt;=Hba_15,Input!AH$35&lt;&gt;""),Input!$B$35&amp;";",""),IF(AND($G49&lt;Hta_16,$G49&gt;=Hba_16,Input!AH$36&lt;&gt;""),Input!$B$36&amp;";",""),IF(AND($G49&lt;Hta_17,$G49&gt;=Hba_17,Input!AH$37&lt;&gt;""),Input!$B$37&amp;";",""),IF(AND($G49&lt;Hta_18,$G49&gt;=Hba_18,Input!AH$38&lt;&gt;""),Input!$B$38&amp;";",""),IF(AND($G49&lt;Hta_19,$G49&gt;=Hba_19,Input!AH$39&lt;&gt;""),Input!$B$39&amp;";",""),IF(AND($G49&lt;Hta_20,$G49&gt;=Hba_20,Input!AH$40&lt;&gt;""),Input!$B$40&amp;";",""),IF(AND($G49&lt;Hta_21,$G49&gt;=Hba_21,Input!AH$41&lt;&gt;""),Input!$B$41&amp;";",""),IF(AND($G49&lt;Hta_22,$G49&gt;=Hba_22,Input!AH$42&lt;&gt;""),Input!$B$42&amp;";",""),IF(AND($G49&lt;Hta_23,$G49&gt;=Hba_23,Input!AH$43&lt;&gt;""),Input!$B$43&amp;";",""),IF(AND($G49&lt;Hta_24,$G49&gt;=Hba_24,Input!AH$44&lt;&gt;""),Input!$B$44&amp;";",""),IF(AND($G49&lt;Hta_25,$G49&gt;=Hba_25,Input!AH$45&lt;&gt;""),Input!$B$45&amp;";",""),IF(AND($G49&lt;Hta_26,$G49&gt;=Hba_26,Input!AH$46&lt;&gt;""),Input!$B$46&amp;";",""),IF(AND($G49&lt;Hta_27,$G49&gt;=Hba_27,Input!AH$47&lt;&gt;""),Input!$B$47&amp;";",""),IF(AND($G49&lt;Hta_28,$G49&gt;=Hba_28,Input!AH$48&lt;&gt;""),Input!$B$48&amp;";",""),IF(AND($G49&lt;Hta_29,$G49&gt;=Hba_29,Input!AH$49&lt;&gt;""),Input!$B$49&amp;";",""),IF(AND($G49&lt;Hta_30,$G49&gt;=Hba_30,Input!AH$50&lt;&gt;""),Input!$B$50&amp;";","")),"")</f>
        <v/>
      </c>
      <c r="CJ49" s="25" t="str">
        <f>IFERROR(CONCATENATE(IF(AND($G49&lt;Hta_1,$G49&gt;=Hba_1,Input!AI$21&lt;&gt;""),Input!$B$21&amp;";",""),IF(AND($G49&lt;Hta_2,$G49&gt;=Hba_2,Input!AI$22&lt;&gt;""),Input!$B$22&amp;";",""),IF(AND($G49&lt;Hta_3,$G49&gt;=Hba_3,Input!AI$23&lt;&gt;""),Input!$B$23&amp;";",""),IF(AND($G49&lt;Hta_4,$G49&gt;=Hba_4,Input!AI$24&lt;&gt;""),Input!$B$24&amp;";",""),IF(AND($G49&lt;Hta_5,$G49&gt;=Hba_5,Input!AI$25&lt;&gt;""),Input!$B$25&amp;";",""),IF(AND($G49&lt;Hta_6,$G49&gt;=Hba_6,Input!AI$26&lt;&gt;""),Input!$B$26&amp;";",""),IF(AND($G49&lt;Hta_7,$G49&gt;=Hba_7,Input!AI$27&lt;&gt;""),Input!$B$27&amp;";",""),IF(AND($G49&lt;Hta_8,$G49&gt;=Hba_8,Input!AI$28&lt;&gt;""),Input!$B$28&amp;";",""),IF(AND($G49&lt;Hta_9,$G49&gt;=Hba_9,Input!AI$29&lt;&gt;""),Input!$B$29&amp;";",""),IF(AND($G49&lt;Hta_10,$G49&gt;=Hba_10,Input!AI$30&lt;&gt;""),Input!$B$30&amp;";",""),IF(AND($G49&lt;Hta_11,$G49&gt;=Hba_11,Input!AI$31&lt;&gt;""),Input!$B$31&amp;";",""),IF(AND($G49&lt;Hta_12,$G49&gt;=Hba_12,Input!AI$32&lt;&gt;""),Input!$B$32&amp;";",""),IF(AND($G49&lt;Hta_13,$G49&gt;=Hba_13,Input!AI$33&lt;&gt;""),Input!$B$33&amp;";",""),IF(AND($G49&lt;Hta_14,$G49&gt;=Hba_14,Input!AI$34&lt;&gt;""),Input!$B$34&amp;";",""),IF(AND($G49&lt;Hta_15,$G49&gt;=Hba_15,Input!AI$35&lt;&gt;""),Input!$B$35&amp;";",""),IF(AND($G49&lt;Hta_16,$G49&gt;=Hba_16,Input!AI$36&lt;&gt;""),Input!$B$36&amp;";",""),IF(AND($G49&lt;Hta_17,$G49&gt;=Hba_17,Input!AI$37&lt;&gt;""),Input!$B$37&amp;";",""),IF(AND($G49&lt;Hta_18,$G49&gt;=Hba_18,Input!AI$38&lt;&gt;""),Input!$B$38&amp;";",""),IF(AND($G49&lt;Hta_19,$G49&gt;=Hba_19,Input!AI$39&lt;&gt;""),Input!$B$39&amp;";",""),IF(AND($G49&lt;Hta_20,$G49&gt;=Hba_20,Input!AI$40&lt;&gt;""),Input!$B$40&amp;";",""),IF(AND($G49&lt;Hta_21,$G49&gt;=Hba_21,Input!AI$41&lt;&gt;""),Input!$B$41&amp;";",""),IF(AND($G49&lt;Hta_22,$G49&gt;=Hba_22,Input!AI$42&lt;&gt;""),Input!$B$42&amp;";",""),IF(AND($G49&lt;Hta_23,$G49&gt;=Hba_23,Input!AI$43&lt;&gt;""),Input!$B$43&amp;";",""),IF(AND($G49&lt;Hta_24,$G49&gt;=Hba_24,Input!AI$44&lt;&gt;""),Input!$B$44&amp;";",""),IF(AND($G49&lt;Hta_25,$G49&gt;=Hba_25,Input!AI$45&lt;&gt;""),Input!$B$45&amp;";",""),IF(AND($G49&lt;Hta_26,$G49&gt;=Hba_26,Input!AI$46&lt;&gt;""),Input!$B$46&amp;";",""),IF(AND($G49&lt;Hta_27,$G49&gt;=Hba_27,Input!AI$47&lt;&gt;""),Input!$B$47&amp;";",""),IF(AND($G49&lt;Hta_28,$G49&gt;=Hba_28,Input!AI$48&lt;&gt;""),Input!$B$48&amp;";",""),IF(AND($G49&lt;Hta_29,$G49&gt;=Hba_29,Input!AI$49&lt;&gt;""),Input!$B$49&amp;";",""),IF(AND($G49&lt;Hta_30,$G49&gt;=Hba_30,Input!AI$50&lt;&gt;""),Input!$B$50&amp;";","")),"")</f>
        <v/>
      </c>
      <c r="CK49" s="25" t="str">
        <f>IFERROR(CONCATENATE(IF(AND($G49&lt;Hta_1,$G49&gt;=Hba_1,Input!AJ$21&lt;&gt;""),Input!$B$21&amp;";",""),IF(AND($G49&lt;Hta_2,$G49&gt;=Hba_2,Input!AJ$22&lt;&gt;""),Input!$B$22&amp;";",""),IF(AND($G49&lt;Hta_3,$G49&gt;=Hba_3,Input!AJ$23&lt;&gt;""),Input!$B$23&amp;";",""),IF(AND($G49&lt;Hta_4,$G49&gt;=Hba_4,Input!AJ$24&lt;&gt;""),Input!$B$24&amp;";",""),IF(AND($G49&lt;Hta_5,$G49&gt;=Hba_5,Input!AJ$25&lt;&gt;""),Input!$B$25&amp;";",""),IF(AND($G49&lt;Hta_6,$G49&gt;=Hba_6,Input!AJ$26&lt;&gt;""),Input!$B$26&amp;";",""),IF(AND($G49&lt;Hta_7,$G49&gt;=Hba_7,Input!AJ$27&lt;&gt;""),Input!$B$27&amp;";",""),IF(AND($G49&lt;Hta_8,$G49&gt;=Hba_8,Input!AJ$28&lt;&gt;""),Input!$B$28&amp;";",""),IF(AND($G49&lt;Hta_9,$G49&gt;=Hba_9,Input!AJ$29&lt;&gt;""),Input!$B$29&amp;";",""),IF(AND($G49&lt;Hta_10,$G49&gt;=Hba_10,Input!AJ$30&lt;&gt;""),Input!$B$30&amp;";",""),IF(AND($G49&lt;Hta_11,$G49&gt;=Hba_11,Input!AJ$31&lt;&gt;""),Input!$B$31&amp;";",""),IF(AND($G49&lt;Hta_12,$G49&gt;=Hba_12,Input!AJ$32&lt;&gt;""),Input!$B$32&amp;";",""),IF(AND($G49&lt;Hta_13,$G49&gt;=Hba_13,Input!AJ$33&lt;&gt;""),Input!$B$33&amp;";",""),IF(AND($G49&lt;Hta_14,$G49&gt;=Hba_14,Input!AJ$34&lt;&gt;""),Input!$B$34&amp;";",""),IF(AND($G49&lt;Hta_15,$G49&gt;=Hba_15,Input!AJ$35&lt;&gt;""),Input!$B$35&amp;";",""),IF(AND($G49&lt;Hta_16,$G49&gt;=Hba_16,Input!AJ$36&lt;&gt;""),Input!$B$36&amp;";",""),IF(AND($G49&lt;Hta_17,$G49&gt;=Hba_17,Input!AJ$37&lt;&gt;""),Input!$B$37&amp;";",""),IF(AND($G49&lt;Hta_18,$G49&gt;=Hba_18,Input!AJ$38&lt;&gt;""),Input!$B$38&amp;";",""),IF(AND($G49&lt;Hta_19,$G49&gt;=Hba_19,Input!AJ$39&lt;&gt;""),Input!$B$39&amp;";",""),IF(AND($G49&lt;Hta_20,$G49&gt;=Hba_20,Input!AJ$40&lt;&gt;""),Input!$B$40&amp;";",""),IF(AND($G49&lt;Hta_21,$G49&gt;=Hba_21,Input!AJ$41&lt;&gt;""),Input!$B$41&amp;";",""),IF(AND($G49&lt;Hta_22,$G49&gt;=Hba_22,Input!AJ$42&lt;&gt;""),Input!$B$42&amp;";",""),IF(AND($G49&lt;Hta_23,$G49&gt;=Hba_23,Input!AJ$43&lt;&gt;""),Input!$B$43&amp;";",""),IF(AND($G49&lt;Hta_24,$G49&gt;=Hba_24,Input!AJ$44&lt;&gt;""),Input!$B$44&amp;";",""),IF(AND($G49&lt;Hta_25,$G49&gt;=Hba_25,Input!AJ$45&lt;&gt;""),Input!$B$45&amp;";",""),IF(AND($G49&lt;Hta_26,$G49&gt;=Hba_26,Input!AJ$46&lt;&gt;""),Input!$B$46&amp;";",""),IF(AND($G49&lt;Hta_27,$G49&gt;=Hba_27,Input!AJ$47&lt;&gt;""),Input!$B$47&amp;";",""),IF(AND($G49&lt;Hta_28,$G49&gt;=Hba_28,Input!AJ$48&lt;&gt;""),Input!$B$48&amp;";",""),IF(AND($G49&lt;Hta_29,$G49&gt;=Hba_29,Input!AJ$49&lt;&gt;""),Input!$B$49&amp;";",""),IF(AND($G49&lt;Hta_30,$G49&gt;=Hba_30,Input!AJ$50&lt;&gt;""),Input!$B$50&amp;";","")),"")</f>
        <v/>
      </c>
      <c r="CL49" s="25" t="str">
        <f>IFERROR(CONCATENATE(IF(AND($G49&lt;Hta_1,$G49&gt;=Hba_1,Input!AK$21&lt;&gt;""),Input!$B$21&amp;";",""),IF(AND($G49&lt;Hta_2,$G49&gt;=Hba_2,Input!AK$22&lt;&gt;""),Input!$B$22&amp;";",""),IF(AND($G49&lt;Hta_3,$G49&gt;=Hba_3,Input!AK$23&lt;&gt;""),Input!$B$23&amp;";",""),IF(AND($G49&lt;Hta_4,$G49&gt;=Hba_4,Input!AK$24&lt;&gt;""),Input!$B$24&amp;";",""),IF(AND($G49&lt;Hta_5,$G49&gt;=Hba_5,Input!AK$25&lt;&gt;""),Input!$B$25&amp;";",""),IF(AND($G49&lt;Hta_6,$G49&gt;=Hba_6,Input!AK$26&lt;&gt;""),Input!$B$26&amp;";",""),IF(AND($G49&lt;Hta_7,$G49&gt;=Hba_7,Input!AK$27&lt;&gt;""),Input!$B$27&amp;";",""),IF(AND($G49&lt;Hta_8,$G49&gt;=Hba_8,Input!AK$28&lt;&gt;""),Input!$B$28&amp;";",""),IF(AND($G49&lt;Hta_9,$G49&gt;=Hba_9,Input!AK$29&lt;&gt;""),Input!$B$29&amp;";",""),IF(AND($G49&lt;Hta_10,$G49&gt;=Hba_10,Input!AK$30&lt;&gt;""),Input!$B$30&amp;";",""),IF(AND($G49&lt;Hta_11,$G49&gt;=Hba_11,Input!AK$31&lt;&gt;""),Input!$B$31&amp;";",""),IF(AND($G49&lt;Hta_12,$G49&gt;=Hba_12,Input!AK$32&lt;&gt;""),Input!$B$32&amp;";",""),IF(AND($G49&lt;Hta_13,$G49&gt;=Hba_13,Input!AK$33&lt;&gt;""),Input!$B$33&amp;";",""),IF(AND($G49&lt;Hta_14,$G49&gt;=Hba_14,Input!AK$34&lt;&gt;""),Input!$B$34&amp;";",""),IF(AND($G49&lt;Hta_15,$G49&gt;=Hba_15,Input!AK$35&lt;&gt;""),Input!$B$35&amp;";",""),IF(AND($G49&lt;Hta_16,$G49&gt;=Hba_16,Input!AK$36&lt;&gt;""),Input!$B$36&amp;";",""),IF(AND($G49&lt;Hta_17,$G49&gt;=Hba_17,Input!AK$37&lt;&gt;""),Input!$B$37&amp;";",""),IF(AND($G49&lt;Hta_18,$G49&gt;=Hba_18,Input!AK$38&lt;&gt;""),Input!$B$38&amp;";",""),IF(AND($G49&lt;Hta_19,$G49&gt;=Hba_19,Input!AK$39&lt;&gt;""),Input!$B$39&amp;";",""),IF(AND($G49&lt;Hta_20,$G49&gt;=Hba_20,Input!AK$40&lt;&gt;""),Input!$B$40&amp;";",""),IF(AND($G49&lt;Hta_21,$G49&gt;=Hba_21,Input!AK$41&lt;&gt;""),Input!$B$41&amp;";",""),IF(AND($G49&lt;Hta_22,$G49&gt;=Hba_22,Input!AK$42&lt;&gt;""),Input!$B$42&amp;";",""),IF(AND($G49&lt;Hta_23,$G49&gt;=Hba_23,Input!AK$43&lt;&gt;""),Input!$B$43&amp;";",""),IF(AND($G49&lt;Hta_24,$G49&gt;=Hba_24,Input!AK$44&lt;&gt;""),Input!$B$44&amp;";",""),IF(AND($G49&lt;Hta_25,$G49&gt;=Hba_25,Input!AK$45&lt;&gt;""),Input!$B$45&amp;";",""),IF(AND($G49&lt;Hta_26,$G49&gt;=Hba_26,Input!AK$46&lt;&gt;""),Input!$B$46&amp;";",""),IF(AND($G49&lt;Hta_27,$G49&gt;=Hba_27,Input!AK$47&lt;&gt;""),Input!$B$47&amp;";",""),IF(AND($G49&lt;Hta_28,$G49&gt;=Hba_28,Input!AK$48&lt;&gt;""),Input!$B$48&amp;";",""),IF(AND($G49&lt;Hta_29,$G49&gt;=Hba_29,Input!AK$49&lt;&gt;""),Input!$B$49&amp;";",""),IF(AND($G49&lt;Hta_30,$G49&gt;=Hba_30,Input!AK$50&lt;&gt;""),Input!$B$50&amp;";","")),"")</f>
        <v/>
      </c>
      <c r="CM49" s="25" t="str">
        <f>IFERROR(CONCATENATE(IF(AND($G49&lt;Hta_1,$G49&gt;=Hba_1,Input!AL$21&lt;&gt;""),Input!$B$21&amp;";",""),IF(AND($G49&lt;Hta_2,$G49&gt;=Hba_2,Input!AL$22&lt;&gt;""),Input!$B$22&amp;";",""),IF(AND($G49&lt;Hta_3,$G49&gt;=Hba_3,Input!AL$23&lt;&gt;""),Input!$B$23&amp;";",""),IF(AND($G49&lt;Hta_4,$G49&gt;=Hba_4,Input!AL$24&lt;&gt;""),Input!$B$24&amp;";",""),IF(AND($G49&lt;Hta_5,$G49&gt;=Hba_5,Input!AL$25&lt;&gt;""),Input!$B$25&amp;";",""),IF(AND($G49&lt;Hta_6,$G49&gt;=Hba_6,Input!AL$26&lt;&gt;""),Input!$B$26&amp;";",""),IF(AND($G49&lt;Hta_7,$G49&gt;=Hba_7,Input!AL$27&lt;&gt;""),Input!$B$27&amp;";",""),IF(AND($G49&lt;Hta_8,$G49&gt;=Hba_8,Input!AL$28&lt;&gt;""),Input!$B$28&amp;";",""),IF(AND($G49&lt;Hta_9,$G49&gt;=Hba_9,Input!AL$29&lt;&gt;""),Input!$B$29&amp;";",""),IF(AND($G49&lt;Hta_10,$G49&gt;=Hba_10,Input!AL$30&lt;&gt;""),Input!$B$30&amp;";",""),IF(AND($G49&lt;Hta_11,$G49&gt;=Hba_11,Input!AL$31&lt;&gt;""),Input!$B$31&amp;";",""),IF(AND($G49&lt;Hta_12,$G49&gt;=Hba_12,Input!AL$32&lt;&gt;""),Input!$B$32&amp;";",""),IF(AND($G49&lt;Hta_13,$G49&gt;=Hba_13,Input!AL$33&lt;&gt;""),Input!$B$33&amp;";",""),IF(AND($G49&lt;Hta_14,$G49&gt;=Hba_14,Input!AL$34&lt;&gt;""),Input!$B$34&amp;";",""),IF(AND($G49&lt;Hta_15,$G49&gt;=Hba_15,Input!AL$35&lt;&gt;""),Input!$B$35&amp;";",""),IF(AND($G49&lt;Hta_16,$G49&gt;=Hba_16,Input!AL$36&lt;&gt;""),Input!$B$36&amp;";",""),IF(AND($G49&lt;Hta_17,$G49&gt;=Hba_17,Input!AL$37&lt;&gt;""),Input!$B$37&amp;";",""),IF(AND($G49&lt;Hta_18,$G49&gt;=Hba_18,Input!AL$38&lt;&gt;""),Input!$B$38&amp;";",""),IF(AND($G49&lt;Hta_19,$G49&gt;=Hba_19,Input!AL$39&lt;&gt;""),Input!$B$39&amp;";",""),IF(AND($G49&lt;Hta_20,$G49&gt;=Hba_20,Input!AL$40&lt;&gt;""),Input!$B$40&amp;";",""),IF(AND($G49&lt;Hta_21,$G49&gt;=Hba_21,Input!AL$41&lt;&gt;""),Input!$B$41&amp;";",""),IF(AND($G49&lt;Hta_22,$G49&gt;=Hba_22,Input!AL$42&lt;&gt;""),Input!$B$42&amp;";",""),IF(AND($G49&lt;Hta_23,$G49&gt;=Hba_23,Input!AL$43&lt;&gt;""),Input!$B$43&amp;";",""),IF(AND($G49&lt;Hta_24,$G49&gt;=Hba_24,Input!AL$44&lt;&gt;""),Input!$B$44&amp;";",""),IF(AND($G49&lt;Hta_25,$G49&gt;=Hba_25,Input!AL$45&lt;&gt;""),Input!$B$45&amp;";",""),IF(AND($G49&lt;Hta_26,$G49&gt;=Hba_26,Input!AL$46&lt;&gt;""),Input!$B$46&amp;";",""),IF(AND($G49&lt;Hta_27,$G49&gt;=Hba_27,Input!AL$47&lt;&gt;""),Input!$B$47&amp;";",""),IF(AND($G49&lt;Hta_28,$G49&gt;=Hba_28,Input!AL$48&lt;&gt;""),Input!$B$48&amp;";",""),IF(AND($G49&lt;Hta_29,$G49&gt;=Hba_29,Input!AL$49&lt;&gt;""),Input!$B$49&amp;";",""),IF(AND($G49&lt;Hta_30,$G49&gt;=Hba_30,Input!AL$50&lt;&gt;""),Input!$B$50&amp;";","")),"")</f>
        <v/>
      </c>
      <c r="CN49" s="60" t="str">
        <f t="shared" si="6"/>
        <v/>
      </c>
      <c r="CO49" s="798"/>
      <c r="CP49" s="799"/>
      <c r="CQ49" s="800"/>
      <c r="CR49" s="798"/>
      <c r="CS49" s="799"/>
      <c r="CT49" s="800"/>
      <c r="CU49" s="798" t="str">
        <f t="shared" si="7"/>
        <v/>
      </c>
      <c r="CV49" s="799"/>
      <c r="CW49" s="806"/>
      <c r="CX49" s="726"/>
      <c r="CY49" s="727"/>
      <c r="CZ49" s="732"/>
      <c r="DA49" s="726"/>
      <c r="DB49" s="727"/>
      <c r="DC49" s="732"/>
      <c r="DD49" s="726" t="str">
        <f t="shared" si="8"/>
        <v/>
      </c>
      <c r="DE49" s="727"/>
      <c r="DF49" s="728"/>
      <c r="DG49" s="53"/>
      <c r="DH49" s="54"/>
      <c r="DI49" s="54"/>
      <c r="DJ49" s="54"/>
      <c r="DK49" s="54"/>
      <c r="DL49" s="54"/>
      <c r="DM49" s="54"/>
      <c r="DN49" s="54"/>
      <c r="DO49" s="54"/>
      <c r="DP49" s="54"/>
      <c r="DQ49" s="57"/>
      <c r="DR49" s="57"/>
      <c r="DS49" s="57"/>
      <c r="DT49" s="57"/>
      <c r="DU49" s="57"/>
      <c r="DV49" s="57"/>
      <c r="DW49" s="57"/>
      <c r="DX49" s="57"/>
      <c r="DY49" s="57"/>
      <c r="DZ49" s="57"/>
      <c r="EA49" s="57"/>
      <c r="EB49" s="57"/>
      <c r="EC49" s="57"/>
      <c r="ED49" s="57"/>
      <c r="EE49" s="57"/>
      <c r="EF49" s="57"/>
      <c r="EG49" s="57"/>
      <c r="EH49" s="57"/>
      <c r="EI49" s="57"/>
      <c r="EJ49" s="57"/>
      <c r="EK49" s="57"/>
      <c r="EL49" s="133"/>
      <c r="EM49" s="133"/>
      <c r="EN49" s="133"/>
      <c r="EO49" s="133"/>
      <c r="EP49" s="133"/>
      <c r="EQ49" s="133"/>
      <c r="ER49" s="133"/>
      <c r="ES49" s="133"/>
      <c r="ET49" s="133"/>
      <c r="EU49" s="133"/>
      <c r="EV49" s="133"/>
      <c r="EW49" s="133"/>
      <c r="EX49" s="133"/>
      <c r="EY49" s="133"/>
      <c r="EZ49" s="133"/>
      <c r="FA49" s="133"/>
      <c r="FB49" s="133"/>
      <c r="FC49" s="133"/>
      <c r="FD49" s="133"/>
      <c r="FE49" s="133"/>
      <c r="FF49" s="133"/>
      <c r="FG49" s="133"/>
      <c r="FH49" s="133"/>
      <c r="FI49" s="133"/>
      <c r="FJ49" s="133"/>
      <c r="FK49" s="133"/>
      <c r="FL49" s="133"/>
      <c r="FM49" s="133"/>
      <c r="FN49" s="133"/>
      <c r="FO49" s="133"/>
      <c r="FP49" s="65"/>
      <c r="FQ49" s="125"/>
      <c r="FR49" s="123"/>
      <c r="FS49" s="121"/>
      <c r="FT49" s="119"/>
    </row>
    <row r="50" spans="2:176" ht="15.75" hidden="1" customHeight="1" thickBot="1" x14ac:dyDescent="0.3">
      <c r="B50" s="62" t="b">
        <f>IF(OR(AND(G50&gt;='Geometry 2'!$AK$5,G50&lt;'Geometry 2'!$AL$5),AND(G50&gt;='Geometry 2'!$AK$6,G50&lt;'Geometry 2'!$AL$6),AND(G50&gt;='Geometry 2'!$AK$7,G50&lt;'Geometry 2'!$AL$7),AND(G50&gt;='Geometry 2'!$AK$8,G50&lt;'Geometry 2'!$AL$8),AND(G50&gt;='Geometry 2'!$AK$9,G50&lt;'Geometry 2'!$AL$9),AND(G50&gt;='Geometry 2'!$AK$10,G50&lt;'Geometry 2'!$AL$10),AND(G50&gt;='Geometry 2'!$AK$11,G50&lt;'Geometry 2'!$AL$11),AND(G50&gt;='Geometry 2'!$AK$12,G50&lt;'Geometry 2'!$AL$12),AND(G50&gt;='Geometry 2'!$AK$13,G50&lt;'Geometry 2'!$AL$13),AND(G50&gt;='Geometry 2'!$AK$14,G50&lt;'Geometry 2'!$AL$14)),TRUE,FALSE)</f>
        <v>0</v>
      </c>
      <c r="C50" s="4" t="str">
        <f t="shared" si="3"/>
        <v/>
      </c>
      <c r="D50" s="766" t="str">
        <f t="shared" si="4"/>
        <v/>
      </c>
      <c r="E50" s="767"/>
      <c r="F50" s="17" t="str">
        <f t="shared" si="2"/>
        <v/>
      </c>
      <c r="G50" s="768" t="str">
        <f>IF(D50="","",MAX(0,G49-IF(inc="n/a",999,inc),MAX(IF(G49&lt;=Hta_1,0,Hta_1),IF(G49&lt;=Hta_2,0,Hta_2),IF(G49&lt;=Hta_3,0,Hta_3),IF(G49&lt;=Hta_4,0,Hta_4),IF(G49&lt;=Hta_5,0,Hta_5),IF(G49&lt;=Hta_6,0,Hta_6),IF(G49&lt;=Hta_7,0,Hta_7),IF(G49&lt;=Hta_8,0,Hta_8),IF(G49&lt;=Hta_9,0,Hta_9),IF(G49&lt;=Hta_10,0,Hta_10),IF(G49&lt;=Hta_11,0,Hta_11),IF(G49&lt;=Hta_12,0,Hta_12),IF(G49&lt;=Hta_13,0,Hta_13),IF(G49&lt;=Hta_14,0,Hta_14),IF(G49&lt;=Hta_15,0,Hta_15),IF(G49&lt;=Hta_16,0,Hta_16),IF(G49&lt;=Hta_17,0,Hta_17),IF(G49&lt;=Hta_18,0,Hta_18),IF(G49&lt;=Hta_19,0,Hta_19),IF(G49&lt;=Hta_20,0,Hta_20),IF(G49&lt;=Hta_21,0,Hta_21),IF(G49&lt;=Hta_22,0,Hta_22),IF(G49&lt;=Hta_23,0,Hta_23),IF(G49&lt;=Hta_24,0,Hta_24),IF(G49&lt;=Hta_25,0,Hta_25),IF(G49&lt;=Hta_26,0,Hta_26),IF(G49&lt;=Hta_27,0,Hta_27),IF(G49&lt;=Hta_28,0,Hta_28),IF(G49&lt;=Hta_29,0,Hta_29),IF(G49&lt;=Hta_30,0,Hta_30)),MAX(IF(G49&lt;=Hta_1-0.25,0,Hta_1-0.25),IF(G49&lt;=Hta_2-0.25,0,Hta_2-0.25),IF(G49&lt;=Hta_3-0.25,0,Hta_3-0.25),IF(G49&lt;=Hta_4-0.25,0,Hta_4-0.25),IF(G49&lt;=Hta_5-0.25,0,Hta_5-0.25),IF(G49&lt;=Hta_6-0.25,0,Hta_6-0.25),IF(G49&lt;=Hta_7-0.25,0,Hta_7-0.25),IF(G49&lt;=Hta_8-0.25,0,Hta_8-0.25),IF(G49&lt;=Hta_9-0.25,0,Hta_9-0.25),IF(G49&lt;=Hta_10-0.25,0,Hta_10-0.25),IF(G49&lt;=Hta_11-0.25,0,Hta_11-0.25),IF(G49&lt;=Hta_12-0.25,0,Hta_12-0.25),IF(G49&lt;=Hta_13-0.25,0,Hta_13-0.25),IF(G49&lt;=Hta_14-0.25,0,Hta_14-0.25),IF(G49&lt;=Hta_15-0.25,0,Hta_15-0.25),IF(G49&lt;=Hta_16-0.25,0,Hta_16-0.25),IF(G49&lt;=Hta_17-0.25,0,Hta_17-0.25),IF(G49&lt;=Hta_18-0.25,0,Hta_18-0.25),IF(G49&lt;=Hta_19-0.25,0,Hta_19-0.25),IF(G49&lt;=Hta_20-0.25,0,Hta_20-0.25),IF(G49&lt;=Hta_21-0.25,0,Hta_21-0.25),IF(G49&lt;=Hta_22-0.25,0,Hta_22-0.25),IF(G49&lt;=Hta_23-0.25,0,Hta_23-0.25),IF(G49&lt;=Hta_24-0.25,0,Hta_24-0.25),IF(G49&lt;=Hta_25-0.25,0,Hta_25-0.25),IF(G49&lt;=Hta_26-0.25,0,Hta_26-0.25),IF(G49&lt;=Hta_27-0.25,0,Hta_27-0.25),IF(G49&lt;=Hta_28-0.25,0,Hta_28-0.25),IF(G49&lt;=Hta_29-0.25,0,Hta_29-0.25),IF(G49&lt;=Hta_30-0.25,0,Hta_30-0.25)),MAX(IF(G49&lt;=Hba_1,0,Hba_1),IF(G49&lt;=Hba_2,0,Hba_2),IF(G49&lt;=Hba_3,0,Hba_3),IF(G49&lt;=Hba_4,0,Hba_4),IF(G49&lt;=Hba_5,0,Hba_5),IF(G49&lt;=Hba_6,0,Hba_6),IF(G49&lt;=Hba_7,0,Hba_7),IF(G49&lt;=Hba_8,0,Hba_8),IF(G49&lt;=Hba_9,0,Hba_9),IF(G49&lt;=Hba_10,0,Hba_10),IF(G49&lt;=Hba_11,0,Hba_11),IF(G49&lt;=Hba_12,0,Hba_12),IF(G49&lt;=Hba_13,0,Hba_13),IF(G49&lt;=Hba_14,0,Hba_14),IF(G49&lt;=Hba_15,0,Hba_15),IF(G49&lt;=Hba_16,0,Hba_16),IF(G49&lt;=Hba_17,0,Hba_17),IF(G49&lt;=Hba_18,0,Hba_18),IF(G49&lt;=Hba_19,0,Hba_19),IF(G49&lt;=Hba_20,0,Hba_20),IF(G49&lt;=Hba_21,0,Hba_21),IF(G49&lt;=Hba_22,0,Hba_22),IF(G49&lt;=Hba_23,0,Hba_23),IF(G49&lt;=Hba_24,0,Hba_24),IF(G49&lt;=Hba_25,0,Hba_25),IF(G49&lt;=Hba_26,0,Hba_26),IF(G49&lt;=Hba_27,0,Hba_27),IF(G49&lt;=Hba_28,0,Hba_28),IF(G49&lt;=Hba_29,0,Hba_29),IF(G49&lt;=Hba_30,0,Hba_30)),MAX(IF(G49&lt;=Input!$C$8,0,Input!$C$8),IF(G49&lt;=Input!$C$9,0,Input!$C$9),IF(G49&lt;=Input!$C$10,0,Input!$C$10),IF(G49&lt;=Input!$C$11,0,Input!$C$11),IF(G49&lt;=Input!$C$12,0,Input!$C$12),IF(G49&lt;=Input!$C$13,0,Input!$C$13),IF(G49&lt;=Input!$C$14,0,Input!$C$14),IF(G49&lt;=Input!$C$15,0,Input!$C$15),IF(G49&lt;=Input!$C$16,0,Input!$C$16)),MAX(IF(G49&lt;=Hba_1-0.25,0,Hba_1-0.25),IF(G49&lt;=Hba_2-0.25,0,Hba_2-0.25),IF(G49&lt;=Hba_3-0.25,0,Hba_3-0.25),IF(G49&lt;=Hba_4-0.25,0,Hba_4-0.25),IF(G49&lt;=Hba_5-0.25,0,Hba_5-0.25),IF(G49&lt;=Hba_6-0.25,0,Hba_6-0.25),IF(G49&lt;=Hba_7-0.25,0,Hba_7-0.25),IF(G49&lt;=Hba_8-0.25,0,Hba_8-0.25),IF(G49&lt;=Hba_9-0.25,0,Hba_9-0.25),IF(G49&lt;=Hba_10-0.25,0,Hba_10-0.25),IF(G49&lt;=Hba_11-0.25,0,Hba_11-0.25),IF(G49&lt;=Hba_12-0.25,0,Hba_12-0.25),IF(G49&lt;=Hba_13-0.25,0,Hba_13-0.25),IF(G49&lt;=Hba_14-0.25,0,Hba_14-0.25),IF(G49&lt;=Hba_15-0.25,0,Hba_15-0.25),IF(G49&lt;=Hba_16-0.25,0,Hba_16-0.25),IF(G49&lt;=Hba_17-0.25,0,Hba_17-0.25),IF(G49&lt;=Hba_18-0.25,0,Hba_18-0.25),IF(G49&lt;=Hba_19-0.25,0,Hba_19-0.25),IF(G49&lt;=Hba_20-0.25,0,Hba_20-0.25),IF(G49&lt;=Hba_21-0.25,0,Hba_21-0.25),IF(G49&lt;=Hba_22-0.25,0,Hba_22-0.25),IF(G49&lt;=Hba_23-0.25,0,Hba_23-0.25),IF(G49&lt;=Hba_24-0.25,0,Hba_24-0.25),IF(G49&lt;=Hba_25-0.25,0,Hba_25-0.25),IF(G49&lt;=Hba_26-0.25,0,Hba_26-0.25),IF(G49&lt;=Hba_27-0.25,0,Hba_27-0.25),IF(G49&lt;=Hba_28-0.25,0,Hba_28-0.25),IF(G49&lt;=Hba_29-0.25,0,Hba_29-0.25),IF(G49&lt;=Hba_30-0.25,0,Hba_30-0.25)),IF(G49&lt;='Macro References'!$A$38,0,'Macro References'!$A$38)))</f>
        <v/>
      </c>
      <c r="H50" s="769"/>
      <c r="I50" s="228"/>
      <c r="J50" s="228"/>
      <c r="K50" s="228"/>
      <c r="L50" s="717" t="str">
        <f t="shared" si="10"/>
        <v/>
      </c>
      <c r="M50" s="717"/>
      <c r="N50" s="717"/>
      <c r="O50" s="717"/>
      <c r="P50" s="717" t="str">
        <f>IF(OR(G50=0,G50=""),"",IF(VLOOKUP(G50,'Geometry 2'!$C$4:$AI$14,1,TRUE)=VLOOKUP(G51,'Geometry 2'!$C$4:$AI$14,1,TRUE),"",IF(VLOOKUP(G50,'Geometry 2'!$C$4:$AI$14,33,TRUE)&lt;&gt;"n/a",MIN(G50,VLOOKUP(G50,'Geometry 2'!$C$4:$AI$14,1,TRUE))-VLOOKUP(G50,'Geometry 2'!$C$4:$AI$14,33,TRUE),"check")))</f>
        <v/>
      </c>
      <c r="Q50" s="717"/>
      <c r="R50" s="717"/>
      <c r="S50" s="717"/>
      <c r="T50" s="717" t="str">
        <f>IF($G50="","",VLOOKUP($G50,'Geometry 2'!$E$4:$AH$14,11,TRUE))</f>
        <v/>
      </c>
      <c r="U50" s="717"/>
      <c r="V50" s="717"/>
      <c r="W50" s="717"/>
      <c r="X50" s="716" t="str">
        <f>IF($G50="","",VLOOKUP($G50,'Geometry 2'!$E$4:$AJ$14,19,TRUE)-12*VLOOKUP($G50,'Geometry 2'!$E$4:$AJ$14,32,TRUE)*($D50-VLOOKUP($G50,'Geometry 2'!$E$5:$AH$14,1,TRUE)))</f>
        <v/>
      </c>
      <c r="Y50" s="716"/>
      <c r="Z50" s="716"/>
      <c r="AA50" s="716"/>
      <c r="AB50" s="757" t="str">
        <f>IF($G50="","",VLOOKUP($G50,'Geometry 2'!$E$4:$AJ$14,19,TRUE)-12*VLOOKUP($G50,'Geometry 2'!$E$4:$AJ$14,32,TRUE)*($G50-VLOOKUP($G50,'Geometry 2'!$E$5:$AH$14,1,TRUE)))</f>
        <v/>
      </c>
      <c r="AC50" s="758"/>
      <c r="AD50" s="758"/>
      <c r="AE50" s="759"/>
      <c r="AF50" s="716" t="str">
        <f>IF($G50="","",VLOOKUP($G50,'Geometry 2'!$E$4:$AJ$14,19,TRUE)-12*VLOOKUP($G50,'Geometry 2'!$E$4:$AJ$14,32,TRUE)*($G50-IF($P50="",0,$P50)-VLOOKUP($G50,'Geometry 2'!$E$5:$AH$14,1,TRUE)))</f>
        <v/>
      </c>
      <c r="AG50" s="716"/>
      <c r="AH50" s="716"/>
      <c r="AI50" s="716"/>
      <c r="AJ50" s="746" t="str">
        <f>IF($G50="","",VLOOKUP($G50,'Geometry 2'!$E$4:$AH$14,23,TRUE))</f>
        <v/>
      </c>
      <c r="AK50" s="747"/>
      <c r="AL50" s="747"/>
      <c r="AM50" s="748"/>
      <c r="AN50" s="717"/>
      <c r="AO50" s="717"/>
      <c r="AP50" s="717"/>
      <c r="AQ50" s="717"/>
      <c r="AR50" s="717" t="str">
        <f>IF($G50="","",VLOOKUP($G50,'Geometry 2'!$E$4:$AH$14,27,TRUE))</f>
        <v/>
      </c>
      <c r="AS50" s="717"/>
      <c r="AT50" s="717"/>
      <c r="AU50" s="718"/>
      <c r="AV50" s="715"/>
      <c r="AW50" s="716"/>
      <c r="AX50" s="716"/>
      <c r="AZ50" s="722" t="str">
        <f t="shared" si="5"/>
        <v/>
      </c>
      <c r="BA50" s="723"/>
      <c r="BB50" s="723"/>
      <c r="BC50" s="724"/>
      <c r="BD50" s="722"/>
      <c r="BE50" s="723"/>
      <c r="BF50" s="723"/>
      <c r="BG50" s="722" t="str">
        <f t="shared" si="9"/>
        <v/>
      </c>
      <c r="BH50" s="723"/>
      <c r="BI50" s="723"/>
      <c r="BJ50" s="723"/>
      <c r="BK50" s="724"/>
      <c r="BL50" s="722"/>
      <c r="BM50" s="723"/>
      <c r="BN50" s="723"/>
      <c r="BO50" s="723"/>
      <c r="BP50" s="725"/>
      <c r="BQ50" s="725"/>
      <c r="BR50" s="722" t="str">
        <f>IF(BP50="","",IF(OR(AND(Rev="H",Calculations!$F$27=TRUE),AND(Rev&lt;&gt;"H",Calculations!$F$30=TRUE)),IF(BP50&lt;=1,"Pass","Fail"),IF(BP50&lt;=1.05,"Pass","Fail")))</f>
        <v/>
      </c>
      <c r="BS50" s="723"/>
      <c r="BT50" s="724"/>
      <c r="BU50" s="49"/>
      <c r="BV50" s="25" t="str">
        <f>IFERROR(CONCATENATE(IF(AND($G50&lt;Hta_1,$G50&gt;=Hba_1,Input!U$21&lt;&gt;""),Input!$B$21&amp;";",""),IF(AND($G50&lt;Hta_2,$G50&gt;=Hba_2,Input!U$22&lt;&gt;""),Input!$B$22&amp;";",""),IF(AND($G50&lt;Hta_3,$G50&gt;=Hba_3,Input!U$23&lt;&gt;""),Input!$B$23&amp;";",""),IF(AND($G50&lt;Hta_4,$G50&gt;=Hba_4,Input!U$24&lt;&gt;""),Input!$B$24&amp;";",""),IF(AND($G50&lt;Hta_5,$G50&gt;=Hba_5,Input!U$25&lt;&gt;""),Input!$B$25&amp;";",""),IF(AND($G50&lt;Hta_6,$G50&gt;=Hba_6,Input!U$26&lt;&gt;""),Input!$B$26&amp;";",""),IF(AND($G50&lt;Hta_7,$G50&gt;=Hba_7,Input!U$27&lt;&gt;""),Input!$B$27&amp;";",""),IF(AND($G50&lt;Hta_8,$G50&gt;=Hba_8,Input!U$28&lt;&gt;""),Input!$B$28&amp;";",""),IF(AND($G50&lt;Hta_9,$G50&gt;=Hba_9,Input!U$29&lt;&gt;""),Input!$B$29&amp;";",""),IF(AND($G50&lt;Hta_10,$G50&gt;=Hba_10,Input!U$30&lt;&gt;""),Input!$B$30&amp;";",""),IF(AND($G50&lt;Hta_11,$G50&gt;=Hba_11,Input!U$31&lt;&gt;""),Input!$B$31&amp;";",""),IF(AND($G50&lt;Hta_12,$G50&gt;=Hba_12,Input!U$32&lt;&gt;""),Input!$B$32&amp;";",""),IF(AND($G50&lt;Hta_13,$G50&gt;=Hba_13,Input!U$33&lt;&gt;""),Input!$B$33&amp;";",""),IF(AND($G50&lt;Hta_14,$G50&gt;=Hba_14,Input!U$34&lt;&gt;""),Input!$B$34&amp;";",""),IF(AND($G50&lt;Hta_15,$G50&gt;=Hba_15,Input!U$35&lt;&gt;""),Input!$B$35&amp;";",""),IF(AND($G50&lt;Hta_16,$G50&gt;=Hba_16,Input!U$36&lt;&gt;""),Input!$B$36&amp;";",""),IF(AND($G50&lt;Hta_17,$G50&gt;=Hba_17,Input!U$37&lt;&gt;""),Input!$B$37&amp;";",""),IF(AND($G50&lt;Hta_18,$G50&gt;=Hba_18,Input!U$38&lt;&gt;""),Input!$B$38&amp;";",""),IF(AND($G50&lt;Hta_19,$G50&gt;=Hba_19,Input!U$39&lt;&gt;""),Input!$B$39&amp;";",""),IF(AND($G50&lt;Hta_20,$G50&gt;=Hba_20,Input!U$40&lt;&gt;""),Input!$B$40&amp;";",""),IF(AND($G50&lt;Hta_21,$G50&gt;=Hba_21,Input!U$41&lt;&gt;""),Input!$B$41&amp;";",""),IF(AND($G50&lt;Hta_22,$G50&gt;=Hba_22,Input!U$42&lt;&gt;""),Input!$B$42&amp;";",""),IF(AND($G50&lt;Hta_23,$G50&gt;=Hba_23,Input!U$43&lt;&gt;""),Input!$B$43&amp;";",""),IF(AND($G50&lt;Hta_24,$G50&gt;=Hba_24,Input!U$44&lt;&gt;""),Input!$B$44&amp;";",""),IF(AND($G50&lt;Hta_25,$G50&gt;=Hba_25,Input!U$45&lt;&gt;""),Input!$B$45&amp;";",""),IF(AND($G50&lt;Hta_26,$G50&gt;=Hba_26,Input!U$46&lt;&gt;""),Input!$B$46&amp;";",""),IF(AND($G50&lt;Hta_27,$G50&gt;=Hba_27,Input!U$47&lt;&gt;""),Input!$B$47&amp;";",""),IF(AND($G50&lt;Hta_28,$G50&gt;=Hba_28,Input!U$48&lt;&gt;""),Input!$B$48&amp;";",""),IF(AND($G50&lt;Hta_29,$G50&gt;=Hba_29,Input!U$49&lt;&gt;""),Input!$B$49&amp;";",""),IF(AND($G50&lt;Hta_30,$G50&gt;=Hba_30,Input!U$50&lt;&gt;""),Input!$B$50&amp;";","")),"")</f>
        <v/>
      </c>
      <c r="BW50" s="25" t="str">
        <f>IFERROR(CONCATENATE(IF(AND($G50&lt;Hta_1,$G50&gt;=Hba_1,Input!V$21&lt;&gt;""),Input!$B$21&amp;";",""),IF(AND($G50&lt;Hta_2,$G50&gt;=Hba_2,Input!V$22&lt;&gt;""),Input!$B$22&amp;";",""),IF(AND($G50&lt;Hta_3,$G50&gt;=Hba_3,Input!V$23&lt;&gt;""),Input!$B$23&amp;";",""),IF(AND($G50&lt;Hta_4,$G50&gt;=Hba_4,Input!V$24&lt;&gt;""),Input!$B$24&amp;";",""),IF(AND($G50&lt;Hta_5,$G50&gt;=Hba_5,Input!V$25&lt;&gt;""),Input!$B$25&amp;";",""),IF(AND($G50&lt;Hta_6,$G50&gt;=Hba_6,Input!V$26&lt;&gt;""),Input!$B$26&amp;";",""),IF(AND($G50&lt;Hta_7,$G50&gt;=Hba_7,Input!V$27&lt;&gt;""),Input!$B$27&amp;";",""),IF(AND($G50&lt;Hta_8,$G50&gt;=Hba_8,Input!V$28&lt;&gt;""),Input!$B$28&amp;";",""),IF(AND($G50&lt;Hta_9,$G50&gt;=Hba_9,Input!V$29&lt;&gt;""),Input!$B$29&amp;";",""),IF(AND($G50&lt;Hta_10,$G50&gt;=Hba_10,Input!V$30&lt;&gt;""),Input!$B$30&amp;";",""),IF(AND($G50&lt;Hta_11,$G50&gt;=Hba_11,Input!V$31&lt;&gt;""),Input!$B$31&amp;";",""),IF(AND($G50&lt;Hta_12,$G50&gt;=Hba_12,Input!V$32&lt;&gt;""),Input!$B$32&amp;";",""),IF(AND($G50&lt;Hta_13,$G50&gt;=Hba_13,Input!V$33&lt;&gt;""),Input!$B$33&amp;";",""),IF(AND($G50&lt;Hta_14,$G50&gt;=Hba_14,Input!V$34&lt;&gt;""),Input!$B$34&amp;";",""),IF(AND($G50&lt;Hta_15,$G50&gt;=Hba_15,Input!V$35&lt;&gt;""),Input!$B$35&amp;";",""),IF(AND($G50&lt;Hta_16,$G50&gt;=Hba_16,Input!V$36&lt;&gt;""),Input!$B$36&amp;";",""),IF(AND($G50&lt;Hta_17,$G50&gt;=Hba_17,Input!V$37&lt;&gt;""),Input!$B$37&amp;";",""),IF(AND($G50&lt;Hta_18,$G50&gt;=Hba_18,Input!V$38&lt;&gt;""),Input!$B$38&amp;";",""),IF(AND($G50&lt;Hta_19,$G50&gt;=Hba_19,Input!V$39&lt;&gt;""),Input!$B$39&amp;";",""),IF(AND($G50&lt;Hta_20,$G50&gt;=Hba_20,Input!V$40&lt;&gt;""),Input!$B$40&amp;";",""),IF(AND($G50&lt;Hta_21,$G50&gt;=Hba_21,Input!V$41&lt;&gt;""),Input!$B$41&amp;";",""),IF(AND($G50&lt;Hta_22,$G50&gt;=Hba_22,Input!V$42&lt;&gt;""),Input!$B$42&amp;";",""),IF(AND($G50&lt;Hta_23,$G50&gt;=Hba_23,Input!V$43&lt;&gt;""),Input!$B$43&amp;";",""),IF(AND($G50&lt;Hta_24,$G50&gt;=Hba_24,Input!V$44&lt;&gt;""),Input!$B$44&amp;";",""),IF(AND($G50&lt;Hta_25,$G50&gt;=Hba_25,Input!V$45&lt;&gt;""),Input!$B$45&amp;";",""),IF(AND($G50&lt;Hta_26,$G50&gt;=Hba_26,Input!V$46&lt;&gt;""),Input!$B$46&amp;";",""),IF(AND($G50&lt;Hta_27,$G50&gt;=Hba_27,Input!V$47&lt;&gt;""),Input!$B$47&amp;";",""),IF(AND($G50&lt;Hta_28,$G50&gt;=Hba_28,Input!V$48&lt;&gt;""),Input!$B$48&amp;";",""),IF(AND($G50&lt;Hta_29,$G50&gt;=Hba_29,Input!V$49&lt;&gt;""),Input!$B$49&amp;";",""),IF(AND($G50&lt;Hta_30,$G50&gt;=Hba_30,Input!V$50&lt;&gt;""),Input!$B$50&amp;";","")),"")</f>
        <v/>
      </c>
      <c r="BX50" s="25" t="str">
        <f>IFERROR(CONCATENATE(IF(AND($G50&lt;Hta_1,$G50&gt;=Hba_1,Input!W$21&lt;&gt;""),Input!$B$21&amp;";",""),IF(AND($G50&lt;Hta_2,$G50&gt;=Hba_2,Input!W$22&lt;&gt;""),Input!$B$22&amp;";",""),IF(AND($G50&lt;Hta_3,$G50&gt;=Hba_3,Input!W$23&lt;&gt;""),Input!$B$23&amp;";",""),IF(AND($G50&lt;Hta_4,$G50&gt;=Hba_4,Input!W$24&lt;&gt;""),Input!$B$24&amp;";",""),IF(AND($G50&lt;Hta_5,$G50&gt;=Hba_5,Input!W$25&lt;&gt;""),Input!$B$25&amp;";",""),IF(AND($G50&lt;Hta_6,$G50&gt;=Hba_6,Input!W$26&lt;&gt;""),Input!$B$26&amp;";",""),IF(AND($G50&lt;Hta_7,$G50&gt;=Hba_7,Input!W$27&lt;&gt;""),Input!$B$27&amp;";",""),IF(AND($G50&lt;Hta_8,$G50&gt;=Hba_8,Input!W$28&lt;&gt;""),Input!$B$28&amp;";",""),IF(AND($G50&lt;Hta_9,$G50&gt;=Hba_9,Input!W$29&lt;&gt;""),Input!$B$29&amp;";",""),IF(AND($G50&lt;Hta_10,$G50&gt;=Hba_10,Input!W$30&lt;&gt;""),Input!$B$30&amp;";",""),IF(AND($G50&lt;Hta_11,$G50&gt;=Hba_11,Input!W$31&lt;&gt;""),Input!$B$31&amp;";",""),IF(AND($G50&lt;Hta_12,$G50&gt;=Hba_12,Input!W$32&lt;&gt;""),Input!$B$32&amp;";",""),IF(AND($G50&lt;Hta_13,$G50&gt;=Hba_13,Input!W$33&lt;&gt;""),Input!$B$33&amp;";",""),IF(AND($G50&lt;Hta_14,$G50&gt;=Hba_14,Input!W$34&lt;&gt;""),Input!$B$34&amp;";",""),IF(AND($G50&lt;Hta_15,$G50&gt;=Hba_15,Input!W$35&lt;&gt;""),Input!$B$35&amp;";",""),IF(AND($G50&lt;Hta_16,$G50&gt;=Hba_16,Input!W$36&lt;&gt;""),Input!$B$36&amp;";",""),IF(AND($G50&lt;Hta_17,$G50&gt;=Hba_17,Input!W$37&lt;&gt;""),Input!$B$37&amp;";",""),IF(AND($G50&lt;Hta_18,$G50&gt;=Hba_18,Input!W$38&lt;&gt;""),Input!$B$38&amp;";",""),IF(AND($G50&lt;Hta_19,$G50&gt;=Hba_19,Input!W$39&lt;&gt;""),Input!$B$39&amp;";",""),IF(AND($G50&lt;Hta_20,$G50&gt;=Hba_20,Input!W$40&lt;&gt;""),Input!$B$40&amp;";",""),IF(AND($G50&lt;Hta_21,$G50&gt;=Hba_21,Input!W$41&lt;&gt;""),Input!$B$41&amp;";",""),IF(AND($G50&lt;Hta_22,$G50&gt;=Hba_22,Input!W$42&lt;&gt;""),Input!$B$42&amp;";",""),IF(AND($G50&lt;Hta_23,$G50&gt;=Hba_23,Input!W$43&lt;&gt;""),Input!$B$43&amp;";",""),IF(AND($G50&lt;Hta_24,$G50&gt;=Hba_24,Input!W$44&lt;&gt;""),Input!$B$44&amp;";",""),IF(AND($G50&lt;Hta_25,$G50&gt;=Hba_25,Input!W$45&lt;&gt;""),Input!$B$45&amp;";",""),IF(AND($G50&lt;Hta_26,$G50&gt;=Hba_26,Input!W$46&lt;&gt;""),Input!$B$46&amp;";",""),IF(AND($G50&lt;Hta_27,$G50&gt;=Hba_27,Input!W$47&lt;&gt;""),Input!$B$47&amp;";",""),IF(AND($G50&lt;Hta_28,$G50&gt;=Hba_28,Input!W$48&lt;&gt;""),Input!$B$48&amp;";",""),IF(AND($G50&lt;Hta_29,$G50&gt;=Hba_29,Input!W$49&lt;&gt;""),Input!$B$49&amp;";",""),IF(AND($G50&lt;Hta_30,$G50&gt;=Hba_30,Input!W$50&lt;&gt;""),Input!$B$50&amp;";","")),"")</f>
        <v/>
      </c>
      <c r="BY50" s="25" t="str">
        <f>IFERROR(CONCATENATE(IF(AND($G50&lt;Hta_1,$G50&gt;=Hba_1,Input!X$21&lt;&gt;""),Input!$B$21&amp;";",""),IF(AND($G50&lt;Hta_2,$G50&gt;=Hba_2,Input!X$22&lt;&gt;""),Input!$B$22&amp;";",""),IF(AND($G50&lt;Hta_3,$G50&gt;=Hba_3,Input!X$23&lt;&gt;""),Input!$B$23&amp;";",""),IF(AND($G50&lt;Hta_4,$G50&gt;=Hba_4,Input!X$24&lt;&gt;""),Input!$B$24&amp;";",""),IF(AND($G50&lt;Hta_5,$G50&gt;=Hba_5,Input!X$25&lt;&gt;""),Input!$B$25&amp;";",""),IF(AND($G50&lt;Hta_6,$G50&gt;=Hba_6,Input!X$26&lt;&gt;""),Input!$B$26&amp;";",""),IF(AND($G50&lt;Hta_7,$G50&gt;=Hba_7,Input!X$27&lt;&gt;""),Input!$B$27&amp;";",""),IF(AND($G50&lt;Hta_8,$G50&gt;=Hba_8,Input!X$28&lt;&gt;""),Input!$B$28&amp;";",""),IF(AND($G50&lt;Hta_9,$G50&gt;=Hba_9,Input!X$29&lt;&gt;""),Input!$B$29&amp;";",""),IF(AND($G50&lt;Hta_10,$G50&gt;=Hba_10,Input!X$30&lt;&gt;""),Input!$B$30&amp;";",""),IF(AND($G50&lt;Hta_11,$G50&gt;=Hba_11,Input!X$31&lt;&gt;""),Input!$B$31&amp;";",""),IF(AND($G50&lt;Hta_12,$G50&gt;=Hba_12,Input!X$32&lt;&gt;""),Input!$B$32&amp;";",""),IF(AND($G50&lt;Hta_13,$G50&gt;=Hba_13,Input!X$33&lt;&gt;""),Input!$B$33&amp;";",""),IF(AND($G50&lt;Hta_14,$G50&gt;=Hba_14,Input!X$34&lt;&gt;""),Input!$B$34&amp;";",""),IF(AND($G50&lt;Hta_15,$G50&gt;=Hba_15,Input!X$35&lt;&gt;""),Input!$B$35&amp;";",""),IF(AND($G50&lt;Hta_16,$G50&gt;=Hba_16,Input!X$36&lt;&gt;""),Input!$B$36&amp;";",""),IF(AND($G50&lt;Hta_17,$G50&gt;=Hba_17,Input!X$37&lt;&gt;""),Input!$B$37&amp;";",""),IF(AND($G50&lt;Hta_18,$G50&gt;=Hba_18,Input!X$38&lt;&gt;""),Input!$B$38&amp;";",""),IF(AND($G50&lt;Hta_19,$G50&gt;=Hba_19,Input!X$39&lt;&gt;""),Input!$B$39&amp;";",""),IF(AND($G50&lt;Hta_20,$G50&gt;=Hba_20,Input!X$40&lt;&gt;""),Input!$B$40&amp;";",""),IF(AND($G50&lt;Hta_21,$G50&gt;=Hba_21,Input!X$41&lt;&gt;""),Input!$B$41&amp;";",""),IF(AND($G50&lt;Hta_22,$G50&gt;=Hba_22,Input!X$42&lt;&gt;""),Input!$B$42&amp;";",""),IF(AND($G50&lt;Hta_23,$G50&gt;=Hba_23,Input!X$43&lt;&gt;""),Input!$B$43&amp;";",""),IF(AND($G50&lt;Hta_24,$G50&gt;=Hba_24,Input!X$44&lt;&gt;""),Input!$B$44&amp;";",""),IF(AND($G50&lt;Hta_25,$G50&gt;=Hba_25,Input!X$45&lt;&gt;""),Input!$B$45&amp;";",""),IF(AND($G50&lt;Hta_26,$G50&gt;=Hba_26,Input!X$46&lt;&gt;""),Input!$B$46&amp;";",""),IF(AND($G50&lt;Hta_27,$G50&gt;=Hba_27,Input!X$47&lt;&gt;""),Input!$B$47&amp;";",""),IF(AND($G50&lt;Hta_28,$G50&gt;=Hba_28,Input!X$48&lt;&gt;""),Input!$B$48&amp;";",""),IF(AND($G50&lt;Hta_29,$G50&gt;=Hba_29,Input!X$49&lt;&gt;""),Input!$B$49&amp;";",""),IF(AND($G50&lt;Hta_30,$G50&gt;=Hba_30,Input!X$50&lt;&gt;""),Input!$B$50&amp;";","")),"")</f>
        <v/>
      </c>
      <c r="BZ50" s="25" t="str">
        <f>IFERROR(CONCATENATE(IF(AND($G50&lt;Hta_1,$G50&gt;=Hba_1,Input!Y$21&lt;&gt;""),Input!$B$21&amp;";",""),IF(AND($G50&lt;Hta_2,$G50&gt;=Hba_2,Input!Y$22&lt;&gt;""),Input!$B$22&amp;";",""),IF(AND($G50&lt;Hta_3,$G50&gt;=Hba_3,Input!Y$23&lt;&gt;""),Input!$B$23&amp;";",""),IF(AND($G50&lt;Hta_4,$G50&gt;=Hba_4,Input!Y$24&lt;&gt;""),Input!$B$24&amp;";",""),IF(AND($G50&lt;Hta_5,$G50&gt;=Hba_5,Input!Y$25&lt;&gt;""),Input!$B$25&amp;";",""),IF(AND($G50&lt;Hta_6,$G50&gt;=Hba_6,Input!Y$26&lt;&gt;""),Input!$B$26&amp;";",""),IF(AND($G50&lt;Hta_7,$G50&gt;=Hba_7,Input!Y$27&lt;&gt;""),Input!$B$27&amp;";",""),IF(AND($G50&lt;Hta_8,$G50&gt;=Hba_8,Input!Y$28&lt;&gt;""),Input!$B$28&amp;";",""),IF(AND($G50&lt;Hta_9,$G50&gt;=Hba_9,Input!Y$29&lt;&gt;""),Input!$B$29&amp;";",""),IF(AND($G50&lt;Hta_10,$G50&gt;=Hba_10,Input!Y$30&lt;&gt;""),Input!$B$30&amp;";",""),IF(AND($G50&lt;Hta_11,$G50&gt;=Hba_11,Input!Y$31&lt;&gt;""),Input!$B$31&amp;";",""),IF(AND($G50&lt;Hta_12,$G50&gt;=Hba_12,Input!Y$32&lt;&gt;""),Input!$B$32&amp;";",""),IF(AND($G50&lt;Hta_13,$G50&gt;=Hba_13,Input!Y$33&lt;&gt;""),Input!$B$33&amp;";",""),IF(AND($G50&lt;Hta_14,$G50&gt;=Hba_14,Input!Y$34&lt;&gt;""),Input!$B$34&amp;";",""),IF(AND($G50&lt;Hta_15,$G50&gt;=Hba_15,Input!Y$35&lt;&gt;""),Input!$B$35&amp;";",""),IF(AND($G50&lt;Hta_16,$G50&gt;=Hba_16,Input!Y$36&lt;&gt;""),Input!$B$36&amp;";",""),IF(AND($G50&lt;Hta_17,$G50&gt;=Hba_17,Input!Y$37&lt;&gt;""),Input!$B$37&amp;";",""),IF(AND($G50&lt;Hta_18,$G50&gt;=Hba_18,Input!Y$38&lt;&gt;""),Input!$B$38&amp;";",""),IF(AND($G50&lt;Hta_19,$G50&gt;=Hba_19,Input!Y$39&lt;&gt;""),Input!$B$39&amp;";",""),IF(AND($G50&lt;Hta_20,$G50&gt;=Hba_20,Input!Y$40&lt;&gt;""),Input!$B$40&amp;";",""),IF(AND($G50&lt;Hta_21,$G50&gt;=Hba_21,Input!Y$41&lt;&gt;""),Input!$B$41&amp;";",""),IF(AND($G50&lt;Hta_22,$G50&gt;=Hba_22,Input!Y$42&lt;&gt;""),Input!$B$42&amp;";",""),IF(AND($G50&lt;Hta_23,$G50&gt;=Hba_23,Input!Y$43&lt;&gt;""),Input!$B$43&amp;";",""),IF(AND($G50&lt;Hta_24,$G50&gt;=Hba_24,Input!Y$44&lt;&gt;""),Input!$B$44&amp;";",""),IF(AND($G50&lt;Hta_25,$G50&gt;=Hba_25,Input!Y$45&lt;&gt;""),Input!$B$45&amp;";",""),IF(AND($G50&lt;Hta_26,$G50&gt;=Hba_26,Input!Y$46&lt;&gt;""),Input!$B$46&amp;";",""),IF(AND($G50&lt;Hta_27,$G50&gt;=Hba_27,Input!Y$47&lt;&gt;""),Input!$B$47&amp;";",""),IF(AND($G50&lt;Hta_28,$G50&gt;=Hba_28,Input!Y$48&lt;&gt;""),Input!$B$48&amp;";",""),IF(AND($G50&lt;Hta_29,$G50&gt;=Hba_29,Input!Y$49&lt;&gt;""),Input!$B$49&amp;";",""),IF(AND($G50&lt;Hta_30,$G50&gt;=Hba_30,Input!Y$50&lt;&gt;""),Input!$B$50&amp;";","")),"")</f>
        <v/>
      </c>
      <c r="CA50" s="25" t="str">
        <f>IFERROR(CONCATENATE(IF(AND($G50&lt;Hta_1,$G50&gt;=Hba_1,Input!Z$21&lt;&gt;""),Input!$B$21&amp;";",""),IF(AND($G50&lt;Hta_2,$G50&gt;=Hba_2,Input!Z$22&lt;&gt;""),Input!$B$22&amp;";",""),IF(AND($G50&lt;Hta_3,$G50&gt;=Hba_3,Input!Z$23&lt;&gt;""),Input!$B$23&amp;";",""),IF(AND($G50&lt;Hta_4,$G50&gt;=Hba_4,Input!Z$24&lt;&gt;""),Input!$B$24&amp;";",""),IF(AND($G50&lt;Hta_5,$G50&gt;=Hba_5,Input!Z$25&lt;&gt;""),Input!$B$25&amp;";",""),IF(AND($G50&lt;Hta_6,$G50&gt;=Hba_6,Input!Z$26&lt;&gt;""),Input!$B$26&amp;";",""),IF(AND($G50&lt;Hta_7,$G50&gt;=Hba_7,Input!Z$27&lt;&gt;""),Input!$B$27&amp;";",""),IF(AND($G50&lt;Hta_8,$G50&gt;=Hba_8,Input!Z$28&lt;&gt;""),Input!$B$28&amp;";",""),IF(AND($G50&lt;Hta_9,$G50&gt;=Hba_9,Input!Z$29&lt;&gt;""),Input!$B$29&amp;";",""),IF(AND($G50&lt;Hta_10,$G50&gt;=Hba_10,Input!Z$30&lt;&gt;""),Input!$B$30&amp;";",""),IF(AND($G50&lt;Hta_11,$G50&gt;=Hba_11,Input!Z$31&lt;&gt;""),Input!$B$31&amp;";",""),IF(AND($G50&lt;Hta_12,$G50&gt;=Hba_12,Input!Z$32&lt;&gt;""),Input!$B$32&amp;";",""),IF(AND($G50&lt;Hta_13,$G50&gt;=Hba_13,Input!Z$33&lt;&gt;""),Input!$B$33&amp;";",""),IF(AND($G50&lt;Hta_14,$G50&gt;=Hba_14,Input!Z$34&lt;&gt;""),Input!$B$34&amp;";",""),IF(AND($G50&lt;Hta_15,$G50&gt;=Hba_15,Input!Z$35&lt;&gt;""),Input!$B$35&amp;";",""),IF(AND($G50&lt;Hta_16,$G50&gt;=Hba_16,Input!Z$36&lt;&gt;""),Input!$B$36&amp;";",""),IF(AND($G50&lt;Hta_17,$G50&gt;=Hba_17,Input!Z$37&lt;&gt;""),Input!$B$37&amp;";",""),IF(AND($G50&lt;Hta_18,$G50&gt;=Hba_18,Input!Z$38&lt;&gt;""),Input!$B$38&amp;";",""),IF(AND($G50&lt;Hta_19,$G50&gt;=Hba_19,Input!Z$39&lt;&gt;""),Input!$B$39&amp;";",""),IF(AND($G50&lt;Hta_20,$G50&gt;=Hba_20,Input!Z$40&lt;&gt;""),Input!$B$40&amp;";",""),IF(AND($G50&lt;Hta_21,$G50&gt;=Hba_21,Input!Z$41&lt;&gt;""),Input!$B$41&amp;";",""),IF(AND($G50&lt;Hta_22,$G50&gt;=Hba_22,Input!Z$42&lt;&gt;""),Input!$B$42&amp;";",""),IF(AND($G50&lt;Hta_23,$G50&gt;=Hba_23,Input!Z$43&lt;&gt;""),Input!$B$43&amp;";",""),IF(AND($G50&lt;Hta_24,$G50&gt;=Hba_24,Input!Z$44&lt;&gt;""),Input!$B$44&amp;";",""),IF(AND($G50&lt;Hta_25,$G50&gt;=Hba_25,Input!Z$45&lt;&gt;""),Input!$B$45&amp;";",""),IF(AND($G50&lt;Hta_26,$G50&gt;=Hba_26,Input!Z$46&lt;&gt;""),Input!$B$46&amp;";",""),IF(AND($G50&lt;Hta_27,$G50&gt;=Hba_27,Input!Z$47&lt;&gt;""),Input!$B$47&amp;";",""),IF(AND($G50&lt;Hta_28,$G50&gt;=Hba_28,Input!Z$48&lt;&gt;""),Input!$B$48&amp;";",""),IF(AND($G50&lt;Hta_29,$G50&gt;=Hba_29,Input!Z$49&lt;&gt;""),Input!$B$49&amp;";",""),IF(AND($G50&lt;Hta_30,$G50&gt;=Hba_30,Input!Z$50&lt;&gt;""),Input!$B$50&amp;";","")),"")</f>
        <v/>
      </c>
      <c r="CB50" s="25" t="str">
        <f>IFERROR(CONCATENATE(IF(AND($G50&lt;Hta_1,$G50&gt;=Hba_1,Input!AA$21&lt;&gt;""),Input!$B$21&amp;";",""),IF(AND($G50&lt;Hta_2,$G50&gt;=Hba_2,Input!AA$22&lt;&gt;""),Input!$B$22&amp;";",""),IF(AND($G50&lt;Hta_3,$G50&gt;=Hba_3,Input!AA$23&lt;&gt;""),Input!$B$23&amp;";",""),IF(AND($G50&lt;Hta_4,$G50&gt;=Hba_4,Input!AA$24&lt;&gt;""),Input!$B$24&amp;";",""),IF(AND($G50&lt;Hta_5,$G50&gt;=Hba_5,Input!AA$25&lt;&gt;""),Input!$B$25&amp;";",""),IF(AND($G50&lt;Hta_6,$G50&gt;=Hba_6,Input!AA$26&lt;&gt;""),Input!$B$26&amp;";",""),IF(AND($G50&lt;Hta_7,$G50&gt;=Hba_7,Input!AA$27&lt;&gt;""),Input!$B$27&amp;";",""),IF(AND($G50&lt;Hta_8,$G50&gt;=Hba_8,Input!AA$28&lt;&gt;""),Input!$B$28&amp;";",""),IF(AND($G50&lt;Hta_9,$G50&gt;=Hba_9,Input!AA$29&lt;&gt;""),Input!$B$29&amp;";",""),IF(AND($G50&lt;Hta_10,$G50&gt;=Hba_10,Input!AA$30&lt;&gt;""),Input!$B$30&amp;";",""),IF(AND($G50&lt;Hta_11,$G50&gt;=Hba_11,Input!AA$31&lt;&gt;""),Input!$B$31&amp;";",""),IF(AND($G50&lt;Hta_12,$G50&gt;=Hba_12,Input!AA$32&lt;&gt;""),Input!$B$32&amp;";",""),IF(AND($G50&lt;Hta_13,$G50&gt;=Hba_13,Input!AA$33&lt;&gt;""),Input!$B$33&amp;";",""),IF(AND($G50&lt;Hta_14,$G50&gt;=Hba_14,Input!AA$34&lt;&gt;""),Input!$B$34&amp;";",""),IF(AND($G50&lt;Hta_15,$G50&gt;=Hba_15,Input!AA$35&lt;&gt;""),Input!$B$35&amp;";",""),IF(AND($G50&lt;Hta_16,$G50&gt;=Hba_16,Input!AA$36&lt;&gt;""),Input!$B$36&amp;";",""),IF(AND($G50&lt;Hta_17,$G50&gt;=Hba_17,Input!AA$37&lt;&gt;""),Input!$B$37&amp;";",""),IF(AND($G50&lt;Hta_18,$G50&gt;=Hba_18,Input!AA$38&lt;&gt;""),Input!$B$38&amp;";",""),IF(AND($G50&lt;Hta_19,$G50&gt;=Hba_19,Input!AA$39&lt;&gt;""),Input!$B$39&amp;";",""),IF(AND($G50&lt;Hta_20,$G50&gt;=Hba_20,Input!AA$40&lt;&gt;""),Input!$B$40&amp;";",""),IF(AND($G50&lt;Hta_21,$G50&gt;=Hba_21,Input!AA$41&lt;&gt;""),Input!$B$41&amp;";",""),IF(AND($G50&lt;Hta_22,$G50&gt;=Hba_22,Input!AA$42&lt;&gt;""),Input!$B$42&amp;";",""),IF(AND($G50&lt;Hta_23,$G50&gt;=Hba_23,Input!AA$43&lt;&gt;""),Input!$B$43&amp;";",""),IF(AND($G50&lt;Hta_24,$G50&gt;=Hba_24,Input!AA$44&lt;&gt;""),Input!$B$44&amp;";",""),IF(AND($G50&lt;Hta_25,$G50&gt;=Hba_25,Input!AA$45&lt;&gt;""),Input!$B$45&amp;";",""),IF(AND($G50&lt;Hta_26,$G50&gt;=Hba_26,Input!AA$46&lt;&gt;""),Input!$B$46&amp;";",""),IF(AND($G50&lt;Hta_27,$G50&gt;=Hba_27,Input!AA$47&lt;&gt;""),Input!$B$47&amp;";",""),IF(AND($G50&lt;Hta_28,$G50&gt;=Hba_28,Input!AA$48&lt;&gt;""),Input!$B$48&amp;";",""),IF(AND($G50&lt;Hta_29,$G50&gt;=Hba_29,Input!AA$49&lt;&gt;""),Input!$B$49&amp;";",""),IF(AND($G50&lt;Hta_30,$G50&gt;=Hba_30,Input!AA$50&lt;&gt;""),Input!$B$50&amp;";","")),"")</f>
        <v/>
      </c>
      <c r="CC50" s="25" t="str">
        <f>IFERROR(CONCATENATE(IF(AND($G50&lt;Hta_1,$G50&gt;=Hba_1,Input!AB$21&lt;&gt;""),Input!$B$21&amp;";",""),IF(AND($G50&lt;Hta_2,$G50&gt;=Hba_2,Input!AB$22&lt;&gt;""),Input!$B$22&amp;";",""),IF(AND($G50&lt;Hta_3,$G50&gt;=Hba_3,Input!AB$23&lt;&gt;""),Input!$B$23&amp;";",""),IF(AND($G50&lt;Hta_4,$G50&gt;=Hba_4,Input!AB$24&lt;&gt;""),Input!$B$24&amp;";",""),IF(AND($G50&lt;Hta_5,$G50&gt;=Hba_5,Input!AB$25&lt;&gt;""),Input!$B$25&amp;";",""),IF(AND($G50&lt;Hta_6,$G50&gt;=Hba_6,Input!AB$26&lt;&gt;""),Input!$B$26&amp;";",""),IF(AND($G50&lt;Hta_7,$G50&gt;=Hba_7,Input!AB$27&lt;&gt;""),Input!$B$27&amp;";",""),IF(AND($G50&lt;Hta_8,$G50&gt;=Hba_8,Input!AB$28&lt;&gt;""),Input!$B$28&amp;";",""),IF(AND($G50&lt;Hta_9,$G50&gt;=Hba_9,Input!AB$29&lt;&gt;""),Input!$B$29&amp;";",""),IF(AND($G50&lt;Hta_10,$G50&gt;=Hba_10,Input!AB$30&lt;&gt;""),Input!$B$30&amp;";",""),IF(AND($G50&lt;Hta_11,$G50&gt;=Hba_11,Input!AB$31&lt;&gt;""),Input!$B$31&amp;";",""),IF(AND($G50&lt;Hta_12,$G50&gt;=Hba_12,Input!AB$32&lt;&gt;""),Input!$B$32&amp;";",""),IF(AND($G50&lt;Hta_13,$G50&gt;=Hba_13,Input!AB$33&lt;&gt;""),Input!$B$33&amp;";",""),IF(AND($G50&lt;Hta_14,$G50&gt;=Hba_14,Input!AB$34&lt;&gt;""),Input!$B$34&amp;";",""),IF(AND($G50&lt;Hta_15,$G50&gt;=Hba_15,Input!AB$35&lt;&gt;""),Input!$B$35&amp;";",""),IF(AND($G50&lt;Hta_16,$G50&gt;=Hba_16,Input!AB$36&lt;&gt;""),Input!$B$36&amp;";",""),IF(AND($G50&lt;Hta_17,$G50&gt;=Hba_17,Input!AB$37&lt;&gt;""),Input!$B$37&amp;";",""),IF(AND($G50&lt;Hta_18,$G50&gt;=Hba_18,Input!AB$38&lt;&gt;""),Input!$B$38&amp;";",""),IF(AND($G50&lt;Hta_19,$G50&gt;=Hba_19,Input!AB$39&lt;&gt;""),Input!$B$39&amp;";",""),IF(AND($G50&lt;Hta_20,$G50&gt;=Hba_20,Input!AB$40&lt;&gt;""),Input!$B$40&amp;";",""),IF(AND($G50&lt;Hta_21,$G50&gt;=Hba_21,Input!AB$41&lt;&gt;""),Input!$B$41&amp;";",""),IF(AND($G50&lt;Hta_22,$G50&gt;=Hba_22,Input!AB$42&lt;&gt;""),Input!$B$42&amp;";",""),IF(AND($G50&lt;Hta_23,$G50&gt;=Hba_23,Input!AB$43&lt;&gt;""),Input!$B$43&amp;";",""),IF(AND($G50&lt;Hta_24,$G50&gt;=Hba_24,Input!AB$44&lt;&gt;""),Input!$B$44&amp;";",""),IF(AND($G50&lt;Hta_25,$G50&gt;=Hba_25,Input!AB$45&lt;&gt;""),Input!$B$45&amp;";",""),IF(AND($G50&lt;Hta_26,$G50&gt;=Hba_26,Input!AB$46&lt;&gt;""),Input!$B$46&amp;";",""),IF(AND($G50&lt;Hta_27,$G50&gt;=Hba_27,Input!AB$47&lt;&gt;""),Input!$B$47&amp;";",""),IF(AND($G50&lt;Hta_28,$G50&gt;=Hba_28,Input!AB$48&lt;&gt;""),Input!$B$48&amp;";",""),IF(AND($G50&lt;Hta_29,$G50&gt;=Hba_29,Input!AB$49&lt;&gt;""),Input!$B$49&amp;";",""),IF(AND($G50&lt;Hta_30,$G50&gt;=Hba_30,Input!AB$50&lt;&gt;""),Input!$B$50&amp;";","")),"")</f>
        <v/>
      </c>
      <c r="CD50" s="25" t="str">
        <f>IFERROR(CONCATENATE(IF(AND($G50&lt;Hta_1,$G50&gt;=Hba_1,Input!AC$21&lt;&gt;""),Input!$B$21&amp;";",""),IF(AND($G50&lt;Hta_2,$G50&gt;=Hba_2,Input!AC$22&lt;&gt;""),Input!$B$22&amp;";",""),IF(AND($G50&lt;Hta_3,$G50&gt;=Hba_3,Input!AC$23&lt;&gt;""),Input!$B$23&amp;";",""),IF(AND($G50&lt;Hta_4,$G50&gt;=Hba_4,Input!AC$24&lt;&gt;""),Input!$B$24&amp;";",""),IF(AND($G50&lt;Hta_5,$G50&gt;=Hba_5,Input!AC$25&lt;&gt;""),Input!$B$25&amp;";",""),IF(AND($G50&lt;Hta_6,$G50&gt;=Hba_6,Input!AC$26&lt;&gt;""),Input!$B$26&amp;";",""),IF(AND($G50&lt;Hta_7,$G50&gt;=Hba_7,Input!AC$27&lt;&gt;""),Input!$B$27&amp;";",""),IF(AND($G50&lt;Hta_8,$G50&gt;=Hba_8,Input!AC$28&lt;&gt;""),Input!$B$28&amp;";",""),IF(AND($G50&lt;Hta_9,$G50&gt;=Hba_9,Input!AC$29&lt;&gt;""),Input!$B$29&amp;";",""),IF(AND($G50&lt;Hta_10,$G50&gt;=Hba_10,Input!AC$30&lt;&gt;""),Input!$B$30&amp;";",""),IF(AND($G50&lt;Hta_11,$G50&gt;=Hba_11,Input!AC$31&lt;&gt;""),Input!$B$31&amp;";",""),IF(AND($G50&lt;Hta_12,$G50&gt;=Hba_12,Input!AC$32&lt;&gt;""),Input!$B$32&amp;";",""),IF(AND($G50&lt;Hta_13,$G50&gt;=Hba_13,Input!AC$33&lt;&gt;""),Input!$B$33&amp;";",""),IF(AND($G50&lt;Hta_14,$G50&gt;=Hba_14,Input!AC$34&lt;&gt;""),Input!$B$34&amp;";",""),IF(AND($G50&lt;Hta_15,$G50&gt;=Hba_15,Input!AC$35&lt;&gt;""),Input!$B$35&amp;";",""),IF(AND($G50&lt;Hta_16,$G50&gt;=Hba_16,Input!AC$36&lt;&gt;""),Input!$B$36&amp;";",""),IF(AND($G50&lt;Hta_17,$G50&gt;=Hba_17,Input!AC$37&lt;&gt;""),Input!$B$37&amp;";",""),IF(AND($G50&lt;Hta_18,$G50&gt;=Hba_18,Input!AC$38&lt;&gt;""),Input!$B$38&amp;";",""),IF(AND($G50&lt;Hta_19,$G50&gt;=Hba_19,Input!AC$39&lt;&gt;""),Input!$B$39&amp;";",""),IF(AND($G50&lt;Hta_20,$G50&gt;=Hba_20,Input!AC$40&lt;&gt;""),Input!$B$40&amp;";",""),IF(AND($G50&lt;Hta_21,$G50&gt;=Hba_21,Input!AC$41&lt;&gt;""),Input!$B$41&amp;";",""),IF(AND($G50&lt;Hta_22,$G50&gt;=Hba_22,Input!AC$42&lt;&gt;""),Input!$B$42&amp;";",""),IF(AND($G50&lt;Hta_23,$G50&gt;=Hba_23,Input!AC$43&lt;&gt;""),Input!$B$43&amp;";",""),IF(AND($G50&lt;Hta_24,$G50&gt;=Hba_24,Input!AC$44&lt;&gt;""),Input!$B$44&amp;";",""),IF(AND($G50&lt;Hta_25,$G50&gt;=Hba_25,Input!AC$45&lt;&gt;""),Input!$B$45&amp;";",""),IF(AND($G50&lt;Hta_26,$G50&gt;=Hba_26,Input!AC$46&lt;&gt;""),Input!$B$46&amp;";",""),IF(AND($G50&lt;Hta_27,$G50&gt;=Hba_27,Input!AC$47&lt;&gt;""),Input!$B$47&amp;";",""),IF(AND($G50&lt;Hta_28,$G50&gt;=Hba_28,Input!AC$48&lt;&gt;""),Input!$B$48&amp;";",""),IF(AND($G50&lt;Hta_29,$G50&gt;=Hba_29,Input!AC$49&lt;&gt;""),Input!$B$49&amp;";",""),IF(AND($G50&lt;Hta_30,$G50&gt;=Hba_30,Input!AC$50&lt;&gt;""),Input!$B$50&amp;";","")),"")</f>
        <v/>
      </c>
      <c r="CE50" s="25" t="str">
        <f>IFERROR(CONCATENATE(IF(AND($G50&lt;Hta_1,$G50&gt;=Hba_1,Input!AD$21&lt;&gt;""),Input!$B$21&amp;";",""),IF(AND($G50&lt;Hta_2,$G50&gt;=Hba_2,Input!AD$22&lt;&gt;""),Input!$B$22&amp;";",""),IF(AND($G50&lt;Hta_3,$G50&gt;=Hba_3,Input!AD$23&lt;&gt;""),Input!$B$23&amp;";",""),IF(AND($G50&lt;Hta_4,$G50&gt;=Hba_4,Input!AD$24&lt;&gt;""),Input!$B$24&amp;";",""),IF(AND($G50&lt;Hta_5,$G50&gt;=Hba_5,Input!AD$25&lt;&gt;""),Input!$B$25&amp;";",""),IF(AND($G50&lt;Hta_6,$G50&gt;=Hba_6,Input!AD$26&lt;&gt;""),Input!$B$26&amp;";",""),IF(AND($G50&lt;Hta_7,$G50&gt;=Hba_7,Input!AD$27&lt;&gt;""),Input!$B$27&amp;";",""),IF(AND($G50&lt;Hta_8,$G50&gt;=Hba_8,Input!AD$28&lt;&gt;""),Input!$B$28&amp;";",""),IF(AND($G50&lt;Hta_9,$G50&gt;=Hba_9,Input!AD$29&lt;&gt;""),Input!$B$29&amp;";",""),IF(AND($G50&lt;Hta_10,$G50&gt;=Hba_10,Input!AD$30&lt;&gt;""),Input!$B$30&amp;";",""),IF(AND($G50&lt;Hta_11,$G50&gt;=Hba_11,Input!AD$31&lt;&gt;""),Input!$B$31&amp;";",""),IF(AND($G50&lt;Hta_12,$G50&gt;=Hba_12,Input!AD$32&lt;&gt;""),Input!$B$32&amp;";",""),IF(AND($G50&lt;Hta_13,$G50&gt;=Hba_13,Input!AD$33&lt;&gt;""),Input!$B$33&amp;";",""),IF(AND($G50&lt;Hta_14,$G50&gt;=Hba_14,Input!AD$34&lt;&gt;""),Input!$B$34&amp;";",""),IF(AND($G50&lt;Hta_15,$G50&gt;=Hba_15,Input!AD$35&lt;&gt;""),Input!$B$35&amp;";",""),IF(AND($G50&lt;Hta_16,$G50&gt;=Hba_16,Input!AD$36&lt;&gt;""),Input!$B$36&amp;";",""),IF(AND($G50&lt;Hta_17,$G50&gt;=Hba_17,Input!AD$37&lt;&gt;""),Input!$B$37&amp;";",""),IF(AND($G50&lt;Hta_18,$G50&gt;=Hba_18,Input!AD$38&lt;&gt;""),Input!$B$38&amp;";",""),IF(AND($G50&lt;Hta_19,$G50&gt;=Hba_19,Input!AD$39&lt;&gt;""),Input!$B$39&amp;";",""),IF(AND($G50&lt;Hta_20,$G50&gt;=Hba_20,Input!AD$40&lt;&gt;""),Input!$B$40&amp;";",""),IF(AND($G50&lt;Hta_21,$G50&gt;=Hba_21,Input!AD$41&lt;&gt;""),Input!$B$41&amp;";",""),IF(AND($G50&lt;Hta_22,$G50&gt;=Hba_22,Input!AD$42&lt;&gt;""),Input!$B$42&amp;";",""),IF(AND($G50&lt;Hta_23,$G50&gt;=Hba_23,Input!AD$43&lt;&gt;""),Input!$B$43&amp;";",""),IF(AND($G50&lt;Hta_24,$G50&gt;=Hba_24,Input!AD$44&lt;&gt;""),Input!$B$44&amp;";",""),IF(AND($G50&lt;Hta_25,$G50&gt;=Hba_25,Input!AD$45&lt;&gt;""),Input!$B$45&amp;";",""),IF(AND($G50&lt;Hta_26,$G50&gt;=Hba_26,Input!AD$46&lt;&gt;""),Input!$B$46&amp;";",""),IF(AND($G50&lt;Hta_27,$G50&gt;=Hba_27,Input!AD$47&lt;&gt;""),Input!$B$47&amp;";",""),IF(AND($G50&lt;Hta_28,$G50&gt;=Hba_28,Input!AD$48&lt;&gt;""),Input!$B$48&amp;";",""),IF(AND($G50&lt;Hta_29,$G50&gt;=Hba_29,Input!AD$49&lt;&gt;""),Input!$B$49&amp;";",""),IF(AND($G50&lt;Hta_30,$G50&gt;=Hba_30,Input!AD$50&lt;&gt;""),Input!$B$50&amp;";","")),"")</f>
        <v/>
      </c>
      <c r="CF50" s="25" t="str">
        <f>IFERROR(CONCATENATE(IF(AND($G50&lt;Hta_1,$G50&gt;=Hba_1,Input!AE$21&lt;&gt;""),Input!$B$21&amp;";",""),IF(AND($G50&lt;Hta_2,$G50&gt;=Hba_2,Input!AE$22&lt;&gt;""),Input!$B$22&amp;";",""),IF(AND($G50&lt;Hta_3,$G50&gt;=Hba_3,Input!AE$23&lt;&gt;""),Input!$B$23&amp;";",""),IF(AND($G50&lt;Hta_4,$G50&gt;=Hba_4,Input!AE$24&lt;&gt;""),Input!$B$24&amp;";",""),IF(AND($G50&lt;Hta_5,$G50&gt;=Hba_5,Input!AE$25&lt;&gt;""),Input!$B$25&amp;";",""),IF(AND($G50&lt;Hta_6,$G50&gt;=Hba_6,Input!AE$26&lt;&gt;""),Input!$B$26&amp;";",""),IF(AND($G50&lt;Hta_7,$G50&gt;=Hba_7,Input!AE$27&lt;&gt;""),Input!$B$27&amp;";",""),IF(AND($G50&lt;Hta_8,$G50&gt;=Hba_8,Input!AE$28&lt;&gt;""),Input!$B$28&amp;";",""),IF(AND($G50&lt;Hta_9,$G50&gt;=Hba_9,Input!AE$29&lt;&gt;""),Input!$B$29&amp;";",""),IF(AND($G50&lt;Hta_10,$G50&gt;=Hba_10,Input!AE$30&lt;&gt;""),Input!$B$30&amp;";",""),IF(AND($G50&lt;Hta_11,$G50&gt;=Hba_11,Input!AE$31&lt;&gt;""),Input!$B$31&amp;";",""),IF(AND($G50&lt;Hta_12,$G50&gt;=Hba_12,Input!AE$32&lt;&gt;""),Input!$B$32&amp;";",""),IF(AND($G50&lt;Hta_13,$G50&gt;=Hba_13,Input!AE$33&lt;&gt;""),Input!$B$33&amp;";",""),IF(AND($G50&lt;Hta_14,$G50&gt;=Hba_14,Input!AE$34&lt;&gt;""),Input!$B$34&amp;";",""),IF(AND($G50&lt;Hta_15,$G50&gt;=Hba_15,Input!AE$35&lt;&gt;""),Input!$B$35&amp;";",""),IF(AND($G50&lt;Hta_16,$G50&gt;=Hba_16,Input!AE$36&lt;&gt;""),Input!$B$36&amp;";",""),IF(AND($G50&lt;Hta_17,$G50&gt;=Hba_17,Input!AE$37&lt;&gt;""),Input!$B$37&amp;";",""),IF(AND($G50&lt;Hta_18,$G50&gt;=Hba_18,Input!AE$38&lt;&gt;""),Input!$B$38&amp;";",""),IF(AND($G50&lt;Hta_19,$G50&gt;=Hba_19,Input!AE$39&lt;&gt;""),Input!$B$39&amp;";",""),IF(AND($G50&lt;Hta_20,$G50&gt;=Hba_20,Input!AE$40&lt;&gt;""),Input!$B$40&amp;";",""),IF(AND($G50&lt;Hta_21,$G50&gt;=Hba_21,Input!AE$41&lt;&gt;""),Input!$B$41&amp;";",""),IF(AND($G50&lt;Hta_22,$G50&gt;=Hba_22,Input!AE$42&lt;&gt;""),Input!$B$42&amp;";",""),IF(AND($G50&lt;Hta_23,$G50&gt;=Hba_23,Input!AE$43&lt;&gt;""),Input!$B$43&amp;";",""),IF(AND($G50&lt;Hta_24,$G50&gt;=Hba_24,Input!AE$44&lt;&gt;""),Input!$B$44&amp;";",""),IF(AND($G50&lt;Hta_25,$G50&gt;=Hba_25,Input!AE$45&lt;&gt;""),Input!$B$45&amp;";",""),IF(AND($G50&lt;Hta_26,$G50&gt;=Hba_26,Input!AE$46&lt;&gt;""),Input!$B$46&amp;";",""),IF(AND($G50&lt;Hta_27,$G50&gt;=Hba_27,Input!AE$47&lt;&gt;""),Input!$B$47&amp;";",""),IF(AND($G50&lt;Hta_28,$G50&gt;=Hba_28,Input!AE$48&lt;&gt;""),Input!$B$48&amp;";",""),IF(AND($G50&lt;Hta_29,$G50&gt;=Hba_29,Input!AE$49&lt;&gt;""),Input!$B$49&amp;";",""),IF(AND($G50&lt;Hta_30,$G50&gt;=Hba_30,Input!AE$50&lt;&gt;""),Input!$B$50&amp;";","")),"")</f>
        <v/>
      </c>
      <c r="CG50" s="25" t="str">
        <f>IFERROR(CONCATENATE(IF(AND($G50&lt;Hta_1,$G50&gt;=Hba_1,Input!AF$21&lt;&gt;""),Input!$B$21&amp;";",""),IF(AND($G50&lt;Hta_2,$G50&gt;=Hba_2,Input!AF$22&lt;&gt;""),Input!$B$22&amp;";",""),IF(AND($G50&lt;Hta_3,$G50&gt;=Hba_3,Input!AF$23&lt;&gt;""),Input!$B$23&amp;";",""),IF(AND($G50&lt;Hta_4,$G50&gt;=Hba_4,Input!AF$24&lt;&gt;""),Input!$B$24&amp;";",""),IF(AND($G50&lt;Hta_5,$G50&gt;=Hba_5,Input!AF$25&lt;&gt;""),Input!$B$25&amp;";",""),IF(AND($G50&lt;Hta_6,$G50&gt;=Hba_6,Input!AF$26&lt;&gt;""),Input!$B$26&amp;";",""),IF(AND($G50&lt;Hta_7,$G50&gt;=Hba_7,Input!AF$27&lt;&gt;""),Input!$B$27&amp;";",""),IF(AND($G50&lt;Hta_8,$G50&gt;=Hba_8,Input!AF$28&lt;&gt;""),Input!$B$28&amp;";",""),IF(AND($G50&lt;Hta_9,$G50&gt;=Hba_9,Input!AF$29&lt;&gt;""),Input!$B$29&amp;";",""),IF(AND($G50&lt;Hta_10,$G50&gt;=Hba_10,Input!AF$30&lt;&gt;""),Input!$B$30&amp;";",""),IF(AND($G50&lt;Hta_11,$G50&gt;=Hba_11,Input!AF$31&lt;&gt;""),Input!$B$31&amp;";",""),IF(AND($G50&lt;Hta_12,$G50&gt;=Hba_12,Input!AF$32&lt;&gt;""),Input!$B$32&amp;";",""),IF(AND($G50&lt;Hta_13,$G50&gt;=Hba_13,Input!AF$33&lt;&gt;""),Input!$B$33&amp;";",""),IF(AND($G50&lt;Hta_14,$G50&gt;=Hba_14,Input!AF$34&lt;&gt;""),Input!$B$34&amp;";",""),IF(AND($G50&lt;Hta_15,$G50&gt;=Hba_15,Input!AF$35&lt;&gt;""),Input!$B$35&amp;";",""),IF(AND($G50&lt;Hta_16,$G50&gt;=Hba_16,Input!AF$36&lt;&gt;""),Input!$B$36&amp;";",""),IF(AND($G50&lt;Hta_17,$G50&gt;=Hba_17,Input!AF$37&lt;&gt;""),Input!$B$37&amp;";",""),IF(AND($G50&lt;Hta_18,$G50&gt;=Hba_18,Input!AF$38&lt;&gt;""),Input!$B$38&amp;";",""),IF(AND($G50&lt;Hta_19,$G50&gt;=Hba_19,Input!AF$39&lt;&gt;""),Input!$B$39&amp;";",""),IF(AND($G50&lt;Hta_20,$G50&gt;=Hba_20,Input!AF$40&lt;&gt;""),Input!$B$40&amp;";",""),IF(AND($G50&lt;Hta_21,$G50&gt;=Hba_21,Input!AF$41&lt;&gt;""),Input!$B$41&amp;";",""),IF(AND($G50&lt;Hta_22,$G50&gt;=Hba_22,Input!AF$42&lt;&gt;""),Input!$B$42&amp;";",""),IF(AND($G50&lt;Hta_23,$G50&gt;=Hba_23,Input!AF$43&lt;&gt;""),Input!$B$43&amp;";",""),IF(AND($G50&lt;Hta_24,$G50&gt;=Hba_24,Input!AF$44&lt;&gt;""),Input!$B$44&amp;";",""),IF(AND($G50&lt;Hta_25,$G50&gt;=Hba_25,Input!AF$45&lt;&gt;""),Input!$B$45&amp;";",""),IF(AND($G50&lt;Hta_26,$G50&gt;=Hba_26,Input!AF$46&lt;&gt;""),Input!$B$46&amp;";",""),IF(AND($G50&lt;Hta_27,$G50&gt;=Hba_27,Input!AF$47&lt;&gt;""),Input!$B$47&amp;";",""),IF(AND($G50&lt;Hta_28,$G50&gt;=Hba_28,Input!AF$48&lt;&gt;""),Input!$B$48&amp;";",""),IF(AND($G50&lt;Hta_29,$G50&gt;=Hba_29,Input!AF$49&lt;&gt;""),Input!$B$49&amp;";",""),IF(AND($G50&lt;Hta_30,$G50&gt;=Hba_30,Input!AF$50&lt;&gt;""),Input!$B$50&amp;";","")),"")</f>
        <v/>
      </c>
      <c r="CH50" s="25" t="str">
        <f>IFERROR(CONCATENATE(IF(AND($G50&lt;Hta_1,$G50&gt;=Hba_1,Input!AG$21&lt;&gt;""),Input!$B$21&amp;";",""),IF(AND($G50&lt;Hta_2,$G50&gt;=Hba_2,Input!AG$22&lt;&gt;""),Input!$B$22&amp;";",""),IF(AND($G50&lt;Hta_3,$G50&gt;=Hba_3,Input!AG$23&lt;&gt;""),Input!$B$23&amp;";",""),IF(AND($G50&lt;Hta_4,$G50&gt;=Hba_4,Input!AG$24&lt;&gt;""),Input!$B$24&amp;";",""),IF(AND($G50&lt;Hta_5,$G50&gt;=Hba_5,Input!AG$25&lt;&gt;""),Input!$B$25&amp;";",""),IF(AND($G50&lt;Hta_6,$G50&gt;=Hba_6,Input!AG$26&lt;&gt;""),Input!$B$26&amp;";",""),IF(AND($G50&lt;Hta_7,$G50&gt;=Hba_7,Input!AG$27&lt;&gt;""),Input!$B$27&amp;";",""),IF(AND($G50&lt;Hta_8,$G50&gt;=Hba_8,Input!AG$28&lt;&gt;""),Input!$B$28&amp;";",""),IF(AND($G50&lt;Hta_9,$G50&gt;=Hba_9,Input!AG$29&lt;&gt;""),Input!$B$29&amp;";",""),IF(AND($G50&lt;Hta_10,$G50&gt;=Hba_10,Input!AG$30&lt;&gt;""),Input!$B$30&amp;";",""),IF(AND($G50&lt;Hta_11,$G50&gt;=Hba_11,Input!AG$31&lt;&gt;""),Input!$B$31&amp;";",""),IF(AND($G50&lt;Hta_12,$G50&gt;=Hba_12,Input!AG$32&lt;&gt;""),Input!$B$32&amp;";",""),IF(AND($G50&lt;Hta_13,$G50&gt;=Hba_13,Input!AG$33&lt;&gt;""),Input!$B$33&amp;";",""),IF(AND($G50&lt;Hta_14,$G50&gt;=Hba_14,Input!AG$34&lt;&gt;""),Input!$B$34&amp;";",""),IF(AND($G50&lt;Hta_15,$G50&gt;=Hba_15,Input!AG$35&lt;&gt;""),Input!$B$35&amp;";",""),IF(AND($G50&lt;Hta_16,$G50&gt;=Hba_16,Input!AG$36&lt;&gt;""),Input!$B$36&amp;";",""),IF(AND($G50&lt;Hta_17,$G50&gt;=Hba_17,Input!AG$37&lt;&gt;""),Input!$B$37&amp;";",""),IF(AND($G50&lt;Hta_18,$G50&gt;=Hba_18,Input!AG$38&lt;&gt;""),Input!$B$38&amp;";",""),IF(AND($G50&lt;Hta_19,$G50&gt;=Hba_19,Input!AG$39&lt;&gt;""),Input!$B$39&amp;";",""),IF(AND($G50&lt;Hta_20,$G50&gt;=Hba_20,Input!AG$40&lt;&gt;""),Input!$B$40&amp;";",""),IF(AND($G50&lt;Hta_21,$G50&gt;=Hba_21,Input!AG$41&lt;&gt;""),Input!$B$41&amp;";",""),IF(AND($G50&lt;Hta_22,$G50&gt;=Hba_22,Input!AG$42&lt;&gt;""),Input!$B$42&amp;";",""),IF(AND($G50&lt;Hta_23,$G50&gt;=Hba_23,Input!AG$43&lt;&gt;""),Input!$B$43&amp;";",""),IF(AND($G50&lt;Hta_24,$G50&gt;=Hba_24,Input!AG$44&lt;&gt;""),Input!$B$44&amp;";",""),IF(AND($G50&lt;Hta_25,$G50&gt;=Hba_25,Input!AG$45&lt;&gt;""),Input!$B$45&amp;";",""),IF(AND($G50&lt;Hta_26,$G50&gt;=Hba_26,Input!AG$46&lt;&gt;""),Input!$B$46&amp;";",""),IF(AND($G50&lt;Hta_27,$G50&gt;=Hba_27,Input!AG$47&lt;&gt;""),Input!$B$47&amp;";",""),IF(AND($G50&lt;Hta_28,$G50&gt;=Hba_28,Input!AG$48&lt;&gt;""),Input!$B$48&amp;";",""),IF(AND($G50&lt;Hta_29,$G50&gt;=Hba_29,Input!AG$49&lt;&gt;""),Input!$B$49&amp;";",""),IF(AND($G50&lt;Hta_30,$G50&gt;=Hba_30,Input!AG$50&lt;&gt;""),Input!$B$50&amp;";","")),"")</f>
        <v/>
      </c>
      <c r="CI50" s="25" t="str">
        <f>IFERROR(CONCATENATE(IF(AND($G50&lt;Hta_1,$G50&gt;=Hba_1,Input!AH$21&lt;&gt;""),Input!$B$21&amp;";",""),IF(AND($G50&lt;Hta_2,$G50&gt;=Hba_2,Input!AH$22&lt;&gt;""),Input!$B$22&amp;";",""),IF(AND($G50&lt;Hta_3,$G50&gt;=Hba_3,Input!AH$23&lt;&gt;""),Input!$B$23&amp;";",""),IF(AND($G50&lt;Hta_4,$G50&gt;=Hba_4,Input!AH$24&lt;&gt;""),Input!$B$24&amp;";",""),IF(AND($G50&lt;Hta_5,$G50&gt;=Hba_5,Input!AH$25&lt;&gt;""),Input!$B$25&amp;";",""),IF(AND($G50&lt;Hta_6,$G50&gt;=Hba_6,Input!AH$26&lt;&gt;""),Input!$B$26&amp;";",""),IF(AND($G50&lt;Hta_7,$G50&gt;=Hba_7,Input!AH$27&lt;&gt;""),Input!$B$27&amp;";",""),IF(AND($G50&lt;Hta_8,$G50&gt;=Hba_8,Input!AH$28&lt;&gt;""),Input!$B$28&amp;";",""),IF(AND($G50&lt;Hta_9,$G50&gt;=Hba_9,Input!AH$29&lt;&gt;""),Input!$B$29&amp;";",""),IF(AND($G50&lt;Hta_10,$G50&gt;=Hba_10,Input!AH$30&lt;&gt;""),Input!$B$30&amp;";",""),IF(AND($G50&lt;Hta_11,$G50&gt;=Hba_11,Input!AH$31&lt;&gt;""),Input!$B$31&amp;";",""),IF(AND($G50&lt;Hta_12,$G50&gt;=Hba_12,Input!AH$32&lt;&gt;""),Input!$B$32&amp;";",""),IF(AND($G50&lt;Hta_13,$G50&gt;=Hba_13,Input!AH$33&lt;&gt;""),Input!$B$33&amp;";",""),IF(AND($G50&lt;Hta_14,$G50&gt;=Hba_14,Input!AH$34&lt;&gt;""),Input!$B$34&amp;";",""),IF(AND($G50&lt;Hta_15,$G50&gt;=Hba_15,Input!AH$35&lt;&gt;""),Input!$B$35&amp;";",""),IF(AND($G50&lt;Hta_16,$G50&gt;=Hba_16,Input!AH$36&lt;&gt;""),Input!$B$36&amp;";",""),IF(AND($G50&lt;Hta_17,$G50&gt;=Hba_17,Input!AH$37&lt;&gt;""),Input!$B$37&amp;";",""),IF(AND($G50&lt;Hta_18,$G50&gt;=Hba_18,Input!AH$38&lt;&gt;""),Input!$B$38&amp;";",""),IF(AND($G50&lt;Hta_19,$G50&gt;=Hba_19,Input!AH$39&lt;&gt;""),Input!$B$39&amp;";",""),IF(AND($G50&lt;Hta_20,$G50&gt;=Hba_20,Input!AH$40&lt;&gt;""),Input!$B$40&amp;";",""),IF(AND($G50&lt;Hta_21,$G50&gt;=Hba_21,Input!AH$41&lt;&gt;""),Input!$B$41&amp;";",""),IF(AND($G50&lt;Hta_22,$G50&gt;=Hba_22,Input!AH$42&lt;&gt;""),Input!$B$42&amp;";",""),IF(AND($G50&lt;Hta_23,$G50&gt;=Hba_23,Input!AH$43&lt;&gt;""),Input!$B$43&amp;";",""),IF(AND($G50&lt;Hta_24,$G50&gt;=Hba_24,Input!AH$44&lt;&gt;""),Input!$B$44&amp;";",""),IF(AND($G50&lt;Hta_25,$G50&gt;=Hba_25,Input!AH$45&lt;&gt;""),Input!$B$45&amp;";",""),IF(AND($G50&lt;Hta_26,$G50&gt;=Hba_26,Input!AH$46&lt;&gt;""),Input!$B$46&amp;";",""),IF(AND($G50&lt;Hta_27,$G50&gt;=Hba_27,Input!AH$47&lt;&gt;""),Input!$B$47&amp;";",""),IF(AND($G50&lt;Hta_28,$G50&gt;=Hba_28,Input!AH$48&lt;&gt;""),Input!$B$48&amp;";",""),IF(AND($G50&lt;Hta_29,$G50&gt;=Hba_29,Input!AH$49&lt;&gt;""),Input!$B$49&amp;";",""),IF(AND($G50&lt;Hta_30,$G50&gt;=Hba_30,Input!AH$50&lt;&gt;""),Input!$B$50&amp;";","")),"")</f>
        <v/>
      </c>
      <c r="CJ50" s="25" t="str">
        <f>IFERROR(CONCATENATE(IF(AND($G50&lt;Hta_1,$G50&gt;=Hba_1,Input!AI$21&lt;&gt;""),Input!$B$21&amp;";",""),IF(AND($G50&lt;Hta_2,$G50&gt;=Hba_2,Input!AI$22&lt;&gt;""),Input!$B$22&amp;";",""),IF(AND($G50&lt;Hta_3,$G50&gt;=Hba_3,Input!AI$23&lt;&gt;""),Input!$B$23&amp;";",""),IF(AND($G50&lt;Hta_4,$G50&gt;=Hba_4,Input!AI$24&lt;&gt;""),Input!$B$24&amp;";",""),IF(AND($G50&lt;Hta_5,$G50&gt;=Hba_5,Input!AI$25&lt;&gt;""),Input!$B$25&amp;";",""),IF(AND($G50&lt;Hta_6,$G50&gt;=Hba_6,Input!AI$26&lt;&gt;""),Input!$B$26&amp;";",""),IF(AND($G50&lt;Hta_7,$G50&gt;=Hba_7,Input!AI$27&lt;&gt;""),Input!$B$27&amp;";",""),IF(AND($G50&lt;Hta_8,$G50&gt;=Hba_8,Input!AI$28&lt;&gt;""),Input!$B$28&amp;";",""),IF(AND($G50&lt;Hta_9,$G50&gt;=Hba_9,Input!AI$29&lt;&gt;""),Input!$B$29&amp;";",""),IF(AND($G50&lt;Hta_10,$G50&gt;=Hba_10,Input!AI$30&lt;&gt;""),Input!$B$30&amp;";",""),IF(AND($G50&lt;Hta_11,$G50&gt;=Hba_11,Input!AI$31&lt;&gt;""),Input!$B$31&amp;";",""),IF(AND($G50&lt;Hta_12,$G50&gt;=Hba_12,Input!AI$32&lt;&gt;""),Input!$B$32&amp;";",""),IF(AND($G50&lt;Hta_13,$G50&gt;=Hba_13,Input!AI$33&lt;&gt;""),Input!$B$33&amp;";",""),IF(AND($G50&lt;Hta_14,$G50&gt;=Hba_14,Input!AI$34&lt;&gt;""),Input!$B$34&amp;";",""),IF(AND($G50&lt;Hta_15,$G50&gt;=Hba_15,Input!AI$35&lt;&gt;""),Input!$B$35&amp;";",""),IF(AND($G50&lt;Hta_16,$G50&gt;=Hba_16,Input!AI$36&lt;&gt;""),Input!$B$36&amp;";",""),IF(AND($G50&lt;Hta_17,$G50&gt;=Hba_17,Input!AI$37&lt;&gt;""),Input!$B$37&amp;";",""),IF(AND($G50&lt;Hta_18,$G50&gt;=Hba_18,Input!AI$38&lt;&gt;""),Input!$B$38&amp;";",""),IF(AND($G50&lt;Hta_19,$G50&gt;=Hba_19,Input!AI$39&lt;&gt;""),Input!$B$39&amp;";",""),IF(AND($G50&lt;Hta_20,$G50&gt;=Hba_20,Input!AI$40&lt;&gt;""),Input!$B$40&amp;";",""),IF(AND($G50&lt;Hta_21,$G50&gt;=Hba_21,Input!AI$41&lt;&gt;""),Input!$B$41&amp;";",""),IF(AND($G50&lt;Hta_22,$G50&gt;=Hba_22,Input!AI$42&lt;&gt;""),Input!$B$42&amp;";",""),IF(AND($G50&lt;Hta_23,$G50&gt;=Hba_23,Input!AI$43&lt;&gt;""),Input!$B$43&amp;";",""),IF(AND($G50&lt;Hta_24,$G50&gt;=Hba_24,Input!AI$44&lt;&gt;""),Input!$B$44&amp;";",""),IF(AND($G50&lt;Hta_25,$G50&gt;=Hba_25,Input!AI$45&lt;&gt;""),Input!$B$45&amp;";",""),IF(AND($G50&lt;Hta_26,$G50&gt;=Hba_26,Input!AI$46&lt;&gt;""),Input!$B$46&amp;";",""),IF(AND($G50&lt;Hta_27,$G50&gt;=Hba_27,Input!AI$47&lt;&gt;""),Input!$B$47&amp;";",""),IF(AND($G50&lt;Hta_28,$G50&gt;=Hba_28,Input!AI$48&lt;&gt;""),Input!$B$48&amp;";",""),IF(AND($G50&lt;Hta_29,$G50&gt;=Hba_29,Input!AI$49&lt;&gt;""),Input!$B$49&amp;";",""),IF(AND($G50&lt;Hta_30,$G50&gt;=Hba_30,Input!AI$50&lt;&gt;""),Input!$B$50&amp;";","")),"")</f>
        <v/>
      </c>
      <c r="CK50" s="25" t="str">
        <f>IFERROR(CONCATENATE(IF(AND($G50&lt;Hta_1,$G50&gt;=Hba_1,Input!AJ$21&lt;&gt;""),Input!$B$21&amp;";",""),IF(AND($G50&lt;Hta_2,$G50&gt;=Hba_2,Input!AJ$22&lt;&gt;""),Input!$B$22&amp;";",""),IF(AND($G50&lt;Hta_3,$G50&gt;=Hba_3,Input!AJ$23&lt;&gt;""),Input!$B$23&amp;";",""),IF(AND($G50&lt;Hta_4,$G50&gt;=Hba_4,Input!AJ$24&lt;&gt;""),Input!$B$24&amp;";",""),IF(AND($G50&lt;Hta_5,$G50&gt;=Hba_5,Input!AJ$25&lt;&gt;""),Input!$B$25&amp;";",""),IF(AND($G50&lt;Hta_6,$G50&gt;=Hba_6,Input!AJ$26&lt;&gt;""),Input!$B$26&amp;";",""),IF(AND($G50&lt;Hta_7,$G50&gt;=Hba_7,Input!AJ$27&lt;&gt;""),Input!$B$27&amp;";",""),IF(AND($G50&lt;Hta_8,$G50&gt;=Hba_8,Input!AJ$28&lt;&gt;""),Input!$B$28&amp;";",""),IF(AND($G50&lt;Hta_9,$G50&gt;=Hba_9,Input!AJ$29&lt;&gt;""),Input!$B$29&amp;";",""),IF(AND($G50&lt;Hta_10,$G50&gt;=Hba_10,Input!AJ$30&lt;&gt;""),Input!$B$30&amp;";",""),IF(AND($G50&lt;Hta_11,$G50&gt;=Hba_11,Input!AJ$31&lt;&gt;""),Input!$B$31&amp;";",""),IF(AND($G50&lt;Hta_12,$G50&gt;=Hba_12,Input!AJ$32&lt;&gt;""),Input!$B$32&amp;";",""),IF(AND($G50&lt;Hta_13,$G50&gt;=Hba_13,Input!AJ$33&lt;&gt;""),Input!$B$33&amp;";",""),IF(AND($G50&lt;Hta_14,$G50&gt;=Hba_14,Input!AJ$34&lt;&gt;""),Input!$B$34&amp;";",""),IF(AND($G50&lt;Hta_15,$G50&gt;=Hba_15,Input!AJ$35&lt;&gt;""),Input!$B$35&amp;";",""),IF(AND($G50&lt;Hta_16,$G50&gt;=Hba_16,Input!AJ$36&lt;&gt;""),Input!$B$36&amp;";",""),IF(AND($G50&lt;Hta_17,$G50&gt;=Hba_17,Input!AJ$37&lt;&gt;""),Input!$B$37&amp;";",""),IF(AND($G50&lt;Hta_18,$G50&gt;=Hba_18,Input!AJ$38&lt;&gt;""),Input!$B$38&amp;";",""),IF(AND($G50&lt;Hta_19,$G50&gt;=Hba_19,Input!AJ$39&lt;&gt;""),Input!$B$39&amp;";",""),IF(AND($G50&lt;Hta_20,$G50&gt;=Hba_20,Input!AJ$40&lt;&gt;""),Input!$B$40&amp;";",""),IF(AND($G50&lt;Hta_21,$G50&gt;=Hba_21,Input!AJ$41&lt;&gt;""),Input!$B$41&amp;";",""),IF(AND($G50&lt;Hta_22,$G50&gt;=Hba_22,Input!AJ$42&lt;&gt;""),Input!$B$42&amp;";",""),IF(AND($G50&lt;Hta_23,$G50&gt;=Hba_23,Input!AJ$43&lt;&gt;""),Input!$B$43&amp;";",""),IF(AND($G50&lt;Hta_24,$G50&gt;=Hba_24,Input!AJ$44&lt;&gt;""),Input!$B$44&amp;";",""),IF(AND($G50&lt;Hta_25,$G50&gt;=Hba_25,Input!AJ$45&lt;&gt;""),Input!$B$45&amp;";",""),IF(AND($G50&lt;Hta_26,$G50&gt;=Hba_26,Input!AJ$46&lt;&gt;""),Input!$B$46&amp;";",""),IF(AND($G50&lt;Hta_27,$G50&gt;=Hba_27,Input!AJ$47&lt;&gt;""),Input!$B$47&amp;";",""),IF(AND($G50&lt;Hta_28,$G50&gt;=Hba_28,Input!AJ$48&lt;&gt;""),Input!$B$48&amp;";",""),IF(AND($G50&lt;Hta_29,$G50&gt;=Hba_29,Input!AJ$49&lt;&gt;""),Input!$B$49&amp;";",""),IF(AND($G50&lt;Hta_30,$G50&gt;=Hba_30,Input!AJ$50&lt;&gt;""),Input!$B$50&amp;";","")),"")</f>
        <v/>
      </c>
      <c r="CL50" s="25" t="str">
        <f>IFERROR(CONCATENATE(IF(AND($G50&lt;Hta_1,$G50&gt;=Hba_1,Input!AK$21&lt;&gt;""),Input!$B$21&amp;";",""),IF(AND($G50&lt;Hta_2,$G50&gt;=Hba_2,Input!AK$22&lt;&gt;""),Input!$B$22&amp;";",""),IF(AND($G50&lt;Hta_3,$G50&gt;=Hba_3,Input!AK$23&lt;&gt;""),Input!$B$23&amp;";",""),IF(AND($G50&lt;Hta_4,$G50&gt;=Hba_4,Input!AK$24&lt;&gt;""),Input!$B$24&amp;";",""),IF(AND($G50&lt;Hta_5,$G50&gt;=Hba_5,Input!AK$25&lt;&gt;""),Input!$B$25&amp;";",""),IF(AND($G50&lt;Hta_6,$G50&gt;=Hba_6,Input!AK$26&lt;&gt;""),Input!$B$26&amp;";",""),IF(AND($G50&lt;Hta_7,$G50&gt;=Hba_7,Input!AK$27&lt;&gt;""),Input!$B$27&amp;";",""),IF(AND($G50&lt;Hta_8,$G50&gt;=Hba_8,Input!AK$28&lt;&gt;""),Input!$B$28&amp;";",""),IF(AND($G50&lt;Hta_9,$G50&gt;=Hba_9,Input!AK$29&lt;&gt;""),Input!$B$29&amp;";",""),IF(AND($G50&lt;Hta_10,$G50&gt;=Hba_10,Input!AK$30&lt;&gt;""),Input!$B$30&amp;";",""),IF(AND($G50&lt;Hta_11,$G50&gt;=Hba_11,Input!AK$31&lt;&gt;""),Input!$B$31&amp;";",""),IF(AND($G50&lt;Hta_12,$G50&gt;=Hba_12,Input!AK$32&lt;&gt;""),Input!$B$32&amp;";",""),IF(AND($G50&lt;Hta_13,$G50&gt;=Hba_13,Input!AK$33&lt;&gt;""),Input!$B$33&amp;";",""),IF(AND($G50&lt;Hta_14,$G50&gt;=Hba_14,Input!AK$34&lt;&gt;""),Input!$B$34&amp;";",""),IF(AND($G50&lt;Hta_15,$G50&gt;=Hba_15,Input!AK$35&lt;&gt;""),Input!$B$35&amp;";",""),IF(AND($G50&lt;Hta_16,$G50&gt;=Hba_16,Input!AK$36&lt;&gt;""),Input!$B$36&amp;";",""),IF(AND($G50&lt;Hta_17,$G50&gt;=Hba_17,Input!AK$37&lt;&gt;""),Input!$B$37&amp;";",""),IF(AND($G50&lt;Hta_18,$G50&gt;=Hba_18,Input!AK$38&lt;&gt;""),Input!$B$38&amp;";",""),IF(AND($G50&lt;Hta_19,$G50&gt;=Hba_19,Input!AK$39&lt;&gt;""),Input!$B$39&amp;";",""),IF(AND($G50&lt;Hta_20,$G50&gt;=Hba_20,Input!AK$40&lt;&gt;""),Input!$B$40&amp;";",""),IF(AND($G50&lt;Hta_21,$G50&gt;=Hba_21,Input!AK$41&lt;&gt;""),Input!$B$41&amp;";",""),IF(AND($G50&lt;Hta_22,$G50&gt;=Hba_22,Input!AK$42&lt;&gt;""),Input!$B$42&amp;";",""),IF(AND($G50&lt;Hta_23,$G50&gt;=Hba_23,Input!AK$43&lt;&gt;""),Input!$B$43&amp;";",""),IF(AND($G50&lt;Hta_24,$G50&gt;=Hba_24,Input!AK$44&lt;&gt;""),Input!$B$44&amp;";",""),IF(AND($G50&lt;Hta_25,$G50&gt;=Hba_25,Input!AK$45&lt;&gt;""),Input!$B$45&amp;";",""),IF(AND($G50&lt;Hta_26,$G50&gt;=Hba_26,Input!AK$46&lt;&gt;""),Input!$B$46&amp;";",""),IF(AND($G50&lt;Hta_27,$G50&gt;=Hba_27,Input!AK$47&lt;&gt;""),Input!$B$47&amp;";",""),IF(AND($G50&lt;Hta_28,$G50&gt;=Hba_28,Input!AK$48&lt;&gt;""),Input!$B$48&amp;";",""),IF(AND($G50&lt;Hta_29,$G50&gt;=Hba_29,Input!AK$49&lt;&gt;""),Input!$B$49&amp;";",""),IF(AND($G50&lt;Hta_30,$G50&gt;=Hba_30,Input!AK$50&lt;&gt;""),Input!$B$50&amp;";","")),"")</f>
        <v/>
      </c>
      <c r="CM50" s="25" t="str">
        <f>IFERROR(CONCATENATE(IF(AND($G50&lt;Hta_1,$G50&gt;=Hba_1,Input!AL$21&lt;&gt;""),Input!$B$21&amp;";",""),IF(AND($G50&lt;Hta_2,$G50&gt;=Hba_2,Input!AL$22&lt;&gt;""),Input!$B$22&amp;";",""),IF(AND($G50&lt;Hta_3,$G50&gt;=Hba_3,Input!AL$23&lt;&gt;""),Input!$B$23&amp;";",""),IF(AND($G50&lt;Hta_4,$G50&gt;=Hba_4,Input!AL$24&lt;&gt;""),Input!$B$24&amp;";",""),IF(AND($G50&lt;Hta_5,$G50&gt;=Hba_5,Input!AL$25&lt;&gt;""),Input!$B$25&amp;";",""),IF(AND($G50&lt;Hta_6,$G50&gt;=Hba_6,Input!AL$26&lt;&gt;""),Input!$B$26&amp;";",""),IF(AND($G50&lt;Hta_7,$G50&gt;=Hba_7,Input!AL$27&lt;&gt;""),Input!$B$27&amp;";",""),IF(AND($G50&lt;Hta_8,$G50&gt;=Hba_8,Input!AL$28&lt;&gt;""),Input!$B$28&amp;";",""),IF(AND($G50&lt;Hta_9,$G50&gt;=Hba_9,Input!AL$29&lt;&gt;""),Input!$B$29&amp;";",""),IF(AND($G50&lt;Hta_10,$G50&gt;=Hba_10,Input!AL$30&lt;&gt;""),Input!$B$30&amp;";",""),IF(AND($G50&lt;Hta_11,$G50&gt;=Hba_11,Input!AL$31&lt;&gt;""),Input!$B$31&amp;";",""),IF(AND($G50&lt;Hta_12,$G50&gt;=Hba_12,Input!AL$32&lt;&gt;""),Input!$B$32&amp;";",""),IF(AND($G50&lt;Hta_13,$G50&gt;=Hba_13,Input!AL$33&lt;&gt;""),Input!$B$33&amp;";",""),IF(AND($G50&lt;Hta_14,$G50&gt;=Hba_14,Input!AL$34&lt;&gt;""),Input!$B$34&amp;";",""),IF(AND($G50&lt;Hta_15,$G50&gt;=Hba_15,Input!AL$35&lt;&gt;""),Input!$B$35&amp;";",""),IF(AND($G50&lt;Hta_16,$G50&gt;=Hba_16,Input!AL$36&lt;&gt;""),Input!$B$36&amp;";",""),IF(AND($G50&lt;Hta_17,$G50&gt;=Hba_17,Input!AL$37&lt;&gt;""),Input!$B$37&amp;";",""),IF(AND($G50&lt;Hta_18,$G50&gt;=Hba_18,Input!AL$38&lt;&gt;""),Input!$B$38&amp;";",""),IF(AND($G50&lt;Hta_19,$G50&gt;=Hba_19,Input!AL$39&lt;&gt;""),Input!$B$39&amp;";",""),IF(AND($G50&lt;Hta_20,$G50&gt;=Hba_20,Input!AL$40&lt;&gt;""),Input!$B$40&amp;";",""),IF(AND($G50&lt;Hta_21,$G50&gt;=Hba_21,Input!AL$41&lt;&gt;""),Input!$B$41&amp;";",""),IF(AND($G50&lt;Hta_22,$G50&gt;=Hba_22,Input!AL$42&lt;&gt;""),Input!$B$42&amp;";",""),IF(AND($G50&lt;Hta_23,$G50&gt;=Hba_23,Input!AL$43&lt;&gt;""),Input!$B$43&amp;";",""),IF(AND($G50&lt;Hta_24,$G50&gt;=Hba_24,Input!AL$44&lt;&gt;""),Input!$B$44&amp;";",""),IF(AND($G50&lt;Hta_25,$G50&gt;=Hba_25,Input!AL$45&lt;&gt;""),Input!$B$45&amp;";",""),IF(AND($G50&lt;Hta_26,$G50&gt;=Hba_26,Input!AL$46&lt;&gt;""),Input!$B$46&amp;";",""),IF(AND($G50&lt;Hta_27,$G50&gt;=Hba_27,Input!AL$47&lt;&gt;""),Input!$B$47&amp;";",""),IF(AND($G50&lt;Hta_28,$G50&gt;=Hba_28,Input!AL$48&lt;&gt;""),Input!$B$48&amp;";",""),IF(AND($G50&lt;Hta_29,$G50&gt;=Hba_29,Input!AL$49&lt;&gt;""),Input!$B$49&amp;";",""),IF(AND($G50&lt;Hta_30,$G50&gt;=Hba_30,Input!AL$50&lt;&gt;""),Input!$B$50&amp;";","")),"")</f>
        <v/>
      </c>
      <c r="CN50" s="59" t="str">
        <f t="shared" si="6"/>
        <v/>
      </c>
      <c r="CO50" s="791"/>
      <c r="CP50" s="792"/>
      <c r="CQ50" s="793"/>
      <c r="CR50" s="791"/>
      <c r="CS50" s="792"/>
      <c r="CT50" s="793"/>
      <c r="CU50" s="791" t="str">
        <f t="shared" si="7"/>
        <v/>
      </c>
      <c r="CV50" s="792"/>
      <c r="CW50" s="807"/>
      <c r="CX50" s="808"/>
      <c r="CY50" s="730"/>
      <c r="CZ50" s="809"/>
      <c r="DA50" s="733"/>
      <c r="DB50" s="734"/>
      <c r="DC50" s="735"/>
      <c r="DD50" s="729" t="str">
        <f t="shared" si="8"/>
        <v/>
      </c>
      <c r="DE50" s="730"/>
      <c r="DF50" s="731"/>
      <c r="DG50" s="55"/>
      <c r="DH50" s="56"/>
      <c r="DI50" s="56"/>
      <c r="DJ50" s="56"/>
      <c r="DK50" s="56"/>
      <c r="DL50" s="56"/>
      <c r="DM50" s="56"/>
      <c r="DN50" s="56"/>
      <c r="DO50" s="56"/>
      <c r="DP50" s="56"/>
      <c r="DQ50" s="58"/>
      <c r="DR50" s="58"/>
      <c r="DS50" s="58"/>
      <c r="DT50" s="58"/>
      <c r="DU50" s="58"/>
      <c r="DV50" s="58"/>
      <c r="DW50" s="58"/>
      <c r="DX50" s="58"/>
      <c r="DY50" s="58"/>
      <c r="DZ50" s="58"/>
      <c r="EA50" s="58"/>
      <c r="EB50" s="58"/>
      <c r="EC50" s="58"/>
      <c r="ED50" s="58"/>
      <c r="EE50" s="58"/>
      <c r="EF50" s="58"/>
      <c r="EG50" s="58"/>
      <c r="EH50" s="58"/>
      <c r="EI50" s="58"/>
      <c r="EJ50" s="58"/>
      <c r="EK50" s="58"/>
      <c r="EL50" s="134"/>
      <c r="EM50" s="134"/>
      <c r="EN50" s="134"/>
      <c r="EO50" s="134"/>
      <c r="EP50" s="134"/>
      <c r="EQ50" s="134"/>
      <c r="ER50" s="134"/>
      <c r="ES50" s="134"/>
      <c r="ET50" s="134"/>
      <c r="EU50" s="134"/>
      <c r="EV50" s="134"/>
      <c r="EW50" s="134"/>
      <c r="EX50" s="134"/>
      <c r="EY50" s="134"/>
      <c r="EZ50" s="134"/>
      <c r="FA50" s="134"/>
      <c r="FB50" s="134"/>
      <c r="FC50" s="134"/>
      <c r="FD50" s="134"/>
      <c r="FE50" s="134"/>
      <c r="FF50" s="134"/>
      <c r="FG50" s="134"/>
      <c r="FH50" s="134"/>
      <c r="FI50" s="134"/>
      <c r="FJ50" s="134"/>
      <c r="FK50" s="134"/>
      <c r="FL50" s="134"/>
      <c r="FM50" s="134"/>
      <c r="FN50" s="134"/>
      <c r="FO50" s="134"/>
      <c r="FP50" s="65"/>
      <c r="FQ50" s="124"/>
      <c r="FR50" s="122"/>
      <c r="FS50" s="120"/>
      <c r="FT50" s="119"/>
    </row>
    <row r="51" spans="2:176" ht="15.75" hidden="1" customHeight="1" thickBot="1" x14ac:dyDescent="0.3">
      <c r="B51" s="62" t="b">
        <f>IF(OR(AND(G51&gt;='Geometry 2'!$AK$5,G51&lt;'Geometry 2'!$AL$5),AND(G51&gt;='Geometry 2'!$AK$6,G51&lt;'Geometry 2'!$AL$6),AND(G51&gt;='Geometry 2'!$AK$7,G51&lt;'Geometry 2'!$AL$7),AND(G51&gt;='Geometry 2'!$AK$8,G51&lt;'Geometry 2'!$AL$8),AND(G51&gt;='Geometry 2'!$AK$9,G51&lt;'Geometry 2'!$AL$9),AND(G51&gt;='Geometry 2'!$AK$10,G51&lt;'Geometry 2'!$AL$10),AND(G51&gt;='Geometry 2'!$AK$11,G51&lt;'Geometry 2'!$AL$11),AND(G51&gt;='Geometry 2'!$AK$12,G51&lt;'Geometry 2'!$AL$12),AND(G51&gt;='Geometry 2'!$AK$13,G51&lt;'Geometry 2'!$AL$13),AND(G51&gt;='Geometry 2'!$AK$14,G51&lt;'Geometry 2'!$AL$14)),TRUE,FALSE)</f>
        <v>0</v>
      </c>
      <c r="C51" s="4" t="str">
        <f t="shared" si="3"/>
        <v/>
      </c>
      <c r="D51" s="766" t="str">
        <f t="shared" si="4"/>
        <v/>
      </c>
      <c r="E51" s="767"/>
      <c r="F51" s="17" t="str">
        <f t="shared" si="2"/>
        <v/>
      </c>
      <c r="G51" s="768" t="str">
        <f>IF(D51="","",MAX(0,G50-IF(inc="n/a",999,inc),MAX(IF(G50&lt;=Hta_1,0,Hta_1),IF(G50&lt;=Hta_2,0,Hta_2),IF(G50&lt;=Hta_3,0,Hta_3),IF(G50&lt;=Hta_4,0,Hta_4),IF(G50&lt;=Hta_5,0,Hta_5),IF(G50&lt;=Hta_6,0,Hta_6),IF(G50&lt;=Hta_7,0,Hta_7),IF(G50&lt;=Hta_8,0,Hta_8),IF(G50&lt;=Hta_9,0,Hta_9),IF(G50&lt;=Hta_10,0,Hta_10),IF(G50&lt;=Hta_11,0,Hta_11),IF(G50&lt;=Hta_12,0,Hta_12),IF(G50&lt;=Hta_13,0,Hta_13),IF(G50&lt;=Hta_14,0,Hta_14),IF(G50&lt;=Hta_15,0,Hta_15),IF(G50&lt;=Hta_16,0,Hta_16),IF(G50&lt;=Hta_17,0,Hta_17),IF(G50&lt;=Hta_18,0,Hta_18),IF(G50&lt;=Hta_19,0,Hta_19),IF(G50&lt;=Hta_20,0,Hta_20),IF(G50&lt;=Hta_21,0,Hta_21),IF(G50&lt;=Hta_22,0,Hta_22),IF(G50&lt;=Hta_23,0,Hta_23),IF(G50&lt;=Hta_24,0,Hta_24),IF(G50&lt;=Hta_25,0,Hta_25),IF(G50&lt;=Hta_26,0,Hta_26),IF(G50&lt;=Hta_27,0,Hta_27),IF(G50&lt;=Hta_28,0,Hta_28),IF(G50&lt;=Hta_29,0,Hta_29),IF(G50&lt;=Hta_30,0,Hta_30)),MAX(IF(G50&lt;=Hta_1-0.25,0,Hta_1-0.25),IF(G50&lt;=Hta_2-0.25,0,Hta_2-0.25),IF(G50&lt;=Hta_3-0.25,0,Hta_3-0.25),IF(G50&lt;=Hta_4-0.25,0,Hta_4-0.25),IF(G50&lt;=Hta_5-0.25,0,Hta_5-0.25),IF(G50&lt;=Hta_6-0.25,0,Hta_6-0.25),IF(G50&lt;=Hta_7-0.25,0,Hta_7-0.25),IF(G50&lt;=Hta_8-0.25,0,Hta_8-0.25),IF(G50&lt;=Hta_9-0.25,0,Hta_9-0.25),IF(G50&lt;=Hta_10-0.25,0,Hta_10-0.25),IF(G50&lt;=Hta_11-0.25,0,Hta_11-0.25),IF(G50&lt;=Hta_12-0.25,0,Hta_12-0.25),IF(G50&lt;=Hta_13-0.25,0,Hta_13-0.25),IF(G50&lt;=Hta_14-0.25,0,Hta_14-0.25),IF(G50&lt;=Hta_15-0.25,0,Hta_15-0.25),IF(G50&lt;=Hta_16-0.25,0,Hta_16-0.25),IF(G50&lt;=Hta_17-0.25,0,Hta_17-0.25),IF(G50&lt;=Hta_18-0.25,0,Hta_18-0.25),IF(G50&lt;=Hta_19-0.25,0,Hta_19-0.25),IF(G50&lt;=Hta_20-0.25,0,Hta_20-0.25),IF(G50&lt;=Hta_21-0.25,0,Hta_21-0.25),IF(G50&lt;=Hta_22-0.25,0,Hta_22-0.25),IF(G50&lt;=Hta_23-0.25,0,Hta_23-0.25),IF(G50&lt;=Hta_24-0.25,0,Hta_24-0.25),IF(G50&lt;=Hta_25-0.25,0,Hta_25-0.25),IF(G50&lt;=Hta_26-0.25,0,Hta_26-0.25),IF(G50&lt;=Hta_27-0.25,0,Hta_27-0.25),IF(G50&lt;=Hta_28-0.25,0,Hta_28-0.25),IF(G50&lt;=Hta_29-0.25,0,Hta_29-0.25),IF(G50&lt;=Hta_30-0.25,0,Hta_30-0.25)),MAX(IF(G50&lt;=Hba_1,0,Hba_1),IF(G50&lt;=Hba_2,0,Hba_2),IF(G50&lt;=Hba_3,0,Hba_3),IF(G50&lt;=Hba_4,0,Hba_4),IF(G50&lt;=Hba_5,0,Hba_5),IF(G50&lt;=Hba_6,0,Hba_6),IF(G50&lt;=Hba_7,0,Hba_7),IF(G50&lt;=Hba_8,0,Hba_8),IF(G50&lt;=Hba_9,0,Hba_9),IF(G50&lt;=Hba_10,0,Hba_10),IF(G50&lt;=Hba_11,0,Hba_11),IF(G50&lt;=Hba_12,0,Hba_12),IF(G50&lt;=Hba_13,0,Hba_13),IF(G50&lt;=Hba_14,0,Hba_14),IF(G50&lt;=Hba_15,0,Hba_15),IF(G50&lt;=Hba_16,0,Hba_16),IF(G50&lt;=Hba_17,0,Hba_17),IF(G50&lt;=Hba_18,0,Hba_18),IF(G50&lt;=Hba_19,0,Hba_19),IF(G50&lt;=Hba_20,0,Hba_20),IF(G50&lt;=Hba_21,0,Hba_21),IF(G50&lt;=Hba_22,0,Hba_22),IF(G50&lt;=Hba_23,0,Hba_23),IF(G50&lt;=Hba_24,0,Hba_24),IF(G50&lt;=Hba_25,0,Hba_25),IF(G50&lt;=Hba_26,0,Hba_26),IF(G50&lt;=Hba_27,0,Hba_27),IF(G50&lt;=Hba_28,0,Hba_28),IF(G50&lt;=Hba_29,0,Hba_29),IF(G50&lt;=Hba_30,0,Hba_30)),MAX(IF(G50&lt;=Input!$C$8,0,Input!$C$8),IF(G50&lt;=Input!$C$9,0,Input!$C$9),IF(G50&lt;=Input!$C$10,0,Input!$C$10),IF(G50&lt;=Input!$C$11,0,Input!$C$11),IF(G50&lt;=Input!$C$12,0,Input!$C$12),IF(G50&lt;=Input!$C$13,0,Input!$C$13),IF(G50&lt;=Input!$C$14,0,Input!$C$14),IF(G50&lt;=Input!$C$15,0,Input!$C$15),IF(G50&lt;=Input!$C$16,0,Input!$C$16)),MAX(IF(G50&lt;=Hba_1-0.25,0,Hba_1-0.25),IF(G50&lt;=Hba_2-0.25,0,Hba_2-0.25),IF(G50&lt;=Hba_3-0.25,0,Hba_3-0.25),IF(G50&lt;=Hba_4-0.25,0,Hba_4-0.25),IF(G50&lt;=Hba_5-0.25,0,Hba_5-0.25),IF(G50&lt;=Hba_6-0.25,0,Hba_6-0.25),IF(G50&lt;=Hba_7-0.25,0,Hba_7-0.25),IF(G50&lt;=Hba_8-0.25,0,Hba_8-0.25),IF(G50&lt;=Hba_9-0.25,0,Hba_9-0.25),IF(G50&lt;=Hba_10-0.25,0,Hba_10-0.25),IF(G50&lt;=Hba_11-0.25,0,Hba_11-0.25),IF(G50&lt;=Hba_12-0.25,0,Hba_12-0.25),IF(G50&lt;=Hba_13-0.25,0,Hba_13-0.25),IF(G50&lt;=Hba_14-0.25,0,Hba_14-0.25),IF(G50&lt;=Hba_15-0.25,0,Hba_15-0.25),IF(G50&lt;=Hba_16-0.25,0,Hba_16-0.25),IF(G50&lt;=Hba_17-0.25,0,Hba_17-0.25),IF(G50&lt;=Hba_18-0.25,0,Hba_18-0.25),IF(G50&lt;=Hba_19-0.25,0,Hba_19-0.25),IF(G50&lt;=Hba_20-0.25,0,Hba_20-0.25),IF(G50&lt;=Hba_21-0.25,0,Hba_21-0.25),IF(G50&lt;=Hba_22-0.25,0,Hba_22-0.25),IF(G50&lt;=Hba_23-0.25,0,Hba_23-0.25),IF(G50&lt;=Hba_24-0.25,0,Hba_24-0.25),IF(G50&lt;=Hba_25-0.25,0,Hba_25-0.25),IF(G50&lt;=Hba_26-0.25,0,Hba_26-0.25),IF(G50&lt;=Hba_27-0.25,0,Hba_27-0.25),IF(G50&lt;=Hba_28-0.25,0,Hba_28-0.25),IF(G50&lt;=Hba_29-0.25,0,Hba_29-0.25),IF(G50&lt;=Hba_30-0.25,0,Hba_30-0.25)),IF(G50&lt;='Macro References'!$A$38,0,'Macro References'!$A$38)))</f>
        <v/>
      </c>
      <c r="H51" s="769"/>
      <c r="I51" s="228"/>
      <c r="J51" s="228"/>
      <c r="K51" s="228"/>
      <c r="L51" s="717" t="str">
        <f t="shared" si="10"/>
        <v/>
      </c>
      <c r="M51" s="717"/>
      <c r="N51" s="717"/>
      <c r="O51" s="717"/>
      <c r="P51" s="717" t="str">
        <f>IF(OR(G51=0,G51=""),"",IF(VLOOKUP(G51,'Geometry 2'!$C$4:$AI$14,1,TRUE)=VLOOKUP(G52,'Geometry 2'!$C$4:$AI$14,1,TRUE),"",IF(VLOOKUP(G51,'Geometry 2'!$C$4:$AI$14,33,TRUE)&lt;&gt;"n/a",MIN(G51,VLOOKUP(G51,'Geometry 2'!$C$4:$AI$14,1,TRUE))-VLOOKUP(G51,'Geometry 2'!$C$4:$AI$14,33,TRUE),"check")))</f>
        <v/>
      </c>
      <c r="Q51" s="717"/>
      <c r="R51" s="717"/>
      <c r="S51" s="717"/>
      <c r="T51" s="717" t="str">
        <f>IF($G51="","",VLOOKUP($G51,'Geometry 2'!$E$4:$AH$14,11,TRUE))</f>
        <v/>
      </c>
      <c r="U51" s="717"/>
      <c r="V51" s="717"/>
      <c r="W51" s="717"/>
      <c r="X51" s="716" t="str">
        <f>IF($G51="","",VLOOKUP($G51,'Geometry 2'!$E$4:$AJ$14,19,TRUE)-12*VLOOKUP($G51,'Geometry 2'!$E$4:$AJ$14,32,TRUE)*($D51-VLOOKUP($G51,'Geometry 2'!$E$5:$AH$14,1,TRUE)))</f>
        <v/>
      </c>
      <c r="Y51" s="716"/>
      <c r="Z51" s="716"/>
      <c r="AA51" s="716"/>
      <c r="AB51" s="757" t="str">
        <f>IF($G51="","",VLOOKUP($G51,'Geometry 2'!$E$4:$AJ$14,19,TRUE)-12*VLOOKUP($G51,'Geometry 2'!$E$4:$AJ$14,32,TRUE)*($G51-VLOOKUP($G51,'Geometry 2'!$E$5:$AH$14,1,TRUE)))</f>
        <v/>
      </c>
      <c r="AC51" s="758"/>
      <c r="AD51" s="758"/>
      <c r="AE51" s="759"/>
      <c r="AF51" s="716" t="str">
        <f>IF($G51="","",VLOOKUP($G51,'Geometry 2'!$E$4:$AJ$14,19,TRUE)-12*VLOOKUP($G51,'Geometry 2'!$E$4:$AJ$14,32,TRUE)*($G51-IF($P51="",0,$P51)-VLOOKUP($G51,'Geometry 2'!$E$5:$AH$14,1,TRUE)))</f>
        <v/>
      </c>
      <c r="AG51" s="716"/>
      <c r="AH51" s="716"/>
      <c r="AI51" s="716"/>
      <c r="AJ51" s="746" t="str">
        <f>IF($G51="","",VLOOKUP($G51,'Geometry 2'!$E$4:$AH$14,23,TRUE))</f>
        <v/>
      </c>
      <c r="AK51" s="747"/>
      <c r="AL51" s="747"/>
      <c r="AM51" s="748"/>
      <c r="AN51" s="717"/>
      <c r="AO51" s="717"/>
      <c r="AP51" s="717"/>
      <c r="AQ51" s="717"/>
      <c r="AR51" s="717" t="str">
        <f>IF($G51="","",VLOOKUP($G51,'Geometry 2'!$E$4:$AH$14,27,TRUE))</f>
        <v/>
      </c>
      <c r="AS51" s="717"/>
      <c r="AT51" s="717"/>
      <c r="AU51" s="718"/>
      <c r="AV51" s="715"/>
      <c r="AW51" s="716"/>
      <c r="AX51" s="716"/>
      <c r="AZ51" s="722" t="str">
        <f t="shared" si="5"/>
        <v/>
      </c>
      <c r="BA51" s="723"/>
      <c r="BB51" s="723"/>
      <c r="BC51" s="724"/>
      <c r="BD51" s="722"/>
      <c r="BE51" s="723"/>
      <c r="BF51" s="723"/>
      <c r="BG51" s="722" t="str">
        <f t="shared" si="9"/>
        <v/>
      </c>
      <c r="BH51" s="723"/>
      <c r="BI51" s="723"/>
      <c r="BJ51" s="723"/>
      <c r="BK51" s="724"/>
      <c r="BL51" s="722"/>
      <c r="BM51" s="723"/>
      <c r="BN51" s="723"/>
      <c r="BO51" s="723"/>
      <c r="BP51" s="725"/>
      <c r="BQ51" s="725"/>
      <c r="BR51" s="722" t="str">
        <f>IF(BP51="","",IF(OR(AND(Rev="H",Calculations!$F$27=TRUE),AND(Rev&lt;&gt;"H",Calculations!$F$30=TRUE)),IF(BP51&lt;=1,"Pass","Fail"),IF(BP51&lt;=1.05,"Pass","Fail")))</f>
        <v/>
      </c>
      <c r="BS51" s="723"/>
      <c r="BT51" s="724"/>
      <c r="BU51" s="49"/>
      <c r="BV51" s="25" t="str">
        <f>IFERROR(CONCATENATE(IF(AND($G51&lt;Hta_1,$G51&gt;=Hba_1,Input!U$21&lt;&gt;""),Input!$B$21&amp;";",""),IF(AND($G51&lt;Hta_2,$G51&gt;=Hba_2,Input!U$22&lt;&gt;""),Input!$B$22&amp;";",""),IF(AND($G51&lt;Hta_3,$G51&gt;=Hba_3,Input!U$23&lt;&gt;""),Input!$B$23&amp;";",""),IF(AND($G51&lt;Hta_4,$G51&gt;=Hba_4,Input!U$24&lt;&gt;""),Input!$B$24&amp;";",""),IF(AND($G51&lt;Hta_5,$G51&gt;=Hba_5,Input!U$25&lt;&gt;""),Input!$B$25&amp;";",""),IF(AND($G51&lt;Hta_6,$G51&gt;=Hba_6,Input!U$26&lt;&gt;""),Input!$B$26&amp;";",""),IF(AND($G51&lt;Hta_7,$G51&gt;=Hba_7,Input!U$27&lt;&gt;""),Input!$B$27&amp;";",""),IF(AND($G51&lt;Hta_8,$G51&gt;=Hba_8,Input!U$28&lt;&gt;""),Input!$B$28&amp;";",""),IF(AND($G51&lt;Hta_9,$G51&gt;=Hba_9,Input!U$29&lt;&gt;""),Input!$B$29&amp;";",""),IF(AND($G51&lt;Hta_10,$G51&gt;=Hba_10,Input!U$30&lt;&gt;""),Input!$B$30&amp;";",""),IF(AND($G51&lt;Hta_11,$G51&gt;=Hba_11,Input!U$31&lt;&gt;""),Input!$B$31&amp;";",""),IF(AND($G51&lt;Hta_12,$G51&gt;=Hba_12,Input!U$32&lt;&gt;""),Input!$B$32&amp;";",""),IF(AND($G51&lt;Hta_13,$G51&gt;=Hba_13,Input!U$33&lt;&gt;""),Input!$B$33&amp;";",""),IF(AND($G51&lt;Hta_14,$G51&gt;=Hba_14,Input!U$34&lt;&gt;""),Input!$B$34&amp;";",""),IF(AND($G51&lt;Hta_15,$G51&gt;=Hba_15,Input!U$35&lt;&gt;""),Input!$B$35&amp;";",""),IF(AND($G51&lt;Hta_16,$G51&gt;=Hba_16,Input!U$36&lt;&gt;""),Input!$B$36&amp;";",""),IF(AND($G51&lt;Hta_17,$G51&gt;=Hba_17,Input!U$37&lt;&gt;""),Input!$B$37&amp;";",""),IF(AND($G51&lt;Hta_18,$G51&gt;=Hba_18,Input!U$38&lt;&gt;""),Input!$B$38&amp;";",""),IF(AND($G51&lt;Hta_19,$G51&gt;=Hba_19,Input!U$39&lt;&gt;""),Input!$B$39&amp;";",""),IF(AND($G51&lt;Hta_20,$G51&gt;=Hba_20,Input!U$40&lt;&gt;""),Input!$B$40&amp;";",""),IF(AND($G51&lt;Hta_21,$G51&gt;=Hba_21,Input!U$41&lt;&gt;""),Input!$B$41&amp;";",""),IF(AND($G51&lt;Hta_22,$G51&gt;=Hba_22,Input!U$42&lt;&gt;""),Input!$B$42&amp;";",""),IF(AND($G51&lt;Hta_23,$G51&gt;=Hba_23,Input!U$43&lt;&gt;""),Input!$B$43&amp;";",""),IF(AND($G51&lt;Hta_24,$G51&gt;=Hba_24,Input!U$44&lt;&gt;""),Input!$B$44&amp;";",""),IF(AND($G51&lt;Hta_25,$G51&gt;=Hba_25,Input!U$45&lt;&gt;""),Input!$B$45&amp;";",""),IF(AND($G51&lt;Hta_26,$G51&gt;=Hba_26,Input!U$46&lt;&gt;""),Input!$B$46&amp;";",""),IF(AND($G51&lt;Hta_27,$G51&gt;=Hba_27,Input!U$47&lt;&gt;""),Input!$B$47&amp;";",""),IF(AND($G51&lt;Hta_28,$G51&gt;=Hba_28,Input!U$48&lt;&gt;""),Input!$B$48&amp;";",""),IF(AND($G51&lt;Hta_29,$G51&gt;=Hba_29,Input!U$49&lt;&gt;""),Input!$B$49&amp;";",""),IF(AND($G51&lt;Hta_30,$G51&gt;=Hba_30,Input!U$50&lt;&gt;""),Input!$B$50&amp;";","")),"")</f>
        <v/>
      </c>
      <c r="BW51" s="25" t="str">
        <f>IFERROR(CONCATENATE(IF(AND($G51&lt;Hta_1,$G51&gt;=Hba_1,Input!V$21&lt;&gt;""),Input!$B$21&amp;";",""),IF(AND($G51&lt;Hta_2,$G51&gt;=Hba_2,Input!V$22&lt;&gt;""),Input!$B$22&amp;";",""),IF(AND($G51&lt;Hta_3,$G51&gt;=Hba_3,Input!V$23&lt;&gt;""),Input!$B$23&amp;";",""),IF(AND($G51&lt;Hta_4,$G51&gt;=Hba_4,Input!V$24&lt;&gt;""),Input!$B$24&amp;";",""),IF(AND($G51&lt;Hta_5,$G51&gt;=Hba_5,Input!V$25&lt;&gt;""),Input!$B$25&amp;";",""),IF(AND($G51&lt;Hta_6,$G51&gt;=Hba_6,Input!V$26&lt;&gt;""),Input!$B$26&amp;";",""),IF(AND($G51&lt;Hta_7,$G51&gt;=Hba_7,Input!V$27&lt;&gt;""),Input!$B$27&amp;";",""),IF(AND($G51&lt;Hta_8,$G51&gt;=Hba_8,Input!V$28&lt;&gt;""),Input!$B$28&amp;";",""),IF(AND($G51&lt;Hta_9,$G51&gt;=Hba_9,Input!V$29&lt;&gt;""),Input!$B$29&amp;";",""),IF(AND($G51&lt;Hta_10,$G51&gt;=Hba_10,Input!V$30&lt;&gt;""),Input!$B$30&amp;";",""),IF(AND($G51&lt;Hta_11,$G51&gt;=Hba_11,Input!V$31&lt;&gt;""),Input!$B$31&amp;";",""),IF(AND($G51&lt;Hta_12,$G51&gt;=Hba_12,Input!V$32&lt;&gt;""),Input!$B$32&amp;";",""),IF(AND($G51&lt;Hta_13,$G51&gt;=Hba_13,Input!V$33&lt;&gt;""),Input!$B$33&amp;";",""),IF(AND($G51&lt;Hta_14,$G51&gt;=Hba_14,Input!V$34&lt;&gt;""),Input!$B$34&amp;";",""),IF(AND($G51&lt;Hta_15,$G51&gt;=Hba_15,Input!V$35&lt;&gt;""),Input!$B$35&amp;";",""),IF(AND($G51&lt;Hta_16,$G51&gt;=Hba_16,Input!V$36&lt;&gt;""),Input!$B$36&amp;";",""),IF(AND($G51&lt;Hta_17,$G51&gt;=Hba_17,Input!V$37&lt;&gt;""),Input!$B$37&amp;";",""),IF(AND($G51&lt;Hta_18,$G51&gt;=Hba_18,Input!V$38&lt;&gt;""),Input!$B$38&amp;";",""),IF(AND($G51&lt;Hta_19,$G51&gt;=Hba_19,Input!V$39&lt;&gt;""),Input!$B$39&amp;";",""),IF(AND($G51&lt;Hta_20,$G51&gt;=Hba_20,Input!V$40&lt;&gt;""),Input!$B$40&amp;";",""),IF(AND($G51&lt;Hta_21,$G51&gt;=Hba_21,Input!V$41&lt;&gt;""),Input!$B$41&amp;";",""),IF(AND($G51&lt;Hta_22,$G51&gt;=Hba_22,Input!V$42&lt;&gt;""),Input!$B$42&amp;";",""),IF(AND($G51&lt;Hta_23,$G51&gt;=Hba_23,Input!V$43&lt;&gt;""),Input!$B$43&amp;";",""),IF(AND($G51&lt;Hta_24,$G51&gt;=Hba_24,Input!V$44&lt;&gt;""),Input!$B$44&amp;";",""),IF(AND($G51&lt;Hta_25,$G51&gt;=Hba_25,Input!V$45&lt;&gt;""),Input!$B$45&amp;";",""),IF(AND($G51&lt;Hta_26,$G51&gt;=Hba_26,Input!V$46&lt;&gt;""),Input!$B$46&amp;";",""),IF(AND($G51&lt;Hta_27,$G51&gt;=Hba_27,Input!V$47&lt;&gt;""),Input!$B$47&amp;";",""),IF(AND($G51&lt;Hta_28,$G51&gt;=Hba_28,Input!V$48&lt;&gt;""),Input!$B$48&amp;";",""),IF(AND($G51&lt;Hta_29,$G51&gt;=Hba_29,Input!V$49&lt;&gt;""),Input!$B$49&amp;";",""),IF(AND($G51&lt;Hta_30,$G51&gt;=Hba_30,Input!V$50&lt;&gt;""),Input!$B$50&amp;";","")),"")</f>
        <v/>
      </c>
      <c r="BX51" s="25" t="str">
        <f>IFERROR(CONCATENATE(IF(AND($G51&lt;Hta_1,$G51&gt;=Hba_1,Input!W$21&lt;&gt;""),Input!$B$21&amp;";",""),IF(AND($G51&lt;Hta_2,$G51&gt;=Hba_2,Input!W$22&lt;&gt;""),Input!$B$22&amp;";",""),IF(AND($G51&lt;Hta_3,$G51&gt;=Hba_3,Input!W$23&lt;&gt;""),Input!$B$23&amp;";",""),IF(AND($G51&lt;Hta_4,$G51&gt;=Hba_4,Input!W$24&lt;&gt;""),Input!$B$24&amp;";",""),IF(AND($G51&lt;Hta_5,$G51&gt;=Hba_5,Input!W$25&lt;&gt;""),Input!$B$25&amp;";",""),IF(AND($G51&lt;Hta_6,$G51&gt;=Hba_6,Input!W$26&lt;&gt;""),Input!$B$26&amp;";",""),IF(AND($G51&lt;Hta_7,$G51&gt;=Hba_7,Input!W$27&lt;&gt;""),Input!$B$27&amp;";",""),IF(AND($G51&lt;Hta_8,$G51&gt;=Hba_8,Input!W$28&lt;&gt;""),Input!$B$28&amp;";",""),IF(AND($G51&lt;Hta_9,$G51&gt;=Hba_9,Input!W$29&lt;&gt;""),Input!$B$29&amp;";",""),IF(AND($G51&lt;Hta_10,$G51&gt;=Hba_10,Input!W$30&lt;&gt;""),Input!$B$30&amp;";",""),IF(AND($G51&lt;Hta_11,$G51&gt;=Hba_11,Input!W$31&lt;&gt;""),Input!$B$31&amp;";",""),IF(AND($G51&lt;Hta_12,$G51&gt;=Hba_12,Input!W$32&lt;&gt;""),Input!$B$32&amp;";",""),IF(AND($G51&lt;Hta_13,$G51&gt;=Hba_13,Input!W$33&lt;&gt;""),Input!$B$33&amp;";",""),IF(AND($G51&lt;Hta_14,$G51&gt;=Hba_14,Input!W$34&lt;&gt;""),Input!$B$34&amp;";",""),IF(AND($G51&lt;Hta_15,$G51&gt;=Hba_15,Input!W$35&lt;&gt;""),Input!$B$35&amp;";",""),IF(AND($G51&lt;Hta_16,$G51&gt;=Hba_16,Input!W$36&lt;&gt;""),Input!$B$36&amp;";",""),IF(AND($G51&lt;Hta_17,$G51&gt;=Hba_17,Input!W$37&lt;&gt;""),Input!$B$37&amp;";",""),IF(AND($G51&lt;Hta_18,$G51&gt;=Hba_18,Input!W$38&lt;&gt;""),Input!$B$38&amp;";",""),IF(AND($G51&lt;Hta_19,$G51&gt;=Hba_19,Input!W$39&lt;&gt;""),Input!$B$39&amp;";",""),IF(AND($G51&lt;Hta_20,$G51&gt;=Hba_20,Input!W$40&lt;&gt;""),Input!$B$40&amp;";",""),IF(AND($G51&lt;Hta_21,$G51&gt;=Hba_21,Input!W$41&lt;&gt;""),Input!$B$41&amp;";",""),IF(AND($G51&lt;Hta_22,$G51&gt;=Hba_22,Input!W$42&lt;&gt;""),Input!$B$42&amp;";",""),IF(AND($G51&lt;Hta_23,$G51&gt;=Hba_23,Input!W$43&lt;&gt;""),Input!$B$43&amp;";",""),IF(AND($G51&lt;Hta_24,$G51&gt;=Hba_24,Input!W$44&lt;&gt;""),Input!$B$44&amp;";",""),IF(AND($G51&lt;Hta_25,$G51&gt;=Hba_25,Input!W$45&lt;&gt;""),Input!$B$45&amp;";",""),IF(AND($G51&lt;Hta_26,$G51&gt;=Hba_26,Input!W$46&lt;&gt;""),Input!$B$46&amp;";",""),IF(AND($G51&lt;Hta_27,$G51&gt;=Hba_27,Input!W$47&lt;&gt;""),Input!$B$47&amp;";",""),IF(AND($G51&lt;Hta_28,$G51&gt;=Hba_28,Input!W$48&lt;&gt;""),Input!$B$48&amp;";",""),IF(AND($G51&lt;Hta_29,$G51&gt;=Hba_29,Input!W$49&lt;&gt;""),Input!$B$49&amp;";",""),IF(AND($G51&lt;Hta_30,$G51&gt;=Hba_30,Input!W$50&lt;&gt;""),Input!$B$50&amp;";","")),"")</f>
        <v/>
      </c>
      <c r="BY51" s="25" t="str">
        <f>IFERROR(CONCATENATE(IF(AND($G51&lt;Hta_1,$G51&gt;=Hba_1,Input!X$21&lt;&gt;""),Input!$B$21&amp;";",""),IF(AND($G51&lt;Hta_2,$G51&gt;=Hba_2,Input!X$22&lt;&gt;""),Input!$B$22&amp;";",""),IF(AND($G51&lt;Hta_3,$G51&gt;=Hba_3,Input!X$23&lt;&gt;""),Input!$B$23&amp;";",""),IF(AND($G51&lt;Hta_4,$G51&gt;=Hba_4,Input!X$24&lt;&gt;""),Input!$B$24&amp;";",""),IF(AND($G51&lt;Hta_5,$G51&gt;=Hba_5,Input!X$25&lt;&gt;""),Input!$B$25&amp;";",""),IF(AND($G51&lt;Hta_6,$G51&gt;=Hba_6,Input!X$26&lt;&gt;""),Input!$B$26&amp;";",""),IF(AND($G51&lt;Hta_7,$G51&gt;=Hba_7,Input!X$27&lt;&gt;""),Input!$B$27&amp;";",""),IF(AND($G51&lt;Hta_8,$G51&gt;=Hba_8,Input!X$28&lt;&gt;""),Input!$B$28&amp;";",""),IF(AND($G51&lt;Hta_9,$G51&gt;=Hba_9,Input!X$29&lt;&gt;""),Input!$B$29&amp;";",""),IF(AND($G51&lt;Hta_10,$G51&gt;=Hba_10,Input!X$30&lt;&gt;""),Input!$B$30&amp;";",""),IF(AND($G51&lt;Hta_11,$G51&gt;=Hba_11,Input!X$31&lt;&gt;""),Input!$B$31&amp;";",""),IF(AND($G51&lt;Hta_12,$G51&gt;=Hba_12,Input!X$32&lt;&gt;""),Input!$B$32&amp;";",""),IF(AND($G51&lt;Hta_13,$G51&gt;=Hba_13,Input!X$33&lt;&gt;""),Input!$B$33&amp;";",""),IF(AND($G51&lt;Hta_14,$G51&gt;=Hba_14,Input!X$34&lt;&gt;""),Input!$B$34&amp;";",""),IF(AND($G51&lt;Hta_15,$G51&gt;=Hba_15,Input!X$35&lt;&gt;""),Input!$B$35&amp;";",""),IF(AND($G51&lt;Hta_16,$G51&gt;=Hba_16,Input!X$36&lt;&gt;""),Input!$B$36&amp;";",""),IF(AND($G51&lt;Hta_17,$G51&gt;=Hba_17,Input!X$37&lt;&gt;""),Input!$B$37&amp;";",""),IF(AND($G51&lt;Hta_18,$G51&gt;=Hba_18,Input!X$38&lt;&gt;""),Input!$B$38&amp;";",""),IF(AND($G51&lt;Hta_19,$G51&gt;=Hba_19,Input!X$39&lt;&gt;""),Input!$B$39&amp;";",""),IF(AND($G51&lt;Hta_20,$G51&gt;=Hba_20,Input!X$40&lt;&gt;""),Input!$B$40&amp;";",""),IF(AND($G51&lt;Hta_21,$G51&gt;=Hba_21,Input!X$41&lt;&gt;""),Input!$B$41&amp;";",""),IF(AND($G51&lt;Hta_22,$G51&gt;=Hba_22,Input!X$42&lt;&gt;""),Input!$B$42&amp;";",""),IF(AND($G51&lt;Hta_23,$G51&gt;=Hba_23,Input!X$43&lt;&gt;""),Input!$B$43&amp;";",""),IF(AND($G51&lt;Hta_24,$G51&gt;=Hba_24,Input!X$44&lt;&gt;""),Input!$B$44&amp;";",""),IF(AND($G51&lt;Hta_25,$G51&gt;=Hba_25,Input!X$45&lt;&gt;""),Input!$B$45&amp;";",""),IF(AND($G51&lt;Hta_26,$G51&gt;=Hba_26,Input!X$46&lt;&gt;""),Input!$B$46&amp;";",""),IF(AND($G51&lt;Hta_27,$G51&gt;=Hba_27,Input!X$47&lt;&gt;""),Input!$B$47&amp;";",""),IF(AND($G51&lt;Hta_28,$G51&gt;=Hba_28,Input!X$48&lt;&gt;""),Input!$B$48&amp;";",""),IF(AND($G51&lt;Hta_29,$G51&gt;=Hba_29,Input!X$49&lt;&gt;""),Input!$B$49&amp;";",""),IF(AND($G51&lt;Hta_30,$G51&gt;=Hba_30,Input!X$50&lt;&gt;""),Input!$B$50&amp;";","")),"")</f>
        <v/>
      </c>
      <c r="BZ51" s="25" t="str">
        <f>IFERROR(CONCATENATE(IF(AND($G51&lt;Hta_1,$G51&gt;=Hba_1,Input!Y$21&lt;&gt;""),Input!$B$21&amp;";",""),IF(AND($G51&lt;Hta_2,$G51&gt;=Hba_2,Input!Y$22&lt;&gt;""),Input!$B$22&amp;";",""),IF(AND($G51&lt;Hta_3,$G51&gt;=Hba_3,Input!Y$23&lt;&gt;""),Input!$B$23&amp;";",""),IF(AND($G51&lt;Hta_4,$G51&gt;=Hba_4,Input!Y$24&lt;&gt;""),Input!$B$24&amp;";",""),IF(AND($G51&lt;Hta_5,$G51&gt;=Hba_5,Input!Y$25&lt;&gt;""),Input!$B$25&amp;";",""),IF(AND($G51&lt;Hta_6,$G51&gt;=Hba_6,Input!Y$26&lt;&gt;""),Input!$B$26&amp;";",""),IF(AND($G51&lt;Hta_7,$G51&gt;=Hba_7,Input!Y$27&lt;&gt;""),Input!$B$27&amp;";",""),IF(AND($G51&lt;Hta_8,$G51&gt;=Hba_8,Input!Y$28&lt;&gt;""),Input!$B$28&amp;";",""),IF(AND($G51&lt;Hta_9,$G51&gt;=Hba_9,Input!Y$29&lt;&gt;""),Input!$B$29&amp;";",""),IF(AND($G51&lt;Hta_10,$G51&gt;=Hba_10,Input!Y$30&lt;&gt;""),Input!$B$30&amp;";",""),IF(AND($G51&lt;Hta_11,$G51&gt;=Hba_11,Input!Y$31&lt;&gt;""),Input!$B$31&amp;";",""),IF(AND($G51&lt;Hta_12,$G51&gt;=Hba_12,Input!Y$32&lt;&gt;""),Input!$B$32&amp;";",""),IF(AND($G51&lt;Hta_13,$G51&gt;=Hba_13,Input!Y$33&lt;&gt;""),Input!$B$33&amp;";",""),IF(AND($G51&lt;Hta_14,$G51&gt;=Hba_14,Input!Y$34&lt;&gt;""),Input!$B$34&amp;";",""),IF(AND($G51&lt;Hta_15,$G51&gt;=Hba_15,Input!Y$35&lt;&gt;""),Input!$B$35&amp;";",""),IF(AND($G51&lt;Hta_16,$G51&gt;=Hba_16,Input!Y$36&lt;&gt;""),Input!$B$36&amp;";",""),IF(AND($G51&lt;Hta_17,$G51&gt;=Hba_17,Input!Y$37&lt;&gt;""),Input!$B$37&amp;";",""),IF(AND($G51&lt;Hta_18,$G51&gt;=Hba_18,Input!Y$38&lt;&gt;""),Input!$B$38&amp;";",""),IF(AND($G51&lt;Hta_19,$G51&gt;=Hba_19,Input!Y$39&lt;&gt;""),Input!$B$39&amp;";",""),IF(AND($G51&lt;Hta_20,$G51&gt;=Hba_20,Input!Y$40&lt;&gt;""),Input!$B$40&amp;";",""),IF(AND($G51&lt;Hta_21,$G51&gt;=Hba_21,Input!Y$41&lt;&gt;""),Input!$B$41&amp;";",""),IF(AND($G51&lt;Hta_22,$G51&gt;=Hba_22,Input!Y$42&lt;&gt;""),Input!$B$42&amp;";",""),IF(AND($G51&lt;Hta_23,$G51&gt;=Hba_23,Input!Y$43&lt;&gt;""),Input!$B$43&amp;";",""),IF(AND($G51&lt;Hta_24,$G51&gt;=Hba_24,Input!Y$44&lt;&gt;""),Input!$B$44&amp;";",""),IF(AND($G51&lt;Hta_25,$G51&gt;=Hba_25,Input!Y$45&lt;&gt;""),Input!$B$45&amp;";",""),IF(AND($G51&lt;Hta_26,$G51&gt;=Hba_26,Input!Y$46&lt;&gt;""),Input!$B$46&amp;";",""),IF(AND($G51&lt;Hta_27,$G51&gt;=Hba_27,Input!Y$47&lt;&gt;""),Input!$B$47&amp;";",""),IF(AND($G51&lt;Hta_28,$G51&gt;=Hba_28,Input!Y$48&lt;&gt;""),Input!$B$48&amp;";",""),IF(AND($G51&lt;Hta_29,$G51&gt;=Hba_29,Input!Y$49&lt;&gt;""),Input!$B$49&amp;";",""),IF(AND($G51&lt;Hta_30,$G51&gt;=Hba_30,Input!Y$50&lt;&gt;""),Input!$B$50&amp;";","")),"")</f>
        <v/>
      </c>
      <c r="CA51" s="25" t="str">
        <f>IFERROR(CONCATENATE(IF(AND($G51&lt;Hta_1,$G51&gt;=Hba_1,Input!Z$21&lt;&gt;""),Input!$B$21&amp;";",""),IF(AND($G51&lt;Hta_2,$G51&gt;=Hba_2,Input!Z$22&lt;&gt;""),Input!$B$22&amp;";",""),IF(AND($G51&lt;Hta_3,$G51&gt;=Hba_3,Input!Z$23&lt;&gt;""),Input!$B$23&amp;";",""),IF(AND($G51&lt;Hta_4,$G51&gt;=Hba_4,Input!Z$24&lt;&gt;""),Input!$B$24&amp;";",""),IF(AND($G51&lt;Hta_5,$G51&gt;=Hba_5,Input!Z$25&lt;&gt;""),Input!$B$25&amp;";",""),IF(AND($G51&lt;Hta_6,$G51&gt;=Hba_6,Input!Z$26&lt;&gt;""),Input!$B$26&amp;";",""),IF(AND($G51&lt;Hta_7,$G51&gt;=Hba_7,Input!Z$27&lt;&gt;""),Input!$B$27&amp;";",""),IF(AND($G51&lt;Hta_8,$G51&gt;=Hba_8,Input!Z$28&lt;&gt;""),Input!$B$28&amp;";",""),IF(AND($G51&lt;Hta_9,$G51&gt;=Hba_9,Input!Z$29&lt;&gt;""),Input!$B$29&amp;";",""),IF(AND($G51&lt;Hta_10,$G51&gt;=Hba_10,Input!Z$30&lt;&gt;""),Input!$B$30&amp;";",""),IF(AND($G51&lt;Hta_11,$G51&gt;=Hba_11,Input!Z$31&lt;&gt;""),Input!$B$31&amp;";",""),IF(AND($G51&lt;Hta_12,$G51&gt;=Hba_12,Input!Z$32&lt;&gt;""),Input!$B$32&amp;";",""),IF(AND($G51&lt;Hta_13,$G51&gt;=Hba_13,Input!Z$33&lt;&gt;""),Input!$B$33&amp;";",""),IF(AND($G51&lt;Hta_14,$G51&gt;=Hba_14,Input!Z$34&lt;&gt;""),Input!$B$34&amp;";",""),IF(AND($G51&lt;Hta_15,$G51&gt;=Hba_15,Input!Z$35&lt;&gt;""),Input!$B$35&amp;";",""),IF(AND($G51&lt;Hta_16,$G51&gt;=Hba_16,Input!Z$36&lt;&gt;""),Input!$B$36&amp;";",""),IF(AND($G51&lt;Hta_17,$G51&gt;=Hba_17,Input!Z$37&lt;&gt;""),Input!$B$37&amp;";",""),IF(AND($G51&lt;Hta_18,$G51&gt;=Hba_18,Input!Z$38&lt;&gt;""),Input!$B$38&amp;";",""),IF(AND($G51&lt;Hta_19,$G51&gt;=Hba_19,Input!Z$39&lt;&gt;""),Input!$B$39&amp;";",""),IF(AND($G51&lt;Hta_20,$G51&gt;=Hba_20,Input!Z$40&lt;&gt;""),Input!$B$40&amp;";",""),IF(AND($G51&lt;Hta_21,$G51&gt;=Hba_21,Input!Z$41&lt;&gt;""),Input!$B$41&amp;";",""),IF(AND($G51&lt;Hta_22,$G51&gt;=Hba_22,Input!Z$42&lt;&gt;""),Input!$B$42&amp;";",""),IF(AND($G51&lt;Hta_23,$G51&gt;=Hba_23,Input!Z$43&lt;&gt;""),Input!$B$43&amp;";",""),IF(AND($G51&lt;Hta_24,$G51&gt;=Hba_24,Input!Z$44&lt;&gt;""),Input!$B$44&amp;";",""),IF(AND($G51&lt;Hta_25,$G51&gt;=Hba_25,Input!Z$45&lt;&gt;""),Input!$B$45&amp;";",""),IF(AND($G51&lt;Hta_26,$G51&gt;=Hba_26,Input!Z$46&lt;&gt;""),Input!$B$46&amp;";",""),IF(AND($G51&lt;Hta_27,$G51&gt;=Hba_27,Input!Z$47&lt;&gt;""),Input!$B$47&amp;";",""),IF(AND($G51&lt;Hta_28,$G51&gt;=Hba_28,Input!Z$48&lt;&gt;""),Input!$B$48&amp;";",""),IF(AND($G51&lt;Hta_29,$G51&gt;=Hba_29,Input!Z$49&lt;&gt;""),Input!$B$49&amp;";",""),IF(AND($G51&lt;Hta_30,$G51&gt;=Hba_30,Input!Z$50&lt;&gt;""),Input!$B$50&amp;";","")),"")</f>
        <v/>
      </c>
      <c r="CB51" s="25" t="str">
        <f>IFERROR(CONCATENATE(IF(AND($G51&lt;Hta_1,$G51&gt;=Hba_1,Input!AA$21&lt;&gt;""),Input!$B$21&amp;";",""),IF(AND($G51&lt;Hta_2,$G51&gt;=Hba_2,Input!AA$22&lt;&gt;""),Input!$B$22&amp;";",""),IF(AND($G51&lt;Hta_3,$G51&gt;=Hba_3,Input!AA$23&lt;&gt;""),Input!$B$23&amp;";",""),IF(AND($G51&lt;Hta_4,$G51&gt;=Hba_4,Input!AA$24&lt;&gt;""),Input!$B$24&amp;";",""),IF(AND($G51&lt;Hta_5,$G51&gt;=Hba_5,Input!AA$25&lt;&gt;""),Input!$B$25&amp;";",""),IF(AND($G51&lt;Hta_6,$G51&gt;=Hba_6,Input!AA$26&lt;&gt;""),Input!$B$26&amp;";",""),IF(AND($G51&lt;Hta_7,$G51&gt;=Hba_7,Input!AA$27&lt;&gt;""),Input!$B$27&amp;";",""),IF(AND($G51&lt;Hta_8,$G51&gt;=Hba_8,Input!AA$28&lt;&gt;""),Input!$B$28&amp;";",""),IF(AND($G51&lt;Hta_9,$G51&gt;=Hba_9,Input!AA$29&lt;&gt;""),Input!$B$29&amp;";",""),IF(AND($G51&lt;Hta_10,$G51&gt;=Hba_10,Input!AA$30&lt;&gt;""),Input!$B$30&amp;";",""),IF(AND($G51&lt;Hta_11,$G51&gt;=Hba_11,Input!AA$31&lt;&gt;""),Input!$B$31&amp;";",""),IF(AND($G51&lt;Hta_12,$G51&gt;=Hba_12,Input!AA$32&lt;&gt;""),Input!$B$32&amp;";",""),IF(AND($G51&lt;Hta_13,$G51&gt;=Hba_13,Input!AA$33&lt;&gt;""),Input!$B$33&amp;";",""),IF(AND($G51&lt;Hta_14,$G51&gt;=Hba_14,Input!AA$34&lt;&gt;""),Input!$B$34&amp;";",""),IF(AND($G51&lt;Hta_15,$G51&gt;=Hba_15,Input!AA$35&lt;&gt;""),Input!$B$35&amp;";",""),IF(AND($G51&lt;Hta_16,$G51&gt;=Hba_16,Input!AA$36&lt;&gt;""),Input!$B$36&amp;";",""),IF(AND($G51&lt;Hta_17,$G51&gt;=Hba_17,Input!AA$37&lt;&gt;""),Input!$B$37&amp;";",""),IF(AND($G51&lt;Hta_18,$G51&gt;=Hba_18,Input!AA$38&lt;&gt;""),Input!$B$38&amp;";",""),IF(AND($G51&lt;Hta_19,$G51&gt;=Hba_19,Input!AA$39&lt;&gt;""),Input!$B$39&amp;";",""),IF(AND($G51&lt;Hta_20,$G51&gt;=Hba_20,Input!AA$40&lt;&gt;""),Input!$B$40&amp;";",""),IF(AND($G51&lt;Hta_21,$G51&gt;=Hba_21,Input!AA$41&lt;&gt;""),Input!$B$41&amp;";",""),IF(AND($G51&lt;Hta_22,$G51&gt;=Hba_22,Input!AA$42&lt;&gt;""),Input!$B$42&amp;";",""),IF(AND($G51&lt;Hta_23,$G51&gt;=Hba_23,Input!AA$43&lt;&gt;""),Input!$B$43&amp;";",""),IF(AND($G51&lt;Hta_24,$G51&gt;=Hba_24,Input!AA$44&lt;&gt;""),Input!$B$44&amp;";",""),IF(AND($G51&lt;Hta_25,$G51&gt;=Hba_25,Input!AA$45&lt;&gt;""),Input!$B$45&amp;";",""),IF(AND($G51&lt;Hta_26,$G51&gt;=Hba_26,Input!AA$46&lt;&gt;""),Input!$B$46&amp;";",""),IF(AND($G51&lt;Hta_27,$G51&gt;=Hba_27,Input!AA$47&lt;&gt;""),Input!$B$47&amp;";",""),IF(AND($G51&lt;Hta_28,$G51&gt;=Hba_28,Input!AA$48&lt;&gt;""),Input!$B$48&amp;";",""),IF(AND($G51&lt;Hta_29,$G51&gt;=Hba_29,Input!AA$49&lt;&gt;""),Input!$B$49&amp;";",""),IF(AND($G51&lt;Hta_30,$G51&gt;=Hba_30,Input!AA$50&lt;&gt;""),Input!$B$50&amp;";","")),"")</f>
        <v/>
      </c>
      <c r="CC51" s="25" t="str">
        <f>IFERROR(CONCATENATE(IF(AND($G51&lt;Hta_1,$G51&gt;=Hba_1,Input!AB$21&lt;&gt;""),Input!$B$21&amp;";",""),IF(AND($G51&lt;Hta_2,$G51&gt;=Hba_2,Input!AB$22&lt;&gt;""),Input!$B$22&amp;";",""),IF(AND($G51&lt;Hta_3,$G51&gt;=Hba_3,Input!AB$23&lt;&gt;""),Input!$B$23&amp;";",""),IF(AND($G51&lt;Hta_4,$G51&gt;=Hba_4,Input!AB$24&lt;&gt;""),Input!$B$24&amp;";",""),IF(AND($G51&lt;Hta_5,$G51&gt;=Hba_5,Input!AB$25&lt;&gt;""),Input!$B$25&amp;";",""),IF(AND($G51&lt;Hta_6,$G51&gt;=Hba_6,Input!AB$26&lt;&gt;""),Input!$B$26&amp;";",""),IF(AND($G51&lt;Hta_7,$G51&gt;=Hba_7,Input!AB$27&lt;&gt;""),Input!$B$27&amp;";",""),IF(AND($G51&lt;Hta_8,$G51&gt;=Hba_8,Input!AB$28&lt;&gt;""),Input!$B$28&amp;";",""),IF(AND($G51&lt;Hta_9,$G51&gt;=Hba_9,Input!AB$29&lt;&gt;""),Input!$B$29&amp;";",""),IF(AND($G51&lt;Hta_10,$G51&gt;=Hba_10,Input!AB$30&lt;&gt;""),Input!$B$30&amp;";",""),IF(AND($G51&lt;Hta_11,$G51&gt;=Hba_11,Input!AB$31&lt;&gt;""),Input!$B$31&amp;";",""),IF(AND($G51&lt;Hta_12,$G51&gt;=Hba_12,Input!AB$32&lt;&gt;""),Input!$B$32&amp;";",""),IF(AND($G51&lt;Hta_13,$G51&gt;=Hba_13,Input!AB$33&lt;&gt;""),Input!$B$33&amp;";",""),IF(AND($G51&lt;Hta_14,$G51&gt;=Hba_14,Input!AB$34&lt;&gt;""),Input!$B$34&amp;";",""),IF(AND($G51&lt;Hta_15,$G51&gt;=Hba_15,Input!AB$35&lt;&gt;""),Input!$B$35&amp;";",""),IF(AND($G51&lt;Hta_16,$G51&gt;=Hba_16,Input!AB$36&lt;&gt;""),Input!$B$36&amp;";",""),IF(AND($G51&lt;Hta_17,$G51&gt;=Hba_17,Input!AB$37&lt;&gt;""),Input!$B$37&amp;";",""),IF(AND($G51&lt;Hta_18,$G51&gt;=Hba_18,Input!AB$38&lt;&gt;""),Input!$B$38&amp;";",""),IF(AND($G51&lt;Hta_19,$G51&gt;=Hba_19,Input!AB$39&lt;&gt;""),Input!$B$39&amp;";",""),IF(AND($G51&lt;Hta_20,$G51&gt;=Hba_20,Input!AB$40&lt;&gt;""),Input!$B$40&amp;";",""),IF(AND($G51&lt;Hta_21,$G51&gt;=Hba_21,Input!AB$41&lt;&gt;""),Input!$B$41&amp;";",""),IF(AND($G51&lt;Hta_22,$G51&gt;=Hba_22,Input!AB$42&lt;&gt;""),Input!$B$42&amp;";",""),IF(AND($G51&lt;Hta_23,$G51&gt;=Hba_23,Input!AB$43&lt;&gt;""),Input!$B$43&amp;";",""),IF(AND($G51&lt;Hta_24,$G51&gt;=Hba_24,Input!AB$44&lt;&gt;""),Input!$B$44&amp;";",""),IF(AND($G51&lt;Hta_25,$G51&gt;=Hba_25,Input!AB$45&lt;&gt;""),Input!$B$45&amp;";",""),IF(AND($G51&lt;Hta_26,$G51&gt;=Hba_26,Input!AB$46&lt;&gt;""),Input!$B$46&amp;";",""),IF(AND($G51&lt;Hta_27,$G51&gt;=Hba_27,Input!AB$47&lt;&gt;""),Input!$B$47&amp;";",""),IF(AND($G51&lt;Hta_28,$G51&gt;=Hba_28,Input!AB$48&lt;&gt;""),Input!$B$48&amp;";",""),IF(AND($G51&lt;Hta_29,$G51&gt;=Hba_29,Input!AB$49&lt;&gt;""),Input!$B$49&amp;";",""),IF(AND($G51&lt;Hta_30,$G51&gt;=Hba_30,Input!AB$50&lt;&gt;""),Input!$B$50&amp;";","")),"")</f>
        <v/>
      </c>
      <c r="CD51" s="25" t="str">
        <f>IFERROR(CONCATENATE(IF(AND($G51&lt;Hta_1,$G51&gt;=Hba_1,Input!AC$21&lt;&gt;""),Input!$B$21&amp;";",""),IF(AND($G51&lt;Hta_2,$G51&gt;=Hba_2,Input!AC$22&lt;&gt;""),Input!$B$22&amp;";",""),IF(AND($G51&lt;Hta_3,$G51&gt;=Hba_3,Input!AC$23&lt;&gt;""),Input!$B$23&amp;";",""),IF(AND($G51&lt;Hta_4,$G51&gt;=Hba_4,Input!AC$24&lt;&gt;""),Input!$B$24&amp;";",""),IF(AND($G51&lt;Hta_5,$G51&gt;=Hba_5,Input!AC$25&lt;&gt;""),Input!$B$25&amp;";",""),IF(AND($G51&lt;Hta_6,$G51&gt;=Hba_6,Input!AC$26&lt;&gt;""),Input!$B$26&amp;";",""),IF(AND($G51&lt;Hta_7,$G51&gt;=Hba_7,Input!AC$27&lt;&gt;""),Input!$B$27&amp;";",""),IF(AND($G51&lt;Hta_8,$G51&gt;=Hba_8,Input!AC$28&lt;&gt;""),Input!$B$28&amp;";",""),IF(AND($G51&lt;Hta_9,$G51&gt;=Hba_9,Input!AC$29&lt;&gt;""),Input!$B$29&amp;";",""),IF(AND($G51&lt;Hta_10,$G51&gt;=Hba_10,Input!AC$30&lt;&gt;""),Input!$B$30&amp;";",""),IF(AND($G51&lt;Hta_11,$G51&gt;=Hba_11,Input!AC$31&lt;&gt;""),Input!$B$31&amp;";",""),IF(AND($G51&lt;Hta_12,$G51&gt;=Hba_12,Input!AC$32&lt;&gt;""),Input!$B$32&amp;";",""),IF(AND($G51&lt;Hta_13,$G51&gt;=Hba_13,Input!AC$33&lt;&gt;""),Input!$B$33&amp;";",""),IF(AND($G51&lt;Hta_14,$G51&gt;=Hba_14,Input!AC$34&lt;&gt;""),Input!$B$34&amp;";",""),IF(AND($G51&lt;Hta_15,$G51&gt;=Hba_15,Input!AC$35&lt;&gt;""),Input!$B$35&amp;";",""),IF(AND($G51&lt;Hta_16,$G51&gt;=Hba_16,Input!AC$36&lt;&gt;""),Input!$B$36&amp;";",""),IF(AND($G51&lt;Hta_17,$G51&gt;=Hba_17,Input!AC$37&lt;&gt;""),Input!$B$37&amp;";",""),IF(AND($G51&lt;Hta_18,$G51&gt;=Hba_18,Input!AC$38&lt;&gt;""),Input!$B$38&amp;";",""),IF(AND($G51&lt;Hta_19,$G51&gt;=Hba_19,Input!AC$39&lt;&gt;""),Input!$B$39&amp;";",""),IF(AND($G51&lt;Hta_20,$G51&gt;=Hba_20,Input!AC$40&lt;&gt;""),Input!$B$40&amp;";",""),IF(AND($G51&lt;Hta_21,$G51&gt;=Hba_21,Input!AC$41&lt;&gt;""),Input!$B$41&amp;";",""),IF(AND($G51&lt;Hta_22,$G51&gt;=Hba_22,Input!AC$42&lt;&gt;""),Input!$B$42&amp;";",""),IF(AND($G51&lt;Hta_23,$G51&gt;=Hba_23,Input!AC$43&lt;&gt;""),Input!$B$43&amp;";",""),IF(AND($G51&lt;Hta_24,$G51&gt;=Hba_24,Input!AC$44&lt;&gt;""),Input!$B$44&amp;";",""),IF(AND($G51&lt;Hta_25,$G51&gt;=Hba_25,Input!AC$45&lt;&gt;""),Input!$B$45&amp;";",""),IF(AND($G51&lt;Hta_26,$G51&gt;=Hba_26,Input!AC$46&lt;&gt;""),Input!$B$46&amp;";",""),IF(AND($G51&lt;Hta_27,$G51&gt;=Hba_27,Input!AC$47&lt;&gt;""),Input!$B$47&amp;";",""),IF(AND($G51&lt;Hta_28,$G51&gt;=Hba_28,Input!AC$48&lt;&gt;""),Input!$B$48&amp;";",""),IF(AND($G51&lt;Hta_29,$G51&gt;=Hba_29,Input!AC$49&lt;&gt;""),Input!$B$49&amp;";",""),IF(AND($G51&lt;Hta_30,$G51&gt;=Hba_30,Input!AC$50&lt;&gt;""),Input!$B$50&amp;";","")),"")</f>
        <v/>
      </c>
      <c r="CE51" s="25" t="str">
        <f>IFERROR(CONCATENATE(IF(AND($G51&lt;Hta_1,$G51&gt;=Hba_1,Input!AD$21&lt;&gt;""),Input!$B$21&amp;";",""),IF(AND($G51&lt;Hta_2,$G51&gt;=Hba_2,Input!AD$22&lt;&gt;""),Input!$B$22&amp;";",""),IF(AND($G51&lt;Hta_3,$G51&gt;=Hba_3,Input!AD$23&lt;&gt;""),Input!$B$23&amp;";",""),IF(AND($G51&lt;Hta_4,$G51&gt;=Hba_4,Input!AD$24&lt;&gt;""),Input!$B$24&amp;";",""),IF(AND($G51&lt;Hta_5,$G51&gt;=Hba_5,Input!AD$25&lt;&gt;""),Input!$B$25&amp;";",""),IF(AND($G51&lt;Hta_6,$G51&gt;=Hba_6,Input!AD$26&lt;&gt;""),Input!$B$26&amp;";",""),IF(AND($G51&lt;Hta_7,$G51&gt;=Hba_7,Input!AD$27&lt;&gt;""),Input!$B$27&amp;";",""),IF(AND($G51&lt;Hta_8,$G51&gt;=Hba_8,Input!AD$28&lt;&gt;""),Input!$B$28&amp;";",""),IF(AND($G51&lt;Hta_9,$G51&gt;=Hba_9,Input!AD$29&lt;&gt;""),Input!$B$29&amp;";",""),IF(AND($G51&lt;Hta_10,$G51&gt;=Hba_10,Input!AD$30&lt;&gt;""),Input!$B$30&amp;";",""),IF(AND($G51&lt;Hta_11,$G51&gt;=Hba_11,Input!AD$31&lt;&gt;""),Input!$B$31&amp;";",""),IF(AND($G51&lt;Hta_12,$G51&gt;=Hba_12,Input!AD$32&lt;&gt;""),Input!$B$32&amp;";",""),IF(AND($G51&lt;Hta_13,$G51&gt;=Hba_13,Input!AD$33&lt;&gt;""),Input!$B$33&amp;";",""),IF(AND($G51&lt;Hta_14,$G51&gt;=Hba_14,Input!AD$34&lt;&gt;""),Input!$B$34&amp;";",""),IF(AND($G51&lt;Hta_15,$G51&gt;=Hba_15,Input!AD$35&lt;&gt;""),Input!$B$35&amp;";",""),IF(AND($G51&lt;Hta_16,$G51&gt;=Hba_16,Input!AD$36&lt;&gt;""),Input!$B$36&amp;";",""),IF(AND($G51&lt;Hta_17,$G51&gt;=Hba_17,Input!AD$37&lt;&gt;""),Input!$B$37&amp;";",""),IF(AND($G51&lt;Hta_18,$G51&gt;=Hba_18,Input!AD$38&lt;&gt;""),Input!$B$38&amp;";",""),IF(AND($G51&lt;Hta_19,$G51&gt;=Hba_19,Input!AD$39&lt;&gt;""),Input!$B$39&amp;";",""),IF(AND($G51&lt;Hta_20,$G51&gt;=Hba_20,Input!AD$40&lt;&gt;""),Input!$B$40&amp;";",""),IF(AND($G51&lt;Hta_21,$G51&gt;=Hba_21,Input!AD$41&lt;&gt;""),Input!$B$41&amp;";",""),IF(AND($G51&lt;Hta_22,$G51&gt;=Hba_22,Input!AD$42&lt;&gt;""),Input!$B$42&amp;";",""),IF(AND($G51&lt;Hta_23,$G51&gt;=Hba_23,Input!AD$43&lt;&gt;""),Input!$B$43&amp;";",""),IF(AND($G51&lt;Hta_24,$G51&gt;=Hba_24,Input!AD$44&lt;&gt;""),Input!$B$44&amp;";",""),IF(AND($G51&lt;Hta_25,$G51&gt;=Hba_25,Input!AD$45&lt;&gt;""),Input!$B$45&amp;";",""),IF(AND($G51&lt;Hta_26,$G51&gt;=Hba_26,Input!AD$46&lt;&gt;""),Input!$B$46&amp;";",""),IF(AND($G51&lt;Hta_27,$G51&gt;=Hba_27,Input!AD$47&lt;&gt;""),Input!$B$47&amp;";",""),IF(AND($G51&lt;Hta_28,$G51&gt;=Hba_28,Input!AD$48&lt;&gt;""),Input!$B$48&amp;";",""),IF(AND($G51&lt;Hta_29,$G51&gt;=Hba_29,Input!AD$49&lt;&gt;""),Input!$B$49&amp;";",""),IF(AND($G51&lt;Hta_30,$G51&gt;=Hba_30,Input!AD$50&lt;&gt;""),Input!$B$50&amp;";","")),"")</f>
        <v/>
      </c>
      <c r="CF51" s="25" t="str">
        <f>IFERROR(CONCATENATE(IF(AND($G51&lt;Hta_1,$G51&gt;=Hba_1,Input!AE$21&lt;&gt;""),Input!$B$21&amp;";",""),IF(AND($G51&lt;Hta_2,$G51&gt;=Hba_2,Input!AE$22&lt;&gt;""),Input!$B$22&amp;";",""),IF(AND($G51&lt;Hta_3,$G51&gt;=Hba_3,Input!AE$23&lt;&gt;""),Input!$B$23&amp;";",""),IF(AND($G51&lt;Hta_4,$G51&gt;=Hba_4,Input!AE$24&lt;&gt;""),Input!$B$24&amp;";",""),IF(AND($G51&lt;Hta_5,$G51&gt;=Hba_5,Input!AE$25&lt;&gt;""),Input!$B$25&amp;";",""),IF(AND($G51&lt;Hta_6,$G51&gt;=Hba_6,Input!AE$26&lt;&gt;""),Input!$B$26&amp;";",""),IF(AND($G51&lt;Hta_7,$G51&gt;=Hba_7,Input!AE$27&lt;&gt;""),Input!$B$27&amp;";",""),IF(AND($G51&lt;Hta_8,$G51&gt;=Hba_8,Input!AE$28&lt;&gt;""),Input!$B$28&amp;";",""),IF(AND($G51&lt;Hta_9,$G51&gt;=Hba_9,Input!AE$29&lt;&gt;""),Input!$B$29&amp;";",""),IF(AND($G51&lt;Hta_10,$G51&gt;=Hba_10,Input!AE$30&lt;&gt;""),Input!$B$30&amp;";",""),IF(AND($G51&lt;Hta_11,$G51&gt;=Hba_11,Input!AE$31&lt;&gt;""),Input!$B$31&amp;";",""),IF(AND($G51&lt;Hta_12,$G51&gt;=Hba_12,Input!AE$32&lt;&gt;""),Input!$B$32&amp;";",""),IF(AND($G51&lt;Hta_13,$G51&gt;=Hba_13,Input!AE$33&lt;&gt;""),Input!$B$33&amp;";",""),IF(AND($G51&lt;Hta_14,$G51&gt;=Hba_14,Input!AE$34&lt;&gt;""),Input!$B$34&amp;";",""),IF(AND($G51&lt;Hta_15,$G51&gt;=Hba_15,Input!AE$35&lt;&gt;""),Input!$B$35&amp;";",""),IF(AND($G51&lt;Hta_16,$G51&gt;=Hba_16,Input!AE$36&lt;&gt;""),Input!$B$36&amp;";",""),IF(AND($G51&lt;Hta_17,$G51&gt;=Hba_17,Input!AE$37&lt;&gt;""),Input!$B$37&amp;";",""),IF(AND($G51&lt;Hta_18,$G51&gt;=Hba_18,Input!AE$38&lt;&gt;""),Input!$B$38&amp;";",""),IF(AND($G51&lt;Hta_19,$G51&gt;=Hba_19,Input!AE$39&lt;&gt;""),Input!$B$39&amp;";",""),IF(AND($G51&lt;Hta_20,$G51&gt;=Hba_20,Input!AE$40&lt;&gt;""),Input!$B$40&amp;";",""),IF(AND($G51&lt;Hta_21,$G51&gt;=Hba_21,Input!AE$41&lt;&gt;""),Input!$B$41&amp;";",""),IF(AND($G51&lt;Hta_22,$G51&gt;=Hba_22,Input!AE$42&lt;&gt;""),Input!$B$42&amp;";",""),IF(AND($G51&lt;Hta_23,$G51&gt;=Hba_23,Input!AE$43&lt;&gt;""),Input!$B$43&amp;";",""),IF(AND($G51&lt;Hta_24,$G51&gt;=Hba_24,Input!AE$44&lt;&gt;""),Input!$B$44&amp;";",""),IF(AND($G51&lt;Hta_25,$G51&gt;=Hba_25,Input!AE$45&lt;&gt;""),Input!$B$45&amp;";",""),IF(AND($G51&lt;Hta_26,$G51&gt;=Hba_26,Input!AE$46&lt;&gt;""),Input!$B$46&amp;";",""),IF(AND($G51&lt;Hta_27,$G51&gt;=Hba_27,Input!AE$47&lt;&gt;""),Input!$B$47&amp;";",""),IF(AND($G51&lt;Hta_28,$G51&gt;=Hba_28,Input!AE$48&lt;&gt;""),Input!$B$48&amp;";",""),IF(AND($G51&lt;Hta_29,$G51&gt;=Hba_29,Input!AE$49&lt;&gt;""),Input!$B$49&amp;";",""),IF(AND($G51&lt;Hta_30,$G51&gt;=Hba_30,Input!AE$50&lt;&gt;""),Input!$B$50&amp;";","")),"")</f>
        <v/>
      </c>
      <c r="CG51" s="25" t="str">
        <f>IFERROR(CONCATENATE(IF(AND($G51&lt;Hta_1,$G51&gt;=Hba_1,Input!AF$21&lt;&gt;""),Input!$B$21&amp;";",""),IF(AND($G51&lt;Hta_2,$G51&gt;=Hba_2,Input!AF$22&lt;&gt;""),Input!$B$22&amp;";",""),IF(AND($G51&lt;Hta_3,$G51&gt;=Hba_3,Input!AF$23&lt;&gt;""),Input!$B$23&amp;";",""),IF(AND($G51&lt;Hta_4,$G51&gt;=Hba_4,Input!AF$24&lt;&gt;""),Input!$B$24&amp;";",""),IF(AND($G51&lt;Hta_5,$G51&gt;=Hba_5,Input!AF$25&lt;&gt;""),Input!$B$25&amp;";",""),IF(AND($G51&lt;Hta_6,$G51&gt;=Hba_6,Input!AF$26&lt;&gt;""),Input!$B$26&amp;";",""),IF(AND($G51&lt;Hta_7,$G51&gt;=Hba_7,Input!AF$27&lt;&gt;""),Input!$B$27&amp;";",""),IF(AND($G51&lt;Hta_8,$G51&gt;=Hba_8,Input!AF$28&lt;&gt;""),Input!$B$28&amp;";",""),IF(AND($G51&lt;Hta_9,$G51&gt;=Hba_9,Input!AF$29&lt;&gt;""),Input!$B$29&amp;";",""),IF(AND($G51&lt;Hta_10,$G51&gt;=Hba_10,Input!AF$30&lt;&gt;""),Input!$B$30&amp;";",""),IF(AND($G51&lt;Hta_11,$G51&gt;=Hba_11,Input!AF$31&lt;&gt;""),Input!$B$31&amp;";",""),IF(AND($G51&lt;Hta_12,$G51&gt;=Hba_12,Input!AF$32&lt;&gt;""),Input!$B$32&amp;";",""),IF(AND($G51&lt;Hta_13,$G51&gt;=Hba_13,Input!AF$33&lt;&gt;""),Input!$B$33&amp;";",""),IF(AND($G51&lt;Hta_14,$G51&gt;=Hba_14,Input!AF$34&lt;&gt;""),Input!$B$34&amp;";",""),IF(AND($G51&lt;Hta_15,$G51&gt;=Hba_15,Input!AF$35&lt;&gt;""),Input!$B$35&amp;";",""),IF(AND($G51&lt;Hta_16,$G51&gt;=Hba_16,Input!AF$36&lt;&gt;""),Input!$B$36&amp;";",""),IF(AND($G51&lt;Hta_17,$G51&gt;=Hba_17,Input!AF$37&lt;&gt;""),Input!$B$37&amp;";",""),IF(AND($G51&lt;Hta_18,$G51&gt;=Hba_18,Input!AF$38&lt;&gt;""),Input!$B$38&amp;";",""),IF(AND($G51&lt;Hta_19,$G51&gt;=Hba_19,Input!AF$39&lt;&gt;""),Input!$B$39&amp;";",""),IF(AND($G51&lt;Hta_20,$G51&gt;=Hba_20,Input!AF$40&lt;&gt;""),Input!$B$40&amp;";",""),IF(AND($G51&lt;Hta_21,$G51&gt;=Hba_21,Input!AF$41&lt;&gt;""),Input!$B$41&amp;";",""),IF(AND($G51&lt;Hta_22,$G51&gt;=Hba_22,Input!AF$42&lt;&gt;""),Input!$B$42&amp;";",""),IF(AND($G51&lt;Hta_23,$G51&gt;=Hba_23,Input!AF$43&lt;&gt;""),Input!$B$43&amp;";",""),IF(AND($G51&lt;Hta_24,$G51&gt;=Hba_24,Input!AF$44&lt;&gt;""),Input!$B$44&amp;";",""),IF(AND($G51&lt;Hta_25,$G51&gt;=Hba_25,Input!AF$45&lt;&gt;""),Input!$B$45&amp;";",""),IF(AND($G51&lt;Hta_26,$G51&gt;=Hba_26,Input!AF$46&lt;&gt;""),Input!$B$46&amp;";",""),IF(AND($G51&lt;Hta_27,$G51&gt;=Hba_27,Input!AF$47&lt;&gt;""),Input!$B$47&amp;";",""),IF(AND($G51&lt;Hta_28,$G51&gt;=Hba_28,Input!AF$48&lt;&gt;""),Input!$B$48&amp;";",""),IF(AND($G51&lt;Hta_29,$G51&gt;=Hba_29,Input!AF$49&lt;&gt;""),Input!$B$49&amp;";",""),IF(AND($G51&lt;Hta_30,$G51&gt;=Hba_30,Input!AF$50&lt;&gt;""),Input!$B$50&amp;";","")),"")</f>
        <v/>
      </c>
      <c r="CH51" s="25" t="str">
        <f>IFERROR(CONCATENATE(IF(AND($G51&lt;Hta_1,$G51&gt;=Hba_1,Input!AG$21&lt;&gt;""),Input!$B$21&amp;";",""),IF(AND($G51&lt;Hta_2,$G51&gt;=Hba_2,Input!AG$22&lt;&gt;""),Input!$B$22&amp;";",""),IF(AND($G51&lt;Hta_3,$G51&gt;=Hba_3,Input!AG$23&lt;&gt;""),Input!$B$23&amp;";",""),IF(AND($G51&lt;Hta_4,$G51&gt;=Hba_4,Input!AG$24&lt;&gt;""),Input!$B$24&amp;";",""),IF(AND($G51&lt;Hta_5,$G51&gt;=Hba_5,Input!AG$25&lt;&gt;""),Input!$B$25&amp;";",""),IF(AND($G51&lt;Hta_6,$G51&gt;=Hba_6,Input!AG$26&lt;&gt;""),Input!$B$26&amp;";",""),IF(AND($G51&lt;Hta_7,$G51&gt;=Hba_7,Input!AG$27&lt;&gt;""),Input!$B$27&amp;";",""),IF(AND($G51&lt;Hta_8,$G51&gt;=Hba_8,Input!AG$28&lt;&gt;""),Input!$B$28&amp;";",""),IF(AND($G51&lt;Hta_9,$G51&gt;=Hba_9,Input!AG$29&lt;&gt;""),Input!$B$29&amp;";",""),IF(AND($G51&lt;Hta_10,$G51&gt;=Hba_10,Input!AG$30&lt;&gt;""),Input!$B$30&amp;";",""),IF(AND($G51&lt;Hta_11,$G51&gt;=Hba_11,Input!AG$31&lt;&gt;""),Input!$B$31&amp;";",""),IF(AND($G51&lt;Hta_12,$G51&gt;=Hba_12,Input!AG$32&lt;&gt;""),Input!$B$32&amp;";",""),IF(AND($G51&lt;Hta_13,$G51&gt;=Hba_13,Input!AG$33&lt;&gt;""),Input!$B$33&amp;";",""),IF(AND($G51&lt;Hta_14,$G51&gt;=Hba_14,Input!AG$34&lt;&gt;""),Input!$B$34&amp;";",""),IF(AND($G51&lt;Hta_15,$G51&gt;=Hba_15,Input!AG$35&lt;&gt;""),Input!$B$35&amp;";",""),IF(AND($G51&lt;Hta_16,$G51&gt;=Hba_16,Input!AG$36&lt;&gt;""),Input!$B$36&amp;";",""),IF(AND($G51&lt;Hta_17,$G51&gt;=Hba_17,Input!AG$37&lt;&gt;""),Input!$B$37&amp;";",""),IF(AND($G51&lt;Hta_18,$G51&gt;=Hba_18,Input!AG$38&lt;&gt;""),Input!$B$38&amp;";",""),IF(AND($G51&lt;Hta_19,$G51&gt;=Hba_19,Input!AG$39&lt;&gt;""),Input!$B$39&amp;";",""),IF(AND($G51&lt;Hta_20,$G51&gt;=Hba_20,Input!AG$40&lt;&gt;""),Input!$B$40&amp;";",""),IF(AND($G51&lt;Hta_21,$G51&gt;=Hba_21,Input!AG$41&lt;&gt;""),Input!$B$41&amp;";",""),IF(AND($G51&lt;Hta_22,$G51&gt;=Hba_22,Input!AG$42&lt;&gt;""),Input!$B$42&amp;";",""),IF(AND($G51&lt;Hta_23,$G51&gt;=Hba_23,Input!AG$43&lt;&gt;""),Input!$B$43&amp;";",""),IF(AND($G51&lt;Hta_24,$G51&gt;=Hba_24,Input!AG$44&lt;&gt;""),Input!$B$44&amp;";",""),IF(AND($G51&lt;Hta_25,$G51&gt;=Hba_25,Input!AG$45&lt;&gt;""),Input!$B$45&amp;";",""),IF(AND($G51&lt;Hta_26,$G51&gt;=Hba_26,Input!AG$46&lt;&gt;""),Input!$B$46&amp;";",""),IF(AND($G51&lt;Hta_27,$G51&gt;=Hba_27,Input!AG$47&lt;&gt;""),Input!$B$47&amp;";",""),IF(AND($G51&lt;Hta_28,$G51&gt;=Hba_28,Input!AG$48&lt;&gt;""),Input!$B$48&amp;";",""),IF(AND($G51&lt;Hta_29,$G51&gt;=Hba_29,Input!AG$49&lt;&gt;""),Input!$B$49&amp;";",""),IF(AND($G51&lt;Hta_30,$G51&gt;=Hba_30,Input!AG$50&lt;&gt;""),Input!$B$50&amp;";","")),"")</f>
        <v/>
      </c>
      <c r="CI51" s="25" t="str">
        <f>IFERROR(CONCATENATE(IF(AND($G51&lt;Hta_1,$G51&gt;=Hba_1,Input!AH$21&lt;&gt;""),Input!$B$21&amp;";",""),IF(AND($G51&lt;Hta_2,$G51&gt;=Hba_2,Input!AH$22&lt;&gt;""),Input!$B$22&amp;";",""),IF(AND($G51&lt;Hta_3,$G51&gt;=Hba_3,Input!AH$23&lt;&gt;""),Input!$B$23&amp;";",""),IF(AND($G51&lt;Hta_4,$G51&gt;=Hba_4,Input!AH$24&lt;&gt;""),Input!$B$24&amp;";",""),IF(AND($G51&lt;Hta_5,$G51&gt;=Hba_5,Input!AH$25&lt;&gt;""),Input!$B$25&amp;";",""),IF(AND($G51&lt;Hta_6,$G51&gt;=Hba_6,Input!AH$26&lt;&gt;""),Input!$B$26&amp;";",""),IF(AND($G51&lt;Hta_7,$G51&gt;=Hba_7,Input!AH$27&lt;&gt;""),Input!$B$27&amp;";",""),IF(AND($G51&lt;Hta_8,$G51&gt;=Hba_8,Input!AH$28&lt;&gt;""),Input!$B$28&amp;";",""),IF(AND($G51&lt;Hta_9,$G51&gt;=Hba_9,Input!AH$29&lt;&gt;""),Input!$B$29&amp;";",""),IF(AND($G51&lt;Hta_10,$G51&gt;=Hba_10,Input!AH$30&lt;&gt;""),Input!$B$30&amp;";",""),IF(AND($G51&lt;Hta_11,$G51&gt;=Hba_11,Input!AH$31&lt;&gt;""),Input!$B$31&amp;";",""),IF(AND($G51&lt;Hta_12,$G51&gt;=Hba_12,Input!AH$32&lt;&gt;""),Input!$B$32&amp;";",""),IF(AND($G51&lt;Hta_13,$G51&gt;=Hba_13,Input!AH$33&lt;&gt;""),Input!$B$33&amp;";",""),IF(AND($G51&lt;Hta_14,$G51&gt;=Hba_14,Input!AH$34&lt;&gt;""),Input!$B$34&amp;";",""),IF(AND($G51&lt;Hta_15,$G51&gt;=Hba_15,Input!AH$35&lt;&gt;""),Input!$B$35&amp;";",""),IF(AND($G51&lt;Hta_16,$G51&gt;=Hba_16,Input!AH$36&lt;&gt;""),Input!$B$36&amp;";",""),IF(AND($G51&lt;Hta_17,$G51&gt;=Hba_17,Input!AH$37&lt;&gt;""),Input!$B$37&amp;";",""),IF(AND($G51&lt;Hta_18,$G51&gt;=Hba_18,Input!AH$38&lt;&gt;""),Input!$B$38&amp;";",""),IF(AND($G51&lt;Hta_19,$G51&gt;=Hba_19,Input!AH$39&lt;&gt;""),Input!$B$39&amp;";",""),IF(AND($G51&lt;Hta_20,$G51&gt;=Hba_20,Input!AH$40&lt;&gt;""),Input!$B$40&amp;";",""),IF(AND($G51&lt;Hta_21,$G51&gt;=Hba_21,Input!AH$41&lt;&gt;""),Input!$B$41&amp;";",""),IF(AND($G51&lt;Hta_22,$G51&gt;=Hba_22,Input!AH$42&lt;&gt;""),Input!$B$42&amp;";",""),IF(AND($G51&lt;Hta_23,$G51&gt;=Hba_23,Input!AH$43&lt;&gt;""),Input!$B$43&amp;";",""),IF(AND($G51&lt;Hta_24,$G51&gt;=Hba_24,Input!AH$44&lt;&gt;""),Input!$B$44&amp;";",""),IF(AND($G51&lt;Hta_25,$G51&gt;=Hba_25,Input!AH$45&lt;&gt;""),Input!$B$45&amp;";",""),IF(AND($G51&lt;Hta_26,$G51&gt;=Hba_26,Input!AH$46&lt;&gt;""),Input!$B$46&amp;";",""),IF(AND($G51&lt;Hta_27,$G51&gt;=Hba_27,Input!AH$47&lt;&gt;""),Input!$B$47&amp;";",""),IF(AND($G51&lt;Hta_28,$G51&gt;=Hba_28,Input!AH$48&lt;&gt;""),Input!$B$48&amp;";",""),IF(AND($G51&lt;Hta_29,$G51&gt;=Hba_29,Input!AH$49&lt;&gt;""),Input!$B$49&amp;";",""),IF(AND($G51&lt;Hta_30,$G51&gt;=Hba_30,Input!AH$50&lt;&gt;""),Input!$B$50&amp;";","")),"")</f>
        <v/>
      </c>
      <c r="CJ51" s="25" t="str">
        <f>IFERROR(CONCATENATE(IF(AND($G51&lt;Hta_1,$G51&gt;=Hba_1,Input!AI$21&lt;&gt;""),Input!$B$21&amp;";",""),IF(AND($G51&lt;Hta_2,$G51&gt;=Hba_2,Input!AI$22&lt;&gt;""),Input!$B$22&amp;";",""),IF(AND($G51&lt;Hta_3,$G51&gt;=Hba_3,Input!AI$23&lt;&gt;""),Input!$B$23&amp;";",""),IF(AND($G51&lt;Hta_4,$G51&gt;=Hba_4,Input!AI$24&lt;&gt;""),Input!$B$24&amp;";",""),IF(AND($G51&lt;Hta_5,$G51&gt;=Hba_5,Input!AI$25&lt;&gt;""),Input!$B$25&amp;";",""),IF(AND($G51&lt;Hta_6,$G51&gt;=Hba_6,Input!AI$26&lt;&gt;""),Input!$B$26&amp;";",""),IF(AND($G51&lt;Hta_7,$G51&gt;=Hba_7,Input!AI$27&lt;&gt;""),Input!$B$27&amp;";",""),IF(AND($G51&lt;Hta_8,$G51&gt;=Hba_8,Input!AI$28&lt;&gt;""),Input!$B$28&amp;";",""),IF(AND($G51&lt;Hta_9,$G51&gt;=Hba_9,Input!AI$29&lt;&gt;""),Input!$B$29&amp;";",""),IF(AND($G51&lt;Hta_10,$G51&gt;=Hba_10,Input!AI$30&lt;&gt;""),Input!$B$30&amp;";",""),IF(AND($G51&lt;Hta_11,$G51&gt;=Hba_11,Input!AI$31&lt;&gt;""),Input!$B$31&amp;";",""),IF(AND($G51&lt;Hta_12,$G51&gt;=Hba_12,Input!AI$32&lt;&gt;""),Input!$B$32&amp;";",""),IF(AND($G51&lt;Hta_13,$G51&gt;=Hba_13,Input!AI$33&lt;&gt;""),Input!$B$33&amp;";",""),IF(AND($G51&lt;Hta_14,$G51&gt;=Hba_14,Input!AI$34&lt;&gt;""),Input!$B$34&amp;";",""),IF(AND($G51&lt;Hta_15,$G51&gt;=Hba_15,Input!AI$35&lt;&gt;""),Input!$B$35&amp;";",""),IF(AND($G51&lt;Hta_16,$G51&gt;=Hba_16,Input!AI$36&lt;&gt;""),Input!$B$36&amp;";",""),IF(AND($G51&lt;Hta_17,$G51&gt;=Hba_17,Input!AI$37&lt;&gt;""),Input!$B$37&amp;";",""),IF(AND($G51&lt;Hta_18,$G51&gt;=Hba_18,Input!AI$38&lt;&gt;""),Input!$B$38&amp;";",""),IF(AND($G51&lt;Hta_19,$G51&gt;=Hba_19,Input!AI$39&lt;&gt;""),Input!$B$39&amp;";",""),IF(AND($G51&lt;Hta_20,$G51&gt;=Hba_20,Input!AI$40&lt;&gt;""),Input!$B$40&amp;";",""),IF(AND($G51&lt;Hta_21,$G51&gt;=Hba_21,Input!AI$41&lt;&gt;""),Input!$B$41&amp;";",""),IF(AND($G51&lt;Hta_22,$G51&gt;=Hba_22,Input!AI$42&lt;&gt;""),Input!$B$42&amp;";",""),IF(AND($G51&lt;Hta_23,$G51&gt;=Hba_23,Input!AI$43&lt;&gt;""),Input!$B$43&amp;";",""),IF(AND($G51&lt;Hta_24,$G51&gt;=Hba_24,Input!AI$44&lt;&gt;""),Input!$B$44&amp;";",""),IF(AND($G51&lt;Hta_25,$G51&gt;=Hba_25,Input!AI$45&lt;&gt;""),Input!$B$45&amp;";",""),IF(AND($G51&lt;Hta_26,$G51&gt;=Hba_26,Input!AI$46&lt;&gt;""),Input!$B$46&amp;";",""),IF(AND($G51&lt;Hta_27,$G51&gt;=Hba_27,Input!AI$47&lt;&gt;""),Input!$B$47&amp;";",""),IF(AND($G51&lt;Hta_28,$G51&gt;=Hba_28,Input!AI$48&lt;&gt;""),Input!$B$48&amp;";",""),IF(AND($G51&lt;Hta_29,$G51&gt;=Hba_29,Input!AI$49&lt;&gt;""),Input!$B$49&amp;";",""),IF(AND($G51&lt;Hta_30,$G51&gt;=Hba_30,Input!AI$50&lt;&gt;""),Input!$B$50&amp;";","")),"")</f>
        <v/>
      </c>
      <c r="CK51" s="25" t="str">
        <f>IFERROR(CONCATENATE(IF(AND($G51&lt;Hta_1,$G51&gt;=Hba_1,Input!AJ$21&lt;&gt;""),Input!$B$21&amp;";",""),IF(AND($G51&lt;Hta_2,$G51&gt;=Hba_2,Input!AJ$22&lt;&gt;""),Input!$B$22&amp;";",""),IF(AND($G51&lt;Hta_3,$G51&gt;=Hba_3,Input!AJ$23&lt;&gt;""),Input!$B$23&amp;";",""),IF(AND($G51&lt;Hta_4,$G51&gt;=Hba_4,Input!AJ$24&lt;&gt;""),Input!$B$24&amp;";",""),IF(AND($G51&lt;Hta_5,$G51&gt;=Hba_5,Input!AJ$25&lt;&gt;""),Input!$B$25&amp;";",""),IF(AND($G51&lt;Hta_6,$G51&gt;=Hba_6,Input!AJ$26&lt;&gt;""),Input!$B$26&amp;";",""),IF(AND($G51&lt;Hta_7,$G51&gt;=Hba_7,Input!AJ$27&lt;&gt;""),Input!$B$27&amp;";",""),IF(AND($G51&lt;Hta_8,$G51&gt;=Hba_8,Input!AJ$28&lt;&gt;""),Input!$B$28&amp;";",""),IF(AND($G51&lt;Hta_9,$G51&gt;=Hba_9,Input!AJ$29&lt;&gt;""),Input!$B$29&amp;";",""),IF(AND($G51&lt;Hta_10,$G51&gt;=Hba_10,Input!AJ$30&lt;&gt;""),Input!$B$30&amp;";",""),IF(AND($G51&lt;Hta_11,$G51&gt;=Hba_11,Input!AJ$31&lt;&gt;""),Input!$B$31&amp;";",""),IF(AND($G51&lt;Hta_12,$G51&gt;=Hba_12,Input!AJ$32&lt;&gt;""),Input!$B$32&amp;";",""),IF(AND($G51&lt;Hta_13,$G51&gt;=Hba_13,Input!AJ$33&lt;&gt;""),Input!$B$33&amp;";",""),IF(AND($G51&lt;Hta_14,$G51&gt;=Hba_14,Input!AJ$34&lt;&gt;""),Input!$B$34&amp;";",""),IF(AND($G51&lt;Hta_15,$G51&gt;=Hba_15,Input!AJ$35&lt;&gt;""),Input!$B$35&amp;";",""),IF(AND($G51&lt;Hta_16,$G51&gt;=Hba_16,Input!AJ$36&lt;&gt;""),Input!$B$36&amp;";",""),IF(AND($G51&lt;Hta_17,$G51&gt;=Hba_17,Input!AJ$37&lt;&gt;""),Input!$B$37&amp;";",""),IF(AND($G51&lt;Hta_18,$G51&gt;=Hba_18,Input!AJ$38&lt;&gt;""),Input!$B$38&amp;";",""),IF(AND($G51&lt;Hta_19,$G51&gt;=Hba_19,Input!AJ$39&lt;&gt;""),Input!$B$39&amp;";",""),IF(AND($G51&lt;Hta_20,$G51&gt;=Hba_20,Input!AJ$40&lt;&gt;""),Input!$B$40&amp;";",""),IF(AND($G51&lt;Hta_21,$G51&gt;=Hba_21,Input!AJ$41&lt;&gt;""),Input!$B$41&amp;";",""),IF(AND($G51&lt;Hta_22,$G51&gt;=Hba_22,Input!AJ$42&lt;&gt;""),Input!$B$42&amp;";",""),IF(AND($G51&lt;Hta_23,$G51&gt;=Hba_23,Input!AJ$43&lt;&gt;""),Input!$B$43&amp;";",""),IF(AND($G51&lt;Hta_24,$G51&gt;=Hba_24,Input!AJ$44&lt;&gt;""),Input!$B$44&amp;";",""),IF(AND($G51&lt;Hta_25,$G51&gt;=Hba_25,Input!AJ$45&lt;&gt;""),Input!$B$45&amp;";",""),IF(AND($G51&lt;Hta_26,$G51&gt;=Hba_26,Input!AJ$46&lt;&gt;""),Input!$B$46&amp;";",""),IF(AND($G51&lt;Hta_27,$G51&gt;=Hba_27,Input!AJ$47&lt;&gt;""),Input!$B$47&amp;";",""),IF(AND($G51&lt;Hta_28,$G51&gt;=Hba_28,Input!AJ$48&lt;&gt;""),Input!$B$48&amp;";",""),IF(AND($G51&lt;Hta_29,$G51&gt;=Hba_29,Input!AJ$49&lt;&gt;""),Input!$B$49&amp;";",""),IF(AND($G51&lt;Hta_30,$G51&gt;=Hba_30,Input!AJ$50&lt;&gt;""),Input!$B$50&amp;";","")),"")</f>
        <v/>
      </c>
      <c r="CL51" s="25" t="str">
        <f>IFERROR(CONCATENATE(IF(AND($G51&lt;Hta_1,$G51&gt;=Hba_1,Input!AK$21&lt;&gt;""),Input!$B$21&amp;";",""),IF(AND($G51&lt;Hta_2,$G51&gt;=Hba_2,Input!AK$22&lt;&gt;""),Input!$B$22&amp;";",""),IF(AND($G51&lt;Hta_3,$G51&gt;=Hba_3,Input!AK$23&lt;&gt;""),Input!$B$23&amp;";",""),IF(AND($G51&lt;Hta_4,$G51&gt;=Hba_4,Input!AK$24&lt;&gt;""),Input!$B$24&amp;";",""),IF(AND($G51&lt;Hta_5,$G51&gt;=Hba_5,Input!AK$25&lt;&gt;""),Input!$B$25&amp;";",""),IF(AND($G51&lt;Hta_6,$G51&gt;=Hba_6,Input!AK$26&lt;&gt;""),Input!$B$26&amp;";",""),IF(AND($G51&lt;Hta_7,$G51&gt;=Hba_7,Input!AK$27&lt;&gt;""),Input!$B$27&amp;";",""),IF(AND($G51&lt;Hta_8,$G51&gt;=Hba_8,Input!AK$28&lt;&gt;""),Input!$B$28&amp;";",""),IF(AND($G51&lt;Hta_9,$G51&gt;=Hba_9,Input!AK$29&lt;&gt;""),Input!$B$29&amp;";",""),IF(AND($G51&lt;Hta_10,$G51&gt;=Hba_10,Input!AK$30&lt;&gt;""),Input!$B$30&amp;";",""),IF(AND($G51&lt;Hta_11,$G51&gt;=Hba_11,Input!AK$31&lt;&gt;""),Input!$B$31&amp;";",""),IF(AND($G51&lt;Hta_12,$G51&gt;=Hba_12,Input!AK$32&lt;&gt;""),Input!$B$32&amp;";",""),IF(AND($G51&lt;Hta_13,$G51&gt;=Hba_13,Input!AK$33&lt;&gt;""),Input!$B$33&amp;";",""),IF(AND($G51&lt;Hta_14,$G51&gt;=Hba_14,Input!AK$34&lt;&gt;""),Input!$B$34&amp;";",""),IF(AND($G51&lt;Hta_15,$G51&gt;=Hba_15,Input!AK$35&lt;&gt;""),Input!$B$35&amp;";",""),IF(AND($G51&lt;Hta_16,$G51&gt;=Hba_16,Input!AK$36&lt;&gt;""),Input!$B$36&amp;";",""),IF(AND($G51&lt;Hta_17,$G51&gt;=Hba_17,Input!AK$37&lt;&gt;""),Input!$B$37&amp;";",""),IF(AND($G51&lt;Hta_18,$G51&gt;=Hba_18,Input!AK$38&lt;&gt;""),Input!$B$38&amp;";",""),IF(AND($G51&lt;Hta_19,$G51&gt;=Hba_19,Input!AK$39&lt;&gt;""),Input!$B$39&amp;";",""),IF(AND($G51&lt;Hta_20,$G51&gt;=Hba_20,Input!AK$40&lt;&gt;""),Input!$B$40&amp;";",""),IF(AND($G51&lt;Hta_21,$G51&gt;=Hba_21,Input!AK$41&lt;&gt;""),Input!$B$41&amp;";",""),IF(AND($G51&lt;Hta_22,$G51&gt;=Hba_22,Input!AK$42&lt;&gt;""),Input!$B$42&amp;";",""),IF(AND($G51&lt;Hta_23,$G51&gt;=Hba_23,Input!AK$43&lt;&gt;""),Input!$B$43&amp;";",""),IF(AND($G51&lt;Hta_24,$G51&gt;=Hba_24,Input!AK$44&lt;&gt;""),Input!$B$44&amp;";",""),IF(AND($G51&lt;Hta_25,$G51&gt;=Hba_25,Input!AK$45&lt;&gt;""),Input!$B$45&amp;";",""),IF(AND($G51&lt;Hta_26,$G51&gt;=Hba_26,Input!AK$46&lt;&gt;""),Input!$B$46&amp;";",""),IF(AND($G51&lt;Hta_27,$G51&gt;=Hba_27,Input!AK$47&lt;&gt;""),Input!$B$47&amp;";",""),IF(AND($G51&lt;Hta_28,$G51&gt;=Hba_28,Input!AK$48&lt;&gt;""),Input!$B$48&amp;";",""),IF(AND($G51&lt;Hta_29,$G51&gt;=Hba_29,Input!AK$49&lt;&gt;""),Input!$B$49&amp;";",""),IF(AND($G51&lt;Hta_30,$G51&gt;=Hba_30,Input!AK$50&lt;&gt;""),Input!$B$50&amp;";","")),"")</f>
        <v/>
      </c>
      <c r="CM51" s="25" t="str">
        <f>IFERROR(CONCATENATE(IF(AND($G51&lt;Hta_1,$G51&gt;=Hba_1,Input!AL$21&lt;&gt;""),Input!$B$21&amp;";",""),IF(AND($G51&lt;Hta_2,$G51&gt;=Hba_2,Input!AL$22&lt;&gt;""),Input!$B$22&amp;";",""),IF(AND($G51&lt;Hta_3,$G51&gt;=Hba_3,Input!AL$23&lt;&gt;""),Input!$B$23&amp;";",""),IF(AND($G51&lt;Hta_4,$G51&gt;=Hba_4,Input!AL$24&lt;&gt;""),Input!$B$24&amp;";",""),IF(AND($G51&lt;Hta_5,$G51&gt;=Hba_5,Input!AL$25&lt;&gt;""),Input!$B$25&amp;";",""),IF(AND($G51&lt;Hta_6,$G51&gt;=Hba_6,Input!AL$26&lt;&gt;""),Input!$B$26&amp;";",""),IF(AND($G51&lt;Hta_7,$G51&gt;=Hba_7,Input!AL$27&lt;&gt;""),Input!$B$27&amp;";",""),IF(AND($G51&lt;Hta_8,$G51&gt;=Hba_8,Input!AL$28&lt;&gt;""),Input!$B$28&amp;";",""),IF(AND($G51&lt;Hta_9,$G51&gt;=Hba_9,Input!AL$29&lt;&gt;""),Input!$B$29&amp;";",""),IF(AND($G51&lt;Hta_10,$G51&gt;=Hba_10,Input!AL$30&lt;&gt;""),Input!$B$30&amp;";",""),IF(AND($G51&lt;Hta_11,$G51&gt;=Hba_11,Input!AL$31&lt;&gt;""),Input!$B$31&amp;";",""),IF(AND($G51&lt;Hta_12,$G51&gt;=Hba_12,Input!AL$32&lt;&gt;""),Input!$B$32&amp;";",""),IF(AND($G51&lt;Hta_13,$G51&gt;=Hba_13,Input!AL$33&lt;&gt;""),Input!$B$33&amp;";",""),IF(AND($G51&lt;Hta_14,$G51&gt;=Hba_14,Input!AL$34&lt;&gt;""),Input!$B$34&amp;";",""),IF(AND($G51&lt;Hta_15,$G51&gt;=Hba_15,Input!AL$35&lt;&gt;""),Input!$B$35&amp;";",""),IF(AND($G51&lt;Hta_16,$G51&gt;=Hba_16,Input!AL$36&lt;&gt;""),Input!$B$36&amp;";",""),IF(AND($G51&lt;Hta_17,$G51&gt;=Hba_17,Input!AL$37&lt;&gt;""),Input!$B$37&amp;";",""),IF(AND($G51&lt;Hta_18,$G51&gt;=Hba_18,Input!AL$38&lt;&gt;""),Input!$B$38&amp;";",""),IF(AND($G51&lt;Hta_19,$G51&gt;=Hba_19,Input!AL$39&lt;&gt;""),Input!$B$39&amp;";",""),IF(AND($G51&lt;Hta_20,$G51&gt;=Hba_20,Input!AL$40&lt;&gt;""),Input!$B$40&amp;";",""),IF(AND($G51&lt;Hta_21,$G51&gt;=Hba_21,Input!AL$41&lt;&gt;""),Input!$B$41&amp;";",""),IF(AND($G51&lt;Hta_22,$G51&gt;=Hba_22,Input!AL$42&lt;&gt;""),Input!$B$42&amp;";",""),IF(AND($G51&lt;Hta_23,$G51&gt;=Hba_23,Input!AL$43&lt;&gt;""),Input!$B$43&amp;";",""),IF(AND($G51&lt;Hta_24,$G51&gt;=Hba_24,Input!AL$44&lt;&gt;""),Input!$B$44&amp;";",""),IF(AND($G51&lt;Hta_25,$G51&gt;=Hba_25,Input!AL$45&lt;&gt;""),Input!$B$45&amp;";",""),IF(AND($G51&lt;Hta_26,$G51&gt;=Hba_26,Input!AL$46&lt;&gt;""),Input!$B$46&amp;";",""),IF(AND($G51&lt;Hta_27,$G51&gt;=Hba_27,Input!AL$47&lt;&gt;""),Input!$B$47&amp;";",""),IF(AND($G51&lt;Hta_28,$G51&gt;=Hba_28,Input!AL$48&lt;&gt;""),Input!$B$48&amp;";",""),IF(AND($G51&lt;Hta_29,$G51&gt;=Hba_29,Input!AL$49&lt;&gt;""),Input!$B$49&amp;";",""),IF(AND($G51&lt;Hta_30,$G51&gt;=Hba_30,Input!AL$50&lt;&gt;""),Input!$B$50&amp;";","")),"")</f>
        <v/>
      </c>
      <c r="CN51" s="60" t="str">
        <f t="shared" si="6"/>
        <v/>
      </c>
      <c r="CO51" s="798"/>
      <c r="CP51" s="799"/>
      <c r="CQ51" s="800"/>
      <c r="CR51" s="798"/>
      <c r="CS51" s="799"/>
      <c r="CT51" s="800"/>
      <c r="CU51" s="798" t="str">
        <f t="shared" si="7"/>
        <v/>
      </c>
      <c r="CV51" s="799"/>
      <c r="CW51" s="806"/>
      <c r="CX51" s="726"/>
      <c r="CY51" s="727"/>
      <c r="CZ51" s="732"/>
      <c r="DA51" s="726"/>
      <c r="DB51" s="727"/>
      <c r="DC51" s="732"/>
      <c r="DD51" s="726" t="str">
        <f t="shared" si="8"/>
        <v/>
      </c>
      <c r="DE51" s="727"/>
      <c r="DF51" s="728"/>
      <c r="DG51" s="53"/>
      <c r="DH51" s="54"/>
      <c r="DI51" s="54"/>
      <c r="DJ51" s="54"/>
      <c r="DK51" s="54"/>
      <c r="DL51" s="54"/>
      <c r="DM51" s="54"/>
      <c r="DN51" s="54"/>
      <c r="DO51" s="54"/>
      <c r="DP51" s="54"/>
      <c r="DQ51" s="57"/>
      <c r="DR51" s="57"/>
      <c r="DS51" s="57"/>
      <c r="DT51" s="57"/>
      <c r="DU51" s="57"/>
      <c r="DV51" s="57"/>
      <c r="DW51" s="57"/>
      <c r="DX51" s="57"/>
      <c r="DY51" s="57"/>
      <c r="DZ51" s="57"/>
      <c r="EA51" s="57"/>
      <c r="EB51" s="57"/>
      <c r="EC51" s="57"/>
      <c r="ED51" s="57"/>
      <c r="EE51" s="57"/>
      <c r="EF51" s="57"/>
      <c r="EG51" s="57"/>
      <c r="EH51" s="57"/>
      <c r="EI51" s="57"/>
      <c r="EJ51" s="57"/>
      <c r="EK51" s="57"/>
      <c r="EL51" s="133"/>
      <c r="EM51" s="133"/>
      <c r="EN51" s="133"/>
      <c r="EO51" s="133"/>
      <c r="EP51" s="133"/>
      <c r="EQ51" s="133"/>
      <c r="ER51" s="133"/>
      <c r="ES51" s="133"/>
      <c r="ET51" s="133"/>
      <c r="EU51" s="133"/>
      <c r="EV51" s="133"/>
      <c r="EW51" s="133"/>
      <c r="EX51" s="133"/>
      <c r="EY51" s="133"/>
      <c r="EZ51" s="133"/>
      <c r="FA51" s="133"/>
      <c r="FB51" s="133"/>
      <c r="FC51" s="133"/>
      <c r="FD51" s="133"/>
      <c r="FE51" s="133"/>
      <c r="FF51" s="133"/>
      <c r="FG51" s="133"/>
      <c r="FH51" s="133"/>
      <c r="FI51" s="133"/>
      <c r="FJ51" s="133"/>
      <c r="FK51" s="133"/>
      <c r="FL51" s="133"/>
      <c r="FM51" s="133"/>
      <c r="FN51" s="133"/>
      <c r="FO51" s="133"/>
      <c r="FP51" s="65"/>
      <c r="FQ51" s="125"/>
      <c r="FR51" s="123"/>
      <c r="FS51" s="121"/>
      <c r="FT51" s="119"/>
    </row>
    <row r="52" spans="2:176" ht="15.75" hidden="1" customHeight="1" thickBot="1" x14ac:dyDescent="0.3">
      <c r="B52" s="62" t="b">
        <f>IF(OR(AND(G52&gt;='Geometry 2'!$AK$5,G52&lt;'Geometry 2'!$AL$5),AND(G52&gt;='Geometry 2'!$AK$6,G52&lt;'Geometry 2'!$AL$6),AND(G52&gt;='Geometry 2'!$AK$7,G52&lt;'Geometry 2'!$AL$7),AND(G52&gt;='Geometry 2'!$AK$8,G52&lt;'Geometry 2'!$AL$8),AND(G52&gt;='Geometry 2'!$AK$9,G52&lt;'Geometry 2'!$AL$9),AND(G52&gt;='Geometry 2'!$AK$10,G52&lt;'Geometry 2'!$AL$10),AND(G52&gt;='Geometry 2'!$AK$11,G52&lt;'Geometry 2'!$AL$11),AND(G52&gt;='Geometry 2'!$AK$12,G52&lt;'Geometry 2'!$AL$12),AND(G52&gt;='Geometry 2'!$AK$13,G52&lt;'Geometry 2'!$AL$13),AND(G52&gt;='Geometry 2'!$AK$14,G52&lt;'Geometry 2'!$AL$14)),TRUE,FALSE)</f>
        <v>0</v>
      </c>
      <c r="C52" s="4" t="str">
        <f t="shared" si="3"/>
        <v/>
      </c>
      <c r="D52" s="766" t="str">
        <f t="shared" si="4"/>
        <v/>
      </c>
      <c r="E52" s="767"/>
      <c r="F52" s="17" t="str">
        <f t="shared" si="2"/>
        <v/>
      </c>
      <c r="G52" s="768" t="str">
        <f>IF(D52="","",MAX(0,G51-IF(inc="n/a",999,inc),MAX(IF(G51&lt;=Hta_1,0,Hta_1),IF(G51&lt;=Hta_2,0,Hta_2),IF(G51&lt;=Hta_3,0,Hta_3),IF(G51&lt;=Hta_4,0,Hta_4),IF(G51&lt;=Hta_5,0,Hta_5),IF(G51&lt;=Hta_6,0,Hta_6),IF(G51&lt;=Hta_7,0,Hta_7),IF(G51&lt;=Hta_8,0,Hta_8),IF(G51&lt;=Hta_9,0,Hta_9),IF(G51&lt;=Hta_10,0,Hta_10),IF(G51&lt;=Hta_11,0,Hta_11),IF(G51&lt;=Hta_12,0,Hta_12),IF(G51&lt;=Hta_13,0,Hta_13),IF(G51&lt;=Hta_14,0,Hta_14),IF(G51&lt;=Hta_15,0,Hta_15),IF(G51&lt;=Hta_16,0,Hta_16),IF(G51&lt;=Hta_17,0,Hta_17),IF(G51&lt;=Hta_18,0,Hta_18),IF(G51&lt;=Hta_19,0,Hta_19),IF(G51&lt;=Hta_20,0,Hta_20),IF(G51&lt;=Hta_21,0,Hta_21),IF(G51&lt;=Hta_22,0,Hta_22),IF(G51&lt;=Hta_23,0,Hta_23),IF(G51&lt;=Hta_24,0,Hta_24),IF(G51&lt;=Hta_25,0,Hta_25),IF(G51&lt;=Hta_26,0,Hta_26),IF(G51&lt;=Hta_27,0,Hta_27),IF(G51&lt;=Hta_28,0,Hta_28),IF(G51&lt;=Hta_29,0,Hta_29),IF(G51&lt;=Hta_30,0,Hta_30)),MAX(IF(G51&lt;=Hta_1-0.25,0,Hta_1-0.25),IF(G51&lt;=Hta_2-0.25,0,Hta_2-0.25),IF(G51&lt;=Hta_3-0.25,0,Hta_3-0.25),IF(G51&lt;=Hta_4-0.25,0,Hta_4-0.25),IF(G51&lt;=Hta_5-0.25,0,Hta_5-0.25),IF(G51&lt;=Hta_6-0.25,0,Hta_6-0.25),IF(G51&lt;=Hta_7-0.25,0,Hta_7-0.25),IF(G51&lt;=Hta_8-0.25,0,Hta_8-0.25),IF(G51&lt;=Hta_9-0.25,0,Hta_9-0.25),IF(G51&lt;=Hta_10-0.25,0,Hta_10-0.25),IF(G51&lt;=Hta_11-0.25,0,Hta_11-0.25),IF(G51&lt;=Hta_12-0.25,0,Hta_12-0.25),IF(G51&lt;=Hta_13-0.25,0,Hta_13-0.25),IF(G51&lt;=Hta_14-0.25,0,Hta_14-0.25),IF(G51&lt;=Hta_15-0.25,0,Hta_15-0.25),IF(G51&lt;=Hta_16-0.25,0,Hta_16-0.25),IF(G51&lt;=Hta_17-0.25,0,Hta_17-0.25),IF(G51&lt;=Hta_18-0.25,0,Hta_18-0.25),IF(G51&lt;=Hta_19-0.25,0,Hta_19-0.25),IF(G51&lt;=Hta_20-0.25,0,Hta_20-0.25),IF(G51&lt;=Hta_21-0.25,0,Hta_21-0.25),IF(G51&lt;=Hta_22-0.25,0,Hta_22-0.25),IF(G51&lt;=Hta_23-0.25,0,Hta_23-0.25),IF(G51&lt;=Hta_24-0.25,0,Hta_24-0.25),IF(G51&lt;=Hta_25-0.25,0,Hta_25-0.25),IF(G51&lt;=Hta_26-0.25,0,Hta_26-0.25),IF(G51&lt;=Hta_27-0.25,0,Hta_27-0.25),IF(G51&lt;=Hta_28-0.25,0,Hta_28-0.25),IF(G51&lt;=Hta_29-0.25,0,Hta_29-0.25),IF(G51&lt;=Hta_30-0.25,0,Hta_30-0.25)),MAX(IF(G51&lt;=Hba_1,0,Hba_1),IF(G51&lt;=Hba_2,0,Hba_2),IF(G51&lt;=Hba_3,0,Hba_3),IF(G51&lt;=Hba_4,0,Hba_4),IF(G51&lt;=Hba_5,0,Hba_5),IF(G51&lt;=Hba_6,0,Hba_6),IF(G51&lt;=Hba_7,0,Hba_7),IF(G51&lt;=Hba_8,0,Hba_8),IF(G51&lt;=Hba_9,0,Hba_9),IF(G51&lt;=Hba_10,0,Hba_10),IF(G51&lt;=Hba_11,0,Hba_11),IF(G51&lt;=Hba_12,0,Hba_12),IF(G51&lt;=Hba_13,0,Hba_13),IF(G51&lt;=Hba_14,0,Hba_14),IF(G51&lt;=Hba_15,0,Hba_15),IF(G51&lt;=Hba_16,0,Hba_16),IF(G51&lt;=Hba_17,0,Hba_17),IF(G51&lt;=Hba_18,0,Hba_18),IF(G51&lt;=Hba_19,0,Hba_19),IF(G51&lt;=Hba_20,0,Hba_20),IF(G51&lt;=Hba_21,0,Hba_21),IF(G51&lt;=Hba_22,0,Hba_22),IF(G51&lt;=Hba_23,0,Hba_23),IF(G51&lt;=Hba_24,0,Hba_24),IF(G51&lt;=Hba_25,0,Hba_25),IF(G51&lt;=Hba_26,0,Hba_26),IF(G51&lt;=Hba_27,0,Hba_27),IF(G51&lt;=Hba_28,0,Hba_28),IF(G51&lt;=Hba_29,0,Hba_29),IF(G51&lt;=Hba_30,0,Hba_30)),MAX(IF(G51&lt;=Input!$C$8,0,Input!$C$8),IF(G51&lt;=Input!$C$9,0,Input!$C$9),IF(G51&lt;=Input!$C$10,0,Input!$C$10),IF(G51&lt;=Input!$C$11,0,Input!$C$11),IF(G51&lt;=Input!$C$12,0,Input!$C$12),IF(G51&lt;=Input!$C$13,0,Input!$C$13),IF(G51&lt;=Input!$C$14,0,Input!$C$14),IF(G51&lt;=Input!$C$15,0,Input!$C$15),IF(G51&lt;=Input!$C$16,0,Input!$C$16)),MAX(IF(G51&lt;=Hba_1-0.25,0,Hba_1-0.25),IF(G51&lt;=Hba_2-0.25,0,Hba_2-0.25),IF(G51&lt;=Hba_3-0.25,0,Hba_3-0.25),IF(G51&lt;=Hba_4-0.25,0,Hba_4-0.25),IF(G51&lt;=Hba_5-0.25,0,Hba_5-0.25),IF(G51&lt;=Hba_6-0.25,0,Hba_6-0.25),IF(G51&lt;=Hba_7-0.25,0,Hba_7-0.25),IF(G51&lt;=Hba_8-0.25,0,Hba_8-0.25),IF(G51&lt;=Hba_9-0.25,0,Hba_9-0.25),IF(G51&lt;=Hba_10-0.25,0,Hba_10-0.25),IF(G51&lt;=Hba_11-0.25,0,Hba_11-0.25),IF(G51&lt;=Hba_12-0.25,0,Hba_12-0.25),IF(G51&lt;=Hba_13-0.25,0,Hba_13-0.25),IF(G51&lt;=Hba_14-0.25,0,Hba_14-0.25),IF(G51&lt;=Hba_15-0.25,0,Hba_15-0.25),IF(G51&lt;=Hba_16-0.25,0,Hba_16-0.25),IF(G51&lt;=Hba_17-0.25,0,Hba_17-0.25),IF(G51&lt;=Hba_18-0.25,0,Hba_18-0.25),IF(G51&lt;=Hba_19-0.25,0,Hba_19-0.25),IF(G51&lt;=Hba_20-0.25,0,Hba_20-0.25),IF(G51&lt;=Hba_21-0.25,0,Hba_21-0.25),IF(G51&lt;=Hba_22-0.25,0,Hba_22-0.25),IF(G51&lt;=Hba_23-0.25,0,Hba_23-0.25),IF(G51&lt;=Hba_24-0.25,0,Hba_24-0.25),IF(G51&lt;=Hba_25-0.25,0,Hba_25-0.25),IF(G51&lt;=Hba_26-0.25,0,Hba_26-0.25),IF(G51&lt;=Hba_27-0.25,0,Hba_27-0.25),IF(G51&lt;=Hba_28-0.25,0,Hba_28-0.25),IF(G51&lt;=Hba_29-0.25,0,Hba_29-0.25),IF(G51&lt;=Hba_30-0.25,0,Hba_30-0.25)),IF(G51&lt;='Macro References'!$A$38,0,'Macro References'!$A$38)))</f>
        <v/>
      </c>
      <c r="H52" s="769"/>
      <c r="I52" s="228"/>
      <c r="J52" s="228"/>
      <c r="K52" s="228"/>
      <c r="L52" s="717" t="str">
        <f t="shared" si="10"/>
        <v/>
      </c>
      <c r="M52" s="717"/>
      <c r="N52" s="717"/>
      <c r="O52" s="717"/>
      <c r="P52" s="717" t="str">
        <f>IF(OR(G52=0,G52=""),"",IF(VLOOKUP(G52,'Geometry 2'!$C$4:$AI$14,1,TRUE)=VLOOKUP(G53,'Geometry 2'!$C$4:$AI$14,1,TRUE),"",IF(VLOOKUP(G52,'Geometry 2'!$C$4:$AI$14,33,TRUE)&lt;&gt;"n/a",MIN(G52,VLOOKUP(G52,'Geometry 2'!$C$4:$AI$14,1,TRUE))-VLOOKUP(G52,'Geometry 2'!$C$4:$AI$14,33,TRUE),"check")))</f>
        <v/>
      </c>
      <c r="Q52" s="717"/>
      <c r="R52" s="717"/>
      <c r="S52" s="717"/>
      <c r="T52" s="717" t="str">
        <f>IF($G52="","",VLOOKUP($G52,'Geometry 2'!$E$4:$AH$14,11,TRUE))</f>
        <v/>
      </c>
      <c r="U52" s="717"/>
      <c r="V52" s="717"/>
      <c r="W52" s="717"/>
      <c r="X52" s="716" t="str">
        <f>IF($G52="","",VLOOKUP($G52,'Geometry 2'!$E$4:$AJ$14,19,TRUE)-12*VLOOKUP($G52,'Geometry 2'!$E$4:$AJ$14,32,TRUE)*($D52-VLOOKUP($G52,'Geometry 2'!$E$5:$AH$14,1,TRUE)))</f>
        <v/>
      </c>
      <c r="Y52" s="716"/>
      <c r="Z52" s="716"/>
      <c r="AA52" s="716"/>
      <c r="AB52" s="757" t="str">
        <f>IF($G52="","",VLOOKUP($G52,'Geometry 2'!$E$4:$AJ$14,19,TRUE)-12*VLOOKUP($G52,'Geometry 2'!$E$4:$AJ$14,32,TRUE)*($G52-VLOOKUP($G52,'Geometry 2'!$E$5:$AH$14,1,TRUE)))</f>
        <v/>
      </c>
      <c r="AC52" s="758"/>
      <c r="AD52" s="758"/>
      <c r="AE52" s="759"/>
      <c r="AF52" s="716" t="str">
        <f>IF($G52="","",VLOOKUP($G52,'Geometry 2'!$E$4:$AJ$14,19,TRUE)-12*VLOOKUP($G52,'Geometry 2'!$E$4:$AJ$14,32,TRUE)*($G52-IF($P52="",0,$P52)-VLOOKUP($G52,'Geometry 2'!$E$5:$AH$14,1,TRUE)))</f>
        <v/>
      </c>
      <c r="AG52" s="716"/>
      <c r="AH52" s="716"/>
      <c r="AI52" s="716"/>
      <c r="AJ52" s="746" t="str">
        <f>IF($G52="","",VLOOKUP($G52,'Geometry 2'!$E$4:$AH$14,23,TRUE))</f>
        <v/>
      </c>
      <c r="AK52" s="747"/>
      <c r="AL52" s="747"/>
      <c r="AM52" s="748"/>
      <c r="AN52" s="717"/>
      <c r="AO52" s="717"/>
      <c r="AP52" s="717"/>
      <c r="AQ52" s="717"/>
      <c r="AR52" s="717" t="str">
        <f>IF($G52="","",VLOOKUP($G52,'Geometry 2'!$E$4:$AH$14,27,TRUE))</f>
        <v/>
      </c>
      <c r="AS52" s="717"/>
      <c r="AT52" s="717"/>
      <c r="AU52" s="718"/>
      <c r="AV52" s="715"/>
      <c r="AW52" s="716"/>
      <c r="AX52" s="716"/>
      <c r="AZ52" s="722" t="str">
        <f t="shared" si="5"/>
        <v/>
      </c>
      <c r="BA52" s="723"/>
      <c r="BB52" s="723"/>
      <c r="BC52" s="724"/>
      <c r="BD52" s="722"/>
      <c r="BE52" s="723"/>
      <c r="BF52" s="723"/>
      <c r="BG52" s="722" t="str">
        <f t="shared" si="9"/>
        <v/>
      </c>
      <c r="BH52" s="723"/>
      <c r="BI52" s="723"/>
      <c r="BJ52" s="723"/>
      <c r="BK52" s="724"/>
      <c r="BL52" s="722"/>
      <c r="BM52" s="723"/>
      <c r="BN52" s="723"/>
      <c r="BO52" s="723"/>
      <c r="BP52" s="725"/>
      <c r="BQ52" s="725"/>
      <c r="BR52" s="722" t="str">
        <f>IF(BP52="","",IF(OR(AND(Rev="H",Calculations!$F$27=TRUE),AND(Rev&lt;&gt;"H",Calculations!$F$30=TRUE)),IF(BP52&lt;=1,"Pass","Fail"),IF(BP52&lt;=1.05,"Pass","Fail")))</f>
        <v/>
      </c>
      <c r="BS52" s="723"/>
      <c r="BT52" s="724"/>
      <c r="BU52" s="49"/>
      <c r="BV52" s="25" t="str">
        <f>IFERROR(CONCATENATE(IF(AND($G52&lt;Hta_1,$G52&gt;=Hba_1,Input!U$21&lt;&gt;""),Input!$B$21&amp;";",""),IF(AND($G52&lt;Hta_2,$G52&gt;=Hba_2,Input!U$22&lt;&gt;""),Input!$B$22&amp;";",""),IF(AND($G52&lt;Hta_3,$G52&gt;=Hba_3,Input!U$23&lt;&gt;""),Input!$B$23&amp;";",""),IF(AND($G52&lt;Hta_4,$G52&gt;=Hba_4,Input!U$24&lt;&gt;""),Input!$B$24&amp;";",""),IF(AND($G52&lt;Hta_5,$G52&gt;=Hba_5,Input!U$25&lt;&gt;""),Input!$B$25&amp;";",""),IF(AND($G52&lt;Hta_6,$G52&gt;=Hba_6,Input!U$26&lt;&gt;""),Input!$B$26&amp;";",""),IF(AND($G52&lt;Hta_7,$G52&gt;=Hba_7,Input!U$27&lt;&gt;""),Input!$B$27&amp;";",""),IF(AND($G52&lt;Hta_8,$G52&gt;=Hba_8,Input!U$28&lt;&gt;""),Input!$B$28&amp;";",""),IF(AND($G52&lt;Hta_9,$G52&gt;=Hba_9,Input!U$29&lt;&gt;""),Input!$B$29&amp;";",""),IF(AND($G52&lt;Hta_10,$G52&gt;=Hba_10,Input!U$30&lt;&gt;""),Input!$B$30&amp;";",""),IF(AND($G52&lt;Hta_11,$G52&gt;=Hba_11,Input!U$31&lt;&gt;""),Input!$B$31&amp;";",""),IF(AND($G52&lt;Hta_12,$G52&gt;=Hba_12,Input!U$32&lt;&gt;""),Input!$B$32&amp;";",""),IF(AND($G52&lt;Hta_13,$G52&gt;=Hba_13,Input!U$33&lt;&gt;""),Input!$B$33&amp;";",""),IF(AND($G52&lt;Hta_14,$G52&gt;=Hba_14,Input!U$34&lt;&gt;""),Input!$B$34&amp;";",""),IF(AND($G52&lt;Hta_15,$G52&gt;=Hba_15,Input!U$35&lt;&gt;""),Input!$B$35&amp;";",""),IF(AND($G52&lt;Hta_16,$G52&gt;=Hba_16,Input!U$36&lt;&gt;""),Input!$B$36&amp;";",""),IF(AND($G52&lt;Hta_17,$G52&gt;=Hba_17,Input!U$37&lt;&gt;""),Input!$B$37&amp;";",""),IF(AND($G52&lt;Hta_18,$G52&gt;=Hba_18,Input!U$38&lt;&gt;""),Input!$B$38&amp;";",""),IF(AND($G52&lt;Hta_19,$G52&gt;=Hba_19,Input!U$39&lt;&gt;""),Input!$B$39&amp;";",""),IF(AND($G52&lt;Hta_20,$G52&gt;=Hba_20,Input!U$40&lt;&gt;""),Input!$B$40&amp;";",""),IF(AND($G52&lt;Hta_21,$G52&gt;=Hba_21,Input!U$41&lt;&gt;""),Input!$B$41&amp;";",""),IF(AND($G52&lt;Hta_22,$G52&gt;=Hba_22,Input!U$42&lt;&gt;""),Input!$B$42&amp;";",""),IF(AND($G52&lt;Hta_23,$G52&gt;=Hba_23,Input!U$43&lt;&gt;""),Input!$B$43&amp;";",""),IF(AND($G52&lt;Hta_24,$G52&gt;=Hba_24,Input!U$44&lt;&gt;""),Input!$B$44&amp;";",""),IF(AND($G52&lt;Hta_25,$G52&gt;=Hba_25,Input!U$45&lt;&gt;""),Input!$B$45&amp;";",""),IF(AND($G52&lt;Hta_26,$G52&gt;=Hba_26,Input!U$46&lt;&gt;""),Input!$B$46&amp;";",""),IF(AND($G52&lt;Hta_27,$G52&gt;=Hba_27,Input!U$47&lt;&gt;""),Input!$B$47&amp;";",""),IF(AND($G52&lt;Hta_28,$G52&gt;=Hba_28,Input!U$48&lt;&gt;""),Input!$B$48&amp;";",""),IF(AND($G52&lt;Hta_29,$G52&gt;=Hba_29,Input!U$49&lt;&gt;""),Input!$B$49&amp;";",""),IF(AND($G52&lt;Hta_30,$G52&gt;=Hba_30,Input!U$50&lt;&gt;""),Input!$B$50&amp;";","")),"")</f>
        <v/>
      </c>
      <c r="BW52" s="25" t="str">
        <f>IFERROR(CONCATENATE(IF(AND($G52&lt;Hta_1,$G52&gt;=Hba_1,Input!V$21&lt;&gt;""),Input!$B$21&amp;";",""),IF(AND($G52&lt;Hta_2,$G52&gt;=Hba_2,Input!V$22&lt;&gt;""),Input!$B$22&amp;";",""),IF(AND($G52&lt;Hta_3,$G52&gt;=Hba_3,Input!V$23&lt;&gt;""),Input!$B$23&amp;";",""),IF(AND($G52&lt;Hta_4,$G52&gt;=Hba_4,Input!V$24&lt;&gt;""),Input!$B$24&amp;";",""),IF(AND($G52&lt;Hta_5,$G52&gt;=Hba_5,Input!V$25&lt;&gt;""),Input!$B$25&amp;";",""),IF(AND($G52&lt;Hta_6,$G52&gt;=Hba_6,Input!V$26&lt;&gt;""),Input!$B$26&amp;";",""),IF(AND($G52&lt;Hta_7,$G52&gt;=Hba_7,Input!V$27&lt;&gt;""),Input!$B$27&amp;";",""),IF(AND($G52&lt;Hta_8,$G52&gt;=Hba_8,Input!V$28&lt;&gt;""),Input!$B$28&amp;";",""),IF(AND($G52&lt;Hta_9,$G52&gt;=Hba_9,Input!V$29&lt;&gt;""),Input!$B$29&amp;";",""),IF(AND($G52&lt;Hta_10,$G52&gt;=Hba_10,Input!V$30&lt;&gt;""),Input!$B$30&amp;";",""),IF(AND($G52&lt;Hta_11,$G52&gt;=Hba_11,Input!V$31&lt;&gt;""),Input!$B$31&amp;";",""),IF(AND($G52&lt;Hta_12,$G52&gt;=Hba_12,Input!V$32&lt;&gt;""),Input!$B$32&amp;";",""),IF(AND($G52&lt;Hta_13,$G52&gt;=Hba_13,Input!V$33&lt;&gt;""),Input!$B$33&amp;";",""),IF(AND($G52&lt;Hta_14,$G52&gt;=Hba_14,Input!V$34&lt;&gt;""),Input!$B$34&amp;";",""),IF(AND($G52&lt;Hta_15,$G52&gt;=Hba_15,Input!V$35&lt;&gt;""),Input!$B$35&amp;";",""),IF(AND($G52&lt;Hta_16,$G52&gt;=Hba_16,Input!V$36&lt;&gt;""),Input!$B$36&amp;";",""),IF(AND($G52&lt;Hta_17,$G52&gt;=Hba_17,Input!V$37&lt;&gt;""),Input!$B$37&amp;";",""),IF(AND($G52&lt;Hta_18,$G52&gt;=Hba_18,Input!V$38&lt;&gt;""),Input!$B$38&amp;";",""),IF(AND($G52&lt;Hta_19,$G52&gt;=Hba_19,Input!V$39&lt;&gt;""),Input!$B$39&amp;";",""),IF(AND($G52&lt;Hta_20,$G52&gt;=Hba_20,Input!V$40&lt;&gt;""),Input!$B$40&amp;";",""),IF(AND($G52&lt;Hta_21,$G52&gt;=Hba_21,Input!V$41&lt;&gt;""),Input!$B$41&amp;";",""),IF(AND($G52&lt;Hta_22,$G52&gt;=Hba_22,Input!V$42&lt;&gt;""),Input!$B$42&amp;";",""),IF(AND($G52&lt;Hta_23,$G52&gt;=Hba_23,Input!V$43&lt;&gt;""),Input!$B$43&amp;";",""),IF(AND($G52&lt;Hta_24,$G52&gt;=Hba_24,Input!V$44&lt;&gt;""),Input!$B$44&amp;";",""),IF(AND($G52&lt;Hta_25,$G52&gt;=Hba_25,Input!V$45&lt;&gt;""),Input!$B$45&amp;";",""),IF(AND($G52&lt;Hta_26,$G52&gt;=Hba_26,Input!V$46&lt;&gt;""),Input!$B$46&amp;";",""),IF(AND($G52&lt;Hta_27,$G52&gt;=Hba_27,Input!V$47&lt;&gt;""),Input!$B$47&amp;";",""),IF(AND($G52&lt;Hta_28,$G52&gt;=Hba_28,Input!V$48&lt;&gt;""),Input!$B$48&amp;";",""),IF(AND($G52&lt;Hta_29,$G52&gt;=Hba_29,Input!V$49&lt;&gt;""),Input!$B$49&amp;";",""),IF(AND($G52&lt;Hta_30,$G52&gt;=Hba_30,Input!V$50&lt;&gt;""),Input!$B$50&amp;";","")),"")</f>
        <v/>
      </c>
      <c r="BX52" s="25" t="str">
        <f>IFERROR(CONCATENATE(IF(AND($G52&lt;Hta_1,$G52&gt;=Hba_1,Input!W$21&lt;&gt;""),Input!$B$21&amp;";",""),IF(AND($G52&lt;Hta_2,$G52&gt;=Hba_2,Input!W$22&lt;&gt;""),Input!$B$22&amp;";",""),IF(AND($G52&lt;Hta_3,$G52&gt;=Hba_3,Input!W$23&lt;&gt;""),Input!$B$23&amp;";",""),IF(AND($G52&lt;Hta_4,$G52&gt;=Hba_4,Input!W$24&lt;&gt;""),Input!$B$24&amp;";",""),IF(AND($G52&lt;Hta_5,$G52&gt;=Hba_5,Input!W$25&lt;&gt;""),Input!$B$25&amp;";",""),IF(AND($G52&lt;Hta_6,$G52&gt;=Hba_6,Input!W$26&lt;&gt;""),Input!$B$26&amp;";",""),IF(AND($G52&lt;Hta_7,$G52&gt;=Hba_7,Input!W$27&lt;&gt;""),Input!$B$27&amp;";",""),IF(AND($G52&lt;Hta_8,$G52&gt;=Hba_8,Input!W$28&lt;&gt;""),Input!$B$28&amp;";",""),IF(AND($G52&lt;Hta_9,$G52&gt;=Hba_9,Input!W$29&lt;&gt;""),Input!$B$29&amp;";",""),IF(AND($G52&lt;Hta_10,$G52&gt;=Hba_10,Input!W$30&lt;&gt;""),Input!$B$30&amp;";",""),IF(AND($G52&lt;Hta_11,$G52&gt;=Hba_11,Input!W$31&lt;&gt;""),Input!$B$31&amp;";",""),IF(AND($G52&lt;Hta_12,$G52&gt;=Hba_12,Input!W$32&lt;&gt;""),Input!$B$32&amp;";",""),IF(AND($G52&lt;Hta_13,$G52&gt;=Hba_13,Input!W$33&lt;&gt;""),Input!$B$33&amp;";",""),IF(AND($G52&lt;Hta_14,$G52&gt;=Hba_14,Input!W$34&lt;&gt;""),Input!$B$34&amp;";",""),IF(AND($G52&lt;Hta_15,$G52&gt;=Hba_15,Input!W$35&lt;&gt;""),Input!$B$35&amp;";",""),IF(AND($G52&lt;Hta_16,$G52&gt;=Hba_16,Input!W$36&lt;&gt;""),Input!$B$36&amp;";",""),IF(AND($G52&lt;Hta_17,$G52&gt;=Hba_17,Input!W$37&lt;&gt;""),Input!$B$37&amp;";",""),IF(AND($G52&lt;Hta_18,$G52&gt;=Hba_18,Input!W$38&lt;&gt;""),Input!$B$38&amp;";",""),IF(AND($G52&lt;Hta_19,$G52&gt;=Hba_19,Input!W$39&lt;&gt;""),Input!$B$39&amp;";",""),IF(AND($G52&lt;Hta_20,$G52&gt;=Hba_20,Input!W$40&lt;&gt;""),Input!$B$40&amp;";",""),IF(AND($G52&lt;Hta_21,$G52&gt;=Hba_21,Input!W$41&lt;&gt;""),Input!$B$41&amp;";",""),IF(AND($G52&lt;Hta_22,$G52&gt;=Hba_22,Input!W$42&lt;&gt;""),Input!$B$42&amp;";",""),IF(AND($G52&lt;Hta_23,$G52&gt;=Hba_23,Input!W$43&lt;&gt;""),Input!$B$43&amp;";",""),IF(AND($G52&lt;Hta_24,$G52&gt;=Hba_24,Input!W$44&lt;&gt;""),Input!$B$44&amp;";",""),IF(AND($G52&lt;Hta_25,$G52&gt;=Hba_25,Input!W$45&lt;&gt;""),Input!$B$45&amp;";",""),IF(AND($G52&lt;Hta_26,$G52&gt;=Hba_26,Input!W$46&lt;&gt;""),Input!$B$46&amp;";",""),IF(AND($G52&lt;Hta_27,$G52&gt;=Hba_27,Input!W$47&lt;&gt;""),Input!$B$47&amp;";",""),IF(AND($G52&lt;Hta_28,$G52&gt;=Hba_28,Input!W$48&lt;&gt;""),Input!$B$48&amp;";",""),IF(AND($G52&lt;Hta_29,$G52&gt;=Hba_29,Input!W$49&lt;&gt;""),Input!$B$49&amp;";",""),IF(AND($G52&lt;Hta_30,$G52&gt;=Hba_30,Input!W$50&lt;&gt;""),Input!$B$50&amp;";","")),"")</f>
        <v/>
      </c>
      <c r="BY52" s="25" t="str">
        <f>IFERROR(CONCATENATE(IF(AND($G52&lt;Hta_1,$G52&gt;=Hba_1,Input!X$21&lt;&gt;""),Input!$B$21&amp;";",""),IF(AND($G52&lt;Hta_2,$G52&gt;=Hba_2,Input!X$22&lt;&gt;""),Input!$B$22&amp;";",""),IF(AND($G52&lt;Hta_3,$G52&gt;=Hba_3,Input!X$23&lt;&gt;""),Input!$B$23&amp;";",""),IF(AND($G52&lt;Hta_4,$G52&gt;=Hba_4,Input!X$24&lt;&gt;""),Input!$B$24&amp;";",""),IF(AND($G52&lt;Hta_5,$G52&gt;=Hba_5,Input!X$25&lt;&gt;""),Input!$B$25&amp;";",""),IF(AND($G52&lt;Hta_6,$G52&gt;=Hba_6,Input!X$26&lt;&gt;""),Input!$B$26&amp;";",""),IF(AND($G52&lt;Hta_7,$G52&gt;=Hba_7,Input!X$27&lt;&gt;""),Input!$B$27&amp;";",""),IF(AND($G52&lt;Hta_8,$G52&gt;=Hba_8,Input!X$28&lt;&gt;""),Input!$B$28&amp;";",""),IF(AND($G52&lt;Hta_9,$G52&gt;=Hba_9,Input!X$29&lt;&gt;""),Input!$B$29&amp;";",""),IF(AND($G52&lt;Hta_10,$G52&gt;=Hba_10,Input!X$30&lt;&gt;""),Input!$B$30&amp;";",""),IF(AND($G52&lt;Hta_11,$G52&gt;=Hba_11,Input!X$31&lt;&gt;""),Input!$B$31&amp;";",""),IF(AND($G52&lt;Hta_12,$G52&gt;=Hba_12,Input!X$32&lt;&gt;""),Input!$B$32&amp;";",""),IF(AND($G52&lt;Hta_13,$G52&gt;=Hba_13,Input!X$33&lt;&gt;""),Input!$B$33&amp;";",""),IF(AND($G52&lt;Hta_14,$G52&gt;=Hba_14,Input!X$34&lt;&gt;""),Input!$B$34&amp;";",""),IF(AND($G52&lt;Hta_15,$G52&gt;=Hba_15,Input!X$35&lt;&gt;""),Input!$B$35&amp;";",""),IF(AND($G52&lt;Hta_16,$G52&gt;=Hba_16,Input!X$36&lt;&gt;""),Input!$B$36&amp;";",""),IF(AND($G52&lt;Hta_17,$G52&gt;=Hba_17,Input!X$37&lt;&gt;""),Input!$B$37&amp;";",""),IF(AND($G52&lt;Hta_18,$G52&gt;=Hba_18,Input!X$38&lt;&gt;""),Input!$B$38&amp;";",""),IF(AND($G52&lt;Hta_19,$G52&gt;=Hba_19,Input!X$39&lt;&gt;""),Input!$B$39&amp;";",""),IF(AND($G52&lt;Hta_20,$G52&gt;=Hba_20,Input!X$40&lt;&gt;""),Input!$B$40&amp;";",""),IF(AND($G52&lt;Hta_21,$G52&gt;=Hba_21,Input!X$41&lt;&gt;""),Input!$B$41&amp;";",""),IF(AND($G52&lt;Hta_22,$G52&gt;=Hba_22,Input!X$42&lt;&gt;""),Input!$B$42&amp;";",""),IF(AND($G52&lt;Hta_23,$G52&gt;=Hba_23,Input!X$43&lt;&gt;""),Input!$B$43&amp;";",""),IF(AND($G52&lt;Hta_24,$G52&gt;=Hba_24,Input!X$44&lt;&gt;""),Input!$B$44&amp;";",""),IF(AND($G52&lt;Hta_25,$G52&gt;=Hba_25,Input!X$45&lt;&gt;""),Input!$B$45&amp;";",""),IF(AND($G52&lt;Hta_26,$G52&gt;=Hba_26,Input!X$46&lt;&gt;""),Input!$B$46&amp;";",""),IF(AND($G52&lt;Hta_27,$G52&gt;=Hba_27,Input!X$47&lt;&gt;""),Input!$B$47&amp;";",""),IF(AND($G52&lt;Hta_28,$G52&gt;=Hba_28,Input!X$48&lt;&gt;""),Input!$B$48&amp;";",""),IF(AND($G52&lt;Hta_29,$G52&gt;=Hba_29,Input!X$49&lt;&gt;""),Input!$B$49&amp;";",""),IF(AND($G52&lt;Hta_30,$G52&gt;=Hba_30,Input!X$50&lt;&gt;""),Input!$B$50&amp;";","")),"")</f>
        <v/>
      </c>
      <c r="BZ52" s="25" t="str">
        <f>IFERROR(CONCATENATE(IF(AND($G52&lt;Hta_1,$G52&gt;=Hba_1,Input!Y$21&lt;&gt;""),Input!$B$21&amp;";",""),IF(AND($G52&lt;Hta_2,$G52&gt;=Hba_2,Input!Y$22&lt;&gt;""),Input!$B$22&amp;";",""),IF(AND($G52&lt;Hta_3,$G52&gt;=Hba_3,Input!Y$23&lt;&gt;""),Input!$B$23&amp;";",""),IF(AND($G52&lt;Hta_4,$G52&gt;=Hba_4,Input!Y$24&lt;&gt;""),Input!$B$24&amp;";",""),IF(AND($G52&lt;Hta_5,$G52&gt;=Hba_5,Input!Y$25&lt;&gt;""),Input!$B$25&amp;";",""),IF(AND($G52&lt;Hta_6,$G52&gt;=Hba_6,Input!Y$26&lt;&gt;""),Input!$B$26&amp;";",""),IF(AND($G52&lt;Hta_7,$G52&gt;=Hba_7,Input!Y$27&lt;&gt;""),Input!$B$27&amp;";",""),IF(AND($G52&lt;Hta_8,$G52&gt;=Hba_8,Input!Y$28&lt;&gt;""),Input!$B$28&amp;";",""),IF(AND($G52&lt;Hta_9,$G52&gt;=Hba_9,Input!Y$29&lt;&gt;""),Input!$B$29&amp;";",""),IF(AND($G52&lt;Hta_10,$G52&gt;=Hba_10,Input!Y$30&lt;&gt;""),Input!$B$30&amp;";",""),IF(AND($G52&lt;Hta_11,$G52&gt;=Hba_11,Input!Y$31&lt;&gt;""),Input!$B$31&amp;";",""),IF(AND($G52&lt;Hta_12,$G52&gt;=Hba_12,Input!Y$32&lt;&gt;""),Input!$B$32&amp;";",""),IF(AND($G52&lt;Hta_13,$G52&gt;=Hba_13,Input!Y$33&lt;&gt;""),Input!$B$33&amp;";",""),IF(AND($G52&lt;Hta_14,$G52&gt;=Hba_14,Input!Y$34&lt;&gt;""),Input!$B$34&amp;";",""),IF(AND($G52&lt;Hta_15,$G52&gt;=Hba_15,Input!Y$35&lt;&gt;""),Input!$B$35&amp;";",""),IF(AND($G52&lt;Hta_16,$G52&gt;=Hba_16,Input!Y$36&lt;&gt;""),Input!$B$36&amp;";",""),IF(AND($G52&lt;Hta_17,$G52&gt;=Hba_17,Input!Y$37&lt;&gt;""),Input!$B$37&amp;";",""),IF(AND($G52&lt;Hta_18,$G52&gt;=Hba_18,Input!Y$38&lt;&gt;""),Input!$B$38&amp;";",""),IF(AND($G52&lt;Hta_19,$G52&gt;=Hba_19,Input!Y$39&lt;&gt;""),Input!$B$39&amp;";",""),IF(AND($G52&lt;Hta_20,$G52&gt;=Hba_20,Input!Y$40&lt;&gt;""),Input!$B$40&amp;";",""),IF(AND($G52&lt;Hta_21,$G52&gt;=Hba_21,Input!Y$41&lt;&gt;""),Input!$B$41&amp;";",""),IF(AND($G52&lt;Hta_22,$G52&gt;=Hba_22,Input!Y$42&lt;&gt;""),Input!$B$42&amp;";",""),IF(AND($G52&lt;Hta_23,$G52&gt;=Hba_23,Input!Y$43&lt;&gt;""),Input!$B$43&amp;";",""),IF(AND($G52&lt;Hta_24,$G52&gt;=Hba_24,Input!Y$44&lt;&gt;""),Input!$B$44&amp;";",""),IF(AND($G52&lt;Hta_25,$G52&gt;=Hba_25,Input!Y$45&lt;&gt;""),Input!$B$45&amp;";",""),IF(AND($G52&lt;Hta_26,$G52&gt;=Hba_26,Input!Y$46&lt;&gt;""),Input!$B$46&amp;";",""),IF(AND($G52&lt;Hta_27,$G52&gt;=Hba_27,Input!Y$47&lt;&gt;""),Input!$B$47&amp;";",""),IF(AND($G52&lt;Hta_28,$G52&gt;=Hba_28,Input!Y$48&lt;&gt;""),Input!$B$48&amp;";",""),IF(AND($G52&lt;Hta_29,$G52&gt;=Hba_29,Input!Y$49&lt;&gt;""),Input!$B$49&amp;";",""),IF(AND($G52&lt;Hta_30,$G52&gt;=Hba_30,Input!Y$50&lt;&gt;""),Input!$B$50&amp;";","")),"")</f>
        <v/>
      </c>
      <c r="CA52" s="25" t="str">
        <f>IFERROR(CONCATENATE(IF(AND($G52&lt;Hta_1,$G52&gt;=Hba_1,Input!Z$21&lt;&gt;""),Input!$B$21&amp;";",""),IF(AND($G52&lt;Hta_2,$G52&gt;=Hba_2,Input!Z$22&lt;&gt;""),Input!$B$22&amp;";",""),IF(AND($G52&lt;Hta_3,$G52&gt;=Hba_3,Input!Z$23&lt;&gt;""),Input!$B$23&amp;";",""),IF(AND($G52&lt;Hta_4,$G52&gt;=Hba_4,Input!Z$24&lt;&gt;""),Input!$B$24&amp;";",""),IF(AND($G52&lt;Hta_5,$G52&gt;=Hba_5,Input!Z$25&lt;&gt;""),Input!$B$25&amp;";",""),IF(AND($G52&lt;Hta_6,$G52&gt;=Hba_6,Input!Z$26&lt;&gt;""),Input!$B$26&amp;";",""),IF(AND($G52&lt;Hta_7,$G52&gt;=Hba_7,Input!Z$27&lt;&gt;""),Input!$B$27&amp;";",""),IF(AND($G52&lt;Hta_8,$G52&gt;=Hba_8,Input!Z$28&lt;&gt;""),Input!$B$28&amp;";",""),IF(AND($G52&lt;Hta_9,$G52&gt;=Hba_9,Input!Z$29&lt;&gt;""),Input!$B$29&amp;";",""),IF(AND($G52&lt;Hta_10,$G52&gt;=Hba_10,Input!Z$30&lt;&gt;""),Input!$B$30&amp;";",""),IF(AND($G52&lt;Hta_11,$G52&gt;=Hba_11,Input!Z$31&lt;&gt;""),Input!$B$31&amp;";",""),IF(AND($G52&lt;Hta_12,$G52&gt;=Hba_12,Input!Z$32&lt;&gt;""),Input!$B$32&amp;";",""),IF(AND($G52&lt;Hta_13,$G52&gt;=Hba_13,Input!Z$33&lt;&gt;""),Input!$B$33&amp;";",""),IF(AND($G52&lt;Hta_14,$G52&gt;=Hba_14,Input!Z$34&lt;&gt;""),Input!$B$34&amp;";",""),IF(AND($G52&lt;Hta_15,$G52&gt;=Hba_15,Input!Z$35&lt;&gt;""),Input!$B$35&amp;";",""),IF(AND($G52&lt;Hta_16,$G52&gt;=Hba_16,Input!Z$36&lt;&gt;""),Input!$B$36&amp;";",""),IF(AND($G52&lt;Hta_17,$G52&gt;=Hba_17,Input!Z$37&lt;&gt;""),Input!$B$37&amp;";",""),IF(AND($G52&lt;Hta_18,$G52&gt;=Hba_18,Input!Z$38&lt;&gt;""),Input!$B$38&amp;";",""),IF(AND($G52&lt;Hta_19,$G52&gt;=Hba_19,Input!Z$39&lt;&gt;""),Input!$B$39&amp;";",""),IF(AND($G52&lt;Hta_20,$G52&gt;=Hba_20,Input!Z$40&lt;&gt;""),Input!$B$40&amp;";",""),IF(AND($G52&lt;Hta_21,$G52&gt;=Hba_21,Input!Z$41&lt;&gt;""),Input!$B$41&amp;";",""),IF(AND($G52&lt;Hta_22,$G52&gt;=Hba_22,Input!Z$42&lt;&gt;""),Input!$B$42&amp;";",""),IF(AND($G52&lt;Hta_23,$G52&gt;=Hba_23,Input!Z$43&lt;&gt;""),Input!$B$43&amp;";",""),IF(AND($G52&lt;Hta_24,$G52&gt;=Hba_24,Input!Z$44&lt;&gt;""),Input!$B$44&amp;";",""),IF(AND($G52&lt;Hta_25,$G52&gt;=Hba_25,Input!Z$45&lt;&gt;""),Input!$B$45&amp;";",""),IF(AND($G52&lt;Hta_26,$G52&gt;=Hba_26,Input!Z$46&lt;&gt;""),Input!$B$46&amp;";",""),IF(AND($G52&lt;Hta_27,$G52&gt;=Hba_27,Input!Z$47&lt;&gt;""),Input!$B$47&amp;";",""),IF(AND($G52&lt;Hta_28,$G52&gt;=Hba_28,Input!Z$48&lt;&gt;""),Input!$B$48&amp;";",""),IF(AND($G52&lt;Hta_29,$G52&gt;=Hba_29,Input!Z$49&lt;&gt;""),Input!$B$49&amp;";",""),IF(AND($G52&lt;Hta_30,$G52&gt;=Hba_30,Input!Z$50&lt;&gt;""),Input!$B$50&amp;";","")),"")</f>
        <v/>
      </c>
      <c r="CB52" s="25" t="str">
        <f>IFERROR(CONCATENATE(IF(AND($G52&lt;Hta_1,$G52&gt;=Hba_1,Input!AA$21&lt;&gt;""),Input!$B$21&amp;";",""),IF(AND($G52&lt;Hta_2,$G52&gt;=Hba_2,Input!AA$22&lt;&gt;""),Input!$B$22&amp;";",""),IF(AND($G52&lt;Hta_3,$G52&gt;=Hba_3,Input!AA$23&lt;&gt;""),Input!$B$23&amp;";",""),IF(AND($G52&lt;Hta_4,$G52&gt;=Hba_4,Input!AA$24&lt;&gt;""),Input!$B$24&amp;";",""),IF(AND($G52&lt;Hta_5,$G52&gt;=Hba_5,Input!AA$25&lt;&gt;""),Input!$B$25&amp;";",""),IF(AND($G52&lt;Hta_6,$G52&gt;=Hba_6,Input!AA$26&lt;&gt;""),Input!$B$26&amp;";",""),IF(AND($G52&lt;Hta_7,$G52&gt;=Hba_7,Input!AA$27&lt;&gt;""),Input!$B$27&amp;";",""),IF(AND($G52&lt;Hta_8,$G52&gt;=Hba_8,Input!AA$28&lt;&gt;""),Input!$B$28&amp;";",""),IF(AND($G52&lt;Hta_9,$G52&gt;=Hba_9,Input!AA$29&lt;&gt;""),Input!$B$29&amp;";",""),IF(AND($G52&lt;Hta_10,$G52&gt;=Hba_10,Input!AA$30&lt;&gt;""),Input!$B$30&amp;";",""),IF(AND($G52&lt;Hta_11,$G52&gt;=Hba_11,Input!AA$31&lt;&gt;""),Input!$B$31&amp;";",""),IF(AND($G52&lt;Hta_12,$G52&gt;=Hba_12,Input!AA$32&lt;&gt;""),Input!$B$32&amp;";",""),IF(AND($G52&lt;Hta_13,$G52&gt;=Hba_13,Input!AA$33&lt;&gt;""),Input!$B$33&amp;";",""),IF(AND($G52&lt;Hta_14,$G52&gt;=Hba_14,Input!AA$34&lt;&gt;""),Input!$B$34&amp;";",""),IF(AND($G52&lt;Hta_15,$G52&gt;=Hba_15,Input!AA$35&lt;&gt;""),Input!$B$35&amp;";",""),IF(AND($G52&lt;Hta_16,$G52&gt;=Hba_16,Input!AA$36&lt;&gt;""),Input!$B$36&amp;";",""),IF(AND($G52&lt;Hta_17,$G52&gt;=Hba_17,Input!AA$37&lt;&gt;""),Input!$B$37&amp;";",""),IF(AND($G52&lt;Hta_18,$G52&gt;=Hba_18,Input!AA$38&lt;&gt;""),Input!$B$38&amp;";",""),IF(AND($G52&lt;Hta_19,$G52&gt;=Hba_19,Input!AA$39&lt;&gt;""),Input!$B$39&amp;";",""),IF(AND($G52&lt;Hta_20,$G52&gt;=Hba_20,Input!AA$40&lt;&gt;""),Input!$B$40&amp;";",""),IF(AND($G52&lt;Hta_21,$G52&gt;=Hba_21,Input!AA$41&lt;&gt;""),Input!$B$41&amp;";",""),IF(AND($G52&lt;Hta_22,$G52&gt;=Hba_22,Input!AA$42&lt;&gt;""),Input!$B$42&amp;";",""),IF(AND($G52&lt;Hta_23,$G52&gt;=Hba_23,Input!AA$43&lt;&gt;""),Input!$B$43&amp;";",""),IF(AND($G52&lt;Hta_24,$G52&gt;=Hba_24,Input!AA$44&lt;&gt;""),Input!$B$44&amp;";",""),IF(AND($G52&lt;Hta_25,$G52&gt;=Hba_25,Input!AA$45&lt;&gt;""),Input!$B$45&amp;";",""),IF(AND($G52&lt;Hta_26,$G52&gt;=Hba_26,Input!AA$46&lt;&gt;""),Input!$B$46&amp;";",""),IF(AND($G52&lt;Hta_27,$G52&gt;=Hba_27,Input!AA$47&lt;&gt;""),Input!$B$47&amp;";",""),IF(AND($G52&lt;Hta_28,$G52&gt;=Hba_28,Input!AA$48&lt;&gt;""),Input!$B$48&amp;";",""),IF(AND($G52&lt;Hta_29,$G52&gt;=Hba_29,Input!AA$49&lt;&gt;""),Input!$B$49&amp;";",""),IF(AND($G52&lt;Hta_30,$G52&gt;=Hba_30,Input!AA$50&lt;&gt;""),Input!$B$50&amp;";","")),"")</f>
        <v/>
      </c>
      <c r="CC52" s="25" t="str">
        <f>IFERROR(CONCATENATE(IF(AND($G52&lt;Hta_1,$G52&gt;=Hba_1,Input!AB$21&lt;&gt;""),Input!$B$21&amp;";",""),IF(AND($G52&lt;Hta_2,$G52&gt;=Hba_2,Input!AB$22&lt;&gt;""),Input!$B$22&amp;";",""),IF(AND($G52&lt;Hta_3,$G52&gt;=Hba_3,Input!AB$23&lt;&gt;""),Input!$B$23&amp;";",""),IF(AND($G52&lt;Hta_4,$G52&gt;=Hba_4,Input!AB$24&lt;&gt;""),Input!$B$24&amp;";",""),IF(AND($G52&lt;Hta_5,$G52&gt;=Hba_5,Input!AB$25&lt;&gt;""),Input!$B$25&amp;";",""),IF(AND($G52&lt;Hta_6,$G52&gt;=Hba_6,Input!AB$26&lt;&gt;""),Input!$B$26&amp;";",""),IF(AND($G52&lt;Hta_7,$G52&gt;=Hba_7,Input!AB$27&lt;&gt;""),Input!$B$27&amp;";",""),IF(AND($G52&lt;Hta_8,$G52&gt;=Hba_8,Input!AB$28&lt;&gt;""),Input!$B$28&amp;";",""),IF(AND($G52&lt;Hta_9,$G52&gt;=Hba_9,Input!AB$29&lt;&gt;""),Input!$B$29&amp;";",""),IF(AND($G52&lt;Hta_10,$G52&gt;=Hba_10,Input!AB$30&lt;&gt;""),Input!$B$30&amp;";",""),IF(AND($G52&lt;Hta_11,$G52&gt;=Hba_11,Input!AB$31&lt;&gt;""),Input!$B$31&amp;";",""),IF(AND($G52&lt;Hta_12,$G52&gt;=Hba_12,Input!AB$32&lt;&gt;""),Input!$B$32&amp;";",""),IF(AND($G52&lt;Hta_13,$G52&gt;=Hba_13,Input!AB$33&lt;&gt;""),Input!$B$33&amp;";",""),IF(AND($G52&lt;Hta_14,$G52&gt;=Hba_14,Input!AB$34&lt;&gt;""),Input!$B$34&amp;";",""),IF(AND($G52&lt;Hta_15,$G52&gt;=Hba_15,Input!AB$35&lt;&gt;""),Input!$B$35&amp;";",""),IF(AND($G52&lt;Hta_16,$G52&gt;=Hba_16,Input!AB$36&lt;&gt;""),Input!$B$36&amp;";",""),IF(AND($G52&lt;Hta_17,$G52&gt;=Hba_17,Input!AB$37&lt;&gt;""),Input!$B$37&amp;";",""),IF(AND($G52&lt;Hta_18,$G52&gt;=Hba_18,Input!AB$38&lt;&gt;""),Input!$B$38&amp;";",""),IF(AND($G52&lt;Hta_19,$G52&gt;=Hba_19,Input!AB$39&lt;&gt;""),Input!$B$39&amp;";",""),IF(AND($G52&lt;Hta_20,$G52&gt;=Hba_20,Input!AB$40&lt;&gt;""),Input!$B$40&amp;";",""),IF(AND($G52&lt;Hta_21,$G52&gt;=Hba_21,Input!AB$41&lt;&gt;""),Input!$B$41&amp;";",""),IF(AND($G52&lt;Hta_22,$G52&gt;=Hba_22,Input!AB$42&lt;&gt;""),Input!$B$42&amp;";",""),IF(AND($G52&lt;Hta_23,$G52&gt;=Hba_23,Input!AB$43&lt;&gt;""),Input!$B$43&amp;";",""),IF(AND($G52&lt;Hta_24,$G52&gt;=Hba_24,Input!AB$44&lt;&gt;""),Input!$B$44&amp;";",""),IF(AND($G52&lt;Hta_25,$G52&gt;=Hba_25,Input!AB$45&lt;&gt;""),Input!$B$45&amp;";",""),IF(AND($G52&lt;Hta_26,$G52&gt;=Hba_26,Input!AB$46&lt;&gt;""),Input!$B$46&amp;";",""),IF(AND($G52&lt;Hta_27,$G52&gt;=Hba_27,Input!AB$47&lt;&gt;""),Input!$B$47&amp;";",""),IF(AND($G52&lt;Hta_28,$G52&gt;=Hba_28,Input!AB$48&lt;&gt;""),Input!$B$48&amp;";",""),IF(AND($G52&lt;Hta_29,$G52&gt;=Hba_29,Input!AB$49&lt;&gt;""),Input!$B$49&amp;";",""),IF(AND($G52&lt;Hta_30,$G52&gt;=Hba_30,Input!AB$50&lt;&gt;""),Input!$B$50&amp;";","")),"")</f>
        <v/>
      </c>
      <c r="CD52" s="25" t="str">
        <f>IFERROR(CONCATENATE(IF(AND($G52&lt;Hta_1,$G52&gt;=Hba_1,Input!AC$21&lt;&gt;""),Input!$B$21&amp;";",""),IF(AND($G52&lt;Hta_2,$G52&gt;=Hba_2,Input!AC$22&lt;&gt;""),Input!$B$22&amp;";",""),IF(AND($G52&lt;Hta_3,$G52&gt;=Hba_3,Input!AC$23&lt;&gt;""),Input!$B$23&amp;";",""),IF(AND($G52&lt;Hta_4,$G52&gt;=Hba_4,Input!AC$24&lt;&gt;""),Input!$B$24&amp;";",""),IF(AND($G52&lt;Hta_5,$G52&gt;=Hba_5,Input!AC$25&lt;&gt;""),Input!$B$25&amp;";",""),IF(AND($G52&lt;Hta_6,$G52&gt;=Hba_6,Input!AC$26&lt;&gt;""),Input!$B$26&amp;";",""),IF(AND($G52&lt;Hta_7,$G52&gt;=Hba_7,Input!AC$27&lt;&gt;""),Input!$B$27&amp;";",""),IF(AND($G52&lt;Hta_8,$G52&gt;=Hba_8,Input!AC$28&lt;&gt;""),Input!$B$28&amp;";",""),IF(AND($G52&lt;Hta_9,$G52&gt;=Hba_9,Input!AC$29&lt;&gt;""),Input!$B$29&amp;";",""),IF(AND($G52&lt;Hta_10,$G52&gt;=Hba_10,Input!AC$30&lt;&gt;""),Input!$B$30&amp;";",""),IF(AND($G52&lt;Hta_11,$G52&gt;=Hba_11,Input!AC$31&lt;&gt;""),Input!$B$31&amp;";",""),IF(AND($G52&lt;Hta_12,$G52&gt;=Hba_12,Input!AC$32&lt;&gt;""),Input!$B$32&amp;";",""),IF(AND($G52&lt;Hta_13,$G52&gt;=Hba_13,Input!AC$33&lt;&gt;""),Input!$B$33&amp;";",""),IF(AND($G52&lt;Hta_14,$G52&gt;=Hba_14,Input!AC$34&lt;&gt;""),Input!$B$34&amp;";",""),IF(AND($G52&lt;Hta_15,$G52&gt;=Hba_15,Input!AC$35&lt;&gt;""),Input!$B$35&amp;";",""),IF(AND($G52&lt;Hta_16,$G52&gt;=Hba_16,Input!AC$36&lt;&gt;""),Input!$B$36&amp;";",""),IF(AND($G52&lt;Hta_17,$G52&gt;=Hba_17,Input!AC$37&lt;&gt;""),Input!$B$37&amp;";",""),IF(AND($G52&lt;Hta_18,$G52&gt;=Hba_18,Input!AC$38&lt;&gt;""),Input!$B$38&amp;";",""),IF(AND($G52&lt;Hta_19,$G52&gt;=Hba_19,Input!AC$39&lt;&gt;""),Input!$B$39&amp;";",""),IF(AND($G52&lt;Hta_20,$G52&gt;=Hba_20,Input!AC$40&lt;&gt;""),Input!$B$40&amp;";",""),IF(AND($G52&lt;Hta_21,$G52&gt;=Hba_21,Input!AC$41&lt;&gt;""),Input!$B$41&amp;";",""),IF(AND($G52&lt;Hta_22,$G52&gt;=Hba_22,Input!AC$42&lt;&gt;""),Input!$B$42&amp;";",""),IF(AND($G52&lt;Hta_23,$G52&gt;=Hba_23,Input!AC$43&lt;&gt;""),Input!$B$43&amp;";",""),IF(AND($G52&lt;Hta_24,$G52&gt;=Hba_24,Input!AC$44&lt;&gt;""),Input!$B$44&amp;";",""),IF(AND($G52&lt;Hta_25,$G52&gt;=Hba_25,Input!AC$45&lt;&gt;""),Input!$B$45&amp;";",""),IF(AND($G52&lt;Hta_26,$G52&gt;=Hba_26,Input!AC$46&lt;&gt;""),Input!$B$46&amp;";",""),IF(AND($G52&lt;Hta_27,$G52&gt;=Hba_27,Input!AC$47&lt;&gt;""),Input!$B$47&amp;";",""),IF(AND($G52&lt;Hta_28,$G52&gt;=Hba_28,Input!AC$48&lt;&gt;""),Input!$B$48&amp;";",""),IF(AND($G52&lt;Hta_29,$G52&gt;=Hba_29,Input!AC$49&lt;&gt;""),Input!$B$49&amp;";",""),IF(AND($G52&lt;Hta_30,$G52&gt;=Hba_30,Input!AC$50&lt;&gt;""),Input!$B$50&amp;";","")),"")</f>
        <v/>
      </c>
      <c r="CE52" s="25" t="str">
        <f>IFERROR(CONCATENATE(IF(AND($G52&lt;Hta_1,$G52&gt;=Hba_1,Input!AD$21&lt;&gt;""),Input!$B$21&amp;";",""),IF(AND($G52&lt;Hta_2,$G52&gt;=Hba_2,Input!AD$22&lt;&gt;""),Input!$B$22&amp;";",""),IF(AND($G52&lt;Hta_3,$G52&gt;=Hba_3,Input!AD$23&lt;&gt;""),Input!$B$23&amp;";",""),IF(AND($G52&lt;Hta_4,$G52&gt;=Hba_4,Input!AD$24&lt;&gt;""),Input!$B$24&amp;";",""),IF(AND($G52&lt;Hta_5,$G52&gt;=Hba_5,Input!AD$25&lt;&gt;""),Input!$B$25&amp;";",""),IF(AND($G52&lt;Hta_6,$G52&gt;=Hba_6,Input!AD$26&lt;&gt;""),Input!$B$26&amp;";",""),IF(AND($G52&lt;Hta_7,$G52&gt;=Hba_7,Input!AD$27&lt;&gt;""),Input!$B$27&amp;";",""),IF(AND($G52&lt;Hta_8,$G52&gt;=Hba_8,Input!AD$28&lt;&gt;""),Input!$B$28&amp;";",""),IF(AND($G52&lt;Hta_9,$G52&gt;=Hba_9,Input!AD$29&lt;&gt;""),Input!$B$29&amp;";",""),IF(AND($G52&lt;Hta_10,$G52&gt;=Hba_10,Input!AD$30&lt;&gt;""),Input!$B$30&amp;";",""),IF(AND($G52&lt;Hta_11,$G52&gt;=Hba_11,Input!AD$31&lt;&gt;""),Input!$B$31&amp;";",""),IF(AND($G52&lt;Hta_12,$G52&gt;=Hba_12,Input!AD$32&lt;&gt;""),Input!$B$32&amp;";",""),IF(AND($G52&lt;Hta_13,$G52&gt;=Hba_13,Input!AD$33&lt;&gt;""),Input!$B$33&amp;";",""),IF(AND($G52&lt;Hta_14,$G52&gt;=Hba_14,Input!AD$34&lt;&gt;""),Input!$B$34&amp;";",""),IF(AND($G52&lt;Hta_15,$G52&gt;=Hba_15,Input!AD$35&lt;&gt;""),Input!$B$35&amp;";",""),IF(AND($G52&lt;Hta_16,$G52&gt;=Hba_16,Input!AD$36&lt;&gt;""),Input!$B$36&amp;";",""),IF(AND($G52&lt;Hta_17,$G52&gt;=Hba_17,Input!AD$37&lt;&gt;""),Input!$B$37&amp;";",""),IF(AND($G52&lt;Hta_18,$G52&gt;=Hba_18,Input!AD$38&lt;&gt;""),Input!$B$38&amp;";",""),IF(AND($G52&lt;Hta_19,$G52&gt;=Hba_19,Input!AD$39&lt;&gt;""),Input!$B$39&amp;";",""),IF(AND($G52&lt;Hta_20,$G52&gt;=Hba_20,Input!AD$40&lt;&gt;""),Input!$B$40&amp;";",""),IF(AND($G52&lt;Hta_21,$G52&gt;=Hba_21,Input!AD$41&lt;&gt;""),Input!$B$41&amp;";",""),IF(AND($G52&lt;Hta_22,$G52&gt;=Hba_22,Input!AD$42&lt;&gt;""),Input!$B$42&amp;";",""),IF(AND($G52&lt;Hta_23,$G52&gt;=Hba_23,Input!AD$43&lt;&gt;""),Input!$B$43&amp;";",""),IF(AND($G52&lt;Hta_24,$G52&gt;=Hba_24,Input!AD$44&lt;&gt;""),Input!$B$44&amp;";",""),IF(AND($G52&lt;Hta_25,$G52&gt;=Hba_25,Input!AD$45&lt;&gt;""),Input!$B$45&amp;";",""),IF(AND($G52&lt;Hta_26,$G52&gt;=Hba_26,Input!AD$46&lt;&gt;""),Input!$B$46&amp;";",""),IF(AND($G52&lt;Hta_27,$G52&gt;=Hba_27,Input!AD$47&lt;&gt;""),Input!$B$47&amp;";",""),IF(AND($G52&lt;Hta_28,$G52&gt;=Hba_28,Input!AD$48&lt;&gt;""),Input!$B$48&amp;";",""),IF(AND($G52&lt;Hta_29,$G52&gt;=Hba_29,Input!AD$49&lt;&gt;""),Input!$B$49&amp;";",""),IF(AND($G52&lt;Hta_30,$G52&gt;=Hba_30,Input!AD$50&lt;&gt;""),Input!$B$50&amp;";","")),"")</f>
        <v/>
      </c>
      <c r="CF52" s="25" t="str">
        <f>IFERROR(CONCATENATE(IF(AND($G52&lt;Hta_1,$G52&gt;=Hba_1,Input!AE$21&lt;&gt;""),Input!$B$21&amp;";",""),IF(AND($G52&lt;Hta_2,$G52&gt;=Hba_2,Input!AE$22&lt;&gt;""),Input!$B$22&amp;";",""),IF(AND($G52&lt;Hta_3,$G52&gt;=Hba_3,Input!AE$23&lt;&gt;""),Input!$B$23&amp;";",""),IF(AND($G52&lt;Hta_4,$G52&gt;=Hba_4,Input!AE$24&lt;&gt;""),Input!$B$24&amp;";",""),IF(AND($G52&lt;Hta_5,$G52&gt;=Hba_5,Input!AE$25&lt;&gt;""),Input!$B$25&amp;";",""),IF(AND($G52&lt;Hta_6,$G52&gt;=Hba_6,Input!AE$26&lt;&gt;""),Input!$B$26&amp;";",""),IF(AND($G52&lt;Hta_7,$G52&gt;=Hba_7,Input!AE$27&lt;&gt;""),Input!$B$27&amp;";",""),IF(AND($G52&lt;Hta_8,$G52&gt;=Hba_8,Input!AE$28&lt;&gt;""),Input!$B$28&amp;";",""),IF(AND($G52&lt;Hta_9,$G52&gt;=Hba_9,Input!AE$29&lt;&gt;""),Input!$B$29&amp;";",""),IF(AND($G52&lt;Hta_10,$G52&gt;=Hba_10,Input!AE$30&lt;&gt;""),Input!$B$30&amp;";",""),IF(AND($G52&lt;Hta_11,$G52&gt;=Hba_11,Input!AE$31&lt;&gt;""),Input!$B$31&amp;";",""),IF(AND($G52&lt;Hta_12,$G52&gt;=Hba_12,Input!AE$32&lt;&gt;""),Input!$B$32&amp;";",""),IF(AND($G52&lt;Hta_13,$G52&gt;=Hba_13,Input!AE$33&lt;&gt;""),Input!$B$33&amp;";",""),IF(AND($G52&lt;Hta_14,$G52&gt;=Hba_14,Input!AE$34&lt;&gt;""),Input!$B$34&amp;";",""),IF(AND($G52&lt;Hta_15,$G52&gt;=Hba_15,Input!AE$35&lt;&gt;""),Input!$B$35&amp;";",""),IF(AND($G52&lt;Hta_16,$G52&gt;=Hba_16,Input!AE$36&lt;&gt;""),Input!$B$36&amp;";",""),IF(AND($G52&lt;Hta_17,$G52&gt;=Hba_17,Input!AE$37&lt;&gt;""),Input!$B$37&amp;";",""),IF(AND($G52&lt;Hta_18,$G52&gt;=Hba_18,Input!AE$38&lt;&gt;""),Input!$B$38&amp;";",""),IF(AND($G52&lt;Hta_19,$G52&gt;=Hba_19,Input!AE$39&lt;&gt;""),Input!$B$39&amp;";",""),IF(AND($G52&lt;Hta_20,$G52&gt;=Hba_20,Input!AE$40&lt;&gt;""),Input!$B$40&amp;";",""),IF(AND($G52&lt;Hta_21,$G52&gt;=Hba_21,Input!AE$41&lt;&gt;""),Input!$B$41&amp;";",""),IF(AND($G52&lt;Hta_22,$G52&gt;=Hba_22,Input!AE$42&lt;&gt;""),Input!$B$42&amp;";",""),IF(AND($G52&lt;Hta_23,$G52&gt;=Hba_23,Input!AE$43&lt;&gt;""),Input!$B$43&amp;";",""),IF(AND($G52&lt;Hta_24,$G52&gt;=Hba_24,Input!AE$44&lt;&gt;""),Input!$B$44&amp;";",""),IF(AND($G52&lt;Hta_25,$G52&gt;=Hba_25,Input!AE$45&lt;&gt;""),Input!$B$45&amp;";",""),IF(AND($G52&lt;Hta_26,$G52&gt;=Hba_26,Input!AE$46&lt;&gt;""),Input!$B$46&amp;";",""),IF(AND($G52&lt;Hta_27,$G52&gt;=Hba_27,Input!AE$47&lt;&gt;""),Input!$B$47&amp;";",""),IF(AND($G52&lt;Hta_28,$G52&gt;=Hba_28,Input!AE$48&lt;&gt;""),Input!$B$48&amp;";",""),IF(AND($G52&lt;Hta_29,$G52&gt;=Hba_29,Input!AE$49&lt;&gt;""),Input!$B$49&amp;";",""),IF(AND($G52&lt;Hta_30,$G52&gt;=Hba_30,Input!AE$50&lt;&gt;""),Input!$B$50&amp;";","")),"")</f>
        <v/>
      </c>
      <c r="CG52" s="25" t="str">
        <f>IFERROR(CONCATENATE(IF(AND($G52&lt;Hta_1,$G52&gt;=Hba_1,Input!AF$21&lt;&gt;""),Input!$B$21&amp;";",""),IF(AND($G52&lt;Hta_2,$G52&gt;=Hba_2,Input!AF$22&lt;&gt;""),Input!$B$22&amp;";",""),IF(AND($G52&lt;Hta_3,$G52&gt;=Hba_3,Input!AF$23&lt;&gt;""),Input!$B$23&amp;";",""),IF(AND($G52&lt;Hta_4,$G52&gt;=Hba_4,Input!AF$24&lt;&gt;""),Input!$B$24&amp;";",""),IF(AND($G52&lt;Hta_5,$G52&gt;=Hba_5,Input!AF$25&lt;&gt;""),Input!$B$25&amp;";",""),IF(AND($G52&lt;Hta_6,$G52&gt;=Hba_6,Input!AF$26&lt;&gt;""),Input!$B$26&amp;";",""),IF(AND($G52&lt;Hta_7,$G52&gt;=Hba_7,Input!AF$27&lt;&gt;""),Input!$B$27&amp;";",""),IF(AND($G52&lt;Hta_8,$G52&gt;=Hba_8,Input!AF$28&lt;&gt;""),Input!$B$28&amp;";",""),IF(AND($G52&lt;Hta_9,$G52&gt;=Hba_9,Input!AF$29&lt;&gt;""),Input!$B$29&amp;";",""),IF(AND($G52&lt;Hta_10,$G52&gt;=Hba_10,Input!AF$30&lt;&gt;""),Input!$B$30&amp;";",""),IF(AND($G52&lt;Hta_11,$G52&gt;=Hba_11,Input!AF$31&lt;&gt;""),Input!$B$31&amp;";",""),IF(AND($G52&lt;Hta_12,$G52&gt;=Hba_12,Input!AF$32&lt;&gt;""),Input!$B$32&amp;";",""),IF(AND($G52&lt;Hta_13,$G52&gt;=Hba_13,Input!AF$33&lt;&gt;""),Input!$B$33&amp;";",""),IF(AND($G52&lt;Hta_14,$G52&gt;=Hba_14,Input!AF$34&lt;&gt;""),Input!$B$34&amp;";",""),IF(AND($G52&lt;Hta_15,$G52&gt;=Hba_15,Input!AF$35&lt;&gt;""),Input!$B$35&amp;";",""),IF(AND($G52&lt;Hta_16,$G52&gt;=Hba_16,Input!AF$36&lt;&gt;""),Input!$B$36&amp;";",""),IF(AND($G52&lt;Hta_17,$G52&gt;=Hba_17,Input!AF$37&lt;&gt;""),Input!$B$37&amp;";",""),IF(AND($G52&lt;Hta_18,$G52&gt;=Hba_18,Input!AF$38&lt;&gt;""),Input!$B$38&amp;";",""),IF(AND($G52&lt;Hta_19,$G52&gt;=Hba_19,Input!AF$39&lt;&gt;""),Input!$B$39&amp;";",""),IF(AND($G52&lt;Hta_20,$G52&gt;=Hba_20,Input!AF$40&lt;&gt;""),Input!$B$40&amp;";",""),IF(AND($G52&lt;Hta_21,$G52&gt;=Hba_21,Input!AF$41&lt;&gt;""),Input!$B$41&amp;";",""),IF(AND($G52&lt;Hta_22,$G52&gt;=Hba_22,Input!AF$42&lt;&gt;""),Input!$B$42&amp;";",""),IF(AND($G52&lt;Hta_23,$G52&gt;=Hba_23,Input!AF$43&lt;&gt;""),Input!$B$43&amp;";",""),IF(AND($G52&lt;Hta_24,$G52&gt;=Hba_24,Input!AF$44&lt;&gt;""),Input!$B$44&amp;";",""),IF(AND($G52&lt;Hta_25,$G52&gt;=Hba_25,Input!AF$45&lt;&gt;""),Input!$B$45&amp;";",""),IF(AND($G52&lt;Hta_26,$G52&gt;=Hba_26,Input!AF$46&lt;&gt;""),Input!$B$46&amp;";",""),IF(AND($G52&lt;Hta_27,$G52&gt;=Hba_27,Input!AF$47&lt;&gt;""),Input!$B$47&amp;";",""),IF(AND($G52&lt;Hta_28,$G52&gt;=Hba_28,Input!AF$48&lt;&gt;""),Input!$B$48&amp;";",""),IF(AND($G52&lt;Hta_29,$G52&gt;=Hba_29,Input!AF$49&lt;&gt;""),Input!$B$49&amp;";",""),IF(AND($G52&lt;Hta_30,$G52&gt;=Hba_30,Input!AF$50&lt;&gt;""),Input!$B$50&amp;";","")),"")</f>
        <v/>
      </c>
      <c r="CH52" s="25" t="str">
        <f>IFERROR(CONCATENATE(IF(AND($G52&lt;Hta_1,$G52&gt;=Hba_1,Input!AG$21&lt;&gt;""),Input!$B$21&amp;";",""),IF(AND($G52&lt;Hta_2,$G52&gt;=Hba_2,Input!AG$22&lt;&gt;""),Input!$B$22&amp;";",""),IF(AND($G52&lt;Hta_3,$G52&gt;=Hba_3,Input!AG$23&lt;&gt;""),Input!$B$23&amp;";",""),IF(AND($G52&lt;Hta_4,$G52&gt;=Hba_4,Input!AG$24&lt;&gt;""),Input!$B$24&amp;";",""),IF(AND($G52&lt;Hta_5,$G52&gt;=Hba_5,Input!AG$25&lt;&gt;""),Input!$B$25&amp;";",""),IF(AND($G52&lt;Hta_6,$G52&gt;=Hba_6,Input!AG$26&lt;&gt;""),Input!$B$26&amp;";",""),IF(AND($G52&lt;Hta_7,$G52&gt;=Hba_7,Input!AG$27&lt;&gt;""),Input!$B$27&amp;";",""),IF(AND($G52&lt;Hta_8,$G52&gt;=Hba_8,Input!AG$28&lt;&gt;""),Input!$B$28&amp;";",""),IF(AND($G52&lt;Hta_9,$G52&gt;=Hba_9,Input!AG$29&lt;&gt;""),Input!$B$29&amp;";",""),IF(AND($G52&lt;Hta_10,$G52&gt;=Hba_10,Input!AG$30&lt;&gt;""),Input!$B$30&amp;";",""),IF(AND($G52&lt;Hta_11,$G52&gt;=Hba_11,Input!AG$31&lt;&gt;""),Input!$B$31&amp;";",""),IF(AND($G52&lt;Hta_12,$G52&gt;=Hba_12,Input!AG$32&lt;&gt;""),Input!$B$32&amp;";",""),IF(AND($G52&lt;Hta_13,$G52&gt;=Hba_13,Input!AG$33&lt;&gt;""),Input!$B$33&amp;";",""),IF(AND($G52&lt;Hta_14,$G52&gt;=Hba_14,Input!AG$34&lt;&gt;""),Input!$B$34&amp;";",""),IF(AND($G52&lt;Hta_15,$G52&gt;=Hba_15,Input!AG$35&lt;&gt;""),Input!$B$35&amp;";",""),IF(AND($G52&lt;Hta_16,$G52&gt;=Hba_16,Input!AG$36&lt;&gt;""),Input!$B$36&amp;";",""),IF(AND($G52&lt;Hta_17,$G52&gt;=Hba_17,Input!AG$37&lt;&gt;""),Input!$B$37&amp;";",""),IF(AND($G52&lt;Hta_18,$G52&gt;=Hba_18,Input!AG$38&lt;&gt;""),Input!$B$38&amp;";",""),IF(AND($G52&lt;Hta_19,$G52&gt;=Hba_19,Input!AG$39&lt;&gt;""),Input!$B$39&amp;";",""),IF(AND($G52&lt;Hta_20,$G52&gt;=Hba_20,Input!AG$40&lt;&gt;""),Input!$B$40&amp;";",""),IF(AND($G52&lt;Hta_21,$G52&gt;=Hba_21,Input!AG$41&lt;&gt;""),Input!$B$41&amp;";",""),IF(AND($G52&lt;Hta_22,$G52&gt;=Hba_22,Input!AG$42&lt;&gt;""),Input!$B$42&amp;";",""),IF(AND($G52&lt;Hta_23,$G52&gt;=Hba_23,Input!AG$43&lt;&gt;""),Input!$B$43&amp;";",""),IF(AND($G52&lt;Hta_24,$G52&gt;=Hba_24,Input!AG$44&lt;&gt;""),Input!$B$44&amp;";",""),IF(AND($G52&lt;Hta_25,$G52&gt;=Hba_25,Input!AG$45&lt;&gt;""),Input!$B$45&amp;";",""),IF(AND($G52&lt;Hta_26,$G52&gt;=Hba_26,Input!AG$46&lt;&gt;""),Input!$B$46&amp;";",""),IF(AND($G52&lt;Hta_27,$G52&gt;=Hba_27,Input!AG$47&lt;&gt;""),Input!$B$47&amp;";",""),IF(AND($G52&lt;Hta_28,$G52&gt;=Hba_28,Input!AG$48&lt;&gt;""),Input!$B$48&amp;";",""),IF(AND($G52&lt;Hta_29,$G52&gt;=Hba_29,Input!AG$49&lt;&gt;""),Input!$B$49&amp;";",""),IF(AND($G52&lt;Hta_30,$G52&gt;=Hba_30,Input!AG$50&lt;&gt;""),Input!$B$50&amp;";","")),"")</f>
        <v/>
      </c>
      <c r="CI52" s="25" t="str">
        <f>IFERROR(CONCATENATE(IF(AND($G52&lt;Hta_1,$G52&gt;=Hba_1,Input!AH$21&lt;&gt;""),Input!$B$21&amp;";",""),IF(AND($G52&lt;Hta_2,$G52&gt;=Hba_2,Input!AH$22&lt;&gt;""),Input!$B$22&amp;";",""),IF(AND($G52&lt;Hta_3,$G52&gt;=Hba_3,Input!AH$23&lt;&gt;""),Input!$B$23&amp;";",""),IF(AND($G52&lt;Hta_4,$G52&gt;=Hba_4,Input!AH$24&lt;&gt;""),Input!$B$24&amp;";",""),IF(AND($G52&lt;Hta_5,$G52&gt;=Hba_5,Input!AH$25&lt;&gt;""),Input!$B$25&amp;";",""),IF(AND($G52&lt;Hta_6,$G52&gt;=Hba_6,Input!AH$26&lt;&gt;""),Input!$B$26&amp;";",""),IF(AND($G52&lt;Hta_7,$G52&gt;=Hba_7,Input!AH$27&lt;&gt;""),Input!$B$27&amp;";",""),IF(AND($G52&lt;Hta_8,$G52&gt;=Hba_8,Input!AH$28&lt;&gt;""),Input!$B$28&amp;";",""),IF(AND($G52&lt;Hta_9,$G52&gt;=Hba_9,Input!AH$29&lt;&gt;""),Input!$B$29&amp;";",""),IF(AND($G52&lt;Hta_10,$G52&gt;=Hba_10,Input!AH$30&lt;&gt;""),Input!$B$30&amp;";",""),IF(AND($G52&lt;Hta_11,$G52&gt;=Hba_11,Input!AH$31&lt;&gt;""),Input!$B$31&amp;";",""),IF(AND($G52&lt;Hta_12,$G52&gt;=Hba_12,Input!AH$32&lt;&gt;""),Input!$B$32&amp;";",""),IF(AND($G52&lt;Hta_13,$G52&gt;=Hba_13,Input!AH$33&lt;&gt;""),Input!$B$33&amp;";",""),IF(AND($G52&lt;Hta_14,$G52&gt;=Hba_14,Input!AH$34&lt;&gt;""),Input!$B$34&amp;";",""),IF(AND($G52&lt;Hta_15,$G52&gt;=Hba_15,Input!AH$35&lt;&gt;""),Input!$B$35&amp;";",""),IF(AND($G52&lt;Hta_16,$G52&gt;=Hba_16,Input!AH$36&lt;&gt;""),Input!$B$36&amp;";",""),IF(AND($G52&lt;Hta_17,$G52&gt;=Hba_17,Input!AH$37&lt;&gt;""),Input!$B$37&amp;";",""),IF(AND($G52&lt;Hta_18,$G52&gt;=Hba_18,Input!AH$38&lt;&gt;""),Input!$B$38&amp;";",""),IF(AND($G52&lt;Hta_19,$G52&gt;=Hba_19,Input!AH$39&lt;&gt;""),Input!$B$39&amp;";",""),IF(AND($G52&lt;Hta_20,$G52&gt;=Hba_20,Input!AH$40&lt;&gt;""),Input!$B$40&amp;";",""),IF(AND($G52&lt;Hta_21,$G52&gt;=Hba_21,Input!AH$41&lt;&gt;""),Input!$B$41&amp;";",""),IF(AND($G52&lt;Hta_22,$G52&gt;=Hba_22,Input!AH$42&lt;&gt;""),Input!$B$42&amp;";",""),IF(AND($G52&lt;Hta_23,$G52&gt;=Hba_23,Input!AH$43&lt;&gt;""),Input!$B$43&amp;";",""),IF(AND($G52&lt;Hta_24,$G52&gt;=Hba_24,Input!AH$44&lt;&gt;""),Input!$B$44&amp;";",""),IF(AND($G52&lt;Hta_25,$G52&gt;=Hba_25,Input!AH$45&lt;&gt;""),Input!$B$45&amp;";",""),IF(AND($G52&lt;Hta_26,$G52&gt;=Hba_26,Input!AH$46&lt;&gt;""),Input!$B$46&amp;";",""),IF(AND($G52&lt;Hta_27,$G52&gt;=Hba_27,Input!AH$47&lt;&gt;""),Input!$B$47&amp;";",""),IF(AND($G52&lt;Hta_28,$G52&gt;=Hba_28,Input!AH$48&lt;&gt;""),Input!$B$48&amp;";",""),IF(AND($G52&lt;Hta_29,$G52&gt;=Hba_29,Input!AH$49&lt;&gt;""),Input!$B$49&amp;";",""),IF(AND($G52&lt;Hta_30,$G52&gt;=Hba_30,Input!AH$50&lt;&gt;""),Input!$B$50&amp;";","")),"")</f>
        <v/>
      </c>
      <c r="CJ52" s="25" t="str">
        <f>IFERROR(CONCATENATE(IF(AND($G52&lt;Hta_1,$G52&gt;=Hba_1,Input!AI$21&lt;&gt;""),Input!$B$21&amp;";",""),IF(AND($G52&lt;Hta_2,$G52&gt;=Hba_2,Input!AI$22&lt;&gt;""),Input!$B$22&amp;";",""),IF(AND($G52&lt;Hta_3,$G52&gt;=Hba_3,Input!AI$23&lt;&gt;""),Input!$B$23&amp;";",""),IF(AND($G52&lt;Hta_4,$G52&gt;=Hba_4,Input!AI$24&lt;&gt;""),Input!$B$24&amp;";",""),IF(AND($G52&lt;Hta_5,$G52&gt;=Hba_5,Input!AI$25&lt;&gt;""),Input!$B$25&amp;";",""),IF(AND($G52&lt;Hta_6,$G52&gt;=Hba_6,Input!AI$26&lt;&gt;""),Input!$B$26&amp;";",""),IF(AND($G52&lt;Hta_7,$G52&gt;=Hba_7,Input!AI$27&lt;&gt;""),Input!$B$27&amp;";",""),IF(AND($G52&lt;Hta_8,$G52&gt;=Hba_8,Input!AI$28&lt;&gt;""),Input!$B$28&amp;";",""),IF(AND($G52&lt;Hta_9,$G52&gt;=Hba_9,Input!AI$29&lt;&gt;""),Input!$B$29&amp;";",""),IF(AND($G52&lt;Hta_10,$G52&gt;=Hba_10,Input!AI$30&lt;&gt;""),Input!$B$30&amp;";",""),IF(AND($G52&lt;Hta_11,$G52&gt;=Hba_11,Input!AI$31&lt;&gt;""),Input!$B$31&amp;";",""),IF(AND($G52&lt;Hta_12,$G52&gt;=Hba_12,Input!AI$32&lt;&gt;""),Input!$B$32&amp;";",""),IF(AND($G52&lt;Hta_13,$G52&gt;=Hba_13,Input!AI$33&lt;&gt;""),Input!$B$33&amp;";",""),IF(AND($G52&lt;Hta_14,$G52&gt;=Hba_14,Input!AI$34&lt;&gt;""),Input!$B$34&amp;";",""),IF(AND($G52&lt;Hta_15,$G52&gt;=Hba_15,Input!AI$35&lt;&gt;""),Input!$B$35&amp;";",""),IF(AND($G52&lt;Hta_16,$G52&gt;=Hba_16,Input!AI$36&lt;&gt;""),Input!$B$36&amp;";",""),IF(AND($G52&lt;Hta_17,$G52&gt;=Hba_17,Input!AI$37&lt;&gt;""),Input!$B$37&amp;";",""),IF(AND($G52&lt;Hta_18,$G52&gt;=Hba_18,Input!AI$38&lt;&gt;""),Input!$B$38&amp;";",""),IF(AND($G52&lt;Hta_19,$G52&gt;=Hba_19,Input!AI$39&lt;&gt;""),Input!$B$39&amp;";",""),IF(AND($G52&lt;Hta_20,$G52&gt;=Hba_20,Input!AI$40&lt;&gt;""),Input!$B$40&amp;";",""),IF(AND($G52&lt;Hta_21,$G52&gt;=Hba_21,Input!AI$41&lt;&gt;""),Input!$B$41&amp;";",""),IF(AND($G52&lt;Hta_22,$G52&gt;=Hba_22,Input!AI$42&lt;&gt;""),Input!$B$42&amp;";",""),IF(AND($G52&lt;Hta_23,$G52&gt;=Hba_23,Input!AI$43&lt;&gt;""),Input!$B$43&amp;";",""),IF(AND($G52&lt;Hta_24,$G52&gt;=Hba_24,Input!AI$44&lt;&gt;""),Input!$B$44&amp;";",""),IF(AND($G52&lt;Hta_25,$G52&gt;=Hba_25,Input!AI$45&lt;&gt;""),Input!$B$45&amp;";",""),IF(AND($G52&lt;Hta_26,$G52&gt;=Hba_26,Input!AI$46&lt;&gt;""),Input!$B$46&amp;";",""),IF(AND($G52&lt;Hta_27,$G52&gt;=Hba_27,Input!AI$47&lt;&gt;""),Input!$B$47&amp;";",""),IF(AND($G52&lt;Hta_28,$G52&gt;=Hba_28,Input!AI$48&lt;&gt;""),Input!$B$48&amp;";",""),IF(AND($G52&lt;Hta_29,$G52&gt;=Hba_29,Input!AI$49&lt;&gt;""),Input!$B$49&amp;";",""),IF(AND($G52&lt;Hta_30,$G52&gt;=Hba_30,Input!AI$50&lt;&gt;""),Input!$B$50&amp;";","")),"")</f>
        <v/>
      </c>
      <c r="CK52" s="25" t="str">
        <f>IFERROR(CONCATENATE(IF(AND($G52&lt;Hta_1,$G52&gt;=Hba_1,Input!AJ$21&lt;&gt;""),Input!$B$21&amp;";",""),IF(AND($G52&lt;Hta_2,$G52&gt;=Hba_2,Input!AJ$22&lt;&gt;""),Input!$B$22&amp;";",""),IF(AND($G52&lt;Hta_3,$G52&gt;=Hba_3,Input!AJ$23&lt;&gt;""),Input!$B$23&amp;";",""),IF(AND($G52&lt;Hta_4,$G52&gt;=Hba_4,Input!AJ$24&lt;&gt;""),Input!$B$24&amp;";",""),IF(AND($G52&lt;Hta_5,$G52&gt;=Hba_5,Input!AJ$25&lt;&gt;""),Input!$B$25&amp;";",""),IF(AND($G52&lt;Hta_6,$G52&gt;=Hba_6,Input!AJ$26&lt;&gt;""),Input!$B$26&amp;";",""),IF(AND($G52&lt;Hta_7,$G52&gt;=Hba_7,Input!AJ$27&lt;&gt;""),Input!$B$27&amp;";",""),IF(AND($G52&lt;Hta_8,$G52&gt;=Hba_8,Input!AJ$28&lt;&gt;""),Input!$B$28&amp;";",""),IF(AND($G52&lt;Hta_9,$G52&gt;=Hba_9,Input!AJ$29&lt;&gt;""),Input!$B$29&amp;";",""),IF(AND($G52&lt;Hta_10,$G52&gt;=Hba_10,Input!AJ$30&lt;&gt;""),Input!$B$30&amp;";",""),IF(AND($G52&lt;Hta_11,$G52&gt;=Hba_11,Input!AJ$31&lt;&gt;""),Input!$B$31&amp;";",""),IF(AND($G52&lt;Hta_12,$G52&gt;=Hba_12,Input!AJ$32&lt;&gt;""),Input!$B$32&amp;";",""),IF(AND($G52&lt;Hta_13,$G52&gt;=Hba_13,Input!AJ$33&lt;&gt;""),Input!$B$33&amp;";",""),IF(AND($G52&lt;Hta_14,$G52&gt;=Hba_14,Input!AJ$34&lt;&gt;""),Input!$B$34&amp;";",""),IF(AND($G52&lt;Hta_15,$G52&gt;=Hba_15,Input!AJ$35&lt;&gt;""),Input!$B$35&amp;";",""),IF(AND($G52&lt;Hta_16,$G52&gt;=Hba_16,Input!AJ$36&lt;&gt;""),Input!$B$36&amp;";",""),IF(AND($G52&lt;Hta_17,$G52&gt;=Hba_17,Input!AJ$37&lt;&gt;""),Input!$B$37&amp;";",""),IF(AND($G52&lt;Hta_18,$G52&gt;=Hba_18,Input!AJ$38&lt;&gt;""),Input!$B$38&amp;";",""),IF(AND($G52&lt;Hta_19,$G52&gt;=Hba_19,Input!AJ$39&lt;&gt;""),Input!$B$39&amp;";",""),IF(AND($G52&lt;Hta_20,$G52&gt;=Hba_20,Input!AJ$40&lt;&gt;""),Input!$B$40&amp;";",""),IF(AND($G52&lt;Hta_21,$G52&gt;=Hba_21,Input!AJ$41&lt;&gt;""),Input!$B$41&amp;";",""),IF(AND($G52&lt;Hta_22,$G52&gt;=Hba_22,Input!AJ$42&lt;&gt;""),Input!$B$42&amp;";",""),IF(AND($G52&lt;Hta_23,$G52&gt;=Hba_23,Input!AJ$43&lt;&gt;""),Input!$B$43&amp;";",""),IF(AND($G52&lt;Hta_24,$G52&gt;=Hba_24,Input!AJ$44&lt;&gt;""),Input!$B$44&amp;";",""),IF(AND($G52&lt;Hta_25,$G52&gt;=Hba_25,Input!AJ$45&lt;&gt;""),Input!$B$45&amp;";",""),IF(AND($G52&lt;Hta_26,$G52&gt;=Hba_26,Input!AJ$46&lt;&gt;""),Input!$B$46&amp;";",""),IF(AND($G52&lt;Hta_27,$G52&gt;=Hba_27,Input!AJ$47&lt;&gt;""),Input!$B$47&amp;";",""),IF(AND($G52&lt;Hta_28,$G52&gt;=Hba_28,Input!AJ$48&lt;&gt;""),Input!$B$48&amp;";",""),IF(AND($G52&lt;Hta_29,$G52&gt;=Hba_29,Input!AJ$49&lt;&gt;""),Input!$B$49&amp;";",""),IF(AND($G52&lt;Hta_30,$G52&gt;=Hba_30,Input!AJ$50&lt;&gt;""),Input!$B$50&amp;";","")),"")</f>
        <v/>
      </c>
      <c r="CL52" s="25" t="str">
        <f>IFERROR(CONCATENATE(IF(AND($G52&lt;Hta_1,$G52&gt;=Hba_1,Input!AK$21&lt;&gt;""),Input!$B$21&amp;";",""),IF(AND($G52&lt;Hta_2,$G52&gt;=Hba_2,Input!AK$22&lt;&gt;""),Input!$B$22&amp;";",""),IF(AND($G52&lt;Hta_3,$G52&gt;=Hba_3,Input!AK$23&lt;&gt;""),Input!$B$23&amp;";",""),IF(AND($G52&lt;Hta_4,$G52&gt;=Hba_4,Input!AK$24&lt;&gt;""),Input!$B$24&amp;";",""),IF(AND($G52&lt;Hta_5,$G52&gt;=Hba_5,Input!AK$25&lt;&gt;""),Input!$B$25&amp;";",""),IF(AND($G52&lt;Hta_6,$G52&gt;=Hba_6,Input!AK$26&lt;&gt;""),Input!$B$26&amp;";",""),IF(AND($G52&lt;Hta_7,$G52&gt;=Hba_7,Input!AK$27&lt;&gt;""),Input!$B$27&amp;";",""),IF(AND($G52&lt;Hta_8,$G52&gt;=Hba_8,Input!AK$28&lt;&gt;""),Input!$B$28&amp;";",""),IF(AND($G52&lt;Hta_9,$G52&gt;=Hba_9,Input!AK$29&lt;&gt;""),Input!$B$29&amp;";",""),IF(AND($G52&lt;Hta_10,$G52&gt;=Hba_10,Input!AK$30&lt;&gt;""),Input!$B$30&amp;";",""),IF(AND($G52&lt;Hta_11,$G52&gt;=Hba_11,Input!AK$31&lt;&gt;""),Input!$B$31&amp;";",""),IF(AND($G52&lt;Hta_12,$G52&gt;=Hba_12,Input!AK$32&lt;&gt;""),Input!$B$32&amp;";",""),IF(AND($G52&lt;Hta_13,$G52&gt;=Hba_13,Input!AK$33&lt;&gt;""),Input!$B$33&amp;";",""),IF(AND($G52&lt;Hta_14,$G52&gt;=Hba_14,Input!AK$34&lt;&gt;""),Input!$B$34&amp;";",""),IF(AND($G52&lt;Hta_15,$G52&gt;=Hba_15,Input!AK$35&lt;&gt;""),Input!$B$35&amp;";",""),IF(AND($G52&lt;Hta_16,$G52&gt;=Hba_16,Input!AK$36&lt;&gt;""),Input!$B$36&amp;";",""),IF(AND($G52&lt;Hta_17,$G52&gt;=Hba_17,Input!AK$37&lt;&gt;""),Input!$B$37&amp;";",""),IF(AND($G52&lt;Hta_18,$G52&gt;=Hba_18,Input!AK$38&lt;&gt;""),Input!$B$38&amp;";",""),IF(AND($G52&lt;Hta_19,$G52&gt;=Hba_19,Input!AK$39&lt;&gt;""),Input!$B$39&amp;";",""),IF(AND($G52&lt;Hta_20,$G52&gt;=Hba_20,Input!AK$40&lt;&gt;""),Input!$B$40&amp;";",""),IF(AND($G52&lt;Hta_21,$G52&gt;=Hba_21,Input!AK$41&lt;&gt;""),Input!$B$41&amp;";",""),IF(AND($G52&lt;Hta_22,$G52&gt;=Hba_22,Input!AK$42&lt;&gt;""),Input!$B$42&amp;";",""),IF(AND($G52&lt;Hta_23,$G52&gt;=Hba_23,Input!AK$43&lt;&gt;""),Input!$B$43&amp;";",""),IF(AND($G52&lt;Hta_24,$G52&gt;=Hba_24,Input!AK$44&lt;&gt;""),Input!$B$44&amp;";",""),IF(AND($G52&lt;Hta_25,$G52&gt;=Hba_25,Input!AK$45&lt;&gt;""),Input!$B$45&amp;";",""),IF(AND($G52&lt;Hta_26,$G52&gt;=Hba_26,Input!AK$46&lt;&gt;""),Input!$B$46&amp;";",""),IF(AND($G52&lt;Hta_27,$G52&gt;=Hba_27,Input!AK$47&lt;&gt;""),Input!$B$47&amp;";",""),IF(AND($G52&lt;Hta_28,$G52&gt;=Hba_28,Input!AK$48&lt;&gt;""),Input!$B$48&amp;";",""),IF(AND($G52&lt;Hta_29,$G52&gt;=Hba_29,Input!AK$49&lt;&gt;""),Input!$B$49&amp;";",""),IF(AND($G52&lt;Hta_30,$G52&gt;=Hba_30,Input!AK$50&lt;&gt;""),Input!$B$50&amp;";","")),"")</f>
        <v/>
      </c>
      <c r="CM52" s="25" t="str">
        <f>IFERROR(CONCATENATE(IF(AND($G52&lt;Hta_1,$G52&gt;=Hba_1,Input!AL$21&lt;&gt;""),Input!$B$21&amp;";",""),IF(AND($G52&lt;Hta_2,$G52&gt;=Hba_2,Input!AL$22&lt;&gt;""),Input!$B$22&amp;";",""),IF(AND($G52&lt;Hta_3,$G52&gt;=Hba_3,Input!AL$23&lt;&gt;""),Input!$B$23&amp;";",""),IF(AND($G52&lt;Hta_4,$G52&gt;=Hba_4,Input!AL$24&lt;&gt;""),Input!$B$24&amp;";",""),IF(AND($G52&lt;Hta_5,$G52&gt;=Hba_5,Input!AL$25&lt;&gt;""),Input!$B$25&amp;";",""),IF(AND($G52&lt;Hta_6,$G52&gt;=Hba_6,Input!AL$26&lt;&gt;""),Input!$B$26&amp;";",""),IF(AND($G52&lt;Hta_7,$G52&gt;=Hba_7,Input!AL$27&lt;&gt;""),Input!$B$27&amp;";",""),IF(AND($G52&lt;Hta_8,$G52&gt;=Hba_8,Input!AL$28&lt;&gt;""),Input!$B$28&amp;";",""),IF(AND($G52&lt;Hta_9,$G52&gt;=Hba_9,Input!AL$29&lt;&gt;""),Input!$B$29&amp;";",""),IF(AND($G52&lt;Hta_10,$G52&gt;=Hba_10,Input!AL$30&lt;&gt;""),Input!$B$30&amp;";",""),IF(AND($G52&lt;Hta_11,$G52&gt;=Hba_11,Input!AL$31&lt;&gt;""),Input!$B$31&amp;";",""),IF(AND($G52&lt;Hta_12,$G52&gt;=Hba_12,Input!AL$32&lt;&gt;""),Input!$B$32&amp;";",""),IF(AND($G52&lt;Hta_13,$G52&gt;=Hba_13,Input!AL$33&lt;&gt;""),Input!$B$33&amp;";",""),IF(AND($G52&lt;Hta_14,$G52&gt;=Hba_14,Input!AL$34&lt;&gt;""),Input!$B$34&amp;";",""),IF(AND($G52&lt;Hta_15,$G52&gt;=Hba_15,Input!AL$35&lt;&gt;""),Input!$B$35&amp;";",""),IF(AND($G52&lt;Hta_16,$G52&gt;=Hba_16,Input!AL$36&lt;&gt;""),Input!$B$36&amp;";",""),IF(AND($G52&lt;Hta_17,$G52&gt;=Hba_17,Input!AL$37&lt;&gt;""),Input!$B$37&amp;";",""),IF(AND($G52&lt;Hta_18,$G52&gt;=Hba_18,Input!AL$38&lt;&gt;""),Input!$B$38&amp;";",""),IF(AND($G52&lt;Hta_19,$G52&gt;=Hba_19,Input!AL$39&lt;&gt;""),Input!$B$39&amp;";",""),IF(AND($G52&lt;Hta_20,$G52&gt;=Hba_20,Input!AL$40&lt;&gt;""),Input!$B$40&amp;";",""),IF(AND($G52&lt;Hta_21,$G52&gt;=Hba_21,Input!AL$41&lt;&gt;""),Input!$B$41&amp;";",""),IF(AND($G52&lt;Hta_22,$G52&gt;=Hba_22,Input!AL$42&lt;&gt;""),Input!$B$42&amp;";",""),IF(AND($G52&lt;Hta_23,$G52&gt;=Hba_23,Input!AL$43&lt;&gt;""),Input!$B$43&amp;";",""),IF(AND($G52&lt;Hta_24,$G52&gt;=Hba_24,Input!AL$44&lt;&gt;""),Input!$B$44&amp;";",""),IF(AND($G52&lt;Hta_25,$G52&gt;=Hba_25,Input!AL$45&lt;&gt;""),Input!$B$45&amp;";",""),IF(AND($G52&lt;Hta_26,$G52&gt;=Hba_26,Input!AL$46&lt;&gt;""),Input!$B$46&amp;";",""),IF(AND($G52&lt;Hta_27,$G52&gt;=Hba_27,Input!AL$47&lt;&gt;""),Input!$B$47&amp;";",""),IF(AND($G52&lt;Hta_28,$G52&gt;=Hba_28,Input!AL$48&lt;&gt;""),Input!$B$48&amp;";",""),IF(AND($G52&lt;Hta_29,$G52&gt;=Hba_29,Input!AL$49&lt;&gt;""),Input!$B$49&amp;";",""),IF(AND($G52&lt;Hta_30,$G52&gt;=Hba_30,Input!AL$50&lt;&gt;""),Input!$B$50&amp;";","")),"")</f>
        <v/>
      </c>
      <c r="CN52" s="59" t="str">
        <f t="shared" si="6"/>
        <v/>
      </c>
      <c r="CO52" s="791"/>
      <c r="CP52" s="792"/>
      <c r="CQ52" s="793"/>
      <c r="CR52" s="791"/>
      <c r="CS52" s="792"/>
      <c r="CT52" s="793"/>
      <c r="CU52" s="791" t="str">
        <f t="shared" si="7"/>
        <v/>
      </c>
      <c r="CV52" s="792"/>
      <c r="CW52" s="807"/>
      <c r="CX52" s="808"/>
      <c r="CY52" s="730"/>
      <c r="CZ52" s="809"/>
      <c r="DA52" s="733"/>
      <c r="DB52" s="734"/>
      <c r="DC52" s="735"/>
      <c r="DD52" s="729" t="str">
        <f t="shared" si="8"/>
        <v/>
      </c>
      <c r="DE52" s="730"/>
      <c r="DF52" s="731"/>
      <c r="DG52" s="55"/>
      <c r="DH52" s="56"/>
      <c r="DI52" s="56"/>
      <c r="DJ52" s="56"/>
      <c r="DK52" s="56"/>
      <c r="DL52" s="56"/>
      <c r="DM52" s="56"/>
      <c r="DN52" s="56"/>
      <c r="DO52" s="56"/>
      <c r="DP52" s="56"/>
      <c r="DQ52" s="58"/>
      <c r="DR52" s="58"/>
      <c r="DS52" s="58"/>
      <c r="DT52" s="58"/>
      <c r="DU52" s="58"/>
      <c r="DV52" s="58"/>
      <c r="DW52" s="58"/>
      <c r="DX52" s="58"/>
      <c r="DY52" s="58"/>
      <c r="DZ52" s="58"/>
      <c r="EA52" s="58"/>
      <c r="EB52" s="58"/>
      <c r="EC52" s="58"/>
      <c r="ED52" s="58"/>
      <c r="EE52" s="58"/>
      <c r="EF52" s="58"/>
      <c r="EG52" s="58"/>
      <c r="EH52" s="58"/>
      <c r="EI52" s="58"/>
      <c r="EJ52" s="58"/>
      <c r="EK52" s="58"/>
      <c r="EL52" s="134"/>
      <c r="EM52" s="134"/>
      <c r="EN52" s="134"/>
      <c r="EO52" s="134"/>
      <c r="EP52" s="134"/>
      <c r="EQ52" s="134"/>
      <c r="ER52" s="134"/>
      <c r="ES52" s="134"/>
      <c r="ET52" s="134"/>
      <c r="EU52" s="134"/>
      <c r="EV52" s="134"/>
      <c r="EW52" s="134"/>
      <c r="EX52" s="134"/>
      <c r="EY52" s="134"/>
      <c r="EZ52" s="134"/>
      <c r="FA52" s="134"/>
      <c r="FB52" s="134"/>
      <c r="FC52" s="134"/>
      <c r="FD52" s="134"/>
      <c r="FE52" s="134"/>
      <c r="FF52" s="134"/>
      <c r="FG52" s="134"/>
      <c r="FH52" s="134"/>
      <c r="FI52" s="134"/>
      <c r="FJ52" s="134"/>
      <c r="FK52" s="134"/>
      <c r="FL52" s="134"/>
      <c r="FM52" s="134"/>
      <c r="FN52" s="134"/>
      <c r="FO52" s="134"/>
      <c r="FP52" s="65"/>
      <c r="FQ52" s="124"/>
      <c r="FR52" s="122"/>
      <c r="FS52" s="120"/>
      <c r="FT52" s="119"/>
    </row>
    <row r="53" spans="2:176" ht="15.75" hidden="1" customHeight="1" thickBot="1" x14ac:dyDescent="0.3">
      <c r="B53" s="62" t="b">
        <f>IF(OR(AND(G53&gt;='Geometry 2'!$AK$5,G53&lt;'Geometry 2'!$AL$5),AND(G53&gt;='Geometry 2'!$AK$6,G53&lt;'Geometry 2'!$AL$6),AND(G53&gt;='Geometry 2'!$AK$7,G53&lt;'Geometry 2'!$AL$7),AND(G53&gt;='Geometry 2'!$AK$8,G53&lt;'Geometry 2'!$AL$8),AND(G53&gt;='Geometry 2'!$AK$9,G53&lt;'Geometry 2'!$AL$9),AND(G53&gt;='Geometry 2'!$AK$10,G53&lt;'Geometry 2'!$AL$10),AND(G53&gt;='Geometry 2'!$AK$11,G53&lt;'Geometry 2'!$AL$11),AND(G53&gt;='Geometry 2'!$AK$12,G53&lt;'Geometry 2'!$AL$12),AND(G53&gt;='Geometry 2'!$AK$13,G53&lt;'Geometry 2'!$AL$13),AND(G53&gt;='Geometry 2'!$AK$14,G53&lt;'Geometry 2'!$AL$14)),TRUE,FALSE)</f>
        <v>0</v>
      </c>
      <c r="C53" s="4" t="str">
        <f t="shared" si="3"/>
        <v/>
      </c>
      <c r="D53" s="766" t="str">
        <f t="shared" si="4"/>
        <v/>
      </c>
      <c r="E53" s="767"/>
      <c r="F53" s="17" t="str">
        <f t="shared" si="2"/>
        <v/>
      </c>
      <c r="G53" s="768" t="str">
        <f>IF(D53="","",MAX(0,G52-IF(inc="n/a",999,inc),MAX(IF(G52&lt;=Hta_1,0,Hta_1),IF(G52&lt;=Hta_2,0,Hta_2),IF(G52&lt;=Hta_3,0,Hta_3),IF(G52&lt;=Hta_4,0,Hta_4),IF(G52&lt;=Hta_5,0,Hta_5),IF(G52&lt;=Hta_6,0,Hta_6),IF(G52&lt;=Hta_7,0,Hta_7),IF(G52&lt;=Hta_8,0,Hta_8),IF(G52&lt;=Hta_9,0,Hta_9),IF(G52&lt;=Hta_10,0,Hta_10),IF(G52&lt;=Hta_11,0,Hta_11),IF(G52&lt;=Hta_12,0,Hta_12),IF(G52&lt;=Hta_13,0,Hta_13),IF(G52&lt;=Hta_14,0,Hta_14),IF(G52&lt;=Hta_15,0,Hta_15),IF(G52&lt;=Hta_16,0,Hta_16),IF(G52&lt;=Hta_17,0,Hta_17),IF(G52&lt;=Hta_18,0,Hta_18),IF(G52&lt;=Hta_19,0,Hta_19),IF(G52&lt;=Hta_20,0,Hta_20),IF(G52&lt;=Hta_21,0,Hta_21),IF(G52&lt;=Hta_22,0,Hta_22),IF(G52&lt;=Hta_23,0,Hta_23),IF(G52&lt;=Hta_24,0,Hta_24),IF(G52&lt;=Hta_25,0,Hta_25),IF(G52&lt;=Hta_26,0,Hta_26),IF(G52&lt;=Hta_27,0,Hta_27),IF(G52&lt;=Hta_28,0,Hta_28),IF(G52&lt;=Hta_29,0,Hta_29),IF(G52&lt;=Hta_30,0,Hta_30)),MAX(IF(G52&lt;=Hta_1-0.25,0,Hta_1-0.25),IF(G52&lt;=Hta_2-0.25,0,Hta_2-0.25),IF(G52&lt;=Hta_3-0.25,0,Hta_3-0.25),IF(G52&lt;=Hta_4-0.25,0,Hta_4-0.25),IF(G52&lt;=Hta_5-0.25,0,Hta_5-0.25),IF(G52&lt;=Hta_6-0.25,0,Hta_6-0.25),IF(G52&lt;=Hta_7-0.25,0,Hta_7-0.25),IF(G52&lt;=Hta_8-0.25,0,Hta_8-0.25),IF(G52&lt;=Hta_9-0.25,0,Hta_9-0.25),IF(G52&lt;=Hta_10-0.25,0,Hta_10-0.25),IF(G52&lt;=Hta_11-0.25,0,Hta_11-0.25),IF(G52&lt;=Hta_12-0.25,0,Hta_12-0.25),IF(G52&lt;=Hta_13-0.25,0,Hta_13-0.25),IF(G52&lt;=Hta_14-0.25,0,Hta_14-0.25),IF(G52&lt;=Hta_15-0.25,0,Hta_15-0.25),IF(G52&lt;=Hta_16-0.25,0,Hta_16-0.25),IF(G52&lt;=Hta_17-0.25,0,Hta_17-0.25),IF(G52&lt;=Hta_18-0.25,0,Hta_18-0.25),IF(G52&lt;=Hta_19-0.25,0,Hta_19-0.25),IF(G52&lt;=Hta_20-0.25,0,Hta_20-0.25),IF(G52&lt;=Hta_21-0.25,0,Hta_21-0.25),IF(G52&lt;=Hta_22-0.25,0,Hta_22-0.25),IF(G52&lt;=Hta_23-0.25,0,Hta_23-0.25),IF(G52&lt;=Hta_24-0.25,0,Hta_24-0.25),IF(G52&lt;=Hta_25-0.25,0,Hta_25-0.25),IF(G52&lt;=Hta_26-0.25,0,Hta_26-0.25),IF(G52&lt;=Hta_27-0.25,0,Hta_27-0.25),IF(G52&lt;=Hta_28-0.25,0,Hta_28-0.25),IF(G52&lt;=Hta_29-0.25,0,Hta_29-0.25),IF(G52&lt;=Hta_30-0.25,0,Hta_30-0.25)),MAX(IF(G52&lt;=Hba_1,0,Hba_1),IF(G52&lt;=Hba_2,0,Hba_2),IF(G52&lt;=Hba_3,0,Hba_3),IF(G52&lt;=Hba_4,0,Hba_4),IF(G52&lt;=Hba_5,0,Hba_5),IF(G52&lt;=Hba_6,0,Hba_6),IF(G52&lt;=Hba_7,0,Hba_7),IF(G52&lt;=Hba_8,0,Hba_8),IF(G52&lt;=Hba_9,0,Hba_9),IF(G52&lt;=Hba_10,0,Hba_10),IF(G52&lt;=Hba_11,0,Hba_11),IF(G52&lt;=Hba_12,0,Hba_12),IF(G52&lt;=Hba_13,0,Hba_13),IF(G52&lt;=Hba_14,0,Hba_14),IF(G52&lt;=Hba_15,0,Hba_15),IF(G52&lt;=Hba_16,0,Hba_16),IF(G52&lt;=Hba_17,0,Hba_17),IF(G52&lt;=Hba_18,0,Hba_18),IF(G52&lt;=Hba_19,0,Hba_19),IF(G52&lt;=Hba_20,0,Hba_20),IF(G52&lt;=Hba_21,0,Hba_21),IF(G52&lt;=Hba_22,0,Hba_22),IF(G52&lt;=Hba_23,0,Hba_23),IF(G52&lt;=Hba_24,0,Hba_24),IF(G52&lt;=Hba_25,0,Hba_25),IF(G52&lt;=Hba_26,0,Hba_26),IF(G52&lt;=Hba_27,0,Hba_27),IF(G52&lt;=Hba_28,0,Hba_28),IF(G52&lt;=Hba_29,0,Hba_29),IF(G52&lt;=Hba_30,0,Hba_30)),MAX(IF(G52&lt;=Input!$C$8,0,Input!$C$8),IF(G52&lt;=Input!$C$9,0,Input!$C$9),IF(G52&lt;=Input!$C$10,0,Input!$C$10),IF(G52&lt;=Input!$C$11,0,Input!$C$11),IF(G52&lt;=Input!$C$12,0,Input!$C$12),IF(G52&lt;=Input!$C$13,0,Input!$C$13),IF(G52&lt;=Input!$C$14,0,Input!$C$14),IF(G52&lt;=Input!$C$15,0,Input!$C$15),IF(G52&lt;=Input!$C$16,0,Input!$C$16)),MAX(IF(G52&lt;=Hba_1-0.25,0,Hba_1-0.25),IF(G52&lt;=Hba_2-0.25,0,Hba_2-0.25),IF(G52&lt;=Hba_3-0.25,0,Hba_3-0.25),IF(G52&lt;=Hba_4-0.25,0,Hba_4-0.25),IF(G52&lt;=Hba_5-0.25,0,Hba_5-0.25),IF(G52&lt;=Hba_6-0.25,0,Hba_6-0.25),IF(G52&lt;=Hba_7-0.25,0,Hba_7-0.25),IF(G52&lt;=Hba_8-0.25,0,Hba_8-0.25),IF(G52&lt;=Hba_9-0.25,0,Hba_9-0.25),IF(G52&lt;=Hba_10-0.25,0,Hba_10-0.25),IF(G52&lt;=Hba_11-0.25,0,Hba_11-0.25),IF(G52&lt;=Hba_12-0.25,0,Hba_12-0.25),IF(G52&lt;=Hba_13-0.25,0,Hba_13-0.25),IF(G52&lt;=Hba_14-0.25,0,Hba_14-0.25),IF(G52&lt;=Hba_15-0.25,0,Hba_15-0.25),IF(G52&lt;=Hba_16-0.25,0,Hba_16-0.25),IF(G52&lt;=Hba_17-0.25,0,Hba_17-0.25),IF(G52&lt;=Hba_18-0.25,0,Hba_18-0.25),IF(G52&lt;=Hba_19-0.25,0,Hba_19-0.25),IF(G52&lt;=Hba_20-0.25,0,Hba_20-0.25),IF(G52&lt;=Hba_21-0.25,0,Hba_21-0.25),IF(G52&lt;=Hba_22-0.25,0,Hba_22-0.25),IF(G52&lt;=Hba_23-0.25,0,Hba_23-0.25),IF(G52&lt;=Hba_24-0.25,0,Hba_24-0.25),IF(G52&lt;=Hba_25-0.25,0,Hba_25-0.25),IF(G52&lt;=Hba_26-0.25,0,Hba_26-0.25),IF(G52&lt;=Hba_27-0.25,0,Hba_27-0.25),IF(G52&lt;=Hba_28-0.25,0,Hba_28-0.25),IF(G52&lt;=Hba_29-0.25,0,Hba_29-0.25),IF(G52&lt;=Hba_30-0.25,0,Hba_30-0.25)),IF(G52&lt;='Macro References'!$A$38,0,'Macro References'!$A$38)))</f>
        <v/>
      </c>
      <c r="H53" s="769"/>
      <c r="I53" s="228"/>
      <c r="J53" s="228"/>
      <c r="K53" s="228"/>
      <c r="L53" s="717" t="str">
        <f t="shared" si="10"/>
        <v/>
      </c>
      <c r="M53" s="717"/>
      <c r="N53" s="717"/>
      <c r="O53" s="717"/>
      <c r="P53" s="717" t="str">
        <f>IF(OR(G53=0,G53=""),"",IF(VLOOKUP(G53,'Geometry 2'!$C$4:$AI$14,1,TRUE)=VLOOKUP(G54,'Geometry 2'!$C$4:$AI$14,1,TRUE),"",IF(VLOOKUP(G53,'Geometry 2'!$C$4:$AI$14,33,TRUE)&lt;&gt;"n/a",MIN(G53,VLOOKUP(G53,'Geometry 2'!$C$4:$AI$14,1,TRUE))-VLOOKUP(G53,'Geometry 2'!$C$4:$AI$14,33,TRUE),"check")))</f>
        <v/>
      </c>
      <c r="Q53" s="717"/>
      <c r="R53" s="717"/>
      <c r="S53" s="717"/>
      <c r="T53" s="717" t="str">
        <f>IF($G53="","",VLOOKUP($G53,'Geometry 2'!$E$4:$AH$14,11,TRUE))</f>
        <v/>
      </c>
      <c r="U53" s="717"/>
      <c r="V53" s="717"/>
      <c r="W53" s="717"/>
      <c r="X53" s="716" t="str">
        <f>IF($G53="","",VLOOKUP($G53,'Geometry 2'!$E$4:$AJ$14,19,TRUE)-12*VLOOKUP($G53,'Geometry 2'!$E$4:$AJ$14,32,TRUE)*($D53-VLOOKUP($G53,'Geometry 2'!$E$5:$AH$14,1,TRUE)))</f>
        <v/>
      </c>
      <c r="Y53" s="716"/>
      <c r="Z53" s="716"/>
      <c r="AA53" s="716"/>
      <c r="AB53" s="757" t="str">
        <f>IF($G53="","",VLOOKUP($G53,'Geometry 2'!$E$4:$AJ$14,19,TRUE)-12*VLOOKUP($G53,'Geometry 2'!$E$4:$AJ$14,32,TRUE)*($G53-VLOOKUP($G53,'Geometry 2'!$E$5:$AH$14,1,TRUE)))</f>
        <v/>
      </c>
      <c r="AC53" s="758"/>
      <c r="AD53" s="758"/>
      <c r="AE53" s="759"/>
      <c r="AF53" s="716" t="str">
        <f>IF($G53="","",VLOOKUP($G53,'Geometry 2'!$E$4:$AJ$14,19,TRUE)-12*VLOOKUP($G53,'Geometry 2'!$E$4:$AJ$14,32,TRUE)*($G53-IF($P53="",0,$P53)-VLOOKUP($G53,'Geometry 2'!$E$5:$AH$14,1,TRUE)))</f>
        <v/>
      </c>
      <c r="AG53" s="716"/>
      <c r="AH53" s="716"/>
      <c r="AI53" s="716"/>
      <c r="AJ53" s="746" t="str">
        <f>IF($G53="","",VLOOKUP($G53,'Geometry 2'!$E$4:$AH$14,23,TRUE))</f>
        <v/>
      </c>
      <c r="AK53" s="747"/>
      <c r="AL53" s="747"/>
      <c r="AM53" s="748"/>
      <c r="AN53" s="717"/>
      <c r="AO53" s="717"/>
      <c r="AP53" s="717"/>
      <c r="AQ53" s="717"/>
      <c r="AR53" s="717" t="str">
        <f>IF($G53="","",VLOOKUP($G53,'Geometry 2'!$E$4:$AH$14,27,TRUE))</f>
        <v/>
      </c>
      <c r="AS53" s="717"/>
      <c r="AT53" s="717"/>
      <c r="AU53" s="718"/>
      <c r="AV53" s="715"/>
      <c r="AW53" s="716"/>
      <c r="AX53" s="716"/>
      <c r="AZ53" s="722" t="str">
        <f t="shared" si="5"/>
        <v/>
      </c>
      <c r="BA53" s="723"/>
      <c r="BB53" s="723"/>
      <c r="BC53" s="724"/>
      <c r="BD53" s="722"/>
      <c r="BE53" s="723"/>
      <c r="BF53" s="723"/>
      <c r="BG53" s="722" t="str">
        <f t="shared" si="9"/>
        <v/>
      </c>
      <c r="BH53" s="723"/>
      <c r="BI53" s="723"/>
      <c r="BJ53" s="723"/>
      <c r="BK53" s="724"/>
      <c r="BL53" s="722"/>
      <c r="BM53" s="723"/>
      <c r="BN53" s="723"/>
      <c r="BO53" s="723"/>
      <c r="BP53" s="725"/>
      <c r="BQ53" s="725"/>
      <c r="BR53" s="722" t="str">
        <f>IF(BP53="","",IF(OR(AND(Rev="H",Calculations!$F$27=TRUE),AND(Rev&lt;&gt;"H",Calculations!$F$30=TRUE)),IF(BP53&lt;=1,"Pass","Fail"),IF(BP53&lt;=1.05,"Pass","Fail")))</f>
        <v/>
      </c>
      <c r="BS53" s="723"/>
      <c r="BT53" s="724"/>
      <c r="BU53" s="49"/>
      <c r="BV53" s="25" t="str">
        <f>IFERROR(CONCATENATE(IF(AND($G53&lt;Hta_1,$G53&gt;=Hba_1,Input!U$21&lt;&gt;""),Input!$B$21&amp;";",""),IF(AND($G53&lt;Hta_2,$G53&gt;=Hba_2,Input!U$22&lt;&gt;""),Input!$B$22&amp;";",""),IF(AND($G53&lt;Hta_3,$G53&gt;=Hba_3,Input!U$23&lt;&gt;""),Input!$B$23&amp;";",""),IF(AND($G53&lt;Hta_4,$G53&gt;=Hba_4,Input!U$24&lt;&gt;""),Input!$B$24&amp;";",""),IF(AND($G53&lt;Hta_5,$G53&gt;=Hba_5,Input!U$25&lt;&gt;""),Input!$B$25&amp;";",""),IF(AND($G53&lt;Hta_6,$G53&gt;=Hba_6,Input!U$26&lt;&gt;""),Input!$B$26&amp;";",""),IF(AND($G53&lt;Hta_7,$G53&gt;=Hba_7,Input!U$27&lt;&gt;""),Input!$B$27&amp;";",""),IF(AND($G53&lt;Hta_8,$G53&gt;=Hba_8,Input!U$28&lt;&gt;""),Input!$B$28&amp;";",""),IF(AND($G53&lt;Hta_9,$G53&gt;=Hba_9,Input!U$29&lt;&gt;""),Input!$B$29&amp;";",""),IF(AND($G53&lt;Hta_10,$G53&gt;=Hba_10,Input!U$30&lt;&gt;""),Input!$B$30&amp;";",""),IF(AND($G53&lt;Hta_11,$G53&gt;=Hba_11,Input!U$31&lt;&gt;""),Input!$B$31&amp;";",""),IF(AND($G53&lt;Hta_12,$G53&gt;=Hba_12,Input!U$32&lt;&gt;""),Input!$B$32&amp;";",""),IF(AND($G53&lt;Hta_13,$G53&gt;=Hba_13,Input!U$33&lt;&gt;""),Input!$B$33&amp;";",""),IF(AND($G53&lt;Hta_14,$G53&gt;=Hba_14,Input!U$34&lt;&gt;""),Input!$B$34&amp;";",""),IF(AND($G53&lt;Hta_15,$G53&gt;=Hba_15,Input!U$35&lt;&gt;""),Input!$B$35&amp;";",""),IF(AND($G53&lt;Hta_16,$G53&gt;=Hba_16,Input!U$36&lt;&gt;""),Input!$B$36&amp;";",""),IF(AND($G53&lt;Hta_17,$G53&gt;=Hba_17,Input!U$37&lt;&gt;""),Input!$B$37&amp;";",""),IF(AND($G53&lt;Hta_18,$G53&gt;=Hba_18,Input!U$38&lt;&gt;""),Input!$B$38&amp;";",""),IF(AND($G53&lt;Hta_19,$G53&gt;=Hba_19,Input!U$39&lt;&gt;""),Input!$B$39&amp;";",""),IF(AND($G53&lt;Hta_20,$G53&gt;=Hba_20,Input!U$40&lt;&gt;""),Input!$B$40&amp;";",""),IF(AND($G53&lt;Hta_21,$G53&gt;=Hba_21,Input!U$41&lt;&gt;""),Input!$B$41&amp;";",""),IF(AND($G53&lt;Hta_22,$G53&gt;=Hba_22,Input!U$42&lt;&gt;""),Input!$B$42&amp;";",""),IF(AND($G53&lt;Hta_23,$G53&gt;=Hba_23,Input!U$43&lt;&gt;""),Input!$B$43&amp;";",""),IF(AND($G53&lt;Hta_24,$G53&gt;=Hba_24,Input!U$44&lt;&gt;""),Input!$B$44&amp;";",""),IF(AND($G53&lt;Hta_25,$G53&gt;=Hba_25,Input!U$45&lt;&gt;""),Input!$B$45&amp;";",""),IF(AND($G53&lt;Hta_26,$G53&gt;=Hba_26,Input!U$46&lt;&gt;""),Input!$B$46&amp;";",""),IF(AND($G53&lt;Hta_27,$G53&gt;=Hba_27,Input!U$47&lt;&gt;""),Input!$B$47&amp;";",""),IF(AND($G53&lt;Hta_28,$G53&gt;=Hba_28,Input!U$48&lt;&gt;""),Input!$B$48&amp;";",""),IF(AND($G53&lt;Hta_29,$G53&gt;=Hba_29,Input!U$49&lt;&gt;""),Input!$B$49&amp;";",""),IF(AND($G53&lt;Hta_30,$G53&gt;=Hba_30,Input!U$50&lt;&gt;""),Input!$B$50&amp;";","")),"")</f>
        <v/>
      </c>
      <c r="BW53" s="25" t="str">
        <f>IFERROR(CONCATENATE(IF(AND($G53&lt;Hta_1,$G53&gt;=Hba_1,Input!V$21&lt;&gt;""),Input!$B$21&amp;";",""),IF(AND($G53&lt;Hta_2,$G53&gt;=Hba_2,Input!V$22&lt;&gt;""),Input!$B$22&amp;";",""),IF(AND($G53&lt;Hta_3,$G53&gt;=Hba_3,Input!V$23&lt;&gt;""),Input!$B$23&amp;";",""),IF(AND($G53&lt;Hta_4,$G53&gt;=Hba_4,Input!V$24&lt;&gt;""),Input!$B$24&amp;";",""),IF(AND($G53&lt;Hta_5,$G53&gt;=Hba_5,Input!V$25&lt;&gt;""),Input!$B$25&amp;";",""),IF(AND($G53&lt;Hta_6,$G53&gt;=Hba_6,Input!V$26&lt;&gt;""),Input!$B$26&amp;";",""),IF(AND($G53&lt;Hta_7,$G53&gt;=Hba_7,Input!V$27&lt;&gt;""),Input!$B$27&amp;";",""),IF(AND($G53&lt;Hta_8,$G53&gt;=Hba_8,Input!V$28&lt;&gt;""),Input!$B$28&amp;";",""),IF(AND($G53&lt;Hta_9,$G53&gt;=Hba_9,Input!V$29&lt;&gt;""),Input!$B$29&amp;";",""),IF(AND($G53&lt;Hta_10,$G53&gt;=Hba_10,Input!V$30&lt;&gt;""),Input!$B$30&amp;";",""),IF(AND($G53&lt;Hta_11,$G53&gt;=Hba_11,Input!V$31&lt;&gt;""),Input!$B$31&amp;";",""),IF(AND($G53&lt;Hta_12,$G53&gt;=Hba_12,Input!V$32&lt;&gt;""),Input!$B$32&amp;";",""),IF(AND($G53&lt;Hta_13,$G53&gt;=Hba_13,Input!V$33&lt;&gt;""),Input!$B$33&amp;";",""),IF(AND($G53&lt;Hta_14,$G53&gt;=Hba_14,Input!V$34&lt;&gt;""),Input!$B$34&amp;";",""),IF(AND($G53&lt;Hta_15,$G53&gt;=Hba_15,Input!V$35&lt;&gt;""),Input!$B$35&amp;";",""),IF(AND($G53&lt;Hta_16,$G53&gt;=Hba_16,Input!V$36&lt;&gt;""),Input!$B$36&amp;";",""),IF(AND($G53&lt;Hta_17,$G53&gt;=Hba_17,Input!V$37&lt;&gt;""),Input!$B$37&amp;";",""),IF(AND($G53&lt;Hta_18,$G53&gt;=Hba_18,Input!V$38&lt;&gt;""),Input!$B$38&amp;";",""),IF(AND($G53&lt;Hta_19,$G53&gt;=Hba_19,Input!V$39&lt;&gt;""),Input!$B$39&amp;";",""),IF(AND($G53&lt;Hta_20,$G53&gt;=Hba_20,Input!V$40&lt;&gt;""),Input!$B$40&amp;";",""),IF(AND($G53&lt;Hta_21,$G53&gt;=Hba_21,Input!V$41&lt;&gt;""),Input!$B$41&amp;";",""),IF(AND($G53&lt;Hta_22,$G53&gt;=Hba_22,Input!V$42&lt;&gt;""),Input!$B$42&amp;";",""),IF(AND($G53&lt;Hta_23,$G53&gt;=Hba_23,Input!V$43&lt;&gt;""),Input!$B$43&amp;";",""),IF(AND($G53&lt;Hta_24,$G53&gt;=Hba_24,Input!V$44&lt;&gt;""),Input!$B$44&amp;";",""),IF(AND($G53&lt;Hta_25,$G53&gt;=Hba_25,Input!V$45&lt;&gt;""),Input!$B$45&amp;";",""),IF(AND($G53&lt;Hta_26,$G53&gt;=Hba_26,Input!V$46&lt;&gt;""),Input!$B$46&amp;";",""),IF(AND($G53&lt;Hta_27,$G53&gt;=Hba_27,Input!V$47&lt;&gt;""),Input!$B$47&amp;";",""),IF(AND($G53&lt;Hta_28,$G53&gt;=Hba_28,Input!V$48&lt;&gt;""),Input!$B$48&amp;";",""),IF(AND($G53&lt;Hta_29,$G53&gt;=Hba_29,Input!V$49&lt;&gt;""),Input!$B$49&amp;";",""),IF(AND($G53&lt;Hta_30,$G53&gt;=Hba_30,Input!V$50&lt;&gt;""),Input!$B$50&amp;";","")),"")</f>
        <v/>
      </c>
      <c r="BX53" s="25" t="str">
        <f>IFERROR(CONCATENATE(IF(AND($G53&lt;Hta_1,$G53&gt;=Hba_1,Input!W$21&lt;&gt;""),Input!$B$21&amp;";",""),IF(AND($G53&lt;Hta_2,$G53&gt;=Hba_2,Input!W$22&lt;&gt;""),Input!$B$22&amp;";",""),IF(AND($G53&lt;Hta_3,$G53&gt;=Hba_3,Input!W$23&lt;&gt;""),Input!$B$23&amp;";",""),IF(AND($G53&lt;Hta_4,$G53&gt;=Hba_4,Input!W$24&lt;&gt;""),Input!$B$24&amp;";",""),IF(AND($G53&lt;Hta_5,$G53&gt;=Hba_5,Input!W$25&lt;&gt;""),Input!$B$25&amp;";",""),IF(AND($G53&lt;Hta_6,$G53&gt;=Hba_6,Input!W$26&lt;&gt;""),Input!$B$26&amp;";",""),IF(AND($G53&lt;Hta_7,$G53&gt;=Hba_7,Input!W$27&lt;&gt;""),Input!$B$27&amp;";",""),IF(AND($G53&lt;Hta_8,$G53&gt;=Hba_8,Input!W$28&lt;&gt;""),Input!$B$28&amp;";",""),IF(AND($G53&lt;Hta_9,$G53&gt;=Hba_9,Input!W$29&lt;&gt;""),Input!$B$29&amp;";",""),IF(AND($G53&lt;Hta_10,$G53&gt;=Hba_10,Input!W$30&lt;&gt;""),Input!$B$30&amp;";",""),IF(AND($G53&lt;Hta_11,$G53&gt;=Hba_11,Input!W$31&lt;&gt;""),Input!$B$31&amp;";",""),IF(AND($G53&lt;Hta_12,$G53&gt;=Hba_12,Input!W$32&lt;&gt;""),Input!$B$32&amp;";",""),IF(AND($G53&lt;Hta_13,$G53&gt;=Hba_13,Input!W$33&lt;&gt;""),Input!$B$33&amp;";",""),IF(AND($G53&lt;Hta_14,$G53&gt;=Hba_14,Input!W$34&lt;&gt;""),Input!$B$34&amp;";",""),IF(AND($G53&lt;Hta_15,$G53&gt;=Hba_15,Input!W$35&lt;&gt;""),Input!$B$35&amp;";",""),IF(AND($G53&lt;Hta_16,$G53&gt;=Hba_16,Input!W$36&lt;&gt;""),Input!$B$36&amp;";",""),IF(AND($G53&lt;Hta_17,$G53&gt;=Hba_17,Input!W$37&lt;&gt;""),Input!$B$37&amp;";",""),IF(AND($G53&lt;Hta_18,$G53&gt;=Hba_18,Input!W$38&lt;&gt;""),Input!$B$38&amp;";",""),IF(AND($G53&lt;Hta_19,$G53&gt;=Hba_19,Input!W$39&lt;&gt;""),Input!$B$39&amp;";",""),IF(AND($G53&lt;Hta_20,$G53&gt;=Hba_20,Input!W$40&lt;&gt;""),Input!$B$40&amp;";",""),IF(AND($G53&lt;Hta_21,$G53&gt;=Hba_21,Input!W$41&lt;&gt;""),Input!$B$41&amp;";",""),IF(AND($G53&lt;Hta_22,$G53&gt;=Hba_22,Input!W$42&lt;&gt;""),Input!$B$42&amp;";",""),IF(AND($G53&lt;Hta_23,$G53&gt;=Hba_23,Input!W$43&lt;&gt;""),Input!$B$43&amp;";",""),IF(AND($G53&lt;Hta_24,$G53&gt;=Hba_24,Input!W$44&lt;&gt;""),Input!$B$44&amp;";",""),IF(AND($G53&lt;Hta_25,$G53&gt;=Hba_25,Input!W$45&lt;&gt;""),Input!$B$45&amp;";",""),IF(AND($G53&lt;Hta_26,$G53&gt;=Hba_26,Input!W$46&lt;&gt;""),Input!$B$46&amp;";",""),IF(AND($G53&lt;Hta_27,$G53&gt;=Hba_27,Input!W$47&lt;&gt;""),Input!$B$47&amp;";",""),IF(AND($G53&lt;Hta_28,$G53&gt;=Hba_28,Input!W$48&lt;&gt;""),Input!$B$48&amp;";",""),IF(AND($G53&lt;Hta_29,$G53&gt;=Hba_29,Input!W$49&lt;&gt;""),Input!$B$49&amp;";",""),IF(AND($G53&lt;Hta_30,$G53&gt;=Hba_30,Input!W$50&lt;&gt;""),Input!$B$50&amp;";","")),"")</f>
        <v/>
      </c>
      <c r="BY53" s="25" t="str">
        <f>IFERROR(CONCATENATE(IF(AND($G53&lt;Hta_1,$G53&gt;=Hba_1,Input!X$21&lt;&gt;""),Input!$B$21&amp;";",""),IF(AND($G53&lt;Hta_2,$G53&gt;=Hba_2,Input!X$22&lt;&gt;""),Input!$B$22&amp;";",""),IF(AND($G53&lt;Hta_3,$G53&gt;=Hba_3,Input!X$23&lt;&gt;""),Input!$B$23&amp;";",""),IF(AND($G53&lt;Hta_4,$G53&gt;=Hba_4,Input!X$24&lt;&gt;""),Input!$B$24&amp;";",""),IF(AND($G53&lt;Hta_5,$G53&gt;=Hba_5,Input!X$25&lt;&gt;""),Input!$B$25&amp;";",""),IF(AND($G53&lt;Hta_6,$G53&gt;=Hba_6,Input!X$26&lt;&gt;""),Input!$B$26&amp;";",""),IF(AND($G53&lt;Hta_7,$G53&gt;=Hba_7,Input!X$27&lt;&gt;""),Input!$B$27&amp;";",""),IF(AND($G53&lt;Hta_8,$G53&gt;=Hba_8,Input!X$28&lt;&gt;""),Input!$B$28&amp;";",""),IF(AND($G53&lt;Hta_9,$G53&gt;=Hba_9,Input!X$29&lt;&gt;""),Input!$B$29&amp;";",""),IF(AND($G53&lt;Hta_10,$G53&gt;=Hba_10,Input!X$30&lt;&gt;""),Input!$B$30&amp;";",""),IF(AND($G53&lt;Hta_11,$G53&gt;=Hba_11,Input!X$31&lt;&gt;""),Input!$B$31&amp;";",""),IF(AND($G53&lt;Hta_12,$G53&gt;=Hba_12,Input!X$32&lt;&gt;""),Input!$B$32&amp;";",""),IF(AND($G53&lt;Hta_13,$G53&gt;=Hba_13,Input!X$33&lt;&gt;""),Input!$B$33&amp;";",""),IF(AND($G53&lt;Hta_14,$G53&gt;=Hba_14,Input!X$34&lt;&gt;""),Input!$B$34&amp;";",""),IF(AND($G53&lt;Hta_15,$G53&gt;=Hba_15,Input!X$35&lt;&gt;""),Input!$B$35&amp;";",""),IF(AND($G53&lt;Hta_16,$G53&gt;=Hba_16,Input!X$36&lt;&gt;""),Input!$B$36&amp;";",""),IF(AND($G53&lt;Hta_17,$G53&gt;=Hba_17,Input!X$37&lt;&gt;""),Input!$B$37&amp;";",""),IF(AND($G53&lt;Hta_18,$G53&gt;=Hba_18,Input!X$38&lt;&gt;""),Input!$B$38&amp;";",""),IF(AND($G53&lt;Hta_19,$G53&gt;=Hba_19,Input!X$39&lt;&gt;""),Input!$B$39&amp;";",""),IF(AND($G53&lt;Hta_20,$G53&gt;=Hba_20,Input!X$40&lt;&gt;""),Input!$B$40&amp;";",""),IF(AND($G53&lt;Hta_21,$G53&gt;=Hba_21,Input!X$41&lt;&gt;""),Input!$B$41&amp;";",""),IF(AND($G53&lt;Hta_22,$G53&gt;=Hba_22,Input!X$42&lt;&gt;""),Input!$B$42&amp;";",""),IF(AND($G53&lt;Hta_23,$G53&gt;=Hba_23,Input!X$43&lt;&gt;""),Input!$B$43&amp;";",""),IF(AND($G53&lt;Hta_24,$G53&gt;=Hba_24,Input!X$44&lt;&gt;""),Input!$B$44&amp;";",""),IF(AND($G53&lt;Hta_25,$G53&gt;=Hba_25,Input!X$45&lt;&gt;""),Input!$B$45&amp;";",""),IF(AND($G53&lt;Hta_26,$G53&gt;=Hba_26,Input!X$46&lt;&gt;""),Input!$B$46&amp;";",""),IF(AND($G53&lt;Hta_27,$G53&gt;=Hba_27,Input!X$47&lt;&gt;""),Input!$B$47&amp;";",""),IF(AND($G53&lt;Hta_28,$G53&gt;=Hba_28,Input!X$48&lt;&gt;""),Input!$B$48&amp;";",""),IF(AND($G53&lt;Hta_29,$G53&gt;=Hba_29,Input!X$49&lt;&gt;""),Input!$B$49&amp;";",""),IF(AND($G53&lt;Hta_30,$G53&gt;=Hba_30,Input!X$50&lt;&gt;""),Input!$B$50&amp;";","")),"")</f>
        <v/>
      </c>
      <c r="BZ53" s="25" t="str">
        <f>IFERROR(CONCATENATE(IF(AND($G53&lt;Hta_1,$G53&gt;=Hba_1,Input!Y$21&lt;&gt;""),Input!$B$21&amp;";",""),IF(AND($G53&lt;Hta_2,$G53&gt;=Hba_2,Input!Y$22&lt;&gt;""),Input!$B$22&amp;";",""),IF(AND($G53&lt;Hta_3,$G53&gt;=Hba_3,Input!Y$23&lt;&gt;""),Input!$B$23&amp;";",""),IF(AND($G53&lt;Hta_4,$G53&gt;=Hba_4,Input!Y$24&lt;&gt;""),Input!$B$24&amp;";",""),IF(AND($G53&lt;Hta_5,$G53&gt;=Hba_5,Input!Y$25&lt;&gt;""),Input!$B$25&amp;";",""),IF(AND($G53&lt;Hta_6,$G53&gt;=Hba_6,Input!Y$26&lt;&gt;""),Input!$B$26&amp;";",""),IF(AND($G53&lt;Hta_7,$G53&gt;=Hba_7,Input!Y$27&lt;&gt;""),Input!$B$27&amp;";",""),IF(AND($G53&lt;Hta_8,$G53&gt;=Hba_8,Input!Y$28&lt;&gt;""),Input!$B$28&amp;";",""),IF(AND($G53&lt;Hta_9,$G53&gt;=Hba_9,Input!Y$29&lt;&gt;""),Input!$B$29&amp;";",""),IF(AND($G53&lt;Hta_10,$G53&gt;=Hba_10,Input!Y$30&lt;&gt;""),Input!$B$30&amp;";",""),IF(AND($G53&lt;Hta_11,$G53&gt;=Hba_11,Input!Y$31&lt;&gt;""),Input!$B$31&amp;";",""),IF(AND($G53&lt;Hta_12,$G53&gt;=Hba_12,Input!Y$32&lt;&gt;""),Input!$B$32&amp;";",""),IF(AND($G53&lt;Hta_13,$G53&gt;=Hba_13,Input!Y$33&lt;&gt;""),Input!$B$33&amp;";",""),IF(AND($G53&lt;Hta_14,$G53&gt;=Hba_14,Input!Y$34&lt;&gt;""),Input!$B$34&amp;";",""),IF(AND($G53&lt;Hta_15,$G53&gt;=Hba_15,Input!Y$35&lt;&gt;""),Input!$B$35&amp;";",""),IF(AND($G53&lt;Hta_16,$G53&gt;=Hba_16,Input!Y$36&lt;&gt;""),Input!$B$36&amp;";",""),IF(AND($G53&lt;Hta_17,$G53&gt;=Hba_17,Input!Y$37&lt;&gt;""),Input!$B$37&amp;";",""),IF(AND($G53&lt;Hta_18,$G53&gt;=Hba_18,Input!Y$38&lt;&gt;""),Input!$B$38&amp;";",""),IF(AND($G53&lt;Hta_19,$G53&gt;=Hba_19,Input!Y$39&lt;&gt;""),Input!$B$39&amp;";",""),IF(AND($G53&lt;Hta_20,$G53&gt;=Hba_20,Input!Y$40&lt;&gt;""),Input!$B$40&amp;";",""),IF(AND($G53&lt;Hta_21,$G53&gt;=Hba_21,Input!Y$41&lt;&gt;""),Input!$B$41&amp;";",""),IF(AND($G53&lt;Hta_22,$G53&gt;=Hba_22,Input!Y$42&lt;&gt;""),Input!$B$42&amp;";",""),IF(AND($G53&lt;Hta_23,$G53&gt;=Hba_23,Input!Y$43&lt;&gt;""),Input!$B$43&amp;";",""),IF(AND($G53&lt;Hta_24,$G53&gt;=Hba_24,Input!Y$44&lt;&gt;""),Input!$B$44&amp;";",""),IF(AND($G53&lt;Hta_25,$G53&gt;=Hba_25,Input!Y$45&lt;&gt;""),Input!$B$45&amp;";",""),IF(AND($G53&lt;Hta_26,$G53&gt;=Hba_26,Input!Y$46&lt;&gt;""),Input!$B$46&amp;";",""),IF(AND($G53&lt;Hta_27,$G53&gt;=Hba_27,Input!Y$47&lt;&gt;""),Input!$B$47&amp;";",""),IF(AND($G53&lt;Hta_28,$G53&gt;=Hba_28,Input!Y$48&lt;&gt;""),Input!$B$48&amp;";",""),IF(AND($G53&lt;Hta_29,$G53&gt;=Hba_29,Input!Y$49&lt;&gt;""),Input!$B$49&amp;";",""),IF(AND($G53&lt;Hta_30,$G53&gt;=Hba_30,Input!Y$50&lt;&gt;""),Input!$B$50&amp;";","")),"")</f>
        <v/>
      </c>
      <c r="CA53" s="25" t="str">
        <f>IFERROR(CONCATENATE(IF(AND($G53&lt;Hta_1,$G53&gt;=Hba_1,Input!Z$21&lt;&gt;""),Input!$B$21&amp;";",""),IF(AND($G53&lt;Hta_2,$G53&gt;=Hba_2,Input!Z$22&lt;&gt;""),Input!$B$22&amp;";",""),IF(AND($G53&lt;Hta_3,$G53&gt;=Hba_3,Input!Z$23&lt;&gt;""),Input!$B$23&amp;";",""),IF(AND($G53&lt;Hta_4,$G53&gt;=Hba_4,Input!Z$24&lt;&gt;""),Input!$B$24&amp;";",""),IF(AND($G53&lt;Hta_5,$G53&gt;=Hba_5,Input!Z$25&lt;&gt;""),Input!$B$25&amp;";",""),IF(AND($G53&lt;Hta_6,$G53&gt;=Hba_6,Input!Z$26&lt;&gt;""),Input!$B$26&amp;";",""),IF(AND($G53&lt;Hta_7,$G53&gt;=Hba_7,Input!Z$27&lt;&gt;""),Input!$B$27&amp;";",""),IF(AND($G53&lt;Hta_8,$G53&gt;=Hba_8,Input!Z$28&lt;&gt;""),Input!$B$28&amp;";",""),IF(AND($G53&lt;Hta_9,$G53&gt;=Hba_9,Input!Z$29&lt;&gt;""),Input!$B$29&amp;";",""),IF(AND($G53&lt;Hta_10,$G53&gt;=Hba_10,Input!Z$30&lt;&gt;""),Input!$B$30&amp;";",""),IF(AND($G53&lt;Hta_11,$G53&gt;=Hba_11,Input!Z$31&lt;&gt;""),Input!$B$31&amp;";",""),IF(AND($G53&lt;Hta_12,$G53&gt;=Hba_12,Input!Z$32&lt;&gt;""),Input!$B$32&amp;";",""),IF(AND($G53&lt;Hta_13,$G53&gt;=Hba_13,Input!Z$33&lt;&gt;""),Input!$B$33&amp;";",""),IF(AND($G53&lt;Hta_14,$G53&gt;=Hba_14,Input!Z$34&lt;&gt;""),Input!$B$34&amp;";",""),IF(AND($G53&lt;Hta_15,$G53&gt;=Hba_15,Input!Z$35&lt;&gt;""),Input!$B$35&amp;";",""),IF(AND($G53&lt;Hta_16,$G53&gt;=Hba_16,Input!Z$36&lt;&gt;""),Input!$B$36&amp;";",""),IF(AND($G53&lt;Hta_17,$G53&gt;=Hba_17,Input!Z$37&lt;&gt;""),Input!$B$37&amp;";",""),IF(AND($G53&lt;Hta_18,$G53&gt;=Hba_18,Input!Z$38&lt;&gt;""),Input!$B$38&amp;";",""),IF(AND($G53&lt;Hta_19,$G53&gt;=Hba_19,Input!Z$39&lt;&gt;""),Input!$B$39&amp;";",""),IF(AND($G53&lt;Hta_20,$G53&gt;=Hba_20,Input!Z$40&lt;&gt;""),Input!$B$40&amp;";",""),IF(AND($G53&lt;Hta_21,$G53&gt;=Hba_21,Input!Z$41&lt;&gt;""),Input!$B$41&amp;";",""),IF(AND($G53&lt;Hta_22,$G53&gt;=Hba_22,Input!Z$42&lt;&gt;""),Input!$B$42&amp;";",""),IF(AND($G53&lt;Hta_23,$G53&gt;=Hba_23,Input!Z$43&lt;&gt;""),Input!$B$43&amp;";",""),IF(AND($G53&lt;Hta_24,$G53&gt;=Hba_24,Input!Z$44&lt;&gt;""),Input!$B$44&amp;";",""),IF(AND($G53&lt;Hta_25,$G53&gt;=Hba_25,Input!Z$45&lt;&gt;""),Input!$B$45&amp;";",""),IF(AND($G53&lt;Hta_26,$G53&gt;=Hba_26,Input!Z$46&lt;&gt;""),Input!$B$46&amp;";",""),IF(AND($G53&lt;Hta_27,$G53&gt;=Hba_27,Input!Z$47&lt;&gt;""),Input!$B$47&amp;";",""),IF(AND($G53&lt;Hta_28,$G53&gt;=Hba_28,Input!Z$48&lt;&gt;""),Input!$B$48&amp;";",""),IF(AND($G53&lt;Hta_29,$G53&gt;=Hba_29,Input!Z$49&lt;&gt;""),Input!$B$49&amp;";",""),IF(AND($G53&lt;Hta_30,$G53&gt;=Hba_30,Input!Z$50&lt;&gt;""),Input!$B$50&amp;";","")),"")</f>
        <v/>
      </c>
      <c r="CB53" s="25" t="str">
        <f>IFERROR(CONCATENATE(IF(AND($G53&lt;Hta_1,$G53&gt;=Hba_1,Input!AA$21&lt;&gt;""),Input!$B$21&amp;";",""),IF(AND($G53&lt;Hta_2,$G53&gt;=Hba_2,Input!AA$22&lt;&gt;""),Input!$B$22&amp;";",""),IF(AND($G53&lt;Hta_3,$G53&gt;=Hba_3,Input!AA$23&lt;&gt;""),Input!$B$23&amp;";",""),IF(AND($G53&lt;Hta_4,$G53&gt;=Hba_4,Input!AA$24&lt;&gt;""),Input!$B$24&amp;";",""),IF(AND($G53&lt;Hta_5,$G53&gt;=Hba_5,Input!AA$25&lt;&gt;""),Input!$B$25&amp;";",""),IF(AND($G53&lt;Hta_6,$G53&gt;=Hba_6,Input!AA$26&lt;&gt;""),Input!$B$26&amp;";",""),IF(AND($G53&lt;Hta_7,$G53&gt;=Hba_7,Input!AA$27&lt;&gt;""),Input!$B$27&amp;";",""),IF(AND($G53&lt;Hta_8,$G53&gt;=Hba_8,Input!AA$28&lt;&gt;""),Input!$B$28&amp;";",""),IF(AND($G53&lt;Hta_9,$G53&gt;=Hba_9,Input!AA$29&lt;&gt;""),Input!$B$29&amp;";",""),IF(AND($G53&lt;Hta_10,$G53&gt;=Hba_10,Input!AA$30&lt;&gt;""),Input!$B$30&amp;";",""),IF(AND($G53&lt;Hta_11,$G53&gt;=Hba_11,Input!AA$31&lt;&gt;""),Input!$B$31&amp;";",""),IF(AND($G53&lt;Hta_12,$G53&gt;=Hba_12,Input!AA$32&lt;&gt;""),Input!$B$32&amp;";",""),IF(AND($G53&lt;Hta_13,$G53&gt;=Hba_13,Input!AA$33&lt;&gt;""),Input!$B$33&amp;";",""),IF(AND($G53&lt;Hta_14,$G53&gt;=Hba_14,Input!AA$34&lt;&gt;""),Input!$B$34&amp;";",""),IF(AND($G53&lt;Hta_15,$G53&gt;=Hba_15,Input!AA$35&lt;&gt;""),Input!$B$35&amp;";",""),IF(AND($G53&lt;Hta_16,$G53&gt;=Hba_16,Input!AA$36&lt;&gt;""),Input!$B$36&amp;";",""),IF(AND($G53&lt;Hta_17,$G53&gt;=Hba_17,Input!AA$37&lt;&gt;""),Input!$B$37&amp;";",""),IF(AND($G53&lt;Hta_18,$G53&gt;=Hba_18,Input!AA$38&lt;&gt;""),Input!$B$38&amp;";",""),IF(AND($G53&lt;Hta_19,$G53&gt;=Hba_19,Input!AA$39&lt;&gt;""),Input!$B$39&amp;";",""),IF(AND($G53&lt;Hta_20,$G53&gt;=Hba_20,Input!AA$40&lt;&gt;""),Input!$B$40&amp;";",""),IF(AND($G53&lt;Hta_21,$G53&gt;=Hba_21,Input!AA$41&lt;&gt;""),Input!$B$41&amp;";",""),IF(AND($G53&lt;Hta_22,$G53&gt;=Hba_22,Input!AA$42&lt;&gt;""),Input!$B$42&amp;";",""),IF(AND($G53&lt;Hta_23,$G53&gt;=Hba_23,Input!AA$43&lt;&gt;""),Input!$B$43&amp;";",""),IF(AND($G53&lt;Hta_24,$G53&gt;=Hba_24,Input!AA$44&lt;&gt;""),Input!$B$44&amp;";",""),IF(AND($G53&lt;Hta_25,$G53&gt;=Hba_25,Input!AA$45&lt;&gt;""),Input!$B$45&amp;";",""),IF(AND($G53&lt;Hta_26,$G53&gt;=Hba_26,Input!AA$46&lt;&gt;""),Input!$B$46&amp;";",""),IF(AND($G53&lt;Hta_27,$G53&gt;=Hba_27,Input!AA$47&lt;&gt;""),Input!$B$47&amp;";",""),IF(AND($G53&lt;Hta_28,$G53&gt;=Hba_28,Input!AA$48&lt;&gt;""),Input!$B$48&amp;";",""),IF(AND($G53&lt;Hta_29,$G53&gt;=Hba_29,Input!AA$49&lt;&gt;""),Input!$B$49&amp;";",""),IF(AND($G53&lt;Hta_30,$G53&gt;=Hba_30,Input!AA$50&lt;&gt;""),Input!$B$50&amp;";","")),"")</f>
        <v/>
      </c>
      <c r="CC53" s="25" t="str">
        <f>IFERROR(CONCATENATE(IF(AND($G53&lt;Hta_1,$G53&gt;=Hba_1,Input!AB$21&lt;&gt;""),Input!$B$21&amp;";",""),IF(AND($G53&lt;Hta_2,$G53&gt;=Hba_2,Input!AB$22&lt;&gt;""),Input!$B$22&amp;";",""),IF(AND($G53&lt;Hta_3,$G53&gt;=Hba_3,Input!AB$23&lt;&gt;""),Input!$B$23&amp;";",""),IF(AND($G53&lt;Hta_4,$G53&gt;=Hba_4,Input!AB$24&lt;&gt;""),Input!$B$24&amp;";",""),IF(AND($G53&lt;Hta_5,$G53&gt;=Hba_5,Input!AB$25&lt;&gt;""),Input!$B$25&amp;";",""),IF(AND($G53&lt;Hta_6,$G53&gt;=Hba_6,Input!AB$26&lt;&gt;""),Input!$B$26&amp;";",""),IF(AND($G53&lt;Hta_7,$G53&gt;=Hba_7,Input!AB$27&lt;&gt;""),Input!$B$27&amp;";",""),IF(AND($G53&lt;Hta_8,$G53&gt;=Hba_8,Input!AB$28&lt;&gt;""),Input!$B$28&amp;";",""),IF(AND($G53&lt;Hta_9,$G53&gt;=Hba_9,Input!AB$29&lt;&gt;""),Input!$B$29&amp;";",""),IF(AND($G53&lt;Hta_10,$G53&gt;=Hba_10,Input!AB$30&lt;&gt;""),Input!$B$30&amp;";",""),IF(AND($G53&lt;Hta_11,$G53&gt;=Hba_11,Input!AB$31&lt;&gt;""),Input!$B$31&amp;";",""),IF(AND($G53&lt;Hta_12,$G53&gt;=Hba_12,Input!AB$32&lt;&gt;""),Input!$B$32&amp;";",""),IF(AND($G53&lt;Hta_13,$G53&gt;=Hba_13,Input!AB$33&lt;&gt;""),Input!$B$33&amp;";",""),IF(AND($G53&lt;Hta_14,$G53&gt;=Hba_14,Input!AB$34&lt;&gt;""),Input!$B$34&amp;";",""),IF(AND($G53&lt;Hta_15,$G53&gt;=Hba_15,Input!AB$35&lt;&gt;""),Input!$B$35&amp;";",""),IF(AND($G53&lt;Hta_16,$G53&gt;=Hba_16,Input!AB$36&lt;&gt;""),Input!$B$36&amp;";",""),IF(AND($G53&lt;Hta_17,$G53&gt;=Hba_17,Input!AB$37&lt;&gt;""),Input!$B$37&amp;";",""),IF(AND($G53&lt;Hta_18,$G53&gt;=Hba_18,Input!AB$38&lt;&gt;""),Input!$B$38&amp;";",""),IF(AND($G53&lt;Hta_19,$G53&gt;=Hba_19,Input!AB$39&lt;&gt;""),Input!$B$39&amp;";",""),IF(AND($G53&lt;Hta_20,$G53&gt;=Hba_20,Input!AB$40&lt;&gt;""),Input!$B$40&amp;";",""),IF(AND($G53&lt;Hta_21,$G53&gt;=Hba_21,Input!AB$41&lt;&gt;""),Input!$B$41&amp;";",""),IF(AND($G53&lt;Hta_22,$G53&gt;=Hba_22,Input!AB$42&lt;&gt;""),Input!$B$42&amp;";",""),IF(AND($G53&lt;Hta_23,$G53&gt;=Hba_23,Input!AB$43&lt;&gt;""),Input!$B$43&amp;";",""),IF(AND($G53&lt;Hta_24,$G53&gt;=Hba_24,Input!AB$44&lt;&gt;""),Input!$B$44&amp;";",""),IF(AND($G53&lt;Hta_25,$G53&gt;=Hba_25,Input!AB$45&lt;&gt;""),Input!$B$45&amp;";",""),IF(AND($G53&lt;Hta_26,$G53&gt;=Hba_26,Input!AB$46&lt;&gt;""),Input!$B$46&amp;";",""),IF(AND($G53&lt;Hta_27,$G53&gt;=Hba_27,Input!AB$47&lt;&gt;""),Input!$B$47&amp;";",""),IF(AND($G53&lt;Hta_28,$G53&gt;=Hba_28,Input!AB$48&lt;&gt;""),Input!$B$48&amp;";",""),IF(AND($G53&lt;Hta_29,$G53&gt;=Hba_29,Input!AB$49&lt;&gt;""),Input!$B$49&amp;";",""),IF(AND($G53&lt;Hta_30,$G53&gt;=Hba_30,Input!AB$50&lt;&gt;""),Input!$B$50&amp;";","")),"")</f>
        <v/>
      </c>
      <c r="CD53" s="25" t="str">
        <f>IFERROR(CONCATENATE(IF(AND($G53&lt;Hta_1,$G53&gt;=Hba_1,Input!AC$21&lt;&gt;""),Input!$B$21&amp;";",""),IF(AND($G53&lt;Hta_2,$G53&gt;=Hba_2,Input!AC$22&lt;&gt;""),Input!$B$22&amp;";",""),IF(AND($G53&lt;Hta_3,$G53&gt;=Hba_3,Input!AC$23&lt;&gt;""),Input!$B$23&amp;";",""),IF(AND($G53&lt;Hta_4,$G53&gt;=Hba_4,Input!AC$24&lt;&gt;""),Input!$B$24&amp;";",""),IF(AND($G53&lt;Hta_5,$G53&gt;=Hba_5,Input!AC$25&lt;&gt;""),Input!$B$25&amp;";",""),IF(AND($G53&lt;Hta_6,$G53&gt;=Hba_6,Input!AC$26&lt;&gt;""),Input!$B$26&amp;";",""),IF(AND($G53&lt;Hta_7,$G53&gt;=Hba_7,Input!AC$27&lt;&gt;""),Input!$B$27&amp;";",""),IF(AND($G53&lt;Hta_8,$G53&gt;=Hba_8,Input!AC$28&lt;&gt;""),Input!$B$28&amp;";",""),IF(AND($G53&lt;Hta_9,$G53&gt;=Hba_9,Input!AC$29&lt;&gt;""),Input!$B$29&amp;";",""),IF(AND($G53&lt;Hta_10,$G53&gt;=Hba_10,Input!AC$30&lt;&gt;""),Input!$B$30&amp;";",""),IF(AND($G53&lt;Hta_11,$G53&gt;=Hba_11,Input!AC$31&lt;&gt;""),Input!$B$31&amp;";",""),IF(AND($G53&lt;Hta_12,$G53&gt;=Hba_12,Input!AC$32&lt;&gt;""),Input!$B$32&amp;";",""),IF(AND($G53&lt;Hta_13,$G53&gt;=Hba_13,Input!AC$33&lt;&gt;""),Input!$B$33&amp;";",""),IF(AND($G53&lt;Hta_14,$G53&gt;=Hba_14,Input!AC$34&lt;&gt;""),Input!$B$34&amp;";",""),IF(AND($G53&lt;Hta_15,$G53&gt;=Hba_15,Input!AC$35&lt;&gt;""),Input!$B$35&amp;";",""),IF(AND($G53&lt;Hta_16,$G53&gt;=Hba_16,Input!AC$36&lt;&gt;""),Input!$B$36&amp;";",""),IF(AND($G53&lt;Hta_17,$G53&gt;=Hba_17,Input!AC$37&lt;&gt;""),Input!$B$37&amp;";",""),IF(AND($G53&lt;Hta_18,$G53&gt;=Hba_18,Input!AC$38&lt;&gt;""),Input!$B$38&amp;";",""),IF(AND($G53&lt;Hta_19,$G53&gt;=Hba_19,Input!AC$39&lt;&gt;""),Input!$B$39&amp;";",""),IF(AND($G53&lt;Hta_20,$G53&gt;=Hba_20,Input!AC$40&lt;&gt;""),Input!$B$40&amp;";",""),IF(AND($G53&lt;Hta_21,$G53&gt;=Hba_21,Input!AC$41&lt;&gt;""),Input!$B$41&amp;";",""),IF(AND($G53&lt;Hta_22,$G53&gt;=Hba_22,Input!AC$42&lt;&gt;""),Input!$B$42&amp;";",""),IF(AND($G53&lt;Hta_23,$G53&gt;=Hba_23,Input!AC$43&lt;&gt;""),Input!$B$43&amp;";",""),IF(AND($G53&lt;Hta_24,$G53&gt;=Hba_24,Input!AC$44&lt;&gt;""),Input!$B$44&amp;";",""),IF(AND($G53&lt;Hta_25,$G53&gt;=Hba_25,Input!AC$45&lt;&gt;""),Input!$B$45&amp;";",""),IF(AND($G53&lt;Hta_26,$G53&gt;=Hba_26,Input!AC$46&lt;&gt;""),Input!$B$46&amp;";",""),IF(AND($G53&lt;Hta_27,$G53&gt;=Hba_27,Input!AC$47&lt;&gt;""),Input!$B$47&amp;";",""),IF(AND($G53&lt;Hta_28,$G53&gt;=Hba_28,Input!AC$48&lt;&gt;""),Input!$B$48&amp;";",""),IF(AND($G53&lt;Hta_29,$G53&gt;=Hba_29,Input!AC$49&lt;&gt;""),Input!$B$49&amp;";",""),IF(AND($G53&lt;Hta_30,$G53&gt;=Hba_30,Input!AC$50&lt;&gt;""),Input!$B$50&amp;";","")),"")</f>
        <v/>
      </c>
      <c r="CE53" s="25" t="str">
        <f>IFERROR(CONCATENATE(IF(AND($G53&lt;Hta_1,$G53&gt;=Hba_1,Input!AD$21&lt;&gt;""),Input!$B$21&amp;";",""),IF(AND($G53&lt;Hta_2,$G53&gt;=Hba_2,Input!AD$22&lt;&gt;""),Input!$B$22&amp;";",""),IF(AND($G53&lt;Hta_3,$G53&gt;=Hba_3,Input!AD$23&lt;&gt;""),Input!$B$23&amp;";",""),IF(AND($G53&lt;Hta_4,$G53&gt;=Hba_4,Input!AD$24&lt;&gt;""),Input!$B$24&amp;";",""),IF(AND($G53&lt;Hta_5,$G53&gt;=Hba_5,Input!AD$25&lt;&gt;""),Input!$B$25&amp;";",""),IF(AND($G53&lt;Hta_6,$G53&gt;=Hba_6,Input!AD$26&lt;&gt;""),Input!$B$26&amp;";",""),IF(AND($G53&lt;Hta_7,$G53&gt;=Hba_7,Input!AD$27&lt;&gt;""),Input!$B$27&amp;";",""),IF(AND($G53&lt;Hta_8,$G53&gt;=Hba_8,Input!AD$28&lt;&gt;""),Input!$B$28&amp;";",""),IF(AND($G53&lt;Hta_9,$G53&gt;=Hba_9,Input!AD$29&lt;&gt;""),Input!$B$29&amp;";",""),IF(AND($G53&lt;Hta_10,$G53&gt;=Hba_10,Input!AD$30&lt;&gt;""),Input!$B$30&amp;";",""),IF(AND($G53&lt;Hta_11,$G53&gt;=Hba_11,Input!AD$31&lt;&gt;""),Input!$B$31&amp;";",""),IF(AND($G53&lt;Hta_12,$G53&gt;=Hba_12,Input!AD$32&lt;&gt;""),Input!$B$32&amp;";",""),IF(AND($G53&lt;Hta_13,$G53&gt;=Hba_13,Input!AD$33&lt;&gt;""),Input!$B$33&amp;";",""),IF(AND($G53&lt;Hta_14,$G53&gt;=Hba_14,Input!AD$34&lt;&gt;""),Input!$B$34&amp;";",""),IF(AND($G53&lt;Hta_15,$G53&gt;=Hba_15,Input!AD$35&lt;&gt;""),Input!$B$35&amp;";",""),IF(AND($G53&lt;Hta_16,$G53&gt;=Hba_16,Input!AD$36&lt;&gt;""),Input!$B$36&amp;";",""),IF(AND($G53&lt;Hta_17,$G53&gt;=Hba_17,Input!AD$37&lt;&gt;""),Input!$B$37&amp;";",""),IF(AND($G53&lt;Hta_18,$G53&gt;=Hba_18,Input!AD$38&lt;&gt;""),Input!$B$38&amp;";",""),IF(AND($G53&lt;Hta_19,$G53&gt;=Hba_19,Input!AD$39&lt;&gt;""),Input!$B$39&amp;";",""),IF(AND($G53&lt;Hta_20,$G53&gt;=Hba_20,Input!AD$40&lt;&gt;""),Input!$B$40&amp;";",""),IF(AND($G53&lt;Hta_21,$G53&gt;=Hba_21,Input!AD$41&lt;&gt;""),Input!$B$41&amp;";",""),IF(AND($G53&lt;Hta_22,$G53&gt;=Hba_22,Input!AD$42&lt;&gt;""),Input!$B$42&amp;";",""),IF(AND($G53&lt;Hta_23,$G53&gt;=Hba_23,Input!AD$43&lt;&gt;""),Input!$B$43&amp;";",""),IF(AND($G53&lt;Hta_24,$G53&gt;=Hba_24,Input!AD$44&lt;&gt;""),Input!$B$44&amp;";",""),IF(AND($G53&lt;Hta_25,$G53&gt;=Hba_25,Input!AD$45&lt;&gt;""),Input!$B$45&amp;";",""),IF(AND($G53&lt;Hta_26,$G53&gt;=Hba_26,Input!AD$46&lt;&gt;""),Input!$B$46&amp;";",""),IF(AND($G53&lt;Hta_27,$G53&gt;=Hba_27,Input!AD$47&lt;&gt;""),Input!$B$47&amp;";",""),IF(AND($G53&lt;Hta_28,$G53&gt;=Hba_28,Input!AD$48&lt;&gt;""),Input!$B$48&amp;";",""),IF(AND($G53&lt;Hta_29,$G53&gt;=Hba_29,Input!AD$49&lt;&gt;""),Input!$B$49&amp;";",""),IF(AND($G53&lt;Hta_30,$G53&gt;=Hba_30,Input!AD$50&lt;&gt;""),Input!$B$50&amp;";","")),"")</f>
        <v/>
      </c>
      <c r="CF53" s="25" t="str">
        <f>IFERROR(CONCATENATE(IF(AND($G53&lt;Hta_1,$G53&gt;=Hba_1,Input!AE$21&lt;&gt;""),Input!$B$21&amp;";",""),IF(AND($G53&lt;Hta_2,$G53&gt;=Hba_2,Input!AE$22&lt;&gt;""),Input!$B$22&amp;";",""),IF(AND($G53&lt;Hta_3,$G53&gt;=Hba_3,Input!AE$23&lt;&gt;""),Input!$B$23&amp;";",""),IF(AND($G53&lt;Hta_4,$G53&gt;=Hba_4,Input!AE$24&lt;&gt;""),Input!$B$24&amp;";",""),IF(AND($G53&lt;Hta_5,$G53&gt;=Hba_5,Input!AE$25&lt;&gt;""),Input!$B$25&amp;";",""),IF(AND($G53&lt;Hta_6,$G53&gt;=Hba_6,Input!AE$26&lt;&gt;""),Input!$B$26&amp;";",""),IF(AND($G53&lt;Hta_7,$G53&gt;=Hba_7,Input!AE$27&lt;&gt;""),Input!$B$27&amp;";",""),IF(AND($G53&lt;Hta_8,$G53&gt;=Hba_8,Input!AE$28&lt;&gt;""),Input!$B$28&amp;";",""),IF(AND($G53&lt;Hta_9,$G53&gt;=Hba_9,Input!AE$29&lt;&gt;""),Input!$B$29&amp;";",""),IF(AND($G53&lt;Hta_10,$G53&gt;=Hba_10,Input!AE$30&lt;&gt;""),Input!$B$30&amp;";",""),IF(AND($G53&lt;Hta_11,$G53&gt;=Hba_11,Input!AE$31&lt;&gt;""),Input!$B$31&amp;";",""),IF(AND($G53&lt;Hta_12,$G53&gt;=Hba_12,Input!AE$32&lt;&gt;""),Input!$B$32&amp;";",""),IF(AND($G53&lt;Hta_13,$G53&gt;=Hba_13,Input!AE$33&lt;&gt;""),Input!$B$33&amp;";",""),IF(AND($G53&lt;Hta_14,$G53&gt;=Hba_14,Input!AE$34&lt;&gt;""),Input!$B$34&amp;";",""),IF(AND($G53&lt;Hta_15,$G53&gt;=Hba_15,Input!AE$35&lt;&gt;""),Input!$B$35&amp;";",""),IF(AND($G53&lt;Hta_16,$G53&gt;=Hba_16,Input!AE$36&lt;&gt;""),Input!$B$36&amp;";",""),IF(AND($G53&lt;Hta_17,$G53&gt;=Hba_17,Input!AE$37&lt;&gt;""),Input!$B$37&amp;";",""),IF(AND($G53&lt;Hta_18,$G53&gt;=Hba_18,Input!AE$38&lt;&gt;""),Input!$B$38&amp;";",""),IF(AND($G53&lt;Hta_19,$G53&gt;=Hba_19,Input!AE$39&lt;&gt;""),Input!$B$39&amp;";",""),IF(AND($G53&lt;Hta_20,$G53&gt;=Hba_20,Input!AE$40&lt;&gt;""),Input!$B$40&amp;";",""),IF(AND($G53&lt;Hta_21,$G53&gt;=Hba_21,Input!AE$41&lt;&gt;""),Input!$B$41&amp;";",""),IF(AND($G53&lt;Hta_22,$G53&gt;=Hba_22,Input!AE$42&lt;&gt;""),Input!$B$42&amp;";",""),IF(AND($G53&lt;Hta_23,$G53&gt;=Hba_23,Input!AE$43&lt;&gt;""),Input!$B$43&amp;";",""),IF(AND($G53&lt;Hta_24,$G53&gt;=Hba_24,Input!AE$44&lt;&gt;""),Input!$B$44&amp;";",""),IF(AND($G53&lt;Hta_25,$G53&gt;=Hba_25,Input!AE$45&lt;&gt;""),Input!$B$45&amp;";",""),IF(AND($G53&lt;Hta_26,$G53&gt;=Hba_26,Input!AE$46&lt;&gt;""),Input!$B$46&amp;";",""),IF(AND($G53&lt;Hta_27,$G53&gt;=Hba_27,Input!AE$47&lt;&gt;""),Input!$B$47&amp;";",""),IF(AND($G53&lt;Hta_28,$G53&gt;=Hba_28,Input!AE$48&lt;&gt;""),Input!$B$48&amp;";",""),IF(AND($G53&lt;Hta_29,$G53&gt;=Hba_29,Input!AE$49&lt;&gt;""),Input!$B$49&amp;";",""),IF(AND($G53&lt;Hta_30,$G53&gt;=Hba_30,Input!AE$50&lt;&gt;""),Input!$B$50&amp;";","")),"")</f>
        <v/>
      </c>
      <c r="CG53" s="25" t="str">
        <f>IFERROR(CONCATENATE(IF(AND($G53&lt;Hta_1,$G53&gt;=Hba_1,Input!AF$21&lt;&gt;""),Input!$B$21&amp;";",""),IF(AND($G53&lt;Hta_2,$G53&gt;=Hba_2,Input!AF$22&lt;&gt;""),Input!$B$22&amp;";",""),IF(AND($G53&lt;Hta_3,$G53&gt;=Hba_3,Input!AF$23&lt;&gt;""),Input!$B$23&amp;";",""),IF(AND($G53&lt;Hta_4,$G53&gt;=Hba_4,Input!AF$24&lt;&gt;""),Input!$B$24&amp;";",""),IF(AND($G53&lt;Hta_5,$G53&gt;=Hba_5,Input!AF$25&lt;&gt;""),Input!$B$25&amp;";",""),IF(AND($G53&lt;Hta_6,$G53&gt;=Hba_6,Input!AF$26&lt;&gt;""),Input!$B$26&amp;";",""),IF(AND($G53&lt;Hta_7,$G53&gt;=Hba_7,Input!AF$27&lt;&gt;""),Input!$B$27&amp;";",""),IF(AND($G53&lt;Hta_8,$G53&gt;=Hba_8,Input!AF$28&lt;&gt;""),Input!$B$28&amp;";",""),IF(AND($G53&lt;Hta_9,$G53&gt;=Hba_9,Input!AF$29&lt;&gt;""),Input!$B$29&amp;";",""),IF(AND($G53&lt;Hta_10,$G53&gt;=Hba_10,Input!AF$30&lt;&gt;""),Input!$B$30&amp;";",""),IF(AND($G53&lt;Hta_11,$G53&gt;=Hba_11,Input!AF$31&lt;&gt;""),Input!$B$31&amp;";",""),IF(AND($G53&lt;Hta_12,$G53&gt;=Hba_12,Input!AF$32&lt;&gt;""),Input!$B$32&amp;";",""),IF(AND($G53&lt;Hta_13,$G53&gt;=Hba_13,Input!AF$33&lt;&gt;""),Input!$B$33&amp;";",""),IF(AND($G53&lt;Hta_14,$G53&gt;=Hba_14,Input!AF$34&lt;&gt;""),Input!$B$34&amp;";",""),IF(AND($G53&lt;Hta_15,$G53&gt;=Hba_15,Input!AF$35&lt;&gt;""),Input!$B$35&amp;";",""),IF(AND($G53&lt;Hta_16,$G53&gt;=Hba_16,Input!AF$36&lt;&gt;""),Input!$B$36&amp;";",""),IF(AND($G53&lt;Hta_17,$G53&gt;=Hba_17,Input!AF$37&lt;&gt;""),Input!$B$37&amp;";",""),IF(AND($G53&lt;Hta_18,$G53&gt;=Hba_18,Input!AF$38&lt;&gt;""),Input!$B$38&amp;";",""),IF(AND($G53&lt;Hta_19,$G53&gt;=Hba_19,Input!AF$39&lt;&gt;""),Input!$B$39&amp;";",""),IF(AND($G53&lt;Hta_20,$G53&gt;=Hba_20,Input!AF$40&lt;&gt;""),Input!$B$40&amp;";",""),IF(AND($G53&lt;Hta_21,$G53&gt;=Hba_21,Input!AF$41&lt;&gt;""),Input!$B$41&amp;";",""),IF(AND($G53&lt;Hta_22,$G53&gt;=Hba_22,Input!AF$42&lt;&gt;""),Input!$B$42&amp;";",""),IF(AND($G53&lt;Hta_23,$G53&gt;=Hba_23,Input!AF$43&lt;&gt;""),Input!$B$43&amp;";",""),IF(AND($G53&lt;Hta_24,$G53&gt;=Hba_24,Input!AF$44&lt;&gt;""),Input!$B$44&amp;";",""),IF(AND($G53&lt;Hta_25,$G53&gt;=Hba_25,Input!AF$45&lt;&gt;""),Input!$B$45&amp;";",""),IF(AND($G53&lt;Hta_26,$G53&gt;=Hba_26,Input!AF$46&lt;&gt;""),Input!$B$46&amp;";",""),IF(AND($G53&lt;Hta_27,$G53&gt;=Hba_27,Input!AF$47&lt;&gt;""),Input!$B$47&amp;";",""),IF(AND($G53&lt;Hta_28,$G53&gt;=Hba_28,Input!AF$48&lt;&gt;""),Input!$B$48&amp;";",""),IF(AND($G53&lt;Hta_29,$G53&gt;=Hba_29,Input!AF$49&lt;&gt;""),Input!$B$49&amp;";",""),IF(AND($G53&lt;Hta_30,$G53&gt;=Hba_30,Input!AF$50&lt;&gt;""),Input!$B$50&amp;";","")),"")</f>
        <v/>
      </c>
      <c r="CH53" s="25" t="str">
        <f>IFERROR(CONCATENATE(IF(AND($G53&lt;Hta_1,$G53&gt;=Hba_1,Input!AG$21&lt;&gt;""),Input!$B$21&amp;";",""),IF(AND($G53&lt;Hta_2,$G53&gt;=Hba_2,Input!AG$22&lt;&gt;""),Input!$B$22&amp;";",""),IF(AND($G53&lt;Hta_3,$G53&gt;=Hba_3,Input!AG$23&lt;&gt;""),Input!$B$23&amp;";",""),IF(AND($G53&lt;Hta_4,$G53&gt;=Hba_4,Input!AG$24&lt;&gt;""),Input!$B$24&amp;";",""),IF(AND($G53&lt;Hta_5,$G53&gt;=Hba_5,Input!AG$25&lt;&gt;""),Input!$B$25&amp;";",""),IF(AND($G53&lt;Hta_6,$G53&gt;=Hba_6,Input!AG$26&lt;&gt;""),Input!$B$26&amp;";",""),IF(AND($G53&lt;Hta_7,$G53&gt;=Hba_7,Input!AG$27&lt;&gt;""),Input!$B$27&amp;";",""),IF(AND($G53&lt;Hta_8,$G53&gt;=Hba_8,Input!AG$28&lt;&gt;""),Input!$B$28&amp;";",""),IF(AND($G53&lt;Hta_9,$G53&gt;=Hba_9,Input!AG$29&lt;&gt;""),Input!$B$29&amp;";",""),IF(AND($G53&lt;Hta_10,$G53&gt;=Hba_10,Input!AG$30&lt;&gt;""),Input!$B$30&amp;";",""),IF(AND($G53&lt;Hta_11,$G53&gt;=Hba_11,Input!AG$31&lt;&gt;""),Input!$B$31&amp;";",""),IF(AND($G53&lt;Hta_12,$G53&gt;=Hba_12,Input!AG$32&lt;&gt;""),Input!$B$32&amp;";",""),IF(AND($G53&lt;Hta_13,$G53&gt;=Hba_13,Input!AG$33&lt;&gt;""),Input!$B$33&amp;";",""),IF(AND($G53&lt;Hta_14,$G53&gt;=Hba_14,Input!AG$34&lt;&gt;""),Input!$B$34&amp;";",""),IF(AND($G53&lt;Hta_15,$G53&gt;=Hba_15,Input!AG$35&lt;&gt;""),Input!$B$35&amp;";",""),IF(AND($G53&lt;Hta_16,$G53&gt;=Hba_16,Input!AG$36&lt;&gt;""),Input!$B$36&amp;";",""),IF(AND($G53&lt;Hta_17,$G53&gt;=Hba_17,Input!AG$37&lt;&gt;""),Input!$B$37&amp;";",""),IF(AND($G53&lt;Hta_18,$G53&gt;=Hba_18,Input!AG$38&lt;&gt;""),Input!$B$38&amp;";",""),IF(AND($G53&lt;Hta_19,$G53&gt;=Hba_19,Input!AG$39&lt;&gt;""),Input!$B$39&amp;";",""),IF(AND($G53&lt;Hta_20,$G53&gt;=Hba_20,Input!AG$40&lt;&gt;""),Input!$B$40&amp;";",""),IF(AND($G53&lt;Hta_21,$G53&gt;=Hba_21,Input!AG$41&lt;&gt;""),Input!$B$41&amp;";",""),IF(AND($G53&lt;Hta_22,$G53&gt;=Hba_22,Input!AG$42&lt;&gt;""),Input!$B$42&amp;";",""),IF(AND($G53&lt;Hta_23,$G53&gt;=Hba_23,Input!AG$43&lt;&gt;""),Input!$B$43&amp;";",""),IF(AND($G53&lt;Hta_24,$G53&gt;=Hba_24,Input!AG$44&lt;&gt;""),Input!$B$44&amp;";",""),IF(AND($G53&lt;Hta_25,$G53&gt;=Hba_25,Input!AG$45&lt;&gt;""),Input!$B$45&amp;";",""),IF(AND($G53&lt;Hta_26,$G53&gt;=Hba_26,Input!AG$46&lt;&gt;""),Input!$B$46&amp;";",""),IF(AND($G53&lt;Hta_27,$G53&gt;=Hba_27,Input!AG$47&lt;&gt;""),Input!$B$47&amp;";",""),IF(AND($G53&lt;Hta_28,$G53&gt;=Hba_28,Input!AG$48&lt;&gt;""),Input!$B$48&amp;";",""),IF(AND($G53&lt;Hta_29,$G53&gt;=Hba_29,Input!AG$49&lt;&gt;""),Input!$B$49&amp;";",""),IF(AND($G53&lt;Hta_30,$G53&gt;=Hba_30,Input!AG$50&lt;&gt;""),Input!$B$50&amp;";","")),"")</f>
        <v/>
      </c>
      <c r="CI53" s="25" t="str">
        <f>IFERROR(CONCATENATE(IF(AND($G53&lt;Hta_1,$G53&gt;=Hba_1,Input!AH$21&lt;&gt;""),Input!$B$21&amp;";",""),IF(AND($G53&lt;Hta_2,$G53&gt;=Hba_2,Input!AH$22&lt;&gt;""),Input!$B$22&amp;";",""),IF(AND($G53&lt;Hta_3,$G53&gt;=Hba_3,Input!AH$23&lt;&gt;""),Input!$B$23&amp;";",""),IF(AND($G53&lt;Hta_4,$G53&gt;=Hba_4,Input!AH$24&lt;&gt;""),Input!$B$24&amp;";",""),IF(AND($G53&lt;Hta_5,$G53&gt;=Hba_5,Input!AH$25&lt;&gt;""),Input!$B$25&amp;";",""),IF(AND($G53&lt;Hta_6,$G53&gt;=Hba_6,Input!AH$26&lt;&gt;""),Input!$B$26&amp;";",""),IF(AND($G53&lt;Hta_7,$G53&gt;=Hba_7,Input!AH$27&lt;&gt;""),Input!$B$27&amp;";",""),IF(AND($G53&lt;Hta_8,$G53&gt;=Hba_8,Input!AH$28&lt;&gt;""),Input!$B$28&amp;";",""),IF(AND($G53&lt;Hta_9,$G53&gt;=Hba_9,Input!AH$29&lt;&gt;""),Input!$B$29&amp;";",""),IF(AND($G53&lt;Hta_10,$G53&gt;=Hba_10,Input!AH$30&lt;&gt;""),Input!$B$30&amp;";",""),IF(AND($G53&lt;Hta_11,$G53&gt;=Hba_11,Input!AH$31&lt;&gt;""),Input!$B$31&amp;";",""),IF(AND($G53&lt;Hta_12,$G53&gt;=Hba_12,Input!AH$32&lt;&gt;""),Input!$B$32&amp;";",""),IF(AND($G53&lt;Hta_13,$G53&gt;=Hba_13,Input!AH$33&lt;&gt;""),Input!$B$33&amp;";",""),IF(AND($G53&lt;Hta_14,$G53&gt;=Hba_14,Input!AH$34&lt;&gt;""),Input!$B$34&amp;";",""),IF(AND($G53&lt;Hta_15,$G53&gt;=Hba_15,Input!AH$35&lt;&gt;""),Input!$B$35&amp;";",""),IF(AND($G53&lt;Hta_16,$G53&gt;=Hba_16,Input!AH$36&lt;&gt;""),Input!$B$36&amp;";",""),IF(AND($G53&lt;Hta_17,$G53&gt;=Hba_17,Input!AH$37&lt;&gt;""),Input!$B$37&amp;";",""),IF(AND($G53&lt;Hta_18,$G53&gt;=Hba_18,Input!AH$38&lt;&gt;""),Input!$B$38&amp;";",""),IF(AND($G53&lt;Hta_19,$G53&gt;=Hba_19,Input!AH$39&lt;&gt;""),Input!$B$39&amp;";",""),IF(AND($G53&lt;Hta_20,$G53&gt;=Hba_20,Input!AH$40&lt;&gt;""),Input!$B$40&amp;";",""),IF(AND($G53&lt;Hta_21,$G53&gt;=Hba_21,Input!AH$41&lt;&gt;""),Input!$B$41&amp;";",""),IF(AND($G53&lt;Hta_22,$G53&gt;=Hba_22,Input!AH$42&lt;&gt;""),Input!$B$42&amp;";",""),IF(AND($G53&lt;Hta_23,$G53&gt;=Hba_23,Input!AH$43&lt;&gt;""),Input!$B$43&amp;";",""),IF(AND($G53&lt;Hta_24,$G53&gt;=Hba_24,Input!AH$44&lt;&gt;""),Input!$B$44&amp;";",""),IF(AND($G53&lt;Hta_25,$G53&gt;=Hba_25,Input!AH$45&lt;&gt;""),Input!$B$45&amp;";",""),IF(AND($G53&lt;Hta_26,$G53&gt;=Hba_26,Input!AH$46&lt;&gt;""),Input!$B$46&amp;";",""),IF(AND($G53&lt;Hta_27,$G53&gt;=Hba_27,Input!AH$47&lt;&gt;""),Input!$B$47&amp;";",""),IF(AND($G53&lt;Hta_28,$G53&gt;=Hba_28,Input!AH$48&lt;&gt;""),Input!$B$48&amp;";",""),IF(AND($G53&lt;Hta_29,$G53&gt;=Hba_29,Input!AH$49&lt;&gt;""),Input!$B$49&amp;";",""),IF(AND($G53&lt;Hta_30,$G53&gt;=Hba_30,Input!AH$50&lt;&gt;""),Input!$B$50&amp;";","")),"")</f>
        <v/>
      </c>
      <c r="CJ53" s="25" t="str">
        <f>IFERROR(CONCATENATE(IF(AND($G53&lt;Hta_1,$G53&gt;=Hba_1,Input!AI$21&lt;&gt;""),Input!$B$21&amp;";",""),IF(AND($G53&lt;Hta_2,$G53&gt;=Hba_2,Input!AI$22&lt;&gt;""),Input!$B$22&amp;";",""),IF(AND($G53&lt;Hta_3,$G53&gt;=Hba_3,Input!AI$23&lt;&gt;""),Input!$B$23&amp;";",""),IF(AND($G53&lt;Hta_4,$G53&gt;=Hba_4,Input!AI$24&lt;&gt;""),Input!$B$24&amp;";",""),IF(AND($G53&lt;Hta_5,$G53&gt;=Hba_5,Input!AI$25&lt;&gt;""),Input!$B$25&amp;";",""),IF(AND($G53&lt;Hta_6,$G53&gt;=Hba_6,Input!AI$26&lt;&gt;""),Input!$B$26&amp;";",""),IF(AND($G53&lt;Hta_7,$G53&gt;=Hba_7,Input!AI$27&lt;&gt;""),Input!$B$27&amp;";",""),IF(AND($G53&lt;Hta_8,$G53&gt;=Hba_8,Input!AI$28&lt;&gt;""),Input!$B$28&amp;";",""),IF(AND($G53&lt;Hta_9,$G53&gt;=Hba_9,Input!AI$29&lt;&gt;""),Input!$B$29&amp;";",""),IF(AND($G53&lt;Hta_10,$G53&gt;=Hba_10,Input!AI$30&lt;&gt;""),Input!$B$30&amp;";",""),IF(AND($G53&lt;Hta_11,$G53&gt;=Hba_11,Input!AI$31&lt;&gt;""),Input!$B$31&amp;";",""),IF(AND($G53&lt;Hta_12,$G53&gt;=Hba_12,Input!AI$32&lt;&gt;""),Input!$B$32&amp;";",""),IF(AND($G53&lt;Hta_13,$G53&gt;=Hba_13,Input!AI$33&lt;&gt;""),Input!$B$33&amp;";",""),IF(AND($G53&lt;Hta_14,$G53&gt;=Hba_14,Input!AI$34&lt;&gt;""),Input!$B$34&amp;";",""),IF(AND($G53&lt;Hta_15,$G53&gt;=Hba_15,Input!AI$35&lt;&gt;""),Input!$B$35&amp;";",""),IF(AND($G53&lt;Hta_16,$G53&gt;=Hba_16,Input!AI$36&lt;&gt;""),Input!$B$36&amp;";",""),IF(AND($G53&lt;Hta_17,$G53&gt;=Hba_17,Input!AI$37&lt;&gt;""),Input!$B$37&amp;";",""),IF(AND($G53&lt;Hta_18,$G53&gt;=Hba_18,Input!AI$38&lt;&gt;""),Input!$B$38&amp;";",""),IF(AND($G53&lt;Hta_19,$G53&gt;=Hba_19,Input!AI$39&lt;&gt;""),Input!$B$39&amp;";",""),IF(AND($G53&lt;Hta_20,$G53&gt;=Hba_20,Input!AI$40&lt;&gt;""),Input!$B$40&amp;";",""),IF(AND($G53&lt;Hta_21,$G53&gt;=Hba_21,Input!AI$41&lt;&gt;""),Input!$B$41&amp;";",""),IF(AND($G53&lt;Hta_22,$G53&gt;=Hba_22,Input!AI$42&lt;&gt;""),Input!$B$42&amp;";",""),IF(AND($G53&lt;Hta_23,$G53&gt;=Hba_23,Input!AI$43&lt;&gt;""),Input!$B$43&amp;";",""),IF(AND($G53&lt;Hta_24,$G53&gt;=Hba_24,Input!AI$44&lt;&gt;""),Input!$B$44&amp;";",""),IF(AND($G53&lt;Hta_25,$G53&gt;=Hba_25,Input!AI$45&lt;&gt;""),Input!$B$45&amp;";",""),IF(AND($G53&lt;Hta_26,$G53&gt;=Hba_26,Input!AI$46&lt;&gt;""),Input!$B$46&amp;";",""),IF(AND($G53&lt;Hta_27,$G53&gt;=Hba_27,Input!AI$47&lt;&gt;""),Input!$B$47&amp;";",""),IF(AND($G53&lt;Hta_28,$G53&gt;=Hba_28,Input!AI$48&lt;&gt;""),Input!$B$48&amp;";",""),IF(AND($G53&lt;Hta_29,$G53&gt;=Hba_29,Input!AI$49&lt;&gt;""),Input!$B$49&amp;";",""),IF(AND($G53&lt;Hta_30,$G53&gt;=Hba_30,Input!AI$50&lt;&gt;""),Input!$B$50&amp;";","")),"")</f>
        <v/>
      </c>
      <c r="CK53" s="25" t="str">
        <f>IFERROR(CONCATENATE(IF(AND($G53&lt;Hta_1,$G53&gt;=Hba_1,Input!AJ$21&lt;&gt;""),Input!$B$21&amp;";",""),IF(AND($G53&lt;Hta_2,$G53&gt;=Hba_2,Input!AJ$22&lt;&gt;""),Input!$B$22&amp;";",""),IF(AND($G53&lt;Hta_3,$G53&gt;=Hba_3,Input!AJ$23&lt;&gt;""),Input!$B$23&amp;";",""),IF(AND($G53&lt;Hta_4,$G53&gt;=Hba_4,Input!AJ$24&lt;&gt;""),Input!$B$24&amp;";",""),IF(AND($G53&lt;Hta_5,$G53&gt;=Hba_5,Input!AJ$25&lt;&gt;""),Input!$B$25&amp;";",""),IF(AND($G53&lt;Hta_6,$G53&gt;=Hba_6,Input!AJ$26&lt;&gt;""),Input!$B$26&amp;";",""),IF(AND($G53&lt;Hta_7,$G53&gt;=Hba_7,Input!AJ$27&lt;&gt;""),Input!$B$27&amp;";",""),IF(AND($G53&lt;Hta_8,$G53&gt;=Hba_8,Input!AJ$28&lt;&gt;""),Input!$B$28&amp;";",""),IF(AND($G53&lt;Hta_9,$G53&gt;=Hba_9,Input!AJ$29&lt;&gt;""),Input!$B$29&amp;";",""),IF(AND($G53&lt;Hta_10,$G53&gt;=Hba_10,Input!AJ$30&lt;&gt;""),Input!$B$30&amp;";",""),IF(AND($G53&lt;Hta_11,$G53&gt;=Hba_11,Input!AJ$31&lt;&gt;""),Input!$B$31&amp;";",""),IF(AND($G53&lt;Hta_12,$G53&gt;=Hba_12,Input!AJ$32&lt;&gt;""),Input!$B$32&amp;";",""),IF(AND($G53&lt;Hta_13,$G53&gt;=Hba_13,Input!AJ$33&lt;&gt;""),Input!$B$33&amp;";",""),IF(AND($G53&lt;Hta_14,$G53&gt;=Hba_14,Input!AJ$34&lt;&gt;""),Input!$B$34&amp;";",""),IF(AND($G53&lt;Hta_15,$G53&gt;=Hba_15,Input!AJ$35&lt;&gt;""),Input!$B$35&amp;";",""),IF(AND($G53&lt;Hta_16,$G53&gt;=Hba_16,Input!AJ$36&lt;&gt;""),Input!$B$36&amp;";",""),IF(AND($G53&lt;Hta_17,$G53&gt;=Hba_17,Input!AJ$37&lt;&gt;""),Input!$B$37&amp;";",""),IF(AND($G53&lt;Hta_18,$G53&gt;=Hba_18,Input!AJ$38&lt;&gt;""),Input!$B$38&amp;";",""),IF(AND($G53&lt;Hta_19,$G53&gt;=Hba_19,Input!AJ$39&lt;&gt;""),Input!$B$39&amp;";",""),IF(AND($G53&lt;Hta_20,$G53&gt;=Hba_20,Input!AJ$40&lt;&gt;""),Input!$B$40&amp;";",""),IF(AND($G53&lt;Hta_21,$G53&gt;=Hba_21,Input!AJ$41&lt;&gt;""),Input!$B$41&amp;";",""),IF(AND($G53&lt;Hta_22,$G53&gt;=Hba_22,Input!AJ$42&lt;&gt;""),Input!$B$42&amp;";",""),IF(AND($G53&lt;Hta_23,$G53&gt;=Hba_23,Input!AJ$43&lt;&gt;""),Input!$B$43&amp;";",""),IF(AND($G53&lt;Hta_24,$G53&gt;=Hba_24,Input!AJ$44&lt;&gt;""),Input!$B$44&amp;";",""),IF(AND($G53&lt;Hta_25,$G53&gt;=Hba_25,Input!AJ$45&lt;&gt;""),Input!$B$45&amp;";",""),IF(AND($G53&lt;Hta_26,$G53&gt;=Hba_26,Input!AJ$46&lt;&gt;""),Input!$B$46&amp;";",""),IF(AND($G53&lt;Hta_27,$G53&gt;=Hba_27,Input!AJ$47&lt;&gt;""),Input!$B$47&amp;";",""),IF(AND($G53&lt;Hta_28,$G53&gt;=Hba_28,Input!AJ$48&lt;&gt;""),Input!$B$48&amp;";",""),IF(AND($G53&lt;Hta_29,$G53&gt;=Hba_29,Input!AJ$49&lt;&gt;""),Input!$B$49&amp;";",""),IF(AND($G53&lt;Hta_30,$G53&gt;=Hba_30,Input!AJ$50&lt;&gt;""),Input!$B$50&amp;";","")),"")</f>
        <v/>
      </c>
      <c r="CL53" s="25" t="str">
        <f>IFERROR(CONCATENATE(IF(AND($G53&lt;Hta_1,$G53&gt;=Hba_1,Input!AK$21&lt;&gt;""),Input!$B$21&amp;";",""),IF(AND($G53&lt;Hta_2,$G53&gt;=Hba_2,Input!AK$22&lt;&gt;""),Input!$B$22&amp;";",""),IF(AND($G53&lt;Hta_3,$G53&gt;=Hba_3,Input!AK$23&lt;&gt;""),Input!$B$23&amp;";",""),IF(AND($G53&lt;Hta_4,$G53&gt;=Hba_4,Input!AK$24&lt;&gt;""),Input!$B$24&amp;";",""),IF(AND($G53&lt;Hta_5,$G53&gt;=Hba_5,Input!AK$25&lt;&gt;""),Input!$B$25&amp;";",""),IF(AND($G53&lt;Hta_6,$G53&gt;=Hba_6,Input!AK$26&lt;&gt;""),Input!$B$26&amp;";",""),IF(AND($G53&lt;Hta_7,$G53&gt;=Hba_7,Input!AK$27&lt;&gt;""),Input!$B$27&amp;";",""),IF(AND($G53&lt;Hta_8,$G53&gt;=Hba_8,Input!AK$28&lt;&gt;""),Input!$B$28&amp;";",""),IF(AND($G53&lt;Hta_9,$G53&gt;=Hba_9,Input!AK$29&lt;&gt;""),Input!$B$29&amp;";",""),IF(AND($G53&lt;Hta_10,$G53&gt;=Hba_10,Input!AK$30&lt;&gt;""),Input!$B$30&amp;";",""),IF(AND($G53&lt;Hta_11,$G53&gt;=Hba_11,Input!AK$31&lt;&gt;""),Input!$B$31&amp;";",""),IF(AND($G53&lt;Hta_12,$G53&gt;=Hba_12,Input!AK$32&lt;&gt;""),Input!$B$32&amp;";",""),IF(AND($G53&lt;Hta_13,$G53&gt;=Hba_13,Input!AK$33&lt;&gt;""),Input!$B$33&amp;";",""),IF(AND($G53&lt;Hta_14,$G53&gt;=Hba_14,Input!AK$34&lt;&gt;""),Input!$B$34&amp;";",""),IF(AND($G53&lt;Hta_15,$G53&gt;=Hba_15,Input!AK$35&lt;&gt;""),Input!$B$35&amp;";",""),IF(AND($G53&lt;Hta_16,$G53&gt;=Hba_16,Input!AK$36&lt;&gt;""),Input!$B$36&amp;";",""),IF(AND($G53&lt;Hta_17,$G53&gt;=Hba_17,Input!AK$37&lt;&gt;""),Input!$B$37&amp;";",""),IF(AND($G53&lt;Hta_18,$G53&gt;=Hba_18,Input!AK$38&lt;&gt;""),Input!$B$38&amp;";",""),IF(AND($G53&lt;Hta_19,$G53&gt;=Hba_19,Input!AK$39&lt;&gt;""),Input!$B$39&amp;";",""),IF(AND($G53&lt;Hta_20,$G53&gt;=Hba_20,Input!AK$40&lt;&gt;""),Input!$B$40&amp;";",""),IF(AND($G53&lt;Hta_21,$G53&gt;=Hba_21,Input!AK$41&lt;&gt;""),Input!$B$41&amp;";",""),IF(AND($G53&lt;Hta_22,$G53&gt;=Hba_22,Input!AK$42&lt;&gt;""),Input!$B$42&amp;";",""),IF(AND($G53&lt;Hta_23,$G53&gt;=Hba_23,Input!AK$43&lt;&gt;""),Input!$B$43&amp;";",""),IF(AND($G53&lt;Hta_24,$G53&gt;=Hba_24,Input!AK$44&lt;&gt;""),Input!$B$44&amp;";",""),IF(AND($G53&lt;Hta_25,$G53&gt;=Hba_25,Input!AK$45&lt;&gt;""),Input!$B$45&amp;";",""),IF(AND($G53&lt;Hta_26,$G53&gt;=Hba_26,Input!AK$46&lt;&gt;""),Input!$B$46&amp;";",""),IF(AND($G53&lt;Hta_27,$G53&gt;=Hba_27,Input!AK$47&lt;&gt;""),Input!$B$47&amp;";",""),IF(AND($G53&lt;Hta_28,$G53&gt;=Hba_28,Input!AK$48&lt;&gt;""),Input!$B$48&amp;";",""),IF(AND($G53&lt;Hta_29,$G53&gt;=Hba_29,Input!AK$49&lt;&gt;""),Input!$B$49&amp;";",""),IF(AND($G53&lt;Hta_30,$G53&gt;=Hba_30,Input!AK$50&lt;&gt;""),Input!$B$50&amp;";","")),"")</f>
        <v/>
      </c>
      <c r="CM53" s="25" t="str">
        <f>IFERROR(CONCATENATE(IF(AND($G53&lt;Hta_1,$G53&gt;=Hba_1,Input!AL$21&lt;&gt;""),Input!$B$21&amp;";",""),IF(AND($G53&lt;Hta_2,$G53&gt;=Hba_2,Input!AL$22&lt;&gt;""),Input!$B$22&amp;";",""),IF(AND($G53&lt;Hta_3,$G53&gt;=Hba_3,Input!AL$23&lt;&gt;""),Input!$B$23&amp;";",""),IF(AND($G53&lt;Hta_4,$G53&gt;=Hba_4,Input!AL$24&lt;&gt;""),Input!$B$24&amp;";",""),IF(AND($G53&lt;Hta_5,$G53&gt;=Hba_5,Input!AL$25&lt;&gt;""),Input!$B$25&amp;";",""),IF(AND($G53&lt;Hta_6,$G53&gt;=Hba_6,Input!AL$26&lt;&gt;""),Input!$B$26&amp;";",""),IF(AND($G53&lt;Hta_7,$G53&gt;=Hba_7,Input!AL$27&lt;&gt;""),Input!$B$27&amp;";",""),IF(AND($G53&lt;Hta_8,$G53&gt;=Hba_8,Input!AL$28&lt;&gt;""),Input!$B$28&amp;";",""),IF(AND($G53&lt;Hta_9,$G53&gt;=Hba_9,Input!AL$29&lt;&gt;""),Input!$B$29&amp;";",""),IF(AND($G53&lt;Hta_10,$G53&gt;=Hba_10,Input!AL$30&lt;&gt;""),Input!$B$30&amp;";",""),IF(AND($G53&lt;Hta_11,$G53&gt;=Hba_11,Input!AL$31&lt;&gt;""),Input!$B$31&amp;";",""),IF(AND($G53&lt;Hta_12,$G53&gt;=Hba_12,Input!AL$32&lt;&gt;""),Input!$B$32&amp;";",""),IF(AND($G53&lt;Hta_13,$G53&gt;=Hba_13,Input!AL$33&lt;&gt;""),Input!$B$33&amp;";",""),IF(AND($G53&lt;Hta_14,$G53&gt;=Hba_14,Input!AL$34&lt;&gt;""),Input!$B$34&amp;";",""),IF(AND($G53&lt;Hta_15,$G53&gt;=Hba_15,Input!AL$35&lt;&gt;""),Input!$B$35&amp;";",""),IF(AND($G53&lt;Hta_16,$G53&gt;=Hba_16,Input!AL$36&lt;&gt;""),Input!$B$36&amp;";",""),IF(AND($G53&lt;Hta_17,$G53&gt;=Hba_17,Input!AL$37&lt;&gt;""),Input!$B$37&amp;";",""),IF(AND($G53&lt;Hta_18,$G53&gt;=Hba_18,Input!AL$38&lt;&gt;""),Input!$B$38&amp;";",""),IF(AND($G53&lt;Hta_19,$G53&gt;=Hba_19,Input!AL$39&lt;&gt;""),Input!$B$39&amp;";",""),IF(AND($G53&lt;Hta_20,$G53&gt;=Hba_20,Input!AL$40&lt;&gt;""),Input!$B$40&amp;";",""),IF(AND($G53&lt;Hta_21,$G53&gt;=Hba_21,Input!AL$41&lt;&gt;""),Input!$B$41&amp;";",""),IF(AND($G53&lt;Hta_22,$G53&gt;=Hba_22,Input!AL$42&lt;&gt;""),Input!$B$42&amp;";",""),IF(AND($G53&lt;Hta_23,$G53&gt;=Hba_23,Input!AL$43&lt;&gt;""),Input!$B$43&amp;";",""),IF(AND($G53&lt;Hta_24,$G53&gt;=Hba_24,Input!AL$44&lt;&gt;""),Input!$B$44&amp;";",""),IF(AND($G53&lt;Hta_25,$G53&gt;=Hba_25,Input!AL$45&lt;&gt;""),Input!$B$45&amp;";",""),IF(AND($G53&lt;Hta_26,$G53&gt;=Hba_26,Input!AL$46&lt;&gt;""),Input!$B$46&amp;";",""),IF(AND($G53&lt;Hta_27,$G53&gt;=Hba_27,Input!AL$47&lt;&gt;""),Input!$B$47&amp;";",""),IF(AND($G53&lt;Hta_28,$G53&gt;=Hba_28,Input!AL$48&lt;&gt;""),Input!$B$48&amp;";",""),IF(AND($G53&lt;Hta_29,$G53&gt;=Hba_29,Input!AL$49&lt;&gt;""),Input!$B$49&amp;";",""),IF(AND($G53&lt;Hta_30,$G53&gt;=Hba_30,Input!AL$50&lt;&gt;""),Input!$B$50&amp;";","")),"")</f>
        <v/>
      </c>
      <c r="CN53" s="60" t="str">
        <f t="shared" si="6"/>
        <v/>
      </c>
      <c r="CO53" s="798"/>
      <c r="CP53" s="799"/>
      <c r="CQ53" s="800"/>
      <c r="CR53" s="798"/>
      <c r="CS53" s="799"/>
      <c r="CT53" s="800"/>
      <c r="CU53" s="798" t="str">
        <f t="shared" si="7"/>
        <v/>
      </c>
      <c r="CV53" s="799"/>
      <c r="CW53" s="806"/>
      <c r="CX53" s="726"/>
      <c r="CY53" s="727"/>
      <c r="CZ53" s="732"/>
      <c r="DA53" s="726"/>
      <c r="DB53" s="727"/>
      <c r="DC53" s="732"/>
      <c r="DD53" s="726" t="str">
        <f t="shared" si="8"/>
        <v/>
      </c>
      <c r="DE53" s="727"/>
      <c r="DF53" s="728"/>
      <c r="DG53" s="53"/>
      <c r="DH53" s="54"/>
      <c r="DI53" s="54"/>
      <c r="DJ53" s="54"/>
      <c r="DK53" s="54"/>
      <c r="DL53" s="54"/>
      <c r="DM53" s="54"/>
      <c r="DN53" s="54"/>
      <c r="DO53" s="54"/>
      <c r="DP53" s="54"/>
      <c r="DQ53" s="57"/>
      <c r="DR53" s="57"/>
      <c r="DS53" s="57"/>
      <c r="DT53" s="57"/>
      <c r="DU53" s="57"/>
      <c r="DV53" s="57"/>
      <c r="DW53" s="57"/>
      <c r="DX53" s="57"/>
      <c r="DY53" s="57"/>
      <c r="DZ53" s="57"/>
      <c r="EA53" s="57"/>
      <c r="EB53" s="57"/>
      <c r="EC53" s="57"/>
      <c r="ED53" s="57"/>
      <c r="EE53" s="57"/>
      <c r="EF53" s="57"/>
      <c r="EG53" s="57"/>
      <c r="EH53" s="57"/>
      <c r="EI53" s="57"/>
      <c r="EJ53" s="57"/>
      <c r="EK53" s="57"/>
      <c r="EL53" s="133"/>
      <c r="EM53" s="133"/>
      <c r="EN53" s="133"/>
      <c r="EO53" s="133"/>
      <c r="EP53" s="133"/>
      <c r="EQ53" s="133"/>
      <c r="ER53" s="133"/>
      <c r="ES53" s="133"/>
      <c r="ET53" s="133"/>
      <c r="EU53" s="133"/>
      <c r="EV53" s="133"/>
      <c r="EW53" s="133"/>
      <c r="EX53" s="133"/>
      <c r="EY53" s="133"/>
      <c r="EZ53" s="133"/>
      <c r="FA53" s="133"/>
      <c r="FB53" s="133"/>
      <c r="FC53" s="133"/>
      <c r="FD53" s="133"/>
      <c r="FE53" s="133"/>
      <c r="FF53" s="133"/>
      <c r="FG53" s="133"/>
      <c r="FH53" s="133"/>
      <c r="FI53" s="133"/>
      <c r="FJ53" s="133"/>
      <c r="FK53" s="133"/>
      <c r="FL53" s="133"/>
      <c r="FM53" s="133"/>
      <c r="FN53" s="133"/>
      <c r="FO53" s="133"/>
      <c r="FP53" s="65"/>
      <c r="FQ53" s="125"/>
      <c r="FR53" s="123"/>
      <c r="FS53" s="121"/>
      <c r="FT53" s="119"/>
    </row>
    <row r="54" spans="2:176" ht="15.75" hidden="1" customHeight="1" thickBot="1" x14ac:dyDescent="0.3">
      <c r="B54" s="62" t="b">
        <f>IF(OR(AND(G54&gt;='Geometry 2'!$AK$5,G54&lt;'Geometry 2'!$AL$5),AND(G54&gt;='Geometry 2'!$AK$6,G54&lt;'Geometry 2'!$AL$6),AND(G54&gt;='Geometry 2'!$AK$7,G54&lt;'Geometry 2'!$AL$7),AND(G54&gt;='Geometry 2'!$AK$8,G54&lt;'Geometry 2'!$AL$8),AND(G54&gt;='Geometry 2'!$AK$9,G54&lt;'Geometry 2'!$AL$9),AND(G54&gt;='Geometry 2'!$AK$10,G54&lt;'Geometry 2'!$AL$10),AND(G54&gt;='Geometry 2'!$AK$11,G54&lt;'Geometry 2'!$AL$11),AND(G54&gt;='Geometry 2'!$AK$12,G54&lt;'Geometry 2'!$AL$12),AND(G54&gt;='Geometry 2'!$AK$13,G54&lt;'Geometry 2'!$AL$13),AND(G54&gt;='Geometry 2'!$AK$14,G54&lt;'Geometry 2'!$AL$14)),TRUE,FALSE)</f>
        <v>0</v>
      </c>
      <c r="C54" s="4" t="str">
        <f t="shared" si="3"/>
        <v/>
      </c>
      <c r="D54" s="766" t="str">
        <f t="shared" si="4"/>
        <v/>
      </c>
      <c r="E54" s="767"/>
      <c r="F54" s="17" t="str">
        <f t="shared" si="2"/>
        <v/>
      </c>
      <c r="G54" s="768" t="str">
        <f>IF(D54="","",MAX(0,G53-IF(inc="n/a",999,inc),MAX(IF(G53&lt;=Hta_1,0,Hta_1),IF(G53&lt;=Hta_2,0,Hta_2),IF(G53&lt;=Hta_3,0,Hta_3),IF(G53&lt;=Hta_4,0,Hta_4),IF(G53&lt;=Hta_5,0,Hta_5),IF(G53&lt;=Hta_6,0,Hta_6),IF(G53&lt;=Hta_7,0,Hta_7),IF(G53&lt;=Hta_8,0,Hta_8),IF(G53&lt;=Hta_9,0,Hta_9),IF(G53&lt;=Hta_10,0,Hta_10),IF(G53&lt;=Hta_11,0,Hta_11),IF(G53&lt;=Hta_12,0,Hta_12),IF(G53&lt;=Hta_13,0,Hta_13),IF(G53&lt;=Hta_14,0,Hta_14),IF(G53&lt;=Hta_15,0,Hta_15),IF(G53&lt;=Hta_16,0,Hta_16),IF(G53&lt;=Hta_17,0,Hta_17),IF(G53&lt;=Hta_18,0,Hta_18),IF(G53&lt;=Hta_19,0,Hta_19),IF(G53&lt;=Hta_20,0,Hta_20),IF(G53&lt;=Hta_21,0,Hta_21),IF(G53&lt;=Hta_22,0,Hta_22),IF(G53&lt;=Hta_23,0,Hta_23),IF(G53&lt;=Hta_24,0,Hta_24),IF(G53&lt;=Hta_25,0,Hta_25),IF(G53&lt;=Hta_26,0,Hta_26),IF(G53&lt;=Hta_27,0,Hta_27),IF(G53&lt;=Hta_28,0,Hta_28),IF(G53&lt;=Hta_29,0,Hta_29),IF(G53&lt;=Hta_30,0,Hta_30)),MAX(IF(G53&lt;=Hta_1-0.25,0,Hta_1-0.25),IF(G53&lt;=Hta_2-0.25,0,Hta_2-0.25),IF(G53&lt;=Hta_3-0.25,0,Hta_3-0.25),IF(G53&lt;=Hta_4-0.25,0,Hta_4-0.25),IF(G53&lt;=Hta_5-0.25,0,Hta_5-0.25),IF(G53&lt;=Hta_6-0.25,0,Hta_6-0.25),IF(G53&lt;=Hta_7-0.25,0,Hta_7-0.25),IF(G53&lt;=Hta_8-0.25,0,Hta_8-0.25),IF(G53&lt;=Hta_9-0.25,0,Hta_9-0.25),IF(G53&lt;=Hta_10-0.25,0,Hta_10-0.25),IF(G53&lt;=Hta_11-0.25,0,Hta_11-0.25),IF(G53&lt;=Hta_12-0.25,0,Hta_12-0.25),IF(G53&lt;=Hta_13-0.25,0,Hta_13-0.25),IF(G53&lt;=Hta_14-0.25,0,Hta_14-0.25),IF(G53&lt;=Hta_15-0.25,0,Hta_15-0.25),IF(G53&lt;=Hta_16-0.25,0,Hta_16-0.25),IF(G53&lt;=Hta_17-0.25,0,Hta_17-0.25),IF(G53&lt;=Hta_18-0.25,0,Hta_18-0.25),IF(G53&lt;=Hta_19-0.25,0,Hta_19-0.25),IF(G53&lt;=Hta_20-0.25,0,Hta_20-0.25),IF(G53&lt;=Hta_21-0.25,0,Hta_21-0.25),IF(G53&lt;=Hta_22-0.25,0,Hta_22-0.25),IF(G53&lt;=Hta_23-0.25,0,Hta_23-0.25),IF(G53&lt;=Hta_24-0.25,0,Hta_24-0.25),IF(G53&lt;=Hta_25-0.25,0,Hta_25-0.25),IF(G53&lt;=Hta_26-0.25,0,Hta_26-0.25),IF(G53&lt;=Hta_27-0.25,0,Hta_27-0.25),IF(G53&lt;=Hta_28-0.25,0,Hta_28-0.25),IF(G53&lt;=Hta_29-0.25,0,Hta_29-0.25),IF(G53&lt;=Hta_30-0.25,0,Hta_30-0.25)),MAX(IF(G53&lt;=Hba_1,0,Hba_1),IF(G53&lt;=Hba_2,0,Hba_2),IF(G53&lt;=Hba_3,0,Hba_3),IF(G53&lt;=Hba_4,0,Hba_4),IF(G53&lt;=Hba_5,0,Hba_5),IF(G53&lt;=Hba_6,0,Hba_6),IF(G53&lt;=Hba_7,0,Hba_7),IF(G53&lt;=Hba_8,0,Hba_8),IF(G53&lt;=Hba_9,0,Hba_9),IF(G53&lt;=Hba_10,0,Hba_10),IF(G53&lt;=Hba_11,0,Hba_11),IF(G53&lt;=Hba_12,0,Hba_12),IF(G53&lt;=Hba_13,0,Hba_13),IF(G53&lt;=Hba_14,0,Hba_14),IF(G53&lt;=Hba_15,0,Hba_15),IF(G53&lt;=Hba_16,0,Hba_16),IF(G53&lt;=Hba_17,0,Hba_17),IF(G53&lt;=Hba_18,0,Hba_18),IF(G53&lt;=Hba_19,0,Hba_19),IF(G53&lt;=Hba_20,0,Hba_20),IF(G53&lt;=Hba_21,0,Hba_21),IF(G53&lt;=Hba_22,0,Hba_22),IF(G53&lt;=Hba_23,0,Hba_23),IF(G53&lt;=Hba_24,0,Hba_24),IF(G53&lt;=Hba_25,0,Hba_25),IF(G53&lt;=Hba_26,0,Hba_26),IF(G53&lt;=Hba_27,0,Hba_27),IF(G53&lt;=Hba_28,0,Hba_28),IF(G53&lt;=Hba_29,0,Hba_29),IF(G53&lt;=Hba_30,0,Hba_30)),MAX(IF(G53&lt;=Input!$C$8,0,Input!$C$8),IF(G53&lt;=Input!$C$9,0,Input!$C$9),IF(G53&lt;=Input!$C$10,0,Input!$C$10),IF(G53&lt;=Input!$C$11,0,Input!$C$11),IF(G53&lt;=Input!$C$12,0,Input!$C$12),IF(G53&lt;=Input!$C$13,0,Input!$C$13),IF(G53&lt;=Input!$C$14,0,Input!$C$14),IF(G53&lt;=Input!$C$15,0,Input!$C$15),IF(G53&lt;=Input!$C$16,0,Input!$C$16)),MAX(IF(G53&lt;=Hba_1-0.25,0,Hba_1-0.25),IF(G53&lt;=Hba_2-0.25,0,Hba_2-0.25),IF(G53&lt;=Hba_3-0.25,0,Hba_3-0.25),IF(G53&lt;=Hba_4-0.25,0,Hba_4-0.25),IF(G53&lt;=Hba_5-0.25,0,Hba_5-0.25),IF(G53&lt;=Hba_6-0.25,0,Hba_6-0.25),IF(G53&lt;=Hba_7-0.25,0,Hba_7-0.25),IF(G53&lt;=Hba_8-0.25,0,Hba_8-0.25),IF(G53&lt;=Hba_9-0.25,0,Hba_9-0.25),IF(G53&lt;=Hba_10-0.25,0,Hba_10-0.25),IF(G53&lt;=Hba_11-0.25,0,Hba_11-0.25),IF(G53&lt;=Hba_12-0.25,0,Hba_12-0.25),IF(G53&lt;=Hba_13-0.25,0,Hba_13-0.25),IF(G53&lt;=Hba_14-0.25,0,Hba_14-0.25),IF(G53&lt;=Hba_15-0.25,0,Hba_15-0.25),IF(G53&lt;=Hba_16-0.25,0,Hba_16-0.25),IF(G53&lt;=Hba_17-0.25,0,Hba_17-0.25),IF(G53&lt;=Hba_18-0.25,0,Hba_18-0.25),IF(G53&lt;=Hba_19-0.25,0,Hba_19-0.25),IF(G53&lt;=Hba_20-0.25,0,Hba_20-0.25),IF(G53&lt;=Hba_21-0.25,0,Hba_21-0.25),IF(G53&lt;=Hba_22-0.25,0,Hba_22-0.25),IF(G53&lt;=Hba_23-0.25,0,Hba_23-0.25),IF(G53&lt;=Hba_24-0.25,0,Hba_24-0.25),IF(G53&lt;=Hba_25-0.25,0,Hba_25-0.25),IF(G53&lt;=Hba_26-0.25,0,Hba_26-0.25),IF(G53&lt;=Hba_27-0.25,0,Hba_27-0.25),IF(G53&lt;=Hba_28-0.25,0,Hba_28-0.25),IF(G53&lt;=Hba_29-0.25,0,Hba_29-0.25),IF(G53&lt;=Hba_30-0.25,0,Hba_30-0.25)),IF(G53&lt;='Macro References'!$A$38,0,'Macro References'!$A$38)))</f>
        <v/>
      </c>
      <c r="H54" s="769"/>
      <c r="I54" s="228"/>
      <c r="J54" s="228"/>
      <c r="K54" s="228"/>
      <c r="L54" s="717" t="str">
        <f t="shared" si="10"/>
        <v/>
      </c>
      <c r="M54" s="717"/>
      <c r="N54" s="717"/>
      <c r="O54" s="717"/>
      <c r="P54" s="717" t="str">
        <f>IF(OR(G54=0,G54=""),"",IF(VLOOKUP(G54,'Geometry 2'!$C$4:$AI$14,1,TRUE)=VLOOKUP(G55,'Geometry 2'!$C$4:$AI$14,1,TRUE),"",IF(VLOOKUP(G54,'Geometry 2'!$C$4:$AI$14,33,TRUE)&lt;&gt;"n/a",MIN(G54,VLOOKUP(G54,'Geometry 2'!$C$4:$AI$14,1,TRUE))-VLOOKUP(G54,'Geometry 2'!$C$4:$AI$14,33,TRUE),"check")))</f>
        <v/>
      </c>
      <c r="Q54" s="717"/>
      <c r="R54" s="717"/>
      <c r="S54" s="717"/>
      <c r="T54" s="717" t="str">
        <f>IF($G54="","",VLOOKUP($G54,'Geometry 2'!$E$4:$AH$14,11,TRUE))</f>
        <v/>
      </c>
      <c r="U54" s="717"/>
      <c r="V54" s="717"/>
      <c r="W54" s="717"/>
      <c r="X54" s="716" t="str">
        <f>IF($G54="","",VLOOKUP($G54,'Geometry 2'!$E$4:$AJ$14,19,TRUE)-12*VLOOKUP($G54,'Geometry 2'!$E$4:$AJ$14,32,TRUE)*($D54-VLOOKUP($G54,'Geometry 2'!$E$5:$AH$14,1,TRUE)))</f>
        <v/>
      </c>
      <c r="Y54" s="716"/>
      <c r="Z54" s="716"/>
      <c r="AA54" s="716"/>
      <c r="AB54" s="757" t="str">
        <f>IF($G54="","",VLOOKUP($G54,'Geometry 2'!$E$4:$AJ$14,19,TRUE)-12*VLOOKUP($G54,'Geometry 2'!$E$4:$AJ$14,32,TRUE)*($G54-VLOOKUP($G54,'Geometry 2'!$E$5:$AH$14,1,TRUE)))</f>
        <v/>
      </c>
      <c r="AC54" s="758"/>
      <c r="AD54" s="758"/>
      <c r="AE54" s="759"/>
      <c r="AF54" s="716" t="str">
        <f>IF($G54="","",VLOOKUP($G54,'Geometry 2'!$E$4:$AJ$14,19,TRUE)-12*VLOOKUP($G54,'Geometry 2'!$E$4:$AJ$14,32,TRUE)*($G54-IF($P54="",0,$P54)-VLOOKUP($G54,'Geometry 2'!$E$5:$AH$14,1,TRUE)))</f>
        <v/>
      </c>
      <c r="AG54" s="716"/>
      <c r="AH54" s="716"/>
      <c r="AI54" s="716"/>
      <c r="AJ54" s="746" t="str">
        <f>IF($G54="","",VLOOKUP($G54,'Geometry 2'!$E$4:$AH$14,23,TRUE))</f>
        <v/>
      </c>
      <c r="AK54" s="747"/>
      <c r="AL54" s="747"/>
      <c r="AM54" s="748"/>
      <c r="AN54" s="717"/>
      <c r="AO54" s="717"/>
      <c r="AP54" s="717"/>
      <c r="AQ54" s="717"/>
      <c r="AR54" s="717" t="str">
        <f>IF($G54="","",VLOOKUP($G54,'Geometry 2'!$E$4:$AH$14,27,TRUE))</f>
        <v/>
      </c>
      <c r="AS54" s="717"/>
      <c r="AT54" s="717"/>
      <c r="AU54" s="718"/>
      <c r="AV54" s="715"/>
      <c r="AW54" s="716"/>
      <c r="AX54" s="716"/>
      <c r="AZ54" s="722" t="str">
        <f t="shared" si="5"/>
        <v/>
      </c>
      <c r="BA54" s="723"/>
      <c r="BB54" s="723"/>
      <c r="BC54" s="724"/>
      <c r="BD54" s="722"/>
      <c r="BE54" s="723"/>
      <c r="BF54" s="723"/>
      <c r="BG54" s="722" t="str">
        <f t="shared" si="9"/>
        <v/>
      </c>
      <c r="BH54" s="723"/>
      <c r="BI54" s="723"/>
      <c r="BJ54" s="723"/>
      <c r="BK54" s="724"/>
      <c r="BL54" s="722"/>
      <c r="BM54" s="723"/>
      <c r="BN54" s="723"/>
      <c r="BO54" s="723"/>
      <c r="BP54" s="725"/>
      <c r="BQ54" s="725"/>
      <c r="BR54" s="722" t="str">
        <f>IF(BP54="","",IF(OR(AND(Rev="H",Calculations!$F$27=TRUE),AND(Rev&lt;&gt;"H",Calculations!$F$30=TRUE)),IF(BP54&lt;=1,"Pass","Fail"),IF(BP54&lt;=1.05,"Pass","Fail")))</f>
        <v/>
      </c>
      <c r="BS54" s="723"/>
      <c r="BT54" s="724"/>
      <c r="BU54" s="49"/>
      <c r="BV54" s="25" t="str">
        <f>IFERROR(CONCATENATE(IF(AND($G54&lt;Hta_1,$G54&gt;=Hba_1,Input!U$21&lt;&gt;""),Input!$B$21&amp;";",""),IF(AND($G54&lt;Hta_2,$G54&gt;=Hba_2,Input!U$22&lt;&gt;""),Input!$B$22&amp;";",""),IF(AND($G54&lt;Hta_3,$G54&gt;=Hba_3,Input!U$23&lt;&gt;""),Input!$B$23&amp;";",""),IF(AND($G54&lt;Hta_4,$G54&gt;=Hba_4,Input!U$24&lt;&gt;""),Input!$B$24&amp;";",""),IF(AND($G54&lt;Hta_5,$G54&gt;=Hba_5,Input!U$25&lt;&gt;""),Input!$B$25&amp;";",""),IF(AND($G54&lt;Hta_6,$G54&gt;=Hba_6,Input!U$26&lt;&gt;""),Input!$B$26&amp;";",""),IF(AND($G54&lt;Hta_7,$G54&gt;=Hba_7,Input!U$27&lt;&gt;""),Input!$B$27&amp;";",""),IF(AND($G54&lt;Hta_8,$G54&gt;=Hba_8,Input!U$28&lt;&gt;""),Input!$B$28&amp;";",""),IF(AND($G54&lt;Hta_9,$G54&gt;=Hba_9,Input!U$29&lt;&gt;""),Input!$B$29&amp;";",""),IF(AND($G54&lt;Hta_10,$G54&gt;=Hba_10,Input!U$30&lt;&gt;""),Input!$B$30&amp;";",""),IF(AND($G54&lt;Hta_11,$G54&gt;=Hba_11,Input!U$31&lt;&gt;""),Input!$B$31&amp;";",""),IF(AND($G54&lt;Hta_12,$G54&gt;=Hba_12,Input!U$32&lt;&gt;""),Input!$B$32&amp;";",""),IF(AND($G54&lt;Hta_13,$G54&gt;=Hba_13,Input!U$33&lt;&gt;""),Input!$B$33&amp;";",""),IF(AND($G54&lt;Hta_14,$G54&gt;=Hba_14,Input!U$34&lt;&gt;""),Input!$B$34&amp;";",""),IF(AND($G54&lt;Hta_15,$G54&gt;=Hba_15,Input!U$35&lt;&gt;""),Input!$B$35&amp;";",""),IF(AND($G54&lt;Hta_16,$G54&gt;=Hba_16,Input!U$36&lt;&gt;""),Input!$B$36&amp;";",""),IF(AND($G54&lt;Hta_17,$G54&gt;=Hba_17,Input!U$37&lt;&gt;""),Input!$B$37&amp;";",""),IF(AND($G54&lt;Hta_18,$G54&gt;=Hba_18,Input!U$38&lt;&gt;""),Input!$B$38&amp;";",""),IF(AND($G54&lt;Hta_19,$G54&gt;=Hba_19,Input!U$39&lt;&gt;""),Input!$B$39&amp;";",""),IF(AND($G54&lt;Hta_20,$G54&gt;=Hba_20,Input!U$40&lt;&gt;""),Input!$B$40&amp;";",""),IF(AND($G54&lt;Hta_21,$G54&gt;=Hba_21,Input!U$41&lt;&gt;""),Input!$B$41&amp;";",""),IF(AND($G54&lt;Hta_22,$G54&gt;=Hba_22,Input!U$42&lt;&gt;""),Input!$B$42&amp;";",""),IF(AND($G54&lt;Hta_23,$G54&gt;=Hba_23,Input!U$43&lt;&gt;""),Input!$B$43&amp;";",""),IF(AND($G54&lt;Hta_24,$G54&gt;=Hba_24,Input!U$44&lt;&gt;""),Input!$B$44&amp;";",""),IF(AND($G54&lt;Hta_25,$G54&gt;=Hba_25,Input!U$45&lt;&gt;""),Input!$B$45&amp;";",""),IF(AND($G54&lt;Hta_26,$G54&gt;=Hba_26,Input!U$46&lt;&gt;""),Input!$B$46&amp;";",""),IF(AND($G54&lt;Hta_27,$G54&gt;=Hba_27,Input!U$47&lt;&gt;""),Input!$B$47&amp;";",""),IF(AND($G54&lt;Hta_28,$G54&gt;=Hba_28,Input!U$48&lt;&gt;""),Input!$B$48&amp;";",""),IF(AND($G54&lt;Hta_29,$G54&gt;=Hba_29,Input!U$49&lt;&gt;""),Input!$B$49&amp;";",""),IF(AND($G54&lt;Hta_30,$G54&gt;=Hba_30,Input!U$50&lt;&gt;""),Input!$B$50&amp;";","")),"")</f>
        <v/>
      </c>
      <c r="BW54" s="25" t="str">
        <f>IFERROR(CONCATENATE(IF(AND($G54&lt;Hta_1,$G54&gt;=Hba_1,Input!V$21&lt;&gt;""),Input!$B$21&amp;";",""),IF(AND($G54&lt;Hta_2,$G54&gt;=Hba_2,Input!V$22&lt;&gt;""),Input!$B$22&amp;";",""),IF(AND($G54&lt;Hta_3,$G54&gt;=Hba_3,Input!V$23&lt;&gt;""),Input!$B$23&amp;";",""),IF(AND($G54&lt;Hta_4,$G54&gt;=Hba_4,Input!V$24&lt;&gt;""),Input!$B$24&amp;";",""),IF(AND($G54&lt;Hta_5,$G54&gt;=Hba_5,Input!V$25&lt;&gt;""),Input!$B$25&amp;";",""),IF(AND($G54&lt;Hta_6,$G54&gt;=Hba_6,Input!V$26&lt;&gt;""),Input!$B$26&amp;";",""),IF(AND($G54&lt;Hta_7,$G54&gt;=Hba_7,Input!V$27&lt;&gt;""),Input!$B$27&amp;";",""),IF(AND($G54&lt;Hta_8,$G54&gt;=Hba_8,Input!V$28&lt;&gt;""),Input!$B$28&amp;";",""),IF(AND($G54&lt;Hta_9,$G54&gt;=Hba_9,Input!V$29&lt;&gt;""),Input!$B$29&amp;";",""),IF(AND($G54&lt;Hta_10,$G54&gt;=Hba_10,Input!V$30&lt;&gt;""),Input!$B$30&amp;";",""),IF(AND($G54&lt;Hta_11,$G54&gt;=Hba_11,Input!V$31&lt;&gt;""),Input!$B$31&amp;";",""),IF(AND($G54&lt;Hta_12,$G54&gt;=Hba_12,Input!V$32&lt;&gt;""),Input!$B$32&amp;";",""),IF(AND($G54&lt;Hta_13,$G54&gt;=Hba_13,Input!V$33&lt;&gt;""),Input!$B$33&amp;";",""),IF(AND($G54&lt;Hta_14,$G54&gt;=Hba_14,Input!V$34&lt;&gt;""),Input!$B$34&amp;";",""),IF(AND($G54&lt;Hta_15,$G54&gt;=Hba_15,Input!V$35&lt;&gt;""),Input!$B$35&amp;";",""),IF(AND($G54&lt;Hta_16,$G54&gt;=Hba_16,Input!V$36&lt;&gt;""),Input!$B$36&amp;";",""),IF(AND($G54&lt;Hta_17,$G54&gt;=Hba_17,Input!V$37&lt;&gt;""),Input!$B$37&amp;";",""),IF(AND($G54&lt;Hta_18,$G54&gt;=Hba_18,Input!V$38&lt;&gt;""),Input!$B$38&amp;";",""),IF(AND($G54&lt;Hta_19,$G54&gt;=Hba_19,Input!V$39&lt;&gt;""),Input!$B$39&amp;";",""),IF(AND($G54&lt;Hta_20,$G54&gt;=Hba_20,Input!V$40&lt;&gt;""),Input!$B$40&amp;";",""),IF(AND($G54&lt;Hta_21,$G54&gt;=Hba_21,Input!V$41&lt;&gt;""),Input!$B$41&amp;";",""),IF(AND($G54&lt;Hta_22,$G54&gt;=Hba_22,Input!V$42&lt;&gt;""),Input!$B$42&amp;";",""),IF(AND($G54&lt;Hta_23,$G54&gt;=Hba_23,Input!V$43&lt;&gt;""),Input!$B$43&amp;";",""),IF(AND($G54&lt;Hta_24,$G54&gt;=Hba_24,Input!V$44&lt;&gt;""),Input!$B$44&amp;";",""),IF(AND($G54&lt;Hta_25,$G54&gt;=Hba_25,Input!V$45&lt;&gt;""),Input!$B$45&amp;";",""),IF(AND($G54&lt;Hta_26,$G54&gt;=Hba_26,Input!V$46&lt;&gt;""),Input!$B$46&amp;";",""),IF(AND($G54&lt;Hta_27,$G54&gt;=Hba_27,Input!V$47&lt;&gt;""),Input!$B$47&amp;";",""),IF(AND($G54&lt;Hta_28,$G54&gt;=Hba_28,Input!V$48&lt;&gt;""),Input!$B$48&amp;";",""),IF(AND($G54&lt;Hta_29,$G54&gt;=Hba_29,Input!V$49&lt;&gt;""),Input!$B$49&amp;";",""),IF(AND($G54&lt;Hta_30,$G54&gt;=Hba_30,Input!V$50&lt;&gt;""),Input!$B$50&amp;";","")),"")</f>
        <v/>
      </c>
      <c r="BX54" s="25" t="str">
        <f>IFERROR(CONCATENATE(IF(AND($G54&lt;Hta_1,$G54&gt;=Hba_1,Input!W$21&lt;&gt;""),Input!$B$21&amp;";",""),IF(AND($G54&lt;Hta_2,$G54&gt;=Hba_2,Input!W$22&lt;&gt;""),Input!$B$22&amp;";",""),IF(AND($G54&lt;Hta_3,$G54&gt;=Hba_3,Input!W$23&lt;&gt;""),Input!$B$23&amp;";",""),IF(AND($G54&lt;Hta_4,$G54&gt;=Hba_4,Input!W$24&lt;&gt;""),Input!$B$24&amp;";",""),IF(AND($G54&lt;Hta_5,$G54&gt;=Hba_5,Input!W$25&lt;&gt;""),Input!$B$25&amp;";",""),IF(AND($G54&lt;Hta_6,$G54&gt;=Hba_6,Input!W$26&lt;&gt;""),Input!$B$26&amp;";",""),IF(AND($G54&lt;Hta_7,$G54&gt;=Hba_7,Input!W$27&lt;&gt;""),Input!$B$27&amp;";",""),IF(AND($G54&lt;Hta_8,$G54&gt;=Hba_8,Input!W$28&lt;&gt;""),Input!$B$28&amp;";",""),IF(AND($G54&lt;Hta_9,$G54&gt;=Hba_9,Input!W$29&lt;&gt;""),Input!$B$29&amp;";",""),IF(AND($G54&lt;Hta_10,$G54&gt;=Hba_10,Input!W$30&lt;&gt;""),Input!$B$30&amp;";",""),IF(AND($G54&lt;Hta_11,$G54&gt;=Hba_11,Input!W$31&lt;&gt;""),Input!$B$31&amp;";",""),IF(AND($G54&lt;Hta_12,$G54&gt;=Hba_12,Input!W$32&lt;&gt;""),Input!$B$32&amp;";",""),IF(AND($G54&lt;Hta_13,$G54&gt;=Hba_13,Input!W$33&lt;&gt;""),Input!$B$33&amp;";",""),IF(AND($G54&lt;Hta_14,$G54&gt;=Hba_14,Input!W$34&lt;&gt;""),Input!$B$34&amp;";",""),IF(AND($G54&lt;Hta_15,$G54&gt;=Hba_15,Input!W$35&lt;&gt;""),Input!$B$35&amp;";",""),IF(AND($G54&lt;Hta_16,$G54&gt;=Hba_16,Input!W$36&lt;&gt;""),Input!$B$36&amp;";",""),IF(AND($G54&lt;Hta_17,$G54&gt;=Hba_17,Input!W$37&lt;&gt;""),Input!$B$37&amp;";",""),IF(AND($G54&lt;Hta_18,$G54&gt;=Hba_18,Input!W$38&lt;&gt;""),Input!$B$38&amp;";",""),IF(AND($G54&lt;Hta_19,$G54&gt;=Hba_19,Input!W$39&lt;&gt;""),Input!$B$39&amp;";",""),IF(AND($G54&lt;Hta_20,$G54&gt;=Hba_20,Input!W$40&lt;&gt;""),Input!$B$40&amp;";",""),IF(AND($G54&lt;Hta_21,$G54&gt;=Hba_21,Input!W$41&lt;&gt;""),Input!$B$41&amp;";",""),IF(AND($G54&lt;Hta_22,$G54&gt;=Hba_22,Input!W$42&lt;&gt;""),Input!$B$42&amp;";",""),IF(AND($G54&lt;Hta_23,$G54&gt;=Hba_23,Input!W$43&lt;&gt;""),Input!$B$43&amp;";",""),IF(AND($G54&lt;Hta_24,$G54&gt;=Hba_24,Input!W$44&lt;&gt;""),Input!$B$44&amp;";",""),IF(AND($G54&lt;Hta_25,$G54&gt;=Hba_25,Input!W$45&lt;&gt;""),Input!$B$45&amp;";",""),IF(AND($G54&lt;Hta_26,$G54&gt;=Hba_26,Input!W$46&lt;&gt;""),Input!$B$46&amp;";",""),IF(AND($G54&lt;Hta_27,$G54&gt;=Hba_27,Input!W$47&lt;&gt;""),Input!$B$47&amp;";",""),IF(AND($G54&lt;Hta_28,$G54&gt;=Hba_28,Input!W$48&lt;&gt;""),Input!$B$48&amp;";",""),IF(AND($G54&lt;Hta_29,$G54&gt;=Hba_29,Input!W$49&lt;&gt;""),Input!$B$49&amp;";",""),IF(AND($G54&lt;Hta_30,$G54&gt;=Hba_30,Input!W$50&lt;&gt;""),Input!$B$50&amp;";","")),"")</f>
        <v/>
      </c>
      <c r="BY54" s="25" t="str">
        <f>IFERROR(CONCATENATE(IF(AND($G54&lt;Hta_1,$G54&gt;=Hba_1,Input!X$21&lt;&gt;""),Input!$B$21&amp;";",""),IF(AND($G54&lt;Hta_2,$G54&gt;=Hba_2,Input!X$22&lt;&gt;""),Input!$B$22&amp;";",""),IF(AND($G54&lt;Hta_3,$G54&gt;=Hba_3,Input!X$23&lt;&gt;""),Input!$B$23&amp;";",""),IF(AND($G54&lt;Hta_4,$G54&gt;=Hba_4,Input!X$24&lt;&gt;""),Input!$B$24&amp;";",""),IF(AND($G54&lt;Hta_5,$G54&gt;=Hba_5,Input!X$25&lt;&gt;""),Input!$B$25&amp;";",""),IF(AND($G54&lt;Hta_6,$G54&gt;=Hba_6,Input!X$26&lt;&gt;""),Input!$B$26&amp;";",""),IF(AND($G54&lt;Hta_7,$G54&gt;=Hba_7,Input!X$27&lt;&gt;""),Input!$B$27&amp;";",""),IF(AND($G54&lt;Hta_8,$G54&gt;=Hba_8,Input!X$28&lt;&gt;""),Input!$B$28&amp;";",""),IF(AND($G54&lt;Hta_9,$G54&gt;=Hba_9,Input!X$29&lt;&gt;""),Input!$B$29&amp;";",""),IF(AND($G54&lt;Hta_10,$G54&gt;=Hba_10,Input!X$30&lt;&gt;""),Input!$B$30&amp;";",""),IF(AND($G54&lt;Hta_11,$G54&gt;=Hba_11,Input!X$31&lt;&gt;""),Input!$B$31&amp;";",""),IF(AND($G54&lt;Hta_12,$G54&gt;=Hba_12,Input!X$32&lt;&gt;""),Input!$B$32&amp;";",""),IF(AND($G54&lt;Hta_13,$G54&gt;=Hba_13,Input!X$33&lt;&gt;""),Input!$B$33&amp;";",""),IF(AND($G54&lt;Hta_14,$G54&gt;=Hba_14,Input!X$34&lt;&gt;""),Input!$B$34&amp;";",""),IF(AND($G54&lt;Hta_15,$G54&gt;=Hba_15,Input!X$35&lt;&gt;""),Input!$B$35&amp;";",""),IF(AND($G54&lt;Hta_16,$G54&gt;=Hba_16,Input!X$36&lt;&gt;""),Input!$B$36&amp;";",""),IF(AND($G54&lt;Hta_17,$G54&gt;=Hba_17,Input!X$37&lt;&gt;""),Input!$B$37&amp;";",""),IF(AND($G54&lt;Hta_18,$G54&gt;=Hba_18,Input!X$38&lt;&gt;""),Input!$B$38&amp;";",""),IF(AND($G54&lt;Hta_19,$G54&gt;=Hba_19,Input!X$39&lt;&gt;""),Input!$B$39&amp;";",""),IF(AND($G54&lt;Hta_20,$G54&gt;=Hba_20,Input!X$40&lt;&gt;""),Input!$B$40&amp;";",""),IF(AND($G54&lt;Hta_21,$G54&gt;=Hba_21,Input!X$41&lt;&gt;""),Input!$B$41&amp;";",""),IF(AND($G54&lt;Hta_22,$G54&gt;=Hba_22,Input!X$42&lt;&gt;""),Input!$B$42&amp;";",""),IF(AND($G54&lt;Hta_23,$G54&gt;=Hba_23,Input!X$43&lt;&gt;""),Input!$B$43&amp;";",""),IF(AND($G54&lt;Hta_24,$G54&gt;=Hba_24,Input!X$44&lt;&gt;""),Input!$B$44&amp;";",""),IF(AND($G54&lt;Hta_25,$G54&gt;=Hba_25,Input!X$45&lt;&gt;""),Input!$B$45&amp;";",""),IF(AND($G54&lt;Hta_26,$G54&gt;=Hba_26,Input!X$46&lt;&gt;""),Input!$B$46&amp;";",""),IF(AND($G54&lt;Hta_27,$G54&gt;=Hba_27,Input!X$47&lt;&gt;""),Input!$B$47&amp;";",""),IF(AND($G54&lt;Hta_28,$G54&gt;=Hba_28,Input!X$48&lt;&gt;""),Input!$B$48&amp;";",""),IF(AND($G54&lt;Hta_29,$G54&gt;=Hba_29,Input!X$49&lt;&gt;""),Input!$B$49&amp;";",""),IF(AND($G54&lt;Hta_30,$G54&gt;=Hba_30,Input!X$50&lt;&gt;""),Input!$B$50&amp;";","")),"")</f>
        <v/>
      </c>
      <c r="BZ54" s="25" t="str">
        <f>IFERROR(CONCATENATE(IF(AND($G54&lt;Hta_1,$G54&gt;=Hba_1,Input!Y$21&lt;&gt;""),Input!$B$21&amp;";",""),IF(AND($G54&lt;Hta_2,$G54&gt;=Hba_2,Input!Y$22&lt;&gt;""),Input!$B$22&amp;";",""),IF(AND($G54&lt;Hta_3,$G54&gt;=Hba_3,Input!Y$23&lt;&gt;""),Input!$B$23&amp;";",""),IF(AND($G54&lt;Hta_4,$G54&gt;=Hba_4,Input!Y$24&lt;&gt;""),Input!$B$24&amp;";",""),IF(AND($G54&lt;Hta_5,$G54&gt;=Hba_5,Input!Y$25&lt;&gt;""),Input!$B$25&amp;";",""),IF(AND($G54&lt;Hta_6,$G54&gt;=Hba_6,Input!Y$26&lt;&gt;""),Input!$B$26&amp;";",""),IF(AND($G54&lt;Hta_7,$G54&gt;=Hba_7,Input!Y$27&lt;&gt;""),Input!$B$27&amp;";",""),IF(AND($G54&lt;Hta_8,$G54&gt;=Hba_8,Input!Y$28&lt;&gt;""),Input!$B$28&amp;";",""),IF(AND($G54&lt;Hta_9,$G54&gt;=Hba_9,Input!Y$29&lt;&gt;""),Input!$B$29&amp;";",""),IF(AND($G54&lt;Hta_10,$G54&gt;=Hba_10,Input!Y$30&lt;&gt;""),Input!$B$30&amp;";",""),IF(AND($G54&lt;Hta_11,$G54&gt;=Hba_11,Input!Y$31&lt;&gt;""),Input!$B$31&amp;";",""),IF(AND($G54&lt;Hta_12,$G54&gt;=Hba_12,Input!Y$32&lt;&gt;""),Input!$B$32&amp;";",""),IF(AND($G54&lt;Hta_13,$G54&gt;=Hba_13,Input!Y$33&lt;&gt;""),Input!$B$33&amp;";",""),IF(AND($G54&lt;Hta_14,$G54&gt;=Hba_14,Input!Y$34&lt;&gt;""),Input!$B$34&amp;";",""),IF(AND($G54&lt;Hta_15,$G54&gt;=Hba_15,Input!Y$35&lt;&gt;""),Input!$B$35&amp;";",""),IF(AND($G54&lt;Hta_16,$G54&gt;=Hba_16,Input!Y$36&lt;&gt;""),Input!$B$36&amp;";",""),IF(AND($G54&lt;Hta_17,$G54&gt;=Hba_17,Input!Y$37&lt;&gt;""),Input!$B$37&amp;";",""),IF(AND($G54&lt;Hta_18,$G54&gt;=Hba_18,Input!Y$38&lt;&gt;""),Input!$B$38&amp;";",""),IF(AND($G54&lt;Hta_19,$G54&gt;=Hba_19,Input!Y$39&lt;&gt;""),Input!$B$39&amp;";",""),IF(AND($G54&lt;Hta_20,$G54&gt;=Hba_20,Input!Y$40&lt;&gt;""),Input!$B$40&amp;";",""),IF(AND($G54&lt;Hta_21,$G54&gt;=Hba_21,Input!Y$41&lt;&gt;""),Input!$B$41&amp;";",""),IF(AND($G54&lt;Hta_22,$G54&gt;=Hba_22,Input!Y$42&lt;&gt;""),Input!$B$42&amp;";",""),IF(AND($G54&lt;Hta_23,$G54&gt;=Hba_23,Input!Y$43&lt;&gt;""),Input!$B$43&amp;";",""),IF(AND($G54&lt;Hta_24,$G54&gt;=Hba_24,Input!Y$44&lt;&gt;""),Input!$B$44&amp;";",""),IF(AND($G54&lt;Hta_25,$G54&gt;=Hba_25,Input!Y$45&lt;&gt;""),Input!$B$45&amp;";",""),IF(AND($G54&lt;Hta_26,$G54&gt;=Hba_26,Input!Y$46&lt;&gt;""),Input!$B$46&amp;";",""),IF(AND($G54&lt;Hta_27,$G54&gt;=Hba_27,Input!Y$47&lt;&gt;""),Input!$B$47&amp;";",""),IF(AND($G54&lt;Hta_28,$G54&gt;=Hba_28,Input!Y$48&lt;&gt;""),Input!$B$48&amp;";",""),IF(AND($G54&lt;Hta_29,$G54&gt;=Hba_29,Input!Y$49&lt;&gt;""),Input!$B$49&amp;";",""),IF(AND($G54&lt;Hta_30,$G54&gt;=Hba_30,Input!Y$50&lt;&gt;""),Input!$B$50&amp;";","")),"")</f>
        <v/>
      </c>
      <c r="CA54" s="25" t="str">
        <f>IFERROR(CONCATENATE(IF(AND($G54&lt;Hta_1,$G54&gt;=Hba_1,Input!Z$21&lt;&gt;""),Input!$B$21&amp;";",""),IF(AND($G54&lt;Hta_2,$G54&gt;=Hba_2,Input!Z$22&lt;&gt;""),Input!$B$22&amp;";",""),IF(AND($G54&lt;Hta_3,$G54&gt;=Hba_3,Input!Z$23&lt;&gt;""),Input!$B$23&amp;";",""),IF(AND($G54&lt;Hta_4,$G54&gt;=Hba_4,Input!Z$24&lt;&gt;""),Input!$B$24&amp;";",""),IF(AND($G54&lt;Hta_5,$G54&gt;=Hba_5,Input!Z$25&lt;&gt;""),Input!$B$25&amp;";",""),IF(AND($G54&lt;Hta_6,$G54&gt;=Hba_6,Input!Z$26&lt;&gt;""),Input!$B$26&amp;";",""),IF(AND($G54&lt;Hta_7,$G54&gt;=Hba_7,Input!Z$27&lt;&gt;""),Input!$B$27&amp;";",""),IF(AND($G54&lt;Hta_8,$G54&gt;=Hba_8,Input!Z$28&lt;&gt;""),Input!$B$28&amp;";",""),IF(AND($G54&lt;Hta_9,$G54&gt;=Hba_9,Input!Z$29&lt;&gt;""),Input!$B$29&amp;";",""),IF(AND($G54&lt;Hta_10,$G54&gt;=Hba_10,Input!Z$30&lt;&gt;""),Input!$B$30&amp;";",""),IF(AND($G54&lt;Hta_11,$G54&gt;=Hba_11,Input!Z$31&lt;&gt;""),Input!$B$31&amp;";",""),IF(AND($G54&lt;Hta_12,$G54&gt;=Hba_12,Input!Z$32&lt;&gt;""),Input!$B$32&amp;";",""),IF(AND($G54&lt;Hta_13,$G54&gt;=Hba_13,Input!Z$33&lt;&gt;""),Input!$B$33&amp;";",""),IF(AND($G54&lt;Hta_14,$G54&gt;=Hba_14,Input!Z$34&lt;&gt;""),Input!$B$34&amp;";",""),IF(AND($G54&lt;Hta_15,$G54&gt;=Hba_15,Input!Z$35&lt;&gt;""),Input!$B$35&amp;";",""),IF(AND($G54&lt;Hta_16,$G54&gt;=Hba_16,Input!Z$36&lt;&gt;""),Input!$B$36&amp;";",""),IF(AND($G54&lt;Hta_17,$G54&gt;=Hba_17,Input!Z$37&lt;&gt;""),Input!$B$37&amp;";",""),IF(AND($G54&lt;Hta_18,$G54&gt;=Hba_18,Input!Z$38&lt;&gt;""),Input!$B$38&amp;";",""),IF(AND($G54&lt;Hta_19,$G54&gt;=Hba_19,Input!Z$39&lt;&gt;""),Input!$B$39&amp;";",""),IF(AND($G54&lt;Hta_20,$G54&gt;=Hba_20,Input!Z$40&lt;&gt;""),Input!$B$40&amp;";",""),IF(AND($G54&lt;Hta_21,$G54&gt;=Hba_21,Input!Z$41&lt;&gt;""),Input!$B$41&amp;";",""),IF(AND($G54&lt;Hta_22,$G54&gt;=Hba_22,Input!Z$42&lt;&gt;""),Input!$B$42&amp;";",""),IF(AND($G54&lt;Hta_23,$G54&gt;=Hba_23,Input!Z$43&lt;&gt;""),Input!$B$43&amp;";",""),IF(AND($G54&lt;Hta_24,$G54&gt;=Hba_24,Input!Z$44&lt;&gt;""),Input!$B$44&amp;";",""),IF(AND($G54&lt;Hta_25,$G54&gt;=Hba_25,Input!Z$45&lt;&gt;""),Input!$B$45&amp;";",""),IF(AND($G54&lt;Hta_26,$G54&gt;=Hba_26,Input!Z$46&lt;&gt;""),Input!$B$46&amp;";",""),IF(AND($G54&lt;Hta_27,$G54&gt;=Hba_27,Input!Z$47&lt;&gt;""),Input!$B$47&amp;";",""),IF(AND($G54&lt;Hta_28,$G54&gt;=Hba_28,Input!Z$48&lt;&gt;""),Input!$B$48&amp;";",""),IF(AND($G54&lt;Hta_29,$G54&gt;=Hba_29,Input!Z$49&lt;&gt;""),Input!$B$49&amp;";",""),IF(AND($G54&lt;Hta_30,$G54&gt;=Hba_30,Input!Z$50&lt;&gt;""),Input!$B$50&amp;";","")),"")</f>
        <v/>
      </c>
      <c r="CB54" s="25" t="str">
        <f>IFERROR(CONCATENATE(IF(AND($G54&lt;Hta_1,$G54&gt;=Hba_1,Input!AA$21&lt;&gt;""),Input!$B$21&amp;";",""),IF(AND($G54&lt;Hta_2,$G54&gt;=Hba_2,Input!AA$22&lt;&gt;""),Input!$B$22&amp;";",""),IF(AND($G54&lt;Hta_3,$G54&gt;=Hba_3,Input!AA$23&lt;&gt;""),Input!$B$23&amp;";",""),IF(AND($G54&lt;Hta_4,$G54&gt;=Hba_4,Input!AA$24&lt;&gt;""),Input!$B$24&amp;";",""),IF(AND($G54&lt;Hta_5,$G54&gt;=Hba_5,Input!AA$25&lt;&gt;""),Input!$B$25&amp;";",""),IF(AND($G54&lt;Hta_6,$G54&gt;=Hba_6,Input!AA$26&lt;&gt;""),Input!$B$26&amp;";",""),IF(AND($G54&lt;Hta_7,$G54&gt;=Hba_7,Input!AA$27&lt;&gt;""),Input!$B$27&amp;";",""),IF(AND($G54&lt;Hta_8,$G54&gt;=Hba_8,Input!AA$28&lt;&gt;""),Input!$B$28&amp;";",""),IF(AND($G54&lt;Hta_9,$G54&gt;=Hba_9,Input!AA$29&lt;&gt;""),Input!$B$29&amp;";",""),IF(AND($G54&lt;Hta_10,$G54&gt;=Hba_10,Input!AA$30&lt;&gt;""),Input!$B$30&amp;";",""),IF(AND($G54&lt;Hta_11,$G54&gt;=Hba_11,Input!AA$31&lt;&gt;""),Input!$B$31&amp;";",""),IF(AND($G54&lt;Hta_12,$G54&gt;=Hba_12,Input!AA$32&lt;&gt;""),Input!$B$32&amp;";",""),IF(AND($G54&lt;Hta_13,$G54&gt;=Hba_13,Input!AA$33&lt;&gt;""),Input!$B$33&amp;";",""),IF(AND($G54&lt;Hta_14,$G54&gt;=Hba_14,Input!AA$34&lt;&gt;""),Input!$B$34&amp;";",""),IF(AND($G54&lt;Hta_15,$G54&gt;=Hba_15,Input!AA$35&lt;&gt;""),Input!$B$35&amp;";",""),IF(AND($G54&lt;Hta_16,$G54&gt;=Hba_16,Input!AA$36&lt;&gt;""),Input!$B$36&amp;";",""),IF(AND($G54&lt;Hta_17,$G54&gt;=Hba_17,Input!AA$37&lt;&gt;""),Input!$B$37&amp;";",""),IF(AND($G54&lt;Hta_18,$G54&gt;=Hba_18,Input!AA$38&lt;&gt;""),Input!$B$38&amp;";",""),IF(AND($G54&lt;Hta_19,$G54&gt;=Hba_19,Input!AA$39&lt;&gt;""),Input!$B$39&amp;";",""),IF(AND($G54&lt;Hta_20,$G54&gt;=Hba_20,Input!AA$40&lt;&gt;""),Input!$B$40&amp;";",""),IF(AND($G54&lt;Hta_21,$G54&gt;=Hba_21,Input!AA$41&lt;&gt;""),Input!$B$41&amp;";",""),IF(AND($G54&lt;Hta_22,$G54&gt;=Hba_22,Input!AA$42&lt;&gt;""),Input!$B$42&amp;";",""),IF(AND($G54&lt;Hta_23,$G54&gt;=Hba_23,Input!AA$43&lt;&gt;""),Input!$B$43&amp;";",""),IF(AND($G54&lt;Hta_24,$G54&gt;=Hba_24,Input!AA$44&lt;&gt;""),Input!$B$44&amp;";",""),IF(AND($G54&lt;Hta_25,$G54&gt;=Hba_25,Input!AA$45&lt;&gt;""),Input!$B$45&amp;";",""),IF(AND($G54&lt;Hta_26,$G54&gt;=Hba_26,Input!AA$46&lt;&gt;""),Input!$B$46&amp;";",""),IF(AND($G54&lt;Hta_27,$G54&gt;=Hba_27,Input!AA$47&lt;&gt;""),Input!$B$47&amp;";",""),IF(AND($G54&lt;Hta_28,$G54&gt;=Hba_28,Input!AA$48&lt;&gt;""),Input!$B$48&amp;";",""),IF(AND($G54&lt;Hta_29,$G54&gt;=Hba_29,Input!AA$49&lt;&gt;""),Input!$B$49&amp;";",""),IF(AND($G54&lt;Hta_30,$G54&gt;=Hba_30,Input!AA$50&lt;&gt;""),Input!$B$50&amp;";","")),"")</f>
        <v/>
      </c>
      <c r="CC54" s="25" t="str">
        <f>IFERROR(CONCATENATE(IF(AND($G54&lt;Hta_1,$G54&gt;=Hba_1,Input!AB$21&lt;&gt;""),Input!$B$21&amp;";",""),IF(AND($G54&lt;Hta_2,$G54&gt;=Hba_2,Input!AB$22&lt;&gt;""),Input!$B$22&amp;";",""),IF(AND($G54&lt;Hta_3,$G54&gt;=Hba_3,Input!AB$23&lt;&gt;""),Input!$B$23&amp;";",""),IF(AND($G54&lt;Hta_4,$G54&gt;=Hba_4,Input!AB$24&lt;&gt;""),Input!$B$24&amp;";",""),IF(AND($G54&lt;Hta_5,$G54&gt;=Hba_5,Input!AB$25&lt;&gt;""),Input!$B$25&amp;";",""),IF(AND($G54&lt;Hta_6,$G54&gt;=Hba_6,Input!AB$26&lt;&gt;""),Input!$B$26&amp;";",""),IF(AND($G54&lt;Hta_7,$G54&gt;=Hba_7,Input!AB$27&lt;&gt;""),Input!$B$27&amp;";",""),IF(AND($G54&lt;Hta_8,$G54&gt;=Hba_8,Input!AB$28&lt;&gt;""),Input!$B$28&amp;";",""),IF(AND($G54&lt;Hta_9,$G54&gt;=Hba_9,Input!AB$29&lt;&gt;""),Input!$B$29&amp;";",""),IF(AND($G54&lt;Hta_10,$G54&gt;=Hba_10,Input!AB$30&lt;&gt;""),Input!$B$30&amp;";",""),IF(AND($G54&lt;Hta_11,$G54&gt;=Hba_11,Input!AB$31&lt;&gt;""),Input!$B$31&amp;";",""),IF(AND($G54&lt;Hta_12,$G54&gt;=Hba_12,Input!AB$32&lt;&gt;""),Input!$B$32&amp;";",""),IF(AND($G54&lt;Hta_13,$G54&gt;=Hba_13,Input!AB$33&lt;&gt;""),Input!$B$33&amp;";",""),IF(AND($G54&lt;Hta_14,$G54&gt;=Hba_14,Input!AB$34&lt;&gt;""),Input!$B$34&amp;";",""),IF(AND($G54&lt;Hta_15,$G54&gt;=Hba_15,Input!AB$35&lt;&gt;""),Input!$B$35&amp;";",""),IF(AND($G54&lt;Hta_16,$G54&gt;=Hba_16,Input!AB$36&lt;&gt;""),Input!$B$36&amp;";",""),IF(AND($G54&lt;Hta_17,$G54&gt;=Hba_17,Input!AB$37&lt;&gt;""),Input!$B$37&amp;";",""),IF(AND($G54&lt;Hta_18,$G54&gt;=Hba_18,Input!AB$38&lt;&gt;""),Input!$B$38&amp;";",""),IF(AND($G54&lt;Hta_19,$G54&gt;=Hba_19,Input!AB$39&lt;&gt;""),Input!$B$39&amp;";",""),IF(AND($G54&lt;Hta_20,$G54&gt;=Hba_20,Input!AB$40&lt;&gt;""),Input!$B$40&amp;";",""),IF(AND($G54&lt;Hta_21,$G54&gt;=Hba_21,Input!AB$41&lt;&gt;""),Input!$B$41&amp;";",""),IF(AND($G54&lt;Hta_22,$G54&gt;=Hba_22,Input!AB$42&lt;&gt;""),Input!$B$42&amp;";",""),IF(AND($G54&lt;Hta_23,$G54&gt;=Hba_23,Input!AB$43&lt;&gt;""),Input!$B$43&amp;";",""),IF(AND($G54&lt;Hta_24,$G54&gt;=Hba_24,Input!AB$44&lt;&gt;""),Input!$B$44&amp;";",""),IF(AND($G54&lt;Hta_25,$G54&gt;=Hba_25,Input!AB$45&lt;&gt;""),Input!$B$45&amp;";",""),IF(AND($G54&lt;Hta_26,$G54&gt;=Hba_26,Input!AB$46&lt;&gt;""),Input!$B$46&amp;";",""),IF(AND($G54&lt;Hta_27,$G54&gt;=Hba_27,Input!AB$47&lt;&gt;""),Input!$B$47&amp;";",""),IF(AND($G54&lt;Hta_28,$G54&gt;=Hba_28,Input!AB$48&lt;&gt;""),Input!$B$48&amp;";",""),IF(AND($G54&lt;Hta_29,$G54&gt;=Hba_29,Input!AB$49&lt;&gt;""),Input!$B$49&amp;";",""),IF(AND($G54&lt;Hta_30,$G54&gt;=Hba_30,Input!AB$50&lt;&gt;""),Input!$B$50&amp;";","")),"")</f>
        <v/>
      </c>
      <c r="CD54" s="25" t="str">
        <f>IFERROR(CONCATENATE(IF(AND($G54&lt;Hta_1,$G54&gt;=Hba_1,Input!AC$21&lt;&gt;""),Input!$B$21&amp;";",""),IF(AND($G54&lt;Hta_2,$G54&gt;=Hba_2,Input!AC$22&lt;&gt;""),Input!$B$22&amp;";",""),IF(AND($G54&lt;Hta_3,$G54&gt;=Hba_3,Input!AC$23&lt;&gt;""),Input!$B$23&amp;";",""),IF(AND($G54&lt;Hta_4,$G54&gt;=Hba_4,Input!AC$24&lt;&gt;""),Input!$B$24&amp;";",""),IF(AND($G54&lt;Hta_5,$G54&gt;=Hba_5,Input!AC$25&lt;&gt;""),Input!$B$25&amp;";",""),IF(AND($G54&lt;Hta_6,$G54&gt;=Hba_6,Input!AC$26&lt;&gt;""),Input!$B$26&amp;";",""),IF(AND($G54&lt;Hta_7,$G54&gt;=Hba_7,Input!AC$27&lt;&gt;""),Input!$B$27&amp;";",""),IF(AND($G54&lt;Hta_8,$G54&gt;=Hba_8,Input!AC$28&lt;&gt;""),Input!$B$28&amp;";",""),IF(AND($G54&lt;Hta_9,$G54&gt;=Hba_9,Input!AC$29&lt;&gt;""),Input!$B$29&amp;";",""),IF(AND($G54&lt;Hta_10,$G54&gt;=Hba_10,Input!AC$30&lt;&gt;""),Input!$B$30&amp;";",""),IF(AND($G54&lt;Hta_11,$G54&gt;=Hba_11,Input!AC$31&lt;&gt;""),Input!$B$31&amp;";",""),IF(AND($G54&lt;Hta_12,$G54&gt;=Hba_12,Input!AC$32&lt;&gt;""),Input!$B$32&amp;";",""),IF(AND($G54&lt;Hta_13,$G54&gt;=Hba_13,Input!AC$33&lt;&gt;""),Input!$B$33&amp;";",""),IF(AND($G54&lt;Hta_14,$G54&gt;=Hba_14,Input!AC$34&lt;&gt;""),Input!$B$34&amp;";",""),IF(AND($G54&lt;Hta_15,$G54&gt;=Hba_15,Input!AC$35&lt;&gt;""),Input!$B$35&amp;";",""),IF(AND($G54&lt;Hta_16,$G54&gt;=Hba_16,Input!AC$36&lt;&gt;""),Input!$B$36&amp;";",""),IF(AND($G54&lt;Hta_17,$G54&gt;=Hba_17,Input!AC$37&lt;&gt;""),Input!$B$37&amp;";",""),IF(AND($G54&lt;Hta_18,$G54&gt;=Hba_18,Input!AC$38&lt;&gt;""),Input!$B$38&amp;";",""),IF(AND($G54&lt;Hta_19,$G54&gt;=Hba_19,Input!AC$39&lt;&gt;""),Input!$B$39&amp;";",""),IF(AND($G54&lt;Hta_20,$G54&gt;=Hba_20,Input!AC$40&lt;&gt;""),Input!$B$40&amp;";",""),IF(AND($G54&lt;Hta_21,$G54&gt;=Hba_21,Input!AC$41&lt;&gt;""),Input!$B$41&amp;";",""),IF(AND($G54&lt;Hta_22,$G54&gt;=Hba_22,Input!AC$42&lt;&gt;""),Input!$B$42&amp;";",""),IF(AND($G54&lt;Hta_23,$G54&gt;=Hba_23,Input!AC$43&lt;&gt;""),Input!$B$43&amp;";",""),IF(AND($G54&lt;Hta_24,$G54&gt;=Hba_24,Input!AC$44&lt;&gt;""),Input!$B$44&amp;";",""),IF(AND($G54&lt;Hta_25,$G54&gt;=Hba_25,Input!AC$45&lt;&gt;""),Input!$B$45&amp;";",""),IF(AND($G54&lt;Hta_26,$G54&gt;=Hba_26,Input!AC$46&lt;&gt;""),Input!$B$46&amp;";",""),IF(AND($G54&lt;Hta_27,$G54&gt;=Hba_27,Input!AC$47&lt;&gt;""),Input!$B$47&amp;";",""),IF(AND($G54&lt;Hta_28,$G54&gt;=Hba_28,Input!AC$48&lt;&gt;""),Input!$B$48&amp;";",""),IF(AND($G54&lt;Hta_29,$G54&gt;=Hba_29,Input!AC$49&lt;&gt;""),Input!$B$49&amp;";",""),IF(AND($G54&lt;Hta_30,$G54&gt;=Hba_30,Input!AC$50&lt;&gt;""),Input!$B$50&amp;";","")),"")</f>
        <v/>
      </c>
      <c r="CE54" s="25" t="str">
        <f>IFERROR(CONCATENATE(IF(AND($G54&lt;Hta_1,$G54&gt;=Hba_1,Input!AD$21&lt;&gt;""),Input!$B$21&amp;";",""),IF(AND($G54&lt;Hta_2,$G54&gt;=Hba_2,Input!AD$22&lt;&gt;""),Input!$B$22&amp;";",""),IF(AND($G54&lt;Hta_3,$G54&gt;=Hba_3,Input!AD$23&lt;&gt;""),Input!$B$23&amp;";",""),IF(AND($G54&lt;Hta_4,$G54&gt;=Hba_4,Input!AD$24&lt;&gt;""),Input!$B$24&amp;";",""),IF(AND($G54&lt;Hta_5,$G54&gt;=Hba_5,Input!AD$25&lt;&gt;""),Input!$B$25&amp;";",""),IF(AND($G54&lt;Hta_6,$G54&gt;=Hba_6,Input!AD$26&lt;&gt;""),Input!$B$26&amp;";",""),IF(AND($G54&lt;Hta_7,$G54&gt;=Hba_7,Input!AD$27&lt;&gt;""),Input!$B$27&amp;";",""),IF(AND($G54&lt;Hta_8,$G54&gt;=Hba_8,Input!AD$28&lt;&gt;""),Input!$B$28&amp;";",""),IF(AND($G54&lt;Hta_9,$G54&gt;=Hba_9,Input!AD$29&lt;&gt;""),Input!$B$29&amp;";",""),IF(AND($G54&lt;Hta_10,$G54&gt;=Hba_10,Input!AD$30&lt;&gt;""),Input!$B$30&amp;";",""),IF(AND($G54&lt;Hta_11,$G54&gt;=Hba_11,Input!AD$31&lt;&gt;""),Input!$B$31&amp;";",""),IF(AND($G54&lt;Hta_12,$G54&gt;=Hba_12,Input!AD$32&lt;&gt;""),Input!$B$32&amp;";",""),IF(AND($G54&lt;Hta_13,$G54&gt;=Hba_13,Input!AD$33&lt;&gt;""),Input!$B$33&amp;";",""),IF(AND($G54&lt;Hta_14,$G54&gt;=Hba_14,Input!AD$34&lt;&gt;""),Input!$B$34&amp;";",""),IF(AND($G54&lt;Hta_15,$G54&gt;=Hba_15,Input!AD$35&lt;&gt;""),Input!$B$35&amp;";",""),IF(AND($G54&lt;Hta_16,$G54&gt;=Hba_16,Input!AD$36&lt;&gt;""),Input!$B$36&amp;";",""),IF(AND($G54&lt;Hta_17,$G54&gt;=Hba_17,Input!AD$37&lt;&gt;""),Input!$B$37&amp;";",""),IF(AND($G54&lt;Hta_18,$G54&gt;=Hba_18,Input!AD$38&lt;&gt;""),Input!$B$38&amp;";",""),IF(AND($G54&lt;Hta_19,$G54&gt;=Hba_19,Input!AD$39&lt;&gt;""),Input!$B$39&amp;";",""),IF(AND($G54&lt;Hta_20,$G54&gt;=Hba_20,Input!AD$40&lt;&gt;""),Input!$B$40&amp;";",""),IF(AND($G54&lt;Hta_21,$G54&gt;=Hba_21,Input!AD$41&lt;&gt;""),Input!$B$41&amp;";",""),IF(AND($G54&lt;Hta_22,$G54&gt;=Hba_22,Input!AD$42&lt;&gt;""),Input!$B$42&amp;";",""),IF(AND($G54&lt;Hta_23,$G54&gt;=Hba_23,Input!AD$43&lt;&gt;""),Input!$B$43&amp;";",""),IF(AND($G54&lt;Hta_24,$G54&gt;=Hba_24,Input!AD$44&lt;&gt;""),Input!$B$44&amp;";",""),IF(AND($G54&lt;Hta_25,$G54&gt;=Hba_25,Input!AD$45&lt;&gt;""),Input!$B$45&amp;";",""),IF(AND($G54&lt;Hta_26,$G54&gt;=Hba_26,Input!AD$46&lt;&gt;""),Input!$B$46&amp;";",""),IF(AND($G54&lt;Hta_27,$G54&gt;=Hba_27,Input!AD$47&lt;&gt;""),Input!$B$47&amp;";",""),IF(AND($G54&lt;Hta_28,$G54&gt;=Hba_28,Input!AD$48&lt;&gt;""),Input!$B$48&amp;";",""),IF(AND($G54&lt;Hta_29,$G54&gt;=Hba_29,Input!AD$49&lt;&gt;""),Input!$B$49&amp;";",""),IF(AND($G54&lt;Hta_30,$G54&gt;=Hba_30,Input!AD$50&lt;&gt;""),Input!$B$50&amp;";","")),"")</f>
        <v/>
      </c>
      <c r="CF54" s="25" t="str">
        <f>IFERROR(CONCATENATE(IF(AND($G54&lt;Hta_1,$G54&gt;=Hba_1,Input!AE$21&lt;&gt;""),Input!$B$21&amp;";",""),IF(AND($G54&lt;Hta_2,$G54&gt;=Hba_2,Input!AE$22&lt;&gt;""),Input!$B$22&amp;";",""),IF(AND($G54&lt;Hta_3,$G54&gt;=Hba_3,Input!AE$23&lt;&gt;""),Input!$B$23&amp;";",""),IF(AND($G54&lt;Hta_4,$G54&gt;=Hba_4,Input!AE$24&lt;&gt;""),Input!$B$24&amp;";",""),IF(AND($G54&lt;Hta_5,$G54&gt;=Hba_5,Input!AE$25&lt;&gt;""),Input!$B$25&amp;";",""),IF(AND($G54&lt;Hta_6,$G54&gt;=Hba_6,Input!AE$26&lt;&gt;""),Input!$B$26&amp;";",""),IF(AND($G54&lt;Hta_7,$G54&gt;=Hba_7,Input!AE$27&lt;&gt;""),Input!$B$27&amp;";",""),IF(AND($G54&lt;Hta_8,$G54&gt;=Hba_8,Input!AE$28&lt;&gt;""),Input!$B$28&amp;";",""),IF(AND($G54&lt;Hta_9,$G54&gt;=Hba_9,Input!AE$29&lt;&gt;""),Input!$B$29&amp;";",""),IF(AND($G54&lt;Hta_10,$G54&gt;=Hba_10,Input!AE$30&lt;&gt;""),Input!$B$30&amp;";",""),IF(AND($G54&lt;Hta_11,$G54&gt;=Hba_11,Input!AE$31&lt;&gt;""),Input!$B$31&amp;";",""),IF(AND($G54&lt;Hta_12,$G54&gt;=Hba_12,Input!AE$32&lt;&gt;""),Input!$B$32&amp;";",""),IF(AND($G54&lt;Hta_13,$G54&gt;=Hba_13,Input!AE$33&lt;&gt;""),Input!$B$33&amp;";",""),IF(AND($G54&lt;Hta_14,$G54&gt;=Hba_14,Input!AE$34&lt;&gt;""),Input!$B$34&amp;";",""),IF(AND($G54&lt;Hta_15,$G54&gt;=Hba_15,Input!AE$35&lt;&gt;""),Input!$B$35&amp;";",""),IF(AND($G54&lt;Hta_16,$G54&gt;=Hba_16,Input!AE$36&lt;&gt;""),Input!$B$36&amp;";",""),IF(AND($G54&lt;Hta_17,$G54&gt;=Hba_17,Input!AE$37&lt;&gt;""),Input!$B$37&amp;";",""),IF(AND($G54&lt;Hta_18,$G54&gt;=Hba_18,Input!AE$38&lt;&gt;""),Input!$B$38&amp;";",""),IF(AND($G54&lt;Hta_19,$G54&gt;=Hba_19,Input!AE$39&lt;&gt;""),Input!$B$39&amp;";",""),IF(AND($G54&lt;Hta_20,$G54&gt;=Hba_20,Input!AE$40&lt;&gt;""),Input!$B$40&amp;";",""),IF(AND($G54&lt;Hta_21,$G54&gt;=Hba_21,Input!AE$41&lt;&gt;""),Input!$B$41&amp;";",""),IF(AND($G54&lt;Hta_22,$G54&gt;=Hba_22,Input!AE$42&lt;&gt;""),Input!$B$42&amp;";",""),IF(AND($G54&lt;Hta_23,$G54&gt;=Hba_23,Input!AE$43&lt;&gt;""),Input!$B$43&amp;";",""),IF(AND($G54&lt;Hta_24,$G54&gt;=Hba_24,Input!AE$44&lt;&gt;""),Input!$B$44&amp;";",""),IF(AND($G54&lt;Hta_25,$G54&gt;=Hba_25,Input!AE$45&lt;&gt;""),Input!$B$45&amp;";",""),IF(AND($G54&lt;Hta_26,$G54&gt;=Hba_26,Input!AE$46&lt;&gt;""),Input!$B$46&amp;";",""),IF(AND($G54&lt;Hta_27,$G54&gt;=Hba_27,Input!AE$47&lt;&gt;""),Input!$B$47&amp;";",""),IF(AND($G54&lt;Hta_28,$G54&gt;=Hba_28,Input!AE$48&lt;&gt;""),Input!$B$48&amp;";",""),IF(AND($G54&lt;Hta_29,$G54&gt;=Hba_29,Input!AE$49&lt;&gt;""),Input!$B$49&amp;";",""),IF(AND($G54&lt;Hta_30,$G54&gt;=Hba_30,Input!AE$50&lt;&gt;""),Input!$B$50&amp;";","")),"")</f>
        <v/>
      </c>
      <c r="CG54" s="25" t="str">
        <f>IFERROR(CONCATENATE(IF(AND($G54&lt;Hta_1,$G54&gt;=Hba_1,Input!AF$21&lt;&gt;""),Input!$B$21&amp;";",""),IF(AND($G54&lt;Hta_2,$G54&gt;=Hba_2,Input!AF$22&lt;&gt;""),Input!$B$22&amp;";",""),IF(AND($G54&lt;Hta_3,$G54&gt;=Hba_3,Input!AF$23&lt;&gt;""),Input!$B$23&amp;";",""),IF(AND($G54&lt;Hta_4,$G54&gt;=Hba_4,Input!AF$24&lt;&gt;""),Input!$B$24&amp;";",""),IF(AND($G54&lt;Hta_5,$G54&gt;=Hba_5,Input!AF$25&lt;&gt;""),Input!$B$25&amp;";",""),IF(AND($G54&lt;Hta_6,$G54&gt;=Hba_6,Input!AF$26&lt;&gt;""),Input!$B$26&amp;";",""),IF(AND($G54&lt;Hta_7,$G54&gt;=Hba_7,Input!AF$27&lt;&gt;""),Input!$B$27&amp;";",""),IF(AND($G54&lt;Hta_8,$G54&gt;=Hba_8,Input!AF$28&lt;&gt;""),Input!$B$28&amp;";",""),IF(AND($G54&lt;Hta_9,$G54&gt;=Hba_9,Input!AF$29&lt;&gt;""),Input!$B$29&amp;";",""),IF(AND($G54&lt;Hta_10,$G54&gt;=Hba_10,Input!AF$30&lt;&gt;""),Input!$B$30&amp;";",""),IF(AND($G54&lt;Hta_11,$G54&gt;=Hba_11,Input!AF$31&lt;&gt;""),Input!$B$31&amp;";",""),IF(AND($G54&lt;Hta_12,$G54&gt;=Hba_12,Input!AF$32&lt;&gt;""),Input!$B$32&amp;";",""),IF(AND($G54&lt;Hta_13,$G54&gt;=Hba_13,Input!AF$33&lt;&gt;""),Input!$B$33&amp;";",""),IF(AND($G54&lt;Hta_14,$G54&gt;=Hba_14,Input!AF$34&lt;&gt;""),Input!$B$34&amp;";",""),IF(AND($G54&lt;Hta_15,$G54&gt;=Hba_15,Input!AF$35&lt;&gt;""),Input!$B$35&amp;";",""),IF(AND($G54&lt;Hta_16,$G54&gt;=Hba_16,Input!AF$36&lt;&gt;""),Input!$B$36&amp;";",""),IF(AND($G54&lt;Hta_17,$G54&gt;=Hba_17,Input!AF$37&lt;&gt;""),Input!$B$37&amp;";",""),IF(AND($G54&lt;Hta_18,$G54&gt;=Hba_18,Input!AF$38&lt;&gt;""),Input!$B$38&amp;";",""),IF(AND($G54&lt;Hta_19,$G54&gt;=Hba_19,Input!AF$39&lt;&gt;""),Input!$B$39&amp;";",""),IF(AND($G54&lt;Hta_20,$G54&gt;=Hba_20,Input!AF$40&lt;&gt;""),Input!$B$40&amp;";",""),IF(AND($G54&lt;Hta_21,$G54&gt;=Hba_21,Input!AF$41&lt;&gt;""),Input!$B$41&amp;";",""),IF(AND($G54&lt;Hta_22,$G54&gt;=Hba_22,Input!AF$42&lt;&gt;""),Input!$B$42&amp;";",""),IF(AND($G54&lt;Hta_23,$G54&gt;=Hba_23,Input!AF$43&lt;&gt;""),Input!$B$43&amp;";",""),IF(AND($G54&lt;Hta_24,$G54&gt;=Hba_24,Input!AF$44&lt;&gt;""),Input!$B$44&amp;";",""),IF(AND($G54&lt;Hta_25,$G54&gt;=Hba_25,Input!AF$45&lt;&gt;""),Input!$B$45&amp;";",""),IF(AND($G54&lt;Hta_26,$G54&gt;=Hba_26,Input!AF$46&lt;&gt;""),Input!$B$46&amp;";",""),IF(AND($G54&lt;Hta_27,$G54&gt;=Hba_27,Input!AF$47&lt;&gt;""),Input!$B$47&amp;";",""),IF(AND($G54&lt;Hta_28,$G54&gt;=Hba_28,Input!AF$48&lt;&gt;""),Input!$B$48&amp;";",""),IF(AND($G54&lt;Hta_29,$G54&gt;=Hba_29,Input!AF$49&lt;&gt;""),Input!$B$49&amp;";",""),IF(AND($G54&lt;Hta_30,$G54&gt;=Hba_30,Input!AF$50&lt;&gt;""),Input!$B$50&amp;";","")),"")</f>
        <v/>
      </c>
      <c r="CH54" s="25" t="str">
        <f>IFERROR(CONCATENATE(IF(AND($G54&lt;Hta_1,$G54&gt;=Hba_1,Input!AG$21&lt;&gt;""),Input!$B$21&amp;";",""),IF(AND($G54&lt;Hta_2,$G54&gt;=Hba_2,Input!AG$22&lt;&gt;""),Input!$B$22&amp;";",""),IF(AND($G54&lt;Hta_3,$G54&gt;=Hba_3,Input!AG$23&lt;&gt;""),Input!$B$23&amp;";",""),IF(AND($G54&lt;Hta_4,$G54&gt;=Hba_4,Input!AG$24&lt;&gt;""),Input!$B$24&amp;";",""),IF(AND($G54&lt;Hta_5,$G54&gt;=Hba_5,Input!AG$25&lt;&gt;""),Input!$B$25&amp;";",""),IF(AND($G54&lt;Hta_6,$G54&gt;=Hba_6,Input!AG$26&lt;&gt;""),Input!$B$26&amp;";",""),IF(AND($G54&lt;Hta_7,$G54&gt;=Hba_7,Input!AG$27&lt;&gt;""),Input!$B$27&amp;";",""),IF(AND($G54&lt;Hta_8,$G54&gt;=Hba_8,Input!AG$28&lt;&gt;""),Input!$B$28&amp;";",""),IF(AND($G54&lt;Hta_9,$G54&gt;=Hba_9,Input!AG$29&lt;&gt;""),Input!$B$29&amp;";",""),IF(AND($G54&lt;Hta_10,$G54&gt;=Hba_10,Input!AG$30&lt;&gt;""),Input!$B$30&amp;";",""),IF(AND($G54&lt;Hta_11,$G54&gt;=Hba_11,Input!AG$31&lt;&gt;""),Input!$B$31&amp;";",""),IF(AND($G54&lt;Hta_12,$G54&gt;=Hba_12,Input!AG$32&lt;&gt;""),Input!$B$32&amp;";",""),IF(AND($G54&lt;Hta_13,$G54&gt;=Hba_13,Input!AG$33&lt;&gt;""),Input!$B$33&amp;";",""),IF(AND($G54&lt;Hta_14,$G54&gt;=Hba_14,Input!AG$34&lt;&gt;""),Input!$B$34&amp;";",""),IF(AND($G54&lt;Hta_15,$G54&gt;=Hba_15,Input!AG$35&lt;&gt;""),Input!$B$35&amp;";",""),IF(AND($G54&lt;Hta_16,$G54&gt;=Hba_16,Input!AG$36&lt;&gt;""),Input!$B$36&amp;";",""),IF(AND($G54&lt;Hta_17,$G54&gt;=Hba_17,Input!AG$37&lt;&gt;""),Input!$B$37&amp;";",""),IF(AND($G54&lt;Hta_18,$G54&gt;=Hba_18,Input!AG$38&lt;&gt;""),Input!$B$38&amp;";",""),IF(AND($G54&lt;Hta_19,$G54&gt;=Hba_19,Input!AG$39&lt;&gt;""),Input!$B$39&amp;";",""),IF(AND($G54&lt;Hta_20,$G54&gt;=Hba_20,Input!AG$40&lt;&gt;""),Input!$B$40&amp;";",""),IF(AND($G54&lt;Hta_21,$G54&gt;=Hba_21,Input!AG$41&lt;&gt;""),Input!$B$41&amp;";",""),IF(AND($G54&lt;Hta_22,$G54&gt;=Hba_22,Input!AG$42&lt;&gt;""),Input!$B$42&amp;";",""),IF(AND($G54&lt;Hta_23,$G54&gt;=Hba_23,Input!AG$43&lt;&gt;""),Input!$B$43&amp;";",""),IF(AND($G54&lt;Hta_24,$G54&gt;=Hba_24,Input!AG$44&lt;&gt;""),Input!$B$44&amp;";",""),IF(AND($G54&lt;Hta_25,$G54&gt;=Hba_25,Input!AG$45&lt;&gt;""),Input!$B$45&amp;";",""),IF(AND($G54&lt;Hta_26,$G54&gt;=Hba_26,Input!AG$46&lt;&gt;""),Input!$B$46&amp;";",""),IF(AND($G54&lt;Hta_27,$G54&gt;=Hba_27,Input!AG$47&lt;&gt;""),Input!$B$47&amp;";",""),IF(AND($G54&lt;Hta_28,$G54&gt;=Hba_28,Input!AG$48&lt;&gt;""),Input!$B$48&amp;";",""),IF(AND($G54&lt;Hta_29,$G54&gt;=Hba_29,Input!AG$49&lt;&gt;""),Input!$B$49&amp;";",""),IF(AND($G54&lt;Hta_30,$G54&gt;=Hba_30,Input!AG$50&lt;&gt;""),Input!$B$50&amp;";","")),"")</f>
        <v/>
      </c>
      <c r="CI54" s="25" t="str">
        <f>IFERROR(CONCATENATE(IF(AND($G54&lt;Hta_1,$G54&gt;=Hba_1,Input!AH$21&lt;&gt;""),Input!$B$21&amp;";",""),IF(AND($G54&lt;Hta_2,$G54&gt;=Hba_2,Input!AH$22&lt;&gt;""),Input!$B$22&amp;";",""),IF(AND($G54&lt;Hta_3,$G54&gt;=Hba_3,Input!AH$23&lt;&gt;""),Input!$B$23&amp;";",""),IF(AND($G54&lt;Hta_4,$G54&gt;=Hba_4,Input!AH$24&lt;&gt;""),Input!$B$24&amp;";",""),IF(AND($G54&lt;Hta_5,$G54&gt;=Hba_5,Input!AH$25&lt;&gt;""),Input!$B$25&amp;";",""),IF(AND($G54&lt;Hta_6,$G54&gt;=Hba_6,Input!AH$26&lt;&gt;""),Input!$B$26&amp;";",""),IF(AND($G54&lt;Hta_7,$G54&gt;=Hba_7,Input!AH$27&lt;&gt;""),Input!$B$27&amp;";",""),IF(AND($G54&lt;Hta_8,$G54&gt;=Hba_8,Input!AH$28&lt;&gt;""),Input!$B$28&amp;";",""),IF(AND($G54&lt;Hta_9,$G54&gt;=Hba_9,Input!AH$29&lt;&gt;""),Input!$B$29&amp;";",""),IF(AND($G54&lt;Hta_10,$G54&gt;=Hba_10,Input!AH$30&lt;&gt;""),Input!$B$30&amp;";",""),IF(AND($G54&lt;Hta_11,$G54&gt;=Hba_11,Input!AH$31&lt;&gt;""),Input!$B$31&amp;";",""),IF(AND($G54&lt;Hta_12,$G54&gt;=Hba_12,Input!AH$32&lt;&gt;""),Input!$B$32&amp;";",""),IF(AND($G54&lt;Hta_13,$G54&gt;=Hba_13,Input!AH$33&lt;&gt;""),Input!$B$33&amp;";",""),IF(AND($G54&lt;Hta_14,$G54&gt;=Hba_14,Input!AH$34&lt;&gt;""),Input!$B$34&amp;";",""),IF(AND($G54&lt;Hta_15,$G54&gt;=Hba_15,Input!AH$35&lt;&gt;""),Input!$B$35&amp;";",""),IF(AND($G54&lt;Hta_16,$G54&gt;=Hba_16,Input!AH$36&lt;&gt;""),Input!$B$36&amp;";",""),IF(AND($G54&lt;Hta_17,$G54&gt;=Hba_17,Input!AH$37&lt;&gt;""),Input!$B$37&amp;";",""),IF(AND($G54&lt;Hta_18,$G54&gt;=Hba_18,Input!AH$38&lt;&gt;""),Input!$B$38&amp;";",""),IF(AND($G54&lt;Hta_19,$G54&gt;=Hba_19,Input!AH$39&lt;&gt;""),Input!$B$39&amp;";",""),IF(AND($G54&lt;Hta_20,$G54&gt;=Hba_20,Input!AH$40&lt;&gt;""),Input!$B$40&amp;";",""),IF(AND($G54&lt;Hta_21,$G54&gt;=Hba_21,Input!AH$41&lt;&gt;""),Input!$B$41&amp;";",""),IF(AND($G54&lt;Hta_22,$G54&gt;=Hba_22,Input!AH$42&lt;&gt;""),Input!$B$42&amp;";",""),IF(AND($G54&lt;Hta_23,$G54&gt;=Hba_23,Input!AH$43&lt;&gt;""),Input!$B$43&amp;";",""),IF(AND($G54&lt;Hta_24,$G54&gt;=Hba_24,Input!AH$44&lt;&gt;""),Input!$B$44&amp;";",""),IF(AND($G54&lt;Hta_25,$G54&gt;=Hba_25,Input!AH$45&lt;&gt;""),Input!$B$45&amp;";",""),IF(AND($G54&lt;Hta_26,$G54&gt;=Hba_26,Input!AH$46&lt;&gt;""),Input!$B$46&amp;";",""),IF(AND($G54&lt;Hta_27,$G54&gt;=Hba_27,Input!AH$47&lt;&gt;""),Input!$B$47&amp;";",""),IF(AND($G54&lt;Hta_28,$G54&gt;=Hba_28,Input!AH$48&lt;&gt;""),Input!$B$48&amp;";",""),IF(AND($G54&lt;Hta_29,$G54&gt;=Hba_29,Input!AH$49&lt;&gt;""),Input!$B$49&amp;";",""),IF(AND($G54&lt;Hta_30,$G54&gt;=Hba_30,Input!AH$50&lt;&gt;""),Input!$B$50&amp;";","")),"")</f>
        <v/>
      </c>
      <c r="CJ54" s="25" t="str">
        <f>IFERROR(CONCATENATE(IF(AND($G54&lt;Hta_1,$G54&gt;=Hba_1,Input!AI$21&lt;&gt;""),Input!$B$21&amp;";",""),IF(AND($G54&lt;Hta_2,$G54&gt;=Hba_2,Input!AI$22&lt;&gt;""),Input!$B$22&amp;";",""),IF(AND($G54&lt;Hta_3,$G54&gt;=Hba_3,Input!AI$23&lt;&gt;""),Input!$B$23&amp;";",""),IF(AND($G54&lt;Hta_4,$G54&gt;=Hba_4,Input!AI$24&lt;&gt;""),Input!$B$24&amp;";",""),IF(AND($G54&lt;Hta_5,$G54&gt;=Hba_5,Input!AI$25&lt;&gt;""),Input!$B$25&amp;";",""),IF(AND($G54&lt;Hta_6,$G54&gt;=Hba_6,Input!AI$26&lt;&gt;""),Input!$B$26&amp;";",""),IF(AND($G54&lt;Hta_7,$G54&gt;=Hba_7,Input!AI$27&lt;&gt;""),Input!$B$27&amp;";",""),IF(AND($G54&lt;Hta_8,$G54&gt;=Hba_8,Input!AI$28&lt;&gt;""),Input!$B$28&amp;";",""),IF(AND($G54&lt;Hta_9,$G54&gt;=Hba_9,Input!AI$29&lt;&gt;""),Input!$B$29&amp;";",""),IF(AND($G54&lt;Hta_10,$G54&gt;=Hba_10,Input!AI$30&lt;&gt;""),Input!$B$30&amp;";",""),IF(AND($G54&lt;Hta_11,$G54&gt;=Hba_11,Input!AI$31&lt;&gt;""),Input!$B$31&amp;";",""),IF(AND($G54&lt;Hta_12,$G54&gt;=Hba_12,Input!AI$32&lt;&gt;""),Input!$B$32&amp;";",""),IF(AND($G54&lt;Hta_13,$G54&gt;=Hba_13,Input!AI$33&lt;&gt;""),Input!$B$33&amp;";",""),IF(AND($G54&lt;Hta_14,$G54&gt;=Hba_14,Input!AI$34&lt;&gt;""),Input!$B$34&amp;";",""),IF(AND($G54&lt;Hta_15,$G54&gt;=Hba_15,Input!AI$35&lt;&gt;""),Input!$B$35&amp;";",""),IF(AND($G54&lt;Hta_16,$G54&gt;=Hba_16,Input!AI$36&lt;&gt;""),Input!$B$36&amp;";",""),IF(AND($G54&lt;Hta_17,$G54&gt;=Hba_17,Input!AI$37&lt;&gt;""),Input!$B$37&amp;";",""),IF(AND($G54&lt;Hta_18,$G54&gt;=Hba_18,Input!AI$38&lt;&gt;""),Input!$B$38&amp;";",""),IF(AND($G54&lt;Hta_19,$G54&gt;=Hba_19,Input!AI$39&lt;&gt;""),Input!$B$39&amp;";",""),IF(AND($G54&lt;Hta_20,$G54&gt;=Hba_20,Input!AI$40&lt;&gt;""),Input!$B$40&amp;";",""),IF(AND($G54&lt;Hta_21,$G54&gt;=Hba_21,Input!AI$41&lt;&gt;""),Input!$B$41&amp;";",""),IF(AND($G54&lt;Hta_22,$G54&gt;=Hba_22,Input!AI$42&lt;&gt;""),Input!$B$42&amp;";",""),IF(AND($G54&lt;Hta_23,$G54&gt;=Hba_23,Input!AI$43&lt;&gt;""),Input!$B$43&amp;";",""),IF(AND($G54&lt;Hta_24,$G54&gt;=Hba_24,Input!AI$44&lt;&gt;""),Input!$B$44&amp;";",""),IF(AND($G54&lt;Hta_25,$G54&gt;=Hba_25,Input!AI$45&lt;&gt;""),Input!$B$45&amp;";",""),IF(AND($G54&lt;Hta_26,$G54&gt;=Hba_26,Input!AI$46&lt;&gt;""),Input!$B$46&amp;";",""),IF(AND($G54&lt;Hta_27,$G54&gt;=Hba_27,Input!AI$47&lt;&gt;""),Input!$B$47&amp;";",""),IF(AND($G54&lt;Hta_28,$G54&gt;=Hba_28,Input!AI$48&lt;&gt;""),Input!$B$48&amp;";",""),IF(AND($G54&lt;Hta_29,$G54&gt;=Hba_29,Input!AI$49&lt;&gt;""),Input!$B$49&amp;";",""),IF(AND($G54&lt;Hta_30,$G54&gt;=Hba_30,Input!AI$50&lt;&gt;""),Input!$B$50&amp;";","")),"")</f>
        <v/>
      </c>
      <c r="CK54" s="25" t="str">
        <f>IFERROR(CONCATENATE(IF(AND($G54&lt;Hta_1,$G54&gt;=Hba_1,Input!AJ$21&lt;&gt;""),Input!$B$21&amp;";",""),IF(AND($G54&lt;Hta_2,$G54&gt;=Hba_2,Input!AJ$22&lt;&gt;""),Input!$B$22&amp;";",""),IF(AND($G54&lt;Hta_3,$G54&gt;=Hba_3,Input!AJ$23&lt;&gt;""),Input!$B$23&amp;";",""),IF(AND($G54&lt;Hta_4,$G54&gt;=Hba_4,Input!AJ$24&lt;&gt;""),Input!$B$24&amp;";",""),IF(AND($G54&lt;Hta_5,$G54&gt;=Hba_5,Input!AJ$25&lt;&gt;""),Input!$B$25&amp;";",""),IF(AND($G54&lt;Hta_6,$G54&gt;=Hba_6,Input!AJ$26&lt;&gt;""),Input!$B$26&amp;";",""),IF(AND($G54&lt;Hta_7,$G54&gt;=Hba_7,Input!AJ$27&lt;&gt;""),Input!$B$27&amp;";",""),IF(AND($G54&lt;Hta_8,$G54&gt;=Hba_8,Input!AJ$28&lt;&gt;""),Input!$B$28&amp;";",""),IF(AND($G54&lt;Hta_9,$G54&gt;=Hba_9,Input!AJ$29&lt;&gt;""),Input!$B$29&amp;";",""),IF(AND($G54&lt;Hta_10,$G54&gt;=Hba_10,Input!AJ$30&lt;&gt;""),Input!$B$30&amp;";",""),IF(AND($G54&lt;Hta_11,$G54&gt;=Hba_11,Input!AJ$31&lt;&gt;""),Input!$B$31&amp;";",""),IF(AND($G54&lt;Hta_12,$G54&gt;=Hba_12,Input!AJ$32&lt;&gt;""),Input!$B$32&amp;";",""),IF(AND($G54&lt;Hta_13,$G54&gt;=Hba_13,Input!AJ$33&lt;&gt;""),Input!$B$33&amp;";",""),IF(AND($G54&lt;Hta_14,$G54&gt;=Hba_14,Input!AJ$34&lt;&gt;""),Input!$B$34&amp;";",""),IF(AND($G54&lt;Hta_15,$G54&gt;=Hba_15,Input!AJ$35&lt;&gt;""),Input!$B$35&amp;";",""),IF(AND($G54&lt;Hta_16,$G54&gt;=Hba_16,Input!AJ$36&lt;&gt;""),Input!$B$36&amp;";",""),IF(AND($G54&lt;Hta_17,$G54&gt;=Hba_17,Input!AJ$37&lt;&gt;""),Input!$B$37&amp;";",""),IF(AND($G54&lt;Hta_18,$G54&gt;=Hba_18,Input!AJ$38&lt;&gt;""),Input!$B$38&amp;";",""),IF(AND($G54&lt;Hta_19,$G54&gt;=Hba_19,Input!AJ$39&lt;&gt;""),Input!$B$39&amp;";",""),IF(AND($G54&lt;Hta_20,$G54&gt;=Hba_20,Input!AJ$40&lt;&gt;""),Input!$B$40&amp;";",""),IF(AND($G54&lt;Hta_21,$G54&gt;=Hba_21,Input!AJ$41&lt;&gt;""),Input!$B$41&amp;";",""),IF(AND($G54&lt;Hta_22,$G54&gt;=Hba_22,Input!AJ$42&lt;&gt;""),Input!$B$42&amp;";",""),IF(AND($G54&lt;Hta_23,$G54&gt;=Hba_23,Input!AJ$43&lt;&gt;""),Input!$B$43&amp;";",""),IF(AND($G54&lt;Hta_24,$G54&gt;=Hba_24,Input!AJ$44&lt;&gt;""),Input!$B$44&amp;";",""),IF(AND($G54&lt;Hta_25,$G54&gt;=Hba_25,Input!AJ$45&lt;&gt;""),Input!$B$45&amp;";",""),IF(AND($G54&lt;Hta_26,$G54&gt;=Hba_26,Input!AJ$46&lt;&gt;""),Input!$B$46&amp;";",""),IF(AND($G54&lt;Hta_27,$G54&gt;=Hba_27,Input!AJ$47&lt;&gt;""),Input!$B$47&amp;";",""),IF(AND($G54&lt;Hta_28,$G54&gt;=Hba_28,Input!AJ$48&lt;&gt;""),Input!$B$48&amp;";",""),IF(AND($G54&lt;Hta_29,$G54&gt;=Hba_29,Input!AJ$49&lt;&gt;""),Input!$B$49&amp;";",""),IF(AND($G54&lt;Hta_30,$G54&gt;=Hba_30,Input!AJ$50&lt;&gt;""),Input!$B$50&amp;";","")),"")</f>
        <v/>
      </c>
      <c r="CL54" s="25" t="str">
        <f>IFERROR(CONCATENATE(IF(AND($G54&lt;Hta_1,$G54&gt;=Hba_1,Input!AK$21&lt;&gt;""),Input!$B$21&amp;";",""),IF(AND($G54&lt;Hta_2,$G54&gt;=Hba_2,Input!AK$22&lt;&gt;""),Input!$B$22&amp;";",""),IF(AND($G54&lt;Hta_3,$G54&gt;=Hba_3,Input!AK$23&lt;&gt;""),Input!$B$23&amp;";",""),IF(AND($G54&lt;Hta_4,$G54&gt;=Hba_4,Input!AK$24&lt;&gt;""),Input!$B$24&amp;";",""),IF(AND($G54&lt;Hta_5,$G54&gt;=Hba_5,Input!AK$25&lt;&gt;""),Input!$B$25&amp;";",""),IF(AND($G54&lt;Hta_6,$G54&gt;=Hba_6,Input!AK$26&lt;&gt;""),Input!$B$26&amp;";",""),IF(AND($G54&lt;Hta_7,$G54&gt;=Hba_7,Input!AK$27&lt;&gt;""),Input!$B$27&amp;";",""),IF(AND($G54&lt;Hta_8,$G54&gt;=Hba_8,Input!AK$28&lt;&gt;""),Input!$B$28&amp;";",""),IF(AND($G54&lt;Hta_9,$G54&gt;=Hba_9,Input!AK$29&lt;&gt;""),Input!$B$29&amp;";",""),IF(AND($G54&lt;Hta_10,$G54&gt;=Hba_10,Input!AK$30&lt;&gt;""),Input!$B$30&amp;";",""),IF(AND($G54&lt;Hta_11,$G54&gt;=Hba_11,Input!AK$31&lt;&gt;""),Input!$B$31&amp;";",""),IF(AND($G54&lt;Hta_12,$G54&gt;=Hba_12,Input!AK$32&lt;&gt;""),Input!$B$32&amp;";",""),IF(AND($G54&lt;Hta_13,$G54&gt;=Hba_13,Input!AK$33&lt;&gt;""),Input!$B$33&amp;";",""),IF(AND($G54&lt;Hta_14,$G54&gt;=Hba_14,Input!AK$34&lt;&gt;""),Input!$B$34&amp;";",""),IF(AND($G54&lt;Hta_15,$G54&gt;=Hba_15,Input!AK$35&lt;&gt;""),Input!$B$35&amp;";",""),IF(AND($G54&lt;Hta_16,$G54&gt;=Hba_16,Input!AK$36&lt;&gt;""),Input!$B$36&amp;";",""),IF(AND($G54&lt;Hta_17,$G54&gt;=Hba_17,Input!AK$37&lt;&gt;""),Input!$B$37&amp;";",""),IF(AND($G54&lt;Hta_18,$G54&gt;=Hba_18,Input!AK$38&lt;&gt;""),Input!$B$38&amp;";",""),IF(AND($G54&lt;Hta_19,$G54&gt;=Hba_19,Input!AK$39&lt;&gt;""),Input!$B$39&amp;";",""),IF(AND($G54&lt;Hta_20,$G54&gt;=Hba_20,Input!AK$40&lt;&gt;""),Input!$B$40&amp;";",""),IF(AND($G54&lt;Hta_21,$G54&gt;=Hba_21,Input!AK$41&lt;&gt;""),Input!$B$41&amp;";",""),IF(AND($G54&lt;Hta_22,$G54&gt;=Hba_22,Input!AK$42&lt;&gt;""),Input!$B$42&amp;";",""),IF(AND($G54&lt;Hta_23,$G54&gt;=Hba_23,Input!AK$43&lt;&gt;""),Input!$B$43&amp;";",""),IF(AND($G54&lt;Hta_24,$G54&gt;=Hba_24,Input!AK$44&lt;&gt;""),Input!$B$44&amp;";",""),IF(AND($G54&lt;Hta_25,$G54&gt;=Hba_25,Input!AK$45&lt;&gt;""),Input!$B$45&amp;";",""),IF(AND($G54&lt;Hta_26,$G54&gt;=Hba_26,Input!AK$46&lt;&gt;""),Input!$B$46&amp;";",""),IF(AND($G54&lt;Hta_27,$G54&gt;=Hba_27,Input!AK$47&lt;&gt;""),Input!$B$47&amp;";",""),IF(AND($G54&lt;Hta_28,$G54&gt;=Hba_28,Input!AK$48&lt;&gt;""),Input!$B$48&amp;";",""),IF(AND($G54&lt;Hta_29,$G54&gt;=Hba_29,Input!AK$49&lt;&gt;""),Input!$B$49&amp;";",""),IF(AND($G54&lt;Hta_30,$G54&gt;=Hba_30,Input!AK$50&lt;&gt;""),Input!$B$50&amp;";","")),"")</f>
        <v/>
      </c>
      <c r="CM54" s="25" t="str">
        <f>IFERROR(CONCATENATE(IF(AND($G54&lt;Hta_1,$G54&gt;=Hba_1,Input!AL$21&lt;&gt;""),Input!$B$21&amp;";",""),IF(AND($G54&lt;Hta_2,$G54&gt;=Hba_2,Input!AL$22&lt;&gt;""),Input!$B$22&amp;";",""),IF(AND($G54&lt;Hta_3,$G54&gt;=Hba_3,Input!AL$23&lt;&gt;""),Input!$B$23&amp;";",""),IF(AND($G54&lt;Hta_4,$G54&gt;=Hba_4,Input!AL$24&lt;&gt;""),Input!$B$24&amp;";",""),IF(AND($G54&lt;Hta_5,$G54&gt;=Hba_5,Input!AL$25&lt;&gt;""),Input!$B$25&amp;";",""),IF(AND($G54&lt;Hta_6,$G54&gt;=Hba_6,Input!AL$26&lt;&gt;""),Input!$B$26&amp;";",""),IF(AND($G54&lt;Hta_7,$G54&gt;=Hba_7,Input!AL$27&lt;&gt;""),Input!$B$27&amp;";",""),IF(AND($G54&lt;Hta_8,$G54&gt;=Hba_8,Input!AL$28&lt;&gt;""),Input!$B$28&amp;";",""),IF(AND($G54&lt;Hta_9,$G54&gt;=Hba_9,Input!AL$29&lt;&gt;""),Input!$B$29&amp;";",""),IF(AND($G54&lt;Hta_10,$G54&gt;=Hba_10,Input!AL$30&lt;&gt;""),Input!$B$30&amp;";",""),IF(AND($G54&lt;Hta_11,$G54&gt;=Hba_11,Input!AL$31&lt;&gt;""),Input!$B$31&amp;";",""),IF(AND($G54&lt;Hta_12,$G54&gt;=Hba_12,Input!AL$32&lt;&gt;""),Input!$B$32&amp;";",""),IF(AND($G54&lt;Hta_13,$G54&gt;=Hba_13,Input!AL$33&lt;&gt;""),Input!$B$33&amp;";",""),IF(AND($G54&lt;Hta_14,$G54&gt;=Hba_14,Input!AL$34&lt;&gt;""),Input!$B$34&amp;";",""),IF(AND($G54&lt;Hta_15,$G54&gt;=Hba_15,Input!AL$35&lt;&gt;""),Input!$B$35&amp;";",""),IF(AND($G54&lt;Hta_16,$G54&gt;=Hba_16,Input!AL$36&lt;&gt;""),Input!$B$36&amp;";",""),IF(AND($G54&lt;Hta_17,$G54&gt;=Hba_17,Input!AL$37&lt;&gt;""),Input!$B$37&amp;";",""),IF(AND($G54&lt;Hta_18,$G54&gt;=Hba_18,Input!AL$38&lt;&gt;""),Input!$B$38&amp;";",""),IF(AND($G54&lt;Hta_19,$G54&gt;=Hba_19,Input!AL$39&lt;&gt;""),Input!$B$39&amp;";",""),IF(AND($G54&lt;Hta_20,$G54&gt;=Hba_20,Input!AL$40&lt;&gt;""),Input!$B$40&amp;";",""),IF(AND($G54&lt;Hta_21,$G54&gt;=Hba_21,Input!AL$41&lt;&gt;""),Input!$B$41&amp;";",""),IF(AND($G54&lt;Hta_22,$G54&gt;=Hba_22,Input!AL$42&lt;&gt;""),Input!$B$42&amp;";",""),IF(AND($G54&lt;Hta_23,$G54&gt;=Hba_23,Input!AL$43&lt;&gt;""),Input!$B$43&amp;";",""),IF(AND($G54&lt;Hta_24,$G54&gt;=Hba_24,Input!AL$44&lt;&gt;""),Input!$B$44&amp;";",""),IF(AND($G54&lt;Hta_25,$G54&gt;=Hba_25,Input!AL$45&lt;&gt;""),Input!$B$45&amp;";",""),IF(AND($G54&lt;Hta_26,$G54&gt;=Hba_26,Input!AL$46&lt;&gt;""),Input!$B$46&amp;";",""),IF(AND($G54&lt;Hta_27,$G54&gt;=Hba_27,Input!AL$47&lt;&gt;""),Input!$B$47&amp;";",""),IF(AND($G54&lt;Hta_28,$G54&gt;=Hba_28,Input!AL$48&lt;&gt;""),Input!$B$48&amp;";",""),IF(AND($G54&lt;Hta_29,$G54&gt;=Hba_29,Input!AL$49&lt;&gt;""),Input!$B$49&amp;";",""),IF(AND($G54&lt;Hta_30,$G54&gt;=Hba_30,Input!AL$50&lt;&gt;""),Input!$B$50&amp;";","")),"")</f>
        <v/>
      </c>
      <c r="CN54" s="59" t="str">
        <f t="shared" si="6"/>
        <v/>
      </c>
      <c r="CO54" s="791"/>
      <c r="CP54" s="792"/>
      <c r="CQ54" s="793"/>
      <c r="CR54" s="791"/>
      <c r="CS54" s="792"/>
      <c r="CT54" s="793"/>
      <c r="CU54" s="791" t="str">
        <f t="shared" si="7"/>
        <v/>
      </c>
      <c r="CV54" s="792"/>
      <c r="CW54" s="807"/>
      <c r="CX54" s="808"/>
      <c r="CY54" s="730"/>
      <c r="CZ54" s="809"/>
      <c r="DA54" s="733"/>
      <c r="DB54" s="734"/>
      <c r="DC54" s="735"/>
      <c r="DD54" s="729" t="str">
        <f t="shared" si="8"/>
        <v/>
      </c>
      <c r="DE54" s="730"/>
      <c r="DF54" s="731"/>
      <c r="DG54" s="55"/>
      <c r="DH54" s="56"/>
      <c r="DI54" s="56"/>
      <c r="DJ54" s="56"/>
      <c r="DK54" s="56"/>
      <c r="DL54" s="56"/>
      <c r="DM54" s="56"/>
      <c r="DN54" s="56"/>
      <c r="DO54" s="56"/>
      <c r="DP54" s="56"/>
      <c r="DQ54" s="58"/>
      <c r="DR54" s="58"/>
      <c r="DS54" s="58"/>
      <c r="DT54" s="58"/>
      <c r="DU54" s="58"/>
      <c r="DV54" s="58"/>
      <c r="DW54" s="58"/>
      <c r="DX54" s="58"/>
      <c r="DY54" s="58"/>
      <c r="DZ54" s="58"/>
      <c r="EA54" s="58"/>
      <c r="EB54" s="58"/>
      <c r="EC54" s="58"/>
      <c r="ED54" s="58"/>
      <c r="EE54" s="58"/>
      <c r="EF54" s="58"/>
      <c r="EG54" s="58"/>
      <c r="EH54" s="58"/>
      <c r="EI54" s="58"/>
      <c r="EJ54" s="58"/>
      <c r="EK54" s="58"/>
      <c r="EL54" s="134"/>
      <c r="EM54" s="134"/>
      <c r="EN54" s="134"/>
      <c r="EO54" s="134"/>
      <c r="EP54" s="134"/>
      <c r="EQ54" s="134"/>
      <c r="ER54" s="134"/>
      <c r="ES54" s="134"/>
      <c r="ET54" s="134"/>
      <c r="EU54" s="134"/>
      <c r="EV54" s="134"/>
      <c r="EW54" s="134"/>
      <c r="EX54" s="134"/>
      <c r="EY54" s="134"/>
      <c r="EZ54" s="134"/>
      <c r="FA54" s="134"/>
      <c r="FB54" s="134"/>
      <c r="FC54" s="134"/>
      <c r="FD54" s="134"/>
      <c r="FE54" s="134"/>
      <c r="FF54" s="134"/>
      <c r="FG54" s="134"/>
      <c r="FH54" s="134"/>
      <c r="FI54" s="134"/>
      <c r="FJ54" s="134"/>
      <c r="FK54" s="134"/>
      <c r="FL54" s="134"/>
      <c r="FM54" s="134"/>
      <c r="FN54" s="134"/>
      <c r="FO54" s="134"/>
      <c r="FQ54" s="124"/>
      <c r="FR54" s="122"/>
      <c r="FS54" s="120"/>
      <c r="FT54" s="119"/>
    </row>
    <row r="55" spans="2:176" ht="15.75" hidden="1" customHeight="1" thickBot="1" x14ac:dyDescent="0.3">
      <c r="B55" s="62" t="b">
        <f>IF(OR(AND(G55&gt;='Geometry 2'!$AK$5,G55&lt;'Geometry 2'!$AL$5),AND(G55&gt;='Geometry 2'!$AK$6,G55&lt;'Geometry 2'!$AL$6),AND(G55&gt;='Geometry 2'!$AK$7,G55&lt;'Geometry 2'!$AL$7),AND(G55&gt;='Geometry 2'!$AK$8,G55&lt;'Geometry 2'!$AL$8),AND(G55&gt;='Geometry 2'!$AK$9,G55&lt;'Geometry 2'!$AL$9),AND(G55&gt;='Geometry 2'!$AK$10,G55&lt;'Geometry 2'!$AL$10),AND(G55&gt;='Geometry 2'!$AK$11,G55&lt;'Geometry 2'!$AL$11),AND(G55&gt;='Geometry 2'!$AK$12,G55&lt;'Geometry 2'!$AL$12),AND(G55&gt;='Geometry 2'!$AK$13,G55&lt;'Geometry 2'!$AL$13),AND(G55&gt;='Geometry 2'!$AK$14,G55&lt;'Geometry 2'!$AL$14)),TRUE,FALSE)</f>
        <v>0</v>
      </c>
      <c r="C55" s="4" t="str">
        <f t="shared" si="3"/>
        <v/>
      </c>
      <c r="D55" s="766" t="str">
        <f t="shared" si="4"/>
        <v/>
      </c>
      <c r="E55" s="767"/>
      <c r="F55" s="17" t="str">
        <f t="shared" si="2"/>
        <v/>
      </c>
      <c r="G55" s="768" t="str">
        <f>IF(D55="","",MAX(0,G54-IF(inc="n/a",999,inc),MAX(IF(G54&lt;=Hta_1,0,Hta_1),IF(G54&lt;=Hta_2,0,Hta_2),IF(G54&lt;=Hta_3,0,Hta_3),IF(G54&lt;=Hta_4,0,Hta_4),IF(G54&lt;=Hta_5,0,Hta_5),IF(G54&lt;=Hta_6,0,Hta_6),IF(G54&lt;=Hta_7,0,Hta_7),IF(G54&lt;=Hta_8,0,Hta_8),IF(G54&lt;=Hta_9,0,Hta_9),IF(G54&lt;=Hta_10,0,Hta_10),IF(G54&lt;=Hta_11,0,Hta_11),IF(G54&lt;=Hta_12,0,Hta_12),IF(G54&lt;=Hta_13,0,Hta_13),IF(G54&lt;=Hta_14,0,Hta_14),IF(G54&lt;=Hta_15,0,Hta_15),IF(G54&lt;=Hta_16,0,Hta_16),IF(G54&lt;=Hta_17,0,Hta_17),IF(G54&lt;=Hta_18,0,Hta_18),IF(G54&lt;=Hta_19,0,Hta_19),IF(G54&lt;=Hta_20,0,Hta_20),IF(G54&lt;=Hta_21,0,Hta_21),IF(G54&lt;=Hta_22,0,Hta_22),IF(G54&lt;=Hta_23,0,Hta_23),IF(G54&lt;=Hta_24,0,Hta_24),IF(G54&lt;=Hta_25,0,Hta_25),IF(G54&lt;=Hta_26,0,Hta_26),IF(G54&lt;=Hta_27,0,Hta_27),IF(G54&lt;=Hta_28,0,Hta_28),IF(G54&lt;=Hta_29,0,Hta_29),IF(G54&lt;=Hta_30,0,Hta_30)),MAX(IF(G54&lt;=Hta_1-0.25,0,Hta_1-0.25),IF(G54&lt;=Hta_2-0.25,0,Hta_2-0.25),IF(G54&lt;=Hta_3-0.25,0,Hta_3-0.25),IF(G54&lt;=Hta_4-0.25,0,Hta_4-0.25),IF(G54&lt;=Hta_5-0.25,0,Hta_5-0.25),IF(G54&lt;=Hta_6-0.25,0,Hta_6-0.25),IF(G54&lt;=Hta_7-0.25,0,Hta_7-0.25),IF(G54&lt;=Hta_8-0.25,0,Hta_8-0.25),IF(G54&lt;=Hta_9-0.25,0,Hta_9-0.25),IF(G54&lt;=Hta_10-0.25,0,Hta_10-0.25),IF(G54&lt;=Hta_11-0.25,0,Hta_11-0.25),IF(G54&lt;=Hta_12-0.25,0,Hta_12-0.25),IF(G54&lt;=Hta_13-0.25,0,Hta_13-0.25),IF(G54&lt;=Hta_14-0.25,0,Hta_14-0.25),IF(G54&lt;=Hta_15-0.25,0,Hta_15-0.25),IF(G54&lt;=Hta_16-0.25,0,Hta_16-0.25),IF(G54&lt;=Hta_17-0.25,0,Hta_17-0.25),IF(G54&lt;=Hta_18-0.25,0,Hta_18-0.25),IF(G54&lt;=Hta_19-0.25,0,Hta_19-0.25),IF(G54&lt;=Hta_20-0.25,0,Hta_20-0.25),IF(G54&lt;=Hta_21-0.25,0,Hta_21-0.25),IF(G54&lt;=Hta_22-0.25,0,Hta_22-0.25),IF(G54&lt;=Hta_23-0.25,0,Hta_23-0.25),IF(G54&lt;=Hta_24-0.25,0,Hta_24-0.25),IF(G54&lt;=Hta_25-0.25,0,Hta_25-0.25),IF(G54&lt;=Hta_26-0.25,0,Hta_26-0.25),IF(G54&lt;=Hta_27-0.25,0,Hta_27-0.25),IF(G54&lt;=Hta_28-0.25,0,Hta_28-0.25),IF(G54&lt;=Hta_29-0.25,0,Hta_29-0.25),IF(G54&lt;=Hta_30-0.25,0,Hta_30-0.25)),MAX(IF(G54&lt;=Hba_1,0,Hba_1),IF(G54&lt;=Hba_2,0,Hba_2),IF(G54&lt;=Hba_3,0,Hba_3),IF(G54&lt;=Hba_4,0,Hba_4),IF(G54&lt;=Hba_5,0,Hba_5),IF(G54&lt;=Hba_6,0,Hba_6),IF(G54&lt;=Hba_7,0,Hba_7),IF(G54&lt;=Hba_8,0,Hba_8),IF(G54&lt;=Hba_9,0,Hba_9),IF(G54&lt;=Hba_10,0,Hba_10),IF(G54&lt;=Hba_11,0,Hba_11),IF(G54&lt;=Hba_12,0,Hba_12),IF(G54&lt;=Hba_13,0,Hba_13),IF(G54&lt;=Hba_14,0,Hba_14),IF(G54&lt;=Hba_15,0,Hba_15),IF(G54&lt;=Hba_16,0,Hba_16),IF(G54&lt;=Hba_17,0,Hba_17),IF(G54&lt;=Hba_18,0,Hba_18),IF(G54&lt;=Hba_19,0,Hba_19),IF(G54&lt;=Hba_20,0,Hba_20),IF(G54&lt;=Hba_21,0,Hba_21),IF(G54&lt;=Hba_22,0,Hba_22),IF(G54&lt;=Hba_23,0,Hba_23),IF(G54&lt;=Hba_24,0,Hba_24),IF(G54&lt;=Hba_25,0,Hba_25),IF(G54&lt;=Hba_26,0,Hba_26),IF(G54&lt;=Hba_27,0,Hba_27),IF(G54&lt;=Hba_28,0,Hba_28),IF(G54&lt;=Hba_29,0,Hba_29),IF(G54&lt;=Hba_30,0,Hba_30)),MAX(IF(G54&lt;=Input!$C$8,0,Input!$C$8),IF(G54&lt;=Input!$C$9,0,Input!$C$9),IF(G54&lt;=Input!$C$10,0,Input!$C$10),IF(G54&lt;=Input!$C$11,0,Input!$C$11),IF(G54&lt;=Input!$C$12,0,Input!$C$12),IF(G54&lt;=Input!$C$13,0,Input!$C$13),IF(G54&lt;=Input!$C$14,0,Input!$C$14),IF(G54&lt;=Input!$C$15,0,Input!$C$15),IF(G54&lt;=Input!$C$16,0,Input!$C$16)),MAX(IF(G54&lt;=Hba_1-0.25,0,Hba_1-0.25),IF(G54&lt;=Hba_2-0.25,0,Hba_2-0.25),IF(G54&lt;=Hba_3-0.25,0,Hba_3-0.25),IF(G54&lt;=Hba_4-0.25,0,Hba_4-0.25),IF(G54&lt;=Hba_5-0.25,0,Hba_5-0.25),IF(G54&lt;=Hba_6-0.25,0,Hba_6-0.25),IF(G54&lt;=Hba_7-0.25,0,Hba_7-0.25),IF(G54&lt;=Hba_8-0.25,0,Hba_8-0.25),IF(G54&lt;=Hba_9-0.25,0,Hba_9-0.25),IF(G54&lt;=Hba_10-0.25,0,Hba_10-0.25),IF(G54&lt;=Hba_11-0.25,0,Hba_11-0.25),IF(G54&lt;=Hba_12-0.25,0,Hba_12-0.25),IF(G54&lt;=Hba_13-0.25,0,Hba_13-0.25),IF(G54&lt;=Hba_14-0.25,0,Hba_14-0.25),IF(G54&lt;=Hba_15-0.25,0,Hba_15-0.25),IF(G54&lt;=Hba_16-0.25,0,Hba_16-0.25),IF(G54&lt;=Hba_17-0.25,0,Hba_17-0.25),IF(G54&lt;=Hba_18-0.25,0,Hba_18-0.25),IF(G54&lt;=Hba_19-0.25,0,Hba_19-0.25),IF(G54&lt;=Hba_20-0.25,0,Hba_20-0.25),IF(G54&lt;=Hba_21-0.25,0,Hba_21-0.25),IF(G54&lt;=Hba_22-0.25,0,Hba_22-0.25),IF(G54&lt;=Hba_23-0.25,0,Hba_23-0.25),IF(G54&lt;=Hba_24-0.25,0,Hba_24-0.25),IF(G54&lt;=Hba_25-0.25,0,Hba_25-0.25),IF(G54&lt;=Hba_26-0.25,0,Hba_26-0.25),IF(G54&lt;=Hba_27-0.25,0,Hba_27-0.25),IF(G54&lt;=Hba_28-0.25,0,Hba_28-0.25),IF(G54&lt;=Hba_29-0.25,0,Hba_29-0.25),IF(G54&lt;=Hba_30-0.25,0,Hba_30-0.25)),IF(G54&lt;='Macro References'!$A$38,0,'Macro References'!$A$38)))</f>
        <v/>
      </c>
      <c r="H55" s="769"/>
      <c r="I55" s="228"/>
      <c r="J55" s="228"/>
      <c r="K55" s="228"/>
      <c r="L55" s="717" t="str">
        <f t="shared" si="10"/>
        <v/>
      </c>
      <c r="M55" s="717"/>
      <c r="N55" s="717"/>
      <c r="O55" s="717"/>
      <c r="P55" s="717" t="str">
        <f>IF(OR(G55=0,G55=""),"",IF(VLOOKUP(G55,'Geometry 2'!$C$4:$AI$14,1,TRUE)=VLOOKUP(G56,'Geometry 2'!$C$4:$AI$14,1,TRUE),"",IF(VLOOKUP(G55,'Geometry 2'!$C$4:$AI$14,33,TRUE)&lt;&gt;"n/a",MIN(G55,VLOOKUP(G55,'Geometry 2'!$C$4:$AI$14,1,TRUE))-VLOOKUP(G55,'Geometry 2'!$C$4:$AI$14,33,TRUE),"check")))</f>
        <v/>
      </c>
      <c r="Q55" s="717"/>
      <c r="R55" s="717"/>
      <c r="S55" s="717"/>
      <c r="T55" s="717" t="str">
        <f>IF($G55="","",VLOOKUP($G55,'Geometry 2'!$E$4:$AH$14,11,TRUE))</f>
        <v/>
      </c>
      <c r="U55" s="717"/>
      <c r="V55" s="717"/>
      <c r="W55" s="717"/>
      <c r="X55" s="716" t="str">
        <f>IF($G55="","",VLOOKUP($G55,'Geometry 2'!$E$4:$AJ$14,19,TRUE)-12*VLOOKUP($G55,'Geometry 2'!$E$4:$AJ$14,32,TRUE)*($D55-VLOOKUP($G55,'Geometry 2'!$E$5:$AH$14,1,TRUE)))</f>
        <v/>
      </c>
      <c r="Y55" s="716"/>
      <c r="Z55" s="716"/>
      <c r="AA55" s="716"/>
      <c r="AB55" s="757" t="str">
        <f>IF($G55="","",VLOOKUP($G55,'Geometry 2'!$E$4:$AJ$14,19,TRUE)-12*VLOOKUP($G55,'Geometry 2'!$E$4:$AJ$14,32,TRUE)*($G55-VLOOKUP($G55,'Geometry 2'!$E$5:$AH$14,1,TRUE)))</f>
        <v/>
      </c>
      <c r="AC55" s="758"/>
      <c r="AD55" s="758"/>
      <c r="AE55" s="759"/>
      <c r="AF55" s="716" t="str">
        <f>IF($G55="","",VLOOKUP($G55,'Geometry 2'!$E$4:$AJ$14,19,TRUE)-12*VLOOKUP($G55,'Geometry 2'!$E$4:$AJ$14,32,TRUE)*($G55-IF($P55="",0,$P55)-VLOOKUP($G55,'Geometry 2'!$E$5:$AH$14,1,TRUE)))</f>
        <v/>
      </c>
      <c r="AG55" s="716"/>
      <c r="AH55" s="716"/>
      <c r="AI55" s="716"/>
      <c r="AJ55" s="746" t="str">
        <f>IF($G55="","",VLOOKUP($G55,'Geometry 2'!$E$4:$AH$14,23,TRUE))</f>
        <v/>
      </c>
      <c r="AK55" s="747"/>
      <c r="AL55" s="747"/>
      <c r="AM55" s="748"/>
      <c r="AN55" s="717"/>
      <c r="AO55" s="717"/>
      <c r="AP55" s="717"/>
      <c r="AQ55" s="717"/>
      <c r="AR55" s="717" t="str">
        <f>IF($G55="","",VLOOKUP($G55,'Geometry 2'!$E$4:$AH$14,27,TRUE))</f>
        <v/>
      </c>
      <c r="AS55" s="717"/>
      <c r="AT55" s="717"/>
      <c r="AU55" s="718"/>
      <c r="AV55" s="715"/>
      <c r="AW55" s="716"/>
      <c r="AX55" s="716"/>
      <c r="AZ55" s="722" t="str">
        <f t="shared" si="5"/>
        <v/>
      </c>
      <c r="BA55" s="723"/>
      <c r="BB55" s="723"/>
      <c r="BC55" s="724"/>
      <c r="BD55" s="722"/>
      <c r="BE55" s="723"/>
      <c r="BF55" s="723"/>
      <c r="BG55" s="722" t="str">
        <f t="shared" si="9"/>
        <v/>
      </c>
      <c r="BH55" s="723"/>
      <c r="BI55" s="723"/>
      <c r="BJ55" s="723"/>
      <c r="BK55" s="724"/>
      <c r="BL55" s="722"/>
      <c r="BM55" s="723"/>
      <c r="BN55" s="723"/>
      <c r="BO55" s="723"/>
      <c r="BP55" s="725"/>
      <c r="BQ55" s="725"/>
      <c r="BR55" s="722" t="str">
        <f>IF(BP55="","",IF(OR(AND(Rev="H",Calculations!$F$27=TRUE),AND(Rev&lt;&gt;"H",Calculations!$F$30=TRUE)),IF(BP55&lt;=1,"Pass","Fail"),IF(BP55&lt;=1.05,"Pass","Fail")))</f>
        <v/>
      </c>
      <c r="BS55" s="723"/>
      <c r="BT55" s="724"/>
      <c r="BU55" s="49"/>
      <c r="BV55" s="25" t="str">
        <f>IFERROR(CONCATENATE(IF(AND($G55&lt;Hta_1,$G55&gt;=Hba_1,Input!U$21&lt;&gt;""),Input!$B$21&amp;";",""),IF(AND($G55&lt;Hta_2,$G55&gt;=Hba_2,Input!U$22&lt;&gt;""),Input!$B$22&amp;";",""),IF(AND($G55&lt;Hta_3,$G55&gt;=Hba_3,Input!U$23&lt;&gt;""),Input!$B$23&amp;";",""),IF(AND($G55&lt;Hta_4,$G55&gt;=Hba_4,Input!U$24&lt;&gt;""),Input!$B$24&amp;";",""),IF(AND($G55&lt;Hta_5,$G55&gt;=Hba_5,Input!U$25&lt;&gt;""),Input!$B$25&amp;";",""),IF(AND($G55&lt;Hta_6,$G55&gt;=Hba_6,Input!U$26&lt;&gt;""),Input!$B$26&amp;";",""),IF(AND($G55&lt;Hta_7,$G55&gt;=Hba_7,Input!U$27&lt;&gt;""),Input!$B$27&amp;";",""),IF(AND($G55&lt;Hta_8,$G55&gt;=Hba_8,Input!U$28&lt;&gt;""),Input!$B$28&amp;";",""),IF(AND($G55&lt;Hta_9,$G55&gt;=Hba_9,Input!U$29&lt;&gt;""),Input!$B$29&amp;";",""),IF(AND($G55&lt;Hta_10,$G55&gt;=Hba_10,Input!U$30&lt;&gt;""),Input!$B$30&amp;";",""),IF(AND($G55&lt;Hta_11,$G55&gt;=Hba_11,Input!U$31&lt;&gt;""),Input!$B$31&amp;";",""),IF(AND($G55&lt;Hta_12,$G55&gt;=Hba_12,Input!U$32&lt;&gt;""),Input!$B$32&amp;";",""),IF(AND($G55&lt;Hta_13,$G55&gt;=Hba_13,Input!U$33&lt;&gt;""),Input!$B$33&amp;";",""),IF(AND($G55&lt;Hta_14,$G55&gt;=Hba_14,Input!U$34&lt;&gt;""),Input!$B$34&amp;";",""),IF(AND($G55&lt;Hta_15,$G55&gt;=Hba_15,Input!U$35&lt;&gt;""),Input!$B$35&amp;";",""),IF(AND($G55&lt;Hta_16,$G55&gt;=Hba_16,Input!U$36&lt;&gt;""),Input!$B$36&amp;";",""),IF(AND($G55&lt;Hta_17,$G55&gt;=Hba_17,Input!U$37&lt;&gt;""),Input!$B$37&amp;";",""),IF(AND($G55&lt;Hta_18,$G55&gt;=Hba_18,Input!U$38&lt;&gt;""),Input!$B$38&amp;";",""),IF(AND($G55&lt;Hta_19,$G55&gt;=Hba_19,Input!U$39&lt;&gt;""),Input!$B$39&amp;";",""),IF(AND($G55&lt;Hta_20,$G55&gt;=Hba_20,Input!U$40&lt;&gt;""),Input!$B$40&amp;";",""),IF(AND($G55&lt;Hta_21,$G55&gt;=Hba_21,Input!U$41&lt;&gt;""),Input!$B$41&amp;";",""),IF(AND($G55&lt;Hta_22,$G55&gt;=Hba_22,Input!U$42&lt;&gt;""),Input!$B$42&amp;";",""),IF(AND($G55&lt;Hta_23,$G55&gt;=Hba_23,Input!U$43&lt;&gt;""),Input!$B$43&amp;";",""),IF(AND($G55&lt;Hta_24,$G55&gt;=Hba_24,Input!U$44&lt;&gt;""),Input!$B$44&amp;";",""),IF(AND($G55&lt;Hta_25,$G55&gt;=Hba_25,Input!U$45&lt;&gt;""),Input!$B$45&amp;";",""),IF(AND($G55&lt;Hta_26,$G55&gt;=Hba_26,Input!U$46&lt;&gt;""),Input!$B$46&amp;";",""),IF(AND($G55&lt;Hta_27,$G55&gt;=Hba_27,Input!U$47&lt;&gt;""),Input!$B$47&amp;";",""),IF(AND($G55&lt;Hta_28,$G55&gt;=Hba_28,Input!U$48&lt;&gt;""),Input!$B$48&amp;";",""),IF(AND($G55&lt;Hta_29,$G55&gt;=Hba_29,Input!U$49&lt;&gt;""),Input!$B$49&amp;";",""),IF(AND($G55&lt;Hta_30,$G55&gt;=Hba_30,Input!U$50&lt;&gt;""),Input!$B$50&amp;";","")),"")</f>
        <v/>
      </c>
      <c r="BW55" s="25" t="str">
        <f>IFERROR(CONCATENATE(IF(AND($G55&lt;Hta_1,$G55&gt;=Hba_1,Input!V$21&lt;&gt;""),Input!$B$21&amp;";",""),IF(AND($G55&lt;Hta_2,$G55&gt;=Hba_2,Input!V$22&lt;&gt;""),Input!$B$22&amp;";",""),IF(AND($G55&lt;Hta_3,$G55&gt;=Hba_3,Input!V$23&lt;&gt;""),Input!$B$23&amp;";",""),IF(AND($G55&lt;Hta_4,$G55&gt;=Hba_4,Input!V$24&lt;&gt;""),Input!$B$24&amp;";",""),IF(AND($G55&lt;Hta_5,$G55&gt;=Hba_5,Input!V$25&lt;&gt;""),Input!$B$25&amp;";",""),IF(AND($G55&lt;Hta_6,$G55&gt;=Hba_6,Input!V$26&lt;&gt;""),Input!$B$26&amp;";",""),IF(AND($G55&lt;Hta_7,$G55&gt;=Hba_7,Input!V$27&lt;&gt;""),Input!$B$27&amp;";",""),IF(AND($G55&lt;Hta_8,$G55&gt;=Hba_8,Input!V$28&lt;&gt;""),Input!$B$28&amp;";",""),IF(AND($G55&lt;Hta_9,$G55&gt;=Hba_9,Input!V$29&lt;&gt;""),Input!$B$29&amp;";",""),IF(AND($G55&lt;Hta_10,$G55&gt;=Hba_10,Input!V$30&lt;&gt;""),Input!$B$30&amp;";",""),IF(AND($G55&lt;Hta_11,$G55&gt;=Hba_11,Input!V$31&lt;&gt;""),Input!$B$31&amp;";",""),IF(AND($G55&lt;Hta_12,$G55&gt;=Hba_12,Input!V$32&lt;&gt;""),Input!$B$32&amp;";",""),IF(AND($G55&lt;Hta_13,$G55&gt;=Hba_13,Input!V$33&lt;&gt;""),Input!$B$33&amp;";",""),IF(AND($G55&lt;Hta_14,$G55&gt;=Hba_14,Input!V$34&lt;&gt;""),Input!$B$34&amp;";",""),IF(AND($G55&lt;Hta_15,$G55&gt;=Hba_15,Input!V$35&lt;&gt;""),Input!$B$35&amp;";",""),IF(AND($G55&lt;Hta_16,$G55&gt;=Hba_16,Input!V$36&lt;&gt;""),Input!$B$36&amp;";",""),IF(AND($G55&lt;Hta_17,$G55&gt;=Hba_17,Input!V$37&lt;&gt;""),Input!$B$37&amp;";",""),IF(AND($G55&lt;Hta_18,$G55&gt;=Hba_18,Input!V$38&lt;&gt;""),Input!$B$38&amp;";",""),IF(AND($G55&lt;Hta_19,$G55&gt;=Hba_19,Input!V$39&lt;&gt;""),Input!$B$39&amp;";",""),IF(AND($G55&lt;Hta_20,$G55&gt;=Hba_20,Input!V$40&lt;&gt;""),Input!$B$40&amp;";",""),IF(AND($G55&lt;Hta_21,$G55&gt;=Hba_21,Input!V$41&lt;&gt;""),Input!$B$41&amp;";",""),IF(AND($G55&lt;Hta_22,$G55&gt;=Hba_22,Input!V$42&lt;&gt;""),Input!$B$42&amp;";",""),IF(AND($G55&lt;Hta_23,$G55&gt;=Hba_23,Input!V$43&lt;&gt;""),Input!$B$43&amp;";",""),IF(AND($G55&lt;Hta_24,$G55&gt;=Hba_24,Input!V$44&lt;&gt;""),Input!$B$44&amp;";",""),IF(AND($G55&lt;Hta_25,$G55&gt;=Hba_25,Input!V$45&lt;&gt;""),Input!$B$45&amp;";",""),IF(AND($G55&lt;Hta_26,$G55&gt;=Hba_26,Input!V$46&lt;&gt;""),Input!$B$46&amp;";",""),IF(AND($G55&lt;Hta_27,$G55&gt;=Hba_27,Input!V$47&lt;&gt;""),Input!$B$47&amp;";",""),IF(AND($G55&lt;Hta_28,$G55&gt;=Hba_28,Input!V$48&lt;&gt;""),Input!$B$48&amp;";",""),IF(AND($G55&lt;Hta_29,$G55&gt;=Hba_29,Input!V$49&lt;&gt;""),Input!$B$49&amp;";",""),IF(AND($G55&lt;Hta_30,$G55&gt;=Hba_30,Input!V$50&lt;&gt;""),Input!$B$50&amp;";","")),"")</f>
        <v/>
      </c>
      <c r="BX55" s="25" t="str">
        <f>IFERROR(CONCATENATE(IF(AND($G55&lt;Hta_1,$G55&gt;=Hba_1,Input!W$21&lt;&gt;""),Input!$B$21&amp;";",""),IF(AND($G55&lt;Hta_2,$G55&gt;=Hba_2,Input!W$22&lt;&gt;""),Input!$B$22&amp;";",""),IF(AND($G55&lt;Hta_3,$G55&gt;=Hba_3,Input!W$23&lt;&gt;""),Input!$B$23&amp;";",""),IF(AND($G55&lt;Hta_4,$G55&gt;=Hba_4,Input!W$24&lt;&gt;""),Input!$B$24&amp;";",""),IF(AND($G55&lt;Hta_5,$G55&gt;=Hba_5,Input!W$25&lt;&gt;""),Input!$B$25&amp;";",""),IF(AND($G55&lt;Hta_6,$G55&gt;=Hba_6,Input!W$26&lt;&gt;""),Input!$B$26&amp;";",""),IF(AND($G55&lt;Hta_7,$G55&gt;=Hba_7,Input!W$27&lt;&gt;""),Input!$B$27&amp;";",""),IF(AND($G55&lt;Hta_8,$G55&gt;=Hba_8,Input!W$28&lt;&gt;""),Input!$B$28&amp;";",""),IF(AND($G55&lt;Hta_9,$G55&gt;=Hba_9,Input!W$29&lt;&gt;""),Input!$B$29&amp;";",""),IF(AND($G55&lt;Hta_10,$G55&gt;=Hba_10,Input!W$30&lt;&gt;""),Input!$B$30&amp;";",""),IF(AND($G55&lt;Hta_11,$G55&gt;=Hba_11,Input!W$31&lt;&gt;""),Input!$B$31&amp;";",""),IF(AND($G55&lt;Hta_12,$G55&gt;=Hba_12,Input!W$32&lt;&gt;""),Input!$B$32&amp;";",""),IF(AND($G55&lt;Hta_13,$G55&gt;=Hba_13,Input!W$33&lt;&gt;""),Input!$B$33&amp;";",""),IF(AND($G55&lt;Hta_14,$G55&gt;=Hba_14,Input!W$34&lt;&gt;""),Input!$B$34&amp;";",""),IF(AND($G55&lt;Hta_15,$G55&gt;=Hba_15,Input!W$35&lt;&gt;""),Input!$B$35&amp;";",""),IF(AND($G55&lt;Hta_16,$G55&gt;=Hba_16,Input!W$36&lt;&gt;""),Input!$B$36&amp;";",""),IF(AND($G55&lt;Hta_17,$G55&gt;=Hba_17,Input!W$37&lt;&gt;""),Input!$B$37&amp;";",""),IF(AND($G55&lt;Hta_18,$G55&gt;=Hba_18,Input!W$38&lt;&gt;""),Input!$B$38&amp;";",""),IF(AND($G55&lt;Hta_19,$G55&gt;=Hba_19,Input!W$39&lt;&gt;""),Input!$B$39&amp;";",""),IF(AND($G55&lt;Hta_20,$G55&gt;=Hba_20,Input!W$40&lt;&gt;""),Input!$B$40&amp;";",""),IF(AND($G55&lt;Hta_21,$G55&gt;=Hba_21,Input!W$41&lt;&gt;""),Input!$B$41&amp;";",""),IF(AND($G55&lt;Hta_22,$G55&gt;=Hba_22,Input!W$42&lt;&gt;""),Input!$B$42&amp;";",""),IF(AND($G55&lt;Hta_23,$G55&gt;=Hba_23,Input!W$43&lt;&gt;""),Input!$B$43&amp;";",""),IF(AND($G55&lt;Hta_24,$G55&gt;=Hba_24,Input!W$44&lt;&gt;""),Input!$B$44&amp;";",""),IF(AND($G55&lt;Hta_25,$G55&gt;=Hba_25,Input!W$45&lt;&gt;""),Input!$B$45&amp;";",""),IF(AND($G55&lt;Hta_26,$G55&gt;=Hba_26,Input!W$46&lt;&gt;""),Input!$B$46&amp;";",""),IF(AND($G55&lt;Hta_27,$G55&gt;=Hba_27,Input!W$47&lt;&gt;""),Input!$B$47&amp;";",""),IF(AND($G55&lt;Hta_28,$G55&gt;=Hba_28,Input!W$48&lt;&gt;""),Input!$B$48&amp;";",""),IF(AND($G55&lt;Hta_29,$G55&gt;=Hba_29,Input!W$49&lt;&gt;""),Input!$B$49&amp;";",""),IF(AND($G55&lt;Hta_30,$G55&gt;=Hba_30,Input!W$50&lt;&gt;""),Input!$B$50&amp;";","")),"")</f>
        <v/>
      </c>
      <c r="BY55" s="25" t="str">
        <f>IFERROR(CONCATENATE(IF(AND($G55&lt;Hta_1,$G55&gt;=Hba_1,Input!X$21&lt;&gt;""),Input!$B$21&amp;";",""),IF(AND($G55&lt;Hta_2,$G55&gt;=Hba_2,Input!X$22&lt;&gt;""),Input!$B$22&amp;";",""),IF(AND($G55&lt;Hta_3,$G55&gt;=Hba_3,Input!X$23&lt;&gt;""),Input!$B$23&amp;";",""),IF(AND($G55&lt;Hta_4,$G55&gt;=Hba_4,Input!X$24&lt;&gt;""),Input!$B$24&amp;";",""),IF(AND($G55&lt;Hta_5,$G55&gt;=Hba_5,Input!X$25&lt;&gt;""),Input!$B$25&amp;";",""),IF(AND($G55&lt;Hta_6,$G55&gt;=Hba_6,Input!X$26&lt;&gt;""),Input!$B$26&amp;";",""),IF(AND($G55&lt;Hta_7,$G55&gt;=Hba_7,Input!X$27&lt;&gt;""),Input!$B$27&amp;";",""),IF(AND($G55&lt;Hta_8,$G55&gt;=Hba_8,Input!X$28&lt;&gt;""),Input!$B$28&amp;";",""),IF(AND($G55&lt;Hta_9,$G55&gt;=Hba_9,Input!X$29&lt;&gt;""),Input!$B$29&amp;";",""),IF(AND($G55&lt;Hta_10,$G55&gt;=Hba_10,Input!X$30&lt;&gt;""),Input!$B$30&amp;";",""),IF(AND($G55&lt;Hta_11,$G55&gt;=Hba_11,Input!X$31&lt;&gt;""),Input!$B$31&amp;";",""),IF(AND($G55&lt;Hta_12,$G55&gt;=Hba_12,Input!X$32&lt;&gt;""),Input!$B$32&amp;";",""),IF(AND($G55&lt;Hta_13,$G55&gt;=Hba_13,Input!X$33&lt;&gt;""),Input!$B$33&amp;";",""),IF(AND($G55&lt;Hta_14,$G55&gt;=Hba_14,Input!X$34&lt;&gt;""),Input!$B$34&amp;";",""),IF(AND($G55&lt;Hta_15,$G55&gt;=Hba_15,Input!X$35&lt;&gt;""),Input!$B$35&amp;";",""),IF(AND($G55&lt;Hta_16,$G55&gt;=Hba_16,Input!X$36&lt;&gt;""),Input!$B$36&amp;";",""),IF(AND($G55&lt;Hta_17,$G55&gt;=Hba_17,Input!X$37&lt;&gt;""),Input!$B$37&amp;";",""),IF(AND($G55&lt;Hta_18,$G55&gt;=Hba_18,Input!X$38&lt;&gt;""),Input!$B$38&amp;";",""),IF(AND($G55&lt;Hta_19,$G55&gt;=Hba_19,Input!X$39&lt;&gt;""),Input!$B$39&amp;";",""),IF(AND($G55&lt;Hta_20,$G55&gt;=Hba_20,Input!X$40&lt;&gt;""),Input!$B$40&amp;";",""),IF(AND($G55&lt;Hta_21,$G55&gt;=Hba_21,Input!X$41&lt;&gt;""),Input!$B$41&amp;";",""),IF(AND($G55&lt;Hta_22,$G55&gt;=Hba_22,Input!X$42&lt;&gt;""),Input!$B$42&amp;";",""),IF(AND($G55&lt;Hta_23,$G55&gt;=Hba_23,Input!X$43&lt;&gt;""),Input!$B$43&amp;";",""),IF(AND($G55&lt;Hta_24,$G55&gt;=Hba_24,Input!X$44&lt;&gt;""),Input!$B$44&amp;";",""),IF(AND($G55&lt;Hta_25,$G55&gt;=Hba_25,Input!X$45&lt;&gt;""),Input!$B$45&amp;";",""),IF(AND($G55&lt;Hta_26,$G55&gt;=Hba_26,Input!X$46&lt;&gt;""),Input!$B$46&amp;";",""),IF(AND($G55&lt;Hta_27,$G55&gt;=Hba_27,Input!X$47&lt;&gt;""),Input!$B$47&amp;";",""),IF(AND($G55&lt;Hta_28,$G55&gt;=Hba_28,Input!X$48&lt;&gt;""),Input!$B$48&amp;";",""),IF(AND($G55&lt;Hta_29,$G55&gt;=Hba_29,Input!X$49&lt;&gt;""),Input!$B$49&amp;";",""),IF(AND($G55&lt;Hta_30,$G55&gt;=Hba_30,Input!X$50&lt;&gt;""),Input!$B$50&amp;";","")),"")</f>
        <v/>
      </c>
      <c r="BZ55" s="25" t="str">
        <f>IFERROR(CONCATENATE(IF(AND($G55&lt;Hta_1,$G55&gt;=Hba_1,Input!Y$21&lt;&gt;""),Input!$B$21&amp;";",""),IF(AND($G55&lt;Hta_2,$G55&gt;=Hba_2,Input!Y$22&lt;&gt;""),Input!$B$22&amp;";",""),IF(AND($G55&lt;Hta_3,$G55&gt;=Hba_3,Input!Y$23&lt;&gt;""),Input!$B$23&amp;";",""),IF(AND($G55&lt;Hta_4,$G55&gt;=Hba_4,Input!Y$24&lt;&gt;""),Input!$B$24&amp;";",""),IF(AND($G55&lt;Hta_5,$G55&gt;=Hba_5,Input!Y$25&lt;&gt;""),Input!$B$25&amp;";",""),IF(AND($G55&lt;Hta_6,$G55&gt;=Hba_6,Input!Y$26&lt;&gt;""),Input!$B$26&amp;";",""),IF(AND($G55&lt;Hta_7,$G55&gt;=Hba_7,Input!Y$27&lt;&gt;""),Input!$B$27&amp;";",""),IF(AND($G55&lt;Hta_8,$G55&gt;=Hba_8,Input!Y$28&lt;&gt;""),Input!$B$28&amp;";",""),IF(AND($G55&lt;Hta_9,$G55&gt;=Hba_9,Input!Y$29&lt;&gt;""),Input!$B$29&amp;";",""),IF(AND($G55&lt;Hta_10,$G55&gt;=Hba_10,Input!Y$30&lt;&gt;""),Input!$B$30&amp;";",""),IF(AND($G55&lt;Hta_11,$G55&gt;=Hba_11,Input!Y$31&lt;&gt;""),Input!$B$31&amp;";",""),IF(AND($G55&lt;Hta_12,$G55&gt;=Hba_12,Input!Y$32&lt;&gt;""),Input!$B$32&amp;";",""),IF(AND($G55&lt;Hta_13,$G55&gt;=Hba_13,Input!Y$33&lt;&gt;""),Input!$B$33&amp;";",""),IF(AND($G55&lt;Hta_14,$G55&gt;=Hba_14,Input!Y$34&lt;&gt;""),Input!$B$34&amp;";",""),IF(AND($G55&lt;Hta_15,$G55&gt;=Hba_15,Input!Y$35&lt;&gt;""),Input!$B$35&amp;";",""),IF(AND($G55&lt;Hta_16,$G55&gt;=Hba_16,Input!Y$36&lt;&gt;""),Input!$B$36&amp;";",""),IF(AND($G55&lt;Hta_17,$G55&gt;=Hba_17,Input!Y$37&lt;&gt;""),Input!$B$37&amp;";",""),IF(AND($G55&lt;Hta_18,$G55&gt;=Hba_18,Input!Y$38&lt;&gt;""),Input!$B$38&amp;";",""),IF(AND($G55&lt;Hta_19,$G55&gt;=Hba_19,Input!Y$39&lt;&gt;""),Input!$B$39&amp;";",""),IF(AND($G55&lt;Hta_20,$G55&gt;=Hba_20,Input!Y$40&lt;&gt;""),Input!$B$40&amp;";",""),IF(AND($G55&lt;Hta_21,$G55&gt;=Hba_21,Input!Y$41&lt;&gt;""),Input!$B$41&amp;";",""),IF(AND($G55&lt;Hta_22,$G55&gt;=Hba_22,Input!Y$42&lt;&gt;""),Input!$B$42&amp;";",""),IF(AND($G55&lt;Hta_23,$G55&gt;=Hba_23,Input!Y$43&lt;&gt;""),Input!$B$43&amp;";",""),IF(AND($G55&lt;Hta_24,$G55&gt;=Hba_24,Input!Y$44&lt;&gt;""),Input!$B$44&amp;";",""),IF(AND($G55&lt;Hta_25,$G55&gt;=Hba_25,Input!Y$45&lt;&gt;""),Input!$B$45&amp;";",""),IF(AND($G55&lt;Hta_26,$G55&gt;=Hba_26,Input!Y$46&lt;&gt;""),Input!$B$46&amp;";",""),IF(AND($G55&lt;Hta_27,$G55&gt;=Hba_27,Input!Y$47&lt;&gt;""),Input!$B$47&amp;";",""),IF(AND($G55&lt;Hta_28,$G55&gt;=Hba_28,Input!Y$48&lt;&gt;""),Input!$B$48&amp;";",""),IF(AND($G55&lt;Hta_29,$G55&gt;=Hba_29,Input!Y$49&lt;&gt;""),Input!$B$49&amp;";",""),IF(AND($G55&lt;Hta_30,$G55&gt;=Hba_30,Input!Y$50&lt;&gt;""),Input!$B$50&amp;";","")),"")</f>
        <v/>
      </c>
      <c r="CA55" s="25" t="str">
        <f>IFERROR(CONCATENATE(IF(AND($G55&lt;Hta_1,$G55&gt;=Hba_1,Input!Z$21&lt;&gt;""),Input!$B$21&amp;";",""),IF(AND($G55&lt;Hta_2,$G55&gt;=Hba_2,Input!Z$22&lt;&gt;""),Input!$B$22&amp;";",""),IF(AND($G55&lt;Hta_3,$G55&gt;=Hba_3,Input!Z$23&lt;&gt;""),Input!$B$23&amp;";",""),IF(AND($G55&lt;Hta_4,$G55&gt;=Hba_4,Input!Z$24&lt;&gt;""),Input!$B$24&amp;";",""),IF(AND($G55&lt;Hta_5,$G55&gt;=Hba_5,Input!Z$25&lt;&gt;""),Input!$B$25&amp;";",""),IF(AND($G55&lt;Hta_6,$G55&gt;=Hba_6,Input!Z$26&lt;&gt;""),Input!$B$26&amp;";",""),IF(AND($G55&lt;Hta_7,$G55&gt;=Hba_7,Input!Z$27&lt;&gt;""),Input!$B$27&amp;";",""),IF(AND($G55&lt;Hta_8,$G55&gt;=Hba_8,Input!Z$28&lt;&gt;""),Input!$B$28&amp;";",""),IF(AND($G55&lt;Hta_9,$G55&gt;=Hba_9,Input!Z$29&lt;&gt;""),Input!$B$29&amp;";",""),IF(AND($G55&lt;Hta_10,$G55&gt;=Hba_10,Input!Z$30&lt;&gt;""),Input!$B$30&amp;";",""),IF(AND($G55&lt;Hta_11,$G55&gt;=Hba_11,Input!Z$31&lt;&gt;""),Input!$B$31&amp;";",""),IF(AND($G55&lt;Hta_12,$G55&gt;=Hba_12,Input!Z$32&lt;&gt;""),Input!$B$32&amp;";",""),IF(AND($G55&lt;Hta_13,$G55&gt;=Hba_13,Input!Z$33&lt;&gt;""),Input!$B$33&amp;";",""),IF(AND($G55&lt;Hta_14,$G55&gt;=Hba_14,Input!Z$34&lt;&gt;""),Input!$B$34&amp;";",""),IF(AND($G55&lt;Hta_15,$G55&gt;=Hba_15,Input!Z$35&lt;&gt;""),Input!$B$35&amp;";",""),IF(AND($G55&lt;Hta_16,$G55&gt;=Hba_16,Input!Z$36&lt;&gt;""),Input!$B$36&amp;";",""),IF(AND($G55&lt;Hta_17,$G55&gt;=Hba_17,Input!Z$37&lt;&gt;""),Input!$B$37&amp;";",""),IF(AND($G55&lt;Hta_18,$G55&gt;=Hba_18,Input!Z$38&lt;&gt;""),Input!$B$38&amp;";",""),IF(AND($G55&lt;Hta_19,$G55&gt;=Hba_19,Input!Z$39&lt;&gt;""),Input!$B$39&amp;";",""),IF(AND($G55&lt;Hta_20,$G55&gt;=Hba_20,Input!Z$40&lt;&gt;""),Input!$B$40&amp;";",""),IF(AND($G55&lt;Hta_21,$G55&gt;=Hba_21,Input!Z$41&lt;&gt;""),Input!$B$41&amp;";",""),IF(AND($G55&lt;Hta_22,$G55&gt;=Hba_22,Input!Z$42&lt;&gt;""),Input!$B$42&amp;";",""),IF(AND($G55&lt;Hta_23,$G55&gt;=Hba_23,Input!Z$43&lt;&gt;""),Input!$B$43&amp;";",""),IF(AND($G55&lt;Hta_24,$G55&gt;=Hba_24,Input!Z$44&lt;&gt;""),Input!$B$44&amp;";",""),IF(AND($G55&lt;Hta_25,$G55&gt;=Hba_25,Input!Z$45&lt;&gt;""),Input!$B$45&amp;";",""),IF(AND($G55&lt;Hta_26,$G55&gt;=Hba_26,Input!Z$46&lt;&gt;""),Input!$B$46&amp;";",""),IF(AND($G55&lt;Hta_27,$G55&gt;=Hba_27,Input!Z$47&lt;&gt;""),Input!$B$47&amp;";",""),IF(AND($G55&lt;Hta_28,$G55&gt;=Hba_28,Input!Z$48&lt;&gt;""),Input!$B$48&amp;";",""),IF(AND($G55&lt;Hta_29,$G55&gt;=Hba_29,Input!Z$49&lt;&gt;""),Input!$B$49&amp;";",""),IF(AND($G55&lt;Hta_30,$G55&gt;=Hba_30,Input!Z$50&lt;&gt;""),Input!$B$50&amp;";","")),"")</f>
        <v/>
      </c>
      <c r="CB55" s="25" t="str">
        <f>IFERROR(CONCATENATE(IF(AND($G55&lt;Hta_1,$G55&gt;=Hba_1,Input!AA$21&lt;&gt;""),Input!$B$21&amp;";",""),IF(AND($G55&lt;Hta_2,$G55&gt;=Hba_2,Input!AA$22&lt;&gt;""),Input!$B$22&amp;";",""),IF(AND($G55&lt;Hta_3,$G55&gt;=Hba_3,Input!AA$23&lt;&gt;""),Input!$B$23&amp;";",""),IF(AND($G55&lt;Hta_4,$G55&gt;=Hba_4,Input!AA$24&lt;&gt;""),Input!$B$24&amp;";",""),IF(AND($G55&lt;Hta_5,$G55&gt;=Hba_5,Input!AA$25&lt;&gt;""),Input!$B$25&amp;";",""),IF(AND($G55&lt;Hta_6,$G55&gt;=Hba_6,Input!AA$26&lt;&gt;""),Input!$B$26&amp;";",""),IF(AND($G55&lt;Hta_7,$G55&gt;=Hba_7,Input!AA$27&lt;&gt;""),Input!$B$27&amp;";",""),IF(AND($G55&lt;Hta_8,$G55&gt;=Hba_8,Input!AA$28&lt;&gt;""),Input!$B$28&amp;";",""),IF(AND($G55&lt;Hta_9,$G55&gt;=Hba_9,Input!AA$29&lt;&gt;""),Input!$B$29&amp;";",""),IF(AND($G55&lt;Hta_10,$G55&gt;=Hba_10,Input!AA$30&lt;&gt;""),Input!$B$30&amp;";",""),IF(AND($G55&lt;Hta_11,$G55&gt;=Hba_11,Input!AA$31&lt;&gt;""),Input!$B$31&amp;";",""),IF(AND($G55&lt;Hta_12,$G55&gt;=Hba_12,Input!AA$32&lt;&gt;""),Input!$B$32&amp;";",""),IF(AND($G55&lt;Hta_13,$G55&gt;=Hba_13,Input!AA$33&lt;&gt;""),Input!$B$33&amp;";",""),IF(AND($G55&lt;Hta_14,$G55&gt;=Hba_14,Input!AA$34&lt;&gt;""),Input!$B$34&amp;";",""),IF(AND($G55&lt;Hta_15,$G55&gt;=Hba_15,Input!AA$35&lt;&gt;""),Input!$B$35&amp;";",""),IF(AND($G55&lt;Hta_16,$G55&gt;=Hba_16,Input!AA$36&lt;&gt;""),Input!$B$36&amp;";",""),IF(AND($G55&lt;Hta_17,$G55&gt;=Hba_17,Input!AA$37&lt;&gt;""),Input!$B$37&amp;";",""),IF(AND($G55&lt;Hta_18,$G55&gt;=Hba_18,Input!AA$38&lt;&gt;""),Input!$B$38&amp;";",""),IF(AND($G55&lt;Hta_19,$G55&gt;=Hba_19,Input!AA$39&lt;&gt;""),Input!$B$39&amp;";",""),IF(AND($G55&lt;Hta_20,$G55&gt;=Hba_20,Input!AA$40&lt;&gt;""),Input!$B$40&amp;";",""),IF(AND($G55&lt;Hta_21,$G55&gt;=Hba_21,Input!AA$41&lt;&gt;""),Input!$B$41&amp;";",""),IF(AND($G55&lt;Hta_22,$G55&gt;=Hba_22,Input!AA$42&lt;&gt;""),Input!$B$42&amp;";",""),IF(AND($G55&lt;Hta_23,$G55&gt;=Hba_23,Input!AA$43&lt;&gt;""),Input!$B$43&amp;";",""),IF(AND($G55&lt;Hta_24,$G55&gt;=Hba_24,Input!AA$44&lt;&gt;""),Input!$B$44&amp;";",""),IF(AND($G55&lt;Hta_25,$G55&gt;=Hba_25,Input!AA$45&lt;&gt;""),Input!$B$45&amp;";",""),IF(AND($G55&lt;Hta_26,$G55&gt;=Hba_26,Input!AA$46&lt;&gt;""),Input!$B$46&amp;";",""),IF(AND($G55&lt;Hta_27,$G55&gt;=Hba_27,Input!AA$47&lt;&gt;""),Input!$B$47&amp;";",""),IF(AND($G55&lt;Hta_28,$G55&gt;=Hba_28,Input!AA$48&lt;&gt;""),Input!$B$48&amp;";",""),IF(AND($G55&lt;Hta_29,$G55&gt;=Hba_29,Input!AA$49&lt;&gt;""),Input!$B$49&amp;";",""),IF(AND($G55&lt;Hta_30,$G55&gt;=Hba_30,Input!AA$50&lt;&gt;""),Input!$B$50&amp;";","")),"")</f>
        <v/>
      </c>
      <c r="CC55" s="25" t="str">
        <f>IFERROR(CONCATENATE(IF(AND($G55&lt;Hta_1,$G55&gt;=Hba_1,Input!AB$21&lt;&gt;""),Input!$B$21&amp;";",""),IF(AND($G55&lt;Hta_2,$G55&gt;=Hba_2,Input!AB$22&lt;&gt;""),Input!$B$22&amp;";",""),IF(AND($G55&lt;Hta_3,$G55&gt;=Hba_3,Input!AB$23&lt;&gt;""),Input!$B$23&amp;";",""),IF(AND($G55&lt;Hta_4,$G55&gt;=Hba_4,Input!AB$24&lt;&gt;""),Input!$B$24&amp;";",""),IF(AND($G55&lt;Hta_5,$G55&gt;=Hba_5,Input!AB$25&lt;&gt;""),Input!$B$25&amp;";",""),IF(AND($G55&lt;Hta_6,$G55&gt;=Hba_6,Input!AB$26&lt;&gt;""),Input!$B$26&amp;";",""),IF(AND($G55&lt;Hta_7,$G55&gt;=Hba_7,Input!AB$27&lt;&gt;""),Input!$B$27&amp;";",""),IF(AND($G55&lt;Hta_8,$G55&gt;=Hba_8,Input!AB$28&lt;&gt;""),Input!$B$28&amp;";",""),IF(AND($G55&lt;Hta_9,$G55&gt;=Hba_9,Input!AB$29&lt;&gt;""),Input!$B$29&amp;";",""),IF(AND($G55&lt;Hta_10,$G55&gt;=Hba_10,Input!AB$30&lt;&gt;""),Input!$B$30&amp;";",""),IF(AND($G55&lt;Hta_11,$G55&gt;=Hba_11,Input!AB$31&lt;&gt;""),Input!$B$31&amp;";",""),IF(AND($G55&lt;Hta_12,$G55&gt;=Hba_12,Input!AB$32&lt;&gt;""),Input!$B$32&amp;";",""),IF(AND($G55&lt;Hta_13,$G55&gt;=Hba_13,Input!AB$33&lt;&gt;""),Input!$B$33&amp;";",""),IF(AND($G55&lt;Hta_14,$G55&gt;=Hba_14,Input!AB$34&lt;&gt;""),Input!$B$34&amp;";",""),IF(AND($G55&lt;Hta_15,$G55&gt;=Hba_15,Input!AB$35&lt;&gt;""),Input!$B$35&amp;";",""),IF(AND($G55&lt;Hta_16,$G55&gt;=Hba_16,Input!AB$36&lt;&gt;""),Input!$B$36&amp;";",""),IF(AND($G55&lt;Hta_17,$G55&gt;=Hba_17,Input!AB$37&lt;&gt;""),Input!$B$37&amp;";",""),IF(AND($G55&lt;Hta_18,$G55&gt;=Hba_18,Input!AB$38&lt;&gt;""),Input!$B$38&amp;";",""),IF(AND($G55&lt;Hta_19,$G55&gt;=Hba_19,Input!AB$39&lt;&gt;""),Input!$B$39&amp;";",""),IF(AND($G55&lt;Hta_20,$G55&gt;=Hba_20,Input!AB$40&lt;&gt;""),Input!$B$40&amp;";",""),IF(AND($G55&lt;Hta_21,$G55&gt;=Hba_21,Input!AB$41&lt;&gt;""),Input!$B$41&amp;";",""),IF(AND($G55&lt;Hta_22,$G55&gt;=Hba_22,Input!AB$42&lt;&gt;""),Input!$B$42&amp;";",""),IF(AND($G55&lt;Hta_23,$G55&gt;=Hba_23,Input!AB$43&lt;&gt;""),Input!$B$43&amp;";",""),IF(AND($G55&lt;Hta_24,$G55&gt;=Hba_24,Input!AB$44&lt;&gt;""),Input!$B$44&amp;";",""),IF(AND($G55&lt;Hta_25,$G55&gt;=Hba_25,Input!AB$45&lt;&gt;""),Input!$B$45&amp;";",""),IF(AND($G55&lt;Hta_26,$G55&gt;=Hba_26,Input!AB$46&lt;&gt;""),Input!$B$46&amp;";",""),IF(AND($G55&lt;Hta_27,$G55&gt;=Hba_27,Input!AB$47&lt;&gt;""),Input!$B$47&amp;";",""),IF(AND($G55&lt;Hta_28,$G55&gt;=Hba_28,Input!AB$48&lt;&gt;""),Input!$B$48&amp;";",""),IF(AND($G55&lt;Hta_29,$G55&gt;=Hba_29,Input!AB$49&lt;&gt;""),Input!$B$49&amp;";",""),IF(AND($G55&lt;Hta_30,$G55&gt;=Hba_30,Input!AB$50&lt;&gt;""),Input!$B$50&amp;";","")),"")</f>
        <v/>
      </c>
      <c r="CD55" s="25" t="str">
        <f>IFERROR(CONCATENATE(IF(AND($G55&lt;Hta_1,$G55&gt;=Hba_1,Input!AC$21&lt;&gt;""),Input!$B$21&amp;";",""),IF(AND($G55&lt;Hta_2,$G55&gt;=Hba_2,Input!AC$22&lt;&gt;""),Input!$B$22&amp;";",""),IF(AND($G55&lt;Hta_3,$G55&gt;=Hba_3,Input!AC$23&lt;&gt;""),Input!$B$23&amp;";",""),IF(AND($G55&lt;Hta_4,$G55&gt;=Hba_4,Input!AC$24&lt;&gt;""),Input!$B$24&amp;";",""),IF(AND($G55&lt;Hta_5,$G55&gt;=Hba_5,Input!AC$25&lt;&gt;""),Input!$B$25&amp;";",""),IF(AND($G55&lt;Hta_6,$G55&gt;=Hba_6,Input!AC$26&lt;&gt;""),Input!$B$26&amp;";",""),IF(AND($G55&lt;Hta_7,$G55&gt;=Hba_7,Input!AC$27&lt;&gt;""),Input!$B$27&amp;";",""),IF(AND($G55&lt;Hta_8,$G55&gt;=Hba_8,Input!AC$28&lt;&gt;""),Input!$B$28&amp;";",""),IF(AND($G55&lt;Hta_9,$G55&gt;=Hba_9,Input!AC$29&lt;&gt;""),Input!$B$29&amp;";",""),IF(AND($G55&lt;Hta_10,$G55&gt;=Hba_10,Input!AC$30&lt;&gt;""),Input!$B$30&amp;";",""),IF(AND($G55&lt;Hta_11,$G55&gt;=Hba_11,Input!AC$31&lt;&gt;""),Input!$B$31&amp;";",""),IF(AND($G55&lt;Hta_12,$G55&gt;=Hba_12,Input!AC$32&lt;&gt;""),Input!$B$32&amp;";",""),IF(AND($G55&lt;Hta_13,$G55&gt;=Hba_13,Input!AC$33&lt;&gt;""),Input!$B$33&amp;";",""),IF(AND($G55&lt;Hta_14,$G55&gt;=Hba_14,Input!AC$34&lt;&gt;""),Input!$B$34&amp;";",""),IF(AND($G55&lt;Hta_15,$G55&gt;=Hba_15,Input!AC$35&lt;&gt;""),Input!$B$35&amp;";",""),IF(AND($G55&lt;Hta_16,$G55&gt;=Hba_16,Input!AC$36&lt;&gt;""),Input!$B$36&amp;";",""),IF(AND($G55&lt;Hta_17,$G55&gt;=Hba_17,Input!AC$37&lt;&gt;""),Input!$B$37&amp;";",""),IF(AND($G55&lt;Hta_18,$G55&gt;=Hba_18,Input!AC$38&lt;&gt;""),Input!$B$38&amp;";",""),IF(AND($G55&lt;Hta_19,$G55&gt;=Hba_19,Input!AC$39&lt;&gt;""),Input!$B$39&amp;";",""),IF(AND($G55&lt;Hta_20,$G55&gt;=Hba_20,Input!AC$40&lt;&gt;""),Input!$B$40&amp;";",""),IF(AND($G55&lt;Hta_21,$G55&gt;=Hba_21,Input!AC$41&lt;&gt;""),Input!$B$41&amp;";",""),IF(AND($G55&lt;Hta_22,$G55&gt;=Hba_22,Input!AC$42&lt;&gt;""),Input!$B$42&amp;";",""),IF(AND($G55&lt;Hta_23,$G55&gt;=Hba_23,Input!AC$43&lt;&gt;""),Input!$B$43&amp;";",""),IF(AND($G55&lt;Hta_24,$G55&gt;=Hba_24,Input!AC$44&lt;&gt;""),Input!$B$44&amp;";",""),IF(AND($G55&lt;Hta_25,$G55&gt;=Hba_25,Input!AC$45&lt;&gt;""),Input!$B$45&amp;";",""),IF(AND($G55&lt;Hta_26,$G55&gt;=Hba_26,Input!AC$46&lt;&gt;""),Input!$B$46&amp;";",""),IF(AND($G55&lt;Hta_27,$G55&gt;=Hba_27,Input!AC$47&lt;&gt;""),Input!$B$47&amp;";",""),IF(AND($G55&lt;Hta_28,$G55&gt;=Hba_28,Input!AC$48&lt;&gt;""),Input!$B$48&amp;";",""),IF(AND($G55&lt;Hta_29,$G55&gt;=Hba_29,Input!AC$49&lt;&gt;""),Input!$B$49&amp;";",""),IF(AND($G55&lt;Hta_30,$G55&gt;=Hba_30,Input!AC$50&lt;&gt;""),Input!$B$50&amp;";","")),"")</f>
        <v/>
      </c>
      <c r="CE55" s="25" t="str">
        <f>IFERROR(CONCATENATE(IF(AND($G55&lt;Hta_1,$G55&gt;=Hba_1,Input!AD$21&lt;&gt;""),Input!$B$21&amp;";",""),IF(AND($G55&lt;Hta_2,$G55&gt;=Hba_2,Input!AD$22&lt;&gt;""),Input!$B$22&amp;";",""),IF(AND($G55&lt;Hta_3,$G55&gt;=Hba_3,Input!AD$23&lt;&gt;""),Input!$B$23&amp;";",""),IF(AND($G55&lt;Hta_4,$G55&gt;=Hba_4,Input!AD$24&lt;&gt;""),Input!$B$24&amp;";",""),IF(AND($G55&lt;Hta_5,$G55&gt;=Hba_5,Input!AD$25&lt;&gt;""),Input!$B$25&amp;";",""),IF(AND($G55&lt;Hta_6,$G55&gt;=Hba_6,Input!AD$26&lt;&gt;""),Input!$B$26&amp;";",""),IF(AND($G55&lt;Hta_7,$G55&gt;=Hba_7,Input!AD$27&lt;&gt;""),Input!$B$27&amp;";",""),IF(AND($G55&lt;Hta_8,$G55&gt;=Hba_8,Input!AD$28&lt;&gt;""),Input!$B$28&amp;";",""),IF(AND($G55&lt;Hta_9,$G55&gt;=Hba_9,Input!AD$29&lt;&gt;""),Input!$B$29&amp;";",""),IF(AND($G55&lt;Hta_10,$G55&gt;=Hba_10,Input!AD$30&lt;&gt;""),Input!$B$30&amp;";",""),IF(AND($G55&lt;Hta_11,$G55&gt;=Hba_11,Input!AD$31&lt;&gt;""),Input!$B$31&amp;";",""),IF(AND($G55&lt;Hta_12,$G55&gt;=Hba_12,Input!AD$32&lt;&gt;""),Input!$B$32&amp;";",""),IF(AND($G55&lt;Hta_13,$G55&gt;=Hba_13,Input!AD$33&lt;&gt;""),Input!$B$33&amp;";",""),IF(AND($G55&lt;Hta_14,$G55&gt;=Hba_14,Input!AD$34&lt;&gt;""),Input!$B$34&amp;";",""),IF(AND($G55&lt;Hta_15,$G55&gt;=Hba_15,Input!AD$35&lt;&gt;""),Input!$B$35&amp;";",""),IF(AND($G55&lt;Hta_16,$G55&gt;=Hba_16,Input!AD$36&lt;&gt;""),Input!$B$36&amp;";",""),IF(AND($G55&lt;Hta_17,$G55&gt;=Hba_17,Input!AD$37&lt;&gt;""),Input!$B$37&amp;";",""),IF(AND($G55&lt;Hta_18,$G55&gt;=Hba_18,Input!AD$38&lt;&gt;""),Input!$B$38&amp;";",""),IF(AND($G55&lt;Hta_19,$G55&gt;=Hba_19,Input!AD$39&lt;&gt;""),Input!$B$39&amp;";",""),IF(AND($G55&lt;Hta_20,$G55&gt;=Hba_20,Input!AD$40&lt;&gt;""),Input!$B$40&amp;";",""),IF(AND($G55&lt;Hta_21,$G55&gt;=Hba_21,Input!AD$41&lt;&gt;""),Input!$B$41&amp;";",""),IF(AND($G55&lt;Hta_22,$G55&gt;=Hba_22,Input!AD$42&lt;&gt;""),Input!$B$42&amp;";",""),IF(AND($G55&lt;Hta_23,$G55&gt;=Hba_23,Input!AD$43&lt;&gt;""),Input!$B$43&amp;";",""),IF(AND($G55&lt;Hta_24,$G55&gt;=Hba_24,Input!AD$44&lt;&gt;""),Input!$B$44&amp;";",""),IF(AND($G55&lt;Hta_25,$G55&gt;=Hba_25,Input!AD$45&lt;&gt;""),Input!$B$45&amp;";",""),IF(AND($G55&lt;Hta_26,$G55&gt;=Hba_26,Input!AD$46&lt;&gt;""),Input!$B$46&amp;";",""),IF(AND($G55&lt;Hta_27,$G55&gt;=Hba_27,Input!AD$47&lt;&gt;""),Input!$B$47&amp;";",""),IF(AND($G55&lt;Hta_28,$G55&gt;=Hba_28,Input!AD$48&lt;&gt;""),Input!$B$48&amp;";",""),IF(AND($G55&lt;Hta_29,$G55&gt;=Hba_29,Input!AD$49&lt;&gt;""),Input!$B$49&amp;";",""),IF(AND($G55&lt;Hta_30,$G55&gt;=Hba_30,Input!AD$50&lt;&gt;""),Input!$B$50&amp;";","")),"")</f>
        <v/>
      </c>
      <c r="CF55" s="25" t="str">
        <f>IFERROR(CONCATENATE(IF(AND($G55&lt;Hta_1,$G55&gt;=Hba_1,Input!AE$21&lt;&gt;""),Input!$B$21&amp;";",""),IF(AND($G55&lt;Hta_2,$G55&gt;=Hba_2,Input!AE$22&lt;&gt;""),Input!$B$22&amp;";",""),IF(AND($G55&lt;Hta_3,$G55&gt;=Hba_3,Input!AE$23&lt;&gt;""),Input!$B$23&amp;";",""),IF(AND($G55&lt;Hta_4,$G55&gt;=Hba_4,Input!AE$24&lt;&gt;""),Input!$B$24&amp;";",""),IF(AND($G55&lt;Hta_5,$G55&gt;=Hba_5,Input!AE$25&lt;&gt;""),Input!$B$25&amp;";",""),IF(AND($G55&lt;Hta_6,$G55&gt;=Hba_6,Input!AE$26&lt;&gt;""),Input!$B$26&amp;";",""),IF(AND($G55&lt;Hta_7,$G55&gt;=Hba_7,Input!AE$27&lt;&gt;""),Input!$B$27&amp;";",""),IF(AND($G55&lt;Hta_8,$G55&gt;=Hba_8,Input!AE$28&lt;&gt;""),Input!$B$28&amp;";",""),IF(AND($G55&lt;Hta_9,$G55&gt;=Hba_9,Input!AE$29&lt;&gt;""),Input!$B$29&amp;";",""),IF(AND($G55&lt;Hta_10,$G55&gt;=Hba_10,Input!AE$30&lt;&gt;""),Input!$B$30&amp;";",""),IF(AND($G55&lt;Hta_11,$G55&gt;=Hba_11,Input!AE$31&lt;&gt;""),Input!$B$31&amp;";",""),IF(AND($G55&lt;Hta_12,$G55&gt;=Hba_12,Input!AE$32&lt;&gt;""),Input!$B$32&amp;";",""),IF(AND($G55&lt;Hta_13,$G55&gt;=Hba_13,Input!AE$33&lt;&gt;""),Input!$B$33&amp;";",""),IF(AND($G55&lt;Hta_14,$G55&gt;=Hba_14,Input!AE$34&lt;&gt;""),Input!$B$34&amp;";",""),IF(AND($G55&lt;Hta_15,$G55&gt;=Hba_15,Input!AE$35&lt;&gt;""),Input!$B$35&amp;";",""),IF(AND($G55&lt;Hta_16,$G55&gt;=Hba_16,Input!AE$36&lt;&gt;""),Input!$B$36&amp;";",""),IF(AND($G55&lt;Hta_17,$G55&gt;=Hba_17,Input!AE$37&lt;&gt;""),Input!$B$37&amp;";",""),IF(AND($G55&lt;Hta_18,$G55&gt;=Hba_18,Input!AE$38&lt;&gt;""),Input!$B$38&amp;";",""),IF(AND($G55&lt;Hta_19,$G55&gt;=Hba_19,Input!AE$39&lt;&gt;""),Input!$B$39&amp;";",""),IF(AND($G55&lt;Hta_20,$G55&gt;=Hba_20,Input!AE$40&lt;&gt;""),Input!$B$40&amp;";",""),IF(AND($G55&lt;Hta_21,$G55&gt;=Hba_21,Input!AE$41&lt;&gt;""),Input!$B$41&amp;";",""),IF(AND($G55&lt;Hta_22,$G55&gt;=Hba_22,Input!AE$42&lt;&gt;""),Input!$B$42&amp;";",""),IF(AND($G55&lt;Hta_23,$G55&gt;=Hba_23,Input!AE$43&lt;&gt;""),Input!$B$43&amp;";",""),IF(AND($G55&lt;Hta_24,$G55&gt;=Hba_24,Input!AE$44&lt;&gt;""),Input!$B$44&amp;";",""),IF(AND($G55&lt;Hta_25,$G55&gt;=Hba_25,Input!AE$45&lt;&gt;""),Input!$B$45&amp;";",""),IF(AND($G55&lt;Hta_26,$G55&gt;=Hba_26,Input!AE$46&lt;&gt;""),Input!$B$46&amp;";",""),IF(AND($G55&lt;Hta_27,$G55&gt;=Hba_27,Input!AE$47&lt;&gt;""),Input!$B$47&amp;";",""),IF(AND($G55&lt;Hta_28,$G55&gt;=Hba_28,Input!AE$48&lt;&gt;""),Input!$B$48&amp;";",""),IF(AND($G55&lt;Hta_29,$G55&gt;=Hba_29,Input!AE$49&lt;&gt;""),Input!$B$49&amp;";",""),IF(AND($G55&lt;Hta_30,$G55&gt;=Hba_30,Input!AE$50&lt;&gt;""),Input!$B$50&amp;";","")),"")</f>
        <v/>
      </c>
      <c r="CG55" s="25" t="str">
        <f>IFERROR(CONCATENATE(IF(AND($G55&lt;Hta_1,$G55&gt;=Hba_1,Input!AF$21&lt;&gt;""),Input!$B$21&amp;";",""),IF(AND($G55&lt;Hta_2,$G55&gt;=Hba_2,Input!AF$22&lt;&gt;""),Input!$B$22&amp;";",""),IF(AND($G55&lt;Hta_3,$G55&gt;=Hba_3,Input!AF$23&lt;&gt;""),Input!$B$23&amp;";",""),IF(AND($G55&lt;Hta_4,$G55&gt;=Hba_4,Input!AF$24&lt;&gt;""),Input!$B$24&amp;";",""),IF(AND($G55&lt;Hta_5,$G55&gt;=Hba_5,Input!AF$25&lt;&gt;""),Input!$B$25&amp;";",""),IF(AND($G55&lt;Hta_6,$G55&gt;=Hba_6,Input!AF$26&lt;&gt;""),Input!$B$26&amp;";",""),IF(AND($G55&lt;Hta_7,$G55&gt;=Hba_7,Input!AF$27&lt;&gt;""),Input!$B$27&amp;";",""),IF(AND($G55&lt;Hta_8,$G55&gt;=Hba_8,Input!AF$28&lt;&gt;""),Input!$B$28&amp;";",""),IF(AND($G55&lt;Hta_9,$G55&gt;=Hba_9,Input!AF$29&lt;&gt;""),Input!$B$29&amp;";",""),IF(AND($G55&lt;Hta_10,$G55&gt;=Hba_10,Input!AF$30&lt;&gt;""),Input!$B$30&amp;";",""),IF(AND($G55&lt;Hta_11,$G55&gt;=Hba_11,Input!AF$31&lt;&gt;""),Input!$B$31&amp;";",""),IF(AND($G55&lt;Hta_12,$G55&gt;=Hba_12,Input!AF$32&lt;&gt;""),Input!$B$32&amp;";",""),IF(AND($G55&lt;Hta_13,$G55&gt;=Hba_13,Input!AF$33&lt;&gt;""),Input!$B$33&amp;";",""),IF(AND($G55&lt;Hta_14,$G55&gt;=Hba_14,Input!AF$34&lt;&gt;""),Input!$B$34&amp;";",""),IF(AND($G55&lt;Hta_15,$G55&gt;=Hba_15,Input!AF$35&lt;&gt;""),Input!$B$35&amp;";",""),IF(AND($G55&lt;Hta_16,$G55&gt;=Hba_16,Input!AF$36&lt;&gt;""),Input!$B$36&amp;";",""),IF(AND($G55&lt;Hta_17,$G55&gt;=Hba_17,Input!AF$37&lt;&gt;""),Input!$B$37&amp;";",""),IF(AND($G55&lt;Hta_18,$G55&gt;=Hba_18,Input!AF$38&lt;&gt;""),Input!$B$38&amp;";",""),IF(AND($G55&lt;Hta_19,$G55&gt;=Hba_19,Input!AF$39&lt;&gt;""),Input!$B$39&amp;";",""),IF(AND($G55&lt;Hta_20,$G55&gt;=Hba_20,Input!AF$40&lt;&gt;""),Input!$B$40&amp;";",""),IF(AND($G55&lt;Hta_21,$G55&gt;=Hba_21,Input!AF$41&lt;&gt;""),Input!$B$41&amp;";",""),IF(AND($G55&lt;Hta_22,$G55&gt;=Hba_22,Input!AF$42&lt;&gt;""),Input!$B$42&amp;";",""),IF(AND($G55&lt;Hta_23,$G55&gt;=Hba_23,Input!AF$43&lt;&gt;""),Input!$B$43&amp;";",""),IF(AND($G55&lt;Hta_24,$G55&gt;=Hba_24,Input!AF$44&lt;&gt;""),Input!$B$44&amp;";",""),IF(AND($G55&lt;Hta_25,$G55&gt;=Hba_25,Input!AF$45&lt;&gt;""),Input!$B$45&amp;";",""),IF(AND($G55&lt;Hta_26,$G55&gt;=Hba_26,Input!AF$46&lt;&gt;""),Input!$B$46&amp;";",""),IF(AND($G55&lt;Hta_27,$G55&gt;=Hba_27,Input!AF$47&lt;&gt;""),Input!$B$47&amp;";",""),IF(AND($G55&lt;Hta_28,$G55&gt;=Hba_28,Input!AF$48&lt;&gt;""),Input!$B$48&amp;";",""),IF(AND($G55&lt;Hta_29,$G55&gt;=Hba_29,Input!AF$49&lt;&gt;""),Input!$B$49&amp;";",""),IF(AND($G55&lt;Hta_30,$G55&gt;=Hba_30,Input!AF$50&lt;&gt;""),Input!$B$50&amp;";","")),"")</f>
        <v/>
      </c>
      <c r="CH55" s="25" t="str">
        <f>IFERROR(CONCATENATE(IF(AND($G55&lt;Hta_1,$G55&gt;=Hba_1,Input!AG$21&lt;&gt;""),Input!$B$21&amp;";",""),IF(AND($G55&lt;Hta_2,$G55&gt;=Hba_2,Input!AG$22&lt;&gt;""),Input!$B$22&amp;";",""),IF(AND($G55&lt;Hta_3,$G55&gt;=Hba_3,Input!AG$23&lt;&gt;""),Input!$B$23&amp;";",""),IF(AND($G55&lt;Hta_4,$G55&gt;=Hba_4,Input!AG$24&lt;&gt;""),Input!$B$24&amp;";",""),IF(AND($G55&lt;Hta_5,$G55&gt;=Hba_5,Input!AG$25&lt;&gt;""),Input!$B$25&amp;";",""),IF(AND($G55&lt;Hta_6,$G55&gt;=Hba_6,Input!AG$26&lt;&gt;""),Input!$B$26&amp;";",""),IF(AND($G55&lt;Hta_7,$G55&gt;=Hba_7,Input!AG$27&lt;&gt;""),Input!$B$27&amp;";",""),IF(AND($G55&lt;Hta_8,$G55&gt;=Hba_8,Input!AG$28&lt;&gt;""),Input!$B$28&amp;";",""),IF(AND($G55&lt;Hta_9,$G55&gt;=Hba_9,Input!AG$29&lt;&gt;""),Input!$B$29&amp;";",""),IF(AND($G55&lt;Hta_10,$G55&gt;=Hba_10,Input!AG$30&lt;&gt;""),Input!$B$30&amp;";",""),IF(AND($G55&lt;Hta_11,$G55&gt;=Hba_11,Input!AG$31&lt;&gt;""),Input!$B$31&amp;";",""),IF(AND($G55&lt;Hta_12,$G55&gt;=Hba_12,Input!AG$32&lt;&gt;""),Input!$B$32&amp;";",""),IF(AND($G55&lt;Hta_13,$G55&gt;=Hba_13,Input!AG$33&lt;&gt;""),Input!$B$33&amp;";",""),IF(AND($G55&lt;Hta_14,$G55&gt;=Hba_14,Input!AG$34&lt;&gt;""),Input!$B$34&amp;";",""),IF(AND($G55&lt;Hta_15,$G55&gt;=Hba_15,Input!AG$35&lt;&gt;""),Input!$B$35&amp;";",""),IF(AND($G55&lt;Hta_16,$G55&gt;=Hba_16,Input!AG$36&lt;&gt;""),Input!$B$36&amp;";",""),IF(AND($G55&lt;Hta_17,$G55&gt;=Hba_17,Input!AG$37&lt;&gt;""),Input!$B$37&amp;";",""),IF(AND($G55&lt;Hta_18,$G55&gt;=Hba_18,Input!AG$38&lt;&gt;""),Input!$B$38&amp;";",""),IF(AND($G55&lt;Hta_19,$G55&gt;=Hba_19,Input!AG$39&lt;&gt;""),Input!$B$39&amp;";",""),IF(AND($G55&lt;Hta_20,$G55&gt;=Hba_20,Input!AG$40&lt;&gt;""),Input!$B$40&amp;";",""),IF(AND($G55&lt;Hta_21,$G55&gt;=Hba_21,Input!AG$41&lt;&gt;""),Input!$B$41&amp;";",""),IF(AND($G55&lt;Hta_22,$G55&gt;=Hba_22,Input!AG$42&lt;&gt;""),Input!$B$42&amp;";",""),IF(AND($G55&lt;Hta_23,$G55&gt;=Hba_23,Input!AG$43&lt;&gt;""),Input!$B$43&amp;";",""),IF(AND($G55&lt;Hta_24,$G55&gt;=Hba_24,Input!AG$44&lt;&gt;""),Input!$B$44&amp;";",""),IF(AND($G55&lt;Hta_25,$G55&gt;=Hba_25,Input!AG$45&lt;&gt;""),Input!$B$45&amp;";",""),IF(AND($G55&lt;Hta_26,$G55&gt;=Hba_26,Input!AG$46&lt;&gt;""),Input!$B$46&amp;";",""),IF(AND($G55&lt;Hta_27,$G55&gt;=Hba_27,Input!AG$47&lt;&gt;""),Input!$B$47&amp;";",""),IF(AND($G55&lt;Hta_28,$G55&gt;=Hba_28,Input!AG$48&lt;&gt;""),Input!$B$48&amp;";",""),IF(AND($G55&lt;Hta_29,$G55&gt;=Hba_29,Input!AG$49&lt;&gt;""),Input!$B$49&amp;";",""),IF(AND($G55&lt;Hta_30,$G55&gt;=Hba_30,Input!AG$50&lt;&gt;""),Input!$B$50&amp;";","")),"")</f>
        <v/>
      </c>
      <c r="CI55" s="25" t="str">
        <f>IFERROR(CONCATENATE(IF(AND($G55&lt;Hta_1,$G55&gt;=Hba_1,Input!AH$21&lt;&gt;""),Input!$B$21&amp;";",""),IF(AND($G55&lt;Hta_2,$G55&gt;=Hba_2,Input!AH$22&lt;&gt;""),Input!$B$22&amp;";",""),IF(AND($G55&lt;Hta_3,$G55&gt;=Hba_3,Input!AH$23&lt;&gt;""),Input!$B$23&amp;";",""),IF(AND($G55&lt;Hta_4,$G55&gt;=Hba_4,Input!AH$24&lt;&gt;""),Input!$B$24&amp;";",""),IF(AND($G55&lt;Hta_5,$G55&gt;=Hba_5,Input!AH$25&lt;&gt;""),Input!$B$25&amp;";",""),IF(AND($G55&lt;Hta_6,$G55&gt;=Hba_6,Input!AH$26&lt;&gt;""),Input!$B$26&amp;";",""),IF(AND($G55&lt;Hta_7,$G55&gt;=Hba_7,Input!AH$27&lt;&gt;""),Input!$B$27&amp;";",""),IF(AND($G55&lt;Hta_8,$G55&gt;=Hba_8,Input!AH$28&lt;&gt;""),Input!$B$28&amp;";",""),IF(AND($G55&lt;Hta_9,$G55&gt;=Hba_9,Input!AH$29&lt;&gt;""),Input!$B$29&amp;";",""),IF(AND($G55&lt;Hta_10,$G55&gt;=Hba_10,Input!AH$30&lt;&gt;""),Input!$B$30&amp;";",""),IF(AND($G55&lt;Hta_11,$G55&gt;=Hba_11,Input!AH$31&lt;&gt;""),Input!$B$31&amp;";",""),IF(AND($G55&lt;Hta_12,$G55&gt;=Hba_12,Input!AH$32&lt;&gt;""),Input!$B$32&amp;";",""),IF(AND($G55&lt;Hta_13,$G55&gt;=Hba_13,Input!AH$33&lt;&gt;""),Input!$B$33&amp;";",""),IF(AND($G55&lt;Hta_14,$G55&gt;=Hba_14,Input!AH$34&lt;&gt;""),Input!$B$34&amp;";",""),IF(AND($G55&lt;Hta_15,$G55&gt;=Hba_15,Input!AH$35&lt;&gt;""),Input!$B$35&amp;";",""),IF(AND($G55&lt;Hta_16,$G55&gt;=Hba_16,Input!AH$36&lt;&gt;""),Input!$B$36&amp;";",""),IF(AND($G55&lt;Hta_17,$G55&gt;=Hba_17,Input!AH$37&lt;&gt;""),Input!$B$37&amp;";",""),IF(AND($G55&lt;Hta_18,$G55&gt;=Hba_18,Input!AH$38&lt;&gt;""),Input!$B$38&amp;";",""),IF(AND($G55&lt;Hta_19,$G55&gt;=Hba_19,Input!AH$39&lt;&gt;""),Input!$B$39&amp;";",""),IF(AND($G55&lt;Hta_20,$G55&gt;=Hba_20,Input!AH$40&lt;&gt;""),Input!$B$40&amp;";",""),IF(AND($G55&lt;Hta_21,$G55&gt;=Hba_21,Input!AH$41&lt;&gt;""),Input!$B$41&amp;";",""),IF(AND($G55&lt;Hta_22,$G55&gt;=Hba_22,Input!AH$42&lt;&gt;""),Input!$B$42&amp;";",""),IF(AND($G55&lt;Hta_23,$G55&gt;=Hba_23,Input!AH$43&lt;&gt;""),Input!$B$43&amp;";",""),IF(AND($G55&lt;Hta_24,$G55&gt;=Hba_24,Input!AH$44&lt;&gt;""),Input!$B$44&amp;";",""),IF(AND($G55&lt;Hta_25,$G55&gt;=Hba_25,Input!AH$45&lt;&gt;""),Input!$B$45&amp;";",""),IF(AND($G55&lt;Hta_26,$G55&gt;=Hba_26,Input!AH$46&lt;&gt;""),Input!$B$46&amp;";",""),IF(AND($G55&lt;Hta_27,$G55&gt;=Hba_27,Input!AH$47&lt;&gt;""),Input!$B$47&amp;";",""),IF(AND($G55&lt;Hta_28,$G55&gt;=Hba_28,Input!AH$48&lt;&gt;""),Input!$B$48&amp;";",""),IF(AND($G55&lt;Hta_29,$G55&gt;=Hba_29,Input!AH$49&lt;&gt;""),Input!$B$49&amp;";",""),IF(AND($G55&lt;Hta_30,$G55&gt;=Hba_30,Input!AH$50&lt;&gt;""),Input!$B$50&amp;";","")),"")</f>
        <v/>
      </c>
      <c r="CJ55" s="25" t="str">
        <f>IFERROR(CONCATENATE(IF(AND($G55&lt;Hta_1,$G55&gt;=Hba_1,Input!AI$21&lt;&gt;""),Input!$B$21&amp;";",""),IF(AND($G55&lt;Hta_2,$G55&gt;=Hba_2,Input!AI$22&lt;&gt;""),Input!$B$22&amp;";",""),IF(AND($G55&lt;Hta_3,$G55&gt;=Hba_3,Input!AI$23&lt;&gt;""),Input!$B$23&amp;";",""),IF(AND($G55&lt;Hta_4,$G55&gt;=Hba_4,Input!AI$24&lt;&gt;""),Input!$B$24&amp;";",""),IF(AND($G55&lt;Hta_5,$G55&gt;=Hba_5,Input!AI$25&lt;&gt;""),Input!$B$25&amp;";",""),IF(AND($G55&lt;Hta_6,$G55&gt;=Hba_6,Input!AI$26&lt;&gt;""),Input!$B$26&amp;";",""),IF(AND($G55&lt;Hta_7,$G55&gt;=Hba_7,Input!AI$27&lt;&gt;""),Input!$B$27&amp;";",""),IF(AND($G55&lt;Hta_8,$G55&gt;=Hba_8,Input!AI$28&lt;&gt;""),Input!$B$28&amp;";",""),IF(AND($G55&lt;Hta_9,$G55&gt;=Hba_9,Input!AI$29&lt;&gt;""),Input!$B$29&amp;";",""),IF(AND($G55&lt;Hta_10,$G55&gt;=Hba_10,Input!AI$30&lt;&gt;""),Input!$B$30&amp;";",""),IF(AND($G55&lt;Hta_11,$G55&gt;=Hba_11,Input!AI$31&lt;&gt;""),Input!$B$31&amp;";",""),IF(AND($G55&lt;Hta_12,$G55&gt;=Hba_12,Input!AI$32&lt;&gt;""),Input!$B$32&amp;";",""),IF(AND($G55&lt;Hta_13,$G55&gt;=Hba_13,Input!AI$33&lt;&gt;""),Input!$B$33&amp;";",""),IF(AND($G55&lt;Hta_14,$G55&gt;=Hba_14,Input!AI$34&lt;&gt;""),Input!$B$34&amp;";",""),IF(AND($G55&lt;Hta_15,$G55&gt;=Hba_15,Input!AI$35&lt;&gt;""),Input!$B$35&amp;";",""),IF(AND($G55&lt;Hta_16,$G55&gt;=Hba_16,Input!AI$36&lt;&gt;""),Input!$B$36&amp;";",""),IF(AND($G55&lt;Hta_17,$G55&gt;=Hba_17,Input!AI$37&lt;&gt;""),Input!$B$37&amp;";",""),IF(AND($G55&lt;Hta_18,$G55&gt;=Hba_18,Input!AI$38&lt;&gt;""),Input!$B$38&amp;";",""),IF(AND($G55&lt;Hta_19,$G55&gt;=Hba_19,Input!AI$39&lt;&gt;""),Input!$B$39&amp;";",""),IF(AND($G55&lt;Hta_20,$G55&gt;=Hba_20,Input!AI$40&lt;&gt;""),Input!$B$40&amp;";",""),IF(AND($G55&lt;Hta_21,$G55&gt;=Hba_21,Input!AI$41&lt;&gt;""),Input!$B$41&amp;";",""),IF(AND($G55&lt;Hta_22,$G55&gt;=Hba_22,Input!AI$42&lt;&gt;""),Input!$B$42&amp;";",""),IF(AND($G55&lt;Hta_23,$G55&gt;=Hba_23,Input!AI$43&lt;&gt;""),Input!$B$43&amp;";",""),IF(AND($G55&lt;Hta_24,$G55&gt;=Hba_24,Input!AI$44&lt;&gt;""),Input!$B$44&amp;";",""),IF(AND($G55&lt;Hta_25,$G55&gt;=Hba_25,Input!AI$45&lt;&gt;""),Input!$B$45&amp;";",""),IF(AND($G55&lt;Hta_26,$G55&gt;=Hba_26,Input!AI$46&lt;&gt;""),Input!$B$46&amp;";",""),IF(AND($G55&lt;Hta_27,$G55&gt;=Hba_27,Input!AI$47&lt;&gt;""),Input!$B$47&amp;";",""),IF(AND($G55&lt;Hta_28,$G55&gt;=Hba_28,Input!AI$48&lt;&gt;""),Input!$B$48&amp;";",""),IF(AND($G55&lt;Hta_29,$G55&gt;=Hba_29,Input!AI$49&lt;&gt;""),Input!$B$49&amp;";",""),IF(AND($G55&lt;Hta_30,$G55&gt;=Hba_30,Input!AI$50&lt;&gt;""),Input!$B$50&amp;";","")),"")</f>
        <v/>
      </c>
      <c r="CK55" s="25" t="str">
        <f>IFERROR(CONCATENATE(IF(AND($G55&lt;Hta_1,$G55&gt;=Hba_1,Input!AJ$21&lt;&gt;""),Input!$B$21&amp;";",""),IF(AND($G55&lt;Hta_2,$G55&gt;=Hba_2,Input!AJ$22&lt;&gt;""),Input!$B$22&amp;";",""),IF(AND($G55&lt;Hta_3,$G55&gt;=Hba_3,Input!AJ$23&lt;&gt;""),Input!$B$23&amp;";",""),IF(AND($G55&lt;Hta_4,$G55&gt;=Hba_4,Input!AJ$24&lt;&gt;""),Input!$B$24&amp;";",""),IF(AND($G55&lt;Hta_5,$G55&gt;=Hba_5,Input!AJ$25&lt;&gt;""),Input!$B$25&amp;";",""),IF(AND($G55&lt;Hta_6,$G55&gt;=Hba_6,Input!AJ$26&lt;&gt;""),Input!$B$26&amp;";",""),IF(AND($G55&lt;Hta_7,$G55&gt;=Hba_7,Input!AJ$27&lt;&gt;""),Input!$B$27&amp;";",""),IF(AND($G55&lt;Hta_8,$G55&gt;=Hba_8,Input!AJ$28&lt;&gt;""),Input!$B$28&amp;";",""),IF(AND($G55&lt;Hta_9,$G55&gt;=Hba_9,Input!AJ$29&lt;&gt;""),Input!$B$29&amp;";",""),IF(AND($G55&lt;Hta_10,$G55&gt;=Hba_10,Input!AJ$30&lt;&gt;""),Input!$B$30&amp;";",""),IF(AND($G55&lt;Hta_11,$G55&gt;=Hba_11,Input!AJ$31&lt;&gt;""),Input!$B$31&amp;";",""),IF(AND($G55&lt;Hta_12,$G55&gt;=Hba_12,Input!AJ$32&lt;&gt;""),Input!$B$32&amp;";",""),IF(AND($G55&lt;Hta_13,$G55&gt;=Hba_13,Input!AJ$33&lt;&gt;""),Input!$B$33&amp;";",""),IF(AND($G55&lt;Hta_14,$G55&gt;=Hba_14,Input!AJ$34&lt;&gt;""),Input!$B$34&amp;";",""),IF(AND($G55&lt;Hta_15,$G55&gt;=Hba_15,Input!AJ$35&lt;&gt;""),Input!$B$35&amp;";",""),IF(AND($G55&lt;Hta_16,$G55&gt;=Hba_16,Input!AJ$36&lt;&gt;""),Input!$B$36&amp;";",""),IF(AND($G55&lt;Hta_17,$G55&gt;=Hba_17,Input!AJ$37&lt;&gt;""),Input!$B$37&amp;";",""),IF(AND($G55&lt;Hta_18,$G55&gt;=Hba_18,Input!AJ$38&lt;&gt;""),Input!$B$38&amp;";",""),IF(AND($G55&lt;Hta_19,$G55&gt;=Hba_19,Input!AJ$39&lt;&gt;""),Input!$B$39&amp;";",""),IF(AND($G55&lt;Hta_20,$G55&gt;=Hba_20,Input!AJ$40&lt;&gt;""),Input!$B$40&amp;";",""),IF(AND($G55&lt;Hta_21,$G55&gt;=Hba_21,Input!AJ$41&lt;&gt;""),Input!$B$41&amp;";",""),IF(AND($G55&lt;Hta_22,$G55&gt;=Hba_22,Input!AJ$42&lt;&gt;""),Input!$B$42&amp;";",""),IF(AND($G55&lt;Hta_23,$G55&gt;=Hba_23,Input!AJ$43&lt;&gt;""),Input!$B$43&amp;";",""),IF(AND($G55&lt;Hta_24,$G55&gt;=Hba_24,Input!AJ$44&lt;&gt;""),Input!$B$44&amp;";",""),IF(AND($G55&lt;Hta_25,$G55&gt;=Hba_25,Input!AJ$45&lt;&gt;""),Input!$B$45&amp;";",""),IF(AND($G55&lt;Hta_26,$G55&gt;=Hba_26,Input!AJ$46&lt;&gt;""),Input!$B$46&amp;";",""),IF(AND($G55&lt;Hta_27,$G55&gt;=Hba_27,Input!AJ$47&lt;&gt;""),Input!$B$47&amp;";",""),IF(AND($G55&lt;Hta_28,$G55&gt;=Hba_28,Input!AJ$48&lt;&gt;""),Input!$B$48&amp;";",""),IF(AND($G55&lt;Hta_29,$G55&gt;=Hba_29,Input!AJ$49&lt;&gt;""),Input!$B$49&amp;";",""),IF(AND($G55&lt;Hta_30,$G55&gt;=Hba_30,Input!AJ$50&lt;&gt;""),Input!$B$50&amp;";","")),"")</f>
        <v/>
      </c>
      <c r="CL55" s="25" t="str">
        <f>IFERROR(CONCATENATE(IF(AND($G55&lt;Hta_1,$G55&gt;=Hba_1,Input!AK$21&lt;&gt;""),Input!$B$21&amp;";",""),IF(AND($G55&lt;Hta_2,$G55&gt;=Hba_2,Input!AK$22&lt;&gt;""),Input!$B$22&amp;";",""),IF(AND($G55&lt;Hta_3,$G55&gt;=Hba_3,Input!AK$23&lt;&gt;""),Input!$B$23&amp;";",""),IF(AND($G55&lt;Hta_4,$G55&gt;=Hba_4,Input!AK$24&lt;&gt;""),Input!$B$24&amp;";",""),IF(AND($G55&lt;Hta_5,$G55&gt;=Hba_5,Input!AK$25&lt;&gt;""),Input!$B$25&amp;";",""),IF(AND($G55&lt;Hta_6,$G55&gt;=Hba_6,Input!AK$26&lt;&gt;""),Input!$B$26&amp;";",""),IF(AND($G55&lt;Hta_7,$G55&gt;=Hba_7,Input!AK$27&lt;&gt;""),Input!$B$27&amp;";",""),IF(AND($G55&lt;Hta_8,$G55&gt;=Hba_8,Input!AK$28&lt;&gt;""),Input!$B$28&amp;";",""),IF(AND($G55&lt;Hta_9,$G55&gt;=Hba_9,Input!AK$29&lt;&gt;""),Input!$B$29&amp;";",""),IF(AND($G55&lt;Hta_10,$G55&gt;=Hba_10,Input!AK$30&lt;&gt;""),Input!$B$30&amp;";",""),IF(AND($G55&lt;Hta_11,$G55&gt;=Hba_11,Input!AK$31&lt;&gt;""),Input!$B$31&amp;";",""),IF(AND($G55&lt;Hta_12,$G55&gt;=Hba_12,Input!AK$32&lt;&gt;""),Input!$B$32&amp;";",""),IF(AND($G55&lt;Hta_13,$G55&gt;=Hba_13,Input!AK$33&lt;&gt;""),Input!$B$33&amp;";",""),IF(AND($G55&lt;Hta_14,$G55&gt;=Hba_14,Input!AK$34&lt;&gt;""),Input!$B$34&amp;";",""),IF(AND($G55&lt;Hta_15,$G55&gt;=Hba_15,Input!AK$35&lt;&gt;""),Input!$B$35&amp;";",""),IF(AND($G55&lt;Hta_16,$G55&gt;=Hba_16,Input!AK$36&lt;&gt;""),Input!$B$36&amp;";",""),IF(AND($G55&lt;Hta_17,$G55&gt;=Hba_17,Input!AK$37&lt;&gt;""),Input!$B$37&amp;";",""),IF(AND($G55&lt;Hta_18,$G55&gt;=Hba_18,Input!AK$38&lt;&gt;""),Input!$B$38&amp;";",""),IF(AND($G55&lt;Hta_19,$G55&gt;=Hba_19,Input!AK$39&lt;&gt;""),Input!$B$39&amp;";",""),IF(AND($G55&lt;Hta_20,$G55&gt;=Hba_20,Input!AK$40&lt;&gt;""),Input!$B$40&amp;";",""),IF(AND($G55&lt;Hta_21,$G55&gt;=Hba_21,Input!AK$41&lt;&gt;""),Input!$B$41&amp;";",""),IF(AND($G55&lt;Hta_22,$G55&gt;=Hba_22,Input!AK$42&lt;&gt;""),Input!$B$42&amp;";",""),IF(AND($G55&lt;Hta_23,$G55&gt;=Hba_23,Input!AK$43&lt;&gt;""),Input!$B$43&amp;";",""),IF(AND($G55&lt;Hta_24,$G55&gt;=Hba_24,Input!AK$44&lt;&gt;""),Input!$B$44&amp;";",""),IF(AND($G55&lt;Hta_25,$G55&gt;=Hba_25,Input!AK$45&lt;&gt;""),Input!$B$45&amp;";",""),IF(AND($G55&lt;Hta_26,$G55&gt;=Hba_26,Input!AK$46&lt;&gt;""),Input!$B$46&amp;";",""),IF(AND($G55&lt;Hta_27,$G55&gt;=Hba_27,Input!AK$47&lt;&gt;""),Input!$B$47&amp;";",""),IF(AND($G55&lt;Hta_28,$G55&gt;=Hba_28,Input!AK$48&lt;&gt;""),Input!$B$48&amp;";",""),IF(AND($G55&lt;Hta_29,$G55&gt;=Hba_29,Input!AK$49&lt;&gt;""),Input!$B$49&amp;";",""),IF(AND($G55&lt;Hta_30,$G55&gt;=Hba_30,Input!AK$50&lt;&gt;""),Input!$B$50&amp;";","")),"")</f>
        <v/>
      </c>
      <c r="CM55" s="25" t="str">
        <f>IFERROR(CONCATENATE(IF(AND($G55&lt;Hta_1,$G55&gt;=Hba_1,Input!AL$21&lt;&gt;""),Input!$B$21&amp;";",""),IF(AND($G55&lt;Hta_2,$G55&gt;=Hba_2,Input!AL$22&lt;&gt;""),Input!$B$22&amp;";",""),IF(AND($G55&lt;Hta_3,$G55&gt;=Hba_3,Input!AL$23&lt;&gt;""),Input!$B$23&amp;";",""),IF(AND($G55&lt;Hta_4,$G55&gt;=Hba_4,Input!AL$24&lt;&gt;""),Input!$B$24&amp;";",""),IF(AND($G55&lt;Hta_5,$G55&gt;=Hba_5,Input!AL$25&lt;&gt;""),Input!$B$25&amp;";",""),IF(AND($G55&lt;Hta_6,$G55&gt;=Hba_6,Input!AL$26&lt;&gt;""),Input!$B$26&amp;";",""),IF(AND($G55&lt;Hta_7,$G55&gt;=Hba_7,Input!AL$27&lt;&gt;""),Input!$B$27&amp;";",""),IF(AND($G55&lt;Hta_8,$G55&gt;=Hba_8,Input!AL$28&lt;&gt;""),Input!$B$28&amp;";",""),IF(AND($G55&lt;Hta_9,$G55&gt;=Hba_9,Input!AL$29&lt;&gt;""),Input!$B$29&amp;";",""),IF(AND($G55&lt;Hta_10,$G55&gt;=Hba_10,Input!AL$30&lt;&gt;""),Input!$B$30&amp;";",""),IF(AND($G55&lt;Hta_11,$G55&gt;=Hba_11,Input!AL$31&lt;&gt;""),Input!$B$31&amp;";",""),IF(AND($G55&lt;Hta_12,$G55&gt;=Hba_12,Input!AL$32&lt;&gt;""),Input!$B$32&amp;";",""),IF(AND($G55&lt;Hta_13,$G55&gt;=Hba_13,Input!AL$33&lt;&gt;""),Input!$B$33&amp;";",""),IF(AND($G55&lt;Hta_14,$G55&gt;=Hba_14,Input!AL$34&lt;&gt;""),Input!$B$34&amp;";",""),IF(AND($G55&lt;Hta_15,$G55&gt;=Hba_15,Input!AL$35&lt;&gt;""),Input!$B$35&amp;";",""),IF(AND($G55&lt;Hta_16,$G55&gt;=Hba_16,Input!AL$36&lt;&gt;""),Input!$B$36&amp;";",""),IF(AND($G55&lt;Hta_17,$G55&gt;=Hba_17,Input!AL$37&lt;&gt;""),Input!$B$37&amp;";",""),IF(AND($G55&lt;Hta_18,$G55&gt;=Hba_18,Input!AL$38&lt;&gt;""),Input!$B$38&amp;";",""),IF(AND($G55&lt;Hta_19,$G55&gt;=Hba_19,Input!AL$39&lt;&gt;""),Input!$B$39&amp;";",""),IF(AND($G55&lt;Hta_20,$G55&gt;=Hba_20,Input!AL$40&lt;&gt;""),Input!$B$40&amp;";",""),IF(AND($G55&lt;Hta_21,$G55&gt;=Hba_21,Input!AL$41&lt;&gt;""),Input!$B$41&amp;";",""),IF(AND($G55&lt;Hta_22,$G55&gt;=Hba_22,Input!AL$42&lt;&gt;""),Input!$B$42&amp;";",""),IF(AND($G55&lt;Hta_23,$G55&gt;=Hba_23,Input!AL$43&lt;&gt;""),Input!$B$43&amp;";",""),IF(AND($G55&lt;Hta_24,$G55&gt;=Hba_24,Input!AL$44&lt;&gt;""),Input!$B$44&amp;";",""),IF(AND($G55&lt;Hta_25,$G55&gt;=Hba_25,Input!AL$45&lt;&gt;""),Input!$B$45&amp;";",""),IF(AND($G55&lt;Hta_26,$G55&gt;=Hba_26,Input!AL$46&lt;&gt;""),Input!$B$46&amp;";",""),IF(AND($G55&lt;Hta_27,$G55&gt;=Hba_27,Input!AL$47&lt;&gt;""),Input!$B$47&amp;";",""),IF(AND($G55&lt;Hta_28,$G55&gt;=Hba_28,Input!AL$48&lt;&gt;""),Input!$B$48&amp;";",""),IF(AND($G55&lt;Hta_29,$G55&gt;=Hba_29,Input!AL$49&lt;&gt;""),Input!$B$49&amp;";",""),IF(AND($G55&lt;Hta_30,$G55&gt;=Hba_30,Input!AL$50&lt;&gt;""),Input!$B$50&amp;";","")),"")</f>
        <v/>
      </c>
      <c r="CN55" s="60" t="str">
        <f t="shared" si="6"/>
        <v/>
      </c>
      <c r="CO55" s="798"/>
      <c r="CP55" s="799"/>
      <c r="CQ55" s="800"/>
      <c r="CR55" s="798"/>
      <c r="CS55" s="799"/>
      <c r="CT55" s="800"/>
      <c r="CU55" s="798" t="str">
        <f t="shared" si="7"/>
        <v/>
      </c>
      <c r="CV55" s="799"/>
      <c r="CW55" s="806"/>
      <c r="CX55" s="726"/>
      <c r="CY55" s="727"/>
      <c r="CZ55" s="732"/>
      <c r="DA55" s="726"/>
      <c r="DB55" s="727"/>
      <c r="DC55" s="732"/>
      <c r="DD55" s="726" t="str">
        <f t="shared" si="8"/>
        <v/>
      </c>
      <c r="DE55" s="727"/>
      <c r="DF55" s="728"/>
      <c r="DG55" s="53"/>
      <c r="DH55" s="54"/>
      <c r="DI55" s="54"/>
      <c r="DJ55" s="54"/>
      <c r="DK55" s="54"/>
      <c r="DL55" s="54"/>
      <c r="DM55" s="54"/>
      <c r="DN55" s="54"/>
      <c r="DO55" s="54"/>
      <c r="DP55" s="54"/>
      <c r="DQ55" s="57"/>
      <c r="DR55" s="57"/>
      <c r="DS55" s="57"/>
      <c r="DT55" s="57"/>
      <c r="DU55" s="57"/>
      <c r="DV55" s="57"/>
      <c r="DW55" s="57"/>
      <c r="DX55" s="57"/>
      <c r="DY55" s="57"/>
      <c r="DZ55" s="57"/>
      <c r="EA55" s="57"/>
      <c r="EB55" s="57"/>
      <c r="EC55" s="57"/>
      <c r="ED55" s="57"/>
      <c r="EE55" s="57"/>
      <c r="EF55" s="57"/>
      <c r="EG55" s="57"/>
      <c r="EH55" s="57"/>
      <c r="EI55" s="57"/>
      <c r="EJ55" s="57"/>
      <c r="EK55" s="57"/>
      <c r="EL55" s="133"/>
      <c r="EM55" s="133"/>
      <c r="EN55" s="133"/>
      <c r="EO55" s="133"/>
      <c r="EP55" s="133"/>
      <c r="EQ55" s="133"/>
      <c r="ER55" s="133"/>
      <c r="ES55" s="133"/>
      <c r="ET55" s="133"/>
      <c r="EU55" s="133"/>
      <c r="EV55" s="133"/>
      <c r="EW55" s="133"/>
      <c r="EX55" s="133"/>
      <c r="EY55" s="133"/>
      <c r="EZ55" s="133"/>
      <c r="FA55" s="133"/>
      <c r="FB55" s="133"/>
      <c r="FC55" s="133"/>
      <c r="FD55" s="133"/>
      <c r="FE55" s="133"/>
      <c r="FF55" s="133"/>
      <c r="FG55" s="133"/>
      <c r="FH55" s="133"/>
      <c r="FI55" s="133"/>
      <c r="FJ55" s="133"/>
      <c r="FK55" s="133"/>
      <c r="FL55" s="133"/>
      <c r="FM55" s="133"/>
      <c r="FN55" s="133"/>
      <c r="FO55" s="133"/>
      <c r="FQ55" s="125"/>
      <c r="FR55" s="123"/>
      <c r="FS55" s="121"/>
      <c r="FT55" s="119"/>
    </row>
    <row r="56" spans="2:176" ht="15.75" hidden="1" customHeight="1" thickBot="1" x14ac:dyDescent="0.3">
      <c r="B56" s="62" t="b">
        <f>IF(OR(AND(G56&gt;='Geometry 2'!$AK$5,G56&lt;'Geometry 2'!$AL$5),AND(G56&gt;='Geometry 2'!$AK$6,G56&lt;'Geometry 2'!$AL$6),AND(G56&gt;='Geometry 2'!$AK$7,G56&lt;'Geometry 2'!$AL$7),AND(G56&gt;='Geometry 2'!$AK$8,G56&lt;'Geometry 2'!$AL$8),AND(G56&gt;='Geometry 2'!$AK$9,G56&lt;'Geometry 2'!$AL$9),AND(G56&gt;='Geometry 2'!$AK$10,G56&lt;'Geometry 2'!$AL$10),AND(G56&gt;='Geometry 2'!$AK$11,G56&lt;'Geometry 2'!$AL$11),AND(G56&gt;='Geometry 2'!$AK$12,G56&lt;'Geometry 2'!$AL$12),AND(G56&gt;='Geometry 2'!$AK$13,G56&lt;'Geometry 2'!$AL$13),AND(G56&gt;='Geometry 2'!$AK$14,G56&lt;'Geometry 2'!$AL$14)),TRUE,FALSE)</f>
        <v>0</v>
      </c>
      <c r="C56" s="4" t="str">
        <f t="shared" si="3"/>
        <v/>
      </c>
      <c r="D56" s="766" t="str">
        <f t="shared" si="4"/>
        <v/>
      </c>
      <c r="E56" s="767"/>
      <c r="F56" s="17" t="str">
        <f t="shared" si="2"/>
        <v/>
      </c>
      <c r="G56" s="768" t="str">
        <f>IF(D56="","",MAX(0,G55-IF(inc="n/a",999,inc),MAX(IF(G55&lt;=Hta_1,0,Hta_1),IF(G55&lt;=Hta_2,0,Hta_2),IF(G55&lt;=Hta_3,0,Hta_3),IF(G55&lt;=Hta_4,0,Hta_4),IF(G55&lt;=Hta_5,0,Hta_5),IF(G55&lt;=Hta_6,0,Hta_6),IF(G55&lt;=Hta_7,0,Hta_7),IF(G55&lt;=Hta_8,0,Hta_8),IF(G55&lt;=Hta_9,0,Hta_9),IF(G55&lt;=Hta_10,0,Hta_10),IF(G55&lt;=Hta_11,0,Hta_11),IF(G55&lt;=Hta_12,0,Hta_12),IF(G55&lt;=Hta_13,0,Hta_13),IF(G55&lt;=Hta_14,0,Hta_14),IF(G55&lt;=Hta_15,0,Hta_15),IF(G55&lt;=Hta_16,0,Hta_16),IF(G55&lt;=Hta_17,0,Hta_17),IF(G55&lt;=Hta_18,0,Hta_18),IF(G55&lt;=Hta_19,0,Hta_19),IF(G55&lt;=Hta_20,0,Hta_20),IF(G55&lt;=Hta_21,0,Hta_21),IF(G55&lt;=Hta_22,0,Hta_22),IF(G55&lt;=Hta_23,0,Hta_23),IF(G55&lt;=Hta_24,0,Hta_24),IF(G55&lt;=Hta_25,0,Hta_25),IF(G55&lt;=Hta_26,0,Hta_26),IF(G55&lt;=Hta_27,0,Hta_27),IF(G55&lt;=Hta_28,0,Hta_28),IF(G55&lt;=Hta_29,0,Hta_29),IF(G55&lt;=Hta_30,0,Hta_30)),MAX(IF(G55&lt;=Hta_1-0.25,0,Hta_1-0.25),IF(G55&lt;=Hta_2-0.25,0,Hta_2-0.25),IF(G55&lt;=Hta_3-0.25,0,Hta_3-0.25),IF(G55&lt;=Hta_4-0.25,0,Hta_4-0.25),IF(G55&lt;=Hta_5-0.25,0,Hta_5-0.25),IF(G55&lt;=Hta_6-0.25,0,Hta_6-0.25),IF(G55&lt;=Hta_7-0.25,0,Hta_7-0.25),IF(G55&lt;=Hta_8-0.25,0,Hta_8-0.25),IF(G55&lt;=Hta_9-0.25,0,Hta_9-0.25),IF(G55&lt;=Hta_10-0.25,0,Hta_10-0.25),IF(G55&lt;=Hta_11-0.25,0,Hta_11-0.25),IF(G55&lt;=Hta_12-0.25,0,Hta_12-0.25),IF(G55&lt;=Hta_13-0.25,0,Hta_13-0.25),IF(G55&lt;=Hta_14-0.25,0,Hta_14-0.25),IF(G55&lt;=Hta_15-0.25,0,Hta_15-0.25),IF(G55&lt;=Hta_16-0.25,0,Hta_16-0.25),IF(G55&lt;=Hta_17-0.25,0,Hta_17-0.25),IF(G55&lt;=Hta_18-0.25,0,Hta_18-0.25),IF(G55&lt;=Hta_19-0.25,0,Hta_19-0.25),IF(G55&lt;=Hta_20-0.25,0,Hta_20-0.25),IF(G55&lt;=Hta_21-0.25,0,Hta_21-0.25),IF(G55&lt;=Hta_22-0.25,0,Hta_22-0.25),IF(G55&lt;=Hta_23-0.25,0,Hta_23-0.25),IF(G55&lt;=Hta_24-0.25,0,Hta_24-0.25),IF(G55&lt;=Hta_25-0.25,0,Hta_25-0.25),IF(G55&lt;=Hta_26-0.25,0,Hta_26-0.25),IF(G55&lt;=Hta_27-0.25,0,Hta_27-0.25),IF(G55&lt;=Hta_28-0.25,0,Hta_28-0.25),IF(G55&lt;=Hta_29-0.25,0,Hta_29-0.25),IF(G55&lt;=Hta_30-0.25,0,Hta_30-0.25)),MAX(IF(G55&lt;=Hba_1,0,Hba_1),IF(G55&lt;=Hba_2,0,Hba_2),IF(G55&lt;=Hba_3,0,Hba_3),IF(G55&lt;=Hba_4,0,Hba_4),IF(G55&lt;=Hba_5,0,Hba_5),IF(G55&lt;=Hba_6,0,Hba_6),IF(G55&lt;=Hba_7,0,Hba_7),IF(G55&lt;=Hba_8,0,Hba_8),IF(G55&lt;=Hba_9,0,Hba_9),IF(G55&lt;=Hba_10,0,Hba_10),IF(G55&lt;=Hba_11,0,Hba_11),IF(G55&lt;=Hba_12,0,Hba_12),IF(G55&lt;=Hba_13,0,Hba_13),IF(G55&lt;=Hba_14,0,Hba_14),IF(G55&lt;=Hba_15,0,Hba_15),IF(G55&lt;=Hba_16,0,Hba_16),IF(G55&lt;=Hba_17,0,Hba_17),IF(G55&lt;=Hba_18,0,Hba_18),IF(G55&lt;=Hba_19,0,Hba_19),IF(G55&lt;=Hba_20,0,Hba_20),IF(G55&lt;=Hba_21,0,Hba_21),IF(G55&lt;=Hba_22,0,Hba_22),IF(G55&lt;=Hba_23,0,Hba_23),IF(G55&lt;=Hba_24,0,Hba_24),IF(G55&lt;=Hba_25,0,Hba_25),IF(G55&lt;=Hba_26,0,Hba_26),IF(G55&lt;=Hba_27,0,Hba_27),IF(G55&lt;=Hba_28,0,Hba_28),IF(G55&lt;=Hba_29,0,Hba_29),IF(G55&lt;=Hba_30,0,Hba_30)),MAX(IF(G55&lt;=Input!$C$8,0,Input!$C$8),IF(G55&lt;=Input!$C$9,0,Input!$C$9),IF(G55&lt;=Input!$C$10,0,Input!$C$10),IF(G55&lt;=Input!$C$11,0,Input!$C$11),IF(G55&lt;=Input!$C$12,0,Input!$C$12),IF(G55&lt;=Input!$C$13,0,Input!$C$13),IF(G55&lt;=Input!$C$14,0,Input!$C$14),IF(G55&lt;=Input!$C$15,0,Input!$C$15),IF(G55&lt;=Input!$C$16,0,Input!$C$16)),MAX(IF(G55&lt;=Hba_1-0.25,0,Hba_1-0.25),IF(G55&lt;=Hba_2-0.25,0,Hba_2-0.25),IF(G55&lt;=Hba_3-0.25,0,Hba_3-0.25),IF(G55&lt;=Hba_4-0.25,0,Hba_4-0.25),IF(G55&lt;=Hba_5-0.25,0,Hba_5-0.25),IF(G55&lt;=Hba_6-0.25,0,Hba_6-0.25),IF(G55&lt;=Hba_7-0.25,0,Hba_7-0.25),IF(G55&lt;=Hba_8-0.25,0,Hba_8-0.25),IF(G55&lt;=Hba_9-0.25,0,Hba_9-0.25),IF(G55&lt;=Hba_10-0.25,0,Hba_10-0.25),IF(G55&lt;=Hba_11-0.25,0,Hba_11-0.25),IF(G55&lt;=Hba_12-0.25,0,Hba_12-0.25),IF(G55&lt;=Hba_13-0.25,0,Hba_13-0.25),IF(G55&lt;=Hba_14-0.25,0,Hba_14-0.25),IF(G55&lt;=Hba_15-0.25,0,Hba_15-0.25),IF(G55&lt;=Hba_16-0.25,0,Hba_16-0.25),IF(G55&lt;=Hba_17-0.25,0,Hba_17-0.25),IF(G55&lt;=Hba_18-0.25,0,Hba_18-0.25),IF(G55&lt;=Hba_19-0.25,0,Hba_19-0.25),IF(G55&lt;=Hba_20-0.25,0,Hba_20-0.25),IF(G55&lt;=Hba_21-0.25,0,Hba_21-0.25),IF(G55&lt;=Hba_22-0.25,0,Hba_22-0.25),IF(G55&lt;=Hba_23-0.25,0,Hba_23-0.25),IF(G55&lt;=Hba_24-0.25,0,Hba_24-0.25),IF(G55&lt;=Hba_25-0.25,0,Hba_25-0.25),IF(G55&lt;=Hba_26-0.25,0,Hba_26-0.25),IF(G55&lt;=Hba_27-0.25,0,Hba_27-0.25),IF(G55&lt;=Hba_28-0.25,0,Hba_28-0.25),IF(G55&lt;=Hba_29-0.25,0,Hba_29-0.25),IF(G55&lt;=Hba_30-0.25,0,Hba_30-0.25)),IF(G55&lt;='Macro References'!$A$38,0,'Macro References'!$A$38)))</f>
        <v/>
      </c>
      <c r="H56" s="769"/>
      <c r="I56" s="228"/>
      <c r="J56" s="228"/>
      <c r="K56" s="228"/>
      <c r="L56" s="717" t="str">
        <f t="shared" si="10"/>
        <v/>
      </c>
      <c r="M56" s="717"/>
      <c r="N56" s="717"/>
      <c r="O56" s="717"/>
      <c r="P56" s="717" t="str">
        <f>IF(OR(G56=0,G56=""),"",IF(VLOOKUP(G56,'Geometry 2'!$C$4:$AI$14,1,TRUE)=VLOOKUP(G57,'Geometry 2'!$C$4:$AI$14,1,TRUE),"",IF(VLOOKUP(G56,'Geometry 2'!$C$4:$AI$14,33,TRUE)&lt;&gt;"n/a",MIN(G56,VLOOKUP(G56,'Geometry 2'!$C$4:$AI$14,1,TRUE))-VLOOKUP(G56,'Geometry 2'!$C$4:$AI$14,33,TRUE),"check")))</f>
        <v/>
      </c>
      <c r="Q56" s="717"/>
      <c r="R56" s="717"/>
      <c r="S56" s="717"/>
      <c r="T56" s="717" t="str">
        <f>IF($G56="","",VLOOKUP($G56,'Geometry 2'!$E$4:$AH$14,11,TRUE))</f>
        <v/>
      </c>
      <c r="U56" s="717"/>
      <c r="V56" s="717"/>
      <c r="W56" s="717"/>
      <c r="X56" s="716" t="str">
        <f>IF($G56="","",VLOOKUP($G56,'Geometry 2'!$E$4:$AJ$14,19,TRUE)-12*VLOOKUP($G56,'Geometry 2'!$E$4:$AJ$14,32,TRUE)*($D56-VLOOKUP($G56,'Geometry 2'!$E$5:$AH$14,1,TRUE)))</f>
        <v/>
      </c>
      <c r="Y56" s="716"/>
      <c r="Z56" s="716"/>
      <c r="AA56" s="716"/>
      <c r="AB56" s="757" t="str">
        <f>IF($G56="","",VLOOKUP($G56,'Geometry 2'!$E$4:$AJ$14,19,TRUE)-12*VLOOKUP($G56,'Geometry 2'!$E$4:$AJ$14,32,TRUE)*($G56-VLOOKUP($G56,'Geometry 2'!$E$5:$AH$14,1,TRUE)))</f>
        <v/>
      </c>
      <c r="AC56" s="758"/>
      <c r="AD56" s="758"/>
      <c r="AE56" s="759"/>
      <c r="AF56" s="716" t="str">
        <f>IF($G56="","",VLOOKUP($G56,'Geometry 2'!$E$4:$AJ$14,19,TRUE)-12*VLOOKUP($G56,'Geometry 2'!$E$4:$AJ$14,32,TRUE)*($G56-IF($P56="",0,$P56)-VLOOKUP($G56,'Geometry 2'!$E$5:$AH$14,1,TRUE)))</f>
        <v/>
      </c>
      <c r="AG56" s="716"/>
      <c r="AH56" s="716"/>
      <c r="AI56" s="716"/>
      <c r="AJ56" s="746" t="str">
        <f>IF($G56="","",VLOOKUP($G56,'Geometry 2'!$E$4:$AH$14,23,TRUE))</f>
        <v/>
      </c>
      <c r="AK56" s="747"/>
      <c r="AL56" s="747"/>
      <c r="AM56" s="748"/>
      <c r="AN56" s="717"/>
      <c r="AO56" s="717"/>
      <c r="AP56" s="717"/>
      <c r="AQ56" s="717"/>
      <c r="AR56" s="717" t="str">
        <f>IF($G56="","",VLOOKUP($G56,'Geometry 2'!$E$4:$AH$14,27,TRUE))</f>
        <v/>
      </c>
      <c r="AS56" s="717"/>
      <c r="AT56" s="717"/>
      <c r="AU56" s="718"/>
      <c r="AV56" s="715"/>
      <c r="AW56" s="716"/>
      <c r="AX56" s="716"/>
      <c r="AZ56" s="722" t="str">
        <f t="shared" si="5"/>
        <v/>
      </c>
      <c r="BA56" s="723"/>
      <c r="BB56" s="723"/>
      <c r="BC56" s="724"/>
      <c r="BD56" s="722"/>
      <c r="BE56" s="723"/>
      <c r="BF56" s="723"/>
      <c r="BG56" s="722" t="str">
        <f t="shared" si="9"/>
        <v/>
      </c>
      <c r="BH56" s="723"/>
      <c r="BI56" s="723"/>
      <c r="BJ56" s="723"/>
      <c r="BK56" s="724"/>
      <c r="BL56" s="722"/>
      <c r="BM56" s="723"/>
      <c r="BN56" s="723"/>
      <c r="BO56" s="723"/>
      <c r="BP56" s="725"/>
      <c r="BQ56" s="725"/>
      <c r="BR56" s="722" t="str">
        <f>IF(BP56="","",IF(OR(AND(Rev="H",Calculations!$F$27=TRUE),AND(Rev&lt;&gt;"H",Calculations!$F$30=TRUE)),IF(BP56&lt;=1,"Pass","Fail"),IF(BP56&lt;=1.05,"Pass","Fail")))</f>
        <v/>
      </c>
      <c r="BS56" s="723"/>
      <c r="BT56" s="724"/>
      <c r="BU56" s="49"/>
      <c r="BV56" s="25" t="str">
        <f>IFERROR(CONCATENATE(IF(AND($G56&lt;Hta_1,$G56&gt;=Hba_1,Input!U$21&lt;&gt;""),Input!$B$21&amp;";",""),IF(AND($G56&lt;Hta_2,$G56&gt;=Hba_2,Input!U$22&lt;&gt;""),Input!$B$22&amp;";",""),IF(AND($G56&lt;Hta_3,$G56&gt;=Hba_3,Input!U$23&lt;&gt;""),Input!$B$23&amp;";",""),IF(AND($G56&lt;Hta_4,$G56&gt;=Hba_4,Input!U$24&lt;&gt;""),Input!$B$24&amp;";",""),IF(AND($G56&lt;Hta_5,$G56&gt;=Hba_5,Input!U$25&lt;&gt;""),Input!$B$25&amp;";",""),IF(AND($G56&lt;Hta_6,$G56&gt;=Hba_6,Input!U$26&lt;&gt;""),Input!$B$26&amp;";",""),IF(AND($G56&lt;Hta_7,$G56&gt;=Hba_7,Input!U$27&lt;&gt;""),Input!$B$27&amp;";",""),IF(AND($G56&lt;Hta_8,$G56&gt;=Hba_8,Input!U$28&lt;&gt;""),Input!$B$28&amp;";",""),IF(AND($G56&lt;Hta_9,$G56&gt;=Hba_9,Input!U$29&lt;&gt;""),Input!$B$29&amp;";",""),IF(AND($G56&lt;Hta_10,$G56&gt;=Hba_10,Input!U$30&lt;&gt;""),Input!$B$30&amp;";",""),IF(AND($G56&lt;Hta_11,$G56&gt;=Hba_11,Input!U$31&lt;&gt;""),Input!$B$31&amp;";",""),IF(AND($G56&lt;Hta_12,$G56&gt;=Hba_12,Input!U$32&lt;&gt;""),Input!$B$32&amp;";",""),IF(AND($G56&lt;Hta_13,$G56&gt;=Hba_13,Input!U$33&lt;&gt;""),Input!$B$33&amp;";",""),IF(AND($G56&lt;Hta_14,$G56&gt;=Hba_14,Input!U$34&lt;&gt;""),Input!$B$34&amp;";",""),IF(AND($G56&lt;Hta_15,$G56&gt;=Hba_15,Input!U$35&lt;&gt;""),Input!$B$35&amp;";",""),IF(AND($G56&lt;Hta_16,$G56&gt;=Hba_16,Input!U$36&lt;&gt;""),Input!$B$36&amp;";",""),IF(AND($G56&lt;Hta_17,$G56&gt;=Hba_17,Input!U$37&lt;&gt;""),Input!$B$37&amp;";",""),IF(AND($G56&lt;Hta_18,$G56&gt;=Hba_18,Input!U$38&lt;&gt;""),Input!$B$38&amp;";",""),IF(AND($G56&lt;Hta_19,$G56&gt;=Hba_19,Input!U$39&lt;&gt;""),Input!$B$39&amp;";",""),IF(AND($G56&lt;Hta_20,$G56&gt;=Hba_20,Input!U$40&lt;&gt;""),Input!$B$40&amp;";",""),IF(AND($G56&lt;Hta_21,$G56&gt;=Hba_21,Input!U$41&lt;&gt;""),Input!$B$41&amp;";",""),IF(AND($G56&lt;Hta_22,$G56&gt;=Hba_22,Input!U$42&lt;&gt;""),Input!$B$42&amp;";",""),IF(AND($G56&lt;Hta_23,$G56&gt;=Hba_23,Input!U$43&lt;&gt;""),Input!$B$43&amp;";",""),IF(AND($G56&lt;Hta_24,$G56&gt;=Hba_24,Input!U$44&lt;&gt;""),Input!$B$44&amp;";",""),IF(AND($G56&lt;Hta_25,$G56&gt;=Hba_25,Input!U$45&lt;&gt;""),Input!$B$45&amp;";",""),IF(AND($G56&lt;Hta_26,$G56&gt;=Hba_26,Input!U$46&lt;&gt;""),Input!$B$46&amp;";",""),IF(AND($G56&lt;Hta_27,$G56&gt;=Hba_27,Input!U$47&lt;&gt;""),Input!$B$47&amp;";",""),IF(AND($G56&lt;Hta_28,$G56&gt;=Hba_28,Input!U$48&lt;&gt;""),Input!$B$48&amp;";",""),IF(AND($G56&lt;Hta_29,$G56&gt;=Hba_29,Input!U$49&lt;&gt;""),Input!$B$49&amp;";",""),IF(AND($G56&lt;Hta_30,$G56&gt;=Hba_30,Input!U$50&lt;&gt;""),Input!$B$50&amp;";","")),"")</f>
        <v/>
      </c>
      <c r="BW56" s="25" t="str">
        <f>IFERROR(CONCATENATE(IF(AND($G56&lt;Hta_1,$G56&gt;=Hba_1,Input!V$21&lt;&gt;""),Input!$B$21&amp;";",""),IF(AND($G56&lt;Hta_2,$G56&gt;=Hba_2,Input!V$22&lt;&gt;""),Input!$B$22&amp;";",""),IF(AND($G56&lt;Hta_3,$G56&gt;=Hba_3,Input!V$23&lt;&gt;""),Input!$B$23&amp;";",""),IF(AND($G56&lt;Hta_4,$G56&gt;=Hba_4,Input!V$24&lt;&gt;""),Input!$B$24&amp;";",""),IF(AND($G56&lt;Hta_5,$G56&gt;=Hba_5,Input!V$25&lt;&gt;""),Input!$B$25&amp;";",""),IF(AND($G56&lt;Hta_6,$G56&gt;=Hba_6,Input!V$26&lt;&gt;""),Input!$B$26&amp;";",""),IF(AND($G56&lt;Hta_7,$G56&gt;=Hba_7,Input!V$27&lt;&gt;""),Input!$B$27&amp;";",""),IF(AND($G56&lt;Hta_8,$G56&gt;=Hba_8,Input!V$28&lt;&gt;""),Input!$B$28&amp;";",""),IF(AND($G56&lt;Hta_9,$G56&gt;=Hba_9,Input!V$29&lt;&gt;""),Input!$B$29&amp;";",""),IF(AND($G56&lt;Hta_10,$G56&gt;=Hba_10,Input!V$30&lt;&gt;""),Input!$B$30&amp;";",""),IF(AND($G56&lt;Hta_11,$G56&gt;=Hba_11,Input!V$31&lt;&gt;""),Input!$B$31&amp;";",""),IF(AND($G56&lt;Hta_12,$G56&gt;=Hba_12,Input!V$32&lt;&gt;""),Input!$B$32&amp;";",""),IF(AND($G56&lt;Hta_13,$G56&gt;=Hba_13,Input!V$33&lt;&gt;""),Input!$B$33&amp;";",""),IF(AND($G56&lt;Hta_14,$G56&gt;=Hba_14,Input!V$34&lt;&gt;""),Input!$B$34&amp;";",""),IF(AND($G56&lt;Hta_15,$G56&gt;=Hba_15,Input!V$35&lt;&gt;""),Input!$B$35&amp;";",""),IF(AND($G56&lt;Hta_16,$G56&gt;=Hba_16,Input!V$36&lt;&gt;""),Input!$B$36&amp;";",""),IF(AND($G56&lt;Hta_17,$G56&gt;=Hba_17,Input!V$37&lt;&gt;""),Input!$B$37&amp;";",""),IF(AND($G56&lt;Hta_18,$G56&gt;=Hba_18,Input!V$38&lt;&gt;""),Input!$B$38&amp;";",""),IF(AND($G56&lt;Hta_19,$G56&gt;=Hba_19,Input!V$39&lt;&gt;""),Input!$B$39&amp;";",""),IF(AND($G56&lt;Hta_20,$G56&gt;=Hba_20,Input!V$40&lt;&gt;""),Input!$B$40&amp;";",""),IF(AND($G56&lt;Hta_21,$G56&gt;=Hba_21,Input!V$41&lt;&gt;""),Input!$B$41&amp;";",""),IF(AND($G56&lt;Hta_22,$G56&gt;=Hba_22,Input!V$42&lt;&gt;""),Input!$B$42&amp;";",""),IF(AND($G56&lt;Hta_23,$G56&gt;=Hba_23,Input!V$43&lt;&gt;""),Input!$B$43&amp;";",""),IF(AND($G56&lt;Hta_24,$G56&gt;=Hba_24,Input!V$44&lt;&gt;""),Input!$B$44&amp;";",""),IF(AND($G56&lt;Hta_25,$G56&gt;=Hba_25,Input!V$45&lt;&gt;""),Input!$B$45&amp;";",""),IF(AND($G56&lt;Hta_26,$G56&gt;=Hba_26,Input!V$46&lt;&gt;""),Input!$B$46&amp;";",""),IF(AND($G56&lt;Hta_27,$G56&gt;=Hba_27,Input!V$47&lt;&gt;""),Input!$B$47&amp;";",""),IF(AND($G56&lt;Hta_28,$G56&gt;=Hba_28,Input!V$48&lt;&gt;""),Input!$B$48&amp;";",""),IF(AND($G56&lt;Hta_29,$G56&gt;=Hba_29,Input!V$49&lt;&gt;""),Input!$B$49&amp;";",""),IF(AND($G56&lt;Hta_30,$G56&gt;=Hba_30,Input!V$50&lt;&gt;""),Input!$B$50&amp;";","")),"")</f>
        <v/>
      </c>
      <c r="BX56" s="25" t="str">
        <f>IFERROR(CONCATENATE(IF(AND($G56&lt;Hta_1,$G56&gt;=Hba_1,Input!W$21&lt;&gt;""),Input!$B$21&amp;";",""),IF(AND($G56&lt;Hta_2,$G56&gt;=Hba_2,Input!W$22&lt;&gt;""),Input!$B$22&amp;";",""),IF(AND($G56&lt;Hta_3,$G56&gt;=Hba_3,Input!W$23&lt;&gt;""),Input!$B$23&amp;";",""),IF(AND($G56&lt;Hta_4,$G56&gt;=Hba_4,Input!W$24&lt;&gt;""),Input!$B$24&amp;";",""),IF(AND($G56&lt;Hta_5,$G56&gt;=Hba_5,Input!W$25&lt;&gt;""),Input!$B$25&amp;";",""),IF(AND($G56&lt;Hta_6,$G56&gt;=Hba_6,Input!W$26&lt;&gt;""),Input!$B$26&amp;";",""),IF(AND($G56&lt;Hta_7,$G56&gt;=Hba_7,Input!W$27&lt;&gt;""),Input!$B$27&amp;";",""),IF(AND($G56&lt;Hta_8,$G56&gt;=Hba_8,Input!W$28&lt;&gt;""),Input!$B$28&amp;";",""),IF(AND($G56&lt;Hta_9,$G56&gt;=Hba_9,Input!W$29&lt;&gt;""),Input!$B$29&amp;";",""),IF(AND($G56&lt;Hta_10,$G56&gt;=Hba_10,Input!W$30&lt;&gt;""),Input!$B$30&amp;";",""),IF(AND($G56&lt;Hta_11,$G56&gt;=Hba_11,Input!W$31&lt;&gt;""),Input!$B$31&amp;";",""),IF(AND($G56&lt;Hta_12,$G56&gt;=Hba_12,Input!W$32&lt;&gt;""),Input!$B$32&amp;";",""),IF(AND($G56&lt;Hta_13,$G56&gt;=Hba_13,Input!W$33&lt;&gt;""),Input!$B$33&amp;";",""),IF(AND($G56&lt;Hta_14,$G56&gt;=Hba_14,Input!W$34&lt;&gt;""),Input!$B$34&amp;";",""),IF(AND($G56&lt;Hta_15,$G56&gt;=Hba_15,Input!W$35&lt;&gt;""),Input!$B$35&amp;";",""),IF(AND($G56&lt;Hta_16,$G56&gt;=Hba_16,Input!W$36&lt;&gt;""),Input!$B$36&amp;";",""),IF(AND($G56&lt;Hta_17,$G56&gt;=Hba_17,Input!W$37&lt;&gt;""),Input!$B$37&amp;";",""),IF(AND($G56&lt;Hta_18,$G56&gt;=Hba_18,Input!W$38&lt;&gt;""),Input!$B$38&amp;";",""),IF(AND($G56&lt;Hta_19,$G56&gt;=Hba_19,Input!W$39&lt;&gt;""),Input!$B$39&amp;";",""),IF(AND($G56&lt;Hta_20,$G56&gt;=Hba_20,Input!W$40&lt;&gt;""),Input!$B$40&amp;";",""),IF(AND($G56&lt;Hta_21,$G56&gt;=Hba_21,Input!W$41&lt;&gt;""),Input!$B$41&amp;";",""),IF(AND($G56&lt;Hta_22,$G56&gt;=Hba_22,Input!W$42&lt;&gt;""),Input!$B$42&amp;";",""),IF(AND($G56&lt;Hta_23,$G56&gt;=Hba_23,Input!W$43&lt;&gt;""),Input!$B$43&amp;";",""),IF(AND($G56&lt;Hta_24,$G56&gt;=Hba_24,Input!W$44&lt;&gt;""),Input!$B$44&amp;";",""),IF(AND($G56&lt;Hta_25,$G56&gt;=Hba_25,Input!W$45&lt;&gt;""),Input!$B$45&amp;";",""),IF(AND($G56&lt;Hta_26,$G56&gt;=Hba_26,Input!W$46&lt;&gt;""),Input!$B$46&amp;";",""),IF(AND($G56&lt;Hta_27,$G56&gt;=Hba_27,Input!W$47&lt;&gt;""),Input!$B$47&amp;";",""),IF(AND($G56&lt;Hta_28,$G56&gt;=Hba_28,Input!W$48&lt;&gt;""),Input!$B$48&amp;";",""),IF(AND($G56&lt;Hta_29,$G56&gt;=Hba_29,Input!W$49&lt;&gt;""),Input!$B$49&amp;";",""),IF(AND($G56&lt;Hta_30,$G56&gt;=Hba_30,Input!W$50&lt;&gt;""),Input!$B$50&amp;";","")),"")</f>
        <v/>
      </c>
      <c r="BY56" s="25" t="str">
        <f>IFERROR(CONCATENATE(IF(AND($G56&lt;Hta_1,$G56&gt;=Hba_1,Input!X$21&lt;&gt;""),Input!$B$21&amp;";",""),IF(AND($G56&lt;Hta_2,$G56&gt;=Hba_2,Input!X$22&lt;&gt;""),Input!$B$22&amp;";",""),IF(AND($G56&lt;Hta_3,$G56&gt;=Hba_3,Input!X$23&lt;&gt;""),Input!$B$23&amp;";",""),IF(AND($G56&lt;Hta_4,$G56&gt;=Hba_4,Input!X$24&lt;&gt;""),Input!$B$24&amp;";",""),IF(AND($G56&lt;Hta_5,$G56&gt;=Hba_5,Input!X$25&lt;&gt;""),Input!$B$25&amp;";",""),IF(AND($G56&lt;Hta_6,$G56&gt;=Hba_6,Input!X$26&lt;&gt;""),Input!$B$26&amp;";",""),IF(AND($G56&lt;Hta_7,$G56&gt;=Hba_7,Input!X$27&lt;&gt;""),Input!$B$27&amp;";",""),IF(AND($G56&lt;Hta_8,$G56&gt;=Hba_8,Input!X$28&lt;&gt;""),Input!$B$28&amp;";",""),IF(AND($G56&lt;Hta_9,$G56&gt;=Hba_9,Input!X$29&lt;&gt;""),Input!$B$29&amp;";",""),IF(AND($G56&lt;Hta_10,$G56&gt;=Hba_10,Input!X$30&lt;&gt;""),Input!$B$30&amp;";",""),IF(AND($G56&lt;Hta_11,$G56&gt;=Hba_11,Input!X$31&lt;&gt;""),Input!$B$31&amp;";",""),IF(AND($G56&lt;Hta_12,$G56&gt;=Hba_12,Input!X$32&lt;&gt;""),Input!$B$32&amp;";",""),IF(AND($G56&lt;Hta_13,$G56&gt;=Hba_13,Input!X$33&lt;&gt;""),Input!$B$33&amp;";",""),IF(AND($G56&lt;Hta_14,$G56&gt;=Hba_14,Input!X$34&lt;&gt;""),Input!$B$34&amp;";",""),IF(AND($G56&lt;Hta_15,$G56&gt;=Hba_15,Input!X$35&lt;&gt;""),Input!$B$35&amp;";",""),IF(AND($G56&lt;Hta_16,$G56&gt;=Hba_16,Input!X$36&lt;&gt;""),Input!$B$36&amp;";",""),IF(AND($G56&lt;Hta_17,$G56&gt;=Hba_17,Input!X$37&lt;&gt;""),Input!$B$37&amp;";",""),IF(AND($G56&lt;Hta_18,$G56&gt;=Hba_18,Input!X$38&lt;&gt;""),Input!$B$38&amp;";",""),IF(AND($G56&lt;Hta_19,$G56&gt;=Hba_19,Input!X$39&lt;&gt;""),Input!$B$39&amp;";",""),IF(AND($G56&lt;Hta_20,$G56&gt;=Hba_20,Input!X$40&lt;&gt;""),Input!$B$40&amp;";",""),IF(AND($G56&lt;Hta_21,$G56&gt;=Hba_21,Input!X$41&lt;&gt;""),Input!$B$41&amp;";",""),IF(AND($G56&lt;Hta_22,$G56&gt;=Hba_22,Input!X$42&lt;&gt;""),Input!$B$42&amp;";",""),IF(AND($G56&lt;Hta_23,$G56&gt;=Hba_23,Input!X$43&lt;&gt;""),Input!$B$43&amp;";",""),IF(AND($G56&lt;Hta_24,$G56&gt;=Hba_24,Input!X$44&lt;&gt;""),Input!$B$44&amp;";",""),IF(AND($G56&lt;Hta_25,$G56&gt;=Hba_25,Input!X$45&lt;&gt;""),Input!$B$45&amp;";",""),IF(AND($G56&lt;Hta_26,$G56&gt;=Hba_26,Input!X$46&lt;&gt;""),Input!$B$46&amp;";",""),IF(AND($G56&lt;Hta_27,$G56&gt;=Hba_27,Input!X$47&lt;&gt;""),Input!$B$47&amp;";",""),IF(AND($G56&lt;Hta_28,$G56&gt;=Hba_28,Input!X$48&lt;&gt;""),Input!$B$48&amp;";",""),IF(AND($G56&lt;Hta_29,$G56&gt;=Hba_29,Input!X$49&lt;&gt;""),Input!$B$49&amp;";",""),IF(AND($G56&lt;Hta_30,$G56&gt;=Hba_30,Input!X$50&lt;&gt;""),Input!$B$50&amp;";","")),"")</f>
        <v/>
      </c>
      <c r="BZ56" s="25" t="str">
        <f>IFERROR(CONCATENATE(IF(AND($G56&lt;Hta_1,$G56&gt;=Hba_1,Input!Y$21&lt;&gt;""),Input!$B$21&amp;";",""),IF(AND($G56&lt;Hta_2,$G56&gt;=Hba_2,Input!Y$22&lt;&gt;""),Input!$B$22&amp;";",""),IF(AND($G56&lt;Hta_3,$G56&gt;=Hba_3,Input!Y$23&lt;&gt;""),Input!$B$23&amp;";",""),IF(AND($G56&lt;Hta_4,$G56&gt;=Hba_4,Input!Y$24&lt;&gt;""),Input!$B$24&amp;";",""),IF(AND($G56&lt;Hta_5,$G56&gt;=Hba_5,Input!Y$25&lt;&gt;""),Input!$B$25&amp;";",""),IF(AND($G56&lt;Hta_6,$G56&gt;=Hba_6,Input!Y$26&lt;&gt;""),Input!$B$26&amp;";",""),IF(AND($G56&lt;Hta_7,$G56&gt;=Hba_7,Input!Y$27&lt;&gt;""),Input!$B$27&amp;";",""),IF(AND($G56&lt;Hta_8,$G56&gt;=Hba_8,Input!Y$28&lt;&gt;""),Input!$B$28&amp;";",""),IF(AND($G56&lt;Hta_9,$G56&gt;=Hba_9,Input!Y$29&lt;&gt;""),Input!$B$29&amp;";",""),IF(AND($G56&lt;Hta_10,$G56&gt;=Hba_10,Input!Y$30&lt;&gt;""),Input!$B$30&amp;";",""),IF(AND($G56&lt;Hta_11,$G56&gt;=Hba_11,Input!Y$31&lt;&gt;""),Input!$B$31&amp;";",""),IF(AND($G56&lt;Hta_12,$G56&gt;=Hba_12,Input!Y$32&lt;&gt;""),Input!$B$32&amp;";",""),IF(AND($G56&lt;Hta_13,$G56&gt;=Hba_13,Input!Y$33&lt;&gt;""),Input!$B$33&amp;";",""),IF(AND($G56&lt;Hta_14,$G56&gt;=Hba_14,Input!Y$34&lt;&gt;""),Input!$B$34&amp;";",""),IF(AND($G56&lt;Hta_15,$G56&gt;=Hba_15,Input!Y$35&lt;&gt;""),Input!$B$35&amp;";",""),IF(AND($G56&lt;Hta_16,$G56&gt;=Hba_16,Input!Y$36&lt;&gt;""),Input!$B$36&amp;";",""),IF(AND($G56&lt;Hta_17,$G56&gt;=Hba_17,Input!Y$37&lt;&gt;""),Input!$B$37&amp;";",""),IF(AND($G56&lt;Hta_18,$G56&gt;=Hba_18,Input!Y$38&lt;&gt;""),Input!$B$38&amp;";",""),IF(AND($G56&lt;Hta_19,$G56&gt;=Hba_19,Input!Y$39&lt;&gt;""),Input!$B$39&amp;";",""),IF(AND($G56&lt;Hta_20,$G56&gt;=Hba_20,Input!Y$40&lt;&gt;""),Input!$B$40&amp;";",""),IF(AND($G56&lt;Hta_21,$G56&gt;=Hba_21,Input!Y$41&lt;&gt;""),Input!$B$41&amp;";",""),IF(AND($G56&lt;Hta_22,$G56&gt;=Hba_22,Input!Y$42&lt;&gt;""),Input!$B$42&amp;";",""),IF(AND($G56&lt;Hta_23,$G56&gt;=Hba_23,Input!Y$43&lt;&gt;""),Input!$B$43&amp;";",""),IF(AND($G56&lt;Hta_24,$G56&gt;=Hba_24,Input!Y$44&lt;&gt;""),Input!$B$44&amp;";",""),IF(AND($G56&lt;Hta_25,$G56&gt;=Hba_25,Input!Y$45&lt;&gt;""),Input!$B$45&amp;";",""),IF(AND($G56&lt;Hta_26,$G56&gt;=Hba_26,Input!Y$46&lt;&gt;""),Input!$B$46&amp;";",""),IF(AND($G56&lt;Hta_27,$G56&gt;=Hba_27,Input!Y$47&lt;&gt;""),Input!$B$47&amp;";",""),IF(AND($G56&lt;Hta_28,$G56&gt;=Hba_28,Input!Y$48&lt;&gt;""),Input!$B$48&amp;";",""),IF(AND($G56&lt;Hta_29,$G56&gt;=Hba_29,Input!Y$49&lt;&gt;""),Input!$B$49&amp;";",""),IF(AND($G56&lt;Hta_30,$G56&gt;=Hba_30,Input!Y$50&lt;&gt;""),Input!$B$50&amp;";","")),"")</f>
        <v/>
      </c>
      <c r="CA56" s="25" t="str">
        <f>IFERROR(CONCATENATE(IF(AND($G56&lt;Hta_1,$G56&gt;=Hba_1,Input!Z$21&lt;&gt;""),Input!$B$21&amp;";",""),IF(AND($G56&lt;Hta_2,$G56&gt;=Hba_2,Input!Z$22&lt;&gt;""),Input!$B$22&amp;";",""),IF(AND($G56&lt;Hta_3,$G56&gt;=Hba_3,Input!Z$23&lt;&gt;""),Input!$B$23&amp;";",""),IF(AND($G56&lt;Hta_4,$G56&gt;=Hba_4,Input!Z$24&lt;&gt;""),Input!$B$24&amp;";",""),IF(AND($G56&lt;Hta_5,$G56&gt;=Hba_5,Input!Z$25&lt;&gt;""),Input!$B$25&amp;";",""),IF(AND($G56&lt;Hta_6,$G56&gt;=Hba_6,Input!Z$26&lt;&gt;""),Input!$B$26&amp;";",""),IF(AND($G56&lt;Hta_7,$G56&gt;=Hba_7,Input!Z$27&lt;&gt;""),Input!$B$27&amp;";",""),IF(AND($G56&lt;Hta_8,$G56&gt;=Hba_8,Input!Z$28&lt;&gt;""),Input!$B$28&amp;";",""),IF(AND($G56&lt;Hta_9,$G56&gt;=Hba_9,Input!Z$29&lt;&gt;""),Input!$B$29&amp;";",""),IF(AND($G56&lt;Hta_10,$G56&gt;=Hba_10,Input!Z$30&lt;&gt;""),Input!$B$30&amp;";",""),IF(AND($G56&lt;Hta_11,$G56&gt;=Hba_11,Input!Z$31&lt;&gt;""),Input!$B$31&amp;";",""),IF(AND($G56&lt;Hta_12,$G56&gt;=Hba_12,Input!Z$32&lt;&gt;""),Input!$B$32&amp;";",""),IF(AND($G56&lt;Hta_13,$G56&gt;=Hba_13,Input!Z$33&lt;&gt;""),Input!$B$33&amp;";",""),IF(AND($G56&lt;Hta_14,$G56&gt;=Hba_14,Input!Z$34&lt;&gt;""),Input!$B$34&amp;";",""),IF(AND($G56&lt;Hta_15,$G56&gt;=Hba_15,Input!Z$35&lt;&gt;""),Input!$B$35&amp;";",""),IF(AND($G56&lt;Hta_16,$G56&gt;=Hba_16,Input!Z$36&lt;&gt;""),Input!$B$36&amp;";",""),IF(AND($G56&lt;Hta_17,$G56&gt;=Hba_17,Input!Z$37&lt;&gt;""),Input!$B$37&amp;";",""),IF(AND($G56&lt;Hta_18,$G56&gt;=Hba_18,Input!Z$38&lt;&gt;""),Input!$B$38&amp;";",""),IF(AND($G56&lt;Hta_19,$G56&gt;=Hba_19,Input!Z$39&lt;&gt;""),Input!$B$39&amp;";",""),IF(AND($G56&lt;Hta_20,$G56&gt;=Hba_20,Input!Z$40&lt;&gt;""),Input!$B$40&amp;";",""),IF(AND($G56&lt;Hta_21,$G56&gt;=Hba_21,Input!Z$41&lt;&gt;""),Input!$B$41&amp;";",""),IF(AND($G56&lt;Hta_22,$G56&gt;=Hba_22,Input!Z$42&lt;&gt;""),Input!$B$42&amp;";",""),IF(AND($G56&lt;Hta_23,$G56&gt;=Hba_23,Input!Z$43&lt;&gt;""),Input!$B$43&amp;";",""),IF(AND($G56&lt;Hta_24,$G56&gt;=Hba_24,Input!Z$44&lt;&gt;""),Input!$B$44&amp;";",""),IF(AND($G56&lt;Hta_25,$G56&gt;=Hba_25,Input!Z$45&lt;&gt;""),Input!$B$45&amp;";",""),IF(AND($G56&lt;Hta_26,$G56&gt;=Hba_26,Input!Z$46&lt;&gt;""),Input!$B$46&amp;";",""),IF(AND($G56&lt;Hta_27,$G56&gt;=Hba_27,Input!Z$47&lt;&gt;""),Input!$B$47&amp;";",""),IF(AND($G56&lt;Hta_28,$G56&gt;=Hba_28,Input!Z$48&lt;&gt;""),Input!$B$48&amp;";",""),IF(AND($G56&lt;Hta_29,$G56&gt;=Hba_29,Input!Z$49&lt;&gt;""),Input!$B$49&amp;";",""),IF(AND($G56&lt;Hta_30,$G56&gt;=Hba_30,Input!Z$50&lt;&gt;""),Input!$B$50&amp;";","")),"")</f>
        <v/>
      </c>
      <c r="CB56" s="25" t="str">
        <f>IFERROR(CONCATENATE(IF(AND($G56&lt;Hta_1,$G56&gt;=Hba_1,Input!AA$21&lt;&gt;""),Input!$B$21&amp;";",""),IF(AND($G56&lt;Hta_2,$G56&gt;=Hba_2,Input!AA$22&lt;&gt;""),Input!$B$22&amp;";",""),IF(AND($G56&lt;Hta_3,$G56&gt;=Hba_3,Input!AA$23&lt;&gt;""),Input!$B$23&amp;";",""),IF(AND($G56&lt;Hta_4,$G56&gt;=Hba_4,Input!AA$24&lt;&gt;""),Input!$B$24&amp;";",""),IF(AND($G56&lt;Hta_5,$G56&gt;=Hba_5,Input!AA$25&lt;&gt;""),Input!$B$25&amp;";",""),IF(AND($G56&lt;Hta_6,$G56&gt;=Hba_6,Input!AA$26&lt;&gt;""),Input!$B$26&amp;";",""),IF(AND($G56&lt;Hta_7,$G56&gt;=Hba_7,Input!AA$27&lt;&gt;""),Input!$B$27&amp;";",""),IF(AND($G56&lt;Hta_8,$G56&gt;=Hba_8,Input!AA$28&lt;&gt;""),Input!$B$28&amp;";",""),IF(AND($G56&lt;Hta_9,$G56&gt;=Hba_9,Input!AA$29&lt;&gt;""),Input!$B$29&amp;";",""),IF(AND($G56&lt;Hta_10,$G56&gt;=Hba_10,Input!AA$30&lt;&gt;""),Input!$B$30&amp;";",""),IF(AND($G56&lt;Hta_11,$G56&gt;=Hba_11,Input!AA$31&lt;&gt;""),Input!$B$31&amp;";",""),IF(AND($G56&lt;Hta_12,$G56&gt;=Hba_12,Input!AA$32&lt;&gt;""),Input!$B$32&amp;";",""),IF(AND($G56&lt;Hta_13,$G56&gt;=Hba_13,Input!AA$33&lt;&gt;""),Input!$B$33&amp;";",""),IF(AND($G56&lt;Hta_14,$G56&gt;=Hba_14,Input!AA$34&lt;&gt;""),Input!$B$34&amp;";",""),IF(AND($G56&lt;Hta_15,$G56&gt;=Hba_15,Input!AA$35&lt;&gt;""),Input!$B$35&amp;";",""),IF(AND($G56&lt;Hta_16,$G56&gt;=Hba_16,Input!AA$36&lt;&gt;""),Input!$B$36&amp;";",""),IF(AND($G56&lt;Hta_17,$G56&gt;=Hba_17,Input!AA$37&lt;&gt;""),Input!$B$37&amp;";",""),IF(AND($G56&lt;Hta_18,$G56&gt;=Hba_18,Input!AA$38&lt;&gt;""),Input!$B$38&amp;";",""),IF(AND($G56&lt;Hta_19,$G56&gt;=Hba_19,Input!AA$39&lt;&gt;""),Input!$B$39&amp;";",""),IF(AND($G56&lt;Hta_20,$G56&gt;=Hba_20,Input!AA$40&lt;&gt;""),Input!$B$40&amp;";",""),IF(AND($G56&lt;Hta_21,$G56&gt;=Hba_21,Input!AA$41&lt;&gt;""),Input!$B$41&amp;";",""),IF(AND($G56&lt;Hta_22,$G56&gt;=Hba_22,Input!AA$42&lt;&gt;""),Input!$B$42&amp;";",""),IF(AND($G56&lt;Hta_23,$G56&gt;=Hba_23,Input!AA$43&lt;&gt;""),Input!$B$43&amp;";",""),IF(AND($G56&lt;Hta_24,$G56&gt;=Hba_24,Input!AA$44&lt;&gt;""),Input!$B$44&amp;";",""),IF(AND($G56&lt;Hta_25,$G56&gt;=Hba_25,Input!AA$45&lt;&gt;""),Input!$B$45&amp;";",""),IF(AND($G56&lt;Hta_26,$G56&gt;=Hba_26,Input!AA$46&lt;&gt;""),Input!$B$46&amp;";",""),IF(AND($G56&lt;Hta_27,$G56&gt;=Hba_27,Input!AA$47&lt;&gt;""),Input!$B$47&amp;";",""),IF(AND($G56&lt;Hta_28,$G56&gt;=Hba_28,Input!AA$48&lt;&gt;""),Input!$B$48&amp;";",""),IF(AND($G56&lt;Hta_29,$G56&gt;=Hba_29,Input!AA$49&lt;&gt;""),Input!$B$49&amp;";",""),IF(AND($G56&lt;Hta_30,$G56&gt;=Hba_30,Input!AA$50&lt;&gt;""),Input!$B$50&amp;";","")),"")</f>
        <v/>
      </c>
      <c r="CC56" s="25" t="str">
        <f>IFERROR(CONCATENATE(IF(AND($G56&lt;Hta_1,$G56&gt;=Hba_1,Input!AB$21&lt;&gt;""),Input!$B$21&amp;";",""),IF(AND($G56&lt;Hta_2,$G56&gt;=Hba_2,Input!AB$22&lt;&gt;""),Input!$B$22&amp;";",""),IF(AND($G56&lt;Hta_3,$G56&gt;=Hba_3,Input!AB$23&lt;&gt;""),Input!$B$23&amp;";",""),IF(AND($G56&lt;Hta_4,$G56&gt;=Hba_4,Input!AB$24&lt;&gt;""),Input!$B$24&amp;";",""),IF(AND($G56&lt;Hta_5,$G56&gt;=Hba_5,Input!AB$25&lt;&gt;""),Input!$B$25&amp;";",""),IF(AND($G56&lt;Hta_6,$G56&gt;=Hba_6,Input!AB$26&lt;&gt;""),Input!$B$26&amp;";",""),IF(AND($G56&lt;Hta_7,$G56&gt;=Hba_7,Input!AB$27&lt;&gt;""),Input!$B$27&amp;";",""),IF(AND($G56&lt;Hta_8,$G56&gt;=Hba_8,Input!AB$28&lt;&gt;""),Input!$B$28&amp;";",""),IF(AND($G56&lt;Hta_9,$G56&gt;=Hba_9,Input!AB$29&lt;&gt;""),Input!$B$29&amp;";",""),IF(AND($G56&lt;Hta_10,$G56&gt;=Hba_10,Input!AB$30&lt;&gt;""),Input!$B$30&amp;";",""),IF(AND($G56&lt;Hta_11,$G56&gt;=Hba_11,Input!AB$31&lt;&gt;""),Input!$B$31&amp;";",""),IF(AND($G56&lt;Hta_12,$G56&gt;=Hba_12,Input!AB$32&lt;&gt;""),Input!$B$32&amp;";",""),IF(AND($G56&lt;Hta_13,$G56&gt;=Hba_13,Input!AB$33&lt;&gt;""),Input!$B$33&amp;";",""),IF(AND($G56&lt;Hta_14,$G56&gt;=Hba_14,Input!AB$34&lt;&gt;""),Input!$B$34&amp;";",""),IF(AND($G56&lt;Hta_15,$G56&gt;=Hba_15,Input!AB$35&lt;&gt;""),Input!$B$35&amp;";",""),IF(AND($G56&lt;Hta_16,$G56&gt;=Hba_16,Input!AB$36&lt;&gt;""),Input!$B$36&amp;";",""),IF(AND($G56&lt;Hta_17,$G56&gt;=Hba_17,Input!AB$37&lt;&gt;""),Input!$B$37&amp;";",""),IF(AND($G56&lt;Hta_18,$G56&gt;=Hba_18,Input!AB$38&lt;&gt;""),Input!$B$38&amp;";",""),IF(AND($G56&lt;Hta_19,$G56&gt;=Hba_19,Input!AB$39&lt;&gt;""),Input!$B$39&amp;";",""),IF(AND($G56&lt;Hta_20,$G56&gt;=Hba_20,Input!AB$40&lt;&gt;""),Input!$B$40&amp;";",""),IF(AND($G56&lt;Hta_21,$G56&gt;=Hba_21,Input!AB$41&lt;&gt;""),Input!$B$41&amp;";",""),IF(AND($G56&lt;Hta_22,$G56&gt;=Hba_22,Input!AB$42&lt;&gt;""),Input!$B$42&amp;";",""),IF(AND($G56&lt;Hta_23,$G56&gt;=Hba_23,Input!AB$43&lt;&gt;""),Input!$B$43&amp;";",""),IF(AND($G56&lt;Hta_24,$G56&gt;=Hba_24,Input!AB$44&lt;&gt;""),Input!$B$44&amp;";",""),IF(AND($G56&lt;Hta_25,$G56&gt;=Hba_25,Input!AB$45&lt;&gt;""),Input!$B$45&amp;";",""),IF(AND($G56&lt;Hta_26,$G56&gt;=Hba_26,Input!AB$46&lt;&gt;""),Input!$B$46&amp;";",""),IF(AND($G56&lt;Hta_27,$G56&gt;=Hba_27,Input!AB$47&lt;&gt;""),Input!$B$47&amp;";",""),IF(AND($G56&lt;Hta_28,$G56&gt;=Hba_28,Input!AB$48&lt;&gt;""),Input!$B$48&amp;";",""),IF(AND($G56&lt;Hta_29,$G56&gt;=Hba_29,Input!AB$49&lt;&gt;""),Input!$B$49&amp;";",""),IF(AND($G56&lt;Hta_30,$G56&gt;=Hba_30,Input!AB$50&lt;&gt;""),Input!$B$50&amp;";","")),"")</f>
        <v/>
      </c>
      <c r="CD56" s="25" t="str">
        <f>IFERROR(CONCATENATE(IF(AND($G56&lt;Hta_1,$G56&gt;=Hba_1,Input!AC$21&lt;&gt;""),Input!$B$21&amp;";",""),IF(AND($G56&lt;Hta_2,$G56&gt;=Hba_2,Input!AC$22&lt;&gt;""),Input!$B$22&amp;";",""),IF(AND($G56&lt;Hta_3,$G56&gt;=Hba_3,Input!AC$23&lt;&gt;""),Input!$B$23&amp;";",""),IF(AND($G56&lt;Hta_4,$G56&gt;=Hba_4,Input!AC$24&lt;&gt;""),Input!$B$24&amp;";",""),IF(AND($G56&lt;Hta_5,$G56&gt;=Hba_5,Input!AC$25&lt;&gt;""),Input!$B$25&amp;";",""),IF(AND($G56&lt;Hta_6,$G56&gt;=Hba_6,Input!AC$26&lt;&gt;""),Input!$B$26&amp;";",""),IF(AND($G56&lt;Hta_7,$G56&gt;=Hba_7,Input!AC$27&lt;&gt;""),Input!$B$27&amp;";",""),IF(AND($G56&lt;Hta_8,$G56&gt;=Hba_8,Input!AC$28&lt;&gt;""),Input!$B$28&amp;";",""),IF(AND($G56&lt;Hta_9,$G56&gt;=Hba_9,Input!AC$29&lt;&gt;""),Input!$B$29&amp;";",""),IF(AND($G56&lt;Hta_10,$G56&gt;=Hba_10,Input!AC$30&lt;&gt;""),Input!$B$30&amp;";",""),IF(AND($G56&lt;Hta_11,$G56&gt;=Hba_11,Input!AC$31&lt;&gt;""),Input!$B$31&amp;";",""),IF(AND($G56&lt;Hta_12,$G56&gt;=Hba_12,Input!AC$32&lt;&gt;""),Input!$B$32&amp;";",""),IF(AND($G56&lt;Hta_13,$G56&gt;=Hba_13,Input!AC$33&lt;&gt;""),Input!$B$33&amp;";",""),IF(AND($G56&lt;Hta_14,$G56&gt;=Hba_14,Input!AC$34&lt;&gt;""),Input!$B$34&amp;";",""),IF(AND($G56&lt;Hta_15,$G56&gt;=Hba_15,Input!AC$35&lt;&gt;""),Input!$B$35&amp;";",""),IF(AND($G56&lt;Hta_16,$G56&gt;=Hba_16,Input!AC$36&lt;&gt;""),Input!$B$36&amp;";",""),IF(AND($G56&lt;Hta_17,$G56&gt;=Hba_17,Input!AC$37&lt;&gt;""),Input!$B$37&amp;";",""),IF(AND($G56&lt;Hta_18,$G56&gt;=Hba_18,Input!AC$38&lt;&gt;""),Input!$B$38&amp;";",""),IF(AND($G56&lt;Hta_19,$G56&gt;=Hba_19,Input!AC$39&lt;&gt;""),Input!$B$39&amp;";",""),IF(AND($G56&lt;Hta_20,$G56&gt;=Hba_20,Input!AC$40&lt;&gt;""),Input!$B$40&amp;";",""),IF(AND($G56&lt;Hta_21,$G56&gt;=Hba_21,Input!AC$41&lt;&gt;""),Input!$B$41&amp;";",""),IF(AND($G56&lt;Hta_22,$G56&gt;=Hba_22,Input!AC$42&lt;&gt;""),Input!$B$42&amp;";",""),IF(AND($G56&lt;Hta_23,$G56&gt;=Hba_23,Input!AC$43&lt;&gt;""),Input!$B$43&amp;";",""),IF(AND($G56&lt;Hta_24,$G56&gt;=Hba_24,Input!AC$44&lt;&gt;""),Input!$B$44&amp;";",""),IF(AND($G56&lt;Hta_25,$G56&gt;=Hba_25,Input!AC$45&lt;&gt;""),Input!$B$45&amp;";",""),IF(AND($G56&lt;Hta_26,$G56&gt;=Hba_26,Input!AC$46&lt;&gt;""),Input!$B$46&amp;";",""),IF(AND($G56&lt;Hta_27,$G56&gt;=Hba_27,Input!AC$47&lt;&gt;""),Input!$B$47&amp;";",""),IF(AND($G56&lt;Hta_28,$G56&gt;=Hba_28,Input!AC$48&lt;&gt;""),Input!$B$48&amp;";",""),IF(AND($G56&lt;Hta_29,$G56&gt;=Hba_29,Input!AC$49&lt;&gt;""),Input!$B$49&amp;";",""),IF(AND($G56&lt;Hta_30,$G56&gt;=Hba_30,Input!AC$50&lt;&gt;""),Input!$B$50&amp;";","")),"")</f>
        <v/>
      </c>
      <c r="CE56" s="25" t="str">
        <f>IFERROR(CONCATENATE(IF(AND($G56&lt;Hta_1,$G56&gt;=Hba_1,Input!AD$21&lt;&gt;""),Input!$B$21&amp;";",""),IF(AND($G56&lt;Hta_2,$G56&gt;=Hba_2,Input!AD$22&lt;&gt;""),Input!$B$22&amp;";",""),IF(AND($G56&lt;Hta_3,$G56&gt;=Hba_3,Input!AD$23&lt;&gt;""),Input!$B$23&amp;";",""),IF(AND($G56&lt;Hta_4,$G56&gt;=Hba_4,Input!AD$24&lt;&gt;""),Input!$B$24&amp;";",""),IF(AND($G56&lt;Hta_5,$G56&gt;=Hba_5,Input!AD$25&lt;&gt;""),Input!$B$25&amp;";",""),IF(AND($G56&lt;Hta_6,$G56&gt;=Hba_6,Input!AD$26&lt;&gt;""),Input!$B$26&amp;";",""),IF(AND($G56&lt;Hta_7,$G56&gt;=Hba_7,Input!AD$27&lt;&gt;""),Input!$B$27&amp;";",""),IF(AND($G56&lt;Hta_8,$G56&gt;=Hba_8,Input!AD$28&lt;&gt;""),Input!$B$28&amp;";",""),IF(AND($G56&lt;Hta_9,$G56&gt;=Hba_9,Input!AD$29&lt;&gt;""),Input!$B$29&amp;";",""),IF(AND($G56&lt;Hta_10,$G56&gt;=Hba_10,Input!AD$30&lt;&gt;""),Input!$B$30&amp;";",""),IF(AND($G56&lt;Hta_11,$G56&gt;=Hba_11,Input!AD$31&lt;&gt;""),Input!$B$31&amp;";",""),IF(AND($G56&lt;Hta_12,$G56&gt;=Hba_12,Input!AD$32&lt;&gt;""),Input!$B$32&amp;";",""),IF(AND($G56&lt;Hta_13,$G56&gt;=Hba_13,Input!AD$33&lt;&gt;""),Input!$B$33&amp;";",""),IF(AND($G56&lt;Hta_14,$G56&gt;=Hba_14,Input!AD$34&lt;&gt;""),Input!$B$34&amp;";",""),IF(AND($G56&lt;Hta_15,$G56&gt;=Hba_15,Input!AD$35&lt;&gt;""),Input!$B$35&amp;";",""),IF(AND($G56&lt;Hta_16,$G56&gt;=Hba_16,Input!AD$36&lt;&gt;""),Input!$B$36&amp;";",""),IF(AND($G56&lt;Hta_17,$G56&gt;=Hba_17,Input!AD$37&lt;&gt;""),Input!$B$37&amp;";",""),IF(AND($G56&lt;Hta_18,$G56&gt;=Hba_18,Input!AD$38&lt;&gt;""),Input!$B$38&amp;";",""),IF(AND($G56&lt;Hta_19,$G56&gt;=Hba_19,Input!AD$39&lt;&gt;""),Input!$B$39&amp;";",""),IF(AND($G56&lt;Hta_20,$G56&gt;=Hba_20,Input!AD$40&lt;&gt;""),Input!$B$40&amp;";",""),IF(AND($G56&lt;Hta_21,$G56&gt;=Hba_21,Input!AD$41&lt;&gt;""),Input!$B$41&amp;";",""),IF(AND($G56&lt;Hta_22,$G56&gt;=Hba_22,Input!AD$42&lt;&gt;""),Input!$B$42&amp;";",""),IF(AND($G56&lt;Hta_23,$G56&gt;=Hba_23,Input!AD$43&lt;&gt;""),Input!$B$43&amp;";",""),IF(AND($G56&lt;Hta_24,$G56&gt;=Hba_24,Input!AD$44&lt;&gt;""),Input!$B$44&amp;";",""),IF(AND($G56&lt;Hta_25,$G56&gt;=Hba_25,Input!AD$45&lt;&gt;""),Input!$B$45&amp;";",""),IF(AND($G56&lt;Hta_26,$G56&gt;=Hba_26,Input!AD$46&lt;&gt;""),Input!$B$46&amp;";",""),IF(AND($G56&lt;Hta_27,$G56&gt;=Hba_27,Input!AD$47&lt;&gt;""),Input!$B$47&amp;";",""),IF(AND($G56&lt;Hta_28,$G56&gt;=Hba_28,Input!AD$48&lt;&gt;""),Input!$B$48&amp;";",""),IF(AND($G56&lt;Hta_29,$G56&gt;=Hba_29,Input!AD$49&lt;&gt;""),Input!$B$49&amp;";",""),IF(AND($G56&lt;Hta_30,$G56&gt;=Hba_30,Input!AD$50&lt;&gt;""),Input!$B$50&amp;";","")),"")</f>
        <v/>
      </c>
      <c r="CF56" s="25" t="str">
        <f>IFERROR(CONCATENATE(IF(AND($G56&lt;Hta_1,$G56&gt;=Hba_1,Input!AE$21&lt;&gt;""),Input!$B$21&amp;";",""),IF(AND($G56&lt;Hta_2,$G56&gt;=Hba_2,Input!AE$22&lt;&gt;""),Input!$B$22&amp;";",""),IF(AND($G56&lt;Hta_3,$G56&gt;=Hba_3,Input!AE$23&lt;&gt;""),Input!$B$23&amp;";",""),IF(AND($G56&lt;Hta_4,$G56&gt;=Hba_4,Input!AE$24&lt;&gt;""),Input!$B$24&amp;";",""),IF(AND($G56&lt;Hta_5,$G56&gt;=Hba_5,Input!AE$25&lt;&gt;""),Input!$B$25&amp;";",""),IF(AND($G56&lt;Hta_6,$G56&gt;=Hba_6,Input!AE$26&lt;&gt;""),Input!$B$26&amp;";",""),IF(AND($G56&lt;Hta_7,$G56&gt;=Hba_7,Input!AE$27&lt;&gt;""),Input!$B$27&amp;";",""),IF(AND($G56&lt;Hta_8,$G56&gt;=Hba_8,Input!AE$28&lt;&gt;""),Input!$B$28&amp;";",""),IF(AND($G56&lt;Hta_9,$G56&gt;=Hba_9,Input!AE$29&lt;&gt;""),Input!$B$29&amp;";",""),IF(AND($G56&lt;Hta_10,$G56&gt;=Hba_10,Input!AE$30&lt;&gt;""),Input!$B$30&amp;";",""),IF(AND($G56&lt;Hta_11,$G56&gt;=Hba_11,Input!AE$31&lt;&gt;""),Input!$B$31&amp;";",""),IF(AND($G56&lt;Hta_12,$G56&gt;=Hba_12,Input!AE$32&lt;&gt;""),Input!$B$32&amp;";",""),IF(AND($G56&lt;Hta_13,$G56&gt;=Hba_13,Input!AE$33&lt;&gt;""),Input!$B$33&amp;";",""),IF(AND($G56&lt;Hta_14,$G56&gt;=Hba_14,Input!AE$34&lt;&gt;""),Input!$B$34&amp;";",""),IF(AND($G56&lt;Hta_15,$G56&gt;=Hba_15,Input!AE$35&lt;&gt;""),Input!$B$35&amp;";",""),IF(AND($G56&lt;Hta_16,$G56&gt;=Hba_16,Input!AE$36&lt;&gt;""),Input!$B$36&amp;";",""),IF(AND($G56&lt;Hta_17,$G56&gt;=Hba_17,Input!AE$37&lt;&gt;""),Input!$B$37&amp;";",""),IF(AND($G56&lt;Hta_18,$G56&gt;=Hba_18,Input!AE$38&lt;&gt;""),Input!$B$38&amp;";",""),IF(AND($G56&lt;Hta_19,$G56&gt;=Hba_19,Input!AE$39&lt;&gt;""),Input!$B$39&amp;";",""),IF(AND($G56&lt;Hta_20,$G56&gt;=Hba_20,Input!AE$40&lt;&gt;""),Input!$B$40&amp;";",""),IF(AND($G56&lt;Hta_21,$G56&gt;=Hba_21,Input!AE$41&lt;&gt;""),Input!$B$41&amp;";",""),IF(AND($G56&lt;Hta_22,$G56&gt;=Hba_22,Input!AE$42&lt;&gt;""),Input!$B$42&amp;";",""),IF(AND($G56&lt;Hta_23,$G56&gt;=Hba_23,Input!AE$43&lt;&gt;""),Input!$B$43&amp;";",""),IF(AND($G56&lt;Hta_24,$G56&gt;=Hba_24,Input!AE$44&lt;&gt;""),Input!$B$44&amp;";",""),IF(AND($G56&lt;Hta_25,$G56&gt;=Hba_25,Input!AE$45&lt;&gt;""),Input!$B$45&amp;";",""),IF(AND($G56&lt;Hta_26,$G56&gt;=Hba_26,Input!AE$46&lt;&gt;""),Input!$B$46&amp;";",""),IF(AND($G56&lt;Hta_27,$G56&gt;=Hba_27,Input!AE$47&lt;&gt;""),Input!$B$47&amp;";",""),IF(AND($G56&lt;Hta_28,$G56&gt;=Hba_28,Input!AE$48&lt;&gt;""),Input!$B$48&amp;";",""),IF(AND($G56&lt;Hta_29,$G56&gt;=Hba_29,Input!AE$49&lt;&gt;""),Input!$B$49&amp;";",""),IF(AND($G56&lt;Hta_30,$G56&gt;=Hba_30,Input!AE$50&lt;&gt;""),Input!$B$50&amp;";","")),"")</f>
        <v/>
      </c>
      <c r="CG56" s="25" t="str">
        <f>IFERROR(CONCATENATE(IF(AND($G56&lt;Hta_1,$G56&gt;=Hba_1,Input!AF$21&lt;&gt;""),Input!$B$21&amp;";",""),IF(AND($G56&lt;Hta_2,$G56&gt;=Hba_2,Input!AF$22&lt;&gt;""),Input!$B$22&amp;";",""),IF(AND($G56&lt;Hta_3,$G56&gt;=Hba_3,Input!AF$23&lt;&gt;""),Input!$B$23&amp;";",""),IF(AND($G56&lt;Hta_4,$G56&gt;=Hba_4,Input!AF$24&lt;&gt;""),Input!$B$24&amp;";",""),IF(AND($G56&lt;Hta_5,$G56&gt;=Hba_5,Input!AF$25&lt;&gt;""),Input!$B$25&amp;";",""),IF(AND($G56&lt;Hta_6,$G56&gt;=Hba_6,Input!AF$26&lt;&gt;""),Input!$B$26&amp;";",""),IF(AND($G56&lt;Hta_7,$G56&gt;=Hba_7,Input!AF$27&lt;&gt;""),Input!$B$27&amp;";",""),IF(AND($G56&lt;Hta_8,$G56&gt;=Hba_8,Input!AF$28&lt;&gt;""),Input!$B$28&amp;";",""),IF(AND($G56&lt;Hta_9,$G56&gt;=Hba_9,Input!AF$29&lt;&gt;""),Input!$B$29&amp;";",""),IF(AND($G56&lt;Hta_10,$G56&gt;=Hba_10,Input!AF$30&lt;&gt;""),Input!$B$30&amp;";",""),IF(AND($G56&lt;Hta_11,$G56&gt;=Hba_11,Input!AF$31&lt;&gt;""),Input!$B$31&amp;";",""),IF(AND($G56&lt;Hta_12,$G56&gt;=Hba_12,Input!AF$32&lt;&gt;""),Input!$B$32&amp;";",""),IF(AND($G56&lt;Hta_13,$G56&gt;=Hba_13,Input!AF$33&lt;&gt;""),Input!$B$33&amp;";",""),IF(AND($G56&lt;Hta_14,$G56&gt;=Hba_14,Input!AF$34&lt;&gt;""),Input!$B$34&amp;";",""),IF(AND($G56&lt;Hta_15,$G56&gt;=Hba_15,Input!AF$35&lt;&gt;""),Input!$B$35&amp;";",""),IF(AND($G56&lt;Hta_16,$G56&gt;=Hba_16,Input!AF$36&lt;&gt;""),Input!$B$36&amp;";",""),IF(AND($G56&lt;Hta_17,$G56&gt;=Hba_17,Input!AF$37&lt;&gt;""),Input!$B$37&amp;";",""),IF(AND($G56&lt;Hta_18,$G56&gt;=Hba_18,Input!AF$38&lt;&gt;""),Input!$B$38&amp;";",""),IF(AND($G56&lt;Hta_19,$G56&gt;=Hba_19,Input!AF$39&lt;&gt;""),Input!$B$39&amp;";",""),IF(AND($G56&lt;Hta_20,$G56&gt;=Hba_20,Input!AF$40&lt;&gt;""),Input!$B$40&amp;";",""),IF(AND($G56&lt;Hta_21,$G56&gt;=Hba_21,Input!AF$41&lt;&gt;""),Input!$B$41&amp;";",""),IF(AND($G56&lt;Hta_22,$G56&gt;=Hba_22,Input!AF$42&lt;&gt;""),Input!$B$42&amp;";",""),IF(AND($G56&lt;Hta_23,$G56&gt;=Hba_23,Input!AF$43&lt;&gt;""),Input!$B$43&amp;";",""),IF(AND($G56&lt;Hta_24,$G56&gt;=Hba_24,Input!AF$44&lt;&gt;""),Input!$B$44&amp;";",""),IF(AND($G56&lt;Hta_25,$G56&gt;=Hba_25,Input!AF$45&lt;&gt;""),Input!$B$45&amp;";",""),IF(AND($G56&lt;Hta_26,$G56&gt;=Hba_26,Input!AF$46&lt;&gt;""),Input!$B$46&amp;";",""),IF(AND($G56&lt;Hta_27,$G56&gt;=Hba_27,Input!AF$47&lt;&gt;""),Input!$B$47&amp;";",""),IF(AND($G56&lt;Hta_28,$G56&gt;=Hba_28,Input!AF$48&lt;&gt;""),Input!$B$48&amp;";",""),IF(AND($G56&lt;Hta_29,$G56&gt;=Hba_29,Input!AF$49&lt;&gt;""),Input!$B$49&amp;";",""),IF(AND($G56&lt;Hta_30,$G56&gt;=Hba_30,Input!AF$50&lt;&gt;""),Input!$B$50&amp;";","")),"")</f>
        <v/>
      </c>
      <c r="CH56" s="25" t="str">
        <f>IFERROR(CONCATENATE(IF(AND($G56&lt;Hta_1,$G56&gt;=Hba_1,Input!AG$21&lt;&gt;""),Input!$B$21&amp;";",""),IF(AND($G56&lt;Hta_2,$G56&gt;=Hba_2,Input!AG$22&lt;&gt;""),Input!$B$22&amp;";",""),IF(AND($G56&lt;Hta_3,$G56&gt;=Hba_3,Input!AG$23&lt;&gt;""),Input!$B$23&amp;";",""),IF(AND($G56&lt;Hta_4,$G56&gt;=Hba_4,Input!AG$24&lt;&gt;""),Input!$B$24&amp;";",""),IF(AND($G56&lt;Hta_5,$G56&gt;=Hba_5,Input!AG$25&lt;&gt;""),Input!$B$25&amp;";",""),IF(AND($G56&lt;Hta_6,$G56&gt;=Hba_6,Input!AG$26&lt;&gt;""),Input!$B$26&amp;";",""),IF(AND($G56&lt;Hta_7,$G56&gt;=Hba_7,Input!AG$27&lt;&gt;""),Input!$B$27&amp;";",""),IF(AND($G56&lt;Hta_8,$G56&gt;=Hba_8,Input!AG$28&lt;&gt;""),Input!$B$28&amp;";",""),IF(AND($G56&lt;Hta_9,$G56&gt;=Hba_9,Input!AG$29&lt;&gt;""),Input!$B$29&amp;";",""),IF(AND($G56&lt;Hta_10,$G56&gt;=Hba_10,Input!AG$30&lt;&gt;""),Input!$B$30&amp;";",""),IF(AND($G56&lt;Hta_11,$G56&gt;=Hba_11,Input!AG$31&lt;&gt;""),Input!$B$31&amp;";",""),IF(AND($G56&lt;Hta_12,$G56&gt;=Hba_12,Input!AG$32&lt;&gt;""),Input!$B$32&amp;";",""),IF(AND($G56&lt;Hta_13,$G56&gt;=Hba_13,Input!AG$33&lt;&gt;""),Input!$B$33&amp;";",""),IF(AND($G56&lt;Hta_14,$G56&gt;=Hba_14,Input!AG$34&lt;&gt;""),Input!$B$34&amp;";",""),IF(AND($G56&lt;Hta_15,$G56&gt;=Hba_15,Input!AG$35&lt;&gt;""),Input!$B$35&amp;";",""),IF(AND($G56&lt;Hta_16,$G56&gt;=Hba_16,Input!AG$36&lt;&gt;""),Input!$B$36&amp;";",""),IF(AND($G56&lt;Hta_17,$G56&gt;=Hba_17,Input!AG$37&lt;&gt;""),Input!$B$37&amp;";",""),IF(AND($G56&lt;Hta_18,$G56&gt;=Hba_18,Input!AG$38&lt;&gt;""),Input!$B$38&amp;";",""),IF(AND($G56&lt;Hta_19,$G56&gt;=Hba_19,Input!AG$39&lt;&gt;""),Input!$B$39&amp;";",""),IF(AND($G56&lt;Hta_20,$G56&gt;=Hba_20,Input!AG$40&lt;&gt;""),Input!$B$40&amp;";",""),IF(AND($G56&lt;Hta_21,$G56&gt;=Hba_21,Input!AG$41&lt;&gt;""),Input!$B$41&amp;";",""),IF(AND($G56&lt;Hta_22,$G56&gt;=Hba_22,Input!AG$42&lt;&gt;""),Input!$B$42&amp;";",""),IF(AND($G56&lt;Hta_23,$G56&gt;=Hba_23,Input!AG$43&lt;&gt;""),Input!$B$43&amp;";",""),IF(AND($G56&lt;Hta_24,$G56&gt;=Hba_24,Input!AG$44&lt;&gt;""),Input!$B$44&amp;";",""),IF(AND($G56&lt;Hta_25,$G56&gt;=Hba_25,Input!AG$45&lt;&gt;""),Input!$B$45&amp;";",""),IF(AND($G56&lt;Hta_26,$G56&gt;=Hba_26,Input!AG$46&lt;&gt;""),Input!$B$46&amp;";",""),IF(AND($G56&lt;Hta_27,$G56&gt;=Hba_27,Input!AG$47&lt;&gt;""),Input!$B$47&amp;";",""),IF(AND($G56&lt;Hta_28,$G56&gt;=Hba_28,Input!AG$48&lt;&gt;""),Input!$B$48&amp;";",""),IF(AND($G56&lt;Hta_29,$G56&gt;=Hba_29,Input!AG$49&lt;&gt;""),Input!$B$49&amp;";",""),IF(AND($G56&lt;Hta_30,$G56&gt;=Hba_30,Input!AG$50&lt;&gt;""),Input!$B$50&amp;";","")),"")</f>
        <v/>
      </c>
      <c r="CI56" s="25" t="str">
        <f>IFERROR(CONCATENATE(IF(AND($G56&lt;Hta_1,$G56&gt;=Hba_1,Input!AH$21&lt;&gt;""),Input!$B$21&amp;";",""),IF(AND($G56&lt;Hta_2,$G56&gt;=Hba_2,Input!AH$22&lt;&gt;""),Input!$B$22&amp;";",""),IF(AND($G56&lt;Hta_3,$G56&gt;=Hba_3,Input!AH$23&lt;&gt;""),Input!$B$23&amp;";",""),IF(AND($G56&lt;Hta_4,$G56&gt;=Hba_4,Input!AH$24&lt;&gt;""),Input!$B$24&amp;";",""),IF(AND($G56&lt;Hta_5,$G56&gt;=Hba_5,Input!AH$25&lt;&gt;""),Input!$B$25&amp;";",""),IF(AND($G56&lt;Hta_6,$G56&gt;=Hba_6,Input!AH$26&lt;&gt;""),Input!$B$26&amp;";",""),IF(AND($G56&lt;Hta_7,$G56&gt;=Hba_7,Input!AH$27&lt;&gt;""),Input!$B$27&amp;";",""),IF(AND($G56&lt;Hta_8,$G56&gt;=Hba_8,Input!AH$28&lt;&gt;""),Input!$B$28&amp;";",""),IF(AND($G56&lt;Hta_9,$G56&gt;=Hba_9,Input!AH$29&lt;&gt;""),Input!$B$29&amp;";",""),IF(AND($G56&lt;Hta_10,$G56&gt;=Hba_10,Input!AH$30&lt;&gt;""),Input!$B$30&amp;";",""),IF(AND($G56&lt;Hta_11,$G56&gt;=Hba_11,Input!AH$31&lt;&gt;""),Input!$B$31&amp;";",""),IF(AND($G56&lt;Hta_12,$G56&gt;=Hba_12,Input!AH$32&lt;&gt;""),Input!$B$32&amp;";",""),IF(AND($G56&lt;Hta_13,$G56&gt;=Hba_13,Input!AH$33&lt;&gt;""),Input!$B$33&amp;";",""),IF(AND($G56&lt;Hta_14,$G56&gt;=Hba_14,Input!AH$34&lt;&gt;""),Input!$B$34&amp;";",""),IF(AND($G56&lt;Hta_15,$G56&gt;=Hba_15,Input!AH$35&lt;&gt;""),Input!$B$35&amp;";",""),IF(AND($G56&lt;Hta_16,$G56&gt;=Hba_16,Input!AH$36&lt;&gt;""),Input!$B$36&amp;";",""),IF(AND($G56&lt;Hta_17,$G56&gt;=Hba_17,Input!AH$37&lt;&gt;""),Input!$B$37&amp;";",""),IF(AND($G56&lt;Hta_18,$G56&gt;=Hba_18,Input!AH$38&lt;&gt;""),Input!$B$38&amp;";",""),IF(AND($G56&lt;Hta_19,$G56&gt;=Hba_19,Input!AH$39&lt;&gt;""),Input!$B$39&amp;";",""),IF(AND($G56&lt;Hta_20,$G56&gt;=Hba_20,Input!AH$40&lt;&gt;""),Input!$B$40&amp;";",""),IF(AND($G56&lt;Hta_21,$G56&gt;=Hba_21,Input!AH$41&lt;&gt;""),Input!$B$41&amp;";",""),IF(AND($G56&lt;Hta_22,$G56&gt;=Hba_22,Input!AH$42&lt;&gt;""),Input!$B$42&amp;";",""),IF(AND($G56&lt;Hta_23,$G56&gt;=Hba_23,Input!AH$43&lt;&gt;""),Input!$B$43&amp;";",""),IF(AND($G56&lt;Hta_24,$G56&gt;=Hba_24,Input!AH$44&lt;&gt;""),Input!$B$44&amp;";",""),IF(AND($G56&lt;Hta_25,$G56&gt;=Hba_25,Input!AH$45&lt;&gt;""),Input!$B$45&amp;";",""),IF(AND($G56&lt;Hta_26,$G56&gt;=Hba_26,Input!AH$46&lt;&gt;""),Input!$B$46&amp;";",""),IF(AND($G56&lt;Hta_27,$G56&gt;=Hba_27,Input!AH$47&lt;&gt;""),Input!$B$47&amp;";",""),IF(AND($G56&lt;Hta_28,$G56&gt;=Hba_28,Input!AH$48&lt;&gt;""),Input!$B$48&amp;";",""),IF(AND($G56&lt;Hta_29,$G56&gt;=Hba_29,Input!AH$49&lt;&gt;""),Input!$B$49&amp;";",""),IF(AND($G56&lt;Hta_30,$G56&gt;=Hba_30,Input!AH$50&lt;&gt;""),Input!$B$50&amp;";","")),"")</f>
        <v/>
      </c>
      <c r="CJ56" s="25" t="str">
        <f>IFERROR(CONCATENATE(IF(AND($G56&lt;Hta_1,$G56&gt;=Hba_1,Input!AI$21&lt;&gt;""),Input!$B$21&amp;";",""),IF(AND($G56&lt;Hta_2,$G56&gt;=Hba_2,Input!AI$22&lt;&gt;""),Input!$B$22&amp;";",""),IF(AND($G56&lt;Hta_3,$G56&gt;=Hba_3,Input!AI$23&lt;&gt;""),Input!$B$23&amp;";",""),IF(AND($G56&lt;Hta_4,$G56&gt;=Hba_4,Input!AI$24&lt;&gt;""),Input!$B$24&amp;";",""),IF(AND($G56&lt;Hta_5,$G56&gt;=Hba_5,Input!AI$25&lt;&gt;""),Input!$B$25&amp;";",""),IF(AND($G56&lt;Hta_6,$G56&gt;=Hba_6,Input!AI$26&lt;&gt;""),Input!$B$26&amp;";",""),IF(AND($G56&lt;Hta_7,$G56&gt;=Hba_7,Input!AI$27&lt;&gt;""),Input!$B$27&amp;";",""),IF(AND($G56&lt;Hta_8,$G56&gt;=Hba_8,Input!AI$28&lt;&gt;""),Input!$B$28&amp;";",""),IF(AND($G56&lt;Hta_9,$G56&gt;=Hba_9,Input!AI$29&lt;&gt;""),Input!$B$29&amp;";",""),IF(AND($G56&lt;Hta_10,$G56&gt;=Hba_10,Input!AI$30&lt;&gt;""),Input!$B$30&amp;";",""),IF(AND($G56&lt;Hta_11,$G56&gt;=Hba_11,Input!AI$31&lt;&gt;""),Input!$B$31&amp;";",""),IF(AND($G56&lt;Hta_12,$G56&gt;=Hba_12,Input!AI$32&lt;&gt;""),Input!$B$32&amp;";",""),IF(AND($G56&lt;Hta_13,$G56&gt;=Hba_13,Input!AI$33&lt;&gt;""),Input!$B$33&amp;";",""),IF(AND($G56&lt;Hta_14,$G56&gt;=Hba_14,Input!AI$34&lt;&gt;""),Input!$B$34&amp;";",""),IF(AND($G56&lt;Hta_15,$G56&gt;=Hba_15,Input!AI$35&lt;&gt;""),Input!$B$35&amp;";",""),IF(AND($G56&lt;Hta_16,$G56&gt;=Hba_16,Input!AI$36&lt;&gt;""),Input!$B$36&amp;";",""),IF(AND($G56&lt;Hta_17,$G56&gt;=Hba_17,Input!AI$37&lt;&gt;""),Input!$B$37&amp;";",""),IF(AND($G56&lt;Hta_18,$G56&gt;=Hba_18,Input!AI$38&lt;&gt;""),Input!$B$38&amp;";",""),IF(AND($G56&lt;Hta_19,$G56&gt;=Hba_19,Input!AI$39&lt;&gt;""),Input!$B$39&amp;";",""),IF(AND($G56&lt;Hta_20,$G56&gt;=Hba_20,Input!AI$40&lt;&gt;""),Input!$B$40&amp;";",""),IF(AND($G56&lt;Hta_21,$G56&gt;=Hba_21,Input!AI$41&lt;&gt;""),Input!$B$41&amp;";",""),IF(AND($G56&lt;Hta_22,$G56&gt;=Hba_22,Input!AI$42&lt;&gt;""),Input!$B$42&amp;";",""),IF(AND($G56&lt;Hta_23,$G56&gt;=Hba_23,Input!AI$43&lt;&gt;""),Input!$B$43&amp;";",""),IF(AND($G56&lt;Hta_24,$G56&gt;=Hba_24,Input!AI$44&lt;&gt;""),Input!$B$44&amp;";",""),IF(AND($G56&lt;Hta_25,$G56&gt;=Hba_25,Input!AI$45&lt;&gt;""),Input!$B$45&amp;";",""),IF(AND($G56&lt;Hta_26,$G56&gt;=Hba_26,Input!AI$46&lt;&gt;""),Input!$B$46&amp;";",""),IF(AND($G56&lt;Hta_27,$G56&gt;=Hba_27,Input!AI$47&lt;&gt;""),Input!$B$47&amp;";",""),IF(AND($G56&lt;Hta_28,$G56&gt;=Hba_28,Input!AI$48&lt;&gt;""),Input!$B$48&amp;";",""),IF(AND($G56&lt;Hta_29,$G56&gt;=Hba_29,Input!AI$49&lt;&gt;""),Input!$B$49&amp;";",""),IF(AND($G56&lt;Hta_30,$G56&gt;=Hba_30,Input!AI$50&lt;&gt;""),Input!$B$50&amp;";","")),"")</f>
        <v/>
      </c>
      <c r="CK56" s="25" t="str">
        <f>IFERROR(CONCATENATE(IF(AND($G56&lt;Hta_1,$G56&gt;=Hba_1,Input!AJ$21&lt;&gt;""),Input!$B$21&amp;";",""),IF(AND($G56&lt;Hta_2,$G56&gt;=Hba_2,Input!AJ$22&lt;&gt;""),Input!$B$22&amp;";",""),IF(AND($G56&lt;Hta_3,$G56&gt;=Hba_3,Input!AJ$23&lt;&gt;""),Input!$B$23&amp;";",""),IF(AND($G56&lt;Hta_4,$G56&gt;=Hba_4,Input!AJ$24&lt;&gt;""),Input!$B$24&amp;";",""),IF(AND($G56&lt;Hta_5,$G56&gt;=Hba_5,Input!AJ$25&lt;&gt;""),Input!$B$25&amp;";",""),IF(AND($G56&lt;Hta_6,$G56&gt;=Hba_6,Input!AJ$26&lt;&gt;""),Input!$B$26&amp;";",""),IF(AND($G56&lt;Hta_7,$G56&gt;=Hba_7,Input!AJ$27&lt;&gt;""),Input!$B$27&amp;";",""),IF(AND($G56&lt;Hta_8,$G56&gt;=Hba_8,Input!AJ$28&lt;&gt;""),Input!$B$28&amp;";",""),IF(AND($G56&lt;Hta_9,$G56&gt;=Hba_9,Input!AJ$29&lt;&gt;""),Input!$B$29&amp;";",""),IF(AND($G56&lt;Hta_10,$G56&gt;=Hba_10,Input!AJ$30&lt;&gt;""),Input!$B$30&amp;";",""),IF(AND($G56&lt;Hta_11,$G56&gt;=Hba_11,Input!AJ$31&lt;&gt;""),Input!$B$31&amp;";",""),IF(AND($G56&lt;Hta_12,$G56&gt;=Hba_12,Input!AJ$32&lt;&gt;""),Input!$B$32&amp;";",""),IF(AND($G56&lt;Hta_13,$G56&gt;=Hba_13,Input!AJ$33&lt;&gt;""),Input!$B$33&amp;";",""),IF(AND($G56&lt;Hta_14,$G56&gt;=Hba_14,Input!AJ$34&lt;&gt;""),Input!$B$34&amp;";",""),IF(AND($G56&lt;Hta_15,$G56&gt;=Hba_15,Input!AJ$35&lt;&gt;""),Input!$B$35&amp;";",""),IF(AND($G56&lt;Hta_16,$G56&gt;=Hba_16,Input!AJ$36&lt;&gt;""),Input!$B$36&amp;";",""),IF(AND($G56&lt;Hta_17,$G56&gt;=Hba_17,Input!AJ$37&lt;&gt;""),Input!$B$37&amp;";",""),IF(AND($G56&lt;Hta_18,$G56&gt;=Hba_18,Input!AJ$38&lt;&gt;""),Input!$B$38&amp;";",""),IF(AND($G56&lt;Hta_19,$G56&gt;=Hba_19,Input!AJ$39&lt;&gt;""),Input!$B$39&amp;";",""),IF(AND($G56&lt;Hta_20,$G56&gt;=Hba_20,Input!AJ$40&lt;&gt;""),Input!$B$40&amp;";",""),IF(AND($G56&lt;Hta_21,$G56&gt;=Hba_21,Input!AJ$41&lt;&gt;""),Input!$B$41&amp;";",""),IF(AND($G56&lt;Hta_22,$G56&gt;=Hba_22,Input!AJ$42&lt;&gt;""),Input!$B$42&amp;";",""),IF(AND($G56&lt;Hta_23,$G56&gt;=Hba_23,Input!AJ$43&lt;&gt;""),Input!$B$43&amp;";",""),IF(AND($G56&lt;Hta_24,$G56&gt;=Hba_24,Input!AJ$44&lt;&gt;""),Input!$B$44&amp;";",""),IF(AND($G56&lt;Hta_25,$G56&gt;=Hba_25,Input!AJ$45&lt;&gt;""),Input!$B$45&amp;";",""),IF(AND($G56&lt;Hta_26,$G56&gt;=Hba_26,Input!AJ$46&lt;&gt;""),Input!$B$46&amp;";",""),IF(AND($G56&lt;Hta_27,$G56&gt;=Hba_27,Input!AJ$47&lt;&gt;""),Input!$B$47&amp;";",""),IF(AND($G56&lt;Hta_28,$G56&gt;=Hba_28,Input!AJ$48&lt;&gt;""),Input!$B$48&amp;";",""),IF(AND($G56&lt;Hta_29,$G56&gt;=Hba_29,Input!AJ$49&lt;&gt;""),Input!$B$49&amp;";",""),IF(AND($G56&lt;Hta_30,$G56&gt;=Hba_30,Input!AJ$50&lt;&gt;""),Input!$B$50&amp;";","")),"")</f>
        <v/>
      </c>
      <c r="CL56" s="25" t="str">
        <f>IFERROR(CONCATENATE(IF(AND($G56&lt;Hta_1,$G56&gt;=Hba_1,Input!AK$21&lt;&gt;""),Input!$B$21&amp;";",""),IF(AND($G56&lt;Hta_2,$G56&gt;=Hba_2,Input!AK$22&lt;&gt;""),Input!$B$22&amp;";",""),IF(AND($G56&lt;Hta_3,$G56&gt;=Hba_3,Input!AK$23&lt;&gt;""),Input!$B$23&amp;";",""),IF(AND($G56&lt;Hta_4,$G56&gt;=Hba_4,Input!AK$24&lt;&gt;""),Input!$B$24&amp;";",""),IF(AND($G56&lt;Hta_5,$G56&gt;=Hba_5,Input!AK$25&lt;&gt;""),Input!$B$25&amp;";",""),IF(AND($G56&lt;Hta_6,$G56&gt;=Hba_6,Input!AK$26&lt;&gt;""),Input!$B$26&amp;";",""),IF(AND($G56&lt;Hta_7,$G56&gt;=Hba_7,Input!AK$27&lt;&gt;""),Input!$B$27&amp;";",""),IF(AND($G56&lt;Hta_8,$G56&gt;=Hba_8,Input!AK$28&lt;&gt;""),Input!$B$28&amp;";",""),IF(AND($G56&lt;Hta_9,$G56&gt;=Hba_9,Input!AK$29&lt;&gt;""),Input!$B$29&amp;";",""),IF(AND($G56&lt;Hta_10,$G56&gt;=Hba_10,Input!AK$30&lt;&gt;""),Input!$B$30&amp;";",""),IF(AND($G56&lt;Hta_11,$G56&gt;=Hba_11,Input!AK$31&lt;&gt;""),Input!$B$31&amp;";",""),IF(AND($G56&lt;Hta_12,$G56&gt;=Hba_12,Input!AK$32&lt;&gt;""),Input!$B$32&amp;";",""),IF(AND($G56&lt;Hta_13,$G56&gt;=Hba_13,Input!AK$33&lt;&gt;""),Input!$B$33&amp;";",""),IF(AND($G56&lt;Hta_14,$G56&gt;=Hba_14,Input!AK$34&lt;&gt;""),Input!$B$34&amp;";",""),IF(AND($G56&lt;Hta_15,$G56&gt;=Hba_15,Input!AK$35&lt;&gt;""),Input!$B$35&amp;";",""),IF(AND($G56&lt;Hta_16,$G56&gt;=Hba_16,Input!AK$36&lt;&gt;""),Input!$B$36&amp;";",""),IF(AND($G56&lt;Hta_17,$G56&gt;=Hba_17,Input!AK$37&lt;&gt;""),Input!$B$37&amp;";",""),IF(AND($G56&lt;Hta_18,$G56&gt;=Hba_18,Input!AK$38&lt;&gt;""),Input!$B$38&amp;";",""),IF(AND($G56&lt;Hta_19,$G56&gt;=Hba_19,Input!AK$39&lt;&gt;""),Input!$B$39&amp;";",""),IF(AND($G56&lt;Hta_20,$G56&gt;=Hba_20,Input!AK$40&lt;&gt;""),Input!$B$40&amp;";",""),IF(AND($G56&lt;Hta_21,$G56&gt;=Hba_21,Input!AK$41&lt;&gt;""),Input!$B$41&amp;";",""),IF(AND($G56&lt;Hta_22,$G56&gt;=Hba_22,Input!AK$42&lt;&gt;""),Input!$B$42&amp;";",""),IF(AND($G56&lt;Hta_23,$G56&gt;=Hba_23,Input!AK$43&lt;&gt;""),Input!$B$43&amp;";",""),IF(AND($G56&lt;Hta_24,$G56&gt;=Hba_24,Input!AK$44&lt;&gt;""),Input!$B$44&amp;";",""),IF(AND($G56&lt;Hta_25,$G56&gt;=Hba_25,Input!AK$45&lt;&gt;""),Input!$B$45&amp;";",""),IF(AND($G56&lt;Hta_26,$G56&gt;=Hba_26,Input!AK$46&lt;&gt;""),Input!$B$46&amp;";",""),IF(AND($G56&lt;Hta_27,$G56&gt;=Hba_27,Input!AK$47&lt;&gt;""),Input!$B$47&amp;";",""),IF(AND($G56&lt;Hta_28,$G56&gt;=Hba_28,Input!AK$48&lt;&gt;""),Input!$B$48&amp;";",""),IF(AND($G56&lt;Hta_29,$G56&gt;=Hba_29,Input!AK$49&lt;&gt;""),Input!$B$49&amp;";",""),IF(AND($G56&lt;Hta_30,$G56&gt;=Hba_30,Input!AK$50&lt;&gt;""),Input!$B$50&amp;";","")),"")</f>
        <v/>
      </c>
      <c r="CM56" s="25" t="str">
        <f>IFERROR(CONCATENATE(IF(AND($G56&lt;Hta_1,$G56&gt;=Hba_1,Input!AL$21&lt;&gt;""),Input!$B$21&amp;";",""),IF(AND($G56&lt;Hta_2,$G56&gt;=Hba_2,Input!AL$22&lt;&gt;""),Input!$B$22&amp;";",""),IF(AND($G56&lt;Hta_3,$G56&gt;=Hba_3,Input!AL$23&lt;&gt;""),Input!$B$23&amp;";",""),IF(AND($G56&lt;Hta_4,$G56&gt;=Hba_4,Input!AL$24&lt;&gt;""),Input!$B$24&amp;";",""),IF(AND($G56&lt;Hta_5,$G56&gt;=Hba_5,Input!AL$25&lt;&gt;""),Input!$B$25&amp;";",""),IF(AND($G56&lt;Hta_6,$G56&gt;=Hba_6,Input!AL$26&lt;&gt;""),Input!$B$26&amp;";",""),IF(AND($G56&lt;Hta_7,$G56&gt;=Hba_7,Input!AL$27&lt;&gt;""),Input!$B$27&amp;";",""),IF(AND($G56&lt;Hta_8,$G56&gt;=Hba_8,Input!AL$28&lt;&gt;""),Input!$B$28&amp;";",""),IF(AND($G56&lt;Hta_9,$G56&gt;=Hba_9,Input!AL$29&lt;&gt;""),Input!$B$29&amp;";",""),IF(AND($G56&lt;Hta_10,$G56&gt;=Hba_10,Input!AL$30&lt;&gt;""),Input!$B$30&amp;";",""),IF(AND($G56&lt;Hta_11,$G56&gt;=Hba_11,Input!AL$31&lt;&gt;""),Input!$B$31&amp;";",""),IF(AND($G56&lt;Hta_12,$G56&gt;=Hba_12,Input!AL$32&lt;&gt;""),Input!$B$32&amp;";",""),IF(AND($G56&lt;Hta_13,$G56&gt;=Hba_13,Input!AL$33&lt;&gt;""),Input!$B$33&amp;";",""),IF(AND($G56&lt;Hta_14,$G56&gt;=Hba_14,Input!AL$34&lt;&gt;""),Input!$B$34&amp;";",""),IF(AND($G56&lt;Hta_15,$G56&gt;=Hba_15,Input!AL$35&lt;&gt;""),Input!$B$35&amp;";",""),IF(AND($G56&lt;Hta_16,$G56&gt;=Hba_16,Input!AL$36&lt;&gt;""),Input!$B$36&amp;";",""),IF(AND($G56&lt;Hta_17,$G56&gt;=Hba_17,Input!AL$37&lt;&gt;""),Input!$B$37&amp;";",""),IF(AND($G56&lt;Hta_18,$G56&gt;=Hba_18,Input!AL$38&lt;&gt;""),Input!$B$38&amp;";",""),IF(AND($G56&lt;Hta_19,$G56&gt;=Hba_19,Input!AL$39&lt;&gt;""),Input!$B$39&amp;";",""),IF(AND($G56&lt;Hta_20,$G56&gt;=Hba_20,Input!AL$40&lt;&gt;""),Input!$B$40&amp;";",""),IF(AND($G56&lt;Hta_21,$G56&gt;=Hba_21,Input!AL$41&lt;&gt;""),Input!$B$41&amp;";",""),IF(AND($G56&lt;Hta_22,$G56&gt;=Hba_22,Input!AL$42&lt;&gt;""),Input!$B$42&amp;";",""),IF(AND($G56&lt;Hta_23,$G56&gt;=Hba_23,Input!AL$43&lt;&gt;""),Input!$B$43&amp;";",""),IF(AND($G56&lt;Hta_24,$G56&gt;=Hba_24,Input!AL$44&lt;&gt;""),Input!$B$44&amp;";",""),IF(AND($G56&lt;Hta_25,$G56&gt;=Hba_25,Input!AL$45&lt;&gt;""),Input!$B$45&amp;";",""),IF(AND($G56&lt;Hta_26,$G56&gt;=Hba_26,Input!AL$46&lt;&gt;""),Input!$B$46&amp;";",""),IF(AND($G56&lt;Hta_27,$G56&gt;=Hba_27,Input!AL$47&lt;&gt;""),Input!$B$47&amp;";",""),IF(AND($G56&lt;Hta_28,$G56&gt;=Hba_28,Input!AL$48&lt;&gt;""),Input!$B$48&amp;";",""),IF(AND($G56&lt;Hta_29,$G56&gt;=Hba_29,Input!AL$49&lt;&gt;""),Input!$B$49&amp;";",""),IF(AND($G56&lt;Hta_30,$G56&gt;=Hba_30,Input!AL$50&lt;&gt;""),Input!$B$50&amp;";","")),"")</f>
        <v/>
      </c>
      <c r="CN56" s="59" t="str">
        <f t="shared" si="6"/>
        <v/>
      </c>
      <c r="CO56" s="791"/>
      <c r="CP56" s="792"/>
      <c r="CQ56" s="793"/>
      <c r="CR56" s="791"/>
      <c r="CS56" s="792"/>
      <c r="CT56" s="793"/>
      <c r="CU56" s="791" t="str">
        <f t="shared" si="7"/>
        <v/>
      </c>
      <c r="CV56" s="792"/>
      <c r="CW56" s="807"/>
      <c r="CX56" s="808"/>
      <c r="CY56" s="730"/>
      <c r="CZ56" s="809"/>
      <c r="DA56" s="733"/>
      <c r="DB56" s="734"/>
      <c r="DC56" s="735"/>
      <c r="DD56" s="729" t="str">
        <f t="shared" si="8"/>
        <v/>
      </c>
      <c r="DE56" s="730"/>
      <c r="DF56" s="731"/>
      <c r="DG56" s="55"/>
      <c r="DH56" s="56"/>
      <c r="DI56" s="56"/>
      <c r="DJ56" s="56"/>
      <c r="DK56" s="56"/>
      <c r="DL56" s="56"/>
      <c r="DM56" s="56"/>
      <c r="DN56" s="56"/>
      <c r="DO56" s="56"/>
      <c r="DP56" s="56"/>
      <c r="DQ56" s="58"/>
      <c r="DR56" s="58"/>
      <c r="DS56" s="58"/>
      <c r="DT56" s="58"/>
      <c r="DU56" s="58"/>
      <c r="DV56" s="58"/>
      <c r="DW56" s="58"/>
      <c r="DX56" s="58"/>
      <c r="DY56" s="58"/>
      <c r="DZ56" s="58"/>
      <c r="EA56" s="58"/>
      <c r="EB56" s="58"/>
      <c r="EC56" s="58"/>
      <c r="ED56" s="58"/>
      <c r="EE56" s="58"/>
      <c r="EF56" s="58"/>
      <c r="EG56" s="58"/>
      <c r="EH56" s="58"/>
      <c r="EI56" s="58"/>
      <c r="EJ56" s="58"/>
      <c r="EK56" s="58"/>
      <c r="EL56" s="134"/>
      <c r="EM56" s="134"/>
      <c r="EN56" s="134"/>
      <c r="EO56" s="134"/>
      <c r="EP56" s="134"/>
      <c r="EQ56" s="134"/>
      <c r="ER56" s="134"/>
      <c r="ES56" s="134"/>
      <c r="ET56" s="134"/>
      <c r="EU56" s="134"/>
      <c r="EV56" s="134"/>
      <c r="EW56" s="134"/>
      <c r="EX56" s="134"/>
      <c r="EY56" s="134"/>
      <c r="EZ56" s="134"/>
      <c r="FA56" s="134"/>
      <c r="FB56" s="134"/>
      <c r="FC56" s="134"/>
      <c r="FD56" s="134"/>
      <c r="FE56" s="134"/>
      <c r="FF56" s="134"/>
      <c r="FG56" s="134"/>
      <c r="FH56" s="134"/>
      <c r="FI56" s="134"/>
      <c r="FJ56" s="134"/>
      <c r="FK56" s="134"/>
      <c r="FL56" s="134"/>
      <c r="FM56" s="134"/>
      <c r="FN56" s="134"/>
      <c r="FO56" s="134"/>
      <c r="FQ56" s="124"/>
      <c r="FR56" s="122"/>
      <c r="FS56" s="120"/>
      <c r="FT56" s="119"/>
    </row>
    <row r="57" spans="2:176" ht="15.75" hidden="1" customHeight="1" thickBot="1" x14ac:dyDescent="0.3">
      <c r="B57" s="62" t="b">
        <f>IF(OR(AND(G57&gt;='Geometry 2'!$AK$5,G57&lt;'Geometry 2'!$AL$5),AND(G57&gt;='Geometry 2'!$AK$6,G57&lt;'Geometry 2'!$AL$6),AND(G57&gt;='Geometry 2'!$AK$7,G57&lt;'Geometry 2'!$AL$7),AND(G57&gt;='Geometry 2'!$AK$8,G57&lt;'Geometry 2'!$AL$8),AND(G57&gt;='Geometry 2'!$AK$9,G57&lt;'Geometry 2'!$AL$9),AND(G57&gt;='Geometry 2'!$AK$10,G57&lt;'Geometry 2'!$AL$10),AND(G57&gt;='Geometry 2'!$AK$11,G57&lt;'Geometry 2'!$AL$11),AND(G57&gt;='Geometry 2'!$AK$12,G57&lt;'Geometry 2'!$AL$12),AND(G57&gt;='Geometry 2'!$AK$13,G57&lt;'Geometry 2'!$AL$13),AND(G57&gt;='Geometry 2'!$AK$14,G57&lt;'Geometry 2'!$AL$14)),TRUE,FALSE)</f>
        <v>0</v>
      </c>
      <c r="C57" s="4" t="str">
        <f t="shared" si="3"/>
        <v/>
      </c>
      <c r="D57" s="766" t="str">
        <f t="shared" si="4"/>
        <v/>
      </c>
      <c r="E57" s="767"/>
      <c r="F57" s="17" t="str">
        <f t="shared" si="2"/>
        <v/>
      </c>
      <c r="G57" s="768" t="str">
        <f>IF(D57="","",MAX(0,G56-IF(inc="n/a",999,inc),MAX(IF(G56&lt;=Hta_1,0,Hta_1),IF(G56&lt;=Hta_2,0,Hta_2),IF(G56&lt;=Hta_3,0,Hta_3),IF(G56&lt;=Hta_4,0,Hta_4),IF(G56&lt;=Hta_5,0,Hta_5),IF(G56&lt;=Hta_6,0,Hta_6),IF(G56&lt;=Hta_7,0,Hta_7),IF(G56&lt;=Hta_8,0,Hta_8),IF(G56&lt;=Hta_9,0,Hta_9),IF(G56&lt;=Hta_10,0,Hta_10),IF(G56&lt;=Hta_11,0,Hta_11),IF(G56&lt;=Hta_12,0,Hta_12),IF(G56&lt;=Hta_13,0,Hta_13),IF(G56&lt;=Hta_14,0,Hta_14),IF(G56&lt;=Hta_15,0,Hta_15),IF(G56&lt;=Hta_16,0,Hta_16),IF(G56&lt;=Hta_17,0,Hta_17),IF(G56&lt;=Hta_18,0,Hta_18),IF(G56&lt;=Hta_19,0,Hta_19),IF(G56&lt;=Hta_20,0,Hta_20),IF(G56&lt;=Hta_21,0,Hta_21),IF(G56&lt;=Hta_22,0,Hta_22),IF(G56&lt;=Hta_23,0,Hta_23),IF(G56&lt;=Hta_24,0,Hta_24),IF(G56&lt;=Hta_25,0,Hta_25),IF(G56&lt;=Hta_26,0,Hta_26),IF(G56&lt;=Hta_27,0,Hta_27),IF(G56&lt;=Hta_28,0,Hta_28),IF(G56&lt;=Hta_29,0,Hta_29),IF(G56&lt;=Hta_30,0,Hta_30)),MAX(IF(G56&lt;=Hta_1-0.25,0,Hta_1-0.25),IF(G56&lt;=Hta_2-0.25,0,Hta_2-0.25),IF(G56&lt;=Hta_3-0.25,0,Hta_3-0.25),IF(G56&lt;=Hta_4-0.25,0,Hta_4-0.25),IF(G56&lt;=Hta_5-0.25,0,Hta_5-0.25),IF(G56&lt;=Hta_6-0.25,0,Hta_6-0.25),IF(G56&lt;=Hta_7-0.25,0,Hta_7-0.25),IF(G56&lt;=Hta_8-0.25,0,Hta_8-0.25),IF(G56&lt;=Hta_9-0.25,0,Hta_9-0.25),IF(G56&lt;=Hta_10-0.25,0,Hta_10-0.25),IF(G56&lt;=Hta_11-0.25,0,Hta_11-0.25),IF(G56&lt;=Hta_12-0.25,0,Hta_12-0.25),IF(G56&lt;=Hta_13-0.25,0,Hta_13-0.25),IF(G56&lt;=Hta_14-0.25,0,Hta_14-0.25),IF(G56&lt;=Hta_15-0.25,0,Hta_15-0.25),IF(G56&lt;=Hta_16-0.25,0,Hta_16-0.25),IF(G56&lt;=Hta_17-0.25,0,Hta_17-0.25),IF(G56&lt;=Hta_18-0.25,0,Hta_18-0.25),IF(G56&lt;=Hta_19-0.25,0,Hta_19-0.25),IF(G56&lt;=Hta_20-0.25,0,Hta_20-0.25),IF(G56&lt;=Hta_21-0.25,0,Hta_21-0.25),IF(G56&lt;=Hta_22-0.25,0,Hta_22-0.25),IF(G56&lt;=Hta_23-0.25,0,Hta_23-0.25),IF(G56&lt;=Hta_24-0.25,0,Hta_24-0.25),IF(G56&lt;=Hta_25-0.25,0,Hta_25-0.25),IF(G56&lt;=Hta_26-0.25,0,Hta_26-0.25),IF(G56&lt;=Hta_27-0.25,0,Hta_27-0.25),IF(G56&lt;=Hta_28-0.25,0,Hta_28-0.25),IF(G56&lt;=Hta_29-0.25,0,Hta_29-0.25),IF(G56&lt;=Hta_30-0.25,0,Hta_30-0.25)),MAX(IF(G56&lt;=Hba_1,0,Hba_1),IF(G56&lt;=Hba_2,0,Hba_2),IF(G56&lt;=Hba_3,0,Hba_3),IF(G56&lt;=Hba_4,0,Hba_4),IF(G56&lt;=Hba_5,0,Hba_5),IF(G56&lt;=Hba_6,0,Hba_6),IF(G56&lt;=Hba_7,0,Hba_7),IF(G56&lt;=Hba_8,0,Hba_8),IF(G56&lt;=Hba_9,0,Hba_9),IF(G56&lt;=Hba_10,0,Hba_10),IF(G56&lt;=Hba_11,0,Hba_11),IF(G56&lt;=Hba_12,0,Hba_12),IF(G56&lt;=Hba_13,0,Hba_13),IF(G56&lt;=Hba_14,0,Hba_14),IF(G56&lt;=Hba_15,0,Hba_15),IF(G56&lt;=Hba_16,0,Hba_16),IF(G56&lt;=Hba_17,0,Hba_17),IF(G56&lt;=Hba_18,0,Hba_18),IF(G56&lt;=Hba_19,0,Hba_19),IF(G56&lt;=Hba_20,0,Hba_20),IF(G56&lt;=Hba_21,0,Hba_21),IF(G56&lt;=Hba_22,0,Hba_22),IF(G56&lt;=Hba_23,0,Hba_23),IF(G56&lt;=Hba_24,0,Hba_24),IF(G56&lt;=Hba_25,0,Hba_25),IF(G56&lt;=Hba_26,0,Hba_26),IF(G56&lt;=Hba_27,0,Hba_27),IF(G56&lt;=Hba_28,0,Hba_28),IF(G56&lt;=Hba_29,0,Hba_29),IF(G56&lt;=Hba_30,0,Hba_30)),MAX(IF(G56&lt;=Input!$C$8,0,Input!$C$8),IF(G56&lt;=Input!$C$9,0,Input!$C$9),IF(G56&lt;=Input!$C$10,0,Input!$C$10),IF(G56&lt;=Input!$C$11,0,Input!$C$11),IF(G56&lt;=Input!$C$12,0,Input!$C$12),IF(G56&lt;=Input!$C$13,0,Input!$C$13),IF(G56&lt;=Input!$C$14,0,Input!$C$14),IF(G56&lt;=Input!$C$15,0,Input!$C$15),IF(G56&lt;=Input!$C$16,0,Input!$C$16)),MAX(IF(G56&lt;=Hba_1-0.25,0,Hba_1-0.25),IF(G56&lt;=Hba_2-0.25,0,Hba_2-0.25),IF(G56&lt;=Hba_3-0.25,0,Hba_3-0.25),IF(G56&lt;=Hba_4-0.25,0,Hba_4-0.25),IF(G56&lt;=Hba_5-0.25,0,Hba_5-0.25),IF(G56&lt;=Hba_6-0.25,0,Hba_6-0.25),IF(G56&lt;=Hba_7-0.25,0,Hba_7-0.25),IF(G56&lt;=Hba_8-0.25,0,Hba_8-0.25),IF(G56&lt;=Hba_9-0.25,0,Hba_9-0.25),IF(G56&lt;=Hba_10-0.25,0,Hba_10-0.25),IF(G56&lt;=Hba_11-0.25,0,Hba_11-0.25),IF(G56&lt;=Hba_12-0.25,0,Hba_12-0.25),IF(G56&lt;=Hba_13-0.25,0,Hba_13-0.25),IF(G56&lt;=Hba_14-0.25,0,Hba_14-0.25),IF(G56&lt;=Hba_15-0.25,0,Hba_15-0.25),IF(G56&lt;=Hba_16-0.25,0,Hba_16-0.25),IF(G56&lt;=Hba_17-0.25,0,Hba_17-0.25),IF(G56&lt;=Hba_18-0.25,0,Hba_18-0.25),IF(G56&lt;=Hba_19-0.25,0,Hba_19-0.25),IF(G56&lt;=Hba_20-0.25,0,Hba_20-0.25),IF(G56&lt;=Hba_21-0.25,0,Hba_21-0.25),IF(G56&lt;=Hba_22-0.25,0,Hba_22-0.25),IF(G56&lt;=Hba_23-0.25,0,Hba_23-0.25),IF(G56&lt;=Hba_24-0.25,0,Hba_24-0.25),IF(G56&lt;=Hba_25-0.25,0,Hba_25-0.25),IF(G56&lt;=Hba_26-0.25,0,Hba_26-0.25),IF(G56&lt;=Hba_27-0.25,0,Hba_27-0.25),IF(G56&lt;=Hba_28-0.25,0,Hba_28-0.25),IF(G56&lt;=Hba_29-0.25,0,Hba_29-0.25),IF(G56&lt;=Hba_30-0.25,0,Hba_30-0.25)),IF(G56&lt;='Macro References'!$A$38,0,'Macro References'!$A$38)))</f>
        <v/>
      </c>
      <c r="H57" s="769"/>
      <c r="I57" s="228"/>
      <c r="J57" s="228"/>
      <c r="K57" s="228"/>
      <c r="L57" s="717" t="str">
        <f t="shared" si="10"/>
        <v/>
      </c>
      <c r="M57" s="717"/>
      <c r="N57" s="717"/>
      <c r="O57" s="717"/>
      <c r="P57" s="717" t="str">
        <f>IF(OR(G57=0,G57=""),"",IF(VLOOKUP(G57,'Geometry 2'!$C$4:$AI$14,1,TRUE)=VLOOKUP(G58,'Geometry 2'!$C$4:$AI$14,1,TRUE),"",IF(VLOOKUP(G57,'Geometry 2'!$C$4:$AI$14,33,TRUE)&lt;&gt;"n/a",MIN(G57,VLOOKUP(G57,'Geometry 2'!$C$4:$AI$14,1,TRUE))-VLOOKUP(G57,'Geometry 2'!$C$4:$AI$14,33,TRUE),"check")))</f>
        <v/>
      </c>
      <c r="Q57" s="717"/>
      <c r="R57" s="717"/>
      <c r="S57" s="717"/>
      <c r="T57" s="717" t="str">
        <f>IF($G57="","",VLOOKUP($G57,'Geometry 2'!$E$4:$AH$14,11,TRUE))</f>
        <v/>
      </c>
      <c r="U57" s="717"/>
      <c r="V57" s="717"/>
      <c r="W57" s="717"/>
      <c r="X57" s="716" t="str">
        <f>IF($G57="","",VLOOKUP($G57,'Geometry 2'!$E$4:$AJ$14,19,TRUE)-12*VLOOKUP($G57,'Geometry 2'!$E$4:$AJ$14,32,TRUE)*($D57-VLOOKUP($G57,'Geometry 2'!$E$5:$AH$14,1,TRUE)))</f>
        <v/>
      </c>
      <c r="Y57" s="716"/>
      <c r="Z57" s="716"/>
      <c r="AA57" s="716"/>
      <c r="AB57" s="757" t="str">
        <f>IF($G57="","",VLOOKUP($G57,'Geometry 2'!$E$4:$AJ$14,19,TRUE)-12*VLOOKUP($G57,'Geometry 2'!$E$4:$AJ$14,32,TRUE)*($G57-VLOOKUP($G57,'Geometry 2'!$E$5:$AH$14,1,TRUE)))</f>
        <v/>
      </c>
      <c r="AC57" s="758"/>
      <c r="AD57" s="758"/>
      <c r="AE57" s="759"/>
      <c r="AF57" s="716" t="str">
        <f>IF($G57="","",VLOOKUP($G57,'Geometry 2'!$E$4:$AJ$14,19,TRUE)-12*VLOOKUP($G57,'Geometry 2'!$E$4:$AJ$14,32,TRUE)*($G57-IF($P57="",0,$P57)-VLOOKUP($G57,'Geometry 2'!$E$5:$AH$14,1,TRUE)))</f>
        <v/>
      </c>
      <c r="AG57" s="716"/>
      <c r="AH57" s="716"/>
      <c r="AI57" s="716"/>
      <c r="AJ57" s="746" t="str">
        <f>IF($G57="","",VLOOKUP($G57,'Geometry 2'!$E$4:$AH$14,23,TRUE))</f>
        <v/>
      </c>
      <c r="AK57" s="747"/>
      <c r="AL57" s="747"/>
      <c r="AM57" s="748"/>
      <c r="AN57" s="717"/>
      <c r="AO57" s="717"/>
      <c r="AP57" s="717"/>
      <c r="AQ57" s="717"/>
      <c r="AR57" s="717" t="str">
        <f>IF($G57="","",VLOOKUP($G57,'Geometry 2'!$E$4:$AH$14,27,TRUE))</f>
        <v/>
      </c>
      <c r="AS57" s="717"/>
      <c r="AT57" s="717"/>
      <c r="AU57" s="718"/>
      <c r="AV57" s="715"/>
      <c r="AW57" s="716"/>
      <c r="AX57" s="716"/>
      <c r="AZ57" s="722" t="str">
        <f t="shared" si="5"/>
        <v/>
      </c>
      <c r="BA57" s="723"/>
      <c r="BB57" s="723"/>
      <c r="BC57" s="724"/>
      <c r="BD57" s="722"/>
      <c r="BE57" s="723"/>
      <c r="BF57" s="723"/>
      <c r="BG57" s="722" t="str">
        <f t="shared" si="9"/>
        <v/>
      </c>
      <c r="BH57" s="723"/>
      <c r="BI57" s="723"/>
      <c r="BJ57" s="723"/>
      <c r="BK57" s="724"/>
      <c r="BL57" s="722"/>
      <c r="BM57" s="723"/>
      <c r="BN57" s="723"/>
      <c r="BO57" s="723"/>
      <c r="BP57" s="725"/>
      <c r="BQ57" s="725"/>
      <c r="BR57" s="722" t="str">
        <f>IF(BP57="","",IF(OR(AND(Rev="H",Calculations!$F$27=TRUE),AND(Rev&lt;&gt;"H",Calculations!$F$30=TRUE)),IF(BP57&lt;=1,"Pass","Fail"),IF(BP57&lt;=1.05,"Pass","Fail")))</f>
        <v/>
      </c>
      <c r="BS57" s="723"/>
      <c r="BT57" s="724"/>
      <c r="BU57" s="49"/>
      <c r="BV57" s="25" t="str">
        <f>IFERROR(CONCATENATE(IF(AND($G57&lt;Hta_1,$G57&gt;=Hba_1,Input!U$21&lt;&gt;""),Input!$B$21&amp;";",""),IF(AND($G57&lt;Hta_2,$G57&gt;=Hba_2,Input!U$22&lt;&gt;""),Input!$B$22&amp;";",""),IF(AND($G57&lt;Hta_3,$G57&gt;=Hba_3,Input!U$23&lt;&gt;""),Input!$B$23&amp;";",""),IF(AND($G57&lt;Hta_4,$G57&gt;=Hba_4,Input!U$24&lt;&gt;""),Input!$B$24&amp;";",""),IF(AND($G57&lt;Hta_5,$G57&gt;=Hba_5,Input!U$25&lt;&gt;""),Input!$B$25&amp;";",""),IF(AND($G57&lt;Hta_6,$G57&gt;=Hba_6,Input!U$26&lt;&gt;""),Input!$B$26&amp;";",""),IF(AND($G57&lt;Hta_7,$G57&gt;=Hba_7,Input!U$27&lt;&gt;""),Input!$B$27&amp;";",""),IF(AND($G57&lt;Hta_8,$G57&gt;=Hba_8,Input!U$28&lt;&gt;""),Input!$B$28&amp;";",""),IF(AND($G57&lt;Hta_9,$G57&gt;=Hba_9,Input!U$29&lt;&gt;""),Input!$B$29&amp;";",""),IF(AND($G57&lt;Hta_10,$G57&gt;=Hba_10,Input!U$30&lt;&gt;""),Input!$B$30&amp;";",""),IF(AND($G57&lt;Hta_11,$G57&gt;=Hba_11,Input!U$31&lt;&gt;""),Input!$B$31&amp;";",""),IF(AND($G57&lt;Hta_12,$G57&gt;=Hba_12,Input!U$32&lt;&gt;""),Input!$B$32&amp;";",""),IF(AND($G57&lt;Hta_13,$G57&gt;=Hba_13,Input!U$33&lt;&gt;""),Input!$B$33&amp;";",""),IF(AND($G57&lt;Hta_14,$G57&gt;=Hba_14,Input!U$34&lt;&gt;""),Input!$B$34&amp;";",""),IF(AND($G57&lt;Hta_15,$G57&gt;=Hba_15,Input!U$35&lt;&gt;""),Input!$B$35&amp;";",""),IF(AND($G57&lt;Hta_16,$G57&gt;=Hba_16,Input!U$36&lt;&gt;""),Input!$B$36&amp;";",""),IF(AND($G57&lt;Hta_17,$G57&gt;=Hba_17,Input!U$37&lt;&gt;""),Input!$B$37&amp;";",""),IF(AND($G57&lt;Hta_18,$G57&gt;=Hba_18,Input!U$38&lt;&gt;""),Input!$B$38&amp;";",""),IF(AND($G57&lt;Hta_19,$G57&gt;=Hba_19,Input!U$39&lt;&gt;""),Input!$B$39&amp;";",""),IF(AND($G57&lt;Hta_20,$G57&gt;=Hba_20,Input!U$40&lt;&gt;""),Input!$B$40&amp;";",""),IF(AND($G57&lt;Hta_21,$G57&gt;=Hba_21,Input!U$41&lt;&gt;""),Input!$B$41&amp;";",""),IF(AND($G57&lt;Hta_22,$G57&gt;=Hba_22,Input!U$42&lt;&gt;""),Input!$B$42&amp;";",""),IF(AND($G57&lt;Hta_23,$G57&gt;=Hba_23,Input!U$43&lt;&gt;""),Input!$B$43&amp;";",""),IF(AND($G57&lt;Hta_24,$G57&gt;=Hba_24,Input!U$44&lt;&gt;""),Input!$B$44&amp;";",""),IF(AND($G57&lt;Hta_25,$G57&gt;=Hba_25,Input!U$45&lt;&gt;""),Input!$B$45&amp;";",""),IF(AND($G57&lt;Hta_26,$G57&gt;=Hba_26,Input!U$46&lt;&gt;""),Input!$B$46&amp;";",""),IF(AND($G57&lt;Hta_27,$G57&gt;=Hba_27,Input!U$47&lt;&gt;""),Input!$B$47&amp;";",""),IF(AND($G57&lt;Hta_28,$G57&gt;=Hba_28,Input!U$48&lt;&gt;""),Input!$B$48&amp;";",""),IF(AND($G57&lt;Hta_29,$G57&gt;=Hba_29,Input!U$49&lt;&gt;""),Input!$B$49&amp;";",""),IF(AND($G57&lt;Hta_30,$G57&gt;=Hba_30,Input!U$50&lt;&gt;""),Input!$B$50&amp;";","")),"")</f>
        <v/>
      </c>
      <c r="BW57" s="25" t="str">
        <f>IFERROR(CONCATENATE(IF(AND($G57&lt;Hta_1,$G57&gt;=Hba_1,Input!V$21&lt;&gt;""),Input!$B$21&amp;";",""),IF(AND($G57&lt;Hta_2,$G57&gt;=Hba_2,Input!V$22&lt;&gt;""),Input!$B$22&amp;";",""),IF(AND($G57&lt;Hta_3,$G57&gt;=Hba_3,Input!V$23&lt;&gt;""),Input!$B$23&amp;";",""),IF(AND($G57&lt;Hta_4,$G57&gt;=Hba_4,Input!V$24&lt;&gt;""),Input!$B$24&amp;";",""),IF(AND($G57&lt;Hta_5,$G57&gt;=Hba_5,Input!V$25&lt;&gt;""),Input!$B$25&amp;";",""),IF(AND($G57&lt;Hta_6,$G57&gt;=Hba_6,Input!V$26&lt;&gt;""),Input!$B$26&amp;";",""),IF(AND($G57&lt;Hta_7,$G57&gt;=Hba_7,Input!V$27&lt;&gt;""),Input!$B$27&amp;";",""),IF(AND($G57&lt;Hta_8,$G57&gt;=Hba_8,Input!V$28&lt;&gt;""),Input!$B$28&amp;";",""),IF(AND($G57&lt;Hta_9,$G57&gt;=Hba_9,Input!V$29&lt;&gt;""),Input!$B$29&amp;";",""),IF(AND($G57&lt;Hta_10,$G57&gt;=Hba_10,Input!V$30&lt;&gt;""),Input!$B$30&amp;";",""),IF(AND($G57&lt;Hta_11,$G57&gt;=Hba_11,Input!V$31&lt;&gt;""),Input!$B$31&amp;";",""),IF(AND($G57&lt;Hta_12,$G57&gt;=Hba_12,Input!V$32&lt;&gt;""),Input!$B$32&amp;";",""),IF(AND($G57&lt;Hta_13,$G57&gt;=Hba_13,Input!V$33&lt;&gt;""),Input!$B$33&amp;";",""),IF(AND($G57&lt;Hta_14,$G57&gt;=Hba_14,Input!V$34&lt;&gt;""),Input!$B$34&amp;";",""),IF(AND($G57&lt;Hta_15,$G57&gt;=Hba_15,Input!V$35&lt;&gt;""),Input!$B$35&amp;";",""),IF(AND($G57&lt;Hta_16,$G57&gt;=Hba_16,Input!V$36&lt;&gt;""),Input!$B$36&amp;";",""),IF(AND($G57&lt;Hta_17,$G57&gt;=Hba_17,Input!V$37&lt;&gt;""),Input!$B$37&amp;";",""),IF(AND($G57&lt;Hta_18,$G57&gt;=Hba_18,Input!V$38&lt;&gt;""),Input!$B$38&amp;";",""),IF(AND($G57&lt;Hta_19,$G57&gt;=Hba_19,Input!V$39&lt;&gt;""),Input!$B$39&amp;";",""),IF(AND($G57&lt;Hta_20,$G57&gt;=Hba_20,Input!V$40&lt;&gt;""),Input!$B$40&amp;";",""),IF(AND($G57&lt;Hta_21,$G57&gt;=Hba_21,Input!V$41&lt;&gt;""),Input!$B$41&amp;";",""),IF(AND($G57&lt;Hta_22,$G57&gt;=Hba_22,Input!V$42&lt;&gt;""),Input!$B$42&amp;";",""),IF(AND($G57&lt;Hta_23,$G57&gt;=Hba_23,Input!V$43&lt;&gt;""),Input!$B$43&amp;";",""),IF(AND($G57&lt;Hta_24,$G57&gt;=Hba_24,Input!V$44&lt;&gt;""),Input!$B$44&amp;";",""),IF(AND($G57&lt;Hta_25,$G57&gt;=Hba_25,Input!V$45&lt;&gt;""),Input!$B$45&amp;";",""),IF(AND($G57&lt;Hta_26,$G57&gt;=Hba_26,Input!V$46&lt;&gt;""),Input!$B$46&amp;";",""),IF(AND($G57&lt;Hta_27,$G57&gt;=Hba_27,Input!V$47&lt;&gt;""),Input!$B$47&amp;";",""),IF(AND($G57&lt;Hta_28,$G57&gt;=Hba_28,Input!V$48&lt;&gt;""),Input!$B$48&amp;";",""),IF(AND($G57&lt;Hta_29,$G57&gt;=Hba_29,Input!V$49&lt;&gt;""),Input!$B$49&amp;";",""),IF(AND($G57&lt;Hta_30,$G57&gt;=Hba_30,Input!V$50&lt;&gt;""),Input!$B$50&amp;";","")),"")</f>
        <v/>
      </c>
      <c r="BX57" s="25" t="str">
        <f>IFERROR(CONCATENATE(IF(AND($G57&lt;Hta_1,$G57&gt;=Hba_1,Input!W$21&lt;&gt;""),Input!$B$21&amp;";",""),IF(AND($G57&lt;Hta_2,$G57&gt;=Hba_2,Input!W$22&lt;&gt;""),Input!$B$22&amp;";",""),IF(AND($G57&lt;Hta_3,$G57&gt;=Hba_3,Input!W$23&lt;&gt;""),Input!$B$23&amp;";",""),IF(AND($G57&lt;Hta_4,$G57&gt;=Hba_4,Input!W$24&lt;&gt;""),Input!$B$24&amp;";",""),IF(AND($G57&lt;Hta_5,$G57&gt;=Hba_5,Input!W$25&lt;&gt;""),Input!$B$25&amp;";",""),IF(AND($G57&lt;Hta_6,$G57&gt;=Hba_6,Input!W$26&lt;&gt;""),Input!$B$26&amp;";",""),IF(AND($G57&lt;Hta_7,$G57&gt;=Hba_7,Input!W$27&lt;&gt;""),Input!$B$27&amp;";",""),IF(AND($G57&lt;Hta_8,$G57&gt;=Hba_8,Input!W$28&lt;&gt;""),Input!$B$28&amp;";",""),IF(AND($G57&lt;Hta_9,$G57&gt;=Hba_9,Input!W$29&lt;&gt;""),Input!$B$29&amp;";",""),IF(AND($G57&lt;Hta_10,$G57&gt;=Hba_10,Input!W$30&lt;&gt;""),Input!$B$30&amp;";",""),IF(AND($G57&lt;Hta_11,$G57&gt;=Hba_11,Input!W$31&lt;&gt;""),Input!$B$31&amp;";",""),IF(AND($G57&lt;Hta_12,$G57&gt;=Hba_12,Input!W$32&lt;&gt;""),Input!$B$32&amp;";",""),IF(AND($G57&lt;Hta_13,$G57&gt;=Hba_13,Input!W$33&lt;&gt;""),Input!$B$33&amp;";",""),IF(AND($G57&lt;Hta_14,$G57&gt;=Hba_14,Input!W$34&lt;&gt;""),Input!$B$34&amp;";",""),IF(AND($G57&lt;Hta_15,$G57&gt;=Hba_15,Input!W$35&lt;&gt;""),Input!$B$35&amp;";",""),IF(AND($G57&lt;Hta_16,$G57&gt;=Hba_16,Input!W$36&lt;&gt;""),Input!$B$36&amp;";",""),IF(AND($G57&lt;Hta_17,$G57&gt;=Hba_17,Input!W$37&lt;&gt;""),Input!$B$37&amp;";",""),IF(AND($G57&lt;Hta_18,$G57&gt;=Hba_18,Input!W$38&lt;&gt;""),Input!$B$38&amp;";",""),IF(AND($G57&lt;Hta_19,$G57&gt;=Hba_19,Input!W$39&lt;&gt;""),Input!$B$39&amp;";",""),IF(AND($G57&lt;Hta_20,$G57&gt;=Hba_20,Input!W$40&lt;&gt;""),Input!$B$40&amp;";",""),IF(AND($G57&lt;Hta_21,$G57&gt;=Hba_21,Input!W$41&lt;&gt;""),Input!$B$41&amp;";",""),IF(AND($G57&lt;Hta_22,$G57&gt;=Hba_22,Input!W$42&lt;&gt;""),Input!$B$42&amp;";",""),IF(AND($G57&lt;Hta_23,$G57&gt;=Hba_23,Input!W$43&lt;&gt;""),Input!$B$43&amp;";",""),IF(AND($G57&lt;Hta_24,$G57&gt;=Hba_24,Input!W$44&lt;&gt;""),Input!$B$44&amp;";",""),IF(AND($G57&lt;Hta_25,$G57&gt;=Hba_25,Input!W$45&lt;&gt;""),Input!$B$45&amp;";",""),IF(AND($G57&lt;Hta_26,$G57&gt;=Hba_26,Input!W$46&lt;&gt;""),Input!$B$46&amp;";",""),IF(AND($G57&lt;Hta_27,$G57&gt;=Hba_27,Input!W$47&lt;&gt;""),Input!$B$47&amp;";",""),IF(AND($G57&lt;Hta_28,$G57&gt;=Hba_28,Input!W$48&lt;&gt;""),Input!$B$48&amp;";",""),IF(AND($G57&lt;Hta_29,$G57&gt;=Hba_29,Input!W$49&lt;&gt;""),Input!$B$49&amp;";",""),IF(AND($G57&lt;Hta_30,$G57&gt;=Hba_30,Input!W$50&lt;&gt;""),Input!$B$50&amp;";","")),"")</f>
        <v/>
      </c>
      <c r="BY57" s="25" t="str">
        <f>IFERROR(CONCATENATE(IF(AND($G57&lt;Hta_1,$G57&gt;=Hba_1,Input!X$21&lt;&gt;""),Input!$B$21&amp;";",""),IF(AND($G57&lt;Hta_2,$G57&gt;=Hba_2,Input!X$22&lt;&gt;""),Input!$B$22&amp;";",""),IF(AND($G57&lt;Hta_3,$G57&gt;=Hba_3,Input!X$23&lt;&gt;""),Input!$B$23&amp;";",""),IF(AND($G57&lt;Hta_4,$G57&gt;=Hba_4,Input!X$24&lt;&gt;""),Input!$B$24&amp;";",""),IF(AND($G57&lt;Hta_5,$G57&gt;=Hba_5,Input!X$25&lt;&gt;""),Input!$B$25&amp;";",""),IF(AND($G57&lt;Hta_6,$G57&gt;=Hba_6,Input!X$26&lt;&gt;""),Input!$B$26&amp;";",""),IF(AND($G57&lt;Hta_7,$G57&gt;=Hba_7,Input!X$27&lt;&gt;""),Input!$B$27&amp;";",""),IF(AND($G57&lt;Hta_8,$G57&gt;=Hba_8,Input!X$28&lt;&gt;""),Input!$B$28&amp;";",""),IF(AND($G57&lt;Hta_9,$G57&gt;=Hba_9,Input!X$29&lt;&gt;""),Input!$B$29&amp;";",""),IF(AND($G57&lt;Hta_10,$G57&gt;=Hba_10,Input!X$30&lt;&gt;""),Input!$B$30&amp;";",""),IF(AND($G57&lt;Hta_11,$G57&gt;=Hba_11,Input!X$31&lt;&gt;""),Input!$B$31&amp;";",""),IF(AND($G57&lt;Hta_12,$G57&gt;=Hba_12,Input!X$32&lt;&gt;""),Input!$B$32&amp;";",""),IF(AND($G57&lt;Hta_13,$G57&gt;=Hba_13,Input!X$33&lt;&gt;""),Input!$B$33&amp;";",""),IF(AND($G57&lt;Hta_14,$G57&gt;=Hba_14,Input!X$34&lt;&gt;""),Input!$B$34&amp;";",""),IF(AND($G57&lt;Hta_15,$G57&gt;=Hba_15,Input!X$35&lt;&gt;""),Input!$B$35&amp;";",""),IF(AND($G57&lt;Hta_16,$G57&gt;=Hba_16,Input!X$36&lt;&gt;""),Input!$B$36&amp;";",""),IF(AND($G57&lt;Hta_17,$G57&gt;=Hba_17,Input!X$37&lt;&gt;""),Input!$B$37&amp;";",""),IF(AND($G57&lt;Hta_18,$G57&gt;=Hba_18,Input!X$38&lt;&gt;""),Input!$B$38&amp;";",""),IF(AND($G57&lt;Hta_19,$G57&gt;=Hba_19,Input!X$39&lt;&gt;""),Input!$B$39&amp;";",""),IF(AND($G57&lt;Hta_20,$G57&gt;=Hba_20,Input!X$40&lt;&gt;""),Input!$B$40&amp;";",""),IF(AND($G57&lt;Hta_21,$G57&gt;=Hba_21,Input!X$41&lt;&gt;""),Input!$B$41&amp;";",""),IF(AND($G57&lt;Hta_22,$G57&gt;=Hba_22,Input!X$42&lt;&gt;""),Input!$B$42&amp;";",""),IF(AND($G57&lt;Hta_23,$G57&gt;=Hba_23,Input!X$43&lt;&gt;""),Input!$B$43&amp;";",""),IF(AND($G57&lt;Hta_24,$G57&gt;=Hba_24,Input!X$44&lt;&gt;""),Input!$B$44&amp;";",""),IF(AND($G57&lt;Hta_25,$G57&gt;=Hba_25,Input!X$45&lt;&gt;""),Input!$B$45&amp;";",""),IF(AND($G57&lt;Hta_26,$G57&gt;=Hba_26,Input!X$46&lt;&gt;""),Input!$B$46&amp;";",""),IF(AND($G57&lt;Hta_27,$G57&gt;=Hba_27,Input!X$47&lt;&gt;""),Input!$B$47&amp;";",""),IF(AND($G57&lt;Hta_28,$G57&gt;=Hba_28,Input!X$48&lt;&gt;""),Input!$B$48&amp;";",""),IF(AND($G57&lt;Hta_29,$G57&gt;=Hba_29,Input!X$49&lt;&gt;""),Input!$B$49&amp;";",""),IF(AND($G57&lt;Hta_30,$G57&gt;=Hba_30,Input!X$50&lt;&gt;""),Input!$B$50&amp;";","")),"")</f>
        <v/>
      </c>
      <c r="BZ57" s="25" t="str">
        <f>IFERROR(CONCATENATE(IF(AND($G57&lt;Hta_1,$G57&gt;=Hba_1,Input!Y$21&lt;&gt;""),Input!$B$21&amp;";",""),IF(AND($G57&lt;Hta_2,$G57&gt;=Hba_2,Input!Y$22&lt;&gt;""),Input!$B$22&amp;";",""),IF(AND($G57&lt;Hta_3,$G57&gt;=Hba_3,Input!Y$23&lt;&gt;""),Input!$B$23&amp;";",""),IF(AND($G57&lt;Hta_4,$G57&gt;=Hba_4,Input!Y$24&lt;&gt;""),Input!$B$24&amp;";",""),IF(AND($G57&lt;Hta_5,$G57&gt;=Hba_5,Input!Y$25&lt;&gt;""),Input!$B$25&amp;";",""),IF(AND($G57&lt;Hta_6,$G57&gt;=Hba_6,Input!Y$26&lt;&gt;""),Input!$B$26&amp;";",""),IF(AND($G57&lt;Hta_7,$G57&gt;=Hba_7,Input!Y$27&lt;&gt;""),Input!$B$27&amp;";",""),IF(AND($G57&lt;Hta_8,$G57&gt;=Hba_8,Input!Y$28&lt;&gt;""),Input!$B$28&amp;";",""),IF(AND($G57&lt;Hta_9,$G57&gt;=Hba_9,Input!Y$29&lt;&gt;""),Input!$B$29&amp;";",""),IF(AND($G57&lt;Hta_10,$G57&gt;=Hba_10,Input!Y$30&lt;&gt;""),Input!$B$30&amp;";",""),IF(AND($G57&lt;Hta_11,$G57&gt;=Hba_11,Input!Y$31&lt;&gt;""),Input!$B$31&amp;";",""),IF(AND($G57&lt;Hta_12,$G57&gt;=Hba_12,Input!Y$32&lt;&gt;""),Input!$B$32&amp;";",""),IF(AND($G57&lt;Hta_13,$G57&gt;=Hba_13,Input!Y$33&lt;&gt;""),Input!$B$33&amp;";",""),IF(AND($G57&lt;Hta_14,$G57&gt;=Hba_14,Input!Y$34&lt;&gt;""),Input!$B$34&amp;";",""),IF(AND($G57&lt;Hta_15,$G57&gt;=Hba_15,Input!Y$35&lt;&gt;""),Input!$B$35&amp;";",""),IF(AND($G57&lt;Hta_16,$G57&gt;=Hba_16,Input!Y$36&lt;&gt;""),Input!$B$36&amp;";",""),IF(AND($G57&lt;Hta_17,$G57&gt;=Hba_17,Input!Y$37&lt;&gt;""),Input!$B$37&amp;";",""),IF(AND($G57&lt;Hta_18,$G57&gt;=Hba_18,Input!Y$38&lt;&gt;""),Input!$B$38&amp;";",""),IF(AND($G57&lt;Hta_19,$G57&gt;=Hba_19,Input!Y$39&lt;&gt;""),Input!$B$39&amp;";",""),IF(AND($G57&lt;Hta_20,$G57&gt;=Hba_20,Input!Y$40&lt;&gt;""),Input!$B$40&amp;";",""),IF(AND($G57&lt;Hta_21,$G57&gt;=Hba_21,Input!Y$41&lt;&gt;""),Input!$B$41&amp;";",""),IF(AND($G57&lt;Hta_22,$G57&gt;=Hba_22,Input!Y$42&lt;&gt;""),Input!$B$42&amp;";",""),IF(AND($G57&lt;Hta_23,$G57&gt;=Hba_23,Input!Y$43&lt;&gt;""),Input!$B$43&amp;";",""),IF(AND($G57&lt;Hta_24,$G57&gt;=Hba_24,Input!Y$44&lt;&gt;""),Input!$B$44&amp;";",""),IF(AND($G57&lt;Hta_25,$G57&gt;=Hba_25,Input!Y$45&lt;&gt;""),Input!$B$45&amp;";",""),IF(AND($G57&lt;Hta_26,$G57&gt;=Hba_26,Input!Y$46&lt;&gt;""),Input!$B$46&amp;";",""),IF(AND($G57&lt;Hta_27,$G57&gt;=Hba_27,Input!Y$47&lt;&gt;""),Input!$B$47&amp;";",""),IF(AND($G57&lt;Hta_28,$G57&gt;=Hba_28,Input!Y$48&lt;&gt;""),Input!$B$48&amp;";",""),IF(AND($G57&lt;Hta_29,$G57&gt;=Hba_29,Input!Y$49&lt;&gt;""),Input!$B$49&amp;";",""),IF(AND($G57&lt;Hta_30,$G57&gt;=Hba_30,Input!Y$50&lt;&gt;""),Input!$B$50&amp;";","")),"")</f>
        <v/>
      </c>
      <c r="CA57" s="25" t="str">
        <f>IFERROR(CONCATENATE(IF(AND($G57&lt;Hta_1,$G57&gt;=Hba_1,Input!Z$21&lt;&gt;""),Input!$B$21&amp;";",""),IF(AND($G57&lt;Hta_2,$G57&gt;=Hba_2,Input!Z$22&lt;&gt;""),Input!$B$22&amp;";",""),IF(AND($G57&lt;Hta_3,$G57&gt;=Hba_3,Input!Z$23&lt;&gt;""),Input!$B$23&amp;";",""),IF(AND($G57&lt;Hta_4,$G57&gt;=Hba_4,Input!Z$24&lt;&gt;""),Input!$B$24&amp;";",""),IF(AND($G57&lt;Hta_5,$G57&gt;=Hba_5,Input!Z$25&lt;&gt;""),Input!$B$25&amp;";",""),IF(AND($G57&lt;Hta_6,$G57&gt;=Hba_6,Input!Z$26&lt;&gt;""),Input!$B$26&amp;";",""),IF(AND($G57&lt;Hta_7,$G57&gt;=Hba_7,Input!Z$27&lt;&gt;""),Input!$B$27&amp;";",""),IF(AND($G57&lt;Hta_8,$G57&gt;=Hba_8,Input!Z$28&lt;&gt;""),Input!$B$28&amp;";",""),IF(AND($G57&lt;Hta_9,$G57&gt;=Hba_9,Input!Z$29&lt;&gt;""),Input!$B$29&amp;";",""),IF(AND($G57&lt;Hta_10,$G57&gt;=Hba_10,Input!Z$30&lt;&gt;""),Input!$B$30&amp;";",""),IF(AND($G57&lt;Hta_11,$G57&gt;=Hba_11,Input!Z$31&lt;&gt;""),Input!$B$31&amp;";",""),IF(AND($G57&lt;Hta_12,$G57&gt;=Hba_12,Input!Z$32&lt;&gt;""),Input!$B$32&amp;";",""),IF(AND($G57&lt;Hta_13,$G57&gt;=Hba_13,Input!Z$33&lt;&gt;""),Input!$B$33&amp;";",""),IF(AND($G57&lt;Hta_14,$G57&gt;=Hba_14,Input!Z$34&lt;&gt;""),Input!$B$34&amp;";",""),IF(AND($G57&lt;Hta_15,$G57&gt;=Hba_15,Input!Z$35&lt;&gt;""),Input!$B$35&amp;";",""),IF(AND($G57&lt;Hta_16,$G57&gt;=Hba_16,Input!Z$36&lt;&gt;""),Input!$B$36&amp;";",""),IF(AND($G57&lt;Hta_17,$G57&gt;=Hba_17,Input!Z$37&lt;&gt;""),Input!$B$37&amp;";",""),IF(AND($G57&lt;Hta_18,$G57&gt;=Hba_18,Input!Z$38&lt;&gt;""),Input!$B$38&amp;";",""),IF(AND($G57&lt;Hta_19,$G57&gt;=Hba_19,Input!Z$39&lt;&gt;""),Input!$B$39&amp;";",""),IF(AND($G57&lt;Hta_20,$G57&gt;=Hba_20,Input!Z$40&lt;&gt;""),Input!$B$40&amp;";",""),IF(AND($G57&lt;Hta_21,$G57&gt;=Hba_21,Input!Z$41&lt;&gt;""),Input!$B$41&amp;";",""),IF(AND($G57&lt;Hta_22,$G57&gt;=Hba_22,Input!Z$42&lt;&gt;""),Input!$B$42&amp;";",""),IF(AND($G57&lt;Hta_23,$G57&gt;=Hba_23,Input!Z$43&lt;&gt;""),Input!$B$43&amp;";",""),IF(AND($G57&lt;Hta_24,$G57&gt;=Hba_24,Input!Z$44&lt;&gt;""),Input!$B$44&amp;";",""),IF(AND($G57&lt;Hta_25,$G57&gt;=Hba_25,Input!Z$45&lt;&gt;""),Input!$B$45&amp;";",""),IF(AND($G57&lt;Hta_26,$G57&gt;=Hba_26,Input!Z$46&lt;&gt;""),Input!$B$46&amp;";",""),IF(AND($G57&lt;Hta_27,$G57&gt;=Hba_27,Input!Z$47&lt;&gt;""),Input!$B$47&amp;";",""),IF(AND($G57&lt;Hta_28,$G57&gt;=Hba_28,Input!Z$48&lt;&gt;""),Input!$B$48&amp;";",""),IF(AND($G57&lt;Hta_29,$G57&gt;=Hba_29,Input!Z$49&lt;&gt;""),Input!$B$49&amp;";",""),IF(AND($G57&lt;Hta_30,$G57&gt;=Hba_30,Input!Z$50&lt;&gt;""),Input!$B$50&amp;";","")),"")</f>
        <v/>
      </c>
      <c r="CB57" s="25" t="str">
        <f>IFERROR(CONCATENATE(IF(AND($G57&lt;Hta_1,$G57&gt;=Hba_1,Input!AA$21&lt;&gt;""),Input!$B$21&amp;";",""),IF(AND($G57&lt;Hta_2,$G57&gt;=Hba_2,Input!AA$22&lt;&gt;""),Input!$B$22&amp;";",""),IF(AND($G57&lt;Hta_3,$G57&gt;=Hba_3,Input!AA$23&lt;&gt;""),Input!$B$23&amp;";",""),IF(AND($G57&lt;Hta_4,$G57&gt;=Hba_4,Input!AA$24&lt;&gt;""),Input!$B$24&amp;";",""),IF(AND($G57&lt;Hta_5,$G57&gt;=Hba_5,Input!AA$25&lt;&gt;""),Input!$B$25&amp;";",""),IF(AND($G57&lt;Hta_6,$G57&gt;=Hba_6,Input!AA$26&lt;&gt;""),Input!$B$26&amp;";",""),IF(AND($G57&lt;Hta_7,$G57&gt;=Hba_7,Input!AA$27&lt;&gt;""),Input!$B$27&amp;";",""),IF(AND($G57&lt;Hta_8,$G57&gt;=Hba_8,Input!AA$28&lt;&gt;""),Input!$B$28&amp;";",""),IF(AND($G57&lt;Hta_9,$G57&gt;=Hba_9,Input!AA$29&lt;&gt;""),Input!$B$29&amp;";",""),IF(AND($G57&lt;Hta_10,$G57&gt;=Hba_10,Input!AA$30&lt;&gt;""),Input!$B$30&amp;";",""),IF(AND($G57&lt;Hta_11,$G57&gt;=Hba_11,Input!AA$31&lt;&gt;""),Input!$B$31&amp;";",""),IF(AND($G57&lt;Hta_12,$G57&gt;=Hba_12,Input!AA$32&lt;&gt;""),Input!$B$32&amp;";",""),IF(AND($G57&lt;Hta_13,$G57&gt;=Hba_13,Input!AA$33&lt;&gt;""),Input!$B$33&amp;";",""),IF(AND($G57&lt;Hta_14,$G57&gt;=Hba_14,Input!AA$34&lt;&gt;""),Input!$B$34&amp;";",""),IF(AND($G57&lt;Hta_15,$G57&gt;=Hba_15,Input!AA$35&lt;&gt;""),Input!$B$35&amp;";",""),IF(AND($G57&lt;Hta_16,$G57&gt;=Hba_16,Input!AA$36&lt;&gt;""),Input!$B$36&amp;";",""),IF(AND($G57&lt;Hta_17,$G57&gt;=Hba_17,Input!AA$37&lt;&gt;""),Input!$B$37&amp;";",""),IF(AND($G57&lt;Hta_18,$G57&gt;=Hba_18,Input!AA$38&lt;&gt;""),Input!$B$38&amp;";",""),IF(AND($G57&lt;Hta_19,$G57&gt;=Hba_19,Input!AA$39&lt;&gt;""),Input!$B$39&amp;";",""),IF(AND($G57&lt;Hta_20,$G57&gt;=Hba_20,Input!AA$40&lt;&gt;""),Input!$B$40&amp;";",""),IF(AND($G57&lt;Hta_21,$G57&gt;=Hba_21,Input!AA$41&lt;&gt;""),Input!$B$41&amp;";",""),IF(AND($G57&lt;Hta_22,$G57&gt;=Hba_22,Input!AA$42&lt;&gt;""),Input!$B$42&amp;";",""),IF(AND($G57&lt;Hta_23,$G57&gt;=Hba_23,Input!AA$43&lt;&gt;""),Input!$B$43&amp;";",""),IF(AND($G57&lt;Hta_24,$G57&gt;=Hba_24,Input!AA$44&lt;&gt;""),Input!$B$44&amp;";",""),IF(AND($G57&lt;Hta_25,$G57&gt;=Hba_25,Input!AA$45&lt;&gt;""),Input!$B$45&amp;";",""),IF(AND($G57&lt;Hta_26,$G57&gt;=Hba_26,Input!AA$46&lt;&gt;""),Input!$B$46&amp;";",""),IF(AND($G57&lt;Hta_27,$G57&gt;=Hba_27,Input!AA$47&lt;&gt;""),Input!$B$47&amp;";",""),IF(AND($G57&lt;Hta_28,$G57&gt;=Hba_28,Input!AA$48&lt;&gt;""),Input!$B$48&amp;";",""),IF(AND($G57&lt;Hta_29,$G57&gt;=Hba_29,Input!AA$49&lt;&gt;""),Input!$B$49&amp;";",""),IF(AND($G57&lt;Hta_30,$G57&gt;=Hba_30,Input!AA$50&lt;&gt;""),Input!$B$50&amp;";","")),"")</f>
        <v/>
      </c>
      <c r="CC57" s="25" t="str">
        <f>IFERROR(CONCATENATE(IF(AND($G57&lt;Hta_1,$G57&gt;=Hba_1,Input!AB$21&lt;&gt;""),Input!$B$21&amp;";",""),IF(AND($G57&lt;Hta_2,$G57&gt;=Hba_2,Input!AB$22&lt;&gt;""),Input!$B$22&amp;";",""),IF(AND($G57&lt;Hta_3,$G57&gt;=Hba_3,Input!AB$23&lt;&gt;""),Input!$B$23&amp;";",""),IF(AND($G57&lt;Hta_4,$G57&gt;=Hba_4,Input!AB$24&lt;&gt;""),Input!$B$24&amp;";",""),IF(AND($G57&lt;Hta_5,$G57&gt;=Hba_5,Input!AB$25&lt;&gt;""),Input!$B$25&amp;";",""),IF(AND($G57&lt;Hta_6,$G57&gt;=Hba_6,Input!AB$26&lt;&gt;""),Input!$B$26&amp;";",""),IF(AND($G57&lt;Hta_7,$G57&gt;=Hba_7,Input!AB$27&lt;&gt;""),Input!$B$27&amp;";",""),IF(AND($G57&lt;Hta_8,$G57&gt;=Hba_8,Input!AB$28&lt;&gt;""),Input!$B$28&amp;";",""),IF(AND($G57&lt;Hta_9,$G57&gt;=Hba_9,Input!AB$29&lt;&gt;""),Input!$B$29&amp;";",""),IF(AND($G57&lt;Hta_10,$G57&gt;=Hba_10,Input!AB$30&lt;&gt;""),Input!$B$30&amp;";",""),IF(AND($G57&lt;Hta_11,$G57&gt;=Hba_11,Input!AB$31&lt;&gt;""),Input!$B$31&amp;";",""),IF(AND($G57&lt;Hta_12,$G57&gt;=Hba_12,Input!AB$32&lt;&gt;""),Input!$B$32&amp;";",""),IF(AND($G57&lt;Hta_13,$G57&gt;=Hba_13,Input!AB$33&lt;&gt;""),Input!$B$33&amp;";",""),IF(AND($G57&lt;Hta_14,$G57&gt;=Hba_14,Input!AB$34&lt;&gt;""),Input!$B$34&amp;";",""),IF(AND($G57&lt;Hta_15,$G57&gt;=Hba_15,Input!AB$35&lt;&gt;""),Input!$B$35&amp;";",""),IF(AND($G57&lt;Hta_16,$G57&gt;=Hba_16,Input!AB$36&lt;&gt;""),Input!$B$36&amp;";",""),IF(AND($G57&lt;Hta_17,$G57&gt;=Hba_17,Input!AB$37&lt;&gt;""),Input!$B$37&amp;";",""),IF(AND($G57&lt;Hta_18,$G57&gt;=Hba_18,Input!AB$38&lt;&gt;""),Input!$B$38&amp;";",""),IF(AND($G57&lt;Hta_19,$G57&gt;=Hba_19,Input!AB$39&lt;&gt;""),Input!$B$39&amp;";",""),IF(AND($G57&lt;Hta_20,$G57&gt;=Hba_20,Input!AB$40&lt;&gt;""),Input!$B$40&amp;";",""),IF(AND($G57&lt;Hta_21,$G57&gt;=Hba_21,Input!AB$41&lt;&gt;""),Input!$B$41&amp;";",""),IF(AND($G57&lt;Hta_22,$G57&gt;=Hba_22,Input!AB$42&lt;&gt;""),Input!$B$42&amp;";",""),IF(AND($G57&lt;Hta_23,$G57&gt;=Hba_23,Input!AB$43&lt;&gt;""),Input!$B$43&amp;";",""),IF(AND($G57&lt;Hta_24,$G57&gt;=Hba_24,Input!AB$44&lt;&gt;""),Input!$B$44&amp;";",""),IF(AND($G57&lt;Hta_25,$G57&gt;=Hba_25,Input!AB$45&lt;&gt;""),Input!$B$45&amp;";",""),IF(AND($G57&lt;Hta_26,$G57&gt;=Hba_26,Input!AB$46&lt;&gt;""),Input!$B$46&amp;";",""),IF(AND($G57&lt;Hta_27,$G57&gt;=Hba_27,Input!AB$47&lt;&gt;""),Input!$B$47&amp;";",""),IF(AND($G57&lt;Hta_28,$G57&gt;=Hba_28,Input!AB$48&lt;&gt;""),Input!$B$48&amp;";",""),IF(AND($G57&lt;Hta_29,$G57&gt;=Hba_29,Input!AB$49&lt;&gt;""),Input!$B$49&amp;";",""),IF(AND($G57&lt;Hta_30,$G57&gt;=Hba_30,Input!AB$50&lt;&gt;""),Input!$B$50&amp;";","")),"")</f>
        <v/>
      </c>
      <c r="CD57" s="25" t="str">
        <f>IFERROR(CONCATENATE(IF(AND($G57&lt;Hta_1,$G57&gt;=Hba_1,Input!AC$21&lt;&gt;""),Input!$B$21&amp;";",""),IF(AND($G57&lt;Hta_2,$G57&gt;=Hba_2,Input!AC$22&lt;&gt;""),Input!$B$22&amp;";",""),IF(AND($G57&lt;Hta_3,$G57&gt;=Hba_3,Input!AC$23&lt;&gt;""),Input!$B$23&amp;";",""),IF(AND($G57&lt;Hta_4,$G57&gt;=Hba_4,Input!AC$24&lt;&gt;""),Input!$B$24&amp;";",""),IF(AND($G57&lt;Hta_5,$G57&gt;=Hba_5,Input!AC$25&lt;&gt;""),Input!$B$25&amp;";",""),IF(AND($G57&lt;Hta_6,$G57&gt;=Hba_6,Input!AC$26&lt;&gt;""),Input!$B$26&amp;";",""),IF(AND($G57&lt;Hta_7,$G57&gt;=Hba_7,Input!AC$27&lt;&gt;""),Input!$B$27&amp;";",""),IF(AND($G57&lt;Hta_8,$G57&gt;=Hba_8,Input!AC$28&lt;&gt;""),Input!$B$28&amp;";",""),IF(AND($G57&lt;Hta_9,$G57&gt;=Hba_9,Input!AC$29&lt;&gt;""),Input!$B$29&amp;";",""),IF(AND($G57&lt;Hta_10,$G57&gt;=Hba_10,Input!AC$30&lt;&gt;""),Input!$B$30&amp;";",""),IF(AND($G57&lt;Hta_11,$G57&gt;=Hba_11,Input!AC$31&lt;&gt;""),Input!$B$31&amp;";",""),IF(AND($G57&lt;Hta_12,$G57&gt;=Hba_12,Input!AC$32&lt;&gt;""),Input!$B$32&amp;";",""),IF(AND($G57&lt;Hta_13,$G57&gt;=Hba_13,Input!AC$33&lt;&gt;""),Input!$B$33&amp;";",""),IF(AND($G57&lt;Hta_14,$G57&gt;=Hba_14,Input!AC$34&lt;&gt;""),Input!$B$34&amp;";",""),IF(AND($G57&lt;Hta_15,$G57&gt;=Hba_15,Input!AC$35&lt;&gt;""),Input!$B$35&amp;";",""),IF(AND($G57&lt;Hta_16,$G57&gt;=Hba_16,Input!AC$36&lt;&gt;""),Input!$B$36&amp;";",""),IF(AND($G57&lt;Hta_17,$G57&gt;=Hba_17,Input!AC$37&lt;&gt;""),Input!$B$37&amp;";",""),IF(AND($G57&lt;Hta_18,$G57&gt;=Hba_18,Input!AC$38&lt;&gt;""),Input!$B$38&amp;";",""),IF(AND($G57&lt;Hta_19,$G57&gt;=Hba_19,Input!AC$39&lt;&gt;""),Input!$B$39&amp;";",""),IF(AND($G57&lt;Hta_20,$G57&gt;=Hba_20,Input!AC$40&lt;&gt;""),Input!$B$40&amp;";",""),IF(AND($G57&lt;Hta_21,$G57&gt;=Hba_21,Input!AC$41&lt;&gt;""),Input!$B$41&amp;";",""),IF(AND($G57&lt;Hta_22,$G57&gt;=Hba_22,Input!AC$42&lt;&gt;""),Input!$B$42&amp;";",""),IF(AND($G57&lt;Hta_23,$G57&gt;=Hba_23,Input!AC$43&lt;&gt;""),Input!$B$43&amp;";",""),IF(AND($G57&lt;Hta_24,$G57&gt;=Hba_24,Input!AC$44&lt;&gt;""),Input!$B$44&amp;";",""),IF(AND($G57&lt;Hta_25,$G57&gt;=Hba_25,Input!AC$45&lt;&gt;""),Input!$B$45&amp;";",""),IF(AND($G57&lt;Hta_26,$G57&gt;=Hba_26,Input!AC$46&lt;&gt;""),Input!$B$46&amp;";",""),IF(AND($G57&lt;Hta_27,$G57&gt;=Hba_27,Input!AC$47&lt;&gt;""),Input!$B$47&amp;";",""),IF(AND($G57&lt;Hta_28,$G57&gt;=Hba_28,Input!AC$48&lt;&gt;""),Input!$B$48&amp;";",""),IF(AND($G57&lt;Hta_29,$G57&gt;=Hba_29,Input!AC$49&lt;&gt;""),Input!$B$49&amp;";",""),IF(AND($G57&lt;Hta_30,$G57&gt;=Hba_30,Input!AC$50&lt;&gt;""),Input!$B$50&amp;";","")),"")</f>
        <v/>
      </c>
      <c r="CE57" s="25" t="str">
        <f>IFERROR(CONCATENATE(IF(AND($G57&lt;Hta_1,$G57&gt;=Hba_1,Input!AD$21&lt;&gt;""),Input!$B$21&amp;";",""),IF(AND($G57&lt;Hta_2,$G57&gt;=Hba_2,Input!AD$22&lt;&gt;""),Input!$B$22&amp;";",""),IF(AND($G57&lt;Hta_3,$G57&gt;=Hba_3,Input!AD$23&lt;&gt;""),Input!$B$23&amp;";",""),IF(AND($G57&lt;Hta_4,$G57&gt;=Hba_4,Input!AD$24&lt;&gt;""),Input!$B$24&amp;";",""),IF(AND($G57&lt;Hta_5,$G57&gt;=Hba_5,Input!AD$25&lt;&gt;""),Input!$B$25&amp;";",""),IF(AND($G57&lt;Hta_6,$G57&gt;=Hba_6,Input!AD$26&lt;&gt;""),Input!$B$26&amp;";",""),IF(AND($G57&lt;Hta_7,$G57&gt;=Hba_7,Input!AD$27&lt;&gt;""),Input!$B$27&amp;";",""),IF(AND($G57&lt;Hta_8,$G57&gt;=Hba_8,Input!AD$28&lt;&gt;""),Input!$B$28&amp;";",""),IF(AND($G57&lt;Hta_9,$G57&gt;=Hba_9,Input!AD$29&lt;&gt;""),Input!$B$29&amp;";",""),IF(AND($G57&lt;Hta_10,$G57&gt;=Hba_10,Input!AD$30&lt;&gt;""),Input!$B$30&amp;";",""),IF(AND($G57&lt;Hta_11,$G57&gt;=Hba_11,Input!AD$31&lt;&gt;""),Input!$B$31&amp;";",""),IF(AND($G57&lt;Hta_12,$G57&gt;=Hba_12,Input!AD$32&lt;&gt;""),Input!$B$32&amp;";",""),IF(AND($G57&lt;Hta_13,$G57&gt;=Hba_13,Input!AD$33&lt;&gt;""),Input!$B$33&amp;";",""),IF(AND($G57&lt;Hta_14,$G57&gt;=Hba_14,Input!AD$34&lt;&gt;""),Input!$B$34&amp;";",""),IF(AND($G57&lt;Hta_15,$G57&gt;=Hba_15,Input!AD$35&lt;&gt;""),Input!$B$35&amp;";",""),IF(AND($G57&lt;Hta_16,$G57&gt;=Hba_16,Input!AD$36&lt;&gt;""),Input!$B$36&amp;";",""),IF(AND($G57&lt;Hta_17,$G57&gt;=Hba_17,Input!AD$37&lt;&gt;""),Input!$B$37&amp;";",""),IF(AND($G57&lt;Hta_18,$G57&gt;=Hba_18,Input!AD$38&lt;&gt;""),Input!$B$38&amp;";",""),IF(AND($G57&lt;Hta_19,$G57&gt;=Hba_19,Input!AD$39&lt;&gt;""),Input!$B$39&amp;";",""),IF(AND($G57&lt;Hta_20,$G57&gt;=Hba_20,Input!AD$40&lt;&gt;""),Input!$B$40&amp;";",""),IF(AND($G57&lt;Hta_21,$G57&gt;=Hba_21,Input!AD$41&lt;&gt;""),Input!$B$41&amp;";",""),IF(AND($G57&lt;Hta_22,$G57&gt;=Hba_22,Input!AD$42&lt;&gt;""),Input!$B$42&amp;";",""),IF(AND($G57&lt;Hta_23,$G57&gt;=Hba_23,Input!AD$43&lt;&gt;""),Input!$B$43&amp;";",""),IF(AND($G57&lt;Hta_24,$G57&gt;=Hba_24,Input!AD$44&lt;&gt;""),Input!$B$44&amp;";",""),IF(AND($G57&lt;Hta_25,$G57&gt;=Hba_25,Input!AD$45&lt;&gt;""),Input!$B$45&amp;";",""),IF(AND($G57&lt;Hta_26,$G57&gt;=Hba_26,Input!AD$46&lt;&gt;""),Input!$B$46&amp;";",""),IF(AND($G57&lt;Hta_27,$G57&gt;=Hba_27,Input!AD$47&lt;&gt;""),Input!$B$47&amp;";",""),IF(AND($G57&lt;Hta_28,$G57&gt;=Hba_28,Input!AD$48&lt;&gt;""),Input!$B$48&amp;";",""),IF(AND($G57&lt;Hta_29,$G57&gt;=Hba_29,Input!AD$49&lt;&gt;""),Input!$B$49&amp;";",""),IF(AND($G57&lt;Hta_30,$G57&gt;=Hba_30,Input!AD$50&lt;&gt;""),Input!$B$50&amp;";","")),"")</f>
        <v/>
      </c>
      <c r="CF57" s="25" t="str">
        <f>IFERROR(CONCATENATE(IF(AND($G57&lt;Hta_1,$G57&gt;=Hba_1,Input!AE$21&lt;&gt;""),Input!$B$21&amp;";",""),IF(AND($G57&lt;Hta_2,$G57&gt;=Hba_2,Input!AE$22&lt;&gt;""),Input!$B$22&amp;";",""),IF(AND($G57&lt;Hta_3,$G57&gt;=Hba_3,Input!AE$23&lt;&gt;""),Input!$B$23&amp;";",""),IF(AND($G57&lt;Hta_4,$G57&gt;=Hba_4,Input!AE$24&lt;&gt;""),Input!$B$24&amp;";",""),IF(AND($G57&lt;Hta_5,$G57&gt;=Hba_5,Input!AE$25&lt;&gt;""),Input!$B$25&amp;";",""),IF(AND($G57&lt;Hta_6,$G57&gt;=Hba_6,Input!AE$26&lt;&gt;""),Input!$B$26&amp;";",""),IF(AND($G57&lt;Hta_7,$G57&gt;=Hba_7,Input!AE$27&lt;&gt;""),Input!$B$27&amp;";",""),IF(AND($G57&lt;Hta_8,$G57&gt;=Hba_8,Input!AE$28&lt;&gt;""),Input!$B$28&amp;";",""),IF(AND($G57&lt;Hta_9,$G57&gt;=Hba_9,Input!AE$29&lt;&gt;""),Input!$B$29&amp;";",""),IF(AND($G57&lt;Hta_10,$G57&gt;=Hba_10,Input!AE$30&lt;&gt;""),Input!$B$30&amp;";",""),IF(AND($G57&lt;Hta_11,$G57&gt;=Hba_11,Input!AE$31&lt;&gt;""),Input!$B$31&amp;";",""),IF(AND($G57&lt;Hta_12,$G57&gt;=Hba_12,Input!AE$32&lt;&gt;""),Input!$B$32&amp;";",""),IF(AND($G57&lt;Hta_13,$G57&gt;=Hba_13,Input!AE$33&lt;&gt;""),Input!$B$33&amp;";",""),IF(AND($G57&lt;Hta_14,$G57&gt;=Hba_14,Input!AE$34&lt;&gt;""),Input!$B$34&amp;";",""),IF(AND($G57&lt;Hta_15,$G57&gt;=Hba_15,Input!AE$35&lt;&gt;""),Input!$B$35&amp;";",""),IF(AND($G57&lt;Hta_16,$G57&gt;=Hba_16,Input!AE$36&lt;&gt;""),Input!$B$36&amp;";",""),IF(AND($G57&lt;Hta_17,$G57&gt;=Hba_17,Input!AE$37&lt;&gt;""),Input!$B$37&amp;";",""),IF(AND($G57&lt;Hta_18,$G57&gt;=Hba_18,Input!AE$38&lt;&gt;""),Input!$B$38&amp;";",""),IF(AND($G57&lt;Hta_19,$G57&gt;=Hba_19,Input!AE$39&lt;&gt;""),Input!$B$39&amp;";",""),IF(AND($G57&lt;Hta_20,$G57&gt;=Hba_20,Input!AE$40&lt;&gt;""),Input!$B$40&amp;";",""),IF(AND($G57&lt;Hta_21,$G57&gt;=Hba_21,Input!AE$41&lt;&gt;""),Input!$B$41&amp;";",""),IF(AND($G57&lt;Hta_22,$G57&gt;=Hba_22,Input!AE$42&lt;&gt;""),Input!$B$42&amp;";",""),IF(AND($G57&lt;Hta_23,$G57&gt;=Hba_23,Input!AE$43&lt;&gt;""),Input!$B$43&amp;";",""),IF(AND($G57&lt;Hta_24,$G57&gt;=Hba_24,Input!AE$44&lt;&gt;""),Input!$B$44&amp;";",""),IF(AND($G57&lt;Hta_25,$G57&gt;=Hba_25,Input!AE$45&lt;&gt;""),Input!$B$45&amp;";",""),IF(AND($G57&lt;Hta_26,$G57&gt;=Hba_26,Input!AE$46&lt;&gt;""),Input!$B$46&amp;";",""),IF(AND($G57&lt;Hta_27,$G57&gt;=Hba_27,Input!AE$47&lt;&gt;""),Input!$B$47&amp;";",""),IF(AND($G57&lt;Hta_28,$G57&gt;=Hba_28,Input!AE$48&lt;&gt;""),Input!$B$48&amp;";",""),IF(AND($G57&lt;Hta_29,$G57&gt;=Hba_29,Input!AE$49&lt;&gt;""),Input!$B$49&amp;";",""),IF(AND($G57&lt;Hta_30,$G57&gt;=Hba_30,Input!AE$50&lt;&gt;""),Input!$B$50&amp;";","")),"")</f>
        <v/>
      </c>
      <c r="CG57" s="25" t="str">
        <f>IFERROR(CONCATENATE(IF(AND($G57&lt;Hta_1,$G57&gt;=Hba_1,Input!AF$21&lt;&gt;""),Input!$B$21&amp;";",""),IF(AND($G57&lt;Hta_2,$G57&gt;=Hba_2,Input!AF$22&lt;&gt;""),Input!$B$22&amp;";",""),IF(AND($G57&lt;Hta_3,$G57&gt;=Hba_3,Input!AF$23&lt;&gt;""),Input!$B$23&amp;";",""),IF(AND($G57&lt;Hta_4,$G57&gt;=Hba_4,Input!AF$24&lt;&gt;""),Input!$B$24&amp;";",""),IF(AND($G57&lt;Hta_5,$G57&gt;=Hba_5,Input!AF$25&lt;&gt;""),Input!$B$25&amp;";",""),IF(AND($G57&lt;Hta_6,$G57&gt;=Hba_6,Input!AF$26&lt;&gt;""),Input!$B$26&amp;";",""),IF(AND($G57&lt;Hta_7,$G57&gt;=Hba_7,Input!AF$27&lt;&gt;""),Input!$B$27&amp;";",""),IF(AND($G57&lt;Hta_8,$G57&gt;=Hba_8,Input!AF$28&lt;&gt;""),Input!$B$28&amp;";",""),IF(AND($G57&lt;Hta_9,$G57&gt;=Hba_9,Input!AF$29&lt;&gt;""),Input!$B$29&amp;";",""),IF(AND($G57&lt;Hta_10,$G57&gt;=Hba_10,Input!AF$30&lt;&gt;""),Input!$B$30&amp;";",""),IF(AND($G57&lt;Hta_11,$G57&gt;=Hba_11,Input!AF$31&lt;&gt;""),Input!$B$31&amp;";",""),IF(AND($G57&lt;Hta_12,$G57&gt;=Hba_12,Input!AF$32&lt;&gt;""),Input!$B$32&amp;";",""),IF(AND($G57&lt;Hta_13,$G57&gt;=Hba_13,Input!AF$33&lt;&gt;""),Input!$B$33&amp;";",""),IF(AND($G57&lt;Hta_14,$G57&gt;=Hba_14,Input!AF$34&lt;&gt;""),Input!$B$34&amp;";",""),IF(AND($G57&lt;Hta_15,$G57&gt;=Hba_15,Input!AF$35&lt;&gt;""),Input!$B$35&amp;";",""),IF(AND($G57&lt;Hta_16,$G57&gt;=Hba_16,Input!AF$36&lt;&gt;""),Input!$B$36&amp;";",""),IF(AND($G57&lt;Hta_17,$G57&gt;=Hba_17,Input!AF$37&lt;&gt;""),Input!$B$37&amp;";",""),IF(AND($G57&lt;Hta_18,$G57&gt;=Hba_18,Input!AF$38&lt;&gt;""),Input!$B$38&amp;";",""),IF(AND($G57&lt;Hta_19,$G57&gt;=Hba_19,Input!AF$39&lt;&gt;""),Input!$B$39&amp;";",""),IF(AND($G57&lt;Hta_20,$G57&gt;=Hba_20,Input!AF$40&lt;&gt;""),Input!$B$40&amp;";",""),IF(AND($G57&lt;Hta_21,$G57&gt;=Hba_21,Input!AF$41&lt;&gt;""),Input!$B$41&amp;";",""),IF(AND($G57&lt;Hta_22,$G57&gt;=Hba_22,Input!AF$42&lt;&gt;""),Input!$B$42&amp;";",""),IF(AND($G57&lt;Hta_23,$G57&gt;=Hba_23,Input!AF$43&lt;&gt;""),Input!$B$43&amp;";",""),IF(AND($G57&lt;Hta_24,$G57&gt;=Hba_24,Input!AF$44&lt;&gt;""),Input!$B$44&amp;";",""),IF(AND($G57&lt;Hta_25,$G57&gt;=Hba_25,Input!AF$45&lt;&gt;""),Input!$B$45&amp;";",""),IF(AND($G57&lt;Hta_26,$G57&gt;=Hba_26,Input!AF$46&lt;&gt;""),Input!$B$46&amp;";",""),IF(AND($G57&lt;Hta_27,$G57&gt;=Hba_27,Input!AF$47&lt;&gt;""),Input!$B$47&amp;";",""),IF(AND($G57&lt;Hta_28,$G57&gt;=Hba_28,Input!AF$48&lt;&gt;""),Input!$B$48&amp;";",""),IF(AND($G57&lt;Hta_29,$G57&gt;=Hba_29,Input!AF$49&lt;&gt;""),Input!$B$49&amp;";",""),IF(AND($G57&lt;Hta_30,$G57&gt;=Hba_30,Input!AF$50&lt;&gt;""),Input!$B$50&amp;";","")),"")</f>
        <v/>
      </c>
      <c r="CH57" s="25" t="str">
        <f>IFERROR(CONCATENATE(IF(AND($G57&lt;Hta_1,$G57&gt;=Hba_1,Input!AG$21&lt;&gt;""),Input!$B$21&amp;";",""),IF(AND($G57&lt;Hta_2,$G57&gt;=Hba_2,Input!AG$22&lt;&gt;""),Input!$B$22&amp;";",""),IF(AND($G57&lt;Hta_3,$G57&gt;=Hba_3,Input!AG$23&lt;&gt;""),Input!$B$23&amp;";",""),IF(AND($G57&lt;Hta_4,$G57&gt;=Hba_4,Input!AG$24&lt;&gt;""),Input!$B$24&amp;";",""),IF(AND($G57&lt;Hta_5,$G57&gt;=Hba_5,Input!AG$25&lt;&gt;""),Input!$B$25&amp;";",""),IF(AND($G57&lt;Hta_6,$G57&gt;=Hba_6,Input!AG$26&lt;&gt;""),Input!$B$26&amp;";",""),IF(AND($G57&lt;Hta_7,$G57&gt;=Hba_7,Input!AG$27&lt;&gt;""),Input!$B$27&amp;";",""),IF(AND($G57&lt;Hta_8,$G57&gt;=Hba_8,Input!AG$28&lt;&gt;""),Input!$B$28&amp;";",""),IF(AND($G57&lt;Hta_9,$G57&gt;=Hba_9,Input!AG$29&lt;&gt;""),Input!$B$29&amp;";",""),IF(AND($G57&lt;Hta_10,$G57&gt;=Hba_10,Input!AG$30&lt;&gt;""),Input!$B$30&amp;";",""),IF(AND($G57&lt;Hta_11,$G57&gt;=Hba_11,Input!AG$31&lt;&gt;""),Input!$B$31&amp;";",""),IF(AND($G57&lt;Hta_12,$G57&gt;=Hba_12,Input!AG$32&lt;&gt;""),Input!$B$32&amp;";",""),IF(AND($G57&lt;Hta_13,$G57&gt;=Hba_13,Input!AG$33&lt;&gt;""),Input!$B$33&amp;";",""),IF(AND($G57&lt;Hta_14,$G57&gt;=Hba_14,Input!AG$34&lt;&gt;""),Input!$B$34&amp;";",""),IF(AND($G57&lt;Hta_15,$G57&gt;=Hba_15,Input!AG$35&lt;&gt;""),Input!$B$35&amp;";",""),IF(AND($G57&lt;Hta_16,$G57&gt;=Hba_16,Input!AG$36&lt;&gt;""),Input!$B$36&amp;";",""),IF(AND($G57&lt;Hta_17,$G57&gt;=Hba_17,Input!AG$37&lt;&gt;""),Input!$B$37&amp;";",""),IF(AND($G57&lt;Hta_18,$G57&gt;=Hba_18,Input!AG$38&lt;&gt;""),Input!$B$38&amp;";",""),IF(AND($G57&lt;Hta_19,$G57&gt;=Hba_19,Input!AG$39&lt;&gt;""),Input!$B$39&amp;";",""),IF(AND($G57&lt;Hta_20,$G57&gt;=Hba_20,Input!AG$40&lt;&gt;""),Input!$B$40&amp;";",""),IF(AND($G57&lt;Hta_21,$G57&gt;=Hba_21,Input!AG$41&lt;&gt;""),Input!$B$41&amp;";",""),IF(AND($G57&lt;Hta_22,$G57&gt;=Hba_22,Input!AG$42&lt;&gt;""),Input!$B$42&amp;";",""),IF(AND($G57&lt;Hta_23,$G57&gt;=Hba_23,Input!AG$43&lt;&gt;""),Input!$B$43&amp;";",""),IF(AND($G57&lt;Hta_24,$G57&gt;=Hba_24,Input!AG$44&lt;&gt;""),Input!$B$44&amp;";",""),IF(AND($G57&lt;Hta_25,$G57&gt;=Hba_25,Input!AG$45&lt;&gt;""),Input!$B$45&amp;";",""),IF(AND($G57&lt;Hta_26,$G57&gt;=Hba_26,Input!AG$46&lt;&gt;""),Input!$B$46&amp;";",""),IF(AND($G57&lt;Hta_27,$G57&gt;=Hba_27,Input!AG$47&lt;&gt;""),Input!$B$47&amp;";",""),IF(AND($G57&lt;Hta_28,$G57&gt;=Hba_28,Input!AG$48&lt;&gt;""),Input!$B$48&amp;";",""),IF(AND($G57&lt;Hta_29,$G57&gt;=Hba_29,Input!AG$49&lt;&gt;""),Input!$B$49&amp;";",""),IF(AND($G57&lt;Hta_30,$G57&gt;=Hba_30,Input!AG$50&lt;&gt;""),Input!$B$50&amp;";","")),"")</f>
        <v/>
      </c>
      <c r="CI57" s="25" t="str">
        <f>IFERROR(CONCATENATE(IF(AND($G57&lt;Hta_1,$G57&gt;=Hba_1,Input!AH$21&lt;&gt;""),Input!$B$21&amp;";",""),IF(AND($G57&lt;Hta_2,$G57&gt;=Hba_2,Input!AH$22&lt;&gt;""),Input!$B$22&amp;";",""),IF(AND($G57&lt;Hta_3,$G57&gt;=Hba_3,Input!AH$23&lt;&gt;""),Input!$B$23&amp;";",""),IF(AND($G57&lt;Hta_4,$G57&gt;=Hba_4,Input!AH$24&lt;&gt;""),Input!$B$24&amp;";",""),IF(AND($G57&lt;Hta_5,$G57&gt;=Hba_5,Input!AH$25&lt;&gt;""),Input!$B$25&amp;";",""),IF(AND($G57&lt;Hta_6,$G57&gt;=Hba_6,Input!AH$26&lt;&gt;""),Input!$B$26&amp;";",""),IF(AND($G57&lt;Hta_7,$G57&gt;=Hba_7,Input!AH$27&lt;&gt;""),Input!$B$27&amp;";",""),IF(AND($G57&lt;Hta_8,$G57&gt;=Hba_8,Input!AH$28&lt;&gt;""),Input!$B$28&amp;";",""),IF(AND($G57&lt;Hta_9,$G57&gt;=Hba_9,Input!AH$29&lt;&gt;""),Input!$B$29&amp;";",""),IF(AND($G57&lt;Hta_10,$G57&gt;=Hba_10,Input!AH$30&lt;&gt;""),Input!$B$30&amp;";",""),IF(AND($G57&lt;Hta_11,$G57&gt;=Hba_11,Input!AH$31&lt;&gt;""),Input!$B$31&amp;";",""),IF(AND($G57&lt;Hta_12,$G57&gt;=Hba_12,Input!AH$32&lt;&gt;""),Input!$B$32&amp;";",""),IF(AND($G57&lt;Hta_13,$G57&gt;=Hba_13,Input!AH$33&lt;&gt;""),Input!$B$33&amp;";",""),IF(AND($G57&lt;Hta_14,$G57&gt;=Hba_14,Input!AH$34&lt;&gt;""),Input!$B$34&amp;";",""),IF(AND($G57&lt;Hta_15,$G57&gt;=Hba_15,Input!AH$35&lt;&gt;""),Input!$B$35&amp;";",""),IF(AND($G57&lt;Hta_16,$G57&gt;=Hba_16,Input!AH$36&lt;&gt;""),Input!$B$36&amp;";",""),IF(AND($G57&lt;Hta_17,$G57&gt;=Hba_17,Input!AH$37&lt;&gt;""),Input!$B$37&amp;";",""),IF(AND($G57&lt;Hta_18,$G57&gt;=Hba_18,Input!AH$38&lt;&gt;""),Input!$B$38&amp;";",""),IF(AND($G57&lt;Hta_19,$G57&gt;=Hba_19,Input!AH$39&lt;&gt;""),Input!$B$39&amp;";",""),IF(AND($G57&lt;Hta_20,$G57&gt;=Hba_20,Input!AH$40&lt;&gt;""),Input!$B$40&amp;";",""),IF(AND($G57&lt;Hta_21,$G57&gt;=Hba_21,Input!AH$41&lt;&gt;""),Input!$B$41&amp;";",""),IF(AND($G57&lt;Hta_22,$G57&gt;=Hba_22,Input!AH$42&lt;&gt;""),Input!$B$42&amp;";",""),IF(AND($G57&lt;Hta_23,$G57&gt;=Hba_23,Input!AH$43&lt;&gt;""),Input!$B$43&amp;";",""),IF(AND($G57&lt;Hta_24,$G57&gt;=Hba_24,Input!AH$44&lt;&gt;""),Input!$B$44&amp;";",""),IF(AND($G57&lt;Hta_25,$G57&gt;=Hba_25,Input!AH$45&lt;&gt;""),Input!$B$45&amp;";",""),IF(AND($G57&lt;Hta_26,$G57&gt;=Hba_26,Input!AH$46&lt;&gt;""),Input!$B$46&amp;";",""),IF(AND($G57&lt;Hta_27,$G57&gt;=Hba_27,Input!AH$47&lt;&gt;""),Input!$B$47&amp;";",""),IF(AND($G57&lt;Hta_28,$G57&gt;=Hba_28,Input!AH$48&lt;&gt;""),Input!$B$48&amp;";",""),IF(AND($G57&lt;Hta_29,$G57&gt;=Hba_29,Input!AH$49&lt;&gt;""),Input!$B$49&amp;";",""),IF(AND($G57&lt;Hta_30,$G57&gt;=Hba_30,Input!AH$50&lt;&gt;""),Input!$B$50&amp;";","")),"")</f>
        <v/>
      </c>
      <c r="CJ57" s="25" t="str">
        <f>IFERROR(CONCATENATE(IF(AND($G57&lt;Hta_1,$G57&gt;=Hba_1,Input!AI$21&lt;&gt;""),Input!$B$21&amp;";",""),IF(AND($G57&lt;Hta_2,$G57&gt;=Hba_2,Input!AI$22&lt;&gt;""),Input!$B$22&amp;";",""),IF(AND($G57&lt;Hta_3,$G57&gt;=Hba_3,Input!AI$23&lt;&gt;""),Input!$B$23&amp;";",""),IF(AND($G57&lt;Hta_4,$G57&gt;=Hba_4,Input!AI$24&lt;&gt;""),Input!$B$24&amp;";",""),IF(AND($G57&lt;Hta_5,$G57&gt;=Hba_5,Input!AI$25&lt;&gt;""),Input!$B$25&amp;";",""),IF(AND($G57&lt;Hta_6,$G57&gt;=Hba_6,Input!AI$26&lt;&gt;""),Input!$B$26&amp;";",""),IF(AND($G57&lt;Hta_7,$G57&gt;=Hba_7,Input!AI$27&lt;&gt;""),Input!$B$27&amp;";",""),IF(AND($G57&lt;Hta_8,$G57&gt;=Hba_8,Input!AI$28&lt;&gt;""),Input!$B$28&amp;";",""),IF(AND($G57&lt;Hta_9,$G57&gt;=Hba_9,Input!AI$29&lt;&gt;""),Input!$B$29&amp;";",""),IF(AND($G57&lt;Hta_10,$G57&gt;=Hba_10,Input!AI$30&lt;&gt;""),Input!$B$30&amp;";",""),IF(AND($G57&lt;Hta_11,$G57&gt;=Hba_11,Input!AI$31&lt;&gt;""),Input!$B$31&amp;";",""),IF(AND($G57&lt;Hta_12,$G57&gt;=Hba_12,Input!AI$32&lt;&gt;""),Input!$B$32&amp;";",""),IF(AND($G57&lt;Hta_13,$G57&gt;=Hba_13,Input!AI$33&lt;&gt;""),Input!$B$33&amp;";",""),IF(AND($G57&lt;Hta_14,$G57&gt;=Hba_14,Input!AI$34&lt;&gt;""),Input!$B$34&amp;";",""),IF(AND($G57&lt;Hta_15,$G57&gt;=Hba_15,Input!AI$35&lt;&gt;""),Input!$B$35&amp;";",""),IF(AND($G57&lt;Hta_16,$G57&gt;=Hba_16,Input!AI$36&lt;&gt;""),Input!$B$36&amp;";",""),IF(AND($G57&lt;Hta_17,$G57&gt;=Hba_17,Input!AI$37&lt;&gt;""),Input!$B$37&amp;";",""),IF(AND($G57&lt;Hta_18,$G57&gt;=Hba_18,Input!AI$38&lt;&gt;""),Input!$B$38&amp;";",""),IF(AND($G57&lt;Hta_19,$G57&gt;=Hba_19,Input!AI$39&lt;&gt;""),Input!$B$39&amp;";",""),IF(AND($G57&lt;Hta_20,$G57&gt;=Hba_20,Input!AI$40&lt;&gt;""),Input!$B$40&amp;";",""),IF(AND($G57&lt;Hta_21,$G57&gt;=Hba_21,Input!AI$41&lt;&gt;""),Input!$B$41&amp;";",""),IF(AND($G57&lt;Hta_22,$G57&gt;=Hba_22,Input!AI$42&lt;&gt;""),Input!$B$42&amp;";",""),IF(AND($G57&lt;Hta_23,$G57&gt;=Hba_23,Input!AI$43&lt;&gt;""),Input!$B$43&amp;";",""),IF(AND($G57&lt;Hta_24,$G57&gt;=Hba_24,Input!AI$44&lt;&gt;""),Input!$B$44&amp;";",""),IF(AND($G57&lt;Hta_25,$G57&gt;=Hba_25,Input!AI$45&lt;&gt;""),Input!$B$45&amp;";",""),IF(AND($G57&lt;Hta_26,$G57&gt;=Hba_26,Input!AI$46&lt;&gt;""),Input!$B$46&amp;";",""),IF(AND($G57&lt;Hta_27,$G57&gt;=Hba_27,Input!AI$47&lt;&gt;""),Input!$B$47&amp;";",""),IF(AND($G57&lt;Hta_28,$G57&gt;=Hba_28,Input!AI$48&lt;&gt;""),Input!$B$48&amp;";",""),IF(AND($G57&lt;Hta_29,$G57&gt;=Hba_29,Input!AI$49&lt;&gt;""),Input!$B$49&amp;";",""),IF(AND($G57&lt;Hta_30,$G57&gt;=Hba_30,Input!AI$50&lt;&gt;""),Input!$B$50&amp;";","")),"")</f>
        <v/>
      </c>
      <c r="CK57" s="25" t="str">
        <f>IFERROR(CONCATENATE(IF(AND($G57&lt;Hta_1,$G57&gt;=Hba_1,Input!AJ$21&lt;&gt;""),Input!$B$21&amp;";",""),IF(AND($G57&lt;Hta_2,$G57&gt;=Hba_2,Input!AJ$22&lt;&gt;""),Input!$B$22&amp;";",""),IF(AND($G57&lt;Hta_3,$G57&gt;=Hba_3,Input!AJ$23&lt;&gt;""),Input!$B$23&amp;";",""),IF(AND($G57&lt;Hta_4,$G57&gt;=Hba_4,Input!AJ$24&lt;&gt;""),Input!$B$24&amp;";",""),IF(AND($G57&lt;Hta_5,$G57&gt;=Hba_5,Input!AJ$25&lt;&gt;""),Input!$B$25&amp;";",""),IF(AND($G57&lt;Hta_6,$G57&gt;=Hba_6,Input!AJ$26&lt;&gt;""),Input!$B$26&amp;";",""),IF(AND($G57&lt;Hta_7,$G57&gt;=Hba_7,Input!AJ$27&lt;&gt;""),Input!$B$27&amp;";",""),IF(AND($G57&lt;Hta_8,$G57&gt;=Hba_8,Input!AJ$28&lt;&gt;""),Input!$B$28&amp;";",""),IF(AND($G57&lt;Hta_9,$G57&gt;=Hba_9,Input!AJ$29&lt;&gt;""),Input!$B$29&amp;";",""),IF(AND($G57&lt;Hta_10,$G57&gt;=Hba_10,Input!AJ$30&lt;&gt;""),Input!$B$30&amp;";",""),IF(AND($G57&lt;Hta_11,$G57&gt;=Hba_11,Input!AJ$31&lt;&gt;""),Input!$B$31&amp;";",""),IF(AND($G57&lt;Hta_12,$G57&gt;=Hba_12,Input!AJ$32&lt;&gt;""),Input!$B$32&amp;";",""),IF(AND($G57&lt;Hta_13,$G57&gt;=Hba_13,Input!AJ$33&lt;&gt;""),Input!$B$33&amp;";",""),IF(AND($G57&lt;Hta_14,$G57&gt;=Hba_14,Input!AJ$34&lt;&gt;""),Input!$B$34&amp;";",""),IF(AND($G57&lt;Hta_15,$G57&gt;=Hba_15,Input!AJ$35&lt;&gt;""),Input!$B$35&amp;";",""),IF(AND($G57&lt;Hta_16,$G57&gt;=Hba_16,Input!AJ$36&lt;&gt;""),Input!$B$36&amp;";",""),IF(AND($G57&lt;Hta_17,$G57&gt;=Hba_17,Input!AJ$37&lt;&gt;""),Input!$B$37&amp;";",""),IF(AND($G57&lt;Hta_18,$G57&gt;=Hba_18,Input!AJ$38&lt;&gt;""),Input!$B$38&amp;";",""),IF(AND($G57&lt;Hta_19,$G57&gt;=Hba_19,Input!AJ$39&lt;&gt;""),Input!$B$39&amp;";",""),IF(AND($G57&lt;Hta_20,$G57&gt;=Hba_20,Input!AJ$40&lt;&gt;""),Input!$B$40&amp;";",""),IF(AND($G57&lt;Hta_21,$G57&gt;=Hba_21,Input!AJ$41&lt;&gt;""),Input!$B$41&amp;";",""),IF(AND($G57&lt;Hta_22,$G57&gt;=Hba_22,Input!AJ$42&lt;&gt;""),Input!$B$42&amp;";",""),IF(AND($G57&lt;Hta_23,$G57&gt;=Hba_23,Input!AJ$43&lt;&gt;""),Input!$B$43&amp;";",""),IF(AND($G57&lt;Hta_24,$G57&gt;=Hba_24,Input!AJ$44&lt;&gt;""),Input!$B$44&amp;";",""),IF(AND($G57&lt;Hta_25,$G57&gt;=Hba_25,Input!AJ$45&lt;&gt;""),Input!$B$45&amp;";",""),IF(AND($G57&lt;Hta_26,$G57&gt;=Hba_26,Input!AJ$46&lt;&gt;""),Input!$B$46&amp;";",""),IF(AND($G57&lt;Hta_27,$G57&gt;=Hba_27,Input!AJ$47&lt;&gt;""),Input!$B$47&amp;";",""),IF(AND($G57&lt;Hta_28,$G57&gt;=Hba_28,Input!AJ$48&lt;&gt;""),Input!$B$48&amp;";",""),IF(AND($G57&lt;Hta_29,$G57&gt;=Hba_29,Input!AJ$49&lt;&gt;""),Input!$B$49&amp;";",""),IF(AND($G57&lt;Hta_30,$G57&gt;=Hba_30,Input!AJ$50&lt;&gt;""),Input!$B$50&amp;";","")),"")</f>
        <v/>
      </c>
      <c r="CL57" s="25" t="str">
        <f>IFERROR(CONCATENATE(IF(AND($G57&lt;Hta_1,$G57&gt;=Hba_1,Input!AK$21&lt;&gt;""),Input!$B$21&amp;";",""),IF(AND($G57&lt;Hta_2,$G57&gt;=Hba_2,Input!AK$22&lt;&gt;""),Input!$B$22&amp;";",""),IF(AND($G57&lt;Hta_3,$G57&gt;=Hba_3,Input!AK$23&lt;&gt;""),Input!$B$23&amp;";",""),IF(AND($G57&lt;Hta_4,$G57&gt;=Hba_4,Input!AK$24&lt;&gt;""),Input!$B$24&amp;";",""),IF(AND($G57&lt;Hta_5,$G57&gt;=Hba_5,Input!AK$25&lt;&gt;""),Input!$B$25&amp;";",""),IF(AND($G57&lt;Hta_6,$G57&gt;=Hba_6,Input!AK$26&lt;&gt;""),Input!$B$26&amp;";",""),IF(AND($G57&lt;Hta_7,$G57&gt;=Hba_7,Input!AK$27&lt;&gt;""),Input!$B$27&amp;";",""),IF(AND($G57&lt;Hta_8,$G57&gt;=Hba_8,Input!AK$28&lt;&gt;""),Input!$B$28&amp;";",""),IF(AND($G57&lt;Hta_9,$G57&gt;=Hba_9,Input!AK$29&lt;&gt;""),Input!$B$29&amp;";",""),IF(AND($G57&lt;Hta_10,$G57&gt;=Hba_10,Input!AK$30&lt;&gt;""),Input!$B$30&amp;";",""),IF(AND($G57&lt;Hta_11,$G57&gt;=Hba_11,Input!AK$31&lt;&gt;""),Input!$B$31&amp;";",""),IF(AND($G57&lt;Hta_12,$G57&gt;=Hba_12,Input!AK$32&lt;&gt;""),Input!$B$32&amp;";",""),IF(AND($G57&lt;Hta_13,$G57&gt;=Hba_13,Input!AK$33&lt;&gt;""),Input!$B$33&amp;";",""),IF(AND($G57&lt;Hta_14,$G57&gt;=Hba_14,Input!AK$34&lt;&gt;""),Input!$B$34&amp;";",""),IF(AND($G57&lt;Hta_15,$G57&gt;=Hba_15,Input!AK$35&lt;&gt;""),Input!$B$35&amp;";",""),IF(AND($G57&lt;Hta_16,$G57&gt;=Hba_16,Input!AK$36&lt;&gt;""),Input!$B$36&amp;";",""),IF(AND($G57&lt;Hta_17,$G57&gt;=Hba_17,Input!AK$37&lt;&gt;""),Input!$B$37&amp;";",""),IF(AND($G57&lt;Hta_18,$G57&gt;=Hba_18,Input!AK$38&lt;&gt;""),Input!$B$38&amp;";",""),IF(AND($G57&lt;Hta_19,$G57&gt;=Hba_19,Input!AK$39&lt;&gt;""),Input!$B$39&amp;";",""),IF(AND($G57&lt;Hta_20,$G57&gt;=Hba_20,Input!AK$40&lt;&gt;""),Input!$B$40&amp;";",""),IF(AND($G57&lt;Hta_21,$G57&gt;=Hba_21,Input!AK$41&lt;&gt;""),Input!$B$41&amp;";",""),IF(AND($G57&lt;Hta_22,$G57&gt;=Hba_22,Input!AK$42&lt;&gt;""),Input!$B$42&amp;";",""),IF(AND($G57&lt;Hta_23,$G57&gt;=Hba_23,Input!AK$43&lt;&gt;""),Input!$B$43&amp;";",""),IF(AND($G57&lt;Hta_24,$G57&gt;=Hba_24,Input!AK$44&lt;&gt;""),Input!$B$44&amp;";",""),IF(AND($G57&lt;Hta_25,$G57&gt;=Hba_25,Input!AK$45&lt;&gt;""),Input!$B$45&amp;";",""),IF(AND($G57&lt;Hta_26,$G57&gt;=Hba_26,Input!AK$46&lt;&gt;""),Input!$B$46&amp;";",""),IF(AND($G57&lt;Hta_27,$G57&gt;=Hba_27,Input!AK$47&lt;&gt;""),Input!$B$47&amp;";",""),IF(AND($G57&lt;Hta_28,$G57&gt;=Hba_28,Input!AK$48&lt;&gt;""),Input!$B$48&amp;";",""),IF(AND($G57&lt;Hta_29,$G57&gt;=Hba_29,Input!AK$49&lt;&gt;""),Input!$B$49&amp;";",""),IF(AND($G57&lt;Hta_30,$G57&gt;=Hba_30,Input!AK$50&lt;&gt;""),Input!$B$50&amp;";","")),"")</f>
        <v/>
      </c>
      <c r="CM57" s="25" t="str">
        <f>IFERROR(CONCATENATE(IF(AND($G57&lt;Hta_1,$G57&gt;=Hba_1,Input!AL$21&lt;&gt;""),Input!$B$21&amp;";",""),IF(AND($G57&lt;Hta_2,$G57&gt;=Hba_2,Input!AL$22&lt;&gt;""),Input!$B$22&amp;";",""),IF(AND($G57&lt;Hta_3,$G57&gt;=Hba_3,Input!AL$23&lt;&gt;""),Input!$B$23&amp;";",""),IF(AND($G57&lt;Hta_4,$G57&gt;=Hba_4,Input!AL$24&lt;&gt;""),Input!$B$24&amp;";",""),IF(AND($G57&lt;Hta_5,$G57&gt;=Hba_5,Input!AL$25&lt;&gt;""),Input!$B$25&amp;";",""),IF(AND($G57&lt;Hta_6,$G57&gt;=Hba_6,Input!AL$26&lt;&gt;""),Input!$B$26&amp;";",""),IF(AND($G57&lt;Hta_7,$G57&gt;=Hba_7,Input!AL$27&lt;&gt;""),Input!$B$27&amp;";",""),IF(AND($G57&lt;Hta_8,$G57&gt;=Hba_8,Input!AL$28&lt;&gt;""),Input!$B$28&amp;";",""),IF(AND($G57&lt;Hta_9,$G57&gt;=Hba_9,Input!AL$29&lt;&gt;""),Input!$B$29&amp;";",""),IF(AND($G57&lt;Hta_10,$G57&gt;=Hba_10,Input!AL$30&lt;&gt;""),Input!$B$30&amp;";",""),IF(AND($G57&lt;Hta_11,$G57&gt;=Hba_11,Input!AL$31&lt;&gt;""),Input!$B$31&amp;";",""),IF(AND($G57&lt;Hta_12,$G57&gt;=Hba_12,Input!AL$32&lt;&gt;""),Input!$B$32&amp;";",""),IF(AND($G57&lt;Hta_13,$G57&gt;=Hba_13,Input!AL$33&lt;&gt;""),Input!$B$33&amp;";",""),IF(AND($G57&lt;Hta_14,$G57&gt;=Hba_14,Input!AL$34&lt;&gt;""),Input!$B$34&amp;";",""),IF(AND($G57&lt;Hta_15,$G57&gt;=Hba_15,Input!AL$35&lt;&gt;""),Input!$B$35&amp;";",""),IF(AND($G57&lt;Hta_16,$G57&gt;=Hba_16,Input!AL$36&lt;&gt;""),Input!$B$36&amp;";",""),IF(AND($G57&lt;Hta_17,$G57&gt;=Hba_17,Input!AL$37&lt;&gt;""),Input!$B$37&amp;";",""),IF(AND($G57&lt;Hta_18,$G57&gt;=Hba_18,Input!AL$38&lt;&gt;""),Input!$B$38&amp;";",""),IF(AND($G57&lt;Hta_19,$G57&gt;=Hba_19,Input!AL$39&lt;&gt;""),Input!$B$39&amp;";",""),IF(AND($G57&lt;Hta_20,$G57&gt;=Hba_20,Input!AL$40&lt;&gt;""),Input!$B$40&amp;";",""),IF(AND($G57&lt;Hta_21,$G57&gt;=Hba_21,Input!AL$41&lt;&gt;""),Input!$B$41&amp;";",""),IF(AND($G57&lt;Hta_22,$G57&gt;=Hba_22,Input!AL$42&lt;&gt;""),Input!$B$42&amp;";",""),IF(AND($G57&lt;Hta_23,$G57&gt;=Hba_23,Input!AL$43&lt;&gt;""),Input!$B$43&amp;";",""),IF(AND($G57&lt;Hta_24,$G57&gt;=Hba_24,Input!AL$44&lt;&gt;""),Input!$B$44&amp;";",""),IF(AND($G57&lt;Hta_25,$G57&gt;=Hba_25,Input!AL$45&lt;&gt;""),Input!$B$45&amp;";",""),IF(AND($G57&lt;Hta_26,$G57&gt;=Hba_26,Input!AL$46&lt;&gt;""),Input!$B$46&amp;";",""),IF(AND($G57&lt;Hta_27,$G57&gt;=Hba_27,Input!AL$47&lt;&gt;""),Input!$B$47&amp;";",""),IF(AND($G57&lt;Hta_28,$G57&gt;=Hba_28,Input!AL$48&lt;&gt;""),Input!$B$48&amp;";",""),IF(AND($G57&lt;Hta_29,$G57&gt;=Hba_29,Input!AL$49&lt;&gt;""),Input!$B$49&amp;";",""),IF(AND($G57&lt;Hta_30,$G57&gt;=Hba_30,Input!AL$50&lt;&gt;""),Input!$B$50&amp;";","")),"")</f>
        <v/>
      </c>
      <c r="CN57" s="60" t="str">
        <f t="shared" si="6"/>
        <v/>
      </c>
      <c r="CO57" s="798"/>
      <c r="CP57" s="799"/>
      <c r="CQ57" s="800"/>
      <c r="CR57" s="798"/>
      <c r="CS57" s="799"/>
      <c r="CT57" s="800"/>
      <c r="CU57" s="798" t="str">
        <f t="shared" si="7"/>
        <v/>
      </c>
      <c r="CV57" s="799"/>
      <c r="CW57" s="806"/>
      <c r="CX57" s="726"/>
      <c r="CY57" s="727"/>
      <c r="CZ57" s="732"/>
      <c r="DA57" s="726"/>
      <c r="DB57" s="727"/>
      <c r="DC57" s="732"/>
      <c r="DD57" s="726" t="str">
        <f t="shared" si="8"/>
        <v/>
      </c>
      <c r="DE57" s="727"/>
      <c r="DF57" s="728"/>
      <c r="DG57" s="53"/>
      <c r="DH57" s="54"/>
      <c r="DI57" s="54"/>
      <c r="DJ57" s="54"/>
      <c r="DK57" s="54"/>
      <c r="DL57" s="54"/>
      <c r="DM57" s="54"/>
      <c r="DN57" s="54"/>
      <c r="DO57" s="54"/>
      <c r="DP57" s="54"/>
      <c r="DQ57" s="57"/>
      <c r="DR57" s="57"/>
      <c r="DS57" s="57"/>
      <c r="DT57" s="57"/>
      <c r="DU57" s="57"/>
      <c r="DV57" s="57"/>
      <c r="DW57" s="57"/>
      <c r="DX57" s="57"/>
      <c r="DY57" s="57"/>
      <c r="DZ57" s="57"/>
      <c r="EA57" s="57"/>
      <c r="EB57" s="57"/>
      <c r="EC57" s="57"/>
      <c r="ED57" s="57"/>
      <c r="EE57" s="57"/>
      <c r="EF57" s="57"/>
      <c r="EG57" s="57"/>
      <c r="EH57" s="57"/>
      <c r="EI57" s="57"/>
      <c r="EJ57" s="57"/>
      <c r="EK57" s="57"/>
      <c r="EL57" s="133"/>
      <c r="EM57" s="133"/>
      <c r="EN57" s="133"/>
      <c r="EO57" s="133"/>
      <c r="EP57" s="133"/>
      <c r="EQ57" s="133"/>
      <c r="ER57" s="133"/>
      <c r="ES57" s="133"/>
      <c r="ET57" s="133"/>
      <c r="EU57" s="133"/>
      <c r="EV57" s="133"/>
      <c r="EW57" s="133"/>
      <c r="EX57" s="133"/>
      <c r="EY57" s="133"/>
      <c r="EZ57" s="133"/>
      <c r="FA57" s="133"/>
      <c r="FB57" s="133"/>
      <c r="FC57" s="133"/>
      <c r="FD57" s="133"/>
      <c r="FE57" s="133"/>
      <c r="FF57" s="133"/>
      <c r="FG57" s="133"/>
      <c r="FH57" s="133"/>
      <c r="FI57" s="133"/>
      <c r="FJ57" s="133"/>
      <c r="FK57" s="133"/>
      <c r="FL57" s="133"/>
      <c r="FM57" s="133"/>
      <c r="FN57" s="133"/>
      <c r="FO57" s="133"/>
      <c r="FQ57" s="125"/>
      <c r="FR57" s="123"/>
      <c r="FS57" s="121"/>
      <c r="FT57" s="119"/>
    </row>
    <row r="58" spans="2:176" ht="15.75" hidden="1" thickBot="1" x14ac:dyDescent="0.3">
      <c r="B58" s="62" t="b">
        <f>IF(OR(AND(G58&gt;='Geometry 2'!$AK$5,G58&lt;'Geometry 2'!$AL$5),AND(G58&gt;='Geometry 2'!$AK$6,G58&lt;'Geometry 2'!$AL$6),AND(G58&gt;='Geometry 2'!$AK$7,G58&lt;'Geometry 2'!$AL$7),AND(G58&gt;='Geometry 2'!$AK$8,G58&lt;'Geometry 2'!$AL$8),AND(G58&gt;='Geometry 2'!$AK$9,G58&lt;'Geometry 2'!$AL$9),AND(G58&gt;='Geometry 2'!$AK$10,G58&lt;'Geometry 2'!$AL$10),AND(G58&gt;='Geometry 2'!$AK$11,G58&lt;'Geometry 2'!$AL$11),AND(G58&gt;='Geometry 2'!$AK$12,G58&lt;'Geometry 2'!$AL$12),AND(G58&gt;='Geometry 2'!$AK$13,G58&lt;'Geometry 2'!$AL$13),AND(G58&gt;='Geometry 2'!$AK$14,G58&lt;'Geometry 2'!$AL$14)),TRUE,FALSE)</f>
        <v>0</v>
      </c>
      <c r="C58" s="4" t="str">
        <f t="shared" si="3"/>
        <v/>
      </c>
      <c r="D58" s="766" t="str">
        <f t="shared" si="4"/>
        <v/>
      </c>
      <c r="E58" s="767"/>
      <c r="F58" s="17" t="str">
        <f t="shared" si="2"/>
        <v/>
      </c>
      <c r="G58" s="768" t="str">
        <f>IF(D58="","",MAX(0,G57-IF(inc="n/a",999,inc),MAX(IF(G57&lt;=Hta_1,0,Hta_1),IF(G57&lt;=Hta_2,0,Hta_2),IF(G57&lt;=Hta_3,0,Hta_3),IF(G57&lt;=Hta_4,0,Hta_4),IF(G57&lt;=Hta_5,0,Hta_5),IF(G57&lt;=Hta_6,0,Hta_6),IF(G57&lt;=Hta_7,0,Hta_7),IF(G57&lt;=Hta_8,0,Hta_8),IF(G57&lt;=Hta_9,0,Hta_9),IF(G57&lt;=Hta_10,0,Hta_10),IF(G57&lt;=Hta_11,0,Hta_11),IF(G57&lt;=Hta_12,0,Hta_12),IF(G57&lt;=Hta_13,0,Hta_13),IF(G57&lt;=Hta_14,0,Hta_14),IF(G57&lt;=Hta_15,0,Hta_15),IF(G57&lt;=Hta_16,0,Hta_16),IF(G57&lt;=Hta_17,0,Hta_17),IF(G57&lt;=Hta_18,0,Hta_18),IF(G57&lt;=Hta_19,0,Hta_19),IF(G57&lt;=Hta_20,0,Hta_20),IF(G57&lt;=Hta_21,0,Hta_21),IF(G57&lt;=Hta_22,0,Hta_22),IF(G57&lt;=Hta_23,0,Hta_23),IF(G57&lt;=Hta_24,0,Hta_24),IF(G57&lt;=Hta_25,0,Hta_25),IF(G57&lt;=Hta_26,0,Hta_26),IF(G57&lt;=Hta_27,0,Hta_27),IF(G57&lt;=Hta_28,0,Hta_28),IF(G57&lt;=Hta_29,0,Hta_29),IF(G57&lt;=Hta_30,0,Hta_30)),MAX(IF(G57&lt;=Hta_1-0.25,0,Hta_1-0.25),IF(G57&lt;=Hta_2-0.25,0,Hta_2-0.25),IF(G57&lt;=Hta_3-0.25,0,Hta_3-0.25),IF(G57&lt;=Hta_4-0.25,0,Hta_4-0.25),IF(G57&lt;=Hta_5-0.25,0,Hta_5-0.25),IF(G57&lt;=Hta_6-0.25,0,Hta_6-0.25),IF(G57&lt;=Hta_7-0.25,0,Hta_7-0.25),IF(G57&lt;=Hta_8-0.25,0,Hta_8-0.25),IF(G57&lt;=Hta_9-0.25,0,Hta_9-0.25),IF(G57&lt;=Hta_10-0.25,0,Hta_10-0.25),IF(G57&lt;=Hta_11-0.25,0,Hta_11-0.25),IF(G57&lt;=Hta_12-0.25,0,Hta_12-0.25),IF(G57&lt;=Hta_13-0.25,0,Hta_13-0.25),IF(G57&lt;=Hta_14-0.25,0,Hta_14-0.25),IF(G57&lt;=Hta_15-0.25,0,Hta_15-0.25),IF(G57&lt;=Hta_16-0.25,0,Hta_16-0.25),IF(G57&lt;=Hta_17-0.25,0,Hta_17-0.25),IF(G57&lt;=Hta_18-0.25,0,Hta_18-0.25),IF(G57&lt;=Hta_19-0.25,0,Hta_19-0.25),IF(G57&lt;=Hta_20-0.25,0,Hta_20-0.25),IF(G57&lt;=Hta_21-0.25,0,Hta_21-0.25),IF(G57&lt;=Hta_22-0.25,0,Hta_22-0.25),IF(G57&lt;=Hta_23-0.25,0,Hta_23-0.25),IF(G57&lt;=Hta_24-0.25,0,Hta_24-0.25),IF(G57&lt;=Hta_25-0.25,0,Hta_25-0.25),IF(G57&lt;=Hta_26-0.25,0,Hta_26-0.25),IF(G57&lt;=Hta_27-0.25,0,Hta_27-0.25),IF(G57&lt;=Hta_28-0.25,0,Hta_28-0.25),IF(G57&lt;=Hta_29-0.25,0,Hta_29-0.25),IF(G57&lt;=Hta_30-0.25,0,Hta_30-0.25)),MAX(IF(G57&lt;=Hba_1,0,Hba_1),IF(G57&lt;=Hba_2,0,Hba_2),IF(G57&lt;=Hba_3,0,Hba_3),IF(G57&lt;=Hba_4,0,Hba_4),IF(G57&lt;=Hba_5,0,Hba_5),IF(G57&lt;=Hba_6,0,Hba_6),IF(G57&lt;=Hba_7,0,Hba_7),IF(G57&lt;=Hba_8,0,Hba_8),IF(G57&lt;=Hba_9,0,Hba_9),IF(G57&lt;=Hba_10,0,Hba_10),IF(G57&lt;=Hba_11,0,Hba_11),IF(G57&lt;=Hba_12,0,Hba_12),IF(G57&lt;=Hba_13,0,Hba_13),IF(G57&lt;=Hba_14,0,Hba_14),IF(G57&lt;=Hba_15,0,Hba_15),IF(G57&lt;=Hba_16,0,Hba_16),IF(G57&lt;=Hba_17,0,Hba_17),IF(G57&lt;=Hba_18,0,Hba_18),IF(G57&lt;=Hba_19,0,Hba_19),IF(G57&lt;=Hba_20,0,Hba_20),IF(G57&lt;=Hba_21,0,Hba_21),IF(G57&lt;=Hba_22,0,Hba_22),IF(G57&lt;=Hba_23,0,Hba_23),IF(G57&lt;=Hba_24,0,Hba_24),IF(G57&lt;=Hba_25,0,Hba_25),IF(G57&lt;=Hba_26,0,Hba_26),IF(G57&lt;=Hba_27,0,Hba_27),IF(G57&lt;=Hba_28,0,Hba_28),IF(G57&lt;=Hba_29,0,Hba_29),IF(G57&lt;=Hba_30,0,Hba_30)),MAX(IF(G57&lt;=Input!$C$8,0,Input!$C$8),IF(G57&lt;=Input!$C$9,0,Input!$C$9),IF(G57&lt;=Input!$C$10,0,Input!$C$10),IF(G57&lt;=Input!$C$11,0,Input!$C$11),IF(G57&lt;=Input!$C$12,0,Input!$C$12),IF(G57&lt;=Input!$C$13,0,Input!$C$13),IF(G57&lt;=Input!$C$14,0,Input!$C$14),IF(G57&lt;=Input!$C$15,0,Input!$C$15),IF(G57&lt;=Input!$C$16,0,Input!$C$16)),MAX(IF(G57&lt;=Hba_1-0.25,0,Hba_1-0.25),IF(G57&lt;=Hba_2-0.25,0,Hba_2-0.25),IF(G57&lt;=Hba_3-0.25,0,Hba_3-0.25),IF(G57&lt;=Hba_4-0.25,0,Hba_4-0.25),IF(G57&lt;=Hba_5-0.25,0,Hba_5-0.25),IF(G57&lt;=Hba_6-0.25,0,Hba_6-0.25),IF(G57&lt;=Hba_7-0.25,0,Hba_7-0.25),IF(G57&lt;=Hba_8-0.25,0,Hba_8-0.25),IF(G57&lt;=Hba_9-0.25,0,Hba_9-0.25),IF(G57&lt;=Hba_10-0.25,0,Hba_10-0.25),IF(G57&lt;=Hba_11-0.25,0,Hba_11-0.25),IF(G57&lt;=Hba_12-0.25,0,Hba_12-0.25),IF(G57&lt;=Hba_13-0.25,0,Hba_13-0.25),IF(G57&lt;=Hba_14-0.25,0,Hba_14-0.25),IF(G57&lt;=Hba_15-0.25,0,Hba_15-0.25),IF(G57&lt;=Hba_16-0.25,0,Hba_16-0.25),IF(G57&lt;=Hba_17-0.25,0,Hba_17-0.25),IF(G57&lt;=Hba_18-0.25,0,Hba_18-0.25),IF(G57&lt;=Hba_19-0.25,0,Hba_19-0.25),IF(G57&lt;=Hba_20-0.25,0,Hba_20-0.25),IF(G57&lt;=Hba_21-0.25,0,Hba_21-0.25),IF(G57&lt;=Hba_22-0.25,0,Hba_22-0.25),IF(G57&lt;=Hba_23-0.25,0,Hba_23-0.25),IF(G57&lt;=Hba_24-0.25,0,Hba_24-0.25),IF(G57&lt;=Hba_25-0.25,0,Hba_25-0.25),IF(G57&lt;=Hba_26-0.25,0,Hba_26-0.25),IF(G57&lt;=Hba_27-0.25,0,Hba_27-0.25),IF(G57&lt;=Hba_28-0.25,0,Hba_28-0.25),IF(G57&lt;=Hba_29-0.25,0,Hba_29-0.25),IF(G57&lt;=Hba_30-0.25,0,Hba_30-0.25)),IF(G57&lt;='Macro References'!$A$38,0,'Macro References'!$A$38)))</f>
        <v/>
      </c>
      <c r="H58" s="769"/>
      <c r="I58" s="228"/>
      <c r="J58" s="228"/>
      <c r="K58" s="228"/>
      <c r="L58" s="717" t="str">
        <f t="shared" si="10"/>
        <v/>
      </c>
      <c r="M58" s="717"/>
      <c r="N58" s="717"/>
      <c r="O58" s="717"/>
      <c r="P58" s="717" t="str">
        <f>IF(OR(G58=0,G58=""),"",IF(VLOOKUP(G58,'Geometry 2'!$C$4:$AI$14,1,TRUE)=VLOOKUP(G59,'Geometry 2'!$C$4:$AI$14,1,TRUE),"",IF(VLOOKUP(G58,'Geometry 2'!$C$4:$AI$14,33,TRUE)&lt;&gt;"n/a",MIN(G58,VLOOKUP(G58,'Geometry 2'!$C$4:$AI$14,1,TRUE))-VLOOKUP(G58,'Geometry 2'!$C$4:$AI$14,33,TRUE),"check")))</f>
        <v/>
      </c>
      <c r="Q58" s="717"/>
      <c r="R58" s="717"/>
      <c r="S58" s="717"/>
      <c r="T58" s="717" t="str">
        <f>IF($G58="","",VLOOKUP($G58,'Geometry 2'!$E$4:$AH$14,11,TRUE))</f>
        <v/>
      </c>
      <c r="U58" s="717"/>
      <c r="V58" s="717"/>
      <c r="W58" s="717"/>
      <c r="X58" s="716" t="str">
        <f>IF($G58="","",VLOOKUP($G58,'Geometry 2'!$E$4:$AJ$14,19,TRUE)-12*VLOOKUP($G58,'Geometry 2'!$E$4:$AJ$14,32,TRUE)*($D58-VLOOKUP($G58,'Geometry 2'!$E$5:$AH$14,1,TRUE)))</f>
        <v/>
      </c>
      <c r="Y58" s="716"/>
      <c r="Z58" s="716"/>
      <c r="AA58" s="716"/>
      <c r="AB58" s="757" t="str">
        <f>IF($G58="","",VLOOKUP($G58,'Geometry 2'!$E$4:$AJ$14,19,TRUE)-12*VLOOKUP($G58,'Geometry 2'!$E$4:$AJ$14,32,TRUE)*($G58-VLOOKUP($G58,'Geometry 2'!$E$5:$AH$14,1,TRUE)))</f>
        <v/>
      </c>
      <c r="AC58" s="758"/>
      <c r="AD58" s="758"/>
      <c r="AE58" s="759"/>
      <c r="AF58" s="716" t="str">
        <f>IF($G58="","",VLOOKUP($G58,'Geometry 2'!$E$4:$AJ$14,19,TRUE)-12*VLOOKUP($G58,'Geometry 2'!$E$4:$AJ$14,32,TRUE)*($G58-IF($P58="",0,$P58)-VLOOKUP($G58,'Geometry 2'!$E$5:$AH$14,1,TRUE)))</f>
        <v/>
      </c>
      <c r="AG58" s="716"/>
      <c r="AH58" s="716"/>
      <c r="AI58" s="716"/>
      <c r="AJ58" s="746" t="str">
        <f>IF($G58="","",VLOOKUP($G58,'Geometry 2'!$E$4:$AH$14,23,TRUE))</f>
        <v/>
      </c>
      <c r="AK58" s="747"/>
      <c r="AL58" s="747"/>
      <c r="AM58" s="748"/>
      <c r="AN58" s="717"/>
      <c r="AO58" s="717"/>
      <c r="AP58" s="717"/>
      <c r="AQ58" s="717"/>
      <c r="AR58" s="717" t="str">
        <f>IF($G58="","",VLOOKUP($G58,'Geometry 2'!$E$4:$AH$14,27,TRUE))</f>
        <v/>
      </c>
      <c r="AS58" s="717"/>
      <c r="AT58" s="717"/>
      <c r="AU58" s="718"/>
      <c r="AV58" s="715"/>
      <c r="AW58" s="716"/>
      <c r="AX58" s="716"/>
      <c r="AZ58" s="722" t="str">
        <f t="shared" si="5"/>
        <v/>
      </c>
      <c r="BA58" s="723"/>
      <c r="BB58" s="723"/>
      <c r="BC58" s="724"/>
      <c r="BD58" s="722"/>
      <c r="BE58" s="723"/>
      <c r="BF58" s="723"/>
      <c r="BG58" s="722" t="str">
        <f t="shared" si="9"/>
        <v/>
      </c>
      <c r="BH58" s="723"/>
      <c r="BI58" s="723"/>
      <c r="BJ58" s="723"/>
      <c r="BK58" s="724"/>
      <c r="BL58" s="722"/>
      <c r="BM58" s="723"/>
      <c r="BN58" s="723"/>
      <c r="BO58" s="723"/>
      <c r="BP58" s="725"/>
      <c r="BQ58" s="725"/>
      <c r="BR58" s="722" t="str">
        <f>IF(BP58="","",IF(OR(AND(Rev="H",Calculations!$F$27=TRUE),AND(Rev&lt;&gt;"H",Calculations!$F$30=TRUE)),IF(BP58&lt;=1,"Pass","Fail"),IF(BP58&lt;=1.05,"Pass","Fail")))</f>
        <v/>
      </c>
      <c r="BS58" s="723"/>
      <c r="BT58" s="724"/>
      <c r="BU58" s="49"/>
      <c r="BV58" s="25" t="str">
        <f>IFERROR(CONCATENATE(IF(AND($G58&lt;Hta_1,$G58&gt;=Hba_1,Input!U$21&lt;&gt;""),Input!$B$21&amp;";",""),IF(AND($G58&lt;Hta_2,$G58&gt;=Hba_2,Input!U$22&lt;&gt;""),Input!$B$22&amp;";",""),IF(AND($G58&lt;Hta_3,$G58&gt;=Hba_3,Input!U$23&lt;&gt;""),Input!$B$23&amp;";",""),IF(AND($G58&lt;Hta_4,$G58&gt;=Hba_4,Input!U$24&lt;&gt;""),Input!$B$24&amp;";",""),IF(AND($G58&lt;Hta_5,$G58&gt;=Hba_5,Input!U$25&lt;&gt;""),Input!$B$25&amp;";",""),IF(AND($G58&lt;Hta_6,$G58&gt;=Hba_6,Input!U$26&lt;&gt;""),Input!$B$26&amp;";",""),IF(AND($G58&lt;Hta_7,$G58&gt;=Hba_7,Input!U$27&lt;&gt;""),Input!$B$27&amp;";",""),IF(AND($G58&lt;Hta_8,$G58&gt;=Hba_8,Input!U$28&lt;&gt;""),Input!$B$28&amp;";",""),IF(AND($G58&lt;Hta_9,$G58&gt;=Hba_9,Input!U$29&lt;&gt;""),Input!$B$29&amp;";",""),IF(AND($G58&lt;Hta_10,$G58&gt;=Hba_10,Input!U$30&lt;&gt;""),Input!$B$30&amp;";",""),IF(AND($G58&lt;Hta_11,$G58&gt;=Hba_11,Input!U$31&lt;&gt;""),Input!$B$31&amp;";",""),IF(AND($G58&lt;Hta_12,$G58&gt;=Hba_12,Input!U$32&lt;&gt;""),Input!$B$32&amp;";",""),IF(AND($G58&lt;Hta_13,$G58&gt;=Hba_13,Input!U$33&lt;&gt;""),Input!$B$33&amp;";",""),IF(AND($G58&lt;Hta_14,$G58&gt;=Hba_14,Input!U$34&lt;&gt;""),Input!$B$34&amp;";",""),IF(AND($G58&lt;Hta_15,$G58&gt;=Hba_15,Input!U$35&lt;&gt;""),Input!$B$35&amp;";",""),IF(AND($G58&lt;Hta_16,$G58&gt;=Hba_16,Input!U$36&lt;&gt;""),Input!$B$36&amp;";",""),IF(AND($G58&lt;Hta_17,$G58&gt;=Hba_17,Input!U$37&lt;&gt;""),Input!$B$37&amp;";",""),IF(AND($G58&lt;Hta_18,$G58&gt;=Hba_18,Input!U$38&lt;&gt;""),Input!$B$38&amp;";",""),IF(AND($G58&lt;Hta_19,$G58&gt;=Hba_19,Input!U$39&lt;&gt;""),Input!$B$39&amp;";",""),IF(AND($G58&lt;Hta_20,$G58&gt;=Hba_20,Input!U$40&lt;&gt;""),Input!$B$40&amp;";",""),IF(AND($G58&lt;Hta_21,$G58&gt;=Hba_21,Input!U$41&lt;&gt;""),Input!$B$41&amp;";",""),IF(AND($G58&lt;Hta_22,$G58&gt;=Hba_22,Input!U$42&lt;&gt;""),Input!$B$42&amp;";",""),IF(AND($G58&lt;Hta_23,$G58&gt;=Hba_23,Input!U$43&lt;&gt;""),Input!$B$43&amp;";",""),IF(AND($G58&lt;Hta_24,$G58&gt;=Hba_24,Input!U$44&lt;&gt;""),Input!$B$44&amp;";",""),IF(AND($G58&lt;Hta_25,$G58&gt;=Hba_25,Input!U$45&lt;&gt;""),Input!$B$45&amp;";",""),IF(AND($G58&lt;Hta_26,$G58&gt;=Hba_26,Input!U$46&lt;&gt;""),Input!$B$46&amp;";",""),IF(AND($G58&lt;Hta_27,$G58&gt;=Hba_27,Input!U$47&lt;&gt;""),Input!$B$47&amp;";",""),IF(AND($G58&lt;Hta_28,$G58&gt;=Hba_28,Input!U$48&lt;&gt;""),Input!$B$48&amp;";",""),IF(AND($G58&lt;Hta_29,$G58&gt;=Hba_29,Input!U$49&lt;&gt;""),Input!$B$49&amp;";",""),IF(AND($G58&lt;Hta_30,$G58&gt;=Hba_30,Input!U$50&lt;&gt;""),Input!$B$50&amp;";","")),"")</f>
        <v/>
      </c>
      <c r="BW58" s="25" t="str">
        <f>IFERROR(CONCATENATE(IF(AND($G58&lt;Hta_1,$G58&gt;=Hba_1,Input!V$21&lt;&gt;""),Input!$B$21&amp;";",""),IF(AND($G58&lt;Hta_2,$G58&gt;=Hba_2,Input!V$22&lt;&gt;""),Input!$B$22&amp;";",""),IF(AND($G58&lt;Hta_3,$G58&gt;=Hba_3,Input!V$23&lt;&gt;""),Input!$B$23&amp;";",""),IF(AND($G58&lt;Hta_4,$G58&gt;=Hba_4,Input!V$24&lt;&gt;""),Input!$B$24&amp;";",""),IF(AND($G58&lt;Hta_5,$G58&gt;=Hba_5,Input!V$25&lt;&gt;""),Input!$B$25&amp;";",""),IF(AND($G58&lt;Hta_6,$G58&gt;=Hba_6,Input!V$26&lt;&gt;""),Input!$B$26&amp;";",""),IF(AND($G58&lt;Hta_7,$G58&gt;=Hba_7,Input!V$27&lt;&gt;""),Input!$B$27&amp;";",""),IF(AND($G58&lt;Hta_8,$G58&gt;=Hba_8,Input!V$28&lt;&gt;""),Input!$B$28&amp;";",""),IF(AND($G58&lt;Hta_9,$G58&gt;=Hba_9,Input!V$29&lt;&gt;""),Input!$B$29&amp;";",""),IF(AND($G58&lt;Hta_10,$G58&gt;=Hba_10,Input!V$30&lt;&gt;""),Input!$B$30&amp;";",""),IF(AND($G58&lt;Hta_11,$G58&gt;=Hba_11,Input!V$31&lt;&gt;""),Input!$B$31&amp;";",""),IF(AND($G58&lt;Hta_12,$G58&gt;=Hba_12,Input!V$32&lt;&gt;""),Input!$B$32&amp;";",""),IF(AND($G58&lt;Hta_13,$G58&gt;=Hba_13,Input!V$33&lt;&gt;""),Input!$B$33&amp;";",""),IF(AND($G58&lt;Hta_14,$G58&gt;=Hba_14,Input!V$34&lt;&gt;""),Input!$B$34&amp;";",""),IF(AND($G58&lt;Hta_15,$G58&gt;=Hba_15,Input!V$35&lt;&gt;""),Input!$B$35&amp;";",""),IF(AND($G58&lt;Hta_16,$G58&gt;=Hba_16,Input!V$36&lt;&gt;""),Input!$B$36&amp;";",""),IF(AND($G58&lt;Hta_17,$G58&gt;=Hba_17,Input!V$37&lt;&gt;""),Input!$B$37&amp;";",""),IF(AND($G58&lt;Hta_18,$G58&gt;=Hba_18,Input!V$38&lt;&gt;""),Input!$B$38&amp;";",""),IF(AND($G58&lt;Hta_19,$G58&gt;=Hba_19,Input!V$39&lt;&gt;""),Input!$B$39&amp;";",""),IF(AND($G58&lt;Hta_20,$G58&gt;=Hba_20,Input!V$40&lt;&gt;""),Input!$B$40&amp;";",""),IF(AND($G58&lt;Hta_21,$G58&gt;=Hba_21,Input!V$41&lt;&gt;""),Input!$B$41&amp;";",""),IF(AND($G58&lt;Hta_22,$G58&gt;=Hba_22,Input!V$42&lt;&gt;""),Input!$B$42&amp;";",""),IF(AND($G58&lt;Hta_23,$G58&gt;=Hba_23,Input!V$43&lt;&gt;""),Input!$B$43&amp;";",""),IF(AND($G58&lt;Hta_24,$G58&gt;=Hba_24,Input!V$44&lt;&gt;""),Input!$B$44&amp;";",""),IF(AND($G58&lt;Hta_25,$G58&gt;=Hba_25,Input!V$45&lt;&gt;""),Input!$B$45&amp;";",""),IF(AND($G58&lt;Hta_26,$G58&gt;=Hba_26,Input!V$46&lt;&gt;""),Input!$B$46&amp;";",""),IF(AND($G58&lt;Hta_27,$G58&gt;=Hba_27,Input!V$47&lt;&gt;""),Input!$B$47&amp;";",""),IF(AND($G58&lt;Hta_28,$G58&gt;=Hba_28,Input!V$48&lt;&gt;""),Input!$B$48&amp;";",""),IF(AND($G58&lt;Hta_29,$G58&gt;=Hba_29,Input!V$49&lt;&gt;""),Input!$B$49&amp;";",""),IF(AND($G58&lt;Hta_30,$G58&gt;=Hba_30,Input!V$50&lt;&gt;""),Input!$B$50&amp;";","")),"")</f>
        <v/>
      </c>
      <c r="BX58" s="25" t="str">
        <f>IFERROR(CONCATENATE(IF(AND($G58&lt;Hta_1,$G58&gt;=Hba_1,Input!W$21&lt;&gt;""),Input!$B$21&amp;";",""),IF(AND($G58&lt;Hta_2,$G58&gt;=Hba_2,Input!W$22&lt;&gt;""),Input!$B$22&amp;";",""),IF(AND($G58&lt;Hta_3,$G58&gt;=Hba_3,Input!W$23&lt;&gt;""),Input!$B$23&amp;";",""),IF(AND($G58&lt;Hta_4,$G58&gt;=Hba_4,Input!W$24&lt;&gt;""),Input!$B$24&amp;";",""),IF(AND($G58&lt;Hta_5,$G58&gt;=Hba_5,Input!W$25&lt;&gt;""),Input!$B$25&amp;";",""),IF(AND($G58&lt;Hta_6,$G58&gt;=Hba_6,Input!W$26&lt;&gt;""),Input!$B$26&amp;";",""),IF(AND($G58&lt;Hta_7,$G58&gt;=Hba_7,Input!W$27&lt;&gt;""),Input!$B$27&amp;";",""),IF(AND($G58&lt;Hta_8,$G58&gt;=Hba_8,Input!W$28&lt;&gt;""),Input!$B$28&amp;";",""),IF(AND($G58&lt;Hta_9,$G58&gt;=Hba_9,Input!W$29&lt;&gt;""),Input!$B$29&amp;";",""),IF(AND($G58&lt;Hta_10,$G58&gt;=Hba_10,Input!W$30&lt;&gt;""),Input!$B$30&amp;";",""),IF(AND($G58&lt;Hta_11,$G58&gt;=Hba_11,Input!W$31&lt;&gt;""),Input!$B$31&amp;";",""),IF(AND($G58&lt;Hta_12,$G58&gt;=Hba_12,Input!W$32&lt;&gt;""),Input!$B$32&amp;";",""),IF(AND($G58&lt;Hta_13,$G58&gt;=Hba_13,Input!W$33&lt;&gt;""),Input!$B$33&amp;";",""),IF(AND($G58&lt;Hta_14,$G58&gt;=Hba_14,Input!W$34&lt;&gt;""),Input!$B$34&amp;";",""),IF(AND($G58&lt;Hta_15,$G58&gt;=Hba_15,Input!W$35&lt;&gt;""),Input!$B$35&amp;";",""),IF(AND($G58&lt;Hta_16,$G58&gt;=Hba_16,Input!W$36&lt;&gt;""),Input!$B$36&amp;";",""),IF(AND($G58&lt;Hta_17,$G58&gt;=Hba_17,Input!W$37&lt;&gt;""),Input!$B$37&amp;";",""),IF(AND($G58&lt;Hta_18,$G58&gt;=Hba_18,Input!W$38&lt;&gt;""),Input!$B$38&amp;";",""),IF(AND($G58&lt;Hta_19,$G58&gt;=Hba_19,Input!W$39&lt;&gt;""),Input!$B$39&amp;";",""),IF(AND($G58&lt;Hta_20,$G58&gt;=Hba_20,Input!W$40&lt;&gt;""),Input!$B$40&amp;";",""),IF(AND($G58&lt;Hta_21,$G58&gt;=Hba_21,Input!W$41&lt;&gt;""),Input!$B$41&amp;";",""),IF(AND($G58&lt;Hta_22,$G58&gt;=Hba_22,Input!W$42&lt;&gt;""),Input!$B$42&amp;";",""),IF(AND($G58&lt;Hta_23,$G58&gt;=Hba_23,Input!W$43&lt;&gt;""),Input!$B$43&amp;";",""),IF(AND($G58&lt;Hta_24,$G58&gt;=Hba_24,Input!W$44&lt;&gt;""),Input!$B$44&amp;";",""),IF(AND($G58&lt;Hta_25,$G58&gt;=Hba_25,Input!W$45&lt;&gt;""),Input!$B$45&amp;";",""),IF(AND($G58&lt;Hta_26,$G58&gt;=Hba_26,Input!W$46&lt;&gt;""),Input!$B$46&amp;";",""),IF(AND($G58&lt;Hta_27,$G58&gt;=Hba_27,Input!W$47&lt;&gt;""),Input!$B$47&amp;";",""),IF(AND($G58&lt;Hta_28,$G58&gt;=Hba_28,Input!W$48&lt;&gt;""),Input!$B$48&amp;";",""),IF(AND($G58&lt;Hta_29,$G58&gt;=Hba_29,Input!W$49&lt;&gt;""),Input!$B$49&amp;";",""),IF(AND($G58&lt;Hta_30,$G58&gt;=Hba_30,Input!W$50&lt;&gt;""),Input!$B$50&amp;";","")),"")</f>
        <v/>
      </c>
      <c r="BY58" s="25" t="str">
        <f>IFERROR(CONCATENATE(IF(AND($G58&lt;Hta_1,$G58&gt;=Hba_1,Input!X$21&lt;&gt;""),Input!$B$21&amp;";",""),IF(AND($G58&lt;Hta_2,$G58&gt;=Hba_2,Input!X$22&lt;&gt;""),Input!$B$22&amp;";",""),IF(AND($G58&lt;Hta_3,$G58&gt;=Hba_3,Input!X$23&lt;&gt;""),Input!$B$23&amp;";",""),IF(AND($G58&lt;Hta_4,$G58&gt;=Hba_4,Input!X$24&lt;&gt;""),Input!$B$24&amp;";",""),IF(AND($G58&lt;Hta_5,$G58&gt;=Hba_5,Input!X$25&lt;&gt;""),Input!$B$25&amp;";",""),IF(AND($G58&lt;Hta_6,$G58&gt;=Hba_6,Input!X$26&lt;&gt;""),Input!$B$26&amp;";",""),IF(AND($G58&lt;Hta_7,$G58&gt;=Hba_7,Input!X$27&lt;&gt;""),Input!$B$27&amp;";",""),IF(AND($G58&lt;Hta_8,$G58&gt;=Hba_8,Input!X$28&lt;&gt;""),Input!$B$28&amp;";",""),IF(AND($G58&lt;Hta_9,$G58&gt;=Hba_9,Input!X$29&lt;&gt;""),Input!$B$29&amp;";",""),IF(AND($G58&lt;Hta_10,$G58&gt;=Hba_10,Input!X$30&lt;&gt;""),Input!$B$30&amp;";",""),IF(AND($G58&lt;Hta_11,$G58&gt;=Hba_11,Input!X$31&lt;&gt;""),Input!$B$31&amp;";",""),IF(AND($G58&lt;Hta_12,$G58&gt;=Hba_12,Input!X$32&lt;&gt;""),Input!$B$32&amp;";",""),IF(AND($G58&lt;Hta_13,$G58&gt;=Hba_13,Input!X$33&lt;&gt;""),Input!$B$33&amp;";",""),IF(AND($G58&lt;Hta_14,$G58&gt;=Hba_14,Input!X$34&lt;&gt;""),Input!$B$34&amp;";",""),IF(AND($G58&lt;Hta_15,$G58&gt;=Hba_15,Input!X$35&lt;&gt;""),Input!$B$35&amp;";",""),IF(AND($G58&lt;Hta_16,$G58&gt;=Hba_16,Input!X$36&lt;&gt;""),Input!$B$36&amp;";",""),IF(AND($G58&lt;Hta_17,$G58&gt;=Hba_17,Input!X$37&lt;&gt;""),Input!$B$37&amp;";",""),IF(AND($G58&lt;Hta_18,$G58&gt;=Hba_18,Input!X$38&lt;&gt;""),Input!$B$38&amp;";",""),IF(AND($G58&lt;Hta_19,$G58&gt;=Hba_19,Input!X$39&lt;&gt;""),Input!$B$39&amp;";",""),IF(AND($G58&lt;Hta_20,$G58&gt;=Hba_20,Input!X$40&lt;&gt;""),Input!$B$40&amp;";",""),IF(AND($G58&lt;Hta_21,$G58&gt;=Hba_21,Input!X$41&lt;&gt;""),Input!$B$41&amp;";",""),IF(AND($G58&lt;Hta_22,$G58&gt;=Hba_22,Input!X$42&lt;&gt;""),Input!$B$42&amp;";",""),IF(AND($G58&lt;Hta_23,$G58&gt;=Hba_23,Input!X$43&lt;&gt;""),Input!$B$43&amp;";",""),IF(AND($G58&lt;Hta_24,$G58&gt;=Hba_24,Input!X$44&lt;&gt;""),Input!$B$44&amp;";",""),IF(AND($G58&lt;Hta_25,$G58&gt;=Hba_25,Input!X$45&lt;&gt;""),Input!$B$45&amp;";",""),IF(AND($G58&lt;Hta_26,$G58&gt;=Hba_26,Input!X$46&lt;&gt;""),Input!$B$46&amp;";",""),IF(AND($G58&lt;Hta_27,$G58&gt;=Hba_27,Input!X$47&lt;&gt;""),Input!$B$47&amp;";",""),IF(AND($G58&lt;Hta_28,$G58&gt;=Hba_28,Input!X$48&lt;&gt;""),Input!$B$48&amp;";",""),IF(AND($G58&lt;Hta_29,$G58&gt;=Hba_29,Input!X$49&lt;&gt;""),Input!$B$49&amp;";",""),IF(AND($G58&lt;Hta_30,$G58&gt;=Hba_30,Input!X$50&lt;&gt;""),Input!$B$50&amp;";","")),"")</f>
        <v/>
      </c>
      <c r="BZ58" s="25" t="str">
        <f>IFERROR(CONCATENATE(IF(AND($G58&lt;Hta_1,$G58&gt;=Hba_1,Input!Y$21&lt;&gt;""),Input!$B$21&amp;";",""),IF(AND($G58&lt;Hta_2,$G58&gt;=Hba_2,Input!Y$22&lt;&gt;""),Input!$B$22&amp;";",""),IF(AND($G58&lt;Hta_3,$G58&gt;=Hba_3,Input!Y$23&lt;&gt;""),Input!$B$23&amp;";",""),IF(AND($G58&lt;Hta_4,$G58&gt;=Hba_4,Input!Y$24&lt;&gt;""),Input!$B$24&amp;";",""),IF(AND($G58&lt;Hta_5,$G58&gt;=Hba_5,Input!Y$25&lt;&gt;""),Input!$B$25&amp;";",""),IF(AND($G58&lt;Hta_6,$G58&gt;=Hba_6,Input!Y$26&lt;&gt;""),Input!$B$26&amp;";",""),IF(AND($G58&lt;Hta_7,$G58&gt;=Hba_7,Input!Y$27&lt;&gt;""),Input!$B$27&amp;";",""),IF(AND($G58&lt;Hta_8,$G58&gt;=Hba_8,Input!Y$28&lt;&gt;""),Input!$B$28&amp;";",""),IF(AND($G58&lt;Hta_9,$G58&gt;=Hba_9,Input!Y$29&lt;&gt;""),Input!$B$29&amp;";",""),IF(AND($G58&lt;Hta_10,$G58&gt;=Hba_10,Input!Y$30&lt;&gt;""),Input!$B$30&amp;";",""),IF(AND($G58&lt;Hta_11,$G58&gt;=Hba_11,Input!Y$31&lt;&gt;""),Input!$B$31&amp;";",""),IF(AND($G58&lt;Hta_12,$G58&gt;=Hba_12,Input!Y$32&lt;&gt;""),Input!$B$32&amp;";",""),IF(AND($G58&lt;Hta_13,$G58&gt;=Hba_13,Input!Y$33&lt;&gt;""),Input!$B$33&amp;";",""),IF(AND($G58&lt;Hta_14,$G58&gt;=Hba_14,Input!Y$34&lt;&gt;""),Input!$B$34&amp;";",""),IF(AND($G58&lt;Hta_15,$G58&gt;=Hba_15,Input!Y$35&lt;&gt;""),Input!$B$35&amp;";",""),IF(AND($G58&lt;Hta_16,$G58&gt;=Hba_16,Input!Y$36&lt;&gt;""),Input!$B$36&amp;";",""),IF(AND($G58&lt;Hta_17,$G58&gt;=Hba_17,Input!Y$37&lt;&gt;""),Input!$B$37&amp;";",""),IF(AND($G58&lt;Hta_18,$G58&gt;=Hba_18,Input!Y$38&lt;&gt;""),Input!$B$38&amp;";",""),IF(AND($G58&lt;Hta_19,$G58&gt;=Hba_19,Input!Y$39&lt;&gt;""),Input!$B$39&amp;";",""),IF(AND($G58&lt;Hta_20,$G58&gt;=Hba_20,Input!Y$40&lt;&gt;""),Input!$B$40&amp;";",""),IF(AND($G58&lt;Hta_21,$G58&gt;=Hba_21,Input!Y$41&lt;&gt;""),Input!$B$41&amp;";",""),IF(AND($G58&lt;Hta_22,$G58&gt;=Hba_22,Input!Y$42&lt;&gt;""),Input!$B$42&amp;";",""),IF(AND($G58&lt;Hta_23,$G58&gt;=Hba_23,Input!Y$43&lt;&gt;""),Input!$B$43&amp;";",""),IF(AND($G58&lt;Hta_24,$G58&gt;=Hba_24,Input!Y$44&lt;&gt;""),Input!$B$44&amp;";",""),IF(AND($G58&lt;Hta_25,$G58&gt;=Hba_25,Input!Y$45&lt;&gt;""),Input!$B$45&amp;";",""),IF(AND($G58&lt;Hta_26,$G58&gt;=Hba_26,Input!Y$46&lt;&gt;""),Input!$B$46&amp;";",""),IF(AND($G58&lt;Hta_27,$G58&gt;=Hba_27,Input!Y$47&lt;&gt;""),Input!$B$47&amp;";",""),IF(AND($G58&lt;Hta_28,$G58&gt;=Hba_28,Input!Y$48&lt;&gt;""),Input!$B$48&amp;";",""),IF(AND($G58&lt;Hta_29,$G58&gt;=Hba_29,Input!Y$49&lt;&gt;""),Input!$B$49&amp;";",""),IF(AND($G58&lt;Hta_30,$G58&gt;=Hba_30,Input!Y$50&lt;&gt;""),Input!$B$50&amp;";","")),"")</f>
        <v/>
      </c>
      <c r="CA58" s="25" t="str">
        <f>IFERROR(CONCATENATE(IF(AND($G58&lt;Hta_1,$G58&gt;=Hba_1,Input!Z$21&lt;&gt;""),Input!$B$21&amp;";",""),IF(AND($G58&lt;Hta_2,$G58&gt;=Hba_2,Input!Z$22&lt;&gt;""),Input!$B$22&amp;";",""),IF(AND($G58&lt;Hta_3,$G58&gt;=Hba_3,Input!Z$23&lt;&gt;""),Input!$B$23&amp;";",""),IF(AND($G58&lt;Hta_4,$G58&gt;=Hba_4,Input!Z$24&lt;&gt;""),Input!$B$24&amp;";",""),IF(AND($G58&lt;Hta_5,$G58&gt;=Hba_5,Input!Z$25&lt;&gt;""),Input!$B$25&amp;";",""),IF(AND($G58&lt;Hta_6,$G58&gt;=Hba_6,Input!Z$26&lt;&gt;""),Input!$B$26&amp;";",""),IF(AND($G58&lt;Hta_7,$G58&gt;=Hba_7,Input!Z$27&lt;&gt;""),Input!$B$27&amp;";",""),IF(AND($G58&lt;Hta_8,$G58&gt;=Hba_8,Input!Z$28&lt;&gt;""),Input!$B$28&amp;";",""),IF(AND($G58&lt;Hta_9,$G58&gt;=Hba_9,Input!Z$29&lt;&gt;""),Input!$B$29&amp;";",""),IF(AND($G58&lt;Hta_10,$G58&gt;=Hba_10,Input!Z$30&lt;&gt;""),Input!$B$30&amp;";",""),IF(AND($G58&lt;Hta_11,$G58&gt;=Hba_11,Input!Z$31&lt;&gt;""),Input!$B$31&amp;";",""),IF(AND($G58&lt;Hta_12,$G58&gt;=Hba_12,Input!Z$32&lt;&gt;""),Input!$B$32&amp;";",""),IF(AND($G58&lt;Hta_13,$G58&gt;=Hba_13,Input!Z$33&lt;&gt;""),Input!$B$33&amp;";",""),IF(AND($G58&lt;Hta_14,$G58&gt;=Hba_14,Input!Z$34&lt;&gt;""),Input!$B$34&amp;";",""),IF(AND($G58&lt;Hta_15,$G58&gt;=Hba_15,Input!Z$35&lt;&gt;""),Input!$B$35&amp;";",""),IF(AND($G58&lt;Hta_16,$G58&gt;=Hba_16,Input!Z$36&lt;&gt;""),Input!$B$36&amp;";",""),IF(AND($G58&lt;Hta_17,$G58&gt;=Hba_17,Input!Z$37&lt;&gt;""),Input!$B$37&amp;";",""),IF(AND($G58&lt;Hta_18,$G58&gt;=Hba_18,Input!Z$38&lt;&gt;""),Input!$B$38&amp;";",""),IF(AND($G58&lt;Hta_19,$G58&gt;=Hba_19,Input!Z$39&lt;&gt;""),Input!$B$39&amp;";",""),IF(AND($G58&lt;Hta_20,$G58&gt;=Hba_20,Input!Z$40&lt;&gt;""),Input!$B$40&amp;";",""),IF(AND($G58&lt;Hta_21,$G58&gt;=Hba_21,Input!Z$41&lt;&gt;""),Input!$B$41&amp;";",""),IF(AND($G58&lt;Hta_22,$G58&gt;=Hba_22,Input!Z$42&lt;&gt;""),Input!$B$42&amp;";",""),IF(AND($G58&lt;Hta_23,$G58&gt;=Hba_23,Input!Z$43&lt;&gt;""),Input!$B$43&amp;";",""),IF(AND($G58&lt;Hta_24,$G58&gt;=Hba_24,Input!Z$44&lt;&gt;""),Input!$B$44&amp;";",""),IF(AND($G58&lt;Hta_25,$G58&gt;=Hba_25,Input!Z$45&lt;&gt;""),Input!$B$45&amp;";",""),IF(AND($G58&lt;Hta_26,$G58&gt;=Hba_26,Input!Z$46&lt;&gt;""),Input!$B$46&amp;";",""),IF(AND($G58&lt;Hta_27,$G58&gt;=Hba_27,Input!Z$47&lt;&gt;""),Input!$B$47&amp;";",""),IF(AND($G58&lt;Hta_28,$G58&gt;=Hba_28,Input!Z$48&lt;&gt;""),Input!$B$48&amp;";",""),IF(AND($G58&lt;Hta_29,$G58&gt;=Hba_29,Input!Z$49&lt;&gt;""),Input!$B$49&amp;";",""),IF(AND($G58&lt;Hta_30,$G58&gt;=Hba_30,Input!Z$50&lt;&gt;""),Input!$B$50&amp;";","")),"")</f>
        <v/>
      </c>
      <c r="CB58" s="25" t="str">
        <f>IFERROR(CONCATENATE(IF(AND($G58&lt;Hta_1,$G58&gt;=Hba_1,Input!AA$21&lt;&gt;""),Input!$B$21&amp;";",""),IF(AND($G58&lt;Hta_2,$G58&gt;=Hba_2,Input!AA$22&lt;&gt;""),Input!$B$22&amp;";",""),IF(AND($G58&lt;Hta_3,$G58&gt;=Hba_3,Input!AA$23&lt;&gt;""),Input!$B$23&amp;";",""),IF(AND($G58&lt;Hta_4,$G58&gt;=Hba_4,Input!AA$24&lt;&gt;""),Input!$B$24&amp;";",""),IF(AND($G58&lt;Hta_5,$G58&gt;=Hba_5,Input!AA$25&lt;&gt;""),Input!$B$25&amp;";",""),IF(AND($G58&lt;Hta_6,$G58&gt;=Hba_6,Input!AA$26&lt;&gt;""),Input!$B$26&amp;";",""),IF(AND($G58&lt;Hta_7,$G58&gt;=Hba_7,Input!AA$27&lt;&gt;""),Input!$B$27&amp;";",""),IF(AND($G58&lt;Hta_8,$G58&gt;=Hba_8,Input!AA$28&lt;&gt;""),Input!$B$28&amp;";",""),IF(AND($G58&lt;Hta_9,$G58&gt;=Hba_9,Input!AA$29&lt;&gt;""),Input!$B$29&amp;";",""),IF(AND($G58&lt;Hta_10,$G58&gt;=Hba_10,Input!AA$30&lt;&gt;""),Input!$B$30&amp;";",""),IF(AND($G58&lt;Hta_11,$G58&gt;=Hba_11,Input!AA$31&lt;&gt;""),Input!$B$31&amp;";",""),IF(AND($G58&lt;Hta_12,$G58&gt;=Hba_12,Input!AA$32&lt;&gt;""),Input!$B$32&amp;";",""),IF(AND($G58&lt;Hta_13,$G58&gt;=Hba_13,Input!AA$33&lt;&gt;""),Input!$B$33&amp;";",""),IF(AND($G58&lt;Hta_14,$G58&gt;=Hba_14,Input!AA$34&lt;&gt;""),Input!$B$34&amp;";",""),IF(AND($G58&lt;Hta_15,$G58&gt;=Hba_15,Input!AA$35&lt;&gt;""),Input!$B$35&amp;";",""),IF(AND($G58&lt;Hta_16,$G58&gt;=Hba_16,Input!AA$36&lt;&gt;""),Input!$B$36&amp;";",""),IF(AND($G58&lt;Hta_17,$G58&gt;=Hba_17,Input!AA$37&lt;&gt;""),Input!$B$37&amp;";",""),IF(AND($G58&lt;Hta_18,$G58&gt;=Hba_18,Input!AA$38&lt;&gt;""),Input!$B$38&amp;";",""),IF(AND($G58&lt;Hta_19,$G58&gt;=Hba_19,Input!AA$39&lt;&gt;""),Input!$B$39&amp;";",""),IF(AND($G58&lt;Hta_20,$G58&gt;=Hba_20,Input!AA$40&lt;&gt;""),Input!$B$40&amp;";",""),IF(AND($G58&lt;Hta_21,$G58&gt;=Hba_21,Input!AA$41&lt;&gt;""),Input!$B$41&amp;";",""),IF(AND($G58&lt;Hta_22,$G58&gt;=Hba_22,Input!AA$42&lt;&gt;""),Input!$B$42&amp;";",""),IF(AND($G58&lt;Hta_23,$G58&gt;=Hba_23,Input!AA$43&lt;&gt;""),Input!$B$43&amp;";",""),IF(AND($G58&lt;Hta_24,$G58&gt;=Hba_24,Input!AA$44&lt;&gt;""),Input!$B$44&amp;";",""),IF(AND($G58&lt;Hta_25,$G58&gt;=Hba_25,Input!AA$45&lt;&gt;""),Input!$B$45&amp;";",""),IF(AND($G58&lt;Hta_26,$G58&gt;=Hba_26,Input!AA$46&lt;&gt;""),Input!$B$46&amp;";",""),IF(AND($G58&lt;Hta_27,$G58&gt;=Hba_27,Input!AA$47&lt;&gt;""),Input!$B$47&amp;";",""),IF(AND($G58&lt;Hta_28,$G58&gt;=Hba_28,Input!AA$48&lt;&gt;""),Input!$B$48&amp;";",""),IF(AND($G58&lt;Hta_29,$G58&gt;=Hba_29,Input!AA$49&lt;&gt;""),Input!$B$49&amp;";",""),IF(AND($G58&lt;Hta_30,$G58&gt;=Hba_30,Input!AA$50&lt;&gt;""),Input!$B$50&amp;";","")),"")</f>
        <v/>
      </c>
      <c r="CC58" s="25" t="str">
        <f>IFERROR(CONCATENATE(IF(AND($G58&lt;Hta_1,$G58&gt;=Hba_1,Input!AB$21&lt;&gt;""),Input!$B$21&amp;";",""),IF(AND($G58&lt;Hta_2,$G58&gt;=Hba_2,Input!AB$22&lt;&gt;""),Input!$B$22&amp;";",""),IF(AND($G58&lt;Hta_3,$G58&gt;=Hba_3,Input!AB$23&lt;&gt;""),Input!$B$23&amp;";",""),IF(AND($G58&lt;Hta_4,$G58&gt;=Hba_4,Input!AB$24&lt;&gt;""),Input!$B$24&amp;";",""),IF(AND($G58&lt;Hta_5,$G58&gt;=Hba_5,Input!AB$25&lt;&gt;""),Input!$B$25&amp;";",""),IF(AND($G58&lt;Hta_6,$G58&gt;=Hba_6,Input!AB$26&lt;&gt;""),Input!$B$26&amp;";",""),IF(AND($G58&lt;Hta_7,$G58&gt;=Hba_7,Input!AB$27&lt;&gt;""),Input!$B$27&amp;";",""),IF(AND($G58&lt;Hta_8,$G58&gt;=Hba_8,Input!AB$28&lt;&gt;""),Input!$B$28&amp;";",""),IF(AND($G58&lt;Hta_9,$G58&gt;=Hba_9,Input!AB$29&lt;&gt;""),Input!$B$29&amp;";",""),IF(AND($G58&lt;Hta_10,$G58&gt;=Hba_10,Input!AB$30&lt;&gt;""),Input!$B$30&amp;";",""),IF(AND($G58&lt;Hta_11,$G58&gt;=Hba_11,Input!AB$31&lt;&gt;""),Input!$B$31&amp;";",""),IF(AND($G58&lt;Hta_12,$G58&gt;=Hba_12,Input!AB$32&lt;&gt;""),Input!$B$32&amp;";",""),IF(AND($G58&lt;Hta_13,$G58&gt;=Hba_13,Input!AB$33&lt;&gt;""),Input!$B$33&amp;";",""),IF(AND($G58&lt;Hta_14,$G58&gt;=Hba_14,Input!AB$34&lt;&gt;""),Input!$B$34&amp;";",""),IF(AND($G58&lt;Hta_15,$G58&gt;=Hba_15,Input!AB$35&lt;&gt;""),Input!$B$35&amp;";",""),IF(AND($G58&lt;Hta_16,$G58&gt;=Hba_16,Input!AB$36&lt;&gt;""),Input!$B$36&amp;";",""),IF(AND($G58&lt;Hta_17,$G58&gt;=Hba_17,Input!AB$37&lt;&gt;""),Input!$B$37&amp;";",""),IF(AND($G58&lt;Hta_18,$G58&gt;=Hba_18,Input!AB$38&lt;&gt;""),Input!$B$38&amp;";",""),IF(AND($G58&lt;Hta_19,$G58&gt;=Hba_19,Input!AB$39&lt;&gt;""),Input!$B$39&amp;";",""),IF(AND($G58&lt;Hta_20,$G58&gt;=Hba_20,Input!AB$40&lt;&gt;""),Input!$B$40&amp;";",""),IF(AND($G58&lt;Hta_21,$G58&gt;=Hba_21,Input!AB$41&lt;&gt;""),Input!$B$41&amp;";",""),IF(AND($G58&lt;Hta_22,$G58&gt;=Hba_22,Input!AB$42&lt;&gt;""),Input!$B$42&amp;";",""),IF(AND($G58&lt;Hta_23,$G58&gt;=Hba_23,Input!AB$43&lt;&gt;""),Input!$B$43&amp;";",""),IF(AND($G58&lt;Hta_24,$G58&gt;=Hba_24,Input!AB$44&lt;&gt;""),Input!$B$44&amp;";",""),IF(AND($G58&lt;Hta_25,$G58&gt;=Hba_25,Input!AB$45&lt;&gt;""),Input!$B$45&amp;";",""),IF(AND($G58&lt;Hta_26,$G58&gt;=Hba_26,Input!AB$46&lt;&gt;""),Input!$B$46&amp;";",""),IF(AND($G58&lt;Hta_27,$G58&gt;=Hba_27,Input!AB$47&lt;&gt;""),Input!$B$47&amp;";",""),IF(AND($G58&lt;Hta_28,$G58&gt;=Hba_28,Input!AB$48&lt;&gt;""),Input!$B$48&amp;";",""),IF(AND($G58&lt;Hta_29,$G58&gt;=Hba_29,Input!AB$49&lt;&gt;""),Input!$B$49&amp;";",""),IF(AND($G58&lt;Hta_30,$G58&gt;=Hba_30,Input!AB$50&lt;&gt;""),Input!$B$50&amp;";","")),"")</f>
        <v/>
      </c>
      <c r="CD58" s="25" t="str">
        <f>IFERROR(CONCATENATE(IF(AND($G58&lt;Hta_1,$G58&gt;=Hba_1,Input!AC$21&lt;&gt;""),Input!$B$21&amp;";",""),IF(AND($G58&lt;Hta_2,$G58&gt;=Hba_2,Input!AC$22&lt;&gt;""),Input!$B$22&amp;";",""),IF(AND($G58&lt;Hta_3,$G58&gt;=Hba_3,Input!AC$23&lt;&gt;""),Input!$B$23&amp;";",""),IF(AND($G58&lt;Hta_4,$G58&gt;=Hba_4,Input!AC$24&lt;&gt;""),Input!$B$24&amp;";",""),IF(AND($G58&lt;Hta_5,$G58&gt;=Hba_5,Input!AC$25&lt;&gt;""),Input!$B$25&amp;";",""),IF(AND($G58&lt;Hta_6,$G58&gt;=Hba_6,Input!AC$26&lt;&gt;""),Input!$B$26&amp;";",""),IF(AND($G58&lt;Hta_7,$G58&gt;=Hba_7,Input!AC$27&lt;&gt;""),Input!$B$27&amp;";",""),IF(AND($G58&lt;Hta_8,$G58&gt;=Hba_8,Input!AC$28&lt;&gt;""),Input!$B$28&amp;";",""),IF(AND($G58&lt;Hta_9,$G58&gt;=Hba_9,Input!AC$29&lt;&gt;""),Input!$B$29&amp;";",""),IF(AND($G58&lt;Hta_10,$G58&gt;=Hba_10,Input!AC$30&lt;&gt;""),Input!$B$30&amp;";",""),IF(AND($G58&lt;Hta_11,$G58&gt;=Hba_11,Input!AC$31&lt;&gt;""),Input!$B$31&amp;";",""),IF(AND($G58&lt;Hta_12,$G58&gt;=Hba_12,Input!AC$32&lt;&gt;""),Input!$B$32&amp;";",""),IF(AND($G58&lt;Hta_13,$G58&gt;=Hba_13,Input!AC$33&lt;&gt;""),Input!$B$33&amp;";",""),IF(AND($G58&lt;Hta_14,$G58&gt;=Hba_14,Input!AC$34&lt;&gt;""),Input!$B$34&amp;";",""),IF(AND($G58&lt;Hta_15,$G58&gt;=Hba_15,Input!AC$35&lt;&gt;""),Input!$B$35&amp;";",""),IF(AND($G58&lt;Hta_16,$G58&gt;=Hba_16,Input!AC$36&lt;&gt;""),Input!$B$36&amp;";",""),IF(AND($G58&lt;Hta_17,$G58&gt;=Hba_17,Input!AC$37&lt;&gt;""),Input!$B$37&amp;";",""),IF(AND($G58&lt;Hta_18,$G58&gt;=Hba_18,Input!AC$38&lt;&gt;""),Input!$B$38&amp;";",""),IF(AND($G58&lt;Hta_19,$G58&gt;=Hba_19,Input!AC$39&lt;&gt;""),Input!$B$39&amp;";",""),IF(AND($G58&lt;Hta_20,$G58&gt;=Hba_20,Input!AC$40&lt;&gt;""),Input!$B$40&amp;";",""),IF(AND($G58&lt;Hta_21,$G58&gt;=Hba_21,Input!AC$41&lt;&gt;""),Input!$B$41&amp;";",""),IF(AND($G58&lt;Hta_22,$G58&gt;=Hba_22,Input!AC$42&lt;&gt;""),Input!$B$42&amp;";",""),IF(AND($G58&lt;Hta_23,$G58&gt;=Hba_23,Input!AC$43&lt;&gt;""),Input!$B$43&amp;";",""),IF(AND($G58&lt;Hta_24,$G58&gt;=Hba_24,Input!AC$44&lt;&gt;""),Input!$B$44&amp;";",""),IF(AND($G58&lt;Hta_25,$G58&gt;=Hba_25,Input!AC$45&lt;&gt;""),Input!$B$45&amp;";",""),IF(AND($G58&lt;Hta_26,$G58&gt;=Hba_26,Input!AC$46&lt;&gt;""),Input!$B$46&amp;";",""),IF(AND($G58&lt;Hta_27,$G58&gt;=Hba_27,Input!AC$47&lt;&gt;""),Input!$B$47&amp;";",""),IF(AND($G58&lt;Hta_28,$G58&gt;=Hba_28,Input!AC$48&lt;&gt;""),Input!$B$48&amp;";",""),IF(AND($G58&lt;Hta_29,$G58&gt;=Hba_29,Input!AC$49&lt;&gt;""),Input!$B$49&amp;";",""),IF(AND($G58&lt;Hta_30,$G58&gt;=Hba_30,Input!AC$50&lt;&gt;""),Input!$B$50&amp;";","")),"")</f>
        <v/>
      </c>
      <c r="CE58" s="25" t="str">
        <f>IFERROR(CONCATENATE(IF(AND($G58&lt;Hta_1,$G58&gt;=Hba_1,Input!AD$21&lt;&gt;""),Input!$B$21&amp;";",""),IF(AND($G58&lt;Hta_2,$G58&gt;=Hba_2,Input!AD$22&lt;&gt;""),Input!$B$22&amp;";",""),IF(AND($G58&lt;Hta_3,$G58&gt;=Hba_3,Input!AD$23&lt;&gt;""),Input!$B$23&amp;";",""),IF(AND($G58&lt;Hta_4,$G58&gt;=Hba_4,Input!AD$24&lt;&gt;""),Input!$B$24&amp;";",""),IF(AND($G58&lt;Hta_5,$G58&gt;=Hba_5,Input!AD$25&lt;&gt;""),Input!$B$25&amp;";",""),IF(AND($G58&lt;Hta_6,$G58&gt;=Hba_6,Input!AD$26&lt;&gt;""),Input!$B$26&amp;";",""),IF(AND($G58&lt;Hta_7,$G58&gt;=Hba_7,Input!AD$27&lt;&gt;""),Input!$B$27&amp;";",""),IF(AND($G58&lt;Hta_8,$G58&gt;=Hba_8,Input!AD$28&lt;&gt;""),Input!$B$28&amp;";",""),IF(AND($G58&lt;Hta_9,$G58&gt;=Hba_9,Input!AD$29&lt;&gt;""),Input!$B$29&amp;";",""),IF(AND($G58&lt;Hta_10,$G58&gt;=Hba_10,Input!AD$30&lt;&gt;""),Input!$B$30&amp;";",""),IF(AND($G58&lt;Hta_11,$G58&gt;=Hba_11,Input!AD$31&lt;&gt;""),Input!$B$31&amp;";",""),IF(AND($G58&lt;Hta_12,$G58&gt;=Hba_12,Input!AD$32&lt;&gt;""),Input!$B$32&amp;";",""),IF(AND($G58&lt;Hta_13,$G58&gt;=Hba_13,Input!AD$33&lt;&gt;""),Input!$B$33&amp;";",""),IF(AND($G58&lt;Hta_14,$G58&gt;=Hba_14,Input!AD$34&lt;&gt;""),Input!$B$34&amp;";",""),IF(AND($G58&lt;Hta_15,$G58&gt;=Hba_15,Input!AD$35&lt;&gt;""),Input!$B$35&amp;";",""),IF(AND($G58&lt;Hta_16,$G58&gt;=Hba_16,Input!AD$36&lt;&gt;""),Input!$B$36&amp;";",""),IF(AND($G58&lt;Hta_17,$G58&gt;=Hba_17,Input!AD$37&lt;&gt;""),Input!$B$37&amp;";",""),IF(AND($G58&lt;Hta_18,$G58&gt;=Hba_18,Input!AD$38&lt;&gt;""),Input!$B$38&amp;";",""),IF(AND($G58&lt;Hta_19,$G58&gt;=Hba_19,Input!AD$39&lt;&gt;""),Input!$B$39&amp;";",""),IF(AND($G58&lt;Hta_20,$G58&gt;=Hba_20,Input!AD$40&lt;&gt;""),Input!$B$40&amp;";",""),IF(AND($G58&lt;Hta_21,$G58&gt;=Hba_21,Input!AD$41&lt;&gt;""),Input!$B$41&amp;";",""),IF(AND($G58&lt;Hta_22,$G58&gt;=Hba_22,Input!AD$42&lt;&gt;""),Input!$B$42&amp;";",""),IF(AND($G58&lt;Hta_23,$G58&gt;=Hba_23,Input!AD$43&lt;&gt;""),Input!$B$43&amp;";",""),IF(AND($G58&lt;Hta_24,$G58&gt;=Hba_24,Input!AD$44&lt;&gt;""),Input!$B$44&amp;";",""),IF(AND($G58&lt;Hta_25,$G58&gt;=Hba_25,Input!AD$45&lt;&gt;""),Input!$B$45&amp;";",""),IF(AND($G58&lt;Hta_26,$G58&gt;=Hba_26,Input!AD$46&lt;&gt;""),Input!$B$46&amp;";",""),IF(AND($G58&lt;Hta_27,$G58&gt;=Hba_27,Input!AD$47&lt;&gt;""),Input!$B$47&amp;";",""),IF(AND($G58&lt;Hta_28,$G58&gt;=Hba_28,Input!AD$48&lt;&gt;""),Input!$B$48&amp;";",""),IF(AND($G58&lt;Hta_29,$G58&gt;=Hba_29,Input!AD$49&lt;&gt;""),Input!$B$49&amp;";",""),IF(AND($G58&lt;Hta_30,$G58&gt;=Hba_30,Input!AD$50&lt;&gt;""),Input!$B$50&amp;";","")),"")</f>
        <v/>
      </c>
      <c r="CF58" s="25" t="str">
        <f>IFERROR(CONCATENATE(IF(AND($G58&lt;Hta_1,$G58&gt;=Hba_1,Input!AE$21&lt;&gt;""),Input!$B$21&amp;";",""),IF(AND($G58&lt;Hta_2,$G58&gt;=Hba_2,Input!AE$22&lt;&gt;""),Input!$B$22&amp;";",""),IF(AND($G58&lt;Hta_3,$G58&gt;=Hba_3,Input!AE$23&lt;&gt;""),Input!$B$23&amp;";",""),IF(AND($G58&lt;Hta_4,$G58&gt;=Hba_4,Input!AE$24&lt;&gt;""),Input!$B$24&amp;";",""),IF(AND($G58&lt;Hta_5,$G58&gt;=Hba_5,Input!AE$25&lt;&gt;""),Input!$B$25&amp;";",""),IF(AND($G58&lt;Hta_6,$G58&gt;=Hba_6,Input!AE$26&lt;&gt;""),Input!$B$26&amp;";",""),IF(AND($G58&lt;Hta_7,$G58&gt;=Hba_7,Input!AE$27&lt;&gt;""),Input!$B$27&amp;";",""),IF(AND($G58&lt;Hta_8,$G58&gt;=Hba_8,Input!AE$28&lt;&gt;""),Input!$B$28&amp;";",""),IF(AND($G58&lt;Hta_9,$G58&gt;=Hba_9,Input!AE$29&lt;&gt;""),Input!$B$29&amp;";",""),IF(AND($G58&lt;Hta_10,$G58&gt;=Hba_10,Input!AE$30&lt;&gt;""),Input!$B$30&amp;";",""),IF(AND($G58&lt;Hta_11,$G58&gt;=Hba_11,Input!AE$31&lt;&gt;""),Input!$B$31&amp;";",""),IF(AND($G58&lt;Hta_12,$G58&gt;=Hba_12,Input!AE$32&lt;&gt;""),Input!$B$32&amp;";",""),IF(AND($G58&lt;Hta_13,$G58&gt;=Hba_13,Input!AE$33&lt;&gt;""),Input!$B$33&amp;";",""),IF(AND($G58&lt;Hta_14,$G58&gt;=Hba_14,Input!AE$34&lt;&gt;""),Input!$B$34&amp;";",""),IF(AND($G58&lt;Hta_15,$G58&gt;=Hba_15,Input!AE$35&lt;&gt;""),Input!$B$35&amp;";",""),IF(AND($G58&lt;Hta_16,$G58&gt;=Hba_16,Input!AE$36&lt;&gt;""),Input!$B$36&amp;";",""),IF(AND($G58&lt;Hta_17,$G58&gt;=Hba_17,Input!AE$37&lt;&gt;""),Input!$B$37&amp;";",""),IF(AND($G58&lt;Hta_18,$G58&gt;=Hba_18,Input!AE$38&lt;&gt;""),Input!$B$38&amp;";",""),IF(AND($G58&lt;Hta_19,$G58&gt;=Hba_19,Input!AE$39&lt;&gt;""),Input!$B$39&amp;";",""),IF(AND($G58&lt;Hta_20,$G58&gt;=Hba_20,Input!AE$40&lt;&gt;""),Input!$B$40&amp;";",""),IF(AND($G58&lt;Hta_21,$G58&gt;=Hba_21,Input!AE$41&lt;&gt;""),Input!$B$41&amp;";",""),IF(AND($G58&lt;Hta_22,$G58&gt;=Hba_22,Input!AE$42&lt;&gt;""),Input!$B$42&amp;";",""),IF(AND($G58&lt;Hta_23,$G58&gt;=Hba_23,Input!AE$43&lt;&gt;""),Input!$B$43&amp;";",""),IF(AND($G58&lt;Hta_24,$G58&gt;=Hba_24,Input!AE$44&lt;&gt;""),Input!$B$44&amp;";",""),IF(AND($G58&lt;Hta_25,$G58&gt;=Hba_25,Input!AE$45&lt;&gt;""),Input!$B$45&amp;";",""),IF(AND($G58&lt;Hta_26,$G58&gt;=Hba_26,Input!AE$46&lt;&gt;""),Input!$B$46&amp;";",""),IF(AND($G58&lt;Hta_27,$G58&gt;=Hba_27,Input!AE$47&lt;&gt;""),Input!$B$47&amp;";",""),IF(AND($G58&lt;Hta_28,$G58&gt;=Hba_28,Input!AE$48&lt;&gt;""),Input!$B$48&amp;";",""),IF(AND($G58&lt;Hta_29,$G58&gt;=Hba_29,Input!AE$49&lt;&gt;""),Input!$B$49&amp;";",""),IF(AND($G58&lt;Hta_30,$G58&gt;=Hba_30,Input!AE$50&lt;&gt;""),Input!$B$50&amp;";","")),"")</f>
        <v/>
      </c>
      <c r="CG58" s="25" t="str">
        <f>IFERROR(CONCATENATE(IF(AND($G58&lt;Hta_1,$G58&gt;=Hba_1,Input!AF$21&lt;&gt;""),Input!$B$21&amp;";",""),IF(AND($G58&lt;Hta_2,$G58&gt;=Hba_2,Input!AF$22&lt;&gt;""),Input!$B$22&amp;";",""),IF(AND($G58&lt;Hta_3,$G58&gt;=Hba_3,Input!AF$23&lt;&gt;""),Input!$B$23&amp;";",""),IF(AND($G58&lt;Hta_4,$G58&gt;=Hba_4,Input!AF$24&lt;&gt;""),Input!$B$24&amp;";",""),IF(AND($G58&lt;Hta_5,$G58&gt;=Hba_5,Input!AF$25&lt;&gt;""),Input!$B$25&amp;";",""),IF(AND($G58&lt;Hta_6,$G58&gt;=Hba_6,Input!AF$26&lt;&gt;""),Input!$B$26&amp;";",""),IF(AND($G58&lt;Hta_7,$G58&gt;=Hba_7,Input!AF$27&lt;&gt;""),Input!$B$27&amp;";",""),IF(AND($G58&lt;Hta_8,$G58&gt;=Hba_8,Input!AF$28&lt;&gt;""),Input!$B$28&amp;";",""),IF(AND($G58&lt;Hta_9,$G58&gt;=Hba_9,Input!AF$29&lt;&gt;""),Input!$B$29&amp;";",""),IF(AND($G58&lt;Hta_10,$G58&gt;=Hba_10,Input!AF$30&lt;&gt;""),Input!$B$30&amp;";",""),IF(AND($G58&lt;Hta_11,$G58&gt;=Hba_11,Input!AF$31&lt;&gt;""),Input!$B$31&amp;";",""),IF(AND($G58&lt;Hta_12,$G58&gt;=Hba_12,Input!AF$32&lt;&gt;""),Input!$B$32&amp;";",""),IF(AND($G58&lt;Hta_13,$G58&gt;=Hba_13,Input!AF$33&lt;&gt;""),Input!$B$33&amp;";",""),IF(AND($G58&lt;Hta_14,$G58&gt;=Hba_14,Input!AF$34&lt;&gt;""),Input!$B$34&amp;";",""),IF(AND($G58&lt;Hta_15,$G58&gt;=Hba_15,Input!AF$35&lt;&gt;""),Input!$B$35&amp;";",""),IF(AND($G58&lt;Hta_16,$G58&gt;=Hba_16,Input!AF$36&lt;&gt;""),Input!$B$36&amp;";",""),IF(AND($G58&lt;Hta_17,$G58&gt;=Hba_17,Input!AF$37&lt;&gt;""),Input!$B$37&amp;";",""),IF(AND($G58&lt;Hta_18,$G58&gt;=Hba_18,Input!AF$38&lt;&gt;""),Input!$B$38&amp;";",""),IF(AND($G58&lt;Hta_19,$G58&gt;=Hba_19,Input!AF$39&lt;&gt;""),Input!$B$39&amp;";",""),IF(AND($G58&lt;Hta_20,$G58&gt;=Hba_20,Input!AF$40&lt;&gt;""),Input!$B$40&amp;";",""),IF(AND($G58&lt;Hta_21,$G58&gt;=Hba_21,Input!AF$41&lt;&gt;""),Input!$B$41&amp;";",""),IF(AND($G58&lt;Hta_22,$G58&gt;=Hba_22,Input!AF$42&lt;&gt;""),Input!$B$42&amp;";",""),IF(AND($G58&lt;Hta_23,$G58&gt;=Hba_23,Input!AF$43&lt;&gt;""),Input!$B$43&amp;";",""),IF(AND($G58&lt;Hta_24,$G58&gt;=Hba_24,Input!AF$44&lt;&gt;""),Input!$B$44&amp;";",""),IF(AND($G58&lt;Hta_25,$G58&gt;=Hba_25,Input!AF$45&lt;&gt;""),Input!$B$45&amp;";",""),IF(AND($G58&lt;Hta_26,$G58&gt;=Hba_26,Input!AF$46&lt;&gt;""),Input!$B$46&amp;";",""),IF(AND($G58&lt;Hta_27,$G58&gt;=Hba_27,Input!AF$47&lt;&gt;""),Input!$B$47&amp;";",""),IF(AND($G58&lt;Hta_28,$G58&gt;=Hba_28,Input!AF$48&lt;&gt;""),Input!$B$48&amp;";",""),IF(AND($G58&lt;Hta_29,$G58&gt;=Hba_29,Input!AF$49&lt;&gt;""),Input!$B$49&amp;";",""),IF(AND($G58&lt;Hta_30,$G58&gt;=Hba_30,Input!AF$50&lt;&gt;""),Input!$B$50&amp;";","")),"")</f>
        <v/>
      </c>
      <c r="CH58" s="25" t="str">
        <f>IFERROR(CONCATENATE(IF(AND($G58&lt;Hta_1,$G58&gt;=Hba_1,Input!AG$21&lt;&gt;""),Input!$B$21&amp;";",""),IF(AND($G58&lt;Hta_2,$G58&gt;=Hba_2,Input!AG$22&lt;&gt;""),Input!$B$22&amp;";",""),IF(AND($G58&lt;Hta_3,$G58&gt;=Hba_3,Input!AG$23&lt;&gt;""),Input!$B$23&amp;";",""),IF(AND($G58&lt;Hta_4,$G58&gt;=Hba_4,Input!AG$24&lt;&gt;""),Input!$B$24&amp;";",""),IF(AND($G58&lt;Hta_5,$G58&gt;=Hba_5,Input!AG$25&lt;&gt;""),Input!$B$25&amp;";",""),IF(AND($G58&lt;Hta_6,$G58&gt;=Hba_6,Input!AG$26&lt;&gt;""),Input!$B$26&amp;";",""),IF(AND($G58&lt;Hta_7,$G58&gt;=Hba_7,Input!AG$27&lt;&gt;""),Input!$B$27&amp;";",""),IF(AND($G58&lt;Hta_8,$G58&gt;=Hba_8,Input!AG$28&lt;&gt;""),Input!$B$28&amp;";",""),IF(AND($G58&lt;Hta_9,$G58&gt;=Hba_9,Input!AG$29&lt;&gt;""),Input!$B$29&amp;";",""),IF(AND($G58&lt;Hta_10,$G58&gt;=Hba_10,Input!AG$30&lt;&gt;""),Input!$B$30&amp;";",""),IF(AND($G58&lt;Hta_11,$G58&gt;=Hba_11,Input!AG$31&lt;&gt;""),Input!$B$31&amp;";",""),IF(AND($G58&lt;Hta_12,$G58&gt;=Hba_12,Input!AG$32&lt;&gt;""),Input!$B$32&amp;";",""),IF(AND($G58&lt;Hta_13,$G58&gt;=Hba_13,Input!AG$33&lt;&gt;""),Input!$B$33&amp;";",""),IF(AND($G58&lt;Hta_14,$G58&gt;=Hba_14,Input!AG$34&lt;&gt;""),Input!$B$34&amp;";",""),IF(AND($G58&lt;Hta_15,$G58&gt;=Hba_15,Input!AG$35&lt;&gt;""),Input!$B$35&amp;";",""),IF(AND($G58&lt;Hta_16,$G58&gt;=Hba_16,Input!AG$36&lt;&gt;""),Input!$B$36&amp;";",""),IF(AND($G58&lt;Hta_17,$G58&gt;=Hba_17,Input!AG$37&lt;&gt;""),Input!$B$37&amp;";",""),IF(AND($G58&lt;Hta_18,$G58&gt;=Hba_18,Input!AG$38&lt;&gt;""),Input!$B$38&amp;";",""),IF(AND($G58&lt;Hta_19,$G58&gt;=Hba_19,Input!AG$39&lt;&gt;""),Input!$B$39&amp;";",""),IF(AND($G58&lt;Hta_20,$G58&gt;=Hba_20,Input!AG$40&lt;&gt;""),Input!$B$40&amp;";",""),IF(AND($G58&lt;Hta_21,$G58&gt;=Hba_21,Input!AG$41&lt;&gt;""),Input!$B$41&amp;";",""),IF(AND($G58&lt;Hta_22,$G58&gt;=Hba_22,Input!AG$42&lt;&gt;""),Input!$B$42&amp;";",""),IF(AND($G58&lt;Hta_23,$G58&gt;=Hba_23,Input!AG$43&lt;&gt;""),Input!$B$43&amp;";",""),IF(AND($G58&lt;Hta_24,$G58&gt;=Hba_24,Input!AG$44&lt;&gt;""),Input!$B$44&amp;";",""),IF(AND($G58&lt;Hta_25,$G58&gt;=Hba_25,Input!AG$45&lt;&gt;""),Input!$B$45&amp;";",""),IF(AND($G58&lt;Hta_26,$G58&gt;=Hba_26,Input!AG$46&lt;&gt;""),Input!$B$46&amp;";",""),IF(AND($G58&lt;Hta_27,$G58&gt;=Hba_27,Input!AG$47&lt;&gt;""),Input!$B$47&amp;";",""),IF(AND($G58&lt;Hta_28,$G58&gt;=Hba_28,Input!AG$48&lt;&gt;""),Input!$B$48&amp;";",""),IF(AND($G58&lt;Hta_29,$G58&gt;=Hba_29,Input!AG$49&lt;&gt;""),Input!$B$49&amp;";",""),IF(AND($G58&lt;Hta_30,$G58&gt;=Hba_30,Input!AG$50&lt;&gt;""),Input!$B$50&amp;";","")),"")</f>
        <v/>
      </c>
      <c r="CI58" s="25" t="str">
        <f>IFERROR(CONCATENATE(IF(AND($G58&lt;Hta_1,$G58&gt;=Hba_1,Input!AH$21&lt;&gt;""),Input!$B$21&amp;";",""),IF(AND($G58&lt;Hta_2,$G58&gt;=Hba_2,Input!AH$22&lt;&gt;""),Input!$B$22&amp;";",""),IF(AND($G58&lt;Hta_3,$G58&gt;=Hba_3,Input!AH$23&lt;&gt;""),Input!$B$23&amp;";",""),IF(AND($G58&lt;Hta_4,$G58&gt;=Hba_4,Input!AH$24&lt;&gt;""),Input!$B$24&amp;";",""),IF(AND($G58&lt;Hta_5,$G58&gt;=Hba_5,Input!AH$25&lt;&gt;""),Input!$B$25&amp;";",""),IF(AND($G58&lt;Hta_6,$G58&gt;=Hba_6,Input!AH$26&lt;&gt;""),Input!$B$26&amp;";",""),IF(AND($G58&lt;Hta_7,$G58&gt;=Hba_7,Input!AH$27&lt;&gt;""),Input!$B$27&amp;";",""),IF(AND($G58&lt;Hta_8,$G58&gt;=Hba_8,Input!AH$28&lt;&gt;""),Input!$B$28&amp;";",""),IF(AND($G58&lt;Hta_9,$G58&gt;=Hba_9,Input!AH$29&lt;&gt;""),Input!$B$29&amp;";",""),IF(AND($G58&lt;Hta_10,$G58&gt;=Hba_10,Input!AH$30&lt;&gt;""),Input!$B$30&amp;";",""),IF(AND($G58&lt;Hta_11,$G58&gt;=Hba_11,Input!AH$31&lt;&gt;""),Input!$B$31&amp;";",""),IF(AND($G58&lt;Hta_12,$G58&gt;=Hba_12,Input!AH$32&lt;&gt;""),Input!$B$32&amp;";",""),IF(AND($G58&lt;Hta_13,$G58&gt;=Hba_13,Input!AH$33&lt;&gt;""),Input!$B$33&amp;";",""),IF(AND($G58&lt;Hta_14,$G58&gt;=Hba_14,Input!AH$34&lt;&gt;""),Input!$B$34&amp;";",""),IF(AND($G58&lt;Hta_15,$G58&gt;=Hba_15,Input!AH$35&lt;&gt;""),Input!$B$35&amp;";",""),IF(AND($G58&lt;Hta_16,$G58&gt;=Hba_16,Input!AH$36&lt;&gt;""),Input!$B$36&amp;";",""),IF(AND($G58&lt;Hta_17,$G58&gt;=Hba_17,Input!AH$37&lt;&gt;""),Input!$B$37&amp;";",""),IF(AND($G58&lt;Hta_18,$G58&gt;=Hba_18,Input!AH$38&lt;&gt;""),Input!$B$38&amp;";",""),IF(AND($G58&lt;Hta_19,$G58&gt;=Hba_19,Input!AH$39&lt;&gt;""),Input!$B$39&amp;";",""),IF(AND($G58&lt;Hta_20,$G58&gt;=Hba_20,Input!AH$40&lt;&gt;""),Input!$B$40&amp;";",""),IF(AND($G58&lt;Hta_21,$G58&gt;=Hba_21,Input!AH$41&lt;&gt;""),Input!$B$41&amp;";",""),IF(AND($G58&lt;Hta_22,$G58&gt;=Hba_22,Input!AH$42&lt;&gt;""),Input!$B$42&amp;";",""),IF(AND($G58&lt;Hta_23,$G58&gt;=Hba_23,Input!AH$43&lt;&gt;""),Input!$B$43&amp;";",""),IF(AND($G58&lt;Hta_24,$G58&gt;=Hba_24,Input!AH$44&lt;&gt;""),Input!$B$44&amp;";",""),IF(AND($G58&lt;Hta_25,$G58&gt;=Hba_25,Input!AH$45&lt;&gt;""),Input!$B$45&amp;";",""),IF(AND($G58&lt;Hta_26,$G58&gt;=Hba_26,Input!AH$46&lt;&gt;""),Input!$B$46&amp;";",""),IF(AND($G58&lt;Hta_27,$G58&gt;=Hba_27,Input!AH$47&lt;&gt;""),Input!$B$47&amp;";",""),IF(AND($G58&lt;Hta_28,$G58&gt;=Hba_28,Input!AH$48&lt;&gt;""),Input!$B$48&amp;";",""),IF(AND($G58&lt;Hta_29,$G58&gt;=Hba_29,Input!AH$49&lt;&gt;""),Input!$B$49&amp;";",""),IF(AND($G58&lt;Hta_30,$G58&gt;=Hba_30,Input!AH$50&lt;&gt;""),Input!$B$50&amp;";","")),"")</f>
        <v/>
      </c>
      <c r="CJ58" s="25" t="str">
        <f>IFERROR(CONCATENATE(IF(AND($G58&lt;Hta_1,$G58&gt;=Hba_1,Input!AI$21&lt;&gt;""),Input!$B$21&amp;";",""),IF(AND($G58&lt;Hta_2,$G58&gt;=Hba_2,Input!AI$22&lt;&gt;""),Input!$B$22&amp;";",""),IF(AND($G58&lt;Hta_3,$G58&gt;=Hba_3,Input!AI$23&lt;&gt;""),Input!$B$23&amp;";",""),IF(AND($G58&lt;Hta_4,$G58&gt;=Hba_4,Input!AI$24&lt;&gt;""),Input!$B$24&amp;";",""),IF(AND($G58&lt;Hta_5,$G58&gt;=Hba_5,Input!AI$25&lt;&gt;""),Input!$B$25&amp;";",""),IF(AND($G58&lt;Hta_6,$G58&gt;=Hba_6,Input!AI$26&lt;&gt;""),Input!$B$26&amp;";",""),IF(AND($G58&lt;Hta_7,$G58&gt;=Hba_7,Input!AI$27&lt;&gt;""),Input!$B$27&amp;";",""),IF(AND($G58&lt;Hta_8,$G58&gt;=Hba_8,Input!AI$28&lt;&gt;""),Input!$B$28&amp;";",""),IF(AND($G58&lt;Hta_9,$G58&gt;=Hba_9,Input!AI$29&lt;&gt;""),Input!$B$29&amp;";",""),IF(AND($G58&lt;Hta_10,$G58&gt;=Hba_10,Input!AI$30&lt;&gt;""),Input!$B$30&amp;";",""),IF(AND($G58&lt;Hta_11,$G58&gt;=Hba_11,Input!AI$31&lt;&gt;""),Input!$B$31&amp;";",""),IF(AND($G58&lt;Hta_12,$G58&gt;=Hba_12,Input!AI$32&lt;&gt;""),Input!$B$32&amp;";",""),IF(AND($G58&lt;Hta_13,$G58&gt;=Hba_13,Input!AI$33&lt;&gt;""),Input!$B$33&amp;";",""),IF(AND($G58&lt;Hta_14,$G58&gt;=Hba_14,Input!AI$34&lt;&gt;""),Input!$B$34&amp;";",""),IF(AND($G58&lt;Hta_15,$G58&gt;=Hba_15,Input!AI$35&lt;&gt;""),Input!$B$35&amp;";",""),IF(AND($G58&lt;Hta_16,$G58&gt;=Hba_16,Input!AI$36&lt;&gt;""),Input!$B$36&amp;";",""),IF(AND($G58&lt;Hta_17,$G58&gt;=Hba_17,Input!AI$37&lt;&gt;""),Input!$B$37&amp;";",""),IF(AND($G58&lt;Hta_18,$G58&gt;=Hba_18,Input!AI$38&lt;&gt;""),Input!$B$38&amp;";",""),IF(AND($G58&lt;Hta_19,$G58&gt;=Hba_19,Input!AI$39&lt;&gt;""),Input!$B$39&amp;";",""),IF(AND($G58&lt;Hta_20,$G58&gt;=Hba_20,Input!AI$40&lt;&gt;""),Input!$B$40&amp;";",""),IF(AND($G58&lt;Hta_21,$G58&gt;=Hba_21,Input!AI$41&lt;&gt;""),Input!$B$41&amp;";",""),IF(AND($G58&lt;Hta_22,$G58&gt;=Hba_22,Input!AI$42&lt;&gt;""),Input!$B$42&amp;";",""),IF(AND($G58&lt;Hta_23,$G58&gt;=Hba_23,Input!AI$43&lt;&gt;""),Input!$B$43&amp;";",""),IF(AND($G58&lt;Hta_24,$G58&gt;=Hba_24,Input!AI$44&lt;&gt;""),Input!$B$44&amp;";",""),IF(AND($G58&lt;Hta_25,$G58&gt;=Hba_25,Input!AI$45&lt;&gt;""),Input!$B$45&amp;";",""),IF(AND($G58&lt;Hta_26,$G58&gt;=Hba_26,Input!AI$46&lt;&gt;""),Input!$B$46&amp;";",""),IF(AND($G58&lt;Hta_27,$G58&gt;=Hba_27,Input!AI$47&lt;&gt;""),Input!$B$47&amp;";",""),IF(AND($G58&lt;Hta_28,$G58&gt;=Hba_28,Input!AI$48&lt;&gt;""),Input!$B$48&amp;";",""),IF(AND($G58&lt;Hta_29,$G58&gt;=Hba_29,Input!AI$49&lt;&gt;""),Input!$B$49&amp;";",""),IF(AND($G58&lt;Hta_30,$G58&gt;=Hba_30,Input!AI$50&lt;&gt;""),Input!$B$50&amp;";","")),"")</f>
        <v/>
      </c>
      <c r="CK58" s="25" t="str">
        <f>IFERROR(CONCATENATE(IF(AND($G58&lt;Hta_1,$G58&gt;=Hba_1,Input!AJ$21&lt;&gt;""),Input!$B$21&amp;";",""),IF(AND($G58&lt;Hta_2,$G58&gt;=Hba_2,Input!AJ$22&lt;&gt;""),Input!$B$22&amp;";",""),IF(AND($G58&lt;Hta_3,$G58&gt;=Hba_3,Input!AJ$23&lt;&gt;""),Input!$B$23&amp;";",""),IF(AND($G58&lt;Hta_4,$G58&gt;=Hba_4,Input!AJ$24&lt;&gt;""),Input!$B$24&amp;";",""),IF(AND($G58&lt;Hta_5,$G58&gt;=Hba_5,Input!AJ$25&lt;&gt;""),Input!$B$25&amp;";",""),IF(AND($G58&lt;Hta_6,$G58&gt;=Hba_6,Input!AJ$26&lt;&gt;""),Input!$B$26&amp;";",""),IF(AND($G58&lt;Hta_7,$G58&gt;=Hba_7,Input!AJ$27&lt;&gt;""),Input!$B$27&amp;";",""),IF(AND($G58&lt;Hta_8,$G58&gt;=Hba_8,Input!AJ$28&lt;&gt;""),Input!$B$28&amp;";",""),IF(AND($G58&lt;Hta_9,$G58&gt;=Hba_9,Input!AJ$29&lt;&gt;""),Input!$B$29&amp;";",""),IF(AND($G58&lt;Hta_10,$G58&gt;=Hba_10,Input!AJ$30&lt;&gt;""),Input!$B$30&amp;";",""),IF(AND($G58&lt;Hta_11,$G58&gt;=Hba_11,Input!AJ$31&lt;&gt;""),Input!$B$31&amp;";",""),IF(AND($G58&lt;Hta_12,$G58&gt;=Hba_12,Input!AJ$32&lt;&gt;""),Input!$B$32&amp;";",""),IF(AND($G58&lt;Hta_13,$G58&gt;=Hba_13,Input!AJ$33&lt;&gt;""),Input!$B$33&amp;";",""),IF(AND($G58&lt;Hta_14,$G58&gt;=Hba_14,Input!AJ$34&lt;&gt;""),Input!$B$34&amp;";",""),IF(AND($G58&lt;Hta_15,$G58&gt;=Hba_15,Input!AJ$35&lt;&gt;""),Input!$B$35&amp;";",""),IF(AND($G58&lt;Hta_16,$G58&gt;=Hba_16,Input!AJ$36&lt;&gt;""),Input!$B$36&amp;";",""),IF(AND($G58&lt;Hta_17,$G58&gt;=Hba_17,Input!AJ$37&lt;&gt;""),Input!$B$37&amp;";",""),IF(AND($G58&lt;Hta_18,$G58&gt;=Hba_18,Input!AJ$38&lt;&gt;""),Input!$B$38&amp;";",""),IF(AND($G58&lt;Hta_19,$G58&gt;=Hba_19,Input!AJ$39&lt;&gt;""),Input!$B$39&amp;";",""),IF(AND($G58&lt;Hta_20,$G58&gt;=Hba_20,Input!AJ$40&lt;&gt;""),Input!$B$40&amp;";",""),IF(AND($G58&lt;Hta_21,$G58&gt;=Hba_21,Input!AJ$41&lt;&gt;""),Input!$B$41&amp;";",""),IF(AND($G58&lt;Hta_22,$G58&gt;=Hba_22,Input!AJ$42&lt;&gt;""),Input!$B$42&amp;";",""),IF(AND($G58&lt;Hta_23,$G58&gt;=Hba_23,Input!AJ$43&lt;&gt;""),Input!$B$43&amp;";",""),IF(AND($G58&lt;Hta_24,$G58&gt;=Hba_24,Input!AJ$44&lt;&gt;""),Input!$B$44&amp;";",""),IF(AND($G58&lt;Hta_25,$G58&gt;=Hba_25,Input!AJ$45&lt;&gt;""),Input!$B$45&amp;";",""),IF(AND($G58&lt;Hta_26,$G58&gt;=Hba_26,Input!AJ$46&lt;&gt;""),Input!$B$46&amp;";",""),IF(AND($G58&lt;Hta_27,$G58&gt;=Hba_27,Input!AJ$47&lt;&gt;""),Input!$B$47&amp;";",""),IF(AND($G58&lt;Hta_28,$G58&gt;=Hba_28,Input!AJ$48&lt;&gt;""),Input!$B$48&amp;";",""),IF(AND($G58&lt;Hta_29,$G58&gt;=Hba_29,Input!AJ$49&lt;&gt;""),Input!$B$49&amp;";",""),IF(AND($G58&lt;Hta_30,$G58&gt;=Hba_30,Input!AJ$50&lt;&gt;""),Input!$B$50&amp;";","")),"")</f>
        <v/>
      </c>
      <c r="CL58" s="25" t="str">
        <f>IFERROR(CONCATENATE(IF(AND($G58&lt;Hta_1,$G58&gt;=Hba_1,Input!AK$21&lt;&gt;""),Input!$B$21&amp;";",""),IF(AND($G58&lt;Hta_2,$G58&gt;=Hba_2,Input!AK$22&lt;&gt;""),Input!$B$22&amp;";",""),IF(AND($G58&lt;Hta_3,$G58&gt;=Hba_3,Input!AK$23&lt;&gt;""),Input!$B$23&amp;";",""),IF(AND($G58&lt;Hta_4,$G58&gt;=Hba_4,Input!AK$24&lt;&gt;""),Input!$B$24&amp;";",""),IF(AND($G58&lt;Hta_5,$G58&gt;=Hba_5,Input!AK$25&lt;&gt;""),Input!$B$25&amp;";",""),IF(AND($G58&lt;Hta_6,$G58&gt;=Hba_6,Input!AK$26&lt;&gt;""),Input!$B$26&amp;";",""),IF(AND($G58&lt;Hta_7,$G58&gt;=Hba_7,Input!AK$27&lt;&gt;""),Input!$B$27&amp;";",""),IF(AND($G58&lt;Hta_8,$G58&gt;=Hba_8,Input!AK$28&lt;&gt;""),Input!$B$28&amp;";",""),IF(AND($G58&lt;Hta_9,$G58&gt;=Hba_9,Input!AK$29&lt;&gt;""),Input!$B$29&amp;";",""),IF(AND($G58&lt;Hta_10,$G58&gt;=Hba_10,Input!AK$30&lt;&gt;""),Input!$B$30&amp;";",""),IF(AND($G58&lt;Hta_11,$G58&gt;=Hba_11,Input!AK$31&lt;&gt;""),Input!$B$31&amp;";",""),IF(AND($G58&lt;Hta_12,$G58&gt;=Hba_12,Input!AK$32&lt;&gt;""),Input!$B$32&amp;";",""),IF(AND($G58&lt;Hta_13,$G58&gt;=Hba_13,Input!AK$33&lt;&gt;""),Input!$B$33&amp;";",""),IF(AND($G58&lt;Hta_14,$G58&gt;=Hba_14,Input!AK$34&lt;&gt;""),Input!$B$34&amp;";",""),IF(AND($G58&lt;Hta_15,$G58&gt;=Hba_15,Input!AK$35&lt;&gt;""),Input!$B$35&amp;";",""),IF(AND($G58&lt;Hta_16,$G58&gt;=Hba_16,Input!AK$36&lt;&gt;""),Input!$B$36&amp;";",""),IF(AND($G58&lt;Hta_17,$G58&gt;=Hba_17,Input!AK$37&lt;&gt;""),Input!$B$37&amp;";",""),IF(AND($G58&lt;Hta_18,$G58&gt;=Hba_18,Input!AK$38&lt;&gt;""),Input!$B$38&amp;";",""),IF(AND($G58&lt;Hta_19,$G58&gt;=Hba_19,Input!AK$39&lt;&gt;""),Input!$B$39&amp;";",""),IF(AND($G58&lt;Hta_20,$G58&gt;=Hba_20,Input!AK$40&lt;&gt;""),Input!$B$40&amp;";",""),IF(AND($G58&lt;Hta_21,$G58&gt;=Hba_21,Input!AK$41&lt;&gt;""),Input!$B$41&amp;";",""),IF(AND($G58&lt;Hta_22,$G58&gt;=Hba_22,Input!AK$42&lt;&gt;""),Input!$B$42&amp;";",""),IF(AND($G58&lt;Hta_23,$G58&gt;=Hba_23,Input!AK$43&lt;&gt;""),Input!$B$43&amp;";",""),IF(AND($G58&lt;Hta_24,$G58&gt;=Hba_24,Input!AK$44&lt;&gt;""),Input!$B$44&amp;";",""),IF(AND($G58&lt;Hta_25,$G58&gt;=Hba_25,Input!AK$45&lt;&gt;""),Input!$B$45&amp;";",""),IF(AND($G58&lt;Hta_26,$G58&gt;=Hba_26,Input!AK$46&lt;&gt;""),Input!$B$46&amp;";",""),IF(AND($G58&lt;Hta_27,$G58&gt;=Hba_27,Input!AK$47&lt;&gt;""),Input!$B$47&amp;";",""),IF(AND($G58&lt;Hta_28,$G58&gt;=Hba_28,Input!AK$48&lt;&gt;""),Input!$B$48&amp;";",""),IF(AND($G58&lt;Hta_29,$G58&gt;=Hba_29,Input!AK$49&lt;&gt;""),Input!$B$49&amp;";",""),IF(AND($G58&lt;Hta_30,$G58&gt;=Hba_30,Input!AK$50&lt;&gt;""),Input!$B$50&amp;";","")),"")</f>
        <v/>
      </c>
      <c r="CM58" s="25" t="str">
        <f>IFERROR(CONCATENATE(IF(AND($G58&lt;Hta_1,$G58&gt;=Hba_1,Input!AL$21&lt;&gt;""),Input!$B$21&amp;";",""),IF(AND($G58&lt;Hta_2,$G58&gt;=Hba_2,Input!AL$22&lt;&gt;""),Input!$B$22&amp;";",""),IF(AND($G58&lt;Hta_3,$G58&gt;=Hba_3,Input!AL$23&lt;&gt;""),Input!$B$23&amp;";",""),IF(AND($G58&lt;Hta_4,$G58&gt;=Hba_4,Input!AL$24&lt;&gt;""),Input!$B$24&amp;";",""),IF(AND($G58&lt;Hta_5,$G58&gt;=Hba_5,Input!AL$25&lt;&gt;""),Input!$B$25&amp;";",""),IF(AND($G58&lt;Hta_6,$G58&gt;=Hba_6,Input!AL$26&lt;&gt;""),Input!$B$26&amp;";",""),IF(AND($G58&lt;Hta_7,$G58&gt;=Hba_7,Input!AL$27&lt;&gt;""),Input!$B$27&amp;";",""),IF(AND($G58&lt;Hta_8,$G58&gt;=Hba_8,Input!AL$28&lt;&gt;""),Input!$B$28&amp;";",""),IF(AND($G58&lt;Hta_9,$G58&gt;=Hba_9,Input!AL$29&lt;&gt;""),Input!$B$29&amp;";",""),IF(AND($G58&lt;Hta_10,$G58&gt;=Hba_10,Input!AL$30&lt;&gt;""),Input!$B$30&amp;";",""),IF(AND($G58&lt;Hta_11,$G58&gt;=Hba_11,Input!AL$31&lt;&gt;""),Input!$B$31&amp;";",""),IF(AND($G58&lt;Hta_12,$G58&gt;=Hba_12,Input!AL$32&lt;&gt;""),Input!$B$32&amp;";",""),IF(AND($G58&lt;Hta_13,$G58&gt;=Hba_13,Input!AL$33&lt;&gt;""),Input!$B$33&amp;";",""),IF(AND($G58&lt;Hta_14,$G58&gt;=Hba_14,Input!AL$34&lt;&gt;""),Input!$B$34&amp;";",""),IF(AND($G58&lt;Hta_15,$G58&gt;=Hba_15,Input!AL$35&lt;&gt;""),Input!$B$35&amp;";",""),IF(AND($G58&lt;Hta_16,$G58&gt;=Hba_16,Input!AL$36&lt;&gt;""),Input!$B$36&amp;";",""),IF(AND($G58&lt;Hta_17,$G58&gt;=Hba_17,Input!AL$37&lt;&gt;""),Input!$B$37&amp;";",""),IF(AND($G58&lt;Hta_18,$G58&gt;=Hba_18,Input!AL$38&lt;&gt;""),Input!$B$38&amp;";",""),IF(AND($G58&lt;Hta_19,$G58&gt;=Hba_19,Input!AL$39&lt;&gt;""),Input!$B$39&amp;";",""),IF(AND($G58&lt;Hta_20,$G58&gt;=Hba_20,Input!AL$40&lt;&gt;""),Input!$B$40&amp;";",""),IF(AND($G58&lt;Hta_21,$G58&gt;=Hba_21,Input!AL$41&lt;&gt;""),Input!$B$41&amp;";",""),IF(AND($G58&lt;Hta_22,$G58&gt;=Hba_22,Input!AL$42&lt;&gt;""),Input!$B$42&amp;";",""),IF(AND($G58&lt;Hta_23,$G58&gt;=Hba_23,Input!AL$43&lt;&gt;""),Input!$B$43&amp;";",""),IF(AND($G58&lt;Hta_24,$G58&gt;=Hba_24,Input!AL$44&lt;&gt;""),Input!$B$44&amp;";",""),IF(AND($G58&lt;Hta_25,$G58&gt;=Hba_25,Input!AL$45&lt;&gt;""),Input!$B$45&amp;";",""),IF(AND($G58&lt;Hta_26,$G58&gt;=Hba_26,Input!AL$46&lt;&gt;""),Input!$B$46&amp;";",""),IF(AND($G58&lt;Hta_27,$G58&gt;=Hba_27,Input!AL$47&lt;&gt;""),Input!$B$47&amp;";",""),IF(AND($G58&lt;Hta_28,$G58&gt;=Hba_28,Input!AL$48&lt;&gt;""),Input!$B$48&amp;";",""),IF(AND($G58&lt;Hta_29,$G58&gt;=Hba_29,Input!AL$49&lt;&gt;""),Input!$B$49&amp;";",""),IF(AND($G58&lt;Hta_30,$G58&gt;=Hba_30,Input!AL$50&lt;&gt;""),Input!$B$50&amp;";","")),"")</f>
        <v/>
      </c>
      <c r="CN58" s="59" t="str">
        <f t="shared" si="6"/>
        <v/>
      </c>
      <c r="CO58" s="791"/>
      <c r="CP58" s="792"/>
      <c r="CQ58" s="793"/>
      <c r="CR58" s="791"/>
      <c r="CS58" s="792"/>
      <c r="CT58" s="793"/>
      <c r="CU58" s="791" t="str">
        <f t="shared" si="7"/>
        <v/>
      </c>
      <c r="CV58" s="792"/>
      <c r="CW58" s="807"/>
      <c r="CX58" s="808"/>
      <c r="CY58" s="730"/>
      <c r="CZ58" s="809"/>
      <c r="DA58" s="733"/>
      <c r="DB58" s="734"/>
      <c r="DC58" s="735"/>
      <c r="DD58" s="729" t="str">
        <f t="shared" si="8"/>
        <v/>
      </c>
      <c r="DE58" s="730"/>
      <c r="DF58" s="731"/>
      <c r="DG58" s="55"/>
      <c r="DH58" s="56"/>
      <c r="DI58" s="56"/>
      <c r="DJ58" s="56"/>
      <c r="DK58" s="56"/>
      <c r="DL58" s="56"/>
      <c r="DM58" s="56"/>
      <c r="DN58" s="56"/>
      <c r="DO58" s="56"/>
      <c r="DP58" s="56"/>
      <c r="DQ58" s="58"/>
      <c r="DR58" s="58"/>
      <c r="DS58" s="58"/>
      <c r="DT58" s="58"/>
      <c r="DU58" s="58"/>
      <c r="DV58" s="58"/>
      <c r="DW58" s="58"/>
      <c r="DX58" s="58"/>
      <c r="DY58" s="58"/>
      <c r="DZ58" s="58"/>
      <c r="EA58" s="58"/>
      <c r="EB58" s="58"/>
      <c r="EC58" s="58"/>
      <c r="ED58" s="58"/>
      <c r="EE58" s="58"/>
      <c r="EF58" s="58"/>
      <c r="EG58" s="58"/>
      <c r="EH58" s="58"/>
      <c r="EI58" s="58"/>
      <c r="EJ58" s="58"/>
      <c r="EK58" s="58"/>
      <c r="EL58" s="134"/>
      <c r="EM58" s="134"/>
      <c r="EN58" s="134"/>
      <c r="EO58" s="134"/>
      <c r="EP58" s="134"/>
      <c r="EQ58" s="134"/>
      <c r="ER58" s="134"/>
      <c r="ES58" s="134"/>
      <c r="ET58" s="134"/>
      <c r="EU58" s="134"/>
      <c r="EV58" s="134"/>
      <c r="EW58" s="134"/>
      <c r="EX58" s="134"/>
      <c r="EY58" s="134"/>
      <c r="EZ58" s="134"/>
      <c r="FA58" s="134"/>
      <c r="FB58" s="134"/>
      <c r="FC58" s="134"/>
      <c r="FD58" s="134"/>
      <c r="FE58" s="134"/>
      <c r="FF58" s="134"/>
      <c r="FG58" s="134"/>
      <c r="FH58" s="134"/>
      <c r="FI58" s="134"/>
      <c r="FJ58" s="134"/>
      <c r="FK58" s="134"/>
      <c r="FL58" s="134"/>
      <c r="FM58" s="134"/>
      <c r="FN58" s="134"/>
      <c r="FO58" s="134"/>
      <c r="FQ58" s="124"/>
      <c r="FR58" s="122"/>
      <c r="FS58" s="120"/>
      <c r="FT58" s="119"/>
    </row>
    <row r="59" spans="2:176" ht="15.75" hidden="1" thickBot="1" x14ac:dyDescent="0.3">
      <c r="B59" s="62" t="b">
        <f>IF(OR(AND(G59&gt;='Geometry 2'!$AK$5,G59&lt;'Geometry 2'!$AL$5),AND(G59&gt;='Geometry 2'!$AK$6,G59&lt;'Geometry 2'!$AL$6),AND(G59&gt;='Geometry 2'!$AK$7,G59&lt;'Geometry 2'!$AL$7),AND(G59&gt;='Geometry 2'!$AK$8,G59&lt;'Geometry 2'!$AL$8),AND(G59&gt;='Geometry 2'!$AK$9,G59&lt;'Geometry 2'!$AL$9),AND(G59&gt;='Geometry 2'!$AK$10,G59&lt;'Geometry 2'!$AL$10),AND(G59&gt;='Geometry 2'!$AK$11,G59&lt;'Geometry 2'!$AL$11),AND(G59&gt;='Geometry 2'!$AK$12,G59&lt;'Geometry 2'!$AL$12),AND(G59&gt;='Geometry 2'!$AK$13,G59&lt;'Geometry 2'!$AL$13),AND(G59&gt;='Geometry 2'!$AK$14,G59&lt;'Geometry 2'!$AL$14)),TRUE,FALSE)</f>
        <v>0</v>
      </c>
      <c r="C59" s="4" t="str">
        <f t="shared" si="3"/>
        <v/>
      </c>
      <c r="D59" s="766" t="str">
        <f t="shared" si="4"/>
        <v/>
      </c>
      <c r="E59" s="767"/>
      <c r="F59" s="17" t="str">
        <f t="shared" si="2"/>
        <v/>
      </c>
      <c r="G59" s="768" t="str">
        <f>IF(D59="","",MAX(0,G58-IF(inc="n/a",999,inc),MAX(IF(G58&lt;=Hta_1,0,Hta_1),IF(G58&lt;=Hta_2,0,Hta_2),IF(G58&lt;=Hta_3,0,Hta_3),IF(G58&lt;=Hta_4,0,Hta_4),IF(G58&lt;=Hta_5,0,Hta_5),IF(G58&lt;=Hta_6,0,Hta_6),IF(G58&lt;=Hta_7,0,Hta_7),IF(G58&lt;=Hta_8,0,Hta_8),IF(G58&lt;=Hta_9,0,Hta_9),IF(G58&lt;=Hta_10,0,Hta_10),IF(G58&lt;=Hta_11,0,Hta_11),IF(G58&lt;=Hta_12,0,Hta_12),IF(G58&lt;=Hta_13,0,Hta_13),IF(G58&lt;=Hta_14,0,Hta_14),IF(G58&lt;=Hta_15,0,Hta_15),IF(G58&lt;=Hta_16,0,Hta_16),IF(G58&lt;=Hta_17,0,Hta_17),IF(G58&lt;=Hta_18,0,Hta_18),IF(G58&lt;=Hta_19,0,Hta_19),IF(G58&lt;=Hta_20,0,Hta_20),IF(G58&lt;=Hta_21,0,Hta_21),IF(G58&lt;=Hta_22,0,Hta_22),IF(G58&lt;=Hta_23,0,Hta_23),IF(G58&lt;=Hta_24,0,Hta_24),IF(G58&lt;=Hta_25,0,Hta_25),IF(G58&lt;=Hta_26,0,Hta_26),IF(G58&lt;=Hta_27,0,Hta_27),IF(G58&lt;=Hta_28,0,Hta_28),IF(G58&lt;=Hta_29,0,Hta_29),IF(G58&lt;=Hta_30,0,Hta_30)),MAX(IF(G58&lt;=Hta_1-0.25,0,Hta_1-0.25),IF(G58&lt;=Hta_2-0.25,0,Hta_2-0.25),IF(G58&lt;=Hta_3-0.25,0,Hta_3-0.25),IF(G58&lt;=Hta_4-0.25,0,Hta_4-0.25),IF(G58&lt;=Hta_5-0.25,0,Hta_5-0.25),IF(G58&lt;=Hta_6-0.25,0,Hta_6-0.25),IF(G58&lt;=Hta_7-0.25,0,Hta_7-0.25),IF(G58&lt;=Hta_8-0.25,0,Hta_8-0.25),IF(G58&lt;=Hta_9-0.25,0,Hta_9-0.25),IF(G58&lt;=Hta_10-0.25,0,Hta_10-0.25),IF(G58&lt;=Hta_11-0.25,0,Hta_11-0.25),IF(G58&lt;=Hta_12-0.25,0,Hta_12-0.25),IF(G58&lt;=Hta_13-0.25,0,Hta_13-0.25),IF(G58&lt;=Hta_14-0.25,0,Hta_14-0.25),IF(G58&lt;=Hta_15-0.25,0,Hta_15-0.25),IF(G58&lt;=Hta_16-0.25,0,Hta_16-0.25),IF(G58&lt;=Hta_17-0.25,0,Hta_17-0.25),IF(G58&lt;=Hta_18-0.25,0,Hta_18-0.25),IF(G58&lt;=Hta_19-0.25,0,Hta_19-0.25),IF(G58&lt;=Hta_20-0.25,0,Hta_20-0.25),IF(G58&lt;=Hta_21-0.25,0,Hta_21-0.25),IF(G58&lt;=Hta_22-0.25,0,Hta_22-0.25),IF(G58&lt;=Hta_23-0.25,0,Hta_23-0.25),IF(G58&lt;=Hta_24-0.25,0,Hta_24-0.25),IF(G58&lt;=Hta_25-0.25,0,Hta_25-0.25),IF(G58&lt;=Hta_26-0.25,0,Hta_26-0.25),IF(G58&lt;=Hta_27-0.25,0,Hta_27-0.25),IF(G58&lt;=Hta_28-0.25,0,Hta_28-0.25),IF(G58&lt;=Hta_29-0.25,0,Hta_29-0.25),IF(G58&lt;=Hta_30-0.25,0,Hta_30-0.25)),MAX(IF(G58&lt;=Hba_1,0,Hba_1),IF(G58&lt;=Hba_2,0,Hba_2),IF(G58&lt;=Hba_3,0,Hba_3),IF(G58&lt;=Hba_4,0,Hba_4),IF(G58&lt;=Hba_5,0,Hba_5),IF(G58&lt;=Hba_6,0,Hba_6),IF(G58&lt;=Hba_7,0,Hba_7),IF(G58&lt;=Hba_8,0,Hba_8),IF(G58&lt;=Hba_9,0,Hba_9),IF(G58&lt;=Hba_10,0,Hba_10),IF(G58&lt;=Hba_11,0,Hba_11),IF(G58&lt;=Hba_12,0,Hba_12),IF(G58&lt;=Hba_13,0,Hba_13),IF(G58&lt;=Hba_14,0,Hba_14),IF(G58&lt;=Hba_15,0,Hba_15),IF(G58&lt;=Hba_16,0,Hba_16),IF(G58&lt;=Hba_17,0,Hba_17),IF(G58&lt;=Hba_18,0,Hba_18),IF(G58&lt;=Hba_19,0,Hba_19),IF(G58&lt;=Hba_20,0,Hba_20),IF(G58&lt;=Hba_21,0,Hba_21),IF(G58&lt;=Hba_22,0,Hba_22),IF(G58&lt;=Hba_23,0,Hba_23),IF(G58&lt;=Hba_24,0,Hba_24),IF(G58&lt;=Hba_25,0,Hba_25),IF(G58&lt;=Hba_26,0,Hba_26),IF(G58&lt;=Hba_27,0,Hba_27),IF(G58&lt;=Hba_28,0,Hba_28),IF(G58&lt;=Hba_29,0,Hba_29),IF(G58&lt;=Hba_30,0,Hba_30)),MAX(IF(G58&lt;=Input!$C$8,0,Input!$C$8),IF(G58&lt;=Input!$C$9,0,Input!$C$9),IF(G58&lt;=Input!$C$10,0,Input!$C$10),IF(G58&lt;=Input!$C$11,0,Input!$C$11),IF(G58&lt;=Input!$C$12,0,Input!$C$12),IF(G58&lt;=Input!$C$13,0,Input!$C$13),IF(G58&lt;=Input!$C$14,0,Input!$C$14),IF(G58&lt;=Input!$C$15,0,Input!$C$15),IF(G58&lt;=Input!$C$16,0,Input!$C$16)),MAX(IF(G58&lt;=Hba_1-0.25,0,Hba_1-0.25),IF(G58&lt;=Hba_2-0.25,0,Hba_2-0.25),IF(G58&lt;=Hba_3-0.25,0,Hba_3-0.25),IF(G58&lt;=Hba_4-0.25,0,Hba_4-0.25),IF(G58&lt;=Hba_5-0.25,0,Hba_5-0.25),IF(G58&lt;=Hba_6-0.25,0,Hba_6-0.25),IF(G58&lt;=Hba_7-0.25,0,Hba_7-0.25),IF(G58&lt;=Hba_8-0.25,0,Hba_8-0.25),IF(G58&lt;=Hba_9-0.25,0,Hba_9-0.25),IF(G58&lt;=Hba_10-0.25,0,Hba_10-0.25),IF(G58&lt;=Hba_11-0.25,0,Hba_11-0.25),IF(G58&lt;=Hba_12-0.25,0,Hba_12-0.25),IF(G58&lt;=Hba_13-0.25,0,Hba_13-0.25),IF(G58&lt;=Hba_14-0.25,0,Hba_14-0.25),IF(G58&lt;=Hba_15-0.25,0,Hba_15-0.25),IF(G58&lt;=Hba_16-0.25,0,Hba_16-0.25),IF(G58&lt;=Hba_17-0.25,0,Hba_17-0.25),IF(G58&lt;=Hba_18-0.25,0,Hba_18-0.25),IF(G58&lt;=Hba_19-0.25,0,Hba_19-0.25),IF(G58&lt;=Hba_20-0.25,0,Hba_20-0.25),IF(G58&lt;=Hba_21-0.25,0,Hba_21-0.25),IF(G58&lt;=Hba_22-0.25,0,Hba_22-0.25),IF(G58&lt;=Hba_23-0.25,0,Hba_23-0.25),IF(G58&lt;=Hba_24-0.25,0,Hba_24-0.25),IF(G58&lt;=Hba_25-0.25,0,Hba_25-0.25),IF(G58&lt;=Hba_26-0.25,0,Hba_26-0.25),IF(G58&lt;=Hba_27-0.25,0,Hba_27-0.25),IF(G58&lt;=Hba_28-0.25,0,Hba_28-0.25),IF(G58&lt;=Hba_29-0.25,0,Hba_29-0.25),IF(G58&lt;=Hba_30-0.25,0,Hba_30-0.25)),IF(G58&lt;='Macro References'!$A$38,0,'Macro References'!$A$38)))</f>
        <v/>
      </c>
      <c r="H59" s="769"/>
      <c r="I59" s="228"/>
      <c r="J59" s="228"/>
      <c r="K59" s="228"/>
      <c r="L59" s="717" t="str">
        <f t="shared" si="10"/>
        <v/>
      </c>
      <c r="M59" s="717"/>
      <c r="N59" s="717"/>
      <c r="O59" s="717"/>
      <c r="P59" s="717" t="str">
        <f>IF(OR(G59=0,G59=""),"",IF(VLOOKUP(G59,'Geometry 2'!$C$4:$AI$14,1,TRUE)=VLOOKUP(G60,'Geometry 2'!$C$4:$AI$14,1,TRUE),"",IF(VLOOKUP(G59,'Geometry 2'!$C$4:$AI$14,33,TRUE)&lt;&gt;"n/a",MIN(G59,VLOOKUP(G59,'Geometry 2'!$C$4:$AI$14,1,TRUE))-VLOOKUP(G59,'Geometry 2'!$C$4:$AI$14,33,TRUE),"check")))</f>
        <v/>
      </c>
      <c r="Q59" s="717"/>
      <c r="R59" s="717"/>
      <c r="S59" s="717"/>
      <c r="T59" s="717" t="str">
        <f>IF($G59="","",VLOOKUP($G59,'Geometry 2'!$E$4:$AH$14,11,TRUE))</f>
        <v/>
      </c>
      <c r="U59" s="717"/>
      <c r="V59" s="717"/>
      <c r="W59" s="717"/>
      <c r="X59" s="716" t="str">
        <f>IF($G59="","",VLOOKUP($G59,'Geometry 2'!$E$4:$AJ$14,19,TRUE)-12*VLOOKUP($G59,'Geometry 2'!$E$4:$AJ$14,32,TRUE)*($D59-VLOOKUP($G59,'Geometry 2'!$E$5:$AH$14,1,TRUE)))</f>
        <v/>
      </c>
      <c r="Y59" s="716"/>
      <c r="Z59" s="716"/>
      <c r="AA59" s="716"/>
      <c r="AB59" s="757" t="str">
        <f>IF($G59="","",VLOOKUP($G59,'Geometry 2'!$E$4:$AJ$14,19,TRUE)-12*VLOOKUP($G59,'Geometry 2'!$E$4:$AJ$14,32,TRUE)*($G59-VLOOKUP($G59,'Geometry 2'!$E$5:$AH$14,1,TRUE)))</f>
        <v/>
      </c>
      <c r="AC59" s="758"/>
      <c r="AD59" s="758"/>
      <c r="AE59" s="759"/>
      <c r="AF59" s="716" t="str">
        <f>IF($G59="","",VLOOKUP($G59,'Geometry 2'!$E$4:$AJ$14,19,TRUE)-12*VLOOKUP($G59,'Geometry 2'!$E$4:$AJ$14,32,TRUE)*($G59-IF($P59="",0,$P59)-VLOOKUP($G59,'Geometry 2'!$E$5:$AH$14,1,TRUE)))</f>
        <v/>
      </c>
      <c r="AG59" s="716"/>
      <c r="AH59" s="716"/>
      <c r="AI59" s="716"/>
      <c r="AJ59" s="746" t="str">
        <f>IF($G59="","",VLOOKUP($G59,'Geometry 2'!$E$4:$AH$14,23,TRUE))</f>
        <v/>
      </c>
      <c r="AK59" s="747"/>
      <c r="AL59" s="747"/>
      <c r="AM59" s="748"/>
      <c r="AN59" s="717"/>
      <c r="AO59" s="717"/>
      <c r="AP59" s="717"/>
      <c r="AQ59" s="717"/>
      <c r="AR59" s="717" t="str">
        <f>IF($G59="","",VLOOKUP($G59,'Geometry 2'!$E$4:$AH$14,27,TRUE))</f>
        <v/>
      </c>
      <c r="AS59" s="717"/>
      <c r="AT59" s="717"/>
      <c r="AU59" s="718"/>
      <c r="AV59" s="715"/>
      <c r="AW59" s="716"/>
      <c r="AX59" s="716"/>
      <c r="AZ59" s="722" t="str">
        <f t="shared" si="5"/>
        <v/>
      </c>
      <c r="BA59" s="723"/>
      <c r="BB59" s="723"/>
      <c r="BC59" s="724"/>
      <c r="BD59" s="722"/>
      <c r="BE59" s="723"/>
      <c r="BF59" s="723"/>
      <c r="BG59" s="722" t="str">
        <f t="shared" si="9"/>
        <v/>
      </c>
      <c r="BH59" s="723"/>
      <c r="BI59" s="723"/>
      <c r="BJ59" s="723"/>
      <c r="BK59" s="724"/>
      <c r="BL59" s="722"/>
      <c r="BM59" s="723"/>
      <c r="BN59" s="723"/>
      <c r="BO59" s="723"/>
      <c r="BP59" s="725"/>
      <c r="BQ59" s="725"/>
      <c r="BR59" s="722" t="str">
        <f>IF(BP59="","",IF(OR(AND(Rev="H",Calculations!$F$27=TRUE),AND(Rev&lt;&gt;"H",Calculations!$F$30=TRUE)),IF(BP59&lt;=1,"Pass","Fail"),IF(BP59&lt;=1.05,"Pass","Fail")))</f>
        <v/>
      </c>
      <c r="BS59" s="723"/>
      <c r="BT59" s="724"/>
      <c r="BU59" s="49"/>
      <c r="BV59" s="25" t="str">
        <f>IFERROR(CONCATENATE(IF(AND($G59&lt;Hta_1,$G59&gt;=Hba_1,Input!U$21&lt;&gt;""),Input!$B$21&amp;";",""),IF(AND($G59&lt;Hta_2,$G59&gt;=Hba_2,Input!U$22&lt;&gt;""),Input!$B$22&amp;";",""),IF(AND($G59&lt;Hta_3,$G59&gt;=Hba_3,Input!U$23&lt;&gt;""),Input!$B$23&amp;";",""),IF(AND($G59&lt;Hta_4,$G59&gt;=Hba_4,Input!U$24&lt;&gt;""),Input!$B$24&amp;";",""),IF(AND($G59&lt;Hta_5,$G59&gt;=Hba_5,Input!U$25&lt;&gt;""),Input!$B$25&amp;";",""),IF(AND($G59&lt;Hta_6,$G59&gt;=Hba_6,Input!U$26&lt;&gt;""),Input!$B$26&amp;";",""),IF(AND($G59&lt;Hta_7,$G59&gt;=Hba_7,Input!U$27&lt;&gt;""),Input!$B$27&amp;";",""),IF(AND($G59&lt;Hta_8,$G59&gt;=Hba_8,Input!U$28&lt;&gt;""),Input!$B$28&amp;";",""),IF(AND($G59&lt;Hta_9,$G59&gt;=Hba_9,Input!U$29&lt;&gt;""),Input!$B$29&amp;";",""),IF(AND($G59&lt;Hta_10,$G59&gt;=Hba_10,Input!U$30&lt;&gt;""),Input!$B$30&amp;";",""),IF(AND($G59&lt;Hta_11,$G59&gt;=Hba_11,Input!U$31&lt;&gt;""),Input!$B$31&amp;";",""),IF(AND($G59&lt;Hta_12,$G59&gt;=Hba_12,Input!U$32&lt;&gt;""),Input!$B$32&amp;";",""),IF(AND($G59&lt;Hta_13,$G59&gt;=Hba_13,Input!U$33&lt;&gt;""),Input!$B$33&amp;";",""),IF(AND($G59&lt;Hta_14,$G59&gt;=Hba_14,Input!U$34&lt;&gt;""),Input!$B$34&amp;";",""),IF(AND($G59&lt;Hta_15,$G59&gt;=Hba_15,Input!U$35&lt;&gt;""),Input!$B$35&amp;";",""),IF(AND($G59&lt;Hta_16,$G59&gt;=Hba_16,Input!U$36&lt;&gt;""),Input!$B$36&amp;";",""),IF(AND($G59&lt;Hta_17,$G59&gt;=Hba_17,Input!U$37&lt;&gt;""),Input!$B$37&amp;";",""),IF(AND($G59&lt;Hta_18,$G59&gt;=Hba_18,Input!U$38&lt;&gt;""),Input!$B$38&amp;";",""),IF(AND($G59&lt;Hta_19,$G59&gt;=Hba_19,Input!U$39&lt;&gt;""),Input!$B$39&amp;";",""),IF(AND($G59&lt;Hta_20,$G59&gt;=Hba_20,Input!U$40&lt;&gt;""),Input!$B$40&amp;";",""),IF(AND($G59&lt;Hta_21,$G59&gt;=Hba_21,Input!U$41&lt;&gt;""),Input!$B$41&amp;";",""),IF(AND($G59&lt;Hta_22,$G59&gt;=Hba_22,Input!U$42&lt;&gt;""),Input!$B$42&amp;";",""),IF(AND($G59&lt;Hta_23,$G59&gt;=Hba_23,Input!U$43&lt;&gt;""),Input!$B$43&amp;";",""),IF(AND($G59&lt;Hta_24,$G59&gt;=Hba_24,Input!U$44&lt;&gt;""),Input!$B$44&amp;";",""),IF(AND($G59&lt;Hta_25,$G59&gt;=Hba_25,Input!U$45&lt;&gt;""),Input!$B$45&amp;";",""),IF(AND($G59&lt;Hta_26,$G59&gt;=Hba_26,Input!U$46&lt;&gt;""),Input!$B$46&amp;";",""),IF(AND($G59&lt;Hta_27,$G59&gt;=Hba_27,Input!U$47&lt;&gt;""),Input!$B$47&amp;";",""),IF(AND($G59&lt;Hta_28,$G59&gt;=Hba_28,Input!U$48&lt;&gt;""),Input!$B$48&amp;";",""),IF(AND($G59&lt;Hta_29,$G59&gt;=Hba_29,Input!U$49&lt;&gt;""),Input!$B$49&amp;";",""),IF(AND($G59&lt;Hta_30,$G59&gt;=Hba_30,Input!U$50&lt;&gt;""),Input!$B$50&amp;";","")),"")</f>
        <v/>
      </c>
      <c r="BW59" s="25" t="str">
        <f>IFERROR(CONCATENATE(IF(AND($G59&lt;Hta_1,$G59&gt;=Hba_1,Input!V$21&lt;&gt;""),Input!$B$21&amp;";",""),IF(AND($G59&lt;Hta_2,$G59&gt;=Hba_2,Input!V$22&lt;&gt;""),Input!$B$22&amp;";",""),IF(AND($G59&lt;Hta_3,$G59&gt;=Hba_3,Input!V$23&lt;&gt;""),Input!$B$23&amp;";",""),IF(AND($G59&lt;Hta_4,$G59&gt;=Hba_4,Input!V$24&lt;&gt;""),Input!$B$24&amp;";",""),IF(AND($G59&lt;Hta_5,$G59&gt;=Hba_5,Input!V$25&lt;&gt;""),Input!$B$25&amp;";",""),IF(AND($G59&lt;Hta_6,$G59&gt;=Hba_6,Input!V$26&lt;&gt;""),Input!$B$26&amp;";",""),IF(AND($G59&lt;Hta_7,$G59&gt;=Hba_7,Input!V$27&lt;&gt;""),Input!$B$27&amp;";",""),IF(AND($G59&lt;Hta_8,$G59&gt;=Hba_8,Input!V$28&lt;&gt;""),Input!$B$28&amp;";",""),IF(AND($G59&lt;Hta_9,$G59&gt;=Hba_9,Input!V$29&lt;&gt;""),Input!$B$29&amp;";",""),IF(AND($G59&lt;Hta_10,$G59&gt;=Hba_10,Input!V$30&lt;&gt;""),Input!$B$30&amp;";",""),IF(AND($G59&lt;Hta_11,$G59&gt;=Hba_11,Input!V$31&lt;&gt;""),Input!$B$31&amp;";",""),IF(AND($G59&lt;Hta_12,$G59&gt;=Hba_12,Input!V$32&lt;&gt;""),Input!$B$32&amp;";",""),IF(AND($G59&lt;Hta_13,$G59&gt;=Hba_13,Input!V$33&lt;&gt;""),Input!$B$33&amp;";",""),IF(AND($G59&lt;Hta_14,$G59&gt;=Hba_14,Input!V$34&lt;&gt;""),Input!$B$34&amp;";",""),IF(AND($G59&lt;Hta_15,$G59&gt;=Hba_15,Input!V$35&lt;&gt;""),Input!$B$35&amp;";",""),IF(AND($G59&lt;Hta_16,$G59&gt;=Hba_16,Input!V$36&lt;&gt;""),Input!$B$36&amp;";",""),IF(AND($G59&lt;Hta_17,$G59&gt;=Hba_17,Input!V$37&lt;&gt;""),Input!$B$37&amp;";",""),IF(AND($G59&lt;Hta_18,$G59&gt;=Hba_18,Input!V$38&lt;&gt;""),Input!$B$38&amp;";",""),IF(AND($G59&lt;Hta_19,$G59&gt;=Hba_19,Input!V$39&lt;&gt;""),Input!$B$39&amp;";",""),IF(AND($G59&lt;Hta_20,$G59&gt;=Hba_20,Input!V$40&lt;&gt;""),Input!$B$40&amp;";",""),IF(AND($G59&lt;Hta_21,$G59&gt;=Hba_21,Input!V$41&lt;&gt;""),Input!$B$41&amp;";",""),IF(AND($G59&lt;Hta_22,$G59&gt;=Hba_22,Input!V$42&lt;&gt;""),Input!$B$42&amp;";",""),IF(AND($G59&lt;Hta_23,$G59&gt;=Hba_23,Input!V$43&lt;&gt;""),Input!$B$43&amp;";",""),IF(AND($G59&lt;Hta_24,$G59&gt;=Hba_24,Input!V$44&lt;&gt;""),Input!$B$44&amp;";",""),IF(AND($G59&lt;Hta_25,$G59&gt;=Hba_25,Input!V$45&lt;&gt;""),Input!$B$45&amp;";",""),IF(AND($G59&lt;Hta_26,$G59&gt;=Hba_26,Input!V$46&lt;&gt;""),Input!$B$46&amp;";",""),IF(AND($G59&lt;Hta_27,$G59&gt;=Hba_27,Input!V$47&lt;&gt;""),Input!$B$47&amp;";",""),IF(AND($G59&lt;Hta_28,$G59&gt;=Hba_28,Input!V$48&lt;&gt;""),Input!$B$48&amp;";",""),IF(AND($G59&lt;Hta_29,$G59&gt;=Hba_29,Input!V$49&lt;&gt;""),Input!$B$49&amp;";",""),IF(AND($G59&lt;Hta_30,$G59&gt;=Hba_30,Input!V$50&lt;&gt;""),Input!$B$50&amp;";","")),"")</f>
        <v/>
      </c>
      <c r="BX59" s="25" t="str">
        <f>IFERROR(CONCATENATE(IF(AND($G59&lt;Hta_1,$G59&gt;=Hba_1,Input!W$21&lt;&gt;""),Input!$B$21&amp;";",""),IF(AND($G59&lt;Hta_2,$G59&gt;=Hba_2,Input!W$22&lt;&gt;""),Input!$B$22&amp;";",""),IF(AND($G59&lt;Hta_3,$G59&gt;=Hba_3,Input!W$23&lt;&gt;""),Input!$B$23&amp;";",""),IF(AND($G59&lt;Hta_4,$G59&gt;=Hba_4,Input!W$24&lt;&gt;""),Input!$B$24&amp;";",""),IF(AND($G59&lt;Hta_5,$G59&gt;=Hba_5,Input!W$25&lt;&gt;""),Input!$B$25&amp;";",""),IF(AND($G59&lt;Hta_6,$G59&gt;=Hba_6,Input!W$26&lt;&gt;""),Input!$B$26&amp;";",""),IF(AND($G59&lt;Hta_7,$G59&gt;=Hba_7,Input!W$27&lt;&gt;""),Input!$B$27&amp;";",""),IF(AND($G59&lt;Hta_8,$G59&gt;=Hba_8,Input!W$28&lt;&gt;""),Input!$B$28&amp;";",""),IF(AND($G59&lt;Hta_9,$G59&gt;=Hba_9,Input!W$29&lt;&gt;""),Input!$B$29&amp;";",""),IF(AND($G59&lt;Hta_10,$G59&gt;=Hba_10,Input!W$30&lt;&gt;""),Input!$B$30&amp;";",""),IF(AND($G59&lt;Hta_11,$G59&gt;=Hba_11,Input!W$31&lt;&gt;""),Input!$B$31&amp;";",""),IF(AND($G59&lt;Hta_12,$G59&gt;=Hba_12,Input!W$32&lt;&gt;""),Input!$B$32&amp;";",""),IF(AND($G59&lt;Hta_13,$G59&gt;=Hba_13,Input!W$33&lt;&gt;""),Input!$B$33&amp;";",""),IF(AND($G59&lt;Hta_14,$G59&gt;=Hba_14,Input!W$34&lt;&gt;""),Input!$B$34&amp;";",""),IF(AND($G59&lt;Hta_15,$G59&gt;=Hba_15,Input!W$35&lt;&gt;""),Input!$B$35&amp;";",""),IF(AND($G59&lt;Hta_16,$G59&gt;=Hba_16,Input!W$36&lt;&gt;""),Input!$B$36&amp;";",""),IF(AND($G59&lt;Hta_17,$G59&gt;=Hba_17,Input!W$37&lt;&gt;""),Input!$B$37&amp;";",""),IF(AND($G59&lt;Hta_18,$G59&gt;=Hba_18,Input!W$38&lt;&gt;""),Input!$B$38&amp;";",""),IF(AND($G59&lt;Hta_19,$G59&gt;=Hba_19,Input!W$39&lt;&gt;""),Input!$B$39&amp;";",""),IF(AND($G59&lt;Hta_20,$G59&gt;=Hba_20,Input!W$40&lt;&gt;""),Input!$B$40&amp;";",""),IF(AND($G59&lt;Hta_21,$G59&gt;=Hba_21,Input!W$41&lt;&gt;""),Input!$B$41&amp;";",""),IF(AND($G59&lt;Hta_22,$G59&gt;=Hba_22,Input!W$42&lt;&gt;""),Input!$B$42&amp;";",""),IF(AND($G59&lt;Hta_23,$G59&gt;=Hba_23,Input!W$43&lt;&gt;""),Input!$B$43&amp;";",""),IF(AND($G59&lt;Hta_24,$G59&gt;=Hba_24,Input!W$44&lt;&gt;""),Input!$B$44&amp;";",""),IF(AND($G59&lt;Hta_25,$G59&gt;=Hba_25,Input!W$45&lt;&gt;""),Input!$B$45&amp;";",""),IF(AND($G59&lt;Hta_26,$G59&gt;=Hba_26,Input!W$46&lt;&gt;""),Input!$B$46&amp;";",""),IF(AND($G59&lt;Hta_27,$G59&gt;=Hba_27,Input!W$47&lt;&gt;""),Input!$B$47&amp;";",""),IF(AND($G59&lt;Hta_28,$G59&gt;=Hba_28,Input!W$48&lt;&gt;""),Input!$B$48&amp;";",""),IF(AND($G59&lt;Hta_29,$G59&gt;=Hba_29,Input!W$49&lt;&gt;""),Input!$B$49&amp;";",""),IF(AND($G59&lt;Hta_30,$G59&gt;=Hba_30,Input!W$50&lt;&gt;""),Input!$B$50&amp;";","")),"")</f>
        <v/>
      </c>
      <c r="BY59" s="25" t="str">
        <f>IFERROR(CONCATENATE(IF(AND($G59&lt;Hta_1,$G59&gt;=Hba_1,Input!X$21&lt;&gt;""),Input!$B$21&amp;";",""),IF(AND($G59&lt;Hta_2,$G59&gt;=Hba_2,Input!X$22&lt;&gt;""),Input!$B$22&amp;";",""),IF(AND($G59&lt;Hta_3,$G59&gt;=Hba_3,Input!X$23&lt;&gt;""),Input!$B$23&amp;";",""),IF(AND($G59&lt;Hta_4,$G59&gt;=Hba_4,Input!X$24&lt;&gt;""),Input!$B$24&amp;";",""),IF(AND($G59&lt;Hta_5,$G59&gt;=Hba_5,Input!X$25&lt;&gt;""),Input!$B$25&amp;";",""),IF(AND($G59&lt;Hta_6,$G59&gt;=Hba_6,Input!X$26&lt;&gt;""),Input!$B$26&amp;";",""),IF(AND($G59&lt;Hta_7,$G59&gt;=Hba_7,Input!X$27&lt;&gt;""),Input!$B$27&amp;";",""),IF(AND($G59&lt;Hta_8,$G59&gt;=Hba_8,Input!X$28&lt;&gt;""),Input!$B$28&amp;";",""),IF(AND($G59&lt;Hta_9,$G59&gt;=Hba_9,Input!X$29&lt;&gt;""),Input!$B$29&amp;";",""),IF(AND($G59&lt;Hta_10,$G59&gt;=Hba_10,Input!X$30&lt;&gt;""),Input!$B$30&amp;";",""),IF(AND($G59&lt;Hta_11,$G59&gt;=Hba_11,Input!X$31&lt;&gt;""),Input!$B$31&amp;";",""),IF(AND($G59&lt;Hta_12,$G59&gt;=Hba_12,Input!X$32&lt;&gt;""),Input!$B$32&amp;";",""),IF(AND($G59&lt;Hta_13,$G59&gt;=Hba_13,Input!X$33&lt;&gt;""),Input!$B$33&amp;";",""),IF(AND($G59&lt;Hta_14,$G59&gt;=Hba_14,Input!X$34&lt;&gt;""),Input!$B$34&amp;";",""),IF(AND($G59&lt;Hta_15,$G59&gt;=Hba_15,Input!X$35&lt;&gt;""),Input!$B$35&amp;";",""),IF(AND($G59&lt;Hta_16,$G59&gt;=Hba_16,Input!X$36&lt;&gt;""),Input!$B$36&amp;";",""),IF(AND($G59&lt;Hta_17,$G59&gt;=Hba_17,Input!X$37&lt;&gt;""),Input!$B$37&amp;";",""),IF(AND($G59&lt;Hta_18,$G59&gt;=Hba_18,Input!X$38&lt;&gt;""),Input!$B$38&amp;";",""),IF(AND($G59&lt;Hta_19,$G59&gt;=Hba_19,Input!X$39&lt;&gt;""),Input!$B$39&amp;";",""),IF(AND($G59&lt;Hta_20,$G59&gt;=Hba_20,Input!X$40&lt;&gt;""),Input!$B$40&amp;";",""),IF(AND($G59&lt;Hta_21,$G59&gt;=Hba_21,Input!X$41&lt;&gt;""),Input!$B$41&amp;";",""),IF(AND($G59&lt;Hta_22,$G59&gt;=Hba_22,Input!X$42&lt;&gt;""),Input!$B$42&amp;";",""),IF(AND($G59&lt;Hta_23,$G59&gt;=Hba_23,Input!X$43&lt;&gt;""),Input!$B$43&amp;";",""),IF(AND($G59&lt;Hta_24,$G59&gt;=Hba_24,Input!X$44&lt;&gt;""),Input!$B$44&amp;";",""),IF(AND($G59&lt;Hta_25,$G59&gt;=Hba_25,Input!X$45&lt;&gt;""),Input!$B$45&amp;";",""),IF(AND($G59&lt;Hta_26,$G59&gt;=Hba_26,Input!X$46&lt;&gt;""),Input!$B$46&amp;";",""),IF(AND($G59&lt;Hta_27,$G59&gt;=Hba_27,Input!X$47&lt;&gt;""),Input!$B$47&amp;";",""),IF(AND($G59&lt;Hta_28,$G59&gt;=Hba_28,Input!X$48&lt;&gt;""),Input!$B$48&amp;";",""),IF(AND($G59&lt;Hta_29,$G59&gt;=Hba_29,Input!X$49&lt;&gt;""),Input!$B$49&amp;";",""),IF(AND($G59&lt;Hta_30,$G59&gt;=Hba_30,Input!X$50&lt;&gt;""),Input!$B$50&amp;";","")),"")</f>
        <v/>
      </c>
      <c r="BZ59" s="25" t="str">
        <f>IFERROR(CONCATENATE(IF(AND($G59&lt;Hta_1,$G59&gt;=Hba_1,Input!Y$21&lt;&gt;""),Input!$B$21&amp;";",""),IF(AND($G59&lt;Hta_2,$G59&gt;=Hba_2,Input!Y$22&lt;&gt;""),Input!$B$22&amp;";",""),IF(AND($G59&lt;Hta_3,$G59&gt;=Hba_3,Input!Y$23&lt;&gt;""),Input!$B$23&amp;";",""),IF(AND($G59&lt;Hta_4,$G59&gt;=Hba_4,Input!Y$24&lt;&gt;""),Input!$B$24&amp;";",""),IF(AND($G59&lt;Hta_5,$G59&gt;=Hba_5,Input!Y$25&lt;&gt;""),Input!$B$25&amp;";",""),IF(AND($G59&lt;Hta_6,$G59&gt;=Hba_6,Input!Y$26&lt;&gt;""),Input!$B$26&amp;";",""),IF(AND($G59&lt;Hta_7,$G59&gt;=Hba_7,Input!Y$27&lt;&gt;""),Input!$B$27&amp;";",""),IF(AND($G59&lt;Hta_8,$G59&gt;=Hba_8,Input!Y$28&lt;&gt;""),Input!$B$28&amp;";",""),IF(AND($G59&lt;Hta_9,$G59&gt;=Hba_9,Input!Y$29&lt;&gt;""),Input!$B$29&amp;";",""),IF(AND($G59&lt;Hta_10,$G59&gt;=Hba_10,Input!Y$30&lt;&gt;""),Input!$B$30&amp;";",""),IF(AND($G59&lt;Hta_11,$G59&gt;=Hba_11,Input!Y$31&lt;&gt;""),Input!$B$31&amp;";",""),IF(AND($G59&lt;Hta_12,$G59&gt;=Hba_12,Input!Y$32&lt;&gt;""),Input!$B$32&amp;";",""),IF(AND($G59&lt;Hta_13,$G59&gt;=Hba_13,Input!Y$33&lt;&gt;""),Input!$B$33&amp;";",""),IF(AND($G59&lt;Hta_14,$G59&gt;=Hba_14,Input!Y$34&lt;&gt;""),Input!$B$34&amp;";",""),IF(AND($G59&lt;Hta_15,$G59&gt;=Hba_15,Input!Y$35&lt;&gt;""),Input!$B$35&amp;";",""),IF(AND($G59&lt;Hta_16,$G59&gt;=Hba_16,Input!Y$36&lt;&gt;""),Input!$B$36&amp;";",""),IF(AND($G59&lt;Hta_17,$G59&gt;=Hba_17,Input!Y$37&lt;&gt;""),Input!$B$37&amp;";",""),IF(AND($G59&lt;Hta_18,$G59&gt;=Hba_18,Input!Y$38&lt;&gt;""),Input!$B$38&amp;";",""),IF(AND($G59&lt;Hta_19,$G59&gt;=Hba_19,Input!Y$39&lt;&gt;""),Input!$B$39&amp;";",""),IF(AND($G59&lt;Hta_20,$G59&gt;=Hba_20,Input!Y$40&lt;&gt;""),Input!$B$40&amp;";",""),IF(AND($G59&lt;Hta_21,$G59&gt;=Hba_21,Input!Y$41&lt;&gt;""),Input!$B$41&amp;";",""),IF(AND($G59&lt;Hta_22,$G59&gt;=Hba_22,Input!Y$42&lt;&gt;""),Input!$B$42&amp;";",""),IF(AND($G59&lt;Hta_23,$G59&gt;=Hba_23,Input!Y$43&lt;&gt;""),Input!$B$43&amp;";",""),IF(AND($G59&lt;Hta_24,$G59&gt;=Hba_24,Input!Y$44&lt;&gt;""),Input!$B$44&amp;";",""),IF(AND($G59&lt;Hta_25,$G59&gt;=Hba_25,Input!Y$45&lt;&gt;""),Input!$B$45&amp;";",""),IF(AND($G59&lt;Hta_26,$G59&gt;=Hba_26,Input!Y$46&lt;&gt;""),Input!$B$46&amp;";",""),IF(AND($G59&lt;Hta_27,$G59&gt;=Hba_27,Input!Y$47&lt;&gt;""),Input!$B$47&amp;";",""),IF(AND($G59&lt;Hta_28,$G59&gt;=Hba_28,Input!Y$48&lt;&gt;""),Input!$B$48&amp;";",""),IF(AND($G59&lt;Hta_29,$G59&gt;=Hba_29,Input!Y$49&lt;&gt;""),Input!$B$49&amp;";",""),IF(AND($G59&lt;Hta_30,$G59&gt;=Hba_30,Input!Y$50&lt;&gt;""),Input!$B$50&amp;";","")),"")</f>
        <v/>
      </c>
      <c r="CA59" s="25" t="str">
        <f>IFERROR(CONCATENATE(IF(AND($G59&lt;Hta_1,$G59&gt;=Hba_1,Input!Z$21&lt;&gt;""),Input!$B$21&amp;";",""),IF(AND($G59&lt;Hta_2,$G59&gt;=Hba_2,Input!Z$22&lt;&gt;""),Input!$B$22&amp;";",""),IF(AND($G59&lt;Hta_3,$G59&gt;=Hba_3,Input!Z$23&lt;&gt;""),Input!$B$23&amp;";",""),IF(AND($G59&lt;Hta_4,$G59&gt;=Hba_4,Input!Z$24&lt;&gt;""),Input!$B$24&amp;";",""),IF(AND($G59&lt;Hta_5,$G59&gt;=Hba_5,Input!Z$25&lt;&gt;""),Input!$B$25&amp;";",""),IF(AND($G59&lt;Hta_6,$G59&gt;=Hba_6,Input!Z$26&lt;&gt;""),Input!$B$26&amp;";",""),IF(AND($G59&lt;Hta_7,$G59&gt;=Hba_7,Input!Z$27&lt;&gt;""),Input!$B$27&amp;";",""),IF(AND($G59&lt;Hta_8,$G59&gt;=Hba_8,Input!Z$28&lt;&gt;""),Input!$B$28&amp;";",""),IF(AND($G59&lt;Hta_9,$G59&gt;=Hba_9,Input!Z$29&lt;&gt;""),Input!$B$29&amp;";",""),IF(AND($G59&lt;Hta_10,$G59&gt;=Hba_10,Input!Z$30&lt;&gt;""),Input!$B$30&amp;";",""),IF(AND($G59&lt;Hta_11,$G59&gt;=Hba_11,Input!Z$31&lt;&gt;""),Input!$B$31&amp;";",""),IF(AND($G59&lt;Hta_12,$G59&gt;=Hba_12,Input!Z$32&lt;&gt;""),Input!$B$32&amp;";",""),IF(AND($G59&lt;Hta_13,$G59&gt;=Hba_13,Input!Z$33&lt;&gt;""),Input!$B$33&amp;";",""),IF(AND($G59&lt;Hta_14,$G59&gt;=Hba_14,Input!Z$34&lt;&gt;""),Input!$B$34&amp;";",""),IF(AND($G59&lt;Hta_15,$G59&gt;=Hba_15,Input!Z$35&lt;&gt;""),Input!$B$35&amp;";",""),IF(AND($G59&lt;Hta_16,$G59&gt;=Hba_16,Input!Z$36&lt;&gt;""),Input!$B$36&amp;";",""),IF(AND($G59&lt;Hta_17,$G59&gt;=Hba_17,Input!Z$37&lt;&gt;""),Input!$B$37&amp;";",""),IF(AND($G59&lt;Hta_18,$G59&gt;=Hba_18,Input!Z$38&lt;&gt;""),Input!$B$38&amp;";",""),IF(AND($G59&lt;Hta_19,$G59&gt;=Hba_19,Input!Z$39&lt;&gt;""),Input!$B$39&amp;";",""),IF(AND($G59&lt;Hta_20,$G59&gt;=Hba_20,Input!Z$40&lt;&gt;""),Input!$B$40&amp;";",""),IF(AND($G59&lt;Hta_21,$G59&gt;=Hba_21,Input!Z$41&lt;&gt;""),Input!$B$41&amp;";",""),IF(AND($G59&lt;Hta_22,$G59&gt;=Hba_22,Input!Z$42&lt;&gt;""),Input!$B$42&amp;";",""),IF(AND($G59&lt;Hta_23,$G59&gt;=Hba_23,Input!Z$43&lt;&gt;""),Input!$B$43&amp;";",""),IF(AND($G59&lt;Hta_24,$G59&gt;=Hba_24,Input!Z$44&lt;&gt;""),Input!$B$44&amp;";",""),IF(AND($G59&lt;Hta_25,$G59&gt;=Hba_25,Input!Z$45&lt;&gt;""),Input!$B$45&amp;";",""),IF(AND($G59&lt;Hta_26,$G59&gt;=Hba_26,Input!Z$46&lt;&gt;""),Input!$B$46&amp;";",""),IF(AND($G59&lt;Hta_27,$G59&gt;=Hba_27,Input!Z$47&lt;&gt;""),Input!$B$47&amp;";",""),IF(AND($G59&lt;Hta_28,$G59&gt;=Hba_28,Input!Z$48&lt;&gt;""),Input!$B$48&amp;";",""),IF(AND($G59&lt;Hta_29,$G59&gt;=Hba_29,Input!Z$49&lt;&gt;""),Input!$B$49&amp;";",""),IF(AND($G59&lt;Hta_30,$G59&gt;=Hba_30,Input!Z$50&lt;&gt;""),Input!$B$50&amp;";","")),"")</f>
        <v/>
      </c>
      <c r="CB59" s="25" t="str">
        <f>IFERROR(CONCATENATE(IF(AND($G59&lt;Hta_1,$G59&gt;=Hba_1,Input!AA$21&lt;&gt;""),Input!$B$21&amp;";",""),IF(AND($G59&lt;Hta_2,$G59&gt;=Hba_2,Input!AA$22&lt;&gt;""),Input!$B$22&amp;";",""),IF(AND($G59&lt;Hta_3,$G59&gt;=Hba_3,Input!AA$23&lt;&gt;""),Input!$B$23&amp;";",""),IF(AND($G59&lt;Hta_4,$G59&gt;=Hba_4,Input!AA$24&lt;&gt;""),Input!$B$24&amp;";",""),IF(AND($G59&lt;Hta_5,$G59&gt;=Hba_5,Input!AA$25&lt;&gt;""),Input!$B$25&amp;";",""),IF(AND($G59&lt;Hta_6,$G59&gt;=Hba_6,Input!AA$26&lt;&gt;""),Input!$B$26&amp;";",""),IF(AND($G59&lt;Hta_7,$G59&gt;=Hba_7,Input!AA$27&lt;&gt;""),Input!$B$27&amp;";",""),IF(AND($G59&lt;Hta_8,$G59&gt;=Hba_8,Input!AA$28&lt;&gt;""),Input!$B$28&amp;";",""),IF(AND($G59&lt;Hta_9,$G59&gt;=Hba_9,Input!AA$29&lt;&gt;""),Input!$B$29&amp;";",""),IF(AND($G59&lt;Hta_10,$G59&gt;=Hba_10,Input!AA$30&lt;&gt;""),Input!$B$30&amp;";",""),IF(AND($G59&lt;Hta_11,$G59&gt;=Hba_11,Input!AA$31&lt;&gt;""),Input!$B$31&amp;";",""),IF(AND($G59&lt;Hta_12,$G59&gt;=Hba_12,Input!AA$32&lt;&gt;""),Input!$B$32&amp;";",""),IF(AND($G59&lt;Hta_13,$G59&gt;=Hba_13,Input!AA$33&lt;&gt;""),Input!$B$33&amp;";",""),IF(AND($G59&lt;Hta_14,$G59&gt;=Hba_14,Input!AA$34&lt;&gt;""),Input!$B$34&amp;";",""),IF(AND($G59&lt;Hta_15,$G59&gt;=Hba_15,Input!AA$35&lt;&gt;""),Input!$B$35&amp;";",""),IF(AND($G59&lt;Hta_16,$G59&gt;=Hba_16,Input!AA$36&lt;&gt;""),Input!$B$36&amp;";",""),IF(AND($G59&lt;Hta_17,$G59&gt;=Hba_17,Input!AA$37&lt;&gt;""),Input!$B$37&amp;";",""),IF(AND($G59&lt;Hta_18,$G59&gt;=Hba_18,Input!AA$38&lt;&gt;""),Input!$B$38&amp;";",""),IF(AND($G59&lt;Hta_19,$G59&gt;=Hba_19,Input!AA$39&lt;&gt;""),Input!$B$39&amp;";",""),IF(AND($G59&lt;Hta_20,$G59&gt;=Hba_20,Input!AA$40&lt;&gt;""),Input!$B$40&amp;";",""),IF(AND($G59&lt;Hta_21,$G59&gt;=Hba_21,Input!AA$41&lt;&gt;""),Input!$B$41&amp;";",""),IF(AND($G59&lt;Hta_22,$G59&gt;=Hba_22,Input!AA$42&lt;&gt;""),Input!$B$42&amp;";",""),IF(AND($G59&lt;Hta_23,$G59&gt;=Hba_23,Input!AA$43&lt;&gt;""),Input!$B$43&amp;";",""),IF(AND($G59&lt;Hta_24,$G59&gt;=Hba_24,Input!AA$44&lt;&gt;""),Input!$B$44&amp;";",""),IF(AND($G59&lt;Hta_25,$G59&gt;=Hba_25,Input!AA$45&lt;&gt;""),Input!$B$45&amp;";",""),IF(AND($G59&lt;Hta_26,$G59&gt;=Hba_26,Input!AA$46&lt;&gt;""),Input!$B$46&amp;";",""),IF(AND($G59&lt;Hta_27,$G59&gt;=Hba_27,Input!AA$47&lt;&gt;""),Input!$B$47&amp;";",""),IF(AND($G59&lt;Hta_28,$G59&gt;=Hba_28,Input!AA$48&lt;&gt;""),Input!$B$48&amp;";",""),IF(AND($G59&lt;Hta_29,$G59&gt;=Hba_29,Input!AA$49&lt;&gt;""),Input!$B$49&amp;";",""),IF(AND($G59&lt;Hta_30,$G59&gt;=Hba_30,Input!AA$50&lt;&gt;""),Input!$B$50&amp;";","")),"")</f>
        <v/>
      </c>
      <c r="CC59" s="25" t="str">
        <f>IFERROR(CONCATENATE(IF(AND($G59&lt;Hta_1,$G59&gt;=Hba_1,Input!AB$21&lt;&gt;""),Input!$B$21&amp;";",""),IF(AND($G59&lt;Hta_2,$G59&gt;=Hba_2,Input!AB$22&lt;&gt;""),Input!$B$22&amp;";",""),IF(AND($G59&lt;Hta_3,$G59&gt;=Hba_3,Input!AB$23&lt;&gt;""),Input!$B$23&amp;";",""),IF(AND($G59&lt;Hta_4,$G59&gt;=Hba_4,Input!AB$24&lt;&gt;""),Input!$B$24&amp;";",""),IF(AND($G59&lt;Hta_5,$G59&gt;=Hba_5,Input!AB$25&lt;&gt;""),Input!$B$25&amp;";",""),IF(AND($G59&lt;Hta_6,$G59&gt;=Hba_6,Input!AB$26&lt;&gt;""),Input!$B$26&amp;";",""),IF(AND($G59&lt;Hta_7,$G59&gt;=Hba_7,Input!AB$27&lt;&gt;""),Input!$B$27&amp;";",""),IF(AND($G59&lt;Hta_8,$G59&gt;=Hba_8,Input!AB$28&lt;&gt;""),Input!$B$28&amp;";",""),IF(AND($G59&lt;Hta_9,$G59&gt;=Hba_9,Input!AB$29&lt;&gt;""),Input!$B$29&amp;";",""),IF(AND($G59&lt;Hta_10,$G59&gt;=Hba_10,Input!AB$30&lt;&gt;""),Input!$B$30&amp;";",""),IF(AND($G59&lt;Hta_11,$G59&gt;=Hba_11,Input!AB$31&lt;&gt;""),Input!$B$31&amp;";",""),IF(AND($G59&lt;Hta_12,$G59&gt;=Hba_12,Input!AB$32&lt;&gt;""),Input!$B$32&amp;";",""),IF(AND($G59&lt;Hta_13,$G59&gt;=Hba_13,Input!AB$33&lt;&gt;""),Input!$B$33&amp;";",""),IF(AND($G59&lt;Hta_14,$G59&gt;=Hba_14,Input!AB$34&lt;&gt;""),Input!$B$34&amp;";",""),IF(AND($G59&lt;Hta_15,$G59&gt;=Hba_15,Input!AB$35&lt;&gt;""),Input!$B$35&amp;";",""),IF(AND($G59&lt;Hta_16,$G59&gt;=Hba_16,Input!AB$36&lt;&gt;""),Input!$B$36&amp;";",""),IF(AND($G59&lt;Hta_17,$G59&gt;=Hba_17,Input!AB$37&lt;&gt;""),Input!$B$37&amp;";",""),IF(AND($G59&lt;Hta_18,$G59&gt;=Hba_18,Input!AB$38&lt;&gt;""),Input!$B$38&amp;";",""),IF(AND($G59&lt;Hta_19,$G59&gt;=Hba_19,Input!AB$39&lt;&gt;""),Input!$B$39&amp;";",""),IF(AND($G59&lt;Hta_20,$G59&gt;=Hba_20,Input!AB$40&lt;&gt;""),Input!$B$40&amp;";",""),IF(AND($G59&lt;Hta_21,$G59&gt;=Hba_21,Input!AB$41&lt;&gt;""),Input!$B$41&amp;";",""),IF(AND($G59&lt;Hta_22,$G59&gt;=Hba_22,Input!AB$42&lt;&gt;""),Input!$B$42&amp;";",""),IF(AND($G59&lt;Hta_23,$G59&gt;=Hba_23,Input!AB$43&lt;&gt;""),Input!$B$43&amp;";",""),IF(AND($G59&lt;Hta_24,$G59&gt;=Hba_24,Input!AB$44&lt;&gt;""),Input!$B$44&amp;";",""),IF(AND($G59&lt;Hta_25,$G59&gt;=Hba_25,Input!AB$45&lt;&gt;""),Input!$B$45&amp;";",""),IF(AND($G59&lt;Hta_26,$G59&gt;=Hba_26,Input!AB$46&lt;&gt;""),Input!$B$46&amp;";",""),IF(AND($G59&lt;Hta_27,$G59&gt;=Hba_27,Input!AB$47&lt;&gt;""),Input!$B$47&amp;";",""),IF(AND($G59&lt;Hta_28,$G59&gt;=Hba_28,Input!AB$48&lt;&gt;""),Input!$B$48&amp;";",""),IF(AND($G59&lt;Hta_29,$G59&gt;=Hba_29,Input!AB$49&lt;&gt;""),Input!$B$49&amp;";",""),IF(AND($G59&lt;Hta_30,$G59&gt;=Hba_30,Input!AB$50&lt;&gt;""),Input!$B$50&amp;";","")),"")</f>
        <v/>
      </c>
      <c r="CD59" s="25" t="str">
        <f>IFERROR(CONCATENATE(IF(AND($G59&lt;Hta_1,$G59&gt;=Hba_1,Input!AC$21&lt;&gt;""),Input!$B$21&amp;";",""),IF(AND($G59&lt;Hta_2,$G59&gt;=Hba_2,Input!AC$22&lt;&gt;""),Input!$B$22&amp;";",""),IF(AND($G59&lt;Hta_3,$G59&gt;=Hba_3,Input!AC$23&lt;&gt;""),Input!$B$23&amp;";",""),IF(AND($G59&lt;Hta_4,$G59&gt;=Hba_4,Input!AC$24&lt;&gt;""),Input!$B$24&amp;";",""),IF(AND($G59&lt;Hta_5,$G59&gt;=Hba_5,Input!AC$25&lt;&gt;""),Input!$B$25&amp;";",""),IF(AND($G59&lt;Hta_6,$G59&gt;=Hba_6,Input!AC$26&lt;&gt;""),Input!$B$26&amp;";",""),IF(AND($G59&lt;Hta_7,$G59&gt;=Hba_7,Input!AC$27&lt;&gt;""),Input!$B$27&amp;";",""),IF(AND($G59&lt;Hta_8,$G59&gt;=Hba_8,Input!AC$28&lt;&gt;""),Input!$B$28&amp;";",""),IF(AND($G59&lt;Hta_9,$G59&gt;=Hba_9,Input!AC$29&lt;&gt;""),Input!$B$29&amp;";",""),IF(AND($G59&lt;Hta_10,$G59&gt;=Hba_10,Input!AC$30&lt;&gt;""),Input!$B$30&amp;";",""),IF(AND($G59&lt;Hta_11,$G59&gt;=Hba_11,Input!AC$31&lt;&gt;""),Input!$B$31&amp;";",""),IF(AND($G59&lt;Hta_12,$G59&gt;=Hba_12,Input!AC$32&lt;&gt;""),Input!$B$32&amp;";",""),IF(AND($G59&lt;Hta_13,$G59&gt;=Hba_13,Input!AC$33&lt;&gt;""),Input!$B$33&amp;";",""),IF(AND($G59&lt;Hta_14,$G59&gt;=Hba_14,Input!AC$34&lt;&gt;""),Input!$B$34&amp;";",""),IF(AND($G59&lt;Hta_15,$G59&gt;=Hba_15,Input!AC$35&lt;&gt;""),Input!$B$35&amp;";",""),IF(AND($G59&lt;Hta_16,$G59&gt;=Hba_16,Input!AC$36&lt;&gt;""),Input!$B$36&amp;";",""),IF(AND($G59&lt;Hta_17,$G59&gt;=Hba_17,Input!AC$37&lt;&gt;""),Input!$B$37&amp;";",""),IF(AND($G59&lt;Hta_18,$G59&gt;=Hba_18,Input!AC$38&lt;&gt;""),Input!$B$38&amp;";",""),IF(AND($G59&lt;Hta_19,$G59&gt;=Hba_19,Input!AC$39&lt;&gt;""),Input!$B$39&amp;";",""),IF(AND($G59&lt;Hta_20,$G59&gt;=Hba_20,Input!AC$40&lt;&gt;""),Input!$B$40&amp;";",""),IF(AND($G59&lt;Hta_21,$G59&gt;=Hba_21,Input!AC$41&lt;&gt;""),Input!$B$41&amp;";",""),IF(AND($G59&lt;Hta_22,$G59&gt;=Hba_22,Input!AC$42&lt;&gt;""),Input!$B$42&amp;";",""),IF(AND($G59&lt;Hta_23,$G59&gt;=Hba_23,Input!AC$43&lt;&gt;""),Input!$B$43&amp;";",""),IF(AND($G59&lt;Hta_24,$G59&gt;=Hba_24,Input!AC$44&lt;&gt;""),Input!$B$44&amp;";",""),IF(AND($G59&lt;Hta_25,$G59&gt;=Hba_25,Input!AC$45&lt;&gt;""),Input!$B$45&amp;";",""),IF(AND($G59&lt;Hta_26,$G59&gt;=Hba_26,Input!AC$46&lt;&gt;""),Input!$B$46&amp;";",""),IF(AND($G59&lt;Hta_27,$G59&gt;=Hba_27,Input!AC$47&lt;&gt;""),Input!$B$47&amp;";",""),IF(AND($G59&lt;Hta_28,$G59&gt;=Hba_28,Input!AC$48&lt;&gt;""),Input!$B$48&amp;";",""),IF(AND($G59&lt;Hta_29,$G59&gt;=Hba_29,Input!AC$49&lt;&gt;""),Input!$B$49&amp;";",""),IF(AND($G59&lt;Hta_30,$G59&gt;=Hba_30,Input!AC$50&lt;&gt;""),Input!$B$50&amp;";","")),"")</f>
        <v/>
      </c>
      <c r="CE59" s="25" t="str">
        <f>IFERROR(CONCATENATE(IF(AND($G59&lt;Hta_1,$G59&gt;=Hba_1,Input!AD$21&lt;&gt;""),Input!$B$21&amp;";",""),IF(AND($G59&lt;Hta_2,$G59&gt;=Hba_2,Input!AD$22&lt;&gt;""),Input!$B$22&amp;";",""),IF(AND($G59&lt;Hta_3,$G59&gt;=Hba_3,Input!AD$23&lt;&gt;""),Input!$B$23&amp;";",""),IF(AND($G59&lt;Hta_4,$G59&gt;=Hba_4,Input!AD$24&lt;&gt;""),Input!$B$24&amp;";",""),IF(AND($G59&lt;Hta_5,$G59&gt;=Hba_5,Input!AD$25&lt;&gt;""),Input!$B$25&amp;";",""),IF(AND($G59&lt;Hta_6,$G59&gt;=Hba_6,Input!AD$26&lt;&gt;""),Input!$B$26&amp;";",""),IF(AND($G59&lt;Hta_7,$G59&gt;=Hba_7,Input!AD$27&lt;&gt;""),Input!$B$27&amp;";",""),IF(AND($G59&lt;Hta_8,$G59&gt;=Hba_8,Input!AD$28&lt;&gt;""),Input!$B$28&amp;";",""),IF(AND($G59&lt;Hta_9,$G59&gt;=Hba_9,Input!AD$29&lt;&gt;""),Input!$B$29&amp;";",""),IF(AND($G59&lt;Hta_10,$G59&gt;=Hba_10,Input!AD$30&lt;&gt;""),Input!$B$30&amp;";",""),IF(AND($G59&lt;Hta_11,$G59&gt;=Hba_11,Input!AD$31&lt;&gt;""),Input!$B$31&amp;";",""),IF(AND($G59&lt;Hta_12,$G59&gt;=Hba_12,Input!AD$32&lt;&gt;""),Input!$B$32&amp;";",""),IF(AND($G59&lt;Hta_13,$G59&gt;=Hba_13,Input!AD$33&lt;&gt;""),Input!$B$33&amp;";",""),IF(AND($G59&lt;Hta_14,$G59&gt;=Hba_14,Input!AD$34&lt;&gt;""),Input!$B$34&amp;";",""),IF(AND($G59&lt;Hta_15,$G59&gt;=Hba_15,Input!AD$35&lt;&gt;""),Input!$B$35&amp;";",""),IF(AND($G59&lt;Hta_16,$G59&gt;=Hba_16,Input!AD$36&lt;&gt;""),Input!$B$36&amp;";",""),IF(AND($G59&lt;Hta_17,$G59&gt;=Hba_17,Input!AD$37&lt;&gt;""),Input!$B$37&amp;";",""),IF(AND($G59&lt;Hta_18,$G59&gt;=Hba_18,Input!AD$38&lt;&gt;""),Input!$B$38&amp;";",""),IF(AND($G59&lt;Hta_19,$G59&gt;=Hba_19,Input!AD$39&lt;&gt;""),Input!$B$39&amp;";",""),IF(AND($G59&lt;Hta_20,$G59&gt;=Hba_20,Input!AD$40&lt;&gt;""),Input!$B$40&amp;";",""),IF(AND($G59&lt;Hta_21,$G59&gt;=Hba_21,Input!AD$41&lt;&gt;""),Input!$B$41&amp;";",""),IF(AND($G59&lt;Hta_22,$G59&gt;=Hba_22,Input!AD$42&lt;&gt;""),Input!$B$42&amp;";",""),IF(AND($G59&lt;Hta_23,$G59&gt;=Hba_23,Input!AD$43&lt;&gt;""),Input!$B$43&amp;";",""),IF(AND($G59&lt;Hta_24,$G59&gt;=Hba_24,Input!AD$44&lt;&gt;""),Input!$B$44&amp;";",""),IF(AND($G59&lt;Hta_25,$G59&gt;=Hba_25,Input!AD$45&lt;&gt;""),Input!$B$45&amp;";",""),IF(AND($G59&lt;Hta_26,$G59&gt;=Hba_26,Input!AD$46&lt;&gt;""),Input!$B$46&amp;";",""),IF(AND($G59&lt;Hta_27,$G59&gt;=Hba_27,Input!AD$47&lt;&gt;""),Input!$B$47&amp;";",""),IF(AND($G59&lt;Hta_28,$G59&gt;=Hba_28,Input!AD$48&lt;&gt;""),Input!$B$48&amp;";",""),IF(AND($G59&lt;Hta_29,$G59&gt;=Hba_29,Input!AD$49&lt;&gt;""),Input!$B$49&amp;";",""),IF(AND($G59&lt;Hta_30,$G59&gt;=Hba_30,Input!AD$50&lt;&gt;""),Input!$B$50&amp;";","")),"")</f>
        <v/>
      </c>
      <c r="CF59" s="25" t="str">
        <f>IFERROR(CONCATENATE(IF(AND($G59&lt;Hta_1,$G59&gt;=Hba_1,Input!AE$21&lt;&gt;""),Input!$B$21&amp;";",""),IF(AND($G59&lt;Hta_2,$G59&gt;=Hba_2,Input!AE$22&lt;&gt;""),Input!$B$22&amp;";",""),IF(AND($G59&lt;Hta_3,$G59&gt;=Hba_3,Input!AE$23&lt;&gt;""),Input!$B$23&amp;";",""),IF(AND($G59&lt;Hta_4,$G59&gt;=Hba_4,Input!AE$24&lt;&gt;""),Input!$B$24&amp;";",""),IF(AND($G59&lt;Hta_5,$G59&gt;=Hba_5,Input!AE$25&lt;&gt;""),Input!$B$25&amp;";",""),IF(AND($G59&lt;Hta_6,$G59&gt;=Hba_6,Input!AE$26&lt;&gt;""),Input!$B$26&amp;";",""),IF(AND($G59&lt;Hta_7,$G59&gt;=Hba_7,Input!AE$27&lt;&gt;""),Input!$B$27&amp;";",""),IF(AND($G59&lt;Hta_8,$G59&gt;=Hba_8,Input!AE$28&lt;&gt;""),Input!$B$28&amp;";",""),IF(AND($G59&lt;Hta_9,$G59&gt;=Hba_9,Input!AE$29&lt;&gt;""),Input!$B$29&amp;";",""),IF(AND($G59&lt;Hta_10,$G59&gt;=Hba_10,Input!AE$30&lt;&gt;""),Input!$B$30&amp;";",""),IF(AND($G59&lt;Hta_11,$G59&gt;=Hba_11,Input!AE$31&lt;&gt;""),Input!$B$31&amp;";",""),IF(AND($G59&lt;Hta_12,$G59&gt;=Hba_12,Input!AE$32&lt;&gt;""),Input!$B$32&amp;";",""),IF(AND($G59&lt;Hta_13,$G59&gt;=Hba_13,Input!AE$33&lt;&gt;""),Input!$B$33&amp;";",""),IF(AND($G59&lt;Hta_14,$G59&gt;=Hba_14,Input!AE$34&lt;&gt;""),Input!$B$34&amp;";",""),IF(AND($G59&lt;Hta_15,$G59&gt;=Hba_15,Input!AE$35&lt;&gt;""),Input!$B$35&amp;";",""),IF(AND($G59&lt;Hta_16,$G59&gt;=Hba_16,Input!AE$36&lt;&gt;""),Input!$B$36&amp;";",""),IF(AND($G59&lt;Hta_17,$G59&gt;=Hba_17,Input!AE$37&lt;&gt;""),Input!$B$37&amp;";",""),IF(AND($G59&lt;Hta_18,$G59&gt;=Hba_18,Input!AE$38&lt;&gt;""),Input!$B$38&amp;";",""),IF(AND($G59&lt;Hta_19,$G59&gt;=Hba_19,Input!AE$39&lt;&gt;""),Input!$B$39&amp;";",""),IF(AND($G59&lt;Hta_20,$G59&gt;=Hba_20,Input!AE$40&lt;&gt;""),Input!$B$40&amp;";",""),IF(AND($G59&lt;Hta_21,$G59&gt;=Hba_21,Input!AE$41&lt;&gt;""),Input!$B$41&amp;";",""),IF(AND($G59&lt;Hta_22,$G59&gt;=Hba_22,Input!AE$42&lt;&gt;""),Input!$B$42&amp;";",""),IF(AND($G59&lt;Hta_23,$G59&gt;=Hba_23,Input!AE$43&lt;&gt;""),Input!$B$43&amp;";",""),IF(AND($G59&lt;Hta_24,$G59&gt;=Hba_24,Input!AE$44&lt;&gt;""),Input!$B$44&amp;";",""),IF(AND($G59&lt;Hta_25,$G59&gt;=Hba_25,Input!AE$45&lt;&gt;""),Input!$B$45&amp;";",""),IF(AND($G59&lt;Hta_26,$G59&gt;=Hba_26,Input!AE$46&lt;&gt;""),Input!$B$46&amp;";",""),IF(AND($G59&lt;Hta_27,$G59&gt;=Hba_27,Input!AE$47&lt;&gt;""),Input!$B$47&amp;";",""),IF(AND($G59&lt;Hta_28,$G59&gt;=Hba_28,Input!AE$48&lt;&gt;""),Input!$B$48&amp;";",""),IF(AND($G59&lt;Hta_29,$G59&gt;=Hba_29,Input!AE$49&lt;&gt;""),Input!$B$49&amp;";",""),IF(AND($G59&lt;Hta_30,$G59&gt;=Hba_30,Input!AE$50&lt;&gt;""),Input!$B$50&amp;";","")),"")</f>
        <v/>
      </c>
      <c r="CG59" s="25" t="str">
        <f>IFERROR(CONCATENATE(IF(AND($G59&lt;Hta_1,$G59&gt;=Hba_1,Input!AF$21&lt;&gt;""),Input!$B$21&amp;";",""),IF(AND($G59&lt;Hta_2,$G59&gt;=Hba_2,Input!AF$22&lt;&gt;""),Input!$B$22&amp;";",""),IF(AND($G59&lt;Hta_3,$G59&gt;=Hba_3,Input!AF$23&lt;&gt;""),Input!$B$23&amp;";",""),IF(AND($G59&lt;Hta_4,$G59&gt;=Hba_4,Input!AF$24&lt;&gt;""),Input!$B$24&amp;";",""),IF(AND($G59&lt;Hta_5,$G59&gt;=Hba_5,Input!AF$25&lt;&gt;""),Input!$B$25&amp;";",""),IF(AND($G59&lt;Hta_6,$G59&gt;=Hba_6,Input!AF$26&lt;&gt;""),Input!$B$26&amp;";",""),IF(AND($G59&lt;Hta_7,$G59&gt;=Hba_7,Input!AF$27&lt;&gt;""),Input!$B$27&amp;";",""),IF(AND($G59&lt;Hta_8,$G59&gt;=Hba_8,Input!AF$28&lt;&gt;""),Input!$B$28&amp;";",""),IF(AND($G59&lt;Hta_9,$G59&gt;=Hba_9,Input!AF$29&lt;&gt;""),Input!$B$29&amp;";",""),IF(AND($G59&lt;Hta_10,$G59&gt;=Hba_10,Input!AF$30&lt;&gt;""),Input!$B$30&amp;";",""),IF(AND($G59&lt;Hta_11,$G59&gt;=Hba_11,Input!AF$31&lt;&gt;""),Input!$B$31&amp;";",""),IF(AND($G59&lt;Hta_12,$G59&gt;=Hba_12,Input!AF$32&lt;&gt;""),Input!$B$32&amp;";",""),IF(AND($G59&lt;Hta_13,$G59&gt;=Hba_13,Input!AF$33&lt;&gt;""),Input!$B$33&amp;";",""),IF(AND($G59&lt;Hta_14,$G59&gt;=Hba_14,Input!AF$34&lt;&gt;""),Input!$B$34&amp;";",""),IF(AND($G59&lt;Hta_15,$G59&gt;=Hba_15,Input!AF$35&lt;&gt;""),Input!$B$35&amp;";",""),IF(AND($G59&lt;Hta_16,$G59&gt;=Hba_16,Input!AF$36&lt;&gt;""),Input!$B$36&amp;";",""),IF(AND($G59&lt;Hta_17,$G59&gt;=Hba_17,Input!AF$37&lt;&gt;""),Input!$B$37&amp;";",""),IF(AND($G59&lt;Hta_18,$G59&gt;=Hba_18,Input!AF$38&lt;&gt;""),Input!$B$38&amp;";",""),IF(AND($G59&lt;Hta_19,$G59&gt;=Hba_19,Input!AF$39&lt;&gt;""),Input!$B$39&amp;";",""),IF(AND($G59&lt;Hta_20,$G59&gt;=Hba_20,Input!AF$40&lt;&gt;""),Input!$B$40&amp;";",""),IF(AND($G59&lt;Hta_21,$G59&gt;=Hba_21,Input!AF$41&lt;&gt;""),Input!$B$41&amp;";",""),IF(AND($G59&lt;Hta_22,$G59&gt;=Hba_22,Input!AF$42&lt;&gt;""),Input!$B$42&amp;";",""),IF(AND($G59&lt;Hta_23,$G59&gt;=Hba_23,Input!AF$43&lt;&gt;""),Input!$B$43&amp;";",""),IF(AND($G59&lt;Hta_24,$G59&gt;=Hba_24,Input!AF$44&lt;&gt;""),Input!$B$44&amp;";",""),IF(AND($G59&lt;Hta_25,$G59&gt;=Hba_25,Input!AF$45&lt;&gt;""),Input!$B$45&amp;";",""),IF(AND($G59&lt;Hta_26,$G59&gt;=Hba_26,Input!AF$46&lt;&gt;""),Input!$B$46&amp;";",""),IF(AND($G59&lt;Hta_27,$G59&gt;=Hba_27,Input!AF$47&lt;&gt;""),Input!$B$47&amp;";",""),IF(AND($G59&lt;Hta_28,$G59&gt;=Hba_28,Input!AF$48&lt;&gt;""),Input!$B$48&amp;";",""),IF(AND($G59&lt;Hta_29,$G59&gt;=Hba_29,Input!AF$49&lt;&gt;""),Input!$B$49&amp;";",""),IF(AND($G59&lt;Hta_30,$G59&gt;=Hba_30,Input!AF$50&lt;&gt;""),Input!$B$50&amp;";","")),"")</f>
        <v/>
      </c>
      <c r="CH59" s="25" t="str">
        <f>IFERROR(CONCATENATE(IF(AND($G59&lt;Hta_1,$G59&gt;=Hba_1,Input!AG$21&lt;&gt;""),Input!$B$21&amp;";",""),IF(AND($G59&lt;Hta_2,$G59&gt;=Hba_2,Input!AG$22&lt;&gt;""),Input!$B$22&amp;";",""),IF(AND($G59&lt;Hta_3,$G59&gt;=Hba_3,Input!AG$23&lt;&gt;""),Input!$B$23&amp;";",""),IF(AND($G59&lt;Hta_4,$G59&gt;=Hba_4,Input!AG$24&lt;&gt;""),Input!$B$24&amp;";",""),IF(AND($G59&lt;Hta_5,$G59&gt;=Hba_5,Input!AG$25&lt;&gt;""),Input!$B$25&amp;";",""),IF(AND($G59&lt;Hta_6,$G59&gt;=Hba_6,Input!AG$26&lt;&gt;""),Input!$B$26&amp;";",""),IF(AND($G59&lt;Hta_7,$G59&gt;=Hba_7,Input!AG$27&lt;&gt;""),Input!$B$27&amp;";",""),IF(AND($G59&lt;Hta_8,$G59&gt;=Hba_8,Input!AG$28&lt;&gt;""),Input!$B$28&amp;";",""),IF(AND($G59&lt;Hta_9,$G59&gt;=Hba_9,Input!AG$29&lt;&gt;""),Input!$B$29&amp;";",""),IF(AND($G59&lt;Hta_10,$G59&gt;=Hba_10,Input!AG$30&lt;&gt;""),Input!$B$30&amp;";",""),IF(AND($G59&lt;Hta_11,$G59&gt;=Hba_11,Input!AG$31&lt;&gt;""),Input!$B$31&amp;";",""),IF(AND($G59&lt;Hta_12,$G59&gt;=Hba_12,Input!AG$32&lt;&gt;""),Input!$B$32&amp;";",""),IF(AND($G59&lt;Hta_13,$G59&gt;=Hba_13,Input!AG$33&lt;&gt;""),Input!$B$33&amp;";",""),IF(AND($G59&lt;Hta_14,$G59&gt;=Hba_14,Input!AG$34&lt;&gt;""),Input!$B$34&amp;";",""),IF(AND($G59&lt;Hta_15,$G59&gt;=Hba_15,Input!AG$35&lt;&gt;""),Input!$B$35&amp;";",""),IF(AND($G59&lt;Hta_16,$G59&gt;=Hba_16,Input!AG$36&lt;&gt;""),Input!$B$36&amp;";",""),IF(AND($G59&lt;Hta_17,$G59&gt;=Hba_17,Input!AG$37&lt;&gt;""),Input!$B$37&amp;";",""),IF(AND($G59&lt;Hta_18,$G59&gt;=Hba_18,Input!AG$38&lt;&gt;""),Input!$B$38&amp;";",""),IF(AND($G59&lt;Hta_19,$G59&gt;=Hba_19,Input!AG$39&lt;&gt;""),Input!$B$39&amp;";",""),IF(AND($G59&lt;Hta_20,$G59&gt;=Hba_20,Input!AG$40&lt;&gt;""),Input!$B$40&amp;";",""),IF(AND($G59&lt;Hta_21,$G59&gt;=Hba_21,Input!AG$41&lt;&gt;""),Input!$B$41&amp;";",""),IF(AND($G59&lt;Hta_22,$G59&gt;=Hba_22,Input!AG$42&lt;&gt;""),Input!$B$42&amp;";",""),IF(AND($G59&lt;Hta_23,$G59&gt;=Hba_23,Input!AG$43&lt;&gt;""),Input!$B$43&amp;";",""),IF(AND($G59&lt;Hta_24,$G59&gt;=Hba_24,Input!AG$44&lt;&gt;""),Input!$B$44&amp;";",""),IF(AND($G59&lt;Hta_25,$G59&gt;=Hba_25,Input!AG$45&lt;&gt;""),Input!$B$45&amp;";",""),IF(AND($G59&lt;Hta_26,$G59&gt;=Hba_26,Input!AG$46&lt;&gt;""),Input!$B$46&amp;";",""),IF(AND($G59&lt;Hta_27,$G59&gt;=Hba_27,Input!AG$47&lt;&gt;""),Input!$B$47&amp;";",""),IF(AND($G59&lt;Hta_28,$G59&gt;=Hba_28,Input!AG$48&lt;&gt;""),Input!$B$48&amp;";",""),IF(AND($G59&lt;Hta_29,$G59&gt;=Hba_29,Input!AG$49&lt;&gt;""),Input!$B$49&amp;";",""),IF(AND($G59&lt;Hta_30,$G59&gt;=Hba_30,Input!AG$50&lt;&gt;""),Input!$B$50&amp;";","")),"")</f>
        <v/>
      </c>
      <c r="CI59" s="25" t="str">
        <f>IFERROR(CONCATENATE(IF(AND($G59&lt;Hta_1,$G59&gt;=Hba_1,Input!AH$21&lt;&gt;""),Input!$B$21&amp;";",""),IF(AND($G59&lt;Hta_2,$G59&gt;=Hba_2,Input!AH$22&lt;&gt;""),Input!$B$22&amp;";",""),IF(AND($G59&lt;Hta_3,$G59&gt;=Hba_3,Input!AH$23&lt;&gt;""),Input!$B$23&amp;";",""),IF(AND($G59&lt;Hta_4,$G59&gt;=Hba_4,Input!AH$24&lt;&gt;""),Input!$B$24&amp;";",""),IF(AND($G59&lt;Hta_5,$G59&gt;=Hba_5,Input!AH$25&lt;&gt;""),Input!$B$25&amp;";",""),IF(AND($G59&lt;Hta_6,$G59&gt;=Hba_6,Input!AH$26&lt;&gt;""),Input!$B$26&amp;";",""),IF(AND($G59&lt;Hta_7,$G59&gt;=Hba_7,Input!AH$27&lt;&gt;""),Input!$B$27&amp;";",""),IF(AND($G59&lt;Hta_8,$G59&gt;=Hba_8,Input!AH$28&lt;&gt;""),Input!$B$28&amp;";",""),IF(AND($G59&lt;Hta_9,$G59&gt;=Hba_9,Input!AH$29&lt;&gt;""),Input!$B$29&amp;";",""),IF(AND($G59&lt;Hta_10,$G59&gt;=Hba_10,Input!AH$30&lt;&gt;""),Input!$B$30&amp;";",""),IF(AND($G59&lt;Hta_11,$G59&gt;=Hba_11,Input!AH$31&lt;&gt;""),Input!$B$31&amp;";",""),IF(AND($G59&lt;Hta_12,$G59&gt;=Hba_12,Input!AH$32&lt;&gt;""),Input!$B$32&amp;";",""),IF(AND($G59&lt;Hta_13,$G59&gt;=Hba_13,Input!AH$33&lt;&gt;""),Input!$B$33&amp;";",""),IF(AND($G59&lt;Hta_14,$G59&gt;=Hba_14,Input!AH$34&lt;&gt;""),Input!$B$34&amp;";",""),IF(AND($G59&lt;Hta_15,$G59&gt;=Hba_15,Input!AH$35&lt;&gt;""),Input!$B$35&amp;";",""),IF(AND($G59&lt;Hta_16,$G59&gt;=Hba_16,Input!AH$36&lt;&gt;""),Input!$B$36&amp;";",""),IF(AND($G59&lt;Hta_17,$G59&gt;=Hba_17,Input!AH$37&lt;&gt;""),Input!$B$37&amp;";",""),IF(AND($G59&lt;Hta_18,$G59&gt;=Hba_18,Input!AH$38&lt;&gt;""),Input!$B$38&amp;";",""),IF(AND($G59&lt;Hta_19,$G59&gt;=Hba_19,Input!AH$39&lt;&gt;""),Input!$B$39&amp;";",""),IF(AND($G59&lt;Hta_20,$G59&gt;=Hba_20,Input!AH$40&lt;&gt;""),Input!$B$40&amp;";",""),IF(AND($G59&lt;Hta_21,$G59&gt;=Hba_21,Input!AH$41&lt;&gt;""),Input!$B$41&amp;";",""),IF(AND($G59&lt;Hta_22,$G59&gt;=Hba_22,Input!AH$42&lt;&gt;""),Input!$B$42&amp;";",""),IF(AND($G59&lt;Hta_23,$G59&gt;=Hba_23,Input!AH$43&lt;&gt;""),Input!$B$43&amp;";",""),IF(AND($G59&lt;Hta_24,$G59&gt;=Hba_24,Input!AH$44&lt;&gt;""),Input!$B$44&amp;";",""),IF(AND($G59&lt;Hta_25,$G59&gt;=Hba_25,Input!AH$45&lt;&gt;""),Input!$B$45&amp;";",""),IF(AND($G59&lt;Hta_26,$G59&gt;=Hba_26,Input!AH$46&lt;&gt;""),Input!$B$46&amp;";",""),IF(AND($G59&lt;Hta_27,$G59&gt;=Hba_27,Input!AH$47&lt;&gt;""),Input!$B$47&amp;";",""),IF(AND($G59&lt;Hta_28,$G59&gt;=Hba_28,Input!AH$48&lt;&gt;""),Input!$B$48&amp;";",""),IF(AND($G59&lt;Hta_29,$G59&gt;=Hba_29,Input!AH$49&lt;&gt;""),Input!$B$49&amp;";",""),IF(AND($G59&lt;Hta_30,$G59&gt;=Hba_30,Input!AH$50&lt;&gt;""),Input!$B$50&amp;";","")),"")</f>
        <v/>
      </c>
      <c r="CJ59" s="25" t="str">
        <f>IFERROR(CONCATENATE(IF(AND($G59&lt;Hta_1,$G59&gt;=Hba_1,Input!AI$21&lt;&gt;""),Input!$B$21&amp;";",""),IF(AND($G59&lt;Hta_2,$G59&gt;=Hba_2,Input!AI$22&lt;&gt;""),Input!$B$22&amp;";",""),IF(AND($G59&lt;Hta_3,$G59&gt;=Hba_3,Input!AI$23&lt;&gt;""),Input!$B$23&amp;";",""),IF(AND($G59&lt;Hta_4,$G59&gt;=Hba_4,Input!AI$24&lt;&gt;""),Input!$B$24&amp;";",""),IF(AND($G59&lt;Hta_5,$G59&gt;=Hba_5,Input!AI$25&lt;&gt;""),Input!$B$25&amp;";",""),IF(AND($G59&lt;Hta_6,$G59&gt;=Hba_6,Input!AI$26&lt;&gt;""),Input!$B$26&amp;";",""),IF(AND($G59&lt;Hta_7,$G59&gt;=Hba_7,Input!AI$27&lt;&gt;""),Input!$B$27&amp;";",""),IF(AND($G59&lt;Hta_8,$G59&gt;=Hba_8,Input!AI$28&lt;&gt;""),Input!$B$28&amp;";",""),IF(AND($G59&lt;Hta_9,$G59&gt;=Hba_9,Input!AI$29&lt;&gt;""),Input!$B$29&amp;";",""),IF(AND($G59&lt;Hta_10,$G59&gt;=Hba_10,Input!AI$30&lt;&gt;""),Input!$B$30&amp;";",""),IF(AND($G59&lt;Hta_11,$G59&gt;=Hba_11,Input!AI$31&lt;&gt;""),Input!$B$31&amp;";",""),IF(AND($G59&lt;Hta_12,$G59&gt;=Hba_12,Input!AI$32&lt;&gt;""),Input!$B$32&amp;";",""),IF(AND($G59&lt;Hta_13,$G59&gt;=Hba_13,Input!AI$33&lt;&gt;""),Input!$B$33&amp;";",""),IF(AND($G59&lt;Hta_14,$G59&gt;=Hba_14,Input!AI$34&lt;&gt;""),Input!$B$34&amp;";",""),IF(AND($G59&lt;Hta_15,$G59&gt;=Hba_15,Input!AI$35&lt;&gt;""),Input!$B$35&amp;";",""),IF(AND($G59&lt;Hta_16,$G59&gt;=Hba_16,Input!AI$36&lt;&gt;""),Input!$B$36&amp;";",""),IF(AND($G59&lt;Hta_17,$G59&gt;=Hba_17,Input!AI$37&lt;&gt;""),Input!$B$37&amp;";",""),IF(AND($G59&lt;Hta_18,$G59&gt;=Hba_18,Input!AI$38&lt;&gt;""),Input!$B$38&amp;";",""),IF(AND($G59&lt;Hta_19,$G59&gt;=Hba_19,Input!AI$39&lt;&gt;""),Input!$B$39&amp;";",""),IF(AND($G59&lt;Hta_20,$G59&gt;=Hba_20,Input!AI$40&lt;&gt;""),Input!$B$40&amp;";",""),IF(AND($G59&lt;Hta_21,$G59&gt;=Hba_21,Input!AI$41&lt;&gt;""),Input!$B$41&amp;";",""),IF(AND($G59&lt;Hta_22,$G59&gt;=Hba_22,Input!AI$42&lt;&gt;""),Input!$B$42&amp;";",""),IF(AND($G59&lt;Hta_23,$G59&gt;=Hba_23,Input!AI$43&lt;&gt;""),Input!$B$43&amp;";",""),IF(AND($G59&lt;Hta_24,$G59&gt;=Hba_24,Input!AI$44&lt;&gt;""),Input!$B$44&amp;";",""),IF(AND($G59&lt;Hta_25,$G59&gt;=Hba_25,Input!AI$45&lt;&gt;""),Input!$B$45&amp;";",""),IF(AND($G59&lt;Hta_26,$G59&gt;=Hba_26,Input!AI$46&lt;&gt;""),Input!$B$46&amp;";",""),IF(AND($G59&lt;Hta_27,$G59&gt;=Hba_27,Input!AI$47&lt;&gt;""),Input!$B$47&amp;";",""),IF(AND($G59&lt;Hta_28,$G59&gt;=Hba_28,Input!AI$48&lt;&gt;""),Input!$B$48&amp;";",""),IF(AND($G59&lt;Hta_29,$G59&gt;=Hba_29,Input!AI$49&lt;&gt;""),Input!$B$49&amp;";",""),IF(AND($G59&lt;Hta_30,$G59&gt;=Hba_30,Input!AI$50&lt;&gt;""),Input!$B$50&amp;";","")),"")</f>
        <v/>
      </c>
      <c r="CK59" s="25" t="str">
        <f>IFERROR(CONCATENATE(IF(AND($G59&lt;Hta_1,$G59&gt;=Hba_1,Input!AJ$21&lt;&gt;""),Input!$B$21&amp;";",""),IF(AND($G59&lt;Hta_2,$G59&gt;=Hba_2,Input!AJ$22&lt;&gt;""),Input!$B$22&amp;";",""),IF(AND($G59&lt;Hta_3,$G59&gt;=Hba_3,Input!AJ$23&lt;&gt;""),Input!$B$23&amp;";",""),IF(AND($G59&lt;Hta_4,$G59&gt;=Hba_4,Input!AJ$24&lt;&gt;""),Input!$B$24&amp;";",""),IF(AND($G59&lt;Hta_5,$G59&gt;=Hba_5,Input!AJ$25&lt;&gt;""),Input!$B$25&amp;";",""),IF(AND($G59&lt;Hta_6,$G59&gt;=Hba_6,Input!AJ$26&lt;&gt;""),Input!$B$26&amp;";",""),IF(AND($G59&lt;Hta_7,$G59&gt;=Hba_7,Input!AJ$27&lt;&gt;""),Input!$B$27&amp;";",""),IF(AND($G59&lt;Hta_8,$G59&gt;=Hba_8,Input!AJ$28&lt;&gt;""),Input!$B$28&amp;";",""),IF(AND($G59&lt;Hta_9,$G59&gt;=Hba_9,Input!AJ$29&lt;&gt;""),Input!$B$29&amp;";",""),IF(AND($G59&lt;Hta_10,$G59&gt;=Hba_10,Input!AJ$30&lt;&gt;""),Input!$B$30&amp;";",""),IF(AND($G59&lt;Hta_11,$G59&gt;=Hba_11,Input!AJ$31&lt;&gt;""),Input!$B$31&amp;";",""),IF(AND($G59&lt;Hta_12,$G59&gt;=Hba_12,Input!AJ$32&lt;&gt;""),Input!$B$32&amp;";",""),IF(AND($G59&lt;Hta_13,$G59&gt;=Hba_13,Input!AJ$33&lt;&gt;""),Input!$B$33&amp;";",""),IF(AND($G59&lt;Hta_14,$G59&gt;=Hba_14,Input!AJ$34&lt;&gt;""),Input!$B$34&amp;";",""),IF(AND($G59&lt;Hta_15,$G59&gt;=Hba_15,Input!AJ$35&lt;&gt;""),Input!$B$35&amp;";",""),IF(AND($G59&lt;Hta_16,$G59&gt;=Hba_16,Input!AJ$36&lt;&gt;""),Input!$B$36&amp;";",""),IF(AND($G59&lt;Hta_17,$G59&gt;=Hba_17,Input!AJ$37&lt;&gt;""),Input!$B$37&amp;";",""),IF(AND($G59&lt;Hta_18,$G59&gt;=Hba_18,Input!AJ$38&lt;&gt;""),Input!$B$38&amp;";",""),IF(AND($G59&lt;Hta_19,$G59&gt;=Hba_19,Input!AJ$39&lt;&gt;""),Input!$B$39&amp;";",""),IF(AND($G59&lt;Hta_20,$G59&gt;=Hba_20,Input!AJ$40&lt;&gt;""),Input!$B$40&amp;";",""),IF(AND($G59&lt;Hta_21,$G59&gt;=Hba_21,Input!AJ$41&lt;&gt;""),Input!$B$41&amp;";",""),IF(AND($G59&lt;Hta_22,$G59&gt;=Hba_22,Input!AJ$42&lt;&gt;""),Input!$B$42&amp;";",""),IF(AND($G59&lt;Hta_23,$G59&gt;=Hba_23,Input!AJ$43&lt;&gt;""),Input!$B$43&amp;";",""),IF(AND($G59&lt;Hta_24,$G59&gt;=Hba_24,Input!AJ$44&lt;&gt;""),Input!$B$44&amp;";",""),IF(AND($G59&lt;Hta_25,$G59&gt;=Hba_25,Input!AJ$45&lt;&gt;""),Input!$B$45&amp;";",""),IF(AND($G59&lt;Hta_26,$G59&gt;=Hba_26,Input!AJ$46&lt;&gt;""),Input!$B$46&amp;";",""),IF(AND($G59&lt;Hta_27,$G59&gt;=Hba_27,Input!AJ$47&lt;&gt;""),Input!$B$47&amp;";",""),IF(AND($G59&lt;Hta_28,$G59&gt;=Hba_28,Input!AJ$48&lt;&gt;""),Input!$B$48&amp;";",""),IF(AND($G59&lt;Hta_29,$G59&gt;=Hba_29,Input!AJ$49&lt;&gt;""),Input!$B$49&amp;";",""),IF(AND($G59&lt;Hta_30,$G59&gt;=Hba_30,Input!AJ$50&lt;&gt;""),Input!$B$50&amp;";","")),"")</f>
        <v/>
      </c>
      <c r="CL59" s="25" t="str">
        <f>IFERROR(CONCATENATE(IF(AND($G59&lt;Hta_1,$G59&gt;=Hba_1,Input!AK$21&lt;&gt;""),Input!$B$21&amp;";",""),IF(AND($G59&lt;Hta_2,$G59&gt;=Hba_2,Input!AK$22&lt;&gt;""),Input!$B$22&amp;";",""),IF(AND($G59&lt;Hta_3,$G59&gt;=Hba_3,Input!AK$23&lt;&gt;""),Input!$B$23&amp;";",""),IF(AND($G59&lt;Hta_4,$G59&gt;=Hba_4,Input!AK$24&lt;&gt;""),Input!$B$24&amp;";",""),IF(AND($G59&lt;Hta_5,$G59&gt;=Hba_5,Input!AK$25&lt;&gt;""),Input!$B$25&amp;";",""),IF(AND($G59&lt;Hta_6,$G59&gt;=Hba_6,Input!AK$26&lt;&gt;""),Input!$B$26&amp;";",""),IF(AND($G59&lt;Hta_7,$G59&gt;=Hba_7,Input!AK$27&lt;&gt;""),Input!$B$27&amp;";",""),IF(AND($G59&lt;Hta_8,$G59&gt;=Hba_8,Input!AK$28&lt;&gt;""),Input!$B$28&amp;";",""),IF(AND($G59&lt;Hta_9,$G59&gt;=Hba_9,Input!AK$29&lt;&gt;""),Input!$B$29&amp;";",""),IF(AND($G59&lt;Hta_10,$G59&gt;=Hba_10,Input!AK$30&lt;&gt;""),Input!$B$30&amp;";",""),IF(AND($G59&lt;Hta_11,$G59&gt;=Hba_11,Input!AK$31&lt;&gt;""),Input!$B$31&amp;";",""),IF(AND($G59&lt;Hta_12,$G59&gt;=Hba_12,Input!AK$32&lt;&gt;""),Input!$B$32&amp;";",""),IF(AND($G59&lt;Hta_13,$G59&gt;=Hba_13,Input!AK$33&lt;&gt;""),Input!$B$33&amp;";",""),IF(AND($G59&lt;Hta_14,$G59&gt;=Hba_14,Input!AK$34&lt;&gt;""),Input!$B$34&amp;";",""),IF(AND($G59&lt;Hta_15,$G59&gt;=Hba_15,Input!AK$35&lt;&gt;""),Input!$B$35&amp;";",""),IF(AND($G59&lt;Hta_16,$G59&gt;=Hba_16,Input!AK$36&lt;&gt;""),Input!$B$36&amp;";",""),IF(AND($G59&lt;Hta_17,$G59&gt;=Hba_17,Input!AK$37&lt;&gt;""),Input!$B$37&amp;";",""),IF(AND($G59&lt;Hta_18,$G59&gt;=Hba_18,Input!AK$38&lt;&gt;""),Input!$B$38&amp;";",""),IF(AND($G59&lt;Hta_19,$G59&gt;=Hba_19,Input!AK$39&lt;&gt;""),Input!$B$39&amp;";",""),IF(AND($G59&lt;Hta_20,$G59&gt;=Hba_20,Input!AK$40&lt;&gt;""),Input!$B$40&amp;";",""),IF(AND($G59&lt;Hta_21,$G59&gt;=Hba_21,Input!AK$41&lt;&gt;""),Input!$B$41&amp;";",""),IF(AND($G59&lt;Hta_22,$G59&gt;=Hba_22,Input!AK$42&lt;&gt;""),Input!$B$42&amp;";",""),IF(AND($G59&lt;Hta_23,$G59&gt;=Hba_23,Input!AK$43&lt;&gt;""),Input!$B$43&amp;";",""),IF(AND($G59&lt;Hta_24,$G59&gt;=Hba_24,Input!AK$44&lt;&gt;""),Input!$B$44&amp;";",""),IF(AND($G59&lt;Hta_25,$G59&gt;=Hba_25,Input!AK$45&lt;&gt;""),Input!$B$45&amp;";",""),IF(AND($G59&lt;Hta_26,$G59&gt;=Hba_26,Input!AK$46&lt;&gt;""),Input!$B$46&amp;";",""),IF(AND($G59&lt;Hta_27,$G59&gt;=Hba_27,Input!AK$47&lt;&gt;""),Input!$B$47&amp;";",""),IF(AND($G59&lt;Hta_28,$G59&gt;=Hba_28,Input!AK$48&lt;&gt;""),Input!$B$48&amp;";",""),IF(AND($G59&lt;Hta_29,$G59&gt;=Hba_29,Input!AK$49&lt;&gt;""),Input!$B$49&amp;";",""),IF(AND($G59&lt;Hta_30,$G59&gt;=Hba_30,Input!AK$50&lt;&gt;""),Input!$B$50&amp;";","")),"")</f>
        <v/>
      </c>
      <c r="CM59" s="25" t="str">
        <f>IFERROR(CONCATENATE(IF(AND($G59&lt;Hta_1,$G59&gt;=Hba_1,Input!AL$21&lt;&gt;""),Input!$B$21&amp;";",""),IF(AND($G59&lt;Hta_2,$G59&gt;=Hba_2,Input!AL$22&lt;&gt;""),Input!$B$22&amp;";",""),IF(AND($G59&lt;Hta_3,$G59&gt;=Hba_3,Input!AL$23&lt;&gt;""),Input!$B$23&amp;";",""),IF(AND($G59&lt;Hta_4,$G59&gt;=Hba_4,Input!AL$24&lt;&gt;""),Input!$B$24&amp;";",""),IF(AND($G59&lt;Hta_5,$G59&gt;=Hba_5,Input!AL$25&lt;&gt;""),Input!$B$25&amp;";",""),IF(AND($G59&lt;Hta_6,$G59&gt;=Hba_6,Input!AL$26&lt;&gt;""),Input!$B$26&amp;";",""),IF(AND($G59&lt;Hta_7,$G59&gt;=Hba_7,Input!AL$27&lt;&gt;""),Input!$B$27&amp;";",""),IF(AND($G59&lt;Hta_8,$G59&gt;=Hba_8,Input!AL$28&lt;&gt;""),Input!$B$28&amp;";",""),IF(AND($G59&lt;Hta_9,$G59&gt;=Hba_9,Input!AL$29&lt;&gt;""),Input!$B$29&amp;";",""),IF(AND($G59&lt;Hta_10,$G59&gt;=Hba_10,Input!AL$30&lt;&gt;""),Input!$B$30&amp;";",""),IF(AND($G59&lt;Hta_11,$G59&gt;=Hba_11,Input!AL$31&lt;&gt;""),Input!$B$31&amp;";",""),IF(AND($G59&lt;Hta_12,$G59&gt;=Hba_12,Input!AL$32&lt;&gt;""),Input!$B$32&amp;";",""),IF(AND($G59&lt;Hta_13,$G59&gt;=Hba_13,Input!AL$33&lt;&gt;""),Input!$B$33&amp;";",""),IF(AND($G59&lt;Hta_14,$G59&gt;=Hba_14,Input!AL$34&lt;&gt;""),Input!$B$34&amp;";",""),IF(AND($G59&lt;Hta_15,$G59&gt;=Hba_15,Input!AL$35&lt;&gt;""),Input!$B$35&amp;";",""),IF(AND($G59&lt;Hta_16,$G59&gt;=Hba_16,Input!AL$36&lt;&gt;""),Input!$B$36&amp;";",""),IF(AND($G59&lt;Hta_17,$G59&gt;=Hba_17,Input!AL$37&lt;&gt;""),Input!$B$37&amp;";",""),IF(AND($G59&lt;Hta_18,$G59&gt;=Hba_18,Input!AL$38&lt;&gt;""),Input!$B$38&amp;";",""),IF(AND($G59&lt;Hta_19,$G59&gt;=Hba_19,Input!AL$39&lt;&gt;""),Input!$B$39&amp;";",""),IF(AND($G59&lt;Hta_20,$G59&gt;=Hba_20,Input!AL$40&lt;&gt;""),Input!$B$40&amp;";",""),IF(AND($G59&lt;Hta_21,$G59&gt;=Hba_21,Input!AL$41&lt;&gt;""),Input!$B$41&amp;";",""),IF(AND($G59&lt;Hta_22,$G59&gt;=Hba_22,Input!AL$42&lt;&gt;""),Input!$B$42&amp;";",""),IF(AND($G59&lt;Hta_23,$G59&gt;=Hba_23,Input!AL$43&lt;&gt;""),Input!$B$43&amp;";",""),IF(AND($G59&lt;Hta_24,$G59&gt;=Hba_24,Input!AL$44&lt;&gt;""),Input!$B$44&amp;";",""),IF(AND($G59&lt;Hta_25,$G59&gt;=Hba_25,Input!AL$45&lt;&gt;""),Input!$B$45&amp;";",""),IF(AND($G59&lt;Hta_26,$G59&gt;=Hba_26,Input!AL$46&lt;&gt;""),Input!$B$46&amp;";",""),IF(AND($G59&lt;Hta_27,$G59&gt;=Hba_27,Input!AL$47&lt;&gt;""),Input!$B$47&amp;";",""),IF(AND($G59&lt;Hta_28,$G59&gt;=Hba_28,Input!AL$48&lt;&gt;""),Input!$B$48&amp;";",""),IF(AND($G59&lt;Hta_29,$G59&gt;=Hba_29,Input!AL$49&lt;&gt;""),Input!$B$49&amp;";",""),IF(AND($G59&lt;Hta_30,$G59&gt;=Hba_30,Input!AL$50&lt;&gt;""),Input!$B$50&amp;";","")),"")</f>
        <v/>
      </c>
      <c r="CN59" s="60" t="str">
        <f t="shared" si="6"/>
        <v/>
      </c>
      <c r="CO59" s="798"/>
      <c r="CP59" s="799"/>
      <c r="CQ59" s="800"/>
      <c r="CR59" s="798"/>
      <c r="CS59" s="799"/>
      <c r="CT59" s="800"/>
      <c r="CU59" s="798" t="str">
        <f t="shared" si="7"/>
        <v/>
      </c>
      <c r="CV59" s="799"/>
      <c r="CW59" s="806"/>
      <c r="CX59" s="726"/>
      <c r="CY59" s="727"/>
      <c r="CZ59" s="732"/>
      <c r="DA59" s="726"/>
      <c r="DB59" s="727"/>
      <c r="DC59" s="732"/>
      <c r="DD59" s="726" t="str">
        <f t="shared" si="8"/>
        <v/>
      </c>
      <c r="DE59" s="727"/>
      <c r="DF59" s="728"/>
      <c r="DG59" s="53"/>
      <c r="DH59" s="54"/>
      <c r="DI59" s="54"/>
      <c r="DJ59" s="54"/>
      <c r="DK59" s="54"/>
      <c r="DL59" s="54"/>
      <c r="DM59" s="54"/>
      <c r="DN59" s="54"/>
      <c r="DO59" s="54"/>
      <c r="DP59" s="54"/>
      <c r="DQ59" s="57"/>
      <c r="DR59" s="57"/>
      <c r="DS59" s="57"/>
      <c r="DT59" s="57"/>
      <c r="DU59" s="57"/>
      <c r="DV59" s="57"/>
      <c r="DW59" s="57"/>
      <c r="DX59" s="57"/>
      <c r="DY59" s="57"/>
      <c r="DZ59" s="57"/>
      <c r="EA59" s="57"/>
      <c r="EB59" s="57"/>
      <c r="EC59" s="57"/>
      <c r="ED59" s="57"/>
      <c r="EE59" s="57"/>
      <c r="EF59" s="57"/>
      <c r="EG59" s="57"/>
      <c r="EH59" s="57"/>
      <c r="EI59" s="57"/>
      <c r="EJ59" s="57"/>
      <c r="EK59" s="57"/>
      <c r="EL59" s="133"/>
      <c r="EM59" s="133"/>
      <c r="EN59" s="133"/>
      <c r="EO59" s="133"/>
      <c r="EP59" s="133"/>
      <c r="EQ59" s="133"/>
      <c r="ER59" s="133"/>
      <c r="ES59" s="133"/>
      <c r="ET59" s="133"/>
      <c r="EU59" s="133"/>
      <c r="EV59" s="133"/>
      <c r="EW59" s="133"/>
      <c r="EX59" s="133"/>
      <c r="EY59" s="133"/>
      <c r="EZ59" s="133"/>
      <c r="FA59" s="133"/>
      <c r="FB59" s="133"/>
      <c r="FC59" s="133"/>
      <c r="FD59" s="133"/>
      <c r="FE59" s="133"/>
      <c r="FF59" s="133"/>
      <c r="FG59" s="133"/>
      <c r="FH59" s="133"/>
      <c r="FI59" s="133"/>
      <c r="FJ59" s="133"/>
      <c r="FK59" s="133"/>
      <c r="FL59" s="133"/>
      <c r="FM59" s="133"/>
      <c r="FN59" s="133"/>
      <c r="FO59" s="133"/>
      <c r="FQ59" s="125"/>
      <c r="FR59" s="123"/>
      <c r="FS59" s="121"/>
      <c r="FT59" s="119"/>
    </row>
    <row r="60" spans="2:176" ht="15.75" hidden="1" thickBot="1" x14ac:dyDescent="0.3">
      <c r="B60" s="62" t="b">
        <f>IF(OR(AND(G60&gt;='Geometry 2'!$AK$5,G60&lt;'Geometry 2'!$AL$5),AND(G60&gt;='Geometry 2'!$AK$6,G60&lt;'Geometry 2'!$AL$6),AND(G60&gt;='Geometry 2'!$AK$7,G60&lt;'Geometry 2'!$AL$7),AND(G60&gt;='Geometry 2'!$AK$8,G60&lt;'Geometry 2'!$AL$8),AND(G60&gt;='Geometry 2'!$AK$9,G60&lt;'Geometry 2'!$AL$9),AND(G60&gt;='Geometry 2'!$AK$10,G60&lt;'Geometry 2'!$AL$10),AND(G60&gt;='Geometry 2'!$AK$11,G60&lt;'Geometry 2'!$AL$11),AND(G60&gt;='Geometry 2'!$AK$12,G60&lt;'Geometry 2'!$AL$12),AND(G60&gt;='Geometry 2'!$AK$13,G60&lt;'Geometry 2'!$AL$13),AND(G60&gt;='Geometry 2'!$AK$14,G60&lt;'Geometry 2'!$AL$14)),TRUE,FALSE)</f>
        <v>0</v>
      </c>
      <c r="C60" s="4" t="str">
        <f t="shared" si="3"/>
        <v/>
      </c>
      <c r="D60" s="766" t="str">
        <f t="shared" si="4"/>
        <v/>
      </c>
      <c r="E60" s="767"/>
      <c r="F60" s="17" t="str">
        <f t="shared" si="2"/>
        <v/>
      </c>
      <c r="G60" s="768" t="str">
        <f>IF(D60="","",MAX(0,G59-IF(inc="n/a",999,inc),MAX(IF(G59&lt;=Hta_1,0,Hta_1),IF(G59&lt;=Hta_2,0,Hta_2),IF(G59&lt;=Hta_3,0,Hta_3),IF(G59&lt;=Hta_4,0,Hta_4),IF(G59&lt;=Hta_5,0,Hta_5),IF(G59&lt;=Hta_6,0,Hta_6),IF(G59&lt;=Hta_7,0,Hta_7),IF(G59&lt;=Hta_8,0,Hta_8),IF(G59&lt;=Hta_9,0,Hta_9),IF(G59&lt;=Hta_10,0,Hta_10),IF(G59&lt;=Hta_11,0,Hta_11),IF(G59&lt;=Hta_12,0,Hta_12),IF(G59&lt;=Hta_13,0,Hta_13),IF(G59&lt;=Hta_14,0,Hta_14),IF(G59&lt;=Hta_15,0,Hta_15),IF(G59&lt;=Hta_16,0,Hta_16),IF(G59&lt;=Hta_17,0,Hta_17),IF(G59&lt;=Hta_18,0,Hta_18),IF(G59&lt;=Hta_19,0,Hta_19),IF(G59&lt;=Hta_20,0,Hta_20),IF(G59&lt;=Hta_21,0,Hta_21),IF(G59&lt;=Hta_22,0,Hta_22),IF(G59&lt;=Hta_23,0,Hta_23),IF(G59&lt;=Hta_24,0,Hta_24),IF(G59&lt;=Hta_25,0,Hta_25),IF(G59&lt;=Hta_26,0,Hta_26),IF(G59&lt;=Hta_27,0,Hta_27),IF(G59&lt;=Hta_28,0,Hta_28),IF(G59&lt;=Hta_29,0,Hta_29),IF(G59&lt;=Hta_30,0,Hta_30)),MAX(IF(G59&lt;=Hta_1-0.25,0,Hta_1-0.25),IF(G59&lt;=Hta_2-0.25,0,Hta_2-0.25),IF(G59&lt;=Hta_3-0.25,0,Hta_3-0.25),IF(G59&lt;=Hta_4-0.25,0,Hta_4-0.25),IF(G59&lt;=Hta_5-0.25,0,Hta_5-0.25),IF(G59&lt;=Hta_6-0.25,0,Hta_6-0.25),IF(G59&lt;=Hta_7-0.25,0,Hta_7-0.25),IF(G59&lt;=Hta_8-0.25,0,Hta_8-0.25),IF(G59&lt;=Hta_9-0.25,0,Hta_9-0.25),IF(G59&lt;=Hta_10-0.25,0,Hta_10-0.25),IF(G59&lt;=Hta_11-0.25,0,Hta_11-0.25),IF(G59&lt;=Hta_12-0.25,0,Hta_12-0.25),IF(G59&lt;=Hta_13-0.25,0,Hta_13-0.25),IF(G59&lt;=Hta_14-0.25,0,Hta_14-0.25),IF(G59&lt;=Hta_15-0.25,0,Hta_15-0.25),IF(G59&lt;=Hta_16-0.25,0,Hta_16-0.25),IF(G59&lt;=Hta_17-0.25,0,Hta_17-0.25),IF(G59&lt;=Hta_18-0.25,0,Hta_18-0.25),IF(G59&lt;=Hta_19-0.25,0,Hta_19-0.25),IF(G59&lt;=Hta_20-0.25,0,Hta_20-0.25),IF(G59&lt;=Hta_21-0.25,0,Hta_21-0.25),IF(G59&lt;=Hta_22-0.25,0,Hta_22-0.25),IF(G59&lt;=Hta_23-0.25,0,Hta_23-0.25),IF(G59&lt;=Hta_24-0.25,0,Hta_24-0.25),IF(G59&lt;=Hta_25-0.25,0,Hta_25-0.25),IF(G59&lt;=Hta_26-0.25,0,Hta_26-0.25),IF(G59&lt;=Hta_27-0.25,0,Hta_27-0.25),IF(G59&lt;=Hta_28-0.25,0,Hta_28-0.25),IF(G59&lt;=Hta_29-0.25,0,Hta_29-0.25),IF(G59&lt;=Hta_30-0.25,0,Hta_30-0.25)),MAX(IF(G59&lt;=Hba_1,0,Hba_1),IF(G59&lt;=Hba_2,0,Hba_2),IF(G59&lt;=Hba_3,0,Hba_3),IF(G59&lt;=Hba_4,0,Hba_4),IF(G59&lt;=Hba_5,0,Hba_5),IF(G59&lt;=Hba_6,0,Hba_6),IF(G59&lt;=Hba_7,0,Hba_7),IF(G59&lt;=Hba_8,0,Hba_8),IF(G59&lt;=Hba_9,0,Hba_9),IF(G59&lt;=Hba_10,0,Hba_10),IF(G59&lt;=Hba_11,0,Hba_11),IF(G59&lt;=Hba_12,0,Hba_12),IF(G59&lt;=Hba_13,0,Hba_13),IF(G59&lt;=Hba_14,0,Hba_14),IF(G59&lt;=Hba_15,0,Hba_15),IF(G59&lt;=Hba_16,0,Hba_16),IF(G59&lt;=Hba_17,0,Hba_17),IF(G59&lt;=Hba_18,0,Hba_18),IF(G59&lt;=Hba_19,0,Hba_19),IF(G59&lt;=Hba_20,0,Hba_20),IF(G59&lt;=Hba_21,0,Hba_21),IF(G59&lt;=Hba_22,0,Hba_22),IF(G59&lt;=Hba_23,0,Hba_23),IF(G59&lt;=Hba_24,0,Hba_24),IF(G59&lt;=Hba_25,0,Hba_25),IF(G59&lt;=Hba_26,0,Hba_26),IF(G59&lt;=Hba_27,0,Hba_27),IF(G59&lt;=Hba_28,0,Hba_28),IF(G59&lt;=Hba_29,0,Hba_29),IF(G59&lt;=Hba_30,0,Hba_30)),MAX(IF(G59&lt;=Input!$C$8,0,Input!$C$8),IF(G59&lt;=Input!$C$9,0,Input!$C$9),IF(G59&lt;=Input!$C$10,0,Input!$C$10),IF(G59&lt;=Input!$C$11,0,Input!$C$11),IF(G59&lt;=Input!$C$12,0,Input!$C$12),IF(G59&lt;=Input!$C$13,0,Input!$C$13),IF(G59&lt;=Input!$C$14,0,Input!$C$14),IF(G59&lt;=Input!$C$15,0,Input!$C$15),IF(G59&lt;=Input!$C$16,0,Input!$C$16)),MAX(IF(G59&lt;=Hba_1-0.25,0,Hba_1-0.25),IF(G59&lt;=Hba_2-0.25,0,Hba_2-0.25),IF(G59&lt;=Hba_3-0.25,0,Hba_3-0.25),IF(G59&lt;=Hba_4-0.25,0,Hba_4-0.25),IF(G59&lt;=Hba_5-0.25,0,Hba_5-0.25),IF(G59&lt;=Hba_6-0.25,0,Hba_6-0.25),IF(G59&lt;=Hba_7-0.25,0,Hba_7-0.25),IF(G59&lt;=Hba_8-0.25,0,Hba_8-0.25),IF(G59&lt;=Hba_9-0.25,0,Hba_9-0.25),IF(G59&lt;=Hba_10-0.25,0,Hba_10-0.25),IF(G59&lt;=Hba_11-0.25,0,Hba_11-0.25),IF(G59&lt;=Hba_12-0.25,0,Hba_12-0.25),IF(G59&lt;=Hba_13-0.25,0,Hba_13-0.25),IF(G59&lt;=Hba_14-0.25,0,Hba_14-0.25),IF(G59&lt;=Hba_15-0.25,0,Hba_15-0.25),IF(G59&lt;=Hba_16-0.25,0,Hba_16-0.25),IF(G59&lt;=Hba_17-0.25,0,Hba_17-0.25),IF(G59&lt;=Hba_18-0.25,0,Hba_18-0.25),IF(G59&lt;=Hba_19-0.25,0,Hba_19-0.25),IF(G59&lt;=Hba_20-0.25,0,Hba_20-0.25),IF(G59&lt;=Hba_21-0.25,0,Hba_21-0.25),IF(G59&lt;=Hba_22-0.25,0,Hba_22-0.25),IF(G59&lt;=Hba_23-0.25,0,Hba_23-0.25),IF(G59&lt;=Hba_24-0.25,0,Hba_24-0.25),IF(G59&lt;=Hba_25-0.25,0,Hba_25-0.25),IF(G59&lt;=Hba_26-0.25,0,Hba_26-0.25),IF(G59&lt;=Hba_27-0.25,0,Hba_27-0.25),IF(G59&lt;=Hba_28-0.25,0,Hba_28-0.25),IF(G59&lt;=Hba_29-0.25,0,Hba_29-0.25),IF(G59&lt;=Hba_30-0.25,0,Hba_30-0.25)),IF(G59&lt;='Macro References'!$A$38,0,'Macro References'!$A$38)))</f>
        <v/>
      </c>
      <c r="H60" s="769"/>
      <c r="I60" s="228"/>
      <c r="J60" s="228"/>
      <c r="K60" s="228"/>
      <c r="L60" s="717" t="str">
        <f t="shared" si="10"/>
        <v/>
      </c>
      <c r="M60" s="717"/>
      <c r="N60" s="717"/>
      <c r="O60" s="717"/>
      <c r="P60" s="717" t="str">
        <f>IF(OR(G60=0,G60=""),"",IF(VLOOKUP(G60,'Geometry 2'!$C$4:$AI$14,1,TRUE)=VLOOKUP(G61,'Geometry 2'!$C$4:$AI$14,1,TRUE),"",IF(VLOOKUP(G60,'Geometry 2'!$C$4:$AI$14,33,TRUE)&lt;&gt;"n/a",MIN(G60,VLOOKUP(G60,'Geometry 2'!$C$4:$AI$14,1,TRUE))-VLOOKUP(G60,'Geometry 2'!$C$4:$AI$14,33,TRUE),"check")))</f>
        <v/>
      </c>
      <c r="Q60" s="717"/>
      <c r="R60" s="717"/>
      <c r="S60" s="717"/>
      <c r="T60" s="717" t="str">
        <f>IF($G60="","",VLOOKUP($G60,'Geometry 2'!$E$4:$AH$14,11,TRUE))</f>
        <v/>
      </c>
      <c r="U60" s="717"/>
      <c r="V60" s="717"/>
      <c r="W60" s="717"/>
      <c r="X60" s="716" t="str">
        <f>IF($G60="","",VLOOKUP($G60,'Geometry 2'!$E$4:$AJ$14,19,TRUE)-12*VLOOKUP($G60,'Geometry 2'!$E$4:$AJ$14,32,TRUE)*($D60-VLOOKUP($G60,'Geometry 2'!$E$5:$AH$14,1,TRUE)))</f>
        <v/>
      </c>
      <c r="Y60" s="716"/>
      <c r="Z60" s="716"/>
      <c r="AA60" s="716"/>
      <c r="AB60" s="757" t="str">
        <f>IF($G60="","",VLOOKUP($G60,'Geometry 2'!$E$4:$AJ$14,19,TRUE)-12*VLOOKUP($G60,'Geometry 2'!$E$4:$AJ$14,32,TRUE)*($G60-VLOOKUP($G60,'Geometry 2'!$E$5:$AH$14,1,TRUE)))</f>
        <v/>
      </c>
      <c r="AC60" s="758"/>
      <c r="AD60" s="758"/>
      <c r="AE60" s="759"/>
      <c r="AF60" s="716" t="str">
        <f>IF($G60="","",VLOOKUP($G60,'Geometry 2'!$E$4:$AJ$14,19,TRUE)-12*VLOOKUP($G60,'Geometry 2'!$E$4:$AJ$14,32,TRUE)*($G60-IF($P60="",0,$P60)-VLOOKUP($G60,'Geometry 2'!$E$5:$AH$14,1,TRUE)))</f>
        <v/>
      </c>
      <c r="AG60" s="716"/>
      <c r="AH60" s="716"/>
      <c r="AI60" s="716"/>
      <c r="AJ60" s="746" t="str">
        <f>IF($G60="","",VLOOKUP($G60,'Geometry 2'!$E$4:$AH$14,23,TRUE))</f>
        <v/>
      </c>
      <c r="AK60" s="747"/>
      <c r="AL60" s="747"/>
      <c r="AM60" s="748"/>
      <c r="AN60" s="717"/>
      <c r="AO60" s="717"/>
      <c r="AP60" s="717"/>
      <c r="AQ60" s="717"/>
      <c r="AR60" s="717" t="str">
        <f>IF($G60="","",VLOOKUP($G60,'Geometry 2'!$E$4:$AH$14,27,TRUE))</f>
        <v/>
      </c>
      <c r="AS60" s="717"/>
      <c r="AT60" s="717"/>
      <c r="AU60" s="718"/>
      <c r="AV60" s="715"/>
      <c r="AW60" s="716"/>
      <c r="AX60" s="716"/>
      <c r="AZ60" s="722" t="str">
        <f t="shared" si="5"/>
        <v/>
      </c>
      <c r="BA60" s="723"/>
      <c r="BB60" s="723"/>
      <c r="BC60" s="724"/>
      <c r="BD60" s="722"/>
      <c r="BE60" s="723"/>
      <c r="BF60" s="723"/>
      <c r="BG60" s="722" t="str">
        <f t="shared" si="9"/>
        <v/>
      </c>
      <c r="BH60" s="723"/>
      <c r="BI60" s="723"/>
      <c r="BJ60" s="723"/>
      <c r="BK60" s="724"/>
      <c r="BL60" s="722"/>
      <c r="BM60" s="723"/>
      <c r="BN60" s="723"/>
      <c r="BO60" s="723"/>
      <c r="BP60" s="725"/>
      <c r="BQ60" s="725"/>
      <c r="BR60" s="722" t="str">
        <f>IF(BP60="","",IF(OR(AND(Rev="H",Calculations!$F$27=TRUE),AND(Rev&lt;&gt;"H",Calculations!$F$30=TRUE)),IF(BP60&lt;=1,"Pass","Fail"),IF(BP60&lt;=1.05,"Pass","Fail")))</f>
        <v/>
      </c>
      <c r="BS60" s="723"/>
      <c r="BT60" s="724"/>
      <c r="BU60" s="49"/>
      <c r="BV60" s="25" t="str">
        <f>IFERROR(CONCATENATE(IF(AND($G60&lt;Hta_1,$G60&gt;=Hba_1,Input!U$21&lt;&gt;""),Input!$B$21&amp;";",""),IF(AND($G60&lt;Hta_2,$G60&gt;=Hba_2,Input!U$22&lt;&gt;""),Input!$B$22&amp;";",""),IF(AND($G60&lt;Hta_3,$G60&gt;=Hba_3,Input!U$23&lt;&gt;""),Input!$B$23&amp;";",""),IF(AND($G60&lt;Hta_4,$G60&gt;=Hba_4,Input!U$24&lt;&gt;""),Input!$B$24&amp;";",""),IF(AND($G60&lt;Hta_5,$G60&gt;=Hba_5,Input!U$25&lt;&gt;""),Input!$B$25&amp;";",""),IF(AND($G60&lt;Hta_6,$G60&gt;=Hba_6,Input!U$26&lt;&gt;""),Input!$B$26&amp;";",""),IF(AND($G60&lt;Hta_7,$G60&gt;=Hba_7,Input!U$27&lt;&gt;""),Input!$B$27&amp;";",""),IF(AND($G60&lt;Hta_8,$G60&gt;=Hba_8,Input!U$28&lt;&gt;""),Input!$B$28&amp;";",""),IF(AND($G60&lt;Hta_9,$G60&gt;=Hba_9,Input!U$29&lt;&gt;""),Input!$B$29&amp;";",""),IF(AND($G60&lt;Hta_10,$G60&gt;=Hba_10,Input!U$30&lt;&gt;""),Input!$B$30&amp;";",""),IF(AND($G60&lt;Hta_11,$G60&gt;=Hba_11,Input!U$31&lt;&gt;""),Input!$B$31&amp;";",""),IF(AND($G60&lt;Hta_12,$G60&gt;=Hba_12,Input!U$32&lt;&gt;""),Input!$B$32&amp;";",""),IF(AND($G60&lt;Hta_13,$G60&gt;=Hba_13,Input!U$33&lt;&gt;""),Input!$B$33&amp;";",""),IF(AND($G60&lt;Hta_14,$G60&gt;=Hba_14,Input!U$34&lt;&gt;""),Input!$B$34&amp;";",""),IF(AND($G60&lt;Hta_15,$G60&gt;=Hba_15,Input!U$35&lt;&gt;""),Input!$B$35&amp;";",""),IF(AND($G60&lt;Hta_16,$G60&gt;=Hba_16,Input!U$36&lt;&gt;""),Input!$B$36&amp;";",""),IF(AND($G60&lt;Hta_17,$G60&gt;=Hba_17,Input!U$37&lt;&gt;""),Input!$B$37&amp;";",""),IF(AND($G60&lt;Hta_18,$G60&gt;=Hba_18,Input!U$38&lt;&gt;""),Input!$B$38&amp;";",""),IF(AND($G60&lt;Hta_19,$G60&gt;=Hba_19,Input!U$39&lt;&gt;""),Input!$B$39&amp;";",""),IF(AND($G60&lt;Hta_20,$G60&gt;=Hba_20,Input!U$40&lt;&gt;""),Input!$B$40&amp;";",""),IF(AND($G60&lt;Hta_21,$G60&gt;=Hba_21,Input!U$41&lt;&gt;""),Input!$B$41&amp;";",""),IF(AND($G60&lt;Hta_22,$G60&gt;=Hba_22,Input!U$42&lt;&gt;""),Input!$B$42&amp;";",""),IF(AND($G60&lt;Hta_23,$G60&gt;=Hba_23,Input!U$43&lt;&gt;""),Input!$B$43&amp;";",""),IF(AND($G60&lt;Hta_24,$G60&gt;=Hba_24,Input!U$44&lt;&gt;""),Input!$B$44&amp;";",""),IF(AND($G60&lt;Hta_25,$G60&gt;=Hba_25,Input!U$45&lt;&gt;""),Input!$B$45&amp;";",""),IF(AND($G60&lt;Hta_26,$G60&gt;=Hba_26,Input!U$46&lt;&gt;""),Input!$B$46&amp;";",""),IF(AND($G60&lt;Hta_27,$G60&gt;=Hba_27,Input!U$47&lt;&gt;""),Input!$B$47&amp;";",""),IF(AND($G60&lt;Hta_28,$G60&gt;=Hba_28,Input!U$48&lt;&gt;""),Input!$B$48&amp;";",""),IF(AND($G60&lt;Hta_29,$G60&gt;=Hba_29,Input!U$49&lt;&gt;""),Input!$B$49&amp;";",""),IF(AND($G60&lt;Hta_30,$G60&gt;=Hba_30,Input!U$50&lt;&gt;""),Input!$B$50&amp;";","")),"")</f>
        <v/>
      </c>
      <c r="BW60" s="25" t="str">
        <f>IFERROR(CONCATENATE(IF(AND($G60&lt;Hta_1,$G60&gt;=Hba_1,Input!V$21&lt;&gt;""),Input!$B$21&amp;";",""),IF(AND($G60&lt;Hta_2,$G60&gt;=Hba_2,Input!V$22&lt;&gt;""),Input!$B$22&amp;";",""),IF(AND($G60&lt;Hta_3,$G60&gt;=Hba_3,Input!V$23&lt;&gt;""),Input!$B$23&amp;";",""),IF(AND($G60&lt;Hta_4,$G60&gt;=Hba_4,Input!V$24&lt;&gt;""),Input!$B$24&amp;";",""),IF(AND($G60&lt;Hta_5,$G60&gt;=Hba_5,Input!V$25&lt;&gt;""),Input!$B$25&amp;";",""),IF(AND($G60&lt;Hta_6,$G60&gt;=Hba_6,Input!V$26&lt;&gt;""),Input!$B$26&amp;";",""),IF(AND($G60&lt;Hta_7,$G60&gt;=Hba_7,Input!V$27&lt;&gt;""),Input!$B$27&amp;";",""),IF(AND($G60&lt;Hta_8,$G60&gt;=Hba_8,Input!V$28&lt;&gt;""),Input!$B$28&amp;";",""),IF(AND($G60&lt;Hta_9,$G60&gt;=Hba_9,Input!V$29&lt;&gt;""),Input!$B$29&amp;";",""),IF(AND($G60&lt;Hta_10,$G60&gt;=Hba_10,Input!V$30&lt;&gt;""),Input!$B$30&amp;";",""),IF(AND($G60&lt;Hta_11,$G60&gt;=Hba_11,Input!V$31&lt;&gt;""),Input!$B$31&amp;";",""),IF(AND($G60&lt;Hta_12,$G60&gt;=Hba_12,Input!V$32&lt;&gt;""),Input!$B$32&amp;";",""),IF(AND($G60&lt;Hta_13,$G60&gt;=Hba_13,Input!V$33&lt;&gt;""),Input!$B$33&amp;";",""),IF(AND($G60&lt;Hta_14,$G60&gt;=Hba_14,Input!V$34&lt;&gt;""),Input!$B$34&amp;";",""),IF(AND($G60&lt;Hta_15,$G60&gt;=Hba_15,Input!V$35&lt;&gt;""),Input!$B$35&amp;";",""),IF(AND($G60&lt;Hta_16,$G60&gt;=Hba_16,Input!V$36&lt;&gt;""),Input!$B$36&amp;";",""),IF(AND($G60&lt;Hta_17,$G60&gt;=Hba_17,Input!V$37&lt;&gt;""),Input!$B$37&amp;";",""),IF(AND($G60&lt;Hta_18,$G60&gt;=Hba_18,Input!V$38&lt;&gt;""),Input!$B$38&amp;";",""),IF(AND($G60&lt;Hta_19,$G60&gt;=Hba_19,Input!V$39&lt;&gt;""),Input!$B$39&amp;";",""),IF(AND($G60&lt;Hta_20,$G60&gt;=Hba_20,Input!V$40&lt;&gt;""),Input!$B$40&amp;";",""),IF(AND($G60&lt;Hta_21,$G60&gt;=Hba_21,Input!V$41&lt;&gt;""),Input!$B$41&amp;";",""),IF(AND($G60&lt;Hta_22,$G60&gt;=Hba_22,Input!V$42&lt;&gt;""),Input!$B$42&amp;";",""),IF(AND($G60&lt;Hta_23,$G60&gt;=Hba_23,Input!V$43&lt;&gt;""),Input!$B$43&amp;";",""),IF(AND($G60&lt;Hta_24,$G60&gt;=Hba_24,Input!V$44&lt;&gt;""),Input!$B$44&amp;";",""),IF(AND($G60&lt;Hta_25,$G60&gt;=Hba_25,Input!V$45&lt;&gt;""),Input!$B$45&amp;";",""),IF(AND($G60&lt;Hta_26,$G60&gt;=Hba_26,Input!V$46&lt;&gt;""),Input!$B$46&amp;";",""),IF(AND($G60&lt;Hta_27,$G60&gt;=Hba_27,Input!V$47&lt;&gt;""),Input!$B$47&amp;";",""),IF(AND($G60&lt;Hta_28,$G60&gt;=Hba_28,Input!V$48&lt;&gt;""),Input!$B$48&amp;";",""),IF(AND($G60&lt;Hta_29,$G60&gt;=Hba_29,Input!V$49&lt;&gt;""),Input!$B$49&amp;";",""),IF(AND($G60&lt;Hta_30,$G60&gt;=Hba_30,Input!V$50&lt;&gt;""),Input!$B$50&amp;";","")),"")</f>
        <v/>
      </c>
      <c r="BX60" s="25" t="str">
        <f>IFERROR(CONCATENATE(IF(AND($G60&lt;Hta_1,$G60&gt;=Hba_1,Input!W$21&lt;&gt;""),Input!$B$21&amp;";",""),IF(AND($G60&lt;Hta_2,$G60&gt;=Hba_2,Input!W$22&lt;&gt;""),Input!$B$22&amp;";",""),IF(AND($G60&lt;Hta_3,$G60&gt;=Hba_3,Input!W$23&lt;&gt;""),Input!$B$23&amp;";",""),IF(AND($G60&lt;Hta_4,$G60&gt;=Hba_4,Input!W$24&lt;&gt;""),Input!$B$24&amp;";",""),IF(AND($G60&lt;Hta_5,$G60&gt;=Hba_5,Input!W$25&lt;&gt;""),Input!$B$25&amp;";",""),IF(AND($G60&lt;Hta_6,$G60&gt;=Hba_6,Input!W$26&lt;&gt;""),Input!$B$26&amp;";",""),IF(AND($G60&lt;Hta_7,$G60&gt;=Hba_7,Input!W$27&lt;&gt;""),Input!$B$27&amp;";",""),IF(AND($G60&lt;Hta_8,$G60&gt;=Hba_8,Input!W$28&lt;&gt;""),Input!$B$28&amp;";",""),IF(AND($G60&lt;Hta_9,$G60&gt;=Hba_9,Input!W$29&lt;&gt;""),Input!$B$29&amp;";",""),IF(AND($G60&lt;Hta_10,$G60&gt;=Hba_10,Input!W$30&lt;&gt;""),Input!$B$30&amp;";",""),IF(AND($G60&lt;Hta_11,$G60&gt;=Hba_11,Input!W$31&lt;&gt;""),Input!$B$31&amp;";",""),IF(AND($G60&lt;Hta_12,$G60&gt;=Hba_12,Input!W$32&lt;&gt;""),Input!$B$32&amp;";",""),IF(AND($G60&lt;Hta_13,$G60&gt;=Hba_13,Input!W$33&lt;&gt;""),Input!$B$33&amp;";",""),IF(AND($G60&lt;Hta_14,$G60&gt;=Hba_14,Input!W$34&lt;&gt;""),Input!$B$34&amp;";",""),IF(AND($G60&lt;Hta_15,$G60&gt;=Hba_15,Input!W$35&lt;&gt;""),Input!$B$35&amp;";",""),IF(AND($G60&lt;Hta_16,$G60&gt;=Hba_16,Input!W$36&lt;&gt;""),Input!$B$36&amp;";",""),IF(AND($G60&lt;Hta_17,$G60&gt;=Hba_17,Input!W$37&lt;&gt;""),Input!$B$37&amp;";",""),IF(AND($G60&lt;Hta_18,$G60&gt;=Hba_18,Input!W$38&lt;&gt;""),Input!$B$38&amp;";",""),IF(AND($G60&lt;Hta_19,$G60&gt;=Hba_19,Input!W$39&lt;&gt;""),Input!$B$39&amp;";",""),IF(AND($G60&lt;Hta_20,$G60&gt;=Hba_20,Input!W$40&lt;&gt;""),Input!$B$40&amp;";",""),IF(AND($G60&lt;Hta_21,$G60&gt;=Hba_21,Input!W$41&lt;&gt;""),Input!$B$41&amp;";",""),IF(AND($G60&lt;Hta_22,$G60&gt;=Hba_22,Input!W$42&lt;&gt;""),Input!$B$42&amp;";",""),IF(AND($G60&lt;Hta_23,$G60&gt;=Hba_23,Input!W$43&lt;&gt;""),Input!$B$43&amp;";",""),IF(AND($G60&lt;Hta_24,$G60&gt;=Hba_24,Input!W$44&lt;&gt;""),Input!$B$44&amp;";",""),IF(AND($G60&lt;Hta_25,$G60&gt;=Hba_25,Input!W$45&lt;&gt;""),Input!$B$45&amp;";",""),IF(AND($G60&lt;Hta_26,$G60&gt;=Hba_26,Input!W$46&lt;&gt;""),Input!$B$46&amp;";",""),IF(AND($G60&lt;Hta_27,$G60&gt;=Hba_27,Input!W$47&lt;&gt;""),Input!$B$47&amp;";",""),IF(AND($G60&lt;Hta_28,$G60&gt;=Hba_28,Input!W$48&lt;&gt;""),Input!$B$48&amp;";",""),IF(AND($G60&lt;Hta_29,$G60&gt;=Hba_29,Input!W$49&lt;&gt;""),Input!$B$49&amp;";",""),IF(AND($G60&lt;Hta_30,$G60&gt;=Hba_30,Input!W$50&lt;&gt;""),Input!$B$50&amp;";","")),"")</f>
        <v/>
      </c>
      <c r="BY60" s="25" t="str">
        <f>IFERROR(CONCATENATE(IF(AND($G60&lt;Hta_1,$G60&gt;=Hba_1,Input!X$21&lt;&gt;""),Input!$B$21&amp;";",""),IF(AND($G60&lt;Hta_2,$G60&gt;=Hba_2,Input!X$22&lt;&gt;""),Input!$B$22&amp;";",""),IF(AND($G60&lt;Hta_3,$G60&gt;=Hba_3,Input!X$23&lt;&gt;""),Input!$B$23&amp;";",""),IF(AND($G60&lt;Hta_4,$G60&gt;=Hba_4,Input!X$24&lt;&gt;""),Input!$B$24&amp;";",""),IF(AND($G60&lt;Hta_5,$G60&gt;=Hba_5,Input!X$25&lt;&gt;""),Input!$B$25&amp;";",""),IF(AND($G60&lt;Hta_6,$G60&gt;=Hba_6,Input!X$26&lt;&gt;""),Input!$B$26&amp;";",""),IF(AND($G60&lt;Hta_7,$G60&gt;=Hba_7,Input!X$27&lt;&gt;""),Input!$B$27&amp;";",""),IF(AND($G60&lt;Hta_8,$G60&gt;=Hba_8,Input!X$28&lt;&gt;""),Input!$B$28&amp;";",""),IF(AND($G60&lt;Hta_9,$G60&gt;=Hba_9,Input!X$29&lt;&gt;""),Input!$B$29&amp;";",""),IF(AND($G60&lt;Hta_10,$G60&gt;=Hba_10,Input!X$30&lt;&gt;""),Input!$B$30&amp;";",""),IF(AND($G60&lt;Hta_11,$G60&gt;=Hba_11,Input!X$31&lt;&gt;""),Input!$B$31&amp;";",""),IF(AND($G60&lt;Hta_12,$G60&gt;=Hba_12,Input!X$32&lt;&gt;""),Input!$B$32&amp;";",""),IF(AND($G60&lt;Hta_13,$G60&gt;=Hba_13,Input!X$33&lt;&gt;""),Input!$B$33&amp;";",""),IF(AND($G60&lt;Hta_14,$G60&gt;=Hba_14,Input!X$34&lt;&gt;""),Input!$B$34&amp;";",""),IF(AND($G60&lt;Hta_15,$G60&gt;=Hba_15,Input!X$35&lt;&gt;""),Input!$B$35&amp;";",""),IF(AND($G60&lt;Hta_16,$G60&gt;=Hba_16,Input!X$36&lt;&gt;""),Input!$B$36&amp;";",""),IF(AND($G60&lt;Hta_17,$G60&gt;=Hba_17,Input!X$37&lt;&gt;""),Input!$B$37&amp;";",""),IF(AND($G60&lt;Hta_18,$G60&gt;=Hba_18,Input!X$38&lt;&gt;""),Input!$B$38&amp;";",""),IF(AND($G60&lt;Hta_19,$G60&gt;=Hba_19,Input!X$39&lt;&gt;""),Input!$B$39&amp;";",""),IF(AND($G60&lt;Hta_20,$G60&gt;=Hba_20,Input!X$40&lt;&gt;""),Input!$B$40&amp;";",""),IF(AND($G60&lt;Hta_21,$G60&gt;=Hba_21,Input!X$41&lt;&gt;""),Input!$B$41&amp;";",""),IF(AND($G60&lt;Hta_22,$G60&gt;=Hba_22,Input!X$42&lt;&gt;""),Input!$B$42&amp;";",""),IF(AND($G60&lt;Hta_23,$G60&gt;=Hba_23,Input!X$43&lt;&gt;""),Input!$B$43&amp;";",""),IF(AND($G60&lt;Hta_24,$G60&gt;=Hba_24,Input!X$44&lt;&gt;""),Input!$B$44&amp;";",""),IF(AND($G60&lt;Hta_25,$G60&gt;=Hba_25,Input!X$45&lt;&gt;""),Input!$B$45&amp;";",""),IF(AND($G60&lt;Hta_26,$G60&gt;=Hba_26,Input!X$46&lt;&gt;""),Input!$B$46&amp;";",""),IF(AND($G60&lt;Hta_27,$G60&gt;=Hba_27,Input!X$47&lt;&gt;""),Input!$B$47&amp;";",""),IF(AND($G60&lt;Hta_28,$G60&gt;=Hba_28,Input!X$48&lt;&gt;""),Input!$B$48&amp;";",""),IF(AND($G60&lt;Hta_29,$G60&gt;=Hba_29,Input!X$49&lt;&gt;""),Input!$B$49&amp;";",""),IF(AND($G60&lt;Hta_30,$G60&gt;=Hba_30,Input!X$50&lt;&gt;""),Input!$B$50&amp;";","")),"")</f>
        <v/>
      </c>
      <c r="BZ60" s="25" t="str">
        <f>IFERROR(CONCATENATE(IF(AND($G60&lt;Hta_1,$G60&gt;=Hba_1,Input!Y$21&lt;&gt;""),Input!$B$21&amp;";",""),IF(AND($G60&lt;Hta_2,$G60&gt;=Hba_2,Input!Y$22&lt;&gt;""),Input!$B$22&amp;";",""),IF(AND($G60&lt;Hta_3,$G60&gt;=Hba_3,Input!Y$23&lt;&gt;""),Input!$B$23&amp;";",""),IF(AND($G60&lt;Hta_4,$G60&gt;=Hba_4,Input!Y$24&lt;&gt;""),Input!$B$24&amp;";",""),IF(AND($G60&lt;Hta_5,$G60&gt;=Hba_5,Input!Y$25&lt;&gt;""),Input!$B$25&amp;";",""),IF(AND($G60&lt;Hta_6,$G60&gt;=Hba_6,Input!Y$26&lt;&gt;""),Input!$B$26&amp;";",""),IF(AND($G60&lt;Hta_7,$G60&gt;=Hba_7,Input!Y$27&lt;&gt;""),Input!$B$27&amp;";",""),IF(AND($G60&lt;Hta_8,$G60&gt;=Hba_8,Input!Y$28&lt;&gt;""),Input!$B$28&amp;";",""),IF(AND($G60&lt;Hta_9,$G60&gt;=Hba_9,Input!Y$29&lt;&gt;""),Input!$B$29&amp;";",""),IF(AND($G60&lt;Hta_10,$G60&gt;=Hba_10,Input!Y$30&lt;&gt;""),Input!$B$30&amp;";",""),IF(AND($G60&lt;Hta_11,$G60&gt;=Hba_11,Input!Y$31&lt;&gt;""),Input!$B$31&amp;";",""),IF(AND($G60&lt;Hta_12,$G60&gt;=Hba_12,Input!Y$32&lt;&gt;""),Input!$B$32&amp;";",""),IF(AND($G60&lt;Hta_13,$G60&gt;=Hba_13,Input!Y$33&lt;&gt;""),Input!$B$33&amp;";",""),IF(AND($G60&lt;Hta_14,$G60&gt;=Hba_14,Input!Y$34&lt;&gt;""),Input!$B$34&amp;";",""),IF(AND($G60&lt;Hta_15,$G60&gt;=Hba_15,Input!Y$35&lt;&gt;""),Input!$B$35&amp;";",""),IF(AND($G60&lt;Hta_16,$G60&gt;=Hba_16,Input!Y$36&lt;&gt;""),Input!$B$36&amp;";",""),IF(AND($G60&lt;Hta_17,$G60&gt;=Hba_17,Input!Y$37&lt;&gt;""),Input!$B$37&amp;";",""),IF(AND($G60&lt;Hta_18,$G60&gt;=Hba_18,Input!Y$38&lt;&gt;""),Input!$B$38&amp;";",""),IF(AND($G60&lt;Hta_19,$G60&gt;=Hba_19,Input!Y$39&lt;&gt;""),Input!$B$39&amp;";",""),IF(AND($G60&lt;Hta_20,$G60&gt;=Hba_20,Input!Y$40&lt;&gt;""),Input!$B$40&amp;";",""),IF(AND($G60&lt;Hta_21,$G60&gt;=Hba_21,Input!Y$41&lt;&gt;""),Input!$B$41&amp;";",""),IF(AND($G60&lt;Hta_22,$G60&gt;=Hba_22,Input!Y$42&lt;&gt;""),Input!$B$42&amp;";",""),IF(AND($G60&lt;Hta_23,$G60&gt;=Hba_23,Input!Y$43&lt;&gt;""),Input!$B$43&amp;";",""),IF(AND($G60&lt;Hta_24,$G60&gt;=Hba_24,Input!Y$44&lt;&gt;""),Input!$B$44&amp;";",""),IF(AND($G60&lt;Hta_25,$G60&gt;=Hba_25,Input!Y$45&lt;&gt;""),Input!$B$45&amp;";",""),IF(AND($G60&lt;Hta_26,$G60&gt;=Hba_26,Input!Y$46&lt;&gt;""),Input!$B$46&amp;";",""),IF(AND($G60&lt;Hta_27,$G60&gt;=Hba_27,Input!Y$47&lt;&gt;""),Input!$B$47&amp;";",""),IF(AND($G60&lt;Hta_28,$G60&gt;=Hba_28,Input!Y$48&lt;&gt;""),Input!$B$48&amp;";",""),IF(AND($G60&lt;Hta_29,$G60&gt;=Hba_29,Input!Y$49&lt;&gt;""),Input!$B$49&amp;";",""),IF(AND($G60&lt;Hta_30,$G60&gt;=Hba_30,Input!Y$50&lt;&gt;""),Input!$B$50&amp;";","")),"")</f>
        <v/>
      </c>
      <c r="CA60" s="25" t="str">
        <f>IFERROR(CONCATENATE(IF(AND($G60&lt;Hta_1,$G60&gt;=Hba_1,Input!Z$21&lt;&gt;""),Input!$B$21&amp;";",""),IF(AND($G60&lt;Hta_2,$G60&gt;=Hba_2,Input!Z$22&lt;&gt;""),Input!$B$22&amp;";",""),IF(AND($G60&lt;Hta_3,$G60&gt;=Hba_3,Input!Z$23&lt;&gt;""),Input!$B$23&amp;";",""),IF(AND($G60&lt;Hta_4,$G60&gt;=Hba_4,Input!Z$24&lt;&gt;""),Input!$B$24&amp;";",""),IF(AND($G60&lt;Hta_5,$G60&gt;=Hba_5,Input!Z$25&lt;&gt;""),Input!$B$25&amp;";",""),IF(AND($G60&lt;Hta_6,$G60&gt;=Hba_6,Input!Z$26&lt;&gt;""),Input!$B$26&amp;";",""),IF(AND($G60&lt;Hta_7,$G60&gt;=Hba_7,Input!Z$27&lt;&gt;""),Input!$B$27&amp;";",""),IF(AND($G60&lt;Hta_8,$G60&gt;=Hba_8,Input!Z$28&lt;&gt;""),Input!$B$28&amp;";",""),IF(AND($G60&lt;Hta_9,$G60&gt;=Hba_9,Input!Z$29&lt;&gt;""),Input!$B$29&amp;";",""),IF(AND($G60&lt;Hta_10,$G60&gt;=Hba_10,Input!Z$30&lt;&gt;""),Input!$B$30&amp;";",""),IF(AND($G60&lt;Hta_11,$G60&gt;=Hba_11,Input!Z$31&lt;&gt;""),Input!$B$31&amp;";",""),IF(AND($G60&lt;Hta_12,$G60&gt;=Hba_12,Input!Z$32&lt;&gt;""),Input!$B$32&amp;";",""),IF(AND($G60&lt;Hta_13,$G60&gt;=Hba_13,Input!Z$33&lt;&gt;""),Input!$B$33&amp;";",""),IF(AND($G60&lt;Hta_14,$G60&gt;=Hba_14,Input!Z$34&lt;&gt;""),Input!$B$34&amp;";",""),IF(AND($G60&lt;Hta_15,$G60&gt;=Hba_15,Input!Z$35&lt;&gt;""),Input!$B$35&amp;";",""),IF(AND($G60&lt;Hta_16,$G60&gt;=Hba_16,Input!Z$36&lt;&gt;""),Input!$B$36&amp;";",""),IF(AND($G60&lt;Hta_17,$G60&gt;=Hba_17,Input!Z$37&lt;&gt;""),Input!$B$37&amp;";",""),IF(AND($G60&lt;Hta_18,$G60&gt;=Hba_18,Input!Z$38&lt;&gt;""),Input!$B$38&amp;";",""),IF(AND($G60&lt;Hta_19,$G60&gt;=Hba_19,Input!Z$39&lt;&gt;""),Input!$B$39&amp;";",""),IF(AND($G60&lt;Hta_20,$G60&gt;=Hba_20,Input!Z$40&lt;&gt;""),Input!$B$40&amp;";",""),IF(AND($G60&lt;Hta_21,$G60&gt;=Hba_21,Input!Z$41&lt;&gt;""),Input!$B$41&amp;";",""),IF(AND($G60&lt;Hta_22,$G60&gt;=Hba_22,Input!Z$42&lt;&gt;""),Input!$B$42&amp;";",""),IF(AND($G60&lt;Hta_23,$G60&gt;=Hba_23,Input!Z$43&lt;&gt;""),Input!$B$43&amp;";",""),IF(AND($G60&lt;Hta_24,$G60&gt;=Hba_24,Input!Z$44&lt;&gt;""),Input!$B$44&amp;";",""),IF(AND($G60&lt;Hta_25,$G60&gt;=Hba_25,Input!Z$45&lt;&gt;""),Input!$B$45&amp;";",""),IF(AND($G60&lt;Hta_26,$G60&gt;=Hba_26,Input!Z$46&lt;&gt;""),Input!$B$46&amp;";",""),IF(AND($G60&lt;Hta_27,$G60&gt;=Hba_27,Input!Z$47&lt;&gt;""),Input!$B$47&amp;";",""),IF(AND($G60&lt;Hta_28,$G60&gt;=Hba_28,Input!Z$48&lt;&gt;""),Input!$B$48&amp;";",""),IF(AND($G60&lt;Hta_29,$G60&gt;=Hba_29,Input!Z$49&lt;&gt;""),Input!$B$49&amp;";",""),IF(AND($G60&lt;Hta_30,$G60&gt;=Hba_30,Input!Z$50&lt;&gt;""),Input!$B$50&amp;";","")),"")</f>
        <v/>
      </c>
      <c r="CB60" s="25" t="str">
        <f>IFERROR(CONCATENATE(IF(AND($G60&lt;Hta_1,$G60&gt;=Hba_1,Input!AA$21&lt;&gt;""),Input!$B$21&amp;";",""),IF(AND($G60&lt;Hta_2,$G60&gt;=Hba_2,Input!AA$22&lt;&gt;""),Input!$B$22&amp;";",""),IF(AND($G60&lt;Hta_3,$G60&gt;=Hba_3,Input!AA$23&lt;&gt;""),Input!$B$23&amp;";",""),IF(AND($G60&lt;Hta_4,$G60&gt;=Hba_4,Input!AA$24&lt;&gt;""),Input!$B$24&amp;";",""),IF(AND($G60&lt;Hta_5,$G60&gt;=Hba_5,Input!AA$25&lt;&gt;""),Input!$B$25&amp;";",""),IF(AND($G60&lt;Hta_6,$G60&gt;=Hba_6,Input!AA$26&lt;&gt;""),Input!$B$26&amp;";",""),IF(AND($G60&lt;Hta_7,$G60&gt;=Hba_7,Input!AA$27&lt;&gt;""),Input!$B$27&amp;";",""),IF(AND($G60&lt;Hta_8,$G60&gt;=Hba_8,Input!AA$28&lt;&gt;""),Input!$B$28&amp;";",""),IF(AND($G60&lt;Hta_9,$G60&gt;=Hba_9,Input!AA$29&lt;&gt;""),Input!$B$29&amp;";",""),IF(AND($G60&lt;Hta_10,$G60&gt;=Hba_10,Input!AA$30&lt;&gt;""),Input!$B$30&amp;";",""),IF(AND($G60&lt;Hta_11,$G60&gt;=Hba_11,Input!AA$31&lt;&gt;""),Input!$B$31&amp;";",""),IF(AND($G60&lt;Hta_12,$G60&gt;=Hba_12,Input!AA$32&lt;&gt;""),Input!$B$32&amp;";",""),IF(AND($G60&lt;Hta_13,$G60&gt;=Hba_13,Input!AA$33&lt;&gt;""),Input!$B$33&amp;";",""),IF(AND($G60&lt;Hta_14,$G60&gt;=Hba_14,Input!AA$34&lt;&gt;""),Input!$B$34&amp;";",""),IF(AND($G60&lt;Hta_15,$G60&gt;=Hba_15,Input!AA$35&lt;&gt;""),Input!$B$35&amp;";",""),IF(AND($G60&lt;Hta_16,$G60&gt;=Hba_16,Input!AA$36&lt;&gt;""),Input!$B$36&amp;";",""),IF(AND($G60&lt;Hta_17,$G60&gt;=Hba_17,Input!AA$37&lt;&gt;""),Input!$B$37&amp;";",""),IF(AND($G60&lt;Hta_18,$G60&gt;=Hba_18,Input!AA$38&lt;&gt;""),Input!$B$38&amp;";",""),IF(AND($G60&lt;Hta_19,$G60&gt;=Hba_19,Input!AA$39&lt;&gt;""),Input!$B$39&amp;";",""),IF(AND($G60&lt;Hta_20,$G60&gt;=Hba_20,Input!AA$40&lt;&gt;""),Input!$B$40&amp;";",""),IF(AND($G60&lt;Hta_21,$G60&gt;=Hba_21,Input!AA$41&lt;&gt;""),Input!$B$41&amp;";",""),IF(AND($G60&lt;Hta_22,$G60&gt;=Hba_22,Input!AA$42&lt;&gt;""),Input!$B$42&amp;";",""),IF(AND($G60&lt;Hta_23,$G60&gt;=Hba_23,Input!AA$43&lt;&gt;""),Input!$B$43&amp;";",""),IF(AND($G60&lt;Hta_24,$G60&gt;=Hba_24,Input!AA$44&lt;&gt;""),Input!$B$44&amp;";",""),IF(AND($G60&lt;Hta_25,$G60&gt;=Hba_25,Input!AA$45&lt;&gt;""),Input!$B$45&amp;";",""),IF(AND($G60&lt;Hta_26,$G60&gt;=Hba_26,Input!AA$46&lt;&gt;""),Input!$B$46&amp;";",""),IF(AND($G60&lt;Hta_27,$G60&gt;=Hba_27,Input!AA$47&lt;&gt;""),Input!$B$47&amp;";",""),IF(AND($G60&lt;Hta_28,$G60&gt;=Hba_28,Input!AA$48&lt;&gt;""),Input!$B$48&amp;";",""),IF(AND($G60&lt;Hta_29,$G60&gt;=Hba_29,Input!AA$49&lt;&gt;""),Input!$B$49&amp;";",""),IF(AND($G60&lt;Hta_30,$G60&gt;=Hba_30,Input!AA$50&lt;&gt;""),Input!$B$50&amp;";","")),"")</f>
        <v/>
      </c>
      <c r="CC60" s="25" t="str">
        <f>IFERROR(CONCATENATE(IF(AND($G60&lt;Hta_1,$G60&gt;=Hba_1,Input!AB$21&lt;&gt;""),Input!$B$21&amp;";",""),IF(AND($G60&lt;Hta_2,$G60&gt;=Hba_2,Input!AB$22&lt;&gt;""),Input!$B$22&amp;";",""),IF(AND($G60&lt;Hta_3,$G60&gt;=Hba_3,Input!AB$23&lt;&gt;""),Input!$B$23&amp;";",""),IF(AND($G60&lt;Hta_4,$G60&gt;=Hba_4,Input!AB$24&lt;&gt;""),Input!$B$24&amp;";",""),IF(AND($G60&lt;Hta_5,$G60&gt;=Hba_5,Input!AB$25&lt;&gt;""),Input!$B$25&amp;";",""),IF(AND($G60&lt;Hta_6,$G60&gt;=Hba_6,Input!AB$26&lt;&gt;""),Input!$B$26&amp;";",""),IF(AND($G60&lt;Hta_7,$G60&gt;=Hba_7,Input!AB$27&lt;&gt;""),Input!$B$27&amp;";",""),IF(AND($G60&lt;Hta_8,$G60&gt;=Hba_8,Input!AB$28&lt;&gt;""),Input!$B$28&amp;";",""),IF(AND($G60&lt;Hta_9,$G60&gt;=Hba_9,Input!AB$29&lt;&gt;""),Input!$B$29&amp;";",""),IF(AND($G60&lt;Hta_10,$G60&gt;=Hba_10,Input!AB$30&lt;&gt;""),Input!$B$30&amp;";",""),IF(AND($G60&lt;Hta_11,$G60&gt;=Hba_11,Input!AB$31&lt;&gt;""),Input!$B$31&amp;";",""),IF(AND($G60&lt;Hta_12,$G60&gt;=Hba_12,Input!AB$32&lt;&gt;""),Input!$B$32&amp;";",""),IF(AND($G60&lt;Hta_13,$G60&gt;=Hba_13,Input!AB$33&lt;&gt;""),Input!$B$33&amp;";",""),IF(AND($G60&lt;Hta_14,$G60&gt;=Hba_14,Input!AB$34&lt;&gt;""),Input!$B$34&amp;";",""),IF(AND($G60&lt;Hta_15,$G60&gt;=Hba_15,Input!AB$35&lt;&gt;""),Input!$B$35&amp;";",""),IF(AND($G60&lt;Hta_16,$G60&gt;=Hba_16,Input!AB$36&lt;&gt;""),Input!$B$36&amp;";",""),IF(AND($G60&lt;Hta_17,$G60&gt;=Hba_17,Input!AB$37&lt;&gt;""),Input!$B$37&amp;";",""),IF(AND($G60&lt;Hta_18,$G60&gt;=Hba_18,Input!AB$38&lt;&gt;""),Input!$B$38&amp;";",""),IF(AND($G60&lt;Hta_19,$G60&gt;=Hba_19,Input!AB$39&lt;&gt;""),Input!$B$39&amp;";",""),IF(AND($G60&lt;Hta_20,$G60&gt;=Hba_20,Input!AB$40&lt;&gt;""),Input!$B$40&amp;";",""),IF(AND($G60&lt;Hta_21,$G60&gt;=Hba_21,Input!AB$41&lt;&gt;""),Input!$B$41&amp;";",""),IF(AND($G60&lt;Hta_22,$G60&gt;=Hba_22,Input!AB$42&lt;&gt;""),Input!$B$42&amp;";",""),IF(AND($G60&lt;Hta_23,$G60&gt;=Hba_23,Input!AB$43&lt;&gt;""),Input!$B$43&amp;";",""),IF(AND($G60&lt;Hta_24,$G60&gt;=Hba_24,Input!AB$44&lt;&gt;""),Input!$B$44&amp;";",""),IF(AND($G60&lt;Hta_25,$G60&gt;=Hba_25,Input!AB$45&lt;&gt;""),Input!$B$45&amp;";",""),IF(AND($G60&lt;Hta_26,$G60&gt;=Hba_26,Input!AB$46&lt;&gt;""),Input!$B$46&amp;";",""),IF(AND($G60&lt;Hta_27,$G60&gt;=Hba_27,Input!AB$47&lt;&gt;""),Input!$B$47&amp;";",""),IF(AND($G60&lt;Hta_28,$G60&gt;=Hba_28,Input!AB$48&lt;&gt;""),Input!$B$48&amp;";",""),IF(AND($G60&lt;Hta_29,$G60&gt;=Hba_29,Input!AB$49&lt;&gt;""),Input!$B$49&amp;";",""),IF(AND($G60&lt;Hta_30,$G60&gt;=Hba_30,Input!AB$50&lt;&gt;""),Input!$B$50&amp;";","")),"")</f>
        <v/>
      </c>
      <c r="CD60" s="25" t="str">
        <f>IFERROR(CONCATENATE(IF(AND($G60&lt;Hta_1,$G60&gt;=Hba_1,Input!AC$21&lt;&gt;""),Input!$B$21&amp;";",""),IF(AND($G60&lt;Hta_2,$G60&gt;=Hba_2,Input!AC$22&lt;&gt;""),Input!$B$22&amp;";",""),IF(AND($G60&lt;Hta_3,$G60&gt;=Hba_3,Input!AC$23&lt;&gt;""),Input!$B$23&amp;";",""),IF(AND($G60&lt;Hta_4,$G60&gt;=Hba_4,Input!AC$24&lt;&gt;""),Input!$B$24&amp;";",""),IF(AND($G60&lt;Hta_5,$G60&gt;=Hba_5,Input!AC$25&lt;&gt;""),Input!$B$25&amp;";",""),IF(AND($G60&lt;Hta_6,$G60&gt;=Hba_6,Input!AC$26&lt;&gt;""),Input!$B$26&amp;";",""),IF(AND($G60&lt;Hta_7,$G60&gt;=Hba_7,Input!AC$27&lt;&gt;""),Input!$B$27&amp;";",""),IF(AND($G60&lt;Hta_8,$G60&gt;=Hba_8,Input!AC$28&lt;&gt;""),Input!$B$28&amp;";",""),IF(AND($G60&lt;Hta_9,$G60&gt;=Hba_9,Input!AC$29&lt;&gt;""),Input!$B$29&amp;";",""),IF(AND($G60&lt;Hta_10,$G60&gt;=Hba_10,Input!AC$30&lt;&gt;""),Input!$B$30&amp;";",""),IF(AND($G60&lt;Hta_11,$G60&gt;=Hba_11,Input!AC$31&lt;&gt;""),Input!$B$31&amp;";",""),IF(AND($G60&lt;Hta_12,$G60&gt;=Hba_12,Input!AC$32&lt;&gt;""),Input!$B$32&amp;";",""),IF(AND($G60&lt;Hta_13,$G60&gt;=Hba_13,Input!AC$33&lt;&gt;""),Input!$B$33&amp;";",""),IF(AND($G60&lt;Hta_14,$G60&gt;=Hba_14,Input!AC$34&lt;&gt;""),Input!$B$34&amp;";",""),IF(AND($G60&lt;Hta_15,$G60&gt;=Hba_15,Input!AC$35&lt;&gt;""),Input!$B$35&amp;";",""),IF(AND($G60&lt;Hta_16,$G60&gt;=Hba_16,Input!AC$36&lt;&gt;""),Input!$B$36&amp;";",""),IF(AND($G60&lt;Hta_17,$G60&gt;=Hba_17,Input!AC$37&lt;&gt;""),Input!$B$37&amp;";",""),IF(AND($G60&lt;Hta_18,$G60&gt;=Hba_18,Input!AC$38&lt;&gt;""),Input!$B$38&amp;";",""),IF(AND($G60&lt;Hta_19,$G60&gt;=Hba_19,Input!AC$39&lt;&gt;""),Input!$B$39&amp;";",""),IF(AND($G60&lt;Hta_20,$G60&gt;=Hba_20,Input!AC$40&lt;&gt;""),Input!$B$40&amp;";",""),IF(AND($G60&lt;Hta_21,$G60&gt;=Hba_21,Input!AC$41&lt;&gt;""),Input!$B$41&amp;";",""),IF(AND($G60&lt;Hta_22,$G60&gt;=Hba_22,Input!AC$42&lt;&gt;""),Input!$B$42&amp;";",""),IF(AND($G60&lt;Hta_23,$G60&gt;=Hba_23,Input!AC$43&lt;&gt;""),Input!$B$43&amp;";",""),IF(AND($G60&lt;Hta_24,$G60&gt;=Hba_24,Input!AC$44&lt;&gt;""),Input!$B$44&amp;";",""),IF(AND($G60&lt;Hta_25,$G60&gt;=Hba_25,Input!AC$45&lt;&gt;""),Input!$B$45&amp;";",""),IF(AND($G60&lt;Hta_26,$G60&gt;=Hba_26,Input!AC$46&lt;&gt;""),Input!$B$46&amp;";",""),IF(AND($G60&lt;Hta_27,$G60&gt;=Hba_27,Input!AC$47&lt;&gt;""),Input!$B$47&amp;";",""),IF(AND($G60&lt;Hta_28,$G60&gt;=Hba_28,Input!AC$48&lt;&gt;""),Input!$B$48&amp;";",""),IF(AND($G60&lt;Hta_29,$G60&gt;=Hba_29,Input!AC$49&lt;&gt;""),Input!$B$49&amp;";",""),IF(AND($G60&lt;Hta_30,$G60&gt;=Hba_30,Input!AC$50&lt;&gt;""),Input!$B$50&amp;";","")),"")</f>
        <v/>
      </c>
      <c r="CE60" s="25" t="str">
        <f>IFERROR(CONCATENATE(IF(AND($G60&lt;Hta_1,$G60&gt;=Hba_1,Input!AD$21&lt;&gt;""),Input!$B$21&amp;";",""),IF(AND($G60&lt;Hta_2,$G60&gt;=Hba_2,Input!AD$22&lt;&gt;""),Input!$B$22&amp;";",""),IF(AND($G60&lt;Hta_3,$G60&gt;=Hba_3,Input!AD$23&lt;&gt;""),Input!$B$23&amp;";",""),IF(AND($G60&lt;Hta_4,$G60&gt;=Hba_4,Input!AD$24&lt;&gt;""),Input!$B$24&amp;";",""),IF(AND($G60&lt;Hta_5,$G60&gt;=Hba_5,Input!AD$25&lt;&gt;""),Input!$B$25&amp;";",""),IF(AND($G60&lt;Hta_6,$G60&gt;=Hba_6,Input!AD$26&lt;&gt;""),Input!$B$26&amp;";",""),IF(AND($G60&lt;Hta_7,$G60&gt;=Hba_7,Input!AD$27&lt;&gt;""),Input!$B$27&amp;";",""),IF(AND($G60&lt;Hta_8,$G60&gt;=Hba_8,Input!AD$28&lt;&gt;""),Input!$B$28&amp;";",""),IF(AND($G60&lt;Hta_9,$G60&gt;=Hba_9,Input!AD$29&lt;&gt;""),Input!$B$29&amp;";",""),IF(AND($G60&lt;Hta_10,$G60&gt;=Hba_10,Input!AD$30&lt;&gt;""),Input!$B$30&amp;";",""),IF(AND($G60&lt;Hta_11,$G60&gt;=Hba_11,Input!AD$31&lt;&gt;""),Input!$B$31&amp;";",""),IF(AND($G60&lt;Hta_12,$G60&gt;=Hba_12,Input!AD$32&lt;&gt;""),Input!$B$32&amp;";",""),IF(AND($G60&lt;Hta_13,$G60&gt;=Hba_13,Input!AD$33&lt;&gt;""),Input!$B$33&amp;";",""),IF(AND($G60&lt;Hta_14,$G60&gt;=Hba_14,Input!AD$34&lt;&gt;""),Input!$B$34&amp;";",""),IF(AND($G60&lt;Hta_15,$G60&gt;=Hba_15,Input!AD$35&lt;&gt;""),Input!$B$35&amp;";",""),IF(AND($G60&lt;Hta_16,$G60&gt;=Hba_16,Input!AD$36&lt;&gt;""),Input!$B$36&amp;";",""),IF(AND($G60&lt;Hta_17,$G60&gt;=Hba_17,Input!AD$37&lt;&gt;""),Input!$B$37&amp;";",""),IF(AND($G60&lt;Hta_18,$G60&gt;=Hba_18,Input!AD$38&lt;&gt;""),Input!$B$38&amp;";",""),IF(AND($G60&lt;Hta_19,$G60&gt;=Hba_19,Input!AD$39&lt;&gt;""),Input!$B$39&amp;";",""),IF(AND($G60&lt;Hta_20,$G60&gt;=Hba_20,Input!AD$40&lt;&gt;""),Input!$B$40&amp;";",""),IF(AND($G60&lt;Hta_21,$G60&gt;=Hba_21,Input!AD$41&lt;&gt;""),Input!$B$41&amp;";",""),IF(AND($G60&lt;Hta_22,$G60&gt;=Hba_22,Input!AD$42&lt;&gt;""),Input!$B$42&amp;";",""),IF(AND($G60&lt;Hta_23,$G60&gt;=Hba_23,Input!AD$43&lt;&gt;""),Input!$B$43&amp;";",""),IF(AND($G60&lt;Hta_24,$G60&gt;=Hba_24,Input!AD$44&lt;&gt;""),Input!$B$44&amp;";",""),IF(AND($G60&lt;Hta_25,$G60&gt;=Hba_25,Input!AD$45&lt;&gt;""),Input!$B$45&amp;";",""),IF(AND($G60&lt;Hta_26,$G60&gt;=Hba_26,Input!AD$46&lt;&gt;""),Input!$B$46&amp;";",""),IF(AND($G60&lt;Hta_27,$G60&gt;=Hba_27,Input!AD$47&lt;&gt;""),Input!$B$47&amp;";",""),IF(AND($G60&lt;Hta_28,$G60&gt;=Hba_28,Input!AD$48&lt;&gt;""),Input!$B$48&amp;";",""),IF(AND($G60&lt;Hta_29,$G60&gt;=Hba_29,Input!AD$49&lt;&gt;""),Input!$B$49&amp;";",""),IF(AND($G60&lt;Hta_30,$G60&gt;=Hba_30,Input!AD$50&lt;&gt;""),Input!$B$50&amp;";","")),"")</f>
        <v/>
      </c>
      <c r="CF60" s="25" t="str">
        <f>IFERROR(CONCATENATE(IF(AND($G60&lt;Hta_1,$G60&gt;=Hba_1,Input!AE$21&lt;&gt;""),Input!$B$21&amp;";",""),IF(AND($G60&lt;Hta_2,$G60&gt;=Hba_2,Input!AE$22&lt;&gt;""),Input!$B$22&amp;";",""),IF(AND($G60&lt;Hta_3,$G60&gt;=Hba_3,Input!AE$23&lt;&gt;""),Input!$B$23&amp;";",""),IF(AND($G60&lt;Hta_4,$G60&gt;=Hba_4,Input!AE$24&lt;&gt;""),Input!$B$24&amp;";",""),IF(AND($G60&lt;Hta_5,$G60&gt;=Hba_5,Input!AE$25&lt;&gt;""),Input!$B$25&amp;";",""),IF(AND($G60&lt;Hta_6,$G60&gt;=Hba_6,Input!AE$26&lt;&gt;""),Input!$B$26&amp;";",""),IF(AND($G60&lt;Hta_7,$G60&gt;=Hba_7,Input!AE$27&lt;&gt;""),Input!$B$27&amp;";",""),IF(AND($G60&lt;Hta_8,$G60&gt;=Hba_8,Input!AE$28&lt;&gt;""),Input!$B$28&amp;";",""),IF(AND($G60&lt;Hta_9,$G60&gt;=Hba_9,Input!AE$29&lt;&gt;""),Input!$B$29&amp;";",""),IF(AND($G60&lt;Hta_10,$G60&gt;=Hba_10,Input!AE$30&lt;&gt;""),Input!$B$30&amp;";",""),IF(AND($G60&lt;Hta_11,$G60&gt;=Hba_11,Input!AE$31&lt;&gt;""),Input!$B$31&amp;";",""),IF(AND($G60&lt;Hta_12,$G60&gt;=Hba_12,Input!AE$32&lt;&gt;""),Input!$B$32&amp;";",""),IF(AND($G60&lt;Hta_13,$G60&gt;=Hba_13,Input!AE$33&lt;&gt;""),Input!$B$33&amp;";",""),IF(AND($G60&lt;Hta_14,$G60&gt;=Hba_14,Input!AE$34&lt;&gt;""),Input!$B$34&amp;";",""),IF(AND($G60&lt;Hta_15,$G60&gt;=Hba_15,Input!AE$35&lt;&gt;""),Input!$B$35&amp;";",""),IF(AND($G60&lt;Hta_16,$G60&gt;=Hba_16,Input!AE$36&lt;&gt;""),Input!$B$36&amp;";",""),IF(AND($G60&lt;Hta_17,$G60&gt;=Hba_17,Input!AE$37&lt;&gt;""),Input!$B$37&amp;";",""),IF(AND($G60&lt;Hta_18,$G60&gt;=Hba_18,Input!AE$38&lt;&gt;""),Input!$B$38&amp;";",""),IF(AND($G60&lt;Hta_19,$G60&gt;=Hba_19,Input!AE$39&lt;&gt;""),Input!$B$39&amp;";",""),IF(AND($G60&lt;Hta_20,$G60&gt;=Hba_20,Input!AE$40&lt;&gt;""),Input!$B$40&amp;";",""),IF(AND($G60&lt;Hta_21,$G60&gt;=Hba_21,Input!AE$41&lt;&gt;""),Input!$B$41&amp;";",""),IF(AND($G60&lt;Hta_22,$G60&gt;=Hba_22,Input!AE$42&lt;&gt;""),Input!$B$42&amp;";",""),IF(AND($G60&lt;Hta_23,$G60&gt;=Hba_23,Input!AE$43&lt;&gt;""),Input!$B$43&amp;";",""),IF(AND($G60&lt;Hta_24,$G60&gt;=Hba_24,Input!AE$44&lt;&gt;""),Input!$B$44&amp;";",""),IF(AND($G60&lt;Hta_25,$G60&gt;=Hba_25,Input!AE$45&lt;&gt;""),Input!$B$45&amp;";",""),IF(AND($G60&lt;Hta_26,$G60&gt;=Hba_26,Input!AE$46&lt;&gt;""),Input!$B$46&amp;";",""),IF(AND($G60&lt;Hta_27,$G60&gt;=Hba_27,Input!AE$47&lt;&gt;""),Input!$B$47&amp;";",""),IF(AND($G60&lt;Hta_28,$G60&gt;=Hba_28,Input!AE$48&lt;&gt;""),Input!$B$48&amp;";",""),IF(AND($G60&lt;Hta_29,$G60&gt;=Hba_29,Input!AE$49&lt;&gt;""),Input!$B$49&amp;";",""),IF(AND($G60&lt;Hta_30,$G60&gt;=Hba_30,Input!AE$50&lt;&gt;""),Input!$B$50&amp;";","")),"")</f>
        <v/>
      </c>
      <c r="CG60" s="25" t="str">
        <f>IFERROR(CONCATENATE(IF(AND($G60&lt;Hta_1,$G60&gt;=Hba_1,Input!AF$21&lt;&gt;""),Input!$B$21&amp;";",""),IF(AND($G60&lt;Hta_2,$G60&gt;=Hba_2,Input!AF$22&lt;&gt;""),Input!$B$22&amp;";",""),IF(AND($G60&lt;Hta_3,$G60&gt;=Hba_3,Input!AF$23&lt;&gt;""),Input!$B$23&amp;";",""),IF(AND($G60&lt;Hta_4,$G60&gt;=Hba_4,Input!AF$24&lt;&gt;""),Input!$B$24&amp;";",""),IF(AND($G60&lt;Hta_5,$G60&gt;=Hba_5,Input!AF$25&lt;&gt;""),Input!$B$25&amp;";",""),IF(AND($G60&lt;Hta_6,$G60&gt;=Hba_6,Input!AF$26&lt;&gt;""),Input!$B$26&amp;";",""),IF(AND($G60&lt;Hta_7,$G60&gt;=Hba_7,Input!AF$27&lt;&gt;""),Input!$B$27&amp;";",""),IF(AND($G60&lt;Hta_8,$G60&gt;=Hba_8,Input!AF$28&lt;&gt;""),Input!$B$28&amp;";",""),IF(AND($G60&lt;Hta_9,$G60&gt;=Hba_9,Input!AF$29&lt;&gt;""),Input!$B$29&amp;";",""),IF(AND($G60&lt;Hta_10,$G60&gt;=Hba_10,Input!AF$30&lt;&gt;""),Input!$B$30&amp;";",""),IF(AND($G60&lt;Hta_11,$G60&gt;=Hba_11,Input!AF$31&lt;&gt;""),Input!$B$31&amp;";",""),IF(AND($G60&lt;Hta_12,$G60&gt;=Hba_12,Input!AF$32&lt;&gt;""),Input!$B$32&amp;";",""),IF(AND($G60&lt;Hta_13,$G60&gt;=Hba_13,Input!AF$33&lt;&gt;""),Input!$B$33&amp;";",""),IF(AND($G60&lt;Hta_14,$G60&gt;=Hba_14,Input!AF$34&lt;&gt;""),Input!$B$34&amp;";",""),IF(AND($G60&lt;Hta_15,$G60&gt;=Hba_15,Input!AF$35&lt;&gt;""),Input!$B$35&amp;";",""),IF(AND($G60&lt;Hta_16,$G60&gt;=Hba_16,Input!AF$36&lt;&gt;""),Input!$B$36&amp;";",""),IF(AND($G60&lt;Hta_17,$G60&gt;=Hba_17,Input!AF$37&lt;&gt;""),Input!$B$37&amp;";",""),IF(AND($G60&lt;Hta_18,$G60&gt;=Hba_18,Input!AF$38&lt;&gt;""),Input!$B$38&amp;";",""),IF(AND($G60&lt;Hta_19,$G60&gt;=Hba_19,Input!AF$39&lt;&gt;""),Input!$B$39&amp;";",""),IF(AND($G60&lt;Hta_20,$G60&gt;=Hba_20,Input!AF$40&lt;&gt;""),Input!$B$40&amp;";",""),IF(AND($G60&lt;Hta_21,$G60&gt;=Hba_21,Input!AF$41&lt;&gt;""),Input!$B$41&amp;";",""),IF(AND($G60&lt;Hta_22,$G60&gt;=Hba_22,Input!AF$42&lt;&gt;""),Input!$B$42&amp;";",""),IF(AND($G60&lt;Hta_23,$G60&gt;=Hba_23,Input!AF$43&lt;&gt;""),Input!$B$43&amp;";",""),IF(AND($G60&lt;Hta_24,$G60&gt;=Hba_24,Input!AF$44&lt;&gt;""),Input!$B$44&amp;";",""),IF(AND($G60&lt;Hta_25,$G60&gt;=Hba_25,Input!AF$45&lt;&gt;""),Input!$B$45&amp;";",""),IF(AND($G60&lt;Hta_26,$G60&gt;=Hba_26,Input!AF$46&lt;&gt;""),Input!$B$46&amp;";",""),IF(AND($G60&lt;Hta_27,$G60&gt;=Hba_27,Input!AF$47&lt;&gt;""),Input!$B$47&amp;";",""),IF(AND($G60&lt;Hta_28,$G60&gt;=Hba_28,Input!AF$48&lt;&gt;""),Input!$B$48&amp;";",""),IF(AND($G60&lt;Hta_29,$G60&gt;=Hba_29,Input!AF$49&lt;&gt;""),Input!$B$49&amp;";",""),IF(AND($G60&lt;Hta_30,$G60&gt;=Hba_30,Input!AF$50&lt;&gt;""),Input!$B$50&amp;";","")),"")</f>
        <v/>
      </c>
      <c r="CH60" s="25" t="str">
        <f>IFERROR(CONCATENATE(IF(AND($G60&lt;Hta_1,$G60&gt;=Hba_1,Input!AG$21&lt;&gt;""),Input!$B$21&amp;";",""),IF(AND($G60&lt;Hta_2,$G60&gt;=Hba_2,Input!AG$22&lt;&gt;""),Input!$B$22&amp;";",""),IF(AND($G60&lt;Hta_3,$G60&gt;=Hba_3,Input!AG$23&lt;&gt;""),Input!$B$23&amp;";",""),IF(AND($G60&lt;Hta_4,$G60&gt;=Hba_4,Input!AG$24&lt;&gt;""),Input!$B$24&amp;";",""),IF(AND($G60&lt;Hta_5,$G60&gt;=Hba_5,Input!AG$25&lt;&gt;""),Input!$B$25&amp;";",""),IF(AND($G60&lt;Hta_6,$G60&gt;=Hba_6,Input!AG$26&lt;&gt;""),Input!$B$26&amp;";",""),IF(AND($G60&lt;Hta_7,$G60&gt;=Hba_7,Input!AG$27&lt;&gt;""),Input!$B$27&amp;";",""),IF(AND($G60&lt;Hta_8,$G60&gt;=Hba_8,Input!AG$28&lt;&gt;""),Input!$B$28&amp;";",""),IF(AND($G60&lt;Hta_9,$G60&gt;=Hba_9,Input!AG$29&lt;&gt;""),Input!$B$29&amp;";",""),IF(AND($G60&lt;Hta_10,$G60&gt;=Hba_10,Input!AG$30&lt;&gt;""),Input!$B$30&amp;";",""),IF(AND($G60&lt;Hta_11,$G60&gt;=Hba_11,Input!AG$31&lt;&gt;""),Input!$B$31&amp;";",""),IF(AND($G60&lt;Hta_12,$G60&gt;=Hba_12,Input!AG$32&lt;&gt;""),Input!$B$32&amp;";",""),IF(AND($G60&lt;Hta_13,$G60&gt;=Hba_13,Input!AG$33&lt;&gt;""),Input!$B$33&amp;";",""),IF(AND($G60&lt;Hta_14,$G60&gt;=Hba_14,Input!AG$34&lt;&gt;""),Input!$B$34&amp;";",""),IF(AND($G60&lt;Hta_15,$G60&gt;=Hba_15,Input!AG$35&lt;&gt;""),Input!$B$35&amp;";",""),IF(AND($G60&lt;Hta_16,$G60&gt;=Hba_16,Input!AG$36&lt;&gt;""),Input!$B$36&amp;";",""),IF(AND($G60&lt;Hta_17,$G60&gt;=Hba_17,Input!AG$37&lt;&gt;""),Input!$B$37&amp;";",""),IF(AND($G60&lt;Hta_18,$G60&gt;=Hba_18,Input!AG$38&lt;&gt;""),Input!$B$38&amp;";",""),IF(AND($G60&lt;Hta_19,$G60&gt;=Hba_19,Input!AG$39&lt;&gt;""),Input!$B$39&amp;";",""),IF(AND($G60&lt;Hta_20,$G60&gt;=Hba_20,Input!AG$40&lt;&gt;""),Input!$B$40&amp;";",""),IF(AND($G60&lt;Hta_21,$G60&gt;=Hba_21,Input!AG$41&lt;&gt;""),Input!$B$41&amp;";",""),IF(AND($G60&lt;Hta_22,$G60&gt;=Hba_22,Input!AG$42&lt;&gt;""),Input!$B$42&amp;";",""),IF(AND($G60&lt;Hta_23,$G60&gt;=Hba_23,Input!AG$43&lt;&gt;""),Input!$B$43&amp;";",""),IF(AND($G60&lt;Hta_24,$G60&gt;=Hba_24,Input!AG$44&lt;&gt;""),Input!$B$44&amp;";",""),IF(AND($G60&lt;Hta_25,$G60&gt;=Hba_25,Input!AG$45&lt;&gt;""),Input!$B$45&amp;";",""),IF(AND($G60&lt;Hta_26,$G60&gt;=Hba_26,Input!AG$46&lt;&gt;""),Input!$B$46&amp;";",""),IF(AND($G60&lt;Hta_27,$G60&gt;=Hba_27,Input!AG$47&lt;&gt;""),Input!$B$47&amp;";",""),IF(AND($G60&lt;Hta_28,$G60&gt;=Hba_28,Input!AG$48&lt;&gt;""),Input!$B$48&amp;";",""),IF(AND($G60&lt;Hta_29,$G60&gt;=Hba_29,Input!AG$49&lt;&gt;""),Input!$B$49&amp;";",""),IF(AND($G60&lt;Hta_30,$G60&gt;=Hba_30,Input!AG$50&lt;&gt;""),Input!$B$50&amp;";","")),"")</f>
        <v/>
      </c>
      <c r="CI60" s="25" t="str">
        <f>IFERROR(CONCATENATE(IF(AND($G60&lt;Hta_1,$G60&gt;=Hba_1,Input!AH$21&lt;&gt;""),Input!$B$21&amp;";",""),IF(AND($G60&lt;Hta_2,$G60&gt;=Hba_2,Input!AH$22&lt;&gt;""),Input!$B$22&amp;";",""),IF(AND($G60&lt;Hta_3,$G60&gt;=Hba_3,Input!AH$23&lt;&gt;""),Input!$B$23&amp;";",""),IF(AND($G60&lt;Hta_4,$G60&gt;=Hba_4,Input!AH$24&lt;&gt;""),Input!$B$24&amp;";",""),IF(AND($G60&lt;Hta_5,$G60&gt;=Hba_5,Input!AH$25&lt;&gt;""),Input!$B$25&amp;";",""),IF(AND($G60&lt;Hta_6,$G60&gt;=Hba_6,Input!AH$26&lt;&gt;""),Input!$B$26&amp;";",""),IF(AND($G60&lt;Hta_7,$G60&gt;=Hba_7,Input!AH$27&lt;&gt;""),Input!$B$27&amp;";",""),IF(AND($G60&lt;Hta_8,$G60&gt;=Hba_8,Input!AH$28&lt;&gt;""),Input!$B$28&amp;";",""),IF(AND($G60&lt;Hta_9,$G60&gt;=Hba_9,Input!AH$29&lt;&gt;""),Input!$B$29&amp;";",""),IF(AND($G60&lt;Hta_10,$G60&gt;=Hba_10,Input!AH$30&lt;&gt;""),Input!$B$30&amp;";",""),IF(AND($G60&lt;Hta_11,$G60&gt;=Hba_11,Input!AH$31&lt;&gt;""),Input!$B$31&amp;";",""),IF(AND($G60&lt;Hta_12,$G60&gt;=Hba_12,Input!AH$32&lt;&gt;""),Input!$B$32&amp;";",""),IF(AND($G60&lt;Hta_13,$G60&gt;=Hba_13,Input!AH$33&lt;&gt;""),Input!$B$33&amp;";",""),IF(AND($G60&lt;Hta_14,$G60&gt;=Hba_14,Input!AH$34&lt;&gt;""),Input!$B$34&amp;";",""),IF(AND($G60&lt;Hta_15,$G60&gt;=Hba_15,Input!AH$35&lt;&gt;""),Input!$B$35&amp;";",""),IF(AND($G60&lt;Hta_16,$G60&gt;=Hba_16,Input!AH$36&lt;&gt;""),Input!$B$36&amp;";",""),IF(AND($G60&lt;Hta_17,$G60&gt;=Hba_17,Input!AH$37&lt;&gt;""),Input!$B$37&amp;";",""),IF(AND($G60&lt;Hta_18,$G60&gt;=Hba_18,Input!AH$38&lt;&gt;""),Input!$B$38&amp;";",""),IF(AND($G60&lt;Hta_19,$G60&gt;=Hba_19,Input!AH$39&lt;&gt;""),Input!$B$39&amp;";",""),IF(AND($G60&lt;Hta_20,$G60&gt;=Hba_20,Input!AH$40&lt;&gt;""),Input!$B$40&amp;";",""),IF(AND($G60&lt;Hta_21,$G60&gt;=Hba_21,Input!AH$41&lt;&gt;""),Input!$B$41&amp;";",""),IF(AND($G60&lt;Hta_22,$G60&gt;=Hba_22,Input!AH$42&lt;&gt;""),Input!$B$42&amp;";",""),IF(AND($G60&lt;Hta_23,$G60&gt;=Hba_23,Input!AH$43&lt;&gt;""),Input!$B$43&amp;";",""),IF(AND($G60&lt;Hta_24,$G60&gt;=Hba_24,Input!AH$44&lt;&gt;""),Input!$B$44&amp;";",""),IF(AND($G60&lt;Hta_25,$G60&gt;=Hba_25,Input!AH$45&lt;&gt;""),Input!$B$45&amp;";",""),IF(AND($G60&lt;Hta_26,$G60&gt;=Hba_26,Input!AH$46&lt;&gt;""),Input!$B$46&amp;";",""),IF(AND($G60&lt;Hta_27,$G60&gt;=Hba_27,Input!AH$47&lt;&gt;""),Input!$B$47&amp;";",""),IF(AND($G60&lt;Hta_28,$G60&gt;=Hba_28,Input!AH$48&lt;&gt;""),Input!$B$48&amp;";",""),IF(AND($G60&lt;Hta_29,$G60&gt;=Hba_29,Input!AH$49&lt;&gt;""),Input!$B$49&amp;";",""),IF(AND($G60&lt;Hta_30,$G60&gt;=Hba_30,Input!AH$50&lt;&gt;""),Input!$B$50&amp;";","")),"")</f>
        <v/>
      </c>
      <c r="CJ60" s="25" t="str">
        <f>IFERROR(CONCATENATE(IF(AND($G60&lt;Hta_1,$G60&gt;=Hba_1,Input!AI$21&lt;&gt;""),Input!$B$21&amp;";",""),IF(AND($G60&lt;Hta_2,$G60&gt;=Hba_2,Input!AI$22&lt;&gt;""),Input!$B$22&amp;";",""),IF(AND($G60&lt;Hta_3,$G60&gt;=Hba_3,Input!AI$23&lt;&gt;""),Input!$B$23&amp;";",""),IF(AND($G60&lt;Hta_4,$G60&gt;=Hba_4,Input!AI$24&lt;&gt;""),Input!$B$24&amp;";",""),IF(AND($G60&lt;Hta_5,$G60&gt;=Hba_5,Input!AI$25&lt;&gt;""),Input!$B$25&amp;";",""),IF(AND($G60&lt;Hta_6,$G60&gt;=Hba_6,Input!AI$26&lt;&gt;""),Input!$B$26&amp;";",""),IF(AND($G60&lt;Hta_7,$G60&gt;=Hba_7,Input!AI$27&lt;&gt;""),Input!$B$27&amp;";",""),IF(AND($G60&lt;Hta_8,$G60&gt;=Hba_8,Input!AI$28&lt;&gt;""),Input!$B$28&amp;";",""),IF(AND($G60&lt;Hta_9,$G60&gt;=Hba_9,Input!AI$29&lt;&gt;""),Input!$B$29&amp;";",""),IF(AND($G60&lt;Hta_10,$G60&gt;=Hba_10,Input!AI$30&lt;&gt;""),Input!$B$30&amp;";",""),IF(AND($G60&lt;Hta_11,$G60&gt;=Hba_11,Input!AI$31&lt;&gt;""),Input!$B$31&amp;";",""),IF(AND($G60&lt;Hta_12,$G60&gt;=Hba_12,Input!AI$32&lt;&gt;""),Input!$B$32&amp;";",""),IF(AND($G60&lt;Hta_13,$G60&gt;=Hba_13,Input!AI$33&lt;&gt;""),Input!$B$33&amp;";",""),IF(AND($G60&lt;Hta_14,$G60&gt;=Hba_14,Input!AI$34&lt;&gt;""),Input!$B$34&amp;";",""),IF(AND($G60&lt;Hta_15,$G60&gt;=Hba_15,Input!AI$35&lt;&gt;""),Input!$B$35&amp;";",""),IF(AND($G60&lt;Hta_16,$G60&gt;=Hba_16,Input!AI$36&lt;&gt;""),Input!$B$36&amp;";",""),IF(AND($G60&lt;Hta_17,$G60&gt;=Hba_17,Input!AI$37&lt;&gt;""),Input!$B$37&amp;";",""),IF(AND($G60&lt;Hta_18,$G60&gt;=Hba_18,Input!AI$38&lt;&gt;""),Input!$B$38&amp;";",""),IF(AND($G60&lt;Hta_19,$G60&gt;=Hba_19,Input!AI$39&lt;&gt;""),Input!$B$39&amp;";",""),IF(AND($G60&lt;Hta_20,$G60&gt;=Hba_20,Input!AI$40&lt;&gt;""),Input!$B$40&amp;";",""),IF(AND($G60&lt;Hta_21,$G60&gt;=Hba_21,Input!AI$41&lt;&gt;""),Input!$B$41&amp;";",""),IF(AND($G60&lt;Hta_22,$G60&gt;=Hba_22,Input!AI$42&lt;&gt;""),Input!$B$42&amp;";",""),IF(AND($G60&lt;Hta_23,$G60&gt;=Hba_23,Input!AI$43&lt;&gt;""),Input!$B$43&amp;";",""),IF(AND($G60&lt;Hta_24,$G60&gt;=Hba_24,Input!AI$44&lt;&gt;""),Input!$B$44&amp;";",""),IF(AND($G60&lt;Hta_25,$G60&gt;=Hba_25,Input!AI$45&lt;&gt;""),Input!$B$45&amp;";",""),IF(AND($G60&lt;Hta_26,$G60&gt;=Hba_26,Input!AI$46&lt;&gt;""),Input!$B$46&amp;";",""),IF(AND($G60&lt;Hta_27,$G60&gt;=Hba_27,Input!AI$47&lt;&gt;""),Input!$B$47&amp;";",""),IF(AND($G60&lt;Hta_28,$G60&gt;=Hba_28,Input!AI$48&lt;&gt;""),Input!$B$48&amp;";",""),IF(AND($G60&lt;Hta_29,$G60&gt;=Hba_29,Input!AI$49&lt;&gt;""),Input!$B$49&amp;";",""),IF(AND($G60&lt;Hta_30,$G60&gt;=Hba_30,Input!AI$50&lt;&gt;""),Input!$B$50&amp;";","")),"")</f>
        <v/>
      </c>
      <c r="CK60" s="25" t="str">
        <f>IFERROR(CONCATENATE(IF(AND($G60&lt;Hta_1,$G60&gt;=Hba_1,Input!AJ$21&lt;&gt;""),Input!$B$21&amp;";",""),IF(AND($G60&lt;Hta_2,$G60&gt;=Hba_2,Input!AJ$22&lt;&gt;""),Input!$B$22&amp;";",""),IF(AND($G60&lt;Hta_3,$G60&gt;=Hba_3,Input!AJ$23&lt;&gt;""),Input!$B$23&amp;";",""),IF(AND($G60&lt;Hta_4,$G60&gt;=Hba_4,Input!AJ$24&lt;&gt;""),Input!$B$24&amp;";",""),IF(AND($G60&lt;Hta_5,$G60&gt;=Hba_5,Input!AJ$25&lt;&gt;""),Input!$B$25&amp;";",""),IF(AND($G60&lt;Hta_6,$G60&gt;=Hba_6,Input!AJ$26&lt;&gt;""),Input!$B$26&amp;";",""),IF(AND($G60&lt;Hta_7,$G60&gt;=Hba_7,Input!AJ$27&lt;&gt;""),Input!$B$27&amp;";",""),IF(AND($G60&lt;Hta_8,$G60&gt;=Hba_8,Input!AJ$28&lt;&gt;""),Input!$B$28&amp;";",""),IF(AND($G60&lt;Hta_9,$G60&gt;=Hba_9,Input!AJ$29&lt;&gt;""),Input!$B$29&amp;";",""),IF(AND($G60&lt;Hta_10,$G60&gt;=Hba_10,Input!AJ$30&lt;&gt;""),Input!$B$30&amp;";",""),IF(AND($G60&lt;Hta_11,$G60&gt;=Hba_11,Input!AJ$31&lt;&gt;""),Input!$B$31&amp;";",""),IF(AND($G60&lt;Hta_12,$G60&gt;=Hba_12,Input!AJ$32&lt;&gt;""),Input!$B$32&amp;";",""),IF(AND($G60&lt;Hta_13,$G60&gt;=Hba_13,Input!AJ$33&lt;&gt;""),Input!$B$33&amp;";",""),IF(AND($G60&lt;Hta_14,$G60&gt;=Hba_14,Input!AJ$34&lt;&gt;""),Input!$B$34&amp;";",""),IF(AND($G60&lt;Hta_15,$G60&gt;=Hba_15,Input!AJ$35&lt;&gt;""),Input!$B$35&amp;";",""),IF(AND($G60&lt;Hta_16,$G60&gt;=Hba_16,Input!AJ$36&lt;&gt;""),Input!$B$36&amp;";",""),IF(AND($G60&lt;Hta_17,$G60&gt;=Hba_17,Input!AJ$37&lt;&gt;""),Input!$B$37&amp;";",""),IF(AND($G60&lt;Hta_18,$G60&gt;=Hba_18,Input!AJ$38&lt;&gt;""),Input!$B$38&amp;";",""),IF(AND($G60&lt;Hta_19,$G60&gt;=Hba_19,Input!AJ$39&lt;&gt;""),Input!$B$39&amp;";",""),IF(AND($G60&lt;Hta_20,$G60&gt;=Hba_20,Input!AJ$40&lt;&gt;""),Input!$B$40&amp;";",""),IF(AND($G60&lt;Hta_21,$G60&gt;=Hba_21,Input!AJ$41&lt;&gt;""),Input!$B$41&amp;";",""),IF(AND($G60&lt;Hta_22,$G60&gt;=Hba_22,Input!AJ$42&lt;&gt;""),Input!$B$42&amp;";",""),IF(AND($G60&lt;Hta_23,$G60&gt;=Hba_23,Input!AJ$43&lt;&gt;""),Input!$B$43&amp;";",""),IF(AND($G60&lt;Hta_24,$G60&gt;=Hba_24,Input!AJ$44&lt;&gt;""),Input!$B$44&amp;";",""),IF(AND($G60&lt;Hta_25,$G60&gt;=Hba_25,Input!AJ$45&lt;&gt;""),Input!$B$45&amp;";",""),IF(AND($G60&lt;Hta_26,$G60&gt;=Hba_26,Input!AJ$46&lt;&gt;""),Input!$B$46&amp;";",""),IF(AND($G60&lt;Hta_27,$G60&gt;=Hba_27,Input!AJ$47&lt;&gt;""),Input!$B$47&amp;";",""),IF(AND($G60&lt;Hta_28,$G60&gt;=Hba_28,Input!AJ$48&lt;&gt;""),Input!$B$48&amp;";",""),IF(AND($G60&lt;Hta_29,$G60&gt;=Hba_29,Input!AJ$49&lt;&gt;""),Input!$B$49&amp;";",""),IF(AND($G60&lt;Hta_30,$G60&gt;=Hba_30,Input!AJ$50&lt;&gt;""),Input!$B$50&amp;";","")),"")</f>
        <v/>
      </c>
      <c r="CL60" s="25" t="str">
        <f>IFERROR(CONCATENATE(IF(AND($G60&lt;Hta_1,$G60&gt;=Hba_1,Input!AK$21&lt;&gt;""),Input!$B$21&amp;";",""),IF(AND($G60&lt;Hta_2,$G60&gt;=Hba_2,Input!AK$22&lt;&gt;""),Input!$B$22&amp;";",""),IF(AND($G60&lt;Hta_3,$G60&gt;=Hba_3,Input!AK$23&lt;&gt;""),Input!$B$23&amp;";",""),IF(AND($G60&lt;Hta_4,$G60&gt;=Hba_4,Input!AK$24&lt;&gt;""),Input!$B$24&amp;";",""),IF(AND($G60&lt;Hta_5,$G60&gt;=Hba_5,Input!AK$25&lt;&gt;""),Input!$B$25&amp;";",""),IF(AND($G60&lt;Hta_6,$G60&gt;=Hba_6,Input!AK$26&lt;&gt;""),Input!$B$26&amp;";",""),IF(AND($G60&lt;Hta_7,$G60&gt;=Hba_7,Input!AK$27&lt;&gt;""),Input!$B$27&amp;";",""),IF(AND($G60&lt;Hta_8,$G60&gt;=Hba_8,Input!AK$28&lt;&gt;""),Input!$B$28&amp;";",""),IF(AND($G60&lt;Hta_9,$G60&gt;=Hba_9,Input!AK$29&lt;&gt;""),Input!$B$29&amp;";",""),IF(AND($G60&lt;Hta_10,$G60&gt;=Hba_10,Input!AK$30&lt;&gt;""),Input!$B$30&amp;";",""),IF(AND($G60&lt;Hta_11,$G60&gt;=Hba_11,Input!AK$31&lt;&gt;""),Input!$B$31&amp;";",""),IF(AND($G60&lt;Hta_12,$G60&gt;=Hba_12,Input!AK$32&lt;&gt;""),Input!$B$32&amp;";",""),IF(AND($G60&lt;Hta_13,$G60&gt;=Hba_13,Input!AK$33&lt;&gt;""),Input!$B$33&amp;";",""),IF(AND($G60&lt;Hta_14,$G60&gt;=Hba_14,Input!AK$34&lt;&gt;""),Input!$B$34&amp;";",""),IF(AND($G60&lt;Hta_15,$G60&gt;=Hba_15,Input!AK$35&lt;&gt;""),Input!$B$35&amp;";",""),IF(AND($G60&lt;Hta_16,$G60&gt;=Hba_16,Input!AK$36&lt;&gt;""),Input!$B$36&amp;";",""),IF(AND($G60&lt;Hta_17,$G60&gt;=Hba_17,Input!AK$37&lt;&gt;""),Input!$B$37&amp;";",""),IF(AND($G60&lt;Hta_18,$G60&gt;=Hba_18,Input!AK$38&lt;&gt;""),Input!$B$38&amp;";",""),IF(AND($G60&lt;Hta_19,$G60&gt;=Hba_19,Input!AK$39&lt;&gt;""),Input!$B$39&amp;";",""),IF(AND($G60&lt;Hta_20,$G60&gt;=Hba_20,Input!AK$40&lt;&gt;""),Input!$B$40&amp;";",""),IF(AND($G60&lt;Hta_21,$G60&gt;=Hba_21,Input!AK$41&lt;&gt;""),Input!$B$41&amp;";",""),IF(AND($G60&lt;Hta_22,$G60&gt;=Hba_22,Input!AK$42&lt;&gt;""),Input!$B$42&amp;";",""),IF(AND($G60&lt;Hta_23,$G60&gt;=Hba_23,Input!AK$43&lt;&gt;""),Input!$B$43&amp;";",""),IF(AND($G60&lt;Hta_24,$G60&gt;=Hba_24,Input!AK$44&lt;&gt;""),Input!$B$44&amp;";",""),IF(AND($G60&lt;Hta_25,$G60&gt;=Hba_25,Input!AK$45&lt;&gt;""),Input!$B$45&amp;";",""),IF(AND($G60&lt;Hta_26,$G60&gt;=Hba_26,Input!AK$46&lt;&gt;""),Input!$B$46&amp;";",""),IF(AND($G60&lt;Hta_27,$G60&gt;=Hba_27,Input!AK$47&lt;&gt;""),Input!$B$47&amp;";",""),IF(AND($G60&lt;Hta_28,$G60&gt;=Hba_28,Input!AK$48&lt;&gt;""),Input!$B$48&amp;";",""),IF(AND($G60&lt;Hta_29,$G60&gt;=Hba_29,Input!AK$49&lt;&gt;""),Input!$B$49&amp;";",""),IF(AND($G60&lt;Hta_30,$G60&gt;=Hba_30,Input!AK$50&lt;&gt;""),Input!$B$50&amp;";","")),"")</f>
        <v/>
      </c>
      <c r="CM60" s="25" t="str">
        <f>IFERROR(CONCATENATE(IF(AND($G60&lt;Hta_1,$G60&gt;=Hba_1,Input!AL$21&lt;&gt;""),Input!$B$21&amp;";",""),IF(AND($G60&lt;Hta_2,$G60&gt;=Hba_2,Input!AL$22&lt;&gt;""),Input!$B$22&amp;";",""),IF(AND($G60&lt;Hta_3,$G60&gt;=Hba_3,Input!AL$23&lt;&gt;""),Input!$B$23&amp;";",""),IF(AND($G60&lt;Hta_4,$G60&gt;=Hba_4,Input!AL$24&lt;&gt;""),Input!$B$24&amp;";",""),IF(AND($G60&lt;Hta_5,$G60&gt;=Hba_5,Input!AL$25&lt;&gt;""),Input!$B$25&amp;";",""),IF(AND($G60&lt;Hta_6,$G60&gt;=Hba_6,Input!AL$26&lt;&gt;""),Input!$B$26&amp;";",""),IF(AND($G60&lt;Hta_7,$G60&gt;=Hba_7,Input!AL$27&lt;&gt;""),Input!$B$27&amp;";",""),IF(AND($G60&lt;Hta_8,$G60&gt;=Hba_8,Input!AL$28&lt;&gt;""),Input!$B$28&amp;";",""),IF(AND($G60&lt;Hta_9,$G60&gt;=Hba_9,Input!AL$29&lt;&gt;""),Input!$B$29&amp;";",""),IF(AND($G60&lt;Hta_10,$G60&gt;=Hba_10,Input!AL$30&lt;&gt;""),Input!$B$30&amp;";",""),IF(AND($G60&lt;Hta_11,$G60&gt;=Hba_11,Input!AL$31&lt;&gt;""),Input!$B$31&amp;";",""),IF(AND($G60&lt;Hta_12,$G60&gt;=Hba_12,Input!AL$32&lt;&gt;""),Input!$B$32&amp;";",""),IF(AND($G60&lt;Hta_13,$G60&gt;=Hba_13,Input!AL$33&lt;&gt;""),Input!$B$33&amp;";",""),IF(AND($G60&lt;Hta_14,$G60&gt;=Hba_14,Input!AL$34&lt;&gt;""),Input!$B$34&amp;";",""),IF(AND($G60&lt;Hta_15,$G60&gt;=Hba_15,Input!AL$35&lt;&gt;""),Input!$B$35&amp;";",""),IF(AND($G60&lt;Hta_16,$G60&gt;=Hba_16,Input!AL$36&lt;&gt;""),Input!$B$36&amp;";",""),IF(AND($G60&lt;Hta_17,$G60&gt;=Hba_17,Input!AL$37&lt;&gt;""),Input!$B$37&amp;";",""),IF(AND($G60&lt;Hta_18,$G60&gt;=Hba_18,Input!AL$38&lt;&gt;""),Input!$B$38&amp;";",""),IF(AND($G60&lt;Hta_19,$G60&gt;=Hba_19,Input!AL$39&lt;&gt;""),Input!$B$39&amp;";",""),IF(AND($G60&lt;Hta_20,$G60&gt;=Hba_20,Input!AL$40&lt;&gt;""),Input!$B$40&amp;";",""),IF(AND($G60&lt;Hta_21,$G60&gt;=Hba_21,Input!AL$41&lt;&gt;""),Input!$B$41&amp;";",""),IF(AND($G60&lt;Hta_22,$G60&gt;=Hba_22,Input!AL$42&lt;&gt;""),Input!$B$42&amp;";",""),IF(AND($G60&lt;Hta_23,$G60&gt;=Hba_23,Input!AL$43&lt;&gt;""),Input!$B$43&amp;";",""),IF(AND($G60&lt;Hta_24,$G60&gt;=Hba_24,Input!AL$44&lt;&gt;""),Input!$B$44&amp;";",""),IF(AND($G60&lt;Hta_25,$G60&gt;=Hba_25,Input!AL$45&lt;&gt;""),Input!$B$45&amp;";",""),IF(AND($G60&lt;Hta_26,$G60&gt;=Hba_26,Input!AL$46&lt;&gt;""),Input!$B$46&amp;";",""),IF(AND($G60&lt;Hta_27,$G60&gt;=Hba_27,Input!AL$47&lt;&gt;""),Input!$B$47&amp;";",""),IF(AND($G60&lt;Hta_28,$G60&gt;=Hba_28,Input!AL$48&lt;&gt;""),Input!$B$48&amp;";",""),IF(AND($G60&lt;Hta_29,$G60&gt;=Hba_29,Input!AL$49&lt;&gt;""),Input!$B$49&amp;";",""),IF(AND($G60&lt;Hta_30,$G60&gt;=Hba_30,Input!AL$50&lt;&gt;""),Input!$B$50&amp;";","")),"")</f>
        <v/>
      </c>
      <c r="CN60" s="59" t="str">
        <f t="shared" si="6"/>
        <v/>
      </c>
      <c r="CO60" s="791"/>
      <c r="CP60" s="792"/>
      <c r="CQ60" s="793"/>
      <c r="CR60" s="791"/>
      <c r="CS60" s="792"/>
      <c r="CT60" s="793"/>
      <c r="CU60" s="791" t="str">
        <f t="shared" si="7"/>
        <v/>
      </c>
      <c r="CV60" s="792"/>
      <c r="CW60" s="807"/>
      <c r="CX60" s="808"/>
      <c r="CY60" s="730"/>
      <c r="CZ60" s="809"/>
      <c r="DA60" s="733"/>
      <c r="DB60" s="734"/>
      <c r="DC60" s="735"/>
      <c r="DD60" s="729" t="str">
        <f t="shared" si="8"/>
        <v/>
      </c>
      <c r="DE60" s="730"/>
      <c r="DF60" s="731"/>
      <c r="DG60" s="55"/>
      <c r="DH60" s="56"/>
      <c r="DI60" s="56"/>
      <c r="DJ60" s="56"/>
      <c r="DK60" s="56"/>
      <c r="DL60" s="56"/>
      <c r="DM60" s="56"/>
      <c r="DN60" s="56"/>
      <c r="DO60" s="56"/>
      <c r="DP60" s="56"/>
      <c r="DQ60" s="58"/>
      <c r="DR60" s="58"/>
      <c r="DS60" s="58"/>
      <c r="DT60" s="58"/>
      <c r="DU60" s="58"/>
      <c r="DV60" s="58"/>
      <c r="DW60" s="58"/>
      <c r="DX60" s="58"/>
      <c r="DY60" s="58"/>
      <c r="DZ60" s="58"/>
      <c r="EA60" s="58"/>
      <c r="EB60" s="58"/>
      <c r="EC60" s="58"/>
      <c r="ED60" s="58"/>
      <c r="EE60" s="58"/>
      <c r="EF60" s="58"/>
      <c r="EG60" s="58"/>
      <c r="EH60" s="58"/>
      <c r="EI60" s="58"/>
      <c r="EJ60" s="58"/>
      <c r="EK60" s="58"/>
      <c r="EL60" s="134"/>
      <c r="EM60" s="134"/>
      <c r="EN60" s="134"/>
      <c r="EO60" s="134"/>
      <c r="EP60" s="134"/>
      <c r="EQ60" s="134"/>
      <c r="ER60" s="134"/>
      <c r="ES60" s="134"/>
      <c r="ET60" s="134"/>
      <c r="EU60" s="134"/>
      <c r="EV60" s="134"/>
      <c r="EW60" s="134"/>
      <c r="EX60" s="134"/>
      <c r="EY60" s="134"/>
      <c r="EZ60" s="134"/>
      <c r="FA60" s="134"/>
      <c r="FB60" s="134"/>
      <c r="FC60" s="134"/>
      <c r="FD60" s="134"/>
      <c r="FE60" s="134"/>
      <c r="FF60" s="134"/>
      <c r="FG60" s="134"/>
      <c r="FH60" s="134"/>
      <c r="FI60" s="134"/>
      <c r="FJ60" s="134"/>
      <c r="FK60" s="134"/>
      <c r="FL60" s="134"/>
      <c r="FM60" s="134"/>
      <c r="FN60" s="134"/>
      <c r="FO60" s="134"/>
      <c r="FQ60" s="124"/>
      <c r="FR60" s="122"/>
      <c r="FS60" s="120"/>
      <c r="FT60" s="119"/>
    </row>
    <row r="61" spans="2:176" ht="15.75" hidden="1" thickBot="1" x14ac:dyDescent="0.3">
      <c r="B61" s="62" t="b">
        <f>IF(OR(AND(G61&gt;='Geometry 2'!$AK$5,G61&lt;'Geometry 2'!$AL$5),AND(G61&gt;='Geometry 2'!$AK$6,G61&lt;'Geometry 2'!$AL$6),AND(G61&gt;='Geometry 2'!$AK$7,G61&lt;'Geometry 2'!$AL$7),AND(G61&gt;='Geometry 2'!$AK$8,G61&lt;'Geometry 2'!$AL$8),AND(G61&gt;='Geometry 2'!$AK$9,G61&lt;'Geometry 2'!$AL$9),AND(G61&gt;='Geometry 2'!$AK$10,G61&lt;'Geometry 2'!$AL$10),AND(G61&gt;='Geometry 2'!$AK$11,G61&lt;'Geometry 2'!$AL$11),AND(G61&gt;='Geometry 2'!$AK$12,G61&lt;'Geometry 2'!$AL$12),AND(G61&gt;='Geometry 2'!$AK$13,G61&lt;'Geometry 2'!$AL$13),AND(G61&gt;='Geometry 2'!$AK$14,G61&lt;'Geometry 2'!$AL$14)),TRUE,FALSE)</f>
        <v>0</v>
      </c>
      <c r="C61" s="4" t="str">
        <f t="shared" si="3"/>
        <v/>
      </c>
      <c r="D61" s="766" t="str">
        <f t="shared" si="4"/>
        <v/>
      </c>
      <c r="E61" s="767"/>
      <c r="F61" s="17" t="str">
        <f t="shared" si="2"/>
        <v/>
      </c>
      <c r="G61" s="768" t="str">
        <f>IF(D61="","",MAX(0,G60-IF(inc="n/a",999,inc),MAX(IF(G60&lt;=Hta_1,0,Hta_1),IF(G60&lt;=Hta_2,0,Hta_2),IF(G60&lt;=Hta_3,0,Hta_3),IF(G60&lt;=Hta_4,0,Hta_4),IF(G60&lt;=Hta_5,0,Hta_5),IF(G60&lt;=Hta_6,0,Hta_6),IF(G60&lt;=Hta_7,0,Hta_7),IF(G60&lt;=Hta_8,0,Hta_8),IF(G60&lt;=Hta_9,0,Hta_9),IF(G60&lt;=Hta_10,0,Hta_10),IF(G60&lt;=Hta_11,0,Hta_11),IF(G60&lt;=Hta_12,0,Hta_12),IF(G60&lt;=Hta_13,0,Hta_13),IF(G60&lt;=Hta_14,0,Hta_14),IF(G60&lt;=Hta_15,0,Hta_15),IF(G60&lt;=Hta_16,0,Hta_16),IF(G60&lt;=Hta_17,0,Hta_17),IF(G60&lt;=Hta_18,0,Hta_18),IF(G60&lt;=Hta_19,0,Hta_19),IF(G60&lt;=Hta_20,0,Hta_20),IF(G60&lt;=Hta_21,0,Hta_21),IF(G60&lt;=Hta_22,0,Hta_22),IF(G60&lt;=Hta_23,0,Hta_23),IF(G60&lt;=Hta_24,0,Hta_24),IF(G60&lt;=Hta_25,0,Hta_25),IF(G60&lt;=Hta_26,0,Hta_26),IF(G60&lt;=Hta_27,0,Hta_27),IF(G60&lt;=Hta_28,0,Hta_28),IF(G60&lt;=Hta_29,0,Hta_29),IF(G60&lt;=Hta_30,0,Hta_30)),MAX(IF(G60&lt;=Hta_1-0.25,0,Hta_1-0.25),IF(G60&lt;=Hta_2-0.25,0,Hta_2-0.25),IF(G60&lt;=Hta_3-0.25,0,Hta_3-0.25),IF(G60&lt;=Hta_4-0.25,0,Hta_4-0.25),IF(G60&lt;=Hta_5-0.25,0,Hta_5-0.25),IF(G60&lt;=Hta_6-0.25,0,Hta_6-0.25),IF(G60&lt;=Hta_7-0.25,0,Hta_7-0.25),IF(G60&lt;=Hta_8-0.25,0,Hta_8-0.25),IF(G60&lt;=Hta_9-0.25,0,Hta_9-0.25),IF(G60&lt;=Hta_10-0.25,0,Hta_10-0.25),IF(G60&lt;=Hta_11-0.25,0,Hta_11-0.25),IF(G60&lt;=Hta_12-0.25,0,Hta_12-0.25),IF(G60&lt;=Hta_13-0.25,0,Hta_13-0.25),IF(G60&lt;=Hta_14-0.25,0,Hta_14-0.25),IF(G60&lt;=Hta_15-0.25,0,Hta_15-0.25),IF(G60&lt;=Hta_16-0.25,0,Hta_16-0.25),IF(G60&lt;=Hta_17-0.25,0,Hta_17-0.25),IF(G60&lt;=Hta_18-0.25,0,Hta_18-0.25),IF(G60&lt;=Hta_19-0.25,0,Hta_19-0.25),IF(G60&lt;=Hta_20-0.25,0,Hta_20-0.25),IF(G60&lt;=Hta_21-0.25,0,Hta_21-0.25),IF(G60&lt;=Hta_22-0.25,0,Hta_22-0.25),IF(G60&lt;=Hta_23-0.25,0,Hta_23-0.25),IF(G60&lt;=Hta_24-0.25,0,Hta_24-0.25),IF(G60&lt;=Hta_25-0.25,0,Hta_25-0.25),IF(G60&lt;=Hta_26-0.25,0,Hta_26-0.25),IF(G60&lt;=Hta_27-0.25,0,Hta_27-0.25),IF(G60&lt;=Hta_28-0.25,0,Hta_28-0.25),IF(G60&lt;=Hta_29-0.25,0,Hta_29-0.25),IF(G60&lt;=Hta_30-0.25,0,Hta_30-0.25)),MAX(IF(G60&lt;=Hba_1,0,Hba_1),IF(G60&lt;=Hba_2,0,Hba_2),IF(G60&lt;=Hba_3,0,Hba_3),IF(G60&lt;=Hba_4,0,Hba_4),IF(G60&lt;=Hba_5,0,Hba_5),IF(G60&lt;=Hba_6,0,Hba_6),IF(G60&lt;=Hba_7,0,Hba_7),IF(G60&lt;=Hba_8,0,Hba_8),IF(G60&lt;=Hba_9,0,Hba_9),IF(G60&lt;=Hba_10,0,Hba_10),IF(G60&lt;=Hba_11,0,Hba_11),IF(G60&lt;=Hba_12,0,Hba_12),IF(G60&lt;=Hba_13,0,Hba_13),IF(G60&lt;=Hba_14,0,Hba_14),IF(G60&lt;=Hba_15,0,Hba_15),IF(G60&lt;=Hba_16,0,Hba_16),IF(G60&lt;=Hba_17,0,Hba_17),IF(G60&lt;=Hba_18,0,Hba_18),IF(G60&lt;=Hba_19,0,Hba_19),IF(G60&lt;=Hba_20,0,Hba_20),IF(G60&lt;=Hba_21,0,Hba_21),IF(G60&lt;=Hba_22,0,Hba_22),IF(G60&lt;=Hba_23,0,Hba_23),IF(G60&lt;=Hba_24,0,Hba_24),IF(G60&lt;=Hba_25,0,Hba_25),IF(G60&lt;=Hba_26,0,Hba_26),IF(G60&lt;=Hba_27,0,Hba_27),IF(G60&lt;=Hba_28,0,Hba_28),IF(G60&lt;=Hba_29,0,Hba_29),IF(G60&lt;=Hba_30,0,Hba_30)),MAX(IF(G60&lt;=Input!$C$8,0,Input!$C$8),IF(G60&lt;=Input!$C$9,0,Input!$C$9),IF(G60&lt;=Input!$C$10,0,Input!$C$10),IF(G60&lt;=Input!$C$11,0,Input!$C$11),IF(G60&lt;=Input!$C$12,0,Input!$C$12),IF(G60&lt;=Input!$C$13,0,Input!$C$13),IF(G60&lt;=Input!$C$14,0,Input!$C$14),IF(G60&lt;=Input!$C$15,0,Input!$C$15),IF(G60&lt;=Input!$C$16,0,Input!$C$16)),MAX(IF(G60&lt;=Hba_1-0.25,0,Hba_1-0.25),IF(G60&lt;=Hba_2-0.25,0,Hba_2-0.25),IF(G60&lt;=Hba_3-0.25,0,Hba_3-0.25),IF(G60&lt;=Hba_4-0.25,0,Hba_4-0.25),IF(G60&lt;=Hba_5-0.25,0,Hba_5-0.25),IF(G60&lt;=Hba_6-0.25,0,Hba_6-0.25),IF(G60&lt;=Hba_7-0.25,0,Hba_7-0.25),IF(G60&lt;=Hba_8-0.25,0,Hba_8-0.25),IF(G60&lt;=Hba_9-0.25,0,Hba_9-0.25),IF(G60&lt;=Hba_10-0.25,0,Hba_10-0.25),IF(G60&lt;=Hba_11-0.25,0,Hba_11-0.25),IF(G60&lt;=Hba_12-0.25,0,Hba_12-0.25),IF(G60&lt;=Hba_13-0.25,0,Hba_13-0.25),IF(G60&lt;=Hba_14-0.25,0,Hba_14-0.25),IF(G60&lt;=Hba_15-0.25,0,Hba_15-0.25),IF(G60&lt;=Hba_16-0.25,0,Hba_16-0.25),IF(G60&lt;=Hba_17-0.25,0,Hba_17-0.25),IF(G60&lt;=Hba_18-0.25,0,Hba_18-0.25),IF(G60&lt;=Hba_19-0.25,0,Hba_19-0.25),IF(G60&lt;=Hba_20-0.25,0,Hba_20-0.25),IF(G60&lt;=Hba_21-0.25,0,Hba_21-0.25),IF(G60&lt;=Hba_22-0.25,0,Hba_22-0.25),IF(G60&lt;=Hba_23-0.25,0,Hba_23-0.25),IF(G60&lt;=Hba_24-0.25,0,Hba_24-0.25),IF(G60&lt;=Hba_25-0.25,0,Hba_25-0.25),IF(G60&lt;=Hba_26-0.25,0,Hba_26-0.25),IF(G60&lt;=Hba_27-0.25,0,Hba_27-0.25),IF(G60&lt;=Hba_28-0.25,0,Hba_28-0.25),IF(G60&lt;=Hba_29-0.25,0,Hba_29-0.25),IF(G60&lt;=Hba_30-0.25,0,Hba_30-0.25)),IF(G60&lt;='Macro References'!$A$38,0,'Macro References'!$A$38)))</f>
        <v/>
      </c>
      <c r="H61" s="769"/>
      <c r="I61" s="228"/>
      <c r="J61" s="228"/>
      <c r="K61" s="228"/>
      <c r="L61" s="717" t="str">
        <f t="shared" si="10"/>
        <v/>
      </c>
      <c r="M61" s="717"/>
      <c r="N61" s="717"/>
      <c r="O61" s="717"/>
      <c r="P61" s="717" t="str">
        <f>IF(OR(G61=0,G61=""),"",IF(VLOOKUP(G61,'Geometry 2'!$C$4:$AI$14,1,TRUE)=VLOOKUP(G62,'Geometry 2'!$C$4:$AI$14,1,TRUE),"",IF(VLOOKUP(G61,'Geometry 2'!$C$4:$AI$14,33,TRUE)&lt;&gt;"n/a",MIN(G61,VLOOKUP(G61,'Geometry 2'!$C$4:$AI$14,1,TRUE))-VLOOKUP(G61,'Geometry 2'!$C$4:$AI$14,33,TRUE),"check")))</f>
        <v/>
      </c>
      <c r="Q61" s="717"/>
      <c r="R61" s="717"/>
      <c r="S61" s="717"/>
      <c r="T61" s="717" t="str">
        <f>IF($G61="","",VLOOKUP($G61,'Geometry 2'!$E$4:$AH$14,11,TRUE))</f>
        <v/>
      </c>
      <c r="U61" s="717"/>
      <c r="V61" s="717"/>
      <c r="W61" s="717"/>
      <c r="X61" s="716" t="str">
        <f>IF($G61="","",VLOOKUP($G61,'Geometry 2'!$E$4:$AJ$14,19,TRUE)-12*VLOOKUP($G61,'Geometry 2'!$E$4:$AJ$14,32,TRUE)*($D61-VLOOKUP($G61,'Geometry 2'!$E$5:$AH$14,1,TRUE)))</f>
        <v/>
      </c>
      <c r="Y61" s="716"/>
      <c r="Z61" s="716"/>
      <c r="AA61" s="716"/>
      <c r="AB61" s="757" t="str">
        <f>IF($G61="","",VLOOKUP($G61,'Geometry 2'!$E$4:$AJ$14,19,TRUE)-12*VLOOKUP($G61,'Geometry 2'!$E$4:$AJ$14,32,TRUE)*($G61-VLOOKUP($G61,'Geometry 2'!$E$5:$AH$14,1,TRUE)))</f>
        <v/>
      </c>
      <c r="AC61" s="758"/>
      <c r="AD61" s="758"/>
      <c r="AE61" s="759"/>
      <c r="AF61" s="716" t="str">
        <f>IF($G61="","",VLOOKUP($G61,'Geometry 2'!$E$4:$AJ$14,19,TRUE)-12*VLOOKUP($G61,'Geometry 2'!$E$4:$AJ$14,32,TRUE)*($G61-IF($P61="",0,$P61)-VLOOKUP($G61,'Geometry 2'!$E$5:$AH$14,1,TRUE)))</f>
        <v/>
      </c>
      <c r="AG61" s="716"/>
      <c r="AH61" s="716"/>
      <c r="AI61" s="716"/>
      <c r="AJ61" s="746" t="str">
        <f>IF($G61="","",VLOOKUP($G61,'Geometry 2'!$E$4:$AH$14,23,TRUE))</f>
        <v/>
      </c>
      <c r="AK61" s="747"/>
      <c r="AL61" s="747"/>
      <c r="AM61" s="748"/>
      <c r="AN61" s="717"/>
      <c r="AO61" s="717"/>
      <c r="AP61" s="717"/>
      <c r="AQ61" s="717"/>
      <c r="AR61" s="717" t="str">
        <f>IF($G61="","",VLOOKUP($G61,'Geometry 2'!$E$4:$AH$14,27,TRUE))</f>
        <v/>
      </c>
      <c r="AS61" s="717"/>
      <c r="AT61" s="717"/>
      <c r="AU61" s="718"/>
      <c r="AV61" s="715"/>
      <c r="AW61" s="716"/>
      <c r="AX61" s="716"/>
      <c r="AZ61" s="722" t="str">
        <f t="shared" si="5"/>
        <v/>
      </c>
      <c r="BA61" s="723"/>
      <c r="BB61" s="723"/>
      <c r="BC61" s="724"/>
      <c r="BD61" s="722"/>
      <c r="BE61" s="723"/>
      <c r="BF61" s="723"/>
      <c r="BG61" s="722" t="str">
        <f t="shared" si="9"/>
        <v/>
      </c>
      <c r="BH61" s="723"/>
      <c r="BI61" s="723"/>
      <c r="BJ61" s="723"/>
      <c r="BK61" s="724"/>
      <c r="BL61" s="722"/>
      <c r="BM61" s="723"/>
      <c r="BN61" s="723"/>
      <c r="BO61" s="723"/>
      <c r="BP61" s="725"/>
      <c r="BQ61" s="725"/>
      <c r="BR61" s="722" t="str">
        <f>IF(BP61="","",IF(OR(AND(Rev="H",Calculations!$F$27=TRUE),AND(Rev&lt;&gt;"H",Calculations!$F$30=TRUE)),IF(BP61&lt;=1,"Pass","Fail"),IF(BP61&lt;=1.05,"Pass","Fail")))</f>
        <v/>
      </c>
      <c r="BS61" s="723"/>
      <c r="BT61" s="724"/>
      <c r="BU61" s="49"/>
      <c r="BV61" s="25" t="str">
        <f>IFERROR(CONCATENATE(IF(AND($G61&lt;Hta_1,$G61&gt;=Hba_1,Input!U$21&lt;&gt;""),Input!$B$21&amp;";",""),IF(AND($G61&lt;Hta_2,$G61&gt;=Hba_2,Input!U$22&lt;&gt;""),Input!$B$22&amp;";",""),IF(AND($G61&lt;Hta_3,$G61&gt;=Hba_3,Input!U$23&lt;&gt;""),Input!$B$23&amp;";",""),IF(AND($G61&lt;Hta_4,$G61&gt;=Hba_4,Input!U$24&lt;&gt;""),Input!$B$24&amp;";",""),IF(AND($G61&lt;Hta_5,$G61&gt;=Hba_5,Input!U$25&lt;&gt;""),Input!$B$25&amp;";",""),IF(AND($G61&lt;Hta_6,$G61&gt;=Hba_6,Input!U$26&lt;&gt;""),Input!$B$26&amp;";",""),IF(AND($G61&lt;Hta_7,$G61&gt;=Hba_7,Input!U$27&lt;&gt;""),Input!$B$27&amp;";",""),IF(AND($G61&lt;Hta_8,$G61&gt;=Hba_8,Input!U$28&lt;&gt;""),Input!$B$28&amp;";",""),IF(AND($G61&lt;Hta_9,$G61&gt;=Hba_9,Input!U$29&lt;&gt;""),Input!$B$29&amp;";",""),IF(AND($G61&lt;Hta_10,$G61&gt;=Hba_10,Input!U$30&lt;&gt;""),Input!$B$30&amp;";",""),IF(AND($G61&lt;Hta_11,$G61&gt;=Hba_11,Input!U$31&lt;&gt;""),Input!$B$31&amp;";",""),IF(AND($G61&lt;Hta_12,$G61&gt;=Hba_12,Input!U$32&lt;&gt;""),Input!$B$32&amp;";",""),IF(AND($G61&lt;Hta_13,$G61&gt;=Hba_13,Input!U$33&lt;&gt;""),Input!$B$33&amp;";",""),IF(AND($G61&lt;Hta_14,$G61&gt;=Hba_14,Input!U$34&lt;&gt;""),Input!$B$34&amp;";",""),IF(AND($G61&lt;Hta_15,$G61&gt;=Hba_15,Input!U$35&lt;&gt;""),Input!$B$35&amp;";",""),IF(AND($G61&lt;Hta_16,$G61&gt;=Hba_16,Input!U$36&lt;&gt;""),Input!$B$36&amp;";",""),IF(AND($G61&lt;Hta_17,$G61&gt;=Hba_17,Input!U$37&lt;&gt;""),Input!$B$37&amp;";",""),IF(AND($G61&lt;Hta_18,$G61&gt;=Hba_18,Input!U$38&lt;&gt;""),Input!$B$38&amp;";",""),IF(AND($G61&lt;Hta_19,$G61&gt;=Hba_19,Input!U$39&lt;&gt;""),Input!$B$39&amp;";",""),IF(AND($G61&lt;Hta_20,$G61&gt;=Hba_20,Input!U$40&lt;&gt;""),Input!$B$40&amp;";",""),IF(AND($G61&lt;Hta_21,$G61&gt;=Hba_21,Input!U$41&lt;&gt;""),Input!$B$41&amp;";",""),IF(AND($G61&lt;Hta_22,$G61&gt;=Hba_22,Input!U$42&lt;&gt;""),Input!$B$42&amp;";",""),IF(AND($G61&lt;Hta_23,$G61&gt;=Hba_23,Input!U$43&lt;&gt;""),Input!$B$43&amp;";",""),IF(AND($G61&lt;Hta_24,$G61&gt;=Hba_24,Input!U$44&lt;&gt;""),Input!$B$44&amp;";",""),IF(AND($G61&lt;Hta_25,$G61&gt;=Hba_25,Input!U$45&lt;&gt;""),Input!$B$45&amp;";",""),IF(AND($G61&lt;Hta_26,$G61&gt;=Hba_26,Input!U$46&lt;&gt;""),Input!$B$46&amp;";",""),IF(AND($G61&lt;Hta_27,$G61&gt;=Hba_27,Input!U$47&lt;&gt;""),Input!$B$47&amp;";",""),IF(AND($G61&lt;Hta_28,$G61&gt;=Hba_28,Input!U$48&lt;&gt;""),Input!$B$48&amp;";",""),IF(AND($G61&lt;Hta_29,$G61&gt;=Hba_29,Input!U$49&lt;&gt;""),Input!$B$49&amp;";",""),IF(AND($G61&lt;Hta_30,$G61&gt;=Hba_30,Input!U$50&lt;&gt;""),Input!$B$50&amp;";","")),"")</f>
        <v/>
      </c>
      <c r="BW61" s="25" t="str">
        <f>IFERROR(CONCATENATE(IF(AND($G61&lt;Hta_1,$G61&gt;=Hba_1,Input!V$21&lt;&gt;""),Input!$B$21&amp;";",""),IF(AND($G61&lt;Hta_2,$G61&gt;=Hba_2,Input!V$22&lt;&gt;""),Input!$B$22&amp;";",""),IF(AND($G61&lt;Hta_3,$G61&gt;=Hba_3,Input!V$23&lt;&gt;""),Input!$B$23&amp;";",""),IF(AND($G61&lt;Hta_4,$G61&gt;=Hba_4,Input!V$24&lt;&gt;""),Input!$B$24&amp;";",""),IF(AND($G61&lt;Hta_5,$G61&gt;=Hba_5,Input!V$25&lt;&gt;""),Input!$B$25&amp;";",""),IF(AND($G61&lt;Hta_6,$G61&gt;=Hba_6,Input!V$26&lt;&gt;""),Input!$B$26&amp;";",""),IF(AND($G61&lt;Hta_7,$G61&gt;=Hba_7,Input!V$27&lt;&gt;""),Input!$B$27&amp;";",""),IF(AND($G61&lt;Hta_8,$G61&gt;=Hba_8,Input!V$28&lt;&gt;""),Input!$B$28&amp;";",""),IF(AND($G61&lt;Hta_9,$G61&gt;=Hba_9,Input!V$29&lt;&gt;""),Input!$B$29&amp;";",""),IF(AND($G61&lt;Hta_10,$G61&gt;=Hba_10,Input!V$30&lt;&gt;""),Input!$B$30&amp;";",""),IF(AND($G61&lt;Hta_11,$G61&gt;=Hba_11,Input!V$31&lt;&gt;""),Input!$B$31&amp;";",""),IF(AND($G61&lt;Hta_12,$G61&gt;=Hba_12,Input!V$32&lt;&gt;""),Input!$B$32&amp;";",""),IF(AND($G61&lt;Hta_13,$G61&gt;=Hba_13,Input!V$33&lt;&gt;""),Input!$B$33&amp;";",""),IF(AND($G61&lt;Hta_14,$G61&gt;=Hba_14,Input!V$34&lt;&gt;""),Input!$B$34&amp;";",""),IF(AND($G61&lt;Hta_15,$G61&gt;=Hba_15,Input!V$35&lt;&gt;""),Input!$B$35&amp;";",""),IF(AND($G61&lt;Hta_16,$G61&gt;=Hba_16,Input!V$36&lt;&gt;""),Input!$B$36&amp;";",""),IF(AND($G61&lt;Hta_17,$G61&gt;=Hba_17,Input!V$37&lt;&gt;""),Input!$B$37&amp;";",""),IF(AND($G61&lt;Hta_18,$G61&gt;=Hba_18,Input!V$38&lt;&gt;""),Input!$B$38&amp;";",""),IF(AND($G61&lt;Hta_19,$G61&gt;=Hba_19,Input!V$39&lt;&gt;""),Input!$B$39&amp;";",""),IF(AND($G61&lt;Hta_20,$G61&gt;=Hba_20,Input!V$40&lt;&gt;""),Input!$B$40&amp;";",""),IF(AND($G61&lt;Hta_21,$G61&gt;=Hba_21,Input!V$41&lt;&gt;""),Input!$B$41&amp;";",""),IF(AND($G61&lt;Hta_22,$G61&gt;=Hba_22,Input!V$42&lt;&gt;""),Input!$B$42&amp;";",""),IF(AND($G61&lt;Hta_23,$G61&gt;=Hba_23,Input!V$43&lt;&gt;""),Input!$B$43&amp;";",""),IF(AND($G61&lt;Hta_24,$G61&gt;=Hba_24,Input!V$44&lt;&gt;""),Input!$B$44&amp;";",""),IF(AND($G61&lt;Hta_25,$G61&gt;=Hba_25,Input!V$45&lt;&gt;""),Input!$B$45&amp;";",""),IF(AND($G61&lt;Hta_26,$G61&gt;=Hba_26,Input!V$46&lt;&gt;""),Input!$B$46&amp;";",""),IF(AND($G61&lt;Hta_27,$G61&gt;=Hba_27,Input!V$47&lt;&gt;""),Input!$B$47&amp;";",""),IF(AND($G61&lt;Hta_28,$G61&gt;=Hba_28,Input!V$48&lt;&gt;""),Input!$B$48&amp;";",""),IF(AND($G61&lt;Hta_29,$G61&gt;=Hba_29,Input!V$49&lt;&gt;""),Input!$B$49&amp;";",""),IF(AND($G61&lt;Hta_30,$G61&gt;=Hba_30,Input!V$50&lt;&gt;""),Input!$B$50&amp;";","")),"")</f>
        <v/>
      </c>
      <c r="BX61" s="25" t="str">
        <f>IFERROR(CONCATENATE(IF(AND($G61&lt;Hta_1,$G61&gt;=Hba_1,Input!W$21&lt;&gt;""),Input!$B$21&amp;";",""),IF(AND($G61&lt;Hta_2,$G61&gt;=Hba_2,Input!W$22&lt;&gt;""),Input!$B$22&amp;";",""),IF(AND($G61&lt;Hta_3,$G61&gt;=Hba_3,Input!W$23&lt;&gt;""),Input!$B$23&amp;";",""),IF(AND($G61&lt;Hta_4,$G61&gt;=Hba_4,Input!W$24&lt;&gt;""),Input!$B$24&amp;";",""),IF(AND($G61&lt;Hta_5,$G61&gt;=Hba_5,Input!W$25&lt;&gt;""),Input!$B$25&amp;";",""),IF(AND($G61&lt;Hta_6,$G61&gt;=Hba_6,Input!W$26&lt;&gt;""),Input!$B$26&amp;";",""),IF(AND($G61&lt;Hta_7,$G61&gt;=Hba_7,Input!W$27&lt;&gt;""),Input!$B$27&amp;";",""),IF(AND($G61&lt;Hta_8,$G61&gt;=Hba_8,Input!W$28&lt;&gt;""),Input!$B$28&amp;";",""),IF(AND($G61&lt;Hta_9,$G61&gt;=Hba_9,Input!W$29&lt;&gt;""),Input!$B$29&amp;";",""),IF(AND($G61&lt;Hta_10,$G61&gt;=Hba_10,Input!W$30&lt;&gt;""),Input!$B$30&amp;";",""),IF(AND($G61&lt;Hta_11,$G61&gt;=Hba_11,Input!W$31&lt;&gt;""),Input!$B$31&amp;";",""),IF(AND($G61&lt;Hta_12,$G61&gt;=Hba_12,Input!W$32&lt;&gt;""),Input!$B$32&amp;";",""),IF(AND($G61&lt;Hta_13,$G61&gt;=Hba_13,Input!W$33&lt;&gt;""),Input!$B$33&amp;";",""),IF(AND($G61&lt;Hta_14,$G61&gt;=Hba_14,Input!W$34&lt;&gt;""),Input!$B$34&amp;";",""),IF(AND($G61&lt;Hta_15,$G61&gt;=Hba_15,Input!W$35&lt;&gt;""),Input!$B$35&amp;";",""),IF(AND($G61&lt;Hta_16,$G61&gt;=Hba_16,Input!W$36&lt;&gt;""),Input!$B$36&amp;";",""),IF(AND($G61&lt;Hta_17,$G61&gt;=Hba_17,Input!W$37&lt;&gt;""),Input!$B$37&amp;";",""),IF(AND($G61&lt;Hta_18,$G61&gt;=Hba_18,Input!W$38&lt;&gt;""),Input!$B$38&amp;";",""),IF(AND($G61&lt;Hta_19,$G61&gt;=Hba_19,Input!W$39&lt;&gt;""),Input!$B$39&amp;";",""),IF(AND($G61&lt;Hta_20,$G61&gt;=Hba_20,Input!W$40&lt;&gt;""),Input!$B$40&amp;";",""),IF(AND($G61&lt;Hta_21,$G61&gt;=Hba_21,Input!W$41&lt;&gt;""),Input!$B$41&amp;";",""),IF(AND($G61&lt;Hta_22,$G61&gt;=Hba_22,Input!W$42&lt;&gt;""),Input!$B$42&amp;";",""),IF(AND($G61&lt;Hta_23,$G61&gt;=Hba_23,Input!W$43&lt;&gt;""),Input!$B$43&amp;";",""),IF(AND($G61&lt;Hta_24,$G61&gt;=Hba_24,Input!W$44&lt;&gt;""),Input!$B$44&amp;";",""),IF(AND($G61&lt;Hta_25,$G61&gt;=Hba_25,Input!W$45&lt;&gt;""),Input!$B$45&amp;";",""),IF(AND($G61&lt;Hta_26,$G61&gt;=Hba_26,Input!W$46&lt;&gt;""),Input!$B$46&amp;";",""),IF(AND($G61&lt;Hta_27,$G61&gt;=Hba_27,Input!W$47&lt;&gt;""),Input!$B$47&amp;";",""),IF(AND($G61&lt;Hta_28,$G61&gt;=Hba_28,Input!W$48&lt;&gt;""),Input!$B$48&amp;";",""),IF(AND($G61&lt;Hta_29,$G61&gt;=Hba_29,Input!W$49&lt;&gt;""),Input!$B$49&amp;";",""),IF(AND($G61&lt;Hta_30,$G61&gt;=Hba_30,Input!W$50&lt;&gt;""),Input!$B$50&amp;";","")),"")</f>
        <v/>
      </c>
      <c r="BY61" s="25" t="str">
        <f>IFERROR(CONCATENATE(IF(AND($G61&lt;Hta_1,$G61&gt;=Hba_1,Input!X$21&lt;&gt;""),Input!$B$21&amp;";",""),IF(AND($G61&lt;Hta_2,$G61&gt;=Hba_2,Input!X$22&lt;&gt;""),Input!$B$22&amp;";",""),IF(AND($G61&lt;Hta_3,$G61&gt;=Hba_3,Input!X$23&lt;&gt;""),Input!$B$23&amp;";",""),IF(AND($G61&lt;Hta_4,$G61&gt;=Hba_4,Input!X$24&lt;&gt;""),Input!$B$24&amp;";",""),IF(AND($G61&lt;Hta_5,$G61&gt;=Hba_5,Input!X$25&lt;&gt;""),Input!$B$25&amp;";",""),IF(AND($G61&lt;Hta_6,$G61&gt;=Hba_6,Input!X$26&lt;&gt;""),Input!$B$26&amp;";",""),IF(AND($G61&lt;Hta_7,$G61&gt;=Hba_7,Input!X$27&lt;&gt;""),Input!$B$27&amp;";",""),IF(AND($G61&lt;Hta_8,$G61&gt;=Hba_8,Input!X$28&lt;&gt;""),Input!$B$28&amp;";",""),IF(AND($G61&lt;Hta_9,$G61&gt;=Hba_9,Input!X$29&lt;&gt;""),Input!$B$29&amp;";",""),IF(AND($G61&lt;Hta_10,$G61&gt;=Hba_10,Input!X$30&lt;&gt;""),Input!$B$30&amp;";",""),IF(AND($G61&lt;Hta_11,$G61&gt;=Hba_11,Input!X$31&lt;&gt;""),Input!$B$31&amp;";",""),IF(AND($G61&lt;Hta_12,$G61&gt;=Hba_12,Input!X$32&lt;&gt;""),Input!$B$32&amp;";",""),IF(AND($G61&lt;Hta_13,$G61&gt;=Hba_13,Input!X$33&lt;&gt;""),Input!$B$33&amp;";",""),IF(AND($G61&lt;Hta_14,$G61&gt;=Hba_14,Input!X$34&lt;&gt;""),Input!$B$34&amp;";",""),IF(AND($G61&lt;Hta_15,$G61&gt;=Hba_15,Input!X$35&lt;&gt;""),Input!$B$35&amp;";",""),IF(AND($G61&lt;Hta_16,$G61&gt;=Hba_16,Input!X$36&lt;&gt;""),Input!$B$36&amp;";",""),IF(AND($G61&lt;Hta_17,$G61&gt;=Hba_17,Input!X$37&lt;&gt;""),Input!$B$37&amp;";",""),IF(AND($G61&lt;Hta_18,$G61&gt;=Hba_18,Input!X$38&lt;&gt;""),Input!$B$38&amp;";",""),IF(AND($G61&lt;Hta_19,$G61&gt;=Hba_19,Input!X$39&lt;&gt;""),Input!$B$39&amp;";",""),IF(AND($G61&lt;Hta_20,$G61&gt;=Hba_20,Input!X$40&lt;&gt;""),Input!$B$40&amp;";",""),IF(AND($G61&lt;Hta_21,$G61&gt;=Hba_21,Input!X$41&lt;&gt;""),Input!$B$41&amp;";",""),IF(AND($G61&lt;Hta_22,$G61&gt;=Hba_22,Input!X$42&lt;&gt;""),Input!$B$42&amp;";",""),IF(AND($G61&lt;Hta_23,$G61&gt;=Hba_23,Input!X$43&lt;&gt;""),Input!$B$43&amp;";",""),IF(AND($G61&lt;Hta_24,$G61&gt;=Hba_24,Input!X$44&lt;&gt;""),Input!$B$44&amp;";",""),IF(AND($G61&lt;Hta_25,$G61&gt;=Hba_25,Input!X$45&lt;&gt;""),Input!$B$45&amp;";",""),IF(AND($G61&lt;Hta_26,$G61&gt;=Hba_26,Input!X$46&lt;&gt;""),Input!$B$46&amp;";",""),IF(AND($G61&lt;Hta_27,$G61&gt;=Hba_27,Input!X$47&lt;&gt;""),Input!$B$47&amp;";",""),IF(AND($G61&lt;Hta_28,$G61&gt;=Hba_28,Input!X$48&lt;&gt;""),Input!$B$48&amp;";",""),IF(AND($G61&lt;Hta_29,$G61&gt;=Hba_29,Input!X$49&lt;&gt;""),Input!$B$49&amp;";",""),IF(AND($G61&lt;Hta_30,$G61&gt;=Hba_30,Input!X$50&lt;&gt;""),Input!$B$50&amp;";","")),"")</f>
        <v/>
      </c>
      <c r="BZ61" s="25" t="str">
        <f>IFERROR(CONCATENATE(IF(AND($G61&lt;Hta_1,$G61&gt;=Hba_1,Input!Y$21&lt;&gt;""),Input!$B$21&amp;";",""),IF(AND($G61&lt;Hta_2,$G61&gt;=Hba_2,Input!Y$22&lt;&gt;""),Input!$B$22&amp;";",""),IF(AND($G61&lt;Hta_3,$G61&gt;=Hba_3,Input!Y$23&lt;&gt;""),Input!$B$23&amp;";",""),IF(AND($G61&lt;Hta_4,$G61&gt;=Hba_4,Input!Y$24&lt;&gt;""),Input!$B$24&amp;";",""),IF(AND($G61&lt;Hta_5,$G61&gt;=Hba_5,Input!Y$25&lt;&gt;""),Input!$B$25&amp;";",""),IF(AND($G61&lt;Hta_6,$G61&gt;=Hba_6,Input!Y$26&lt;&gt;""),Input!$B$26&amp;";",""),IF(AND($G61&lt;Hta_7,$G61&gt;=Hba_7,Input!Y$27&lt;&gt;""),Input!$B$27&amp;";",""),IF(AND($G61&lt;Hta_8,$G61&gt;=Hba_8,Input!Y$28&lt;&gt;""),Input!$B$28&amp;";",""),IF(AND($G61&lt;Hta_9,$G61&gt;=Hba_9,Input!Y$29&lt;&gt;""),Input!$B$29&amp;";",""),IF(AND($G61&lt;Hta_10,$G61&gt;=Hba_10,Input!Y$30&lt;&gt;""),Input!$B$30&amp;";",""),IF(AND($G61&lt;Hta_11,$G61&gt;=Hba_11,Input!Y$31&lt;&gt;""),Input!$B$31&amp;";",""),IF(AND($G61&lt;Hta_12,$G61&gt;=Hba_12,Input!Y$32&lt;&gt;""),Input!$B$32&amp;";",""),IF(AND($G61&lt;Hta_13,$G61&gt;=Hba_13,Input!Y$33&lt;&gt;""),Input!$B$33&amp;";",""),IF(AND($G61&lt;Hta_14,$G61&gt;=Hba_14,Input!Y$34&lt;&gt;""),Input!$B$34&amp;";",""),IF(AND($G61&lt;Hta_15,$G61&gt;=Hba_15,Input!Y$35&lt;&gt;""),Input!$B$35&amp;";",""),IF(AND($G61&lt;Hta_16,$G61&gt;=Hba_16,Input!Y$36&lt;&gt;""),Input!$B$36&amp;";",""),IF(AND($G61&lt;Hta_17,$G61&gt;=Hba_17,Input!Y$37&lt;&gt;""),Input!$B$37&amp;";",""),IF(AND($G61&lt;Hta_18,$G61&gt;=Hba_18,Input!Y$38&lt;&gt;""),Input!$B$38&amp;";",""),IF(AND($G61&lt;Hta_19,$G61&gt;=Hba_19,Input!Y$39&lt;&gt;""),Input!$B$39&amp;";",""),IF(AND($G61&lt;Hta_20,$G61&gt;=Hba_20,Input!Y$40&lt;&gt;""),Input!$B$40&amp;";",""),IF(AND($G61&lt;Hta_21,$G61&gt;=Hba_21,Input!Y$41&lt;&gt;""),Input!$B$41&amp;";",""),IF(AND($G61&lt;Hta_22,$G61&gt;=Hba_22,Input!Y$42&lt;&gt;""),Input!$B$42&amp;";",""),IF(AND($G61&lt;Hta_23,$G61&gt;=Hba_23,Input!Y$43&lt;&gt;""),Input!$B$43&amp;";",""),IF(AND($G61&lt;Hta_24,$G61&gt;=Hba_24,Input!Y$44&lt;&gt;""),Input!$B$44&amp;";",""),IF(AND($G61&lt;Hta_25,$G61&gt;=Hba_25,Input!Y$45&lt;&gt;""),Input!$B$45&amp;";",""),IF(AND($G61&lt;Hta_26,$G61&gt;=Hba_26,Input!Y$46&lt;&gt;""),Input!$B$46&amp;";",""),IF(AND($G61&lt;Hta_27,$G61&gt;=Hba_27,Input!Y$47&lt;&gt;""),Input!$B$47&amp;";",""),IF(AND($G61&lt;Hta_28,$G61&gt;=Hba_28,Input!Y$48&lt;&gt;""),Input!$B$48&amp;";",""),IF(AND($G61&lt;Hta_29,$G61&gt;=Hba_29,Input!Y$49&lt;&gt;""),Input!$B$49&amp;";",""),IF(AND($G61&lt;Hta_30,$G61&gt;=Hba_30,Input!Y$50&lt;&gt;""),Input!$B$50&amp;";","")),"")</f>
        <v/>
      </c>
      <c r="CA61" s="25" t="str">
        <f>IFERROR(CONCATENATE(IF(AND($G61&lt;Hta_1,$G61&gt;=Hba_1,Input!Z$21&lt;&gt;""),Input!$B$21&amp;";",""),IF(AND($G61&lt;Hta_2,$G61&gt;=Hba_2,Input!Z$22&lt;&gt;""),Input!$B$22&amp;";",""),IF(AND($G61&lt;Hta_3,$G61&gt;=Hba_3,Input!Z$23&lt;&gt;""),Input!$B$23&amp;";",""),IF(AND($G61&lt;Hta_4,$G61&gt;=Hba_4,Input!Z$24&lt;&gt;""),Input!$B$24&amp;";",""),IF(AND($G61&lt;Hta_5,$G61&gt;=Hba_5,Input!Z$25&lt;&gt;""),Input!$B$25&amp;";",""),IF(AND($G61&lt;Hta_6,$G61&gt;=Hba_6,Input!Z$26&lt;&gt;""),Input!$B$26&amp;";",""),IF(AND($G61&lt;Hta_7,$G61&gt;=Hba_7,Input!Z$27&lt;&gt;""),Input!$B$27&amp;";",""),IF(AND($G61&lt;Hta_8,$G61&gt;=Hba_8,Input!Z$28&lt;&gt;""),Input!$B$28&amp;";",""),IF(AND($G61&lt;Hta_9,$G61&gt;=Hba_9,Input!Z$29&lt;&gt;""),Input!$B$29&amp;";",""),IF(AND($G61&lt;Hta_10,$G61&gt;=Hba_10,Input!Z$30&lt;&gt;""),Input!$B$30&amp;";",""),IF(AND($G61&lt;Hta_11,$G61&gt;=Hba_11,Input!Z$31&lt;&gt;""),Input!$B$31&amp;";",""),IF(AND($G61&lt;Hta_12,$G61&gt;=Hba_12,Input!Z$32&lt;&gt;""),Input!$B$32&amp;";",""),IF(AND($G61&lt;Hta_13,$G61&gt;=Hba_13,Input!Z$33&lt;&gt;""),Input!$B$33&amp;";",""),IF(AND($G61&lt;Hta_14,$G61&gt;=Hba_14,Input!Z$34&lt;&gt;""),Input!$B$34&amp;";",""),IF(AND($G61&lt;Hta_15,$G61&gt;=Hba_15,Input!Z$35&lt;&gt;""),Input!$B$35&amp;";",""),IF(AND($G61&lt;Hta_16,$G61&gt;=Hba_16,Input!Z$36&lt;&gt;""),Input!$B$36&amp;";",""),IF(AND($G61&lt;Hta_17,$G61&gt;=Hba_17,Input!Z$37&lt;&gt;""),Input!$B$37&amp;";",""),IF(AND($G61&lt;Hta_18,$G61&gt;=Hba_18,Input!Z$38&lt;&gt;""),Input!$B$38&amp;";",""),IF(AND($G61&lt;Hta_19,$G61&gt;=Hba_19,Input!Z$39&lt;&gt;""),Input!$B$39&amp;";",""),IF(AND($G61&lt;Hta_20,$G61&gt;=Hba_20,Input!Z$40&lt;&gt;""),Input!$B$40&amp;";",""),IF(AND($G61&lt;Hta_21,$G61&gt;=Hba_21,Input!Z$41&lt;&gt;""),Input!$B$41&amp;";",""),IF(AND($G61&lt;Hta_22,$G61&gt;=Hba_22,Input!Z$42&lt;&gt;""),Input!$B$42&amp;";",""),IF(AND($G61&lt;Hta_23,$G61&gt;=Hba_23,Input!Z$43&lt;&gt;""),Input!$B$43&amp;";",""),IF(AND($G61&lt;Hta_24,$G61&gt;=Hba_24,Input!Z$44&lt;&gt;""),Input!$B$44&amp;";",""),IF(AND($G61&lt;Hta_25,$G61&gt;=Hba_25,Input!Z$45&lt;&gt;""),Input!$B$45&amp;";",""),IF(AND($G61&lt;Hta_26,$G61&gt;=Hba_26,Input!Z$46&lt;&gt;""),Input!$B$46&amp;";",""),IF(AND($G61&lt;Hta_27,$G61&gt;=Hba_27,Input!Z$47&lt;&gt;""),Input!$B$47&amp;";",""),IF(AND($G61&lt;Hta_28,$G61&gt;=Hba_28,Input!Z$48&lt;&gt;""),Input!$B$48&amp;";",""),IF(AND($G61&lt;Hta_29,$G61&gt;=Hba_29,Input!Z$49&lt;&gt;""),Input!$B$49&amp;";",""),IF(AND($G61&lt;Hta_30,$G61&gt;=Hba_30,Input!Z$50&lt;&gt;""),Input!$B$50&amp;";","")),"")</f>
        <v/>
      </c>
      <c r="CB61" s="25" t="str">
        <f>IFERROR(CONCATENATE(IF(AND($G61&lt;Hta_1,$G61&gt;=Hba_1,Input!AA$21&lt;&gt;""),Input!$B$21&amp;";",""),IF(AND($G61&lt;Hta_2,$G61&gt;=Hba_2,Input!AA$22&lt;&gt;""),Input!$B$22&amp;";",""),IF(AND($G61&lt;Hta_3,$G61&gt;=Hba_3,Input!AA$23&lt;&gt;""),Input!$B$23&amp;";",""),IF(AND($G61&lt;Hta_4,$G61&gt;=Hba_4,Input!AA$24&lt;&gt;""),Input!$B$24&amp;";",""),IF(AND($G61&lt;Hta_5,$G61&gt;=Hba_5,Input!AA$25&lt;&gt;""),Input!$B$25&amp;";",""),IF(AND($G61&lt;Hta_6,$G61&gt;=Hba_6,Input!AA$26&lt;&gt;""),Input!$B$26&amp;";",""),IF(AND($G61&lt;Hta_7,$G61&gt;=Hba_7,Input!AA$27&lt;&gt;""),Input!$B$27&amp;";",""),IF(AND($G61&lt;Hta_8,$G61&gt;=Hba_8,Input!AA$28&lt;&gt;""),Input!$B$28&amp;";",""),IF(AND($G61&lt;Hta_9,$G61&gt;=Hba_9,Input!AA$29&lt;&gt;""),Input!$B$29&amp;";",""),IF(AND($G61&lt;Hta_10,$G61&gt;=Hba_10,Input!AA$30&lt;&gt;""),Input!$B$30&amp;";",""),IF(AND($G61&lt;Hta_11,$G61&gt;=Hba_11,Input!AA$31&lt;&gt;""),Input!$B$31&amp;";",""),IF(AND($G61&lt;Hta_12,$G61&gt;=Hba_12,Input!AA$32&lt;&gt;""),Input!$B$32&amp;";",""),IF(AND($G61&lt;Hta_13,$G61&gt;=Hba_13,Input!AA$33&lt;&gt;""),Input!$B$33&amp;";",""),IF(AND($G61&lt;Hta_14,$G61&gt;=Hba_14,Input!AA$34&lt;&gt;""),Input!$B$34&amp;";",""),IF(AND($G61&lt;Hta_15,$G61&gt;=Hba_15,Input!AA$35&lt;&gt;""),Input!$B$35&amp;";",""),IF(AND($G61&lt;Hta_16,$G61&gt;=Hba_16,Input!AA$36&lt;&gt;""),Input!$B$36&amp;";",""),IF(AND($G61&lt;Hta_17,$G61&gt;=Hba_17,Input!AA$37&lt;&gt;""),Input!$B$37&amp;";",""),IF(AND($G61&lt;Hta_18,$G61&gt;=Hba_18,Input!AA$38&lt;&gt;""),Input!$B$38&amp;";",""),IF(AND($G61&lt;Hta_19,$G61&gt;=Hba_19,Input!AA$39&lt;&gt;""),Input!$B$39&amp;";",""),IF(AND($G61&lt;Hta_20,$G61&gt;=Hba_20,Input!AA$40&lt;&gt;""),Input!$B$40&amp;";",""),IF(AND($G61&lt;Hta_21,$G61&gt;=Hba_21,Input!AA$41&lt;&gt;""),Input!$B$41&amp;";",""),IF(AND($G61&lt;Hta_22,$G61&gt;=Hba_22,Input!AA$42&lt;&gt;""),Input!$B$42&amp;";",""),IF(AND($G61&lt;Hta_23,$G61&gt;=Hba_23,Input!AA$43&lt;&gt;""),Input!$B$43&amp;";",""),IF(AND($G61&lt;Hta_24,$G61&gt;=Hba_24,Input!AA$44&lt;&gt;""),Input!$B$44&amp;";",""),IF(AND($G61&lt;Hta_25,$G61&gt;=Hba_25,Input!AA$45&lt;&gt;""),Input!$B$45&amp;";",""),IF(AND($G61&lt;Hta_26,$G61&gt;=Hba_26,Input!AA$46&lt;&gt;""),Input!$B$46&amp;";",""),IF(AND($G61&lt;Hta_27,$G61&gt;=Hba_27,Input!AA$47&lt;&gt;""),Input!$B$47&amp;";",""),IF(AND($G61&lt;Hta_28,$G61&gt;=Hba_28,Input!AA$48&lt;&gt;""),Input!$B$48&amp;";",""),IF(AND($G61&lt;Hta_29,$G61&gt;=Hba_29,Input!AA$49&lt;&gt;""),Input!$B$49&amp;";",""),IF(AND($G61&lt;Hta_30,$G61&gt;=Hba_30,Input!AA$50&lt;&gt;""),Input!$B$50&amp;";","")),"")</f>
        <v/>
      </c>
      <c r="CC61" s="25" t="str">
        <f>IFERROR(CONCATENATE(IF(AND($G61&lt;Hta_1,$G61&gt;=Hba_1,Input!AB$21&lt;&gt;""),Input!$B$21&amp;";",""),IF(AND($G61&lt;Hta_2,$G61&gt;=Hba_2,Input!AB$22&lt;&gt;""),Input!$B$22&amp;";",""),IF(AND($G61&lt;Hta_3,$G61&gt;=Hba_3,Input!AB$23&lt;&gt;""),Input!$B$23&amp;";",""),IF(AND($G61&lt;Hta_4,$G61&gt;=Hba_4,Input!AB$24&lt;&gt;""),Input!$B$24&amp;";",""),IF(AND($G61&lt;Hta_5,$G61&gt;=Hba_5,Input!AB$25&lt;&gt;""),Input!$B$25&amp;";",""),IF(AND($G61&lt;Hta_6,$G61&gt;=Hba_6,Input!AB$26&lt;&gt;""),Input!$B$26&amp;";",""),IF(AND($G61&lt;Hta_7,$G61&gt;=Hba_7,Input!AB$27&lt;&gt;""),Input!$B$27&amp;";",""),IF(AND($G61&lt;Hta_8,$G61&gt;=Hba_8,Input!AB$28&lt;&gt;""),Input!$B$28&amp;";",""),IF(AND($G61&lt;Hta_9,$G61&gt;=Hba_9,Input!AB$29&lt;&gt;""),Input!$B$29&amp;";",""),IF(AND($G61&lt;Hta_10,$G61&gt;=Hba_10,Input!AB$30&lt;&gt;""),Input!$B$30&amp;";",""),IF(AND($G61&lt;Hta_11,$G61&gt;=Hba_11,Input!AB$31&lt;&gt;""),Input!$B$31&amp;";",""),IF(AND($G61&lt;Hta_12,$G61&gt;=Hba_12,Input!AB$32&lt;&gt;""),Input!$B$32&amp;";",""),IF(AND($G61&lt;Hta_13,$G61&gt;=Hba_13,Input!AB$33&lt;&gt;""),Input!$B$33&amp;";",""),IF(AND($G61&lt;Hta_14,$G61&gt;=Hba_14,Input!AB$34&lt;&gt;""),Input!$B$34&amp;";",""),IF(AND($G61&lt;Hta_15,$G61&gt;=Hba_15,Input!AB$35&lt;&gt;""),Input!$B$35&amp;";",""),IF(AND($G61&lt;Hta_16,$G61&gt;=Hba_16,Input!AB$36&lt;&gt;""),Input!$B$36&amp;";",""),IF(AND($G61&lt;Hta_17,$G61&gt;=Hba_17,Input!AB$37&lt;&gt;""),Input!$B$37&amp;";",""),IF(AND($G61&lt;Hta_18,$G61&gt;=Hba_18,Input!AB$38&lt;&gt;""),Input!$B$38&amp;";",""),IF(AND($G61&lt;Hta_19,$G61&gt;=Hba_19,Input!AB$39&lt;&gt;""),Input!$B$39&amp;";",""),IF(AND($G61&lt;Hta_20,$G61&gt;=Hba_20,Input!AB$40&lt;&gt;""),Input!$B$40&amp;";",""),IF(AND($G61&lt;Hta_21,$G61&gt;=Hba_21,Input!AB$41&lt;&gt;""),Input!$B$41&amp;";",""),IF(AND($G61&lt;Hta_22,$G61&gt;=Hba_22,Input!AB$42&lt;&gt;""),Input!$B$42&amp;";",""),IF(AND($G61&lt;Hta_23,$G61&gt;=Hba_23,Input!AB$43&lt;&gt;""),Input!$B$43&amp;";",""),IF(AND($G61&lt;Hta_24,$G61&gt;=Hba_24,Input!AB$44&lt;&gt;""),Input!$B$44&amp;";",""),IF(AND($G61&lt;Hta_25,$G61&gt;=Hba_25,Input!AB$45&lt;&gt;""),Input!$B$45&amp;";",""),IF(AND($G61&lt;Hta_26,$G61&gt;=Hba_26,Input!AB$46&lt;&gt;""),Input!$B$46&amp;";",""),IF(AND($G61&lt;Hta_27,$G61&gt;=Hba_27,Input!AB$47&lt;&gt;""),Input!$B$47&amp;";",""),IF(AND($G61&lt;Hta_28,$G61&gt;=Hba_28,Input!AB$48&lt;&gt;""),Input!$B$48&amp;";",""),IF(AND($G61&lt;Hta_29,$G61&gt;=Hba_29,Input!AB$49&lt;&gt;""),Input!$B$49&amp;";",""),IF(AND($G61&lt;Hta_30,$G61&gt;=Hba_30,Input!AB$50&lt;&gt;""),Input!$B$50&amp;";","")),"")</f>
        <v/>
      </c>
      <c r="CD61" s="25" t="str">
        <f>IFERROR(CONCATENATE(IF(AND($G61&lt;Hta_1,$G61&gt;=Hba_1,Input!AC$21&lt;&gt;""),Input!$B$21&amp;";",""),IF(AND($G61&lt;Hta_2,$G61&gt;=Hba_2,Input!AC$22&lt;&gt;""),Input!$B$22&amp;";",""),IF(AND($G61&lt;Hta_3,$G61&gt;=Hba_3,Input!AC$23&lt;&gt;""),Input!$B$23&amp;";",""),IF(AND($G61&lt;Hta_4,$G61&gt;=Hba_4,Input!AC$24&lt;&gt;""),Input!$B$24&amp;";",""),IF(AND($G61&lt;Hta_5,$G61&gt;=Hba_5,Input!AC$25&lt;&gt;""),Input!$B$25&amp;";",""),IF(AND($G61&lt;Hta_6,$G61&gt;=Hba_6,Input!AC$26&lt;&gt;""),Input!$B$26&amp;";",""),IF(AND($G61&lt;Hta_7,$G61&gt;=Hba_7,Input!AC$27&lt;&gt;""),Input!$B$27&amp;";",""),IF(AND($G61&lt;Hta_8,$G61&gt;=Hba_8,Input!AC$28&lt;&gt;""),Input!$B$28&amp;";",""),IF(AND($G61&lt;Hta_9,$G61&gt;=Hba_9,Input!AC$29&lt;&gt;""),Input!$B$29&amp;";",""),IF(AND($G61&lt;Hta_10,$G61&gt;=Hba_10,Input!AC$30&lt;&gt;""),Input!$B$30&amp;";",""),IF(AND($G61&lt;Hta_11,$G61&gt;=Hba_11,Input!AC$31&lt;&gt;""),Input!$B$31&amp;";",""),IF(AND($G61&lt;Hta_12,$G61&gt;=Hba_12,Input!AC$32&lt;&gt;""),Input!$B$32&amp;";",""),IF(AND($G61&lt;Hta_13,$G61&gt;=Hba_13,Input!AC$33&lt;&gt;""),Input!$B$33&amp;";",""),IF(AND($G61&lt;Hta_14,$G61&gt;=Hba_14,Input!AC$34&lt;&gt;""),Input!$B$34&amp;";",""),IF(AND($G61&lt;Hta_15,$G61&gt;=Hba_15,Input!AC$35&lt;&gt;""),Input!$B$35&amp;";",""),IF(AND($G61&lt;Hta_16,$G61&gt;=Hba_16,Input!AC$36&lt;&gt;""),Input!$B$36&amp;";",""),IF(AND($G61&lt;Hta_17,$G61&gt;=Hba_17,Input!AC$37&lt;&gt;""),Input!$B$37&amp;";",""),IF(AND($G61&lt;Hta_18,$G61&gt;=Hba_18,Input!AC$38&lt;&gt;""),Input!$B$38&amp;";",""),IF(AND($G61&lt;Hta_19,$G61&gt;=Hba_19,Input!AC$39&lt;&gt;""),Input!$B$39&amp;";",""),IF(AND($G61&lt;Hta_20,$G61&gt;=Hba_20,Input!AC$40&lt;&gt;""),Input!$B$40&amp;";",""),IF(AND($G61&lt;Hta_21,$G61&gt;=Hba_21,Input!AC$41&lt;&gt;""),Input!$B$41&amp;";",""),IF(AND($G61&lt;Hta_22,$G61&gt;=Hba_22,Input!AC$42&lt;&gt;""),Input!$B$42&amp;";",""),IF(AND($G61&lt;Hta_23,$G61&gt;=Hba_23,Input!AC$43&lt;&gt;""),Input!$B$43&amp;";",""),IF(AND($G61&lt;Hta_24,$G61&gt;=Hba_24,Input!AC$44&lt;&gt;""),Input!$B$44&amp;";",""),IF(AND($G61&lt;Hta_25,$G61&gt;=Hba_25,Input!AC$45&lt;&gt;""),Input!$B$45&amp;";",""),IF(AND($G61&lt;Hta_26,$G61&gt;=Hba_26,Input!AC$46&lt;&gt;""),Input!$B$46&amp;";",""),IF(AND($G61&lt;Hta_27,$G61&gt;=Hba_27,Input!AC$47&lt;&gt;""),Input!$B$47&amp;";",""),IF(AND($G61&lt;Hta_28,$G61&gt;=Hba_28,Input!AC$48&lt;&gt;""),Input!$B$48&amp;";",""),IF(AND($G61&lt;Hta_29,$G61&gt;=Hba_29,Input!AC$49&lt;&gt;""),Input!$B$49&amp;";",""),IF(AND($G61&lt;Hta_30,$G61&gt;=Hba_30,Input!AC$50&lt;&gt;""),Input!$B$50&amp;";","")),"")</f>
        <v/>
      </c>
      <c r="CE61" s="25" t="str">
        <f>IFERROR(CONCATENATE(IF(AND($G61&lt;Hta_1,$G61&gt;=Hba_1,Input!AD$21&lt;&gt;""),Input!$B$21&amp;";",""),IF(AND($G61&lt;Hta_2,$G61&gt;=Hba_2,Input!AD$22&lt;&gt;""),Input!$B$22&amp;";",""),IF(AND($G61&lt;Hta_3,$G61&gt;=Hba_3,Input!AD$23&lt;&gt;""),Input!$B$23&amp;";",""),IF(AND($G61&lt;Hta_4,$G61&gt;=Hba_4,Input!AD$24&lt;&gt;""),Input!$B$24&amp;";",""),IF(AND($G61&lt;Hta_5,$G61&gt;=Hba_5,Input!AD$25&lt;&gt;""),Input!$B$25&amp;";",""),IF(AND($G61&lt;Hta_6,$G61&gt;=Hba_6,Input!AD$26&lt;&gt;""),Input!$B$26&amp;";",""),IF(AND($G61&lt;Hta_7,$G61&gt;=Hba_7,Input!AD$27&lt;&gt;""),Input!$B$27&amp;";",""),IF(AND($G61&lt;Hta_8,$G61&gt;=Hba_8,Input!AD$28&lt;&gt;""),Input!$B$28&amp;";",""),IF(AND($G61&lt;Hta_9,$G61&gt;=Hba_9,Input!AD$29&lt;&gt;""),Input!$B$29&amp;";",""),IF(AND($G61&lt;Hta_10,$G61&gt;=Hba_10,Input!AD$30&lt;&gt;""),Input!$B$30&amp;";",""),IF(AND($G61&lt;Hta_11,$G61&gt;=Hba_11,Input!AD$31&lt;&gt;""),Input!$B$31&amp;";",""),IF(AND($G61&lt;Hta_12,$G61&gt;=Hba_12,Input!AD$32&lt;&gt;""),Input!$B$32&amp;";",""),IF(AND($G61&lt;Hta_13,$G61&gt;=Hba_13,Input!AD$33&lt;&gt;""),Input!$B$33&amp;";",""),IF(AND($G61&lt;Hta_14,$G61&gt;=Hba_14,Input!AD$34&lt;&gt;""),Input!$B$34&amp;";",""),IF(AND($G61&lt;Hta_15,$G61&gt;=Hba_15,Input!AD$35&lt;&gt;""),Input!$B$35&amp;";",""),IF(AND($G61&lt;Hta_16,$G61&gt;=Hba_16,Input!AD$36&lt;&gt;""),Input!$B$36&amp;";",""),IF(AND($G61&lt;Hta_17,$G61&gt;=Hba_17,Input!AD$37&lt;&gt;""),Input!$B$37&amp;";",""),IF(AND($G61&lt;Hta_18,$G61&gt;=Hba_18,Input!AD$38&lt;&gt;""),Input!$B$38&amp;";",""),IF(AND($G61&lt;Hta_19,$G61&gt;=Hba_19,Input!AD$39&lt;&gt;""),Input!$B$39&amp;";",""),IF(AND($G61&lt;Hta_20,$G61&gt;=Hba_20,Input!AD$40&lt;&gt;""),Input!$B$40&amp;";",""),IF(AND($G61&lt;Hta_21,$G61&gt;=Hba_21,Input!AD$41&lt;&gt;""),Input!$B$41&amp;";",""),IF(AND($G61&lt;Hta_22,$G61&gt;=Hba_22,Input!AD$42&lt;&gt;""),Input!$B$42&amp;";",""),IF(AND($G61&lt;Hta_23,$G61&gt;=Hba_23,Input!AD$43&lt;&gt;""),Input!$B$43&amp;";",""),IF(AND($G61&lt;Hta_24,$G61&gt;=Hba_24,Input!AD$44&lt;&gt;""),Input!$B$44&amp;";",""),IF(AND($G61&lt;Hta_25,$G61&gt;=Hba_25,Input!AD$45&lt;&gt;""),Input!$B$45&amp;";",""),IF(AND($G61&lt;Hta_26,$G61&gt;=Hba_26,Input!AD$46&lt;&gt;""),Input!$B$46&amp;";",""),IF(AND($G61&lt;Hta_27,$G61&gt;=Hba_27,Input!AD$47&lt;&gt;""),Input!$B$47&amp;";",""),IF(AND($G61&lt;Hta_28,$G61&gt;=Hba_28,Input!AD$48&lt;&gt;""),Input!$B$48&amp;";",""),IF(AND($G61&lt;Hta_29,$G61&gt;=Hba_29,Input!AD$49&lt;&gt;""),Input!$B$49&amp;";",""),IF(AND($G61&lt;Hta_30,$G61&gt;=Hba_30,Input!AD$50&lt;&gt;""),Input!$B$50&amp;";","")),"")</f>
        <v/>
      </c>
      <c r="CF61" s="25" t="str">
        <f>IFERROR(CONCATENATE(IF(AND($G61&lt;Hta_1,$G61&gt;=Hba_1,Input!AE$21&lt;&gt;""),Input!$B$21&amp;";",""),IF(AND($G61&lt;Hta_2,$G61&gt;=Hba_2,Input!AE$22&lt;&gt;""),Input!$B$22&amp;";",""),IF(AND($G61&lt;Hta_3,$G61&gt;=Hba_3,Input!AE$23&lt;&gt;""),Input!$B$23&amp;";",""),IF(AND($G61&lt;Hta_4,$G61&gt;=Hba_4,Input!AE$24&lt;&gt;""),Input!$B$24&amp;";",""),IF(AND($G61&lt;Hta_5,$G61&gt;=Hba_5,Input!AE$25&lt;&gt;""),Input!$B$25&amp;";",""),IF(AND($G61&lt;Hta_6,$G61&gt;=Hba_6,Input!AE$26&lt;&gt;""),Input!$B$26&amp;";",""),IF(AND($G61&lt;Hta_7,$G61&gt;=Hba_7,Input!AE$27&lt;&gt;""),Input!$B$27&amp;";",""),IF(AND($G61&lt;Hta_8,$G61&gt;=Hba_8,Input!AE$28&lt;&gt;""),Input!$B$28&amp;";",""),IF(AND($G61&lt;Hta_9,$G61&gt;=Hba_9,Input!AE$29&lt;&gt;""),Input!$B$29&amp;";",""),IF(AND($G61&lt;Hta_10,$G61&gt;=Hba_10,Input!AE$30&lt;&gt;""),Input!$B$30&amp;";",""),IF(AND($G61&lt;Hta_11,$G61&gt;=Hba_11,Input!AE$31&lt;&gt;""),Input!$B$31&amp;";",""),IF(AND($G61&lt;Hta_12,$G61&gt;=Hba_12,Input!AE$32&lt;&gt;""),Input!$B$32&amp;";",""),IF(AND($G61&lt;Hta_13,$G61&gt;=Hba_13,Input!AE$33&lt;&gt;""),Input!$B$33&amp;";",""),IF(AND($G61&lt;Hta_14,$G61&gt;=Hba_14,Input!AE$34&lt;&gt;""),Input!$B$34&amp;";",""),IF(AND($G61&lt;Hta_15,$G61&gt;=Hba_15,Input!AE$35&lt;&gt;""),Input!$B$35&amp;";",""),IF(AND($G61&lt;Hta_16,$G61&gt;=Hba_16,Input!AE$36&lt;&gt;""),Input!$B$36&amp;";",""),IF(AND($G61&lt;Hta_17,$G61&gt;=Hba_17,Input!AE$37&lt;&gt;""),Input!$B$37&amp;";",""),IF(AND($G61&lt;Hta_18,$G61&gt;=Hba_18,Input!AE$38&lt;&gt;""),Input!$B$38&amp;";",""),IF(AND($G61&lt;Hta_19,$G61&gt;=Hba_19,Input!AE$39&lt;&gt;""),Input!$B$39&amp;";",""),IF(AND($G61&lt;Hta_20,$G61&gt;=Hba_20,Input!AE$40&lt;&gt;""),Input!$B$40&amp;";",""),IF(AND($G61&lt;Hta_21,$G61&gt;=Hba_21,Input!AE$41&lt;&gt;""),Input!$B$41&amp;";",""),IF(AND($G61&lt;Hta_22,$G61&gt;=Hba_22,Input!AE$42&lt;&gt;""),Input!$B$42&amp;";",""),IF(AND($G61&lt;Hta_23,$G61&gt;=Hba_23,Input!AE$43&lt;&gt;""),Input!$B$43&amp;";",""),IF(AND($G61&lt;Hta_24,$G61&gt;=Hba_24,Input!AE$44&lt;&gt;""),Input!$B$44&amp;";",""),IF(AND($G61&lt;Hta_25,$G61&gt;=Hba_25,Input!AE$45&lt;&gt;""),Input!$B$45&amp;";",""),IF(AND($G61&lt;Hta_26,$G61&gt;=Hba_26,Input!AE$46&lt;&gt;""),Input!$B$46&amp;";",""),IF(AND($G61&lt;Hta_27,$G61&gt;=Hba_27,Input!AE$47&lt;&gt;""),Input!$B$47&amp;";",""),IF(AND($G61&lt;Hta_28,$G61&gt;=Hba_28,Input!AE$48&lt;&gt;""),Input!$B$48&amp;";",""),IF(AND($G61&lt;Hta_29,$G61&gt;=Hba_29,Input!AE$49&lt;&gt;""),Input!$B$49&amp;";",""),IF(AND($G61&lt;Hta_30,$G61&gt;=Hba_30,Input!AE$50&lt;&gt;""),Input!$B$50&amp;";","")),"")</f>
        <v/>
      </c>
      <c r="CG61" s="25" t="str">
        <f>IFERROR(CONCATENATE(IF(AND($G61&lt;Hta_1,$G61&gt;=Hba_1,Input!AF$21&lt;&gt;""),Input!$B$21&amp;";",""),IF(AND($G61&lt;Hta_2,$G61&gt;=Hba_2,Input!AF$22&lt;&gt;""),Input!$B$22&amp;";",""),IF(AND($G61&lt;Hta_3,$G61&gt;=Hba_3,Input!AF$23&lt;&gt;""),Input!$B$23&amp;";",""),IF(AND($G61&lt;Hta_4,$G61&gt;=Hba_4,Input!AF$24&lt;&gt;""),Input!$B$24&amp;";",""),IF(AND($G61&lt;Hta_5,$G61&gt;=Hba_5,Input!AF$25&lt;&gt;""),Input!$B$25&amp;";",""),IF(AND($G61&lt;Hta_6,$G61&gt;=Hba_6,Input!AF$26&lt;&gt;""),Input!$B$26&amp;";",""),IF(AND($G61&lt;Hta_7,$G61&gt;=Hba_7,Input!AF$27&lt;&gt;""),Input!$B$27&amp;";",""),IF(AND($G61&lt;Hta_8,$G61&gt;=Hba_8,Input!AF$28&lt;&gt;""),Input!$B$28&amp;";",""),IF(AND($G61&lt;Hta_9,$G61&gt;=Hba_9,Input!AF$29&lt;&gt;""),Input!$B$29&amp;";",""),IF(AND($G61&lt;Hta_10,$G61&gt;=Hba_10,Input!AF$30&lt;&gt;""),Input!$B$30&amp;";",""),IF(AND($G61&lt;Hta_11,$G61&gt;=Hba_11,Input!AF$31&lt;&gt;""),Input!$B$31&amp;";",""),IF(AND($G61&lt;Hta_12,$G61&gt;=Hba_12,Input!AF$32&lt;&gt;""),Input!$B$32&amp;";",""),IF(AND($G61&lt;Hta_13,$G61&gt;=Hba_13,Input!AF$33&lt;&gt;""),Input!$B$33&amp;";",""),IF(AND($G61&lt;Hta_14,$G61&gt;=Hba_14,Input!AF$34&lt;&gt;""),Input!$B$34&amp;";",""),IF(AND($G61&lt;Hta_15,$G61&gt;=Hba_15,Input!AF$35&lt;&gt;""),Input!$B$35&amp;";",""),IF(AND($G61&lt;Hta_16,$G61&gt;=Hba_16,Input!AF$36&lt;&gt;""),Input!$B$36&amp;";",""),IF(AND($G61&lt;Hta_17,$G61&gt;=Hba_17,Input!AF$37&lt;&gt;""),Input!$B$37&amp;";",""),IF(AND($G61&lt;Hta_18,$G61&gt;=Hba_18,Input!AF$38&lt;&gt;""),Input!$B$38&amp;";",""),IF(AND($G61&lt;Hta_19,$G61&gt;=Hba_19,Input!AF$39&lt;&gt;""),Input!$B$39&amp;";",""),IF(AND($G61&lt;Hta_20,$G61&gt;=Hba_20,Input!AF$40&lt;&gt;""),Input!$B$40&amp;";",""),IF(AND($G61&lt;Hta_21,$G61&gt;=Hba_21,Input!AF$41&lt;&gt;""),Input!$B$41&amp;";",""),IF(AND($G61&lt;Hta_22,$G61&gt;=Hba_22,Input!AF$42&lt;&gt;""),Input!$B$42&amp;";",""),IF(AND($G61&lt;Hta_23,$G61&gt;=Hba_23,Input!AF$43&lt;&gt;""),Input!$B$43&amp;";",""),IF(AND($G61&lt;Hta_24,$G61&gt;=Hba_24,Input!AF$44&lt;&gt;""),Input!$B$44&amp;";",""),IF(AND($G61&lt;Hta_25,$G61&gt;=Hba_25,Input!AF$45&lt;&gt;""),Input!$B$45&amp;";",""),IF(AND($G61&lt;Hta_26,$G61&gt;=Hba_26,Input!AF$46&lt;&gt;""),Input!$B$46&amp;";",""),IF(AND($G61&lt;Hta_27,$G61&gt;=Hba_27,Input!AF$47&lt;&gt;""),Input!$B$47&amp;";",""),IF(AND($G61&lt;Hta_28,$G61&gt;=Hba_28,Input!AF$48&lt;&gt;""),Input!$B$48&amp;";",""),IF(AND($G61&lt;Hta_29,$G61&gt;=Hba_29,Input!AF$49&lt;&gt;""),Input!$B$49&amp;";",""),IF(AND($G61&lt;Hta_30,$G61&gt;=Hba_30,Input!AF$50&lt;&gt;""),Input!$B$50&amp;";","")),"")</f>
        <v/>
      </c>
      <c r="CH61" s="25" t="str">
        <f>IFERROR(CONCATENATE(IF(AND($G61&lt;Hta_1,$G61&gt;=Hba_1,Input!AG$21&lt;&gt;""),Input!$B$21&amp;";",""),IF(AND($G61&lt;Hta_2,$G61&gt;=Hba_2,Input!AG$22&lt;&gt;""),Input!$B$22&amp;";",""),IF(AND($G61&lt;Hta_3,$G61&gt;=Hba_3,Input!AG$23&lt;&gt;""),Input!$B$23&amp;";",""),IF(AND($G61&lt;Hta_4,$G61&gt;=Hba_4,Input!AG$24&lt;&gt;""),Input!$B$24&amp;";",""),IF(AND($G61&lt;Hta_5,$G61&gt;=Hba_5,Input!AG$25&lt;&gt;""),Input!$B$25&amp;";",""),IF(AND($G61&lt;Hta_6,$G61&gt;=Hba_6,Input!AG$26&lt;&gt;""),Input!$B$26&amp;";",""),IF(AND($G61&lt;Hta_7,$G61&gt;=Hba_7,Input!AG$27&lt;&gt;""),Input!$B$27&amp;";",""),IF(AND($G61&lt;Hta_8,$G61&gt;=Hba_8,Input!AG$28&lt;&gt;""),Input!$B$28&amp;";",""),IF(AND($G61&lt;Hta_9,$G61&gt;=Hba_9,Input!AG$29&lt;&gt;""),Input!$B$29&amp;";",""),IF(AND($G61&lt;Hta_10,$G61&gt;=Hba_10,Input!AG$30&lt;&gt;""),Input!$B$30&amp;";",""),IF(AND($G61&lt;Hta_11,$G61&gt;=Hba_11,Input!AG$31&lt;&gt;""),Input!$B$31&amp;";",""),IF(AND($G61&lt;Hta_12,$G61&gt;=Hba_12,Input!AG$32&lt;&gt;""),Input!$B$32&amp;";",""),IF(AND($G61&lt;Hta_13,$G61&gt;=Hba_13,Input!AG$33&lt;&gt;""),Input!$B$33&amp;";",""),IF(AND($G61&lt;Hta_14,$G61&gt;=Hba_14,Input!AG$34&lt;&gt;""),Input!$B$34&amp;";",""),IF(AND($G61&lt;Hta_15,$G61&gt;=Hba_15,Input!AG$35&lt;&gt;""),Input!$B$35&amp;";",""),IF(AND($G61&lt;Hta_16,$G61&gt;=Hba_16,Input!AG$36&lt;&gt;""),Input!$B$36&amp;";",""),IF(AND($G61&lt;Hta_17,$G61&gt;=Hba_17,Input!AG$37&lt;&gt;""),Input!$B$37&amp;";",""),IF(AND($G61&lt;Hta_18,$G61&gt;=Hba_18,Input!AG$38&lt;&gt;""),Input!$B$38&amp;";",""),IF(AND($G61&lt;Hta_19,$G61&gt;=Hba_19,Input!AG$39&lt;&gt;""),Input!$B$39&amp;";",""),IF(AND($G61&lt;Hta_20,$G61&gt;=Hba_20,Input!AG$40&lt;&gt;""),Input!$B$40&amp;";",""),IF(AND($G61&lt;Hta_21,$G61&gt;=Hba_21,Input!AG$41&lt;&gt;""),Input!$B$41&amp;";",""),IF(AND($G61&lt;Hta_22,$G61&gt;=Hba_22,Input!AG$42&lt;&gt;""),Input!$B$42&amp;";",""),IF(AND($G61&lt;Hta_23,$G61&gt;=Hba_23,Input!AG$43&lt;&gt;""),Input!$B$43&amp;";",""),IF(AND($G61&lt;Hta_24,$G61&gt;=Hba_24,Input!AG$44&lt;&gt;""),Input!$B$44&amp;";",""),IF(AND($G61&lt;Hta_25,$G61&gt;=Hba_25,Input!AG$45&lt;&gt;""),Input!$B$45&amp;";",""),IF(AND($G61&lt;Hta_26,$G61&gt;=Hba_26,Input!AG$46&lt;&gt;""),Input!$B$46&amp;";",""),IF(AND($G61&lt;Hta_27,$G61&gt;=Hba_27,Input!AG$47&lt;&gt;""),Input!$B$47&amp;";",""),IF(AND($G61&lt;Hta_28,$G61&gt;=Hba_28,Input!AG$48&lt;&gt;""),Input!$B$48&amp;";",""),IF(AND($G61&lt;Hta_29,$G61&gt;=Hba_29,Input!AG$49&lt;&gt;""),Input!$B$49&amp;";",""),IF(AND($G61&lt;Hta_30,$G61&gt;=Hba_30,Input!AG$50&lt;&gt;""),Input!$B$50&amp;";","")),"")</f>
        <v/>
      </c>
      <c r="CI61" s="25" t="str">
        <f>IFERROR(CONCATENATE(IF(AND($G61&lt;Hta_1,$G61&gt;=Hba_1,Input!AH$21&lt;&gt;""),Input!$B$21&amp;";",""),IF(AND($G61&lt;Hta_2,$G61&gt;=Hba_2,Input!AH$22&lt;&gt;""),Input!$B$22&amp;";",""),IF(AND($G61&lt;Hta_3,$G61&gt;=Hba_3,Input!AH$23&lt;&gt;""),Input!$B$23&amp;";",""),IF(AND($G61&lt;Hta_4,$G61&gt;=Hba_4,Input!AH$24&lt;&gt;""),Input!$B$24&amp;";",""),IF(AND($G61&lt;Hta_5,$G61&gt;=Hba_5,Input!AH$25&lt;&gt;""),Input!$B$25&amp;";",""),IF(AND($G61&lt;Hta_6,$G61&gt;=Hba_6,Input!AH$26&lt;&gt;""),Input!$B$26&amp;";",""),IF(AND($G61&lt;Hta_7,$G61&gt;=Hba_7,Input!AH$27&lt;&gt;""),Input!$B$27&amp;";",""),IF(AND($G61&lt;Hta_8,$G61&gt;=Hba_8,Input!AH$28&lt;&gt;""),Input!$B$28&amp;";",""),IF(AND($G61&lt;Hta_9,$G61&gt;=Hba_9,Input!AH$29&lt;&gt;""),Input!$B$29&amp;";",""),IF(AND($G61&lt;Hta_10,$G61&gt;=Hba_10,Input!AH$30&lt;&gt;""),Input!$B$30&amp;";",""),IF(AND($G61&lt;Hta_11,$G61&gt;=Hba_11,Input!AH$31&lt;&gt;""),Input!$B$31&amp;";",""),IF(AND($G61&lt;Hta_12,$G61&gt;=Hba_12,Input!AH$32&lt;&gt;""),Input!$B$32&amp;";",""),IF(AND($G61&lt;Hta_13,$G61&gt;=Hba_13,Input!AH$33&lt;&gt;""),Input!$B$33&amp;";",""),IF(AND($G61&lt;Hta_14,$G61&gt;=Hba_14,Input!AH$34&lt;&gt;""),Input!$B$34&amp;";",""),IF(AND($G61&lt;Hta_15,$G61&gt;=Hba_15,Input!AH$35&lt;&gt;""),Input!$B$35&amp;";",""),IF(AND($G61&lt;Hta_16,$G61&gt;=Hba_16,Input!AH$36&lt;&gt;""),Input!$B$36&amp;";",""),IF(AND($G61&lt;Hta_17,$G61&gt;=Hba_17,Input!AH$37&lt;&gt;""),Input!$B$37&amp;";",""),IF(AND($G61&lt;Hta_18,$G61&gt;=Hba_18,Input!AH$38&lt;&gt;""),Input!$B$38&amp;";",""),IF(AND($G61&lt;Hta_19,$G61&gt;=Hba_19,Input!AH$39&lt;&gt;""),Input!$B$39&amp;";",""),IF(AND($G61&lt;Hta_20,$G61&gt;=Hba_20,Input!AH$40&lt;&gt;""),Input!$B$40&amp;";",""),IF(AND($G61&lt;Hta_21,$G61&gt;=Hba_21,Input!AH$41&lt;&gt;""),Input!$B$41&amp;";",""),IF(AND($G61&lt;Hta_22,$G61&gt;=Hba_22,Input!AH$42&lt;&gt;""),Input!$B$42&amp;";",""),IF(AND($G61&lt;Hta_23,$G61&gt;=Hba_23,Input!AH$43&lt;&gt;""),Input!$B$43&amp;";",""),IF(AND($G61&lt;Hta_24,$G61&gt;=Hba_24,Input!AH$44&lt;&gt;""),Input!$B$44&amp;";",""),IF(AND($G61&lt;Hta_25,$G61&gt;=Hba_25,Input!AH$45&lt;&gt;""),Input!$B$45&amp;";",""),IF(AND($G61&lt;Hta_26,$G61&gt;=Hba_26,Input!AH$46&lt;&gt;""),Input!$B$46&amp;";",""),IF(AND($G61&lt;Hta_27,$G61&gt;=Hba_27,Input!AH$47&lt;&gt;""),Input!$B$47&amp;";",""),IF(AND($G61&lt;Hta_28,$G61&gt;=Hba_28,Input!AH$48&lt;&gt;""),Input!$B$48&amp;";",""),IF(AND($G61&lt;Hta_29,$G61&gt;=Hba_29,Input!AH$49&lt;&gt;""),Input!$B$49&amp;";",""),IF(AND($G61&lt;Hta_30,$G61&gt;=Hba_30,Input!AH$50&lt;&gt;""),Input!$B$50&amp;";","")),"")</f>
        <v/>
      </c>
      <c r="CJ61" s="25" t="str">
        <f>IFERROR(CONCATENATE(IF(AND($G61&lt;Hta_1,$G61&gt;=Hba_1,Input!AI$21&lt;&gt;""),Input!$B$21&amp;";",""),IF(AND($G61&lt;Hta_2,$G61&gt;=Hba_2,Input!AI$22&lt;&gt;""),Input!$B$22&amp;";",""),IF(AND($G61&lt;Hta_3,$G61&gt;=Hba_3,Input!AI$23&lt;&gt;""),Input!$B$23&amp;";",""),IF(AND($G61&lt;Hta_4,$G61&gt;=Hba_4,Input!AI$24&lt;&gt;""),Input!$B$24&amp;";",""),IF(AND($G61&lt;Hta_5,$G61&gt;=Hba_5,Input!AI$25&lt;&gt;""),Input!$B$25&amp;";",""),IF(AND($G61&lt;Hta_6,$G61&gt;=Hba_6,Input!AI$26&lt;&gt;""),Input!$B$26&amp;";",""),IF(AND($G61&lt;Hta_7,$G61&gt;=Hba_7,Input!AI$27&lt;&gt;""),Input!$B$27&amp;";",""),IF(AND($G61&lt;Hta_8,$G61&gt;=Hba_8,Input!AI$28&lt;&gt;""),Input!$B$28&amp;";",""),IF(AND($G61&lt;Hta_9,$G61&gt;=Hba_9,Input!AI$29&lt;&gt;""),Input!$B$29&amp;";",""),IF(AND($G61&lt;Hta_10,$G61&gt;=Hba_10,Input!AI$30&lt;&gt;""),Input!$B$30&amp;";",""),IF(AND($G61&lt;Hta_11,$G61&gt;=Hba_11,Input!AI$31&lt;&gt;""),Input!$B$31&amp;";",""),IF(AND($G61&lt;Hta_12,$G61&gt;=Hba_12,Input!AI$32&lt;&gt;""),Input!$B$32&amp;";",""),IF(AND($G61&lt;Hta_13,$G61&gt;=Hba_13,Input!AI$33&lt;&gt;""),Input!$B$33&amp;";",""),IF(AND($G61&lt;Hta_14,$G61&gt;=Hba_14,Input!AI$34&lt;&gt;""),Input!$B$34&amp;";",""),IF(AND($G61&lt;Hta_15,$G61&gt;=Hba_15,Input!AI$35&lt;&gt;""),Input!$B$35&amp;";",""),IF(AND($G61&lt;Hta_16,$G61&gt;=Hba_16,Input!AI$36&lt;&gt;""),Input!$B$36&amp;";",""),IF(AND($G61&lt;Hta_17,$G61&gt;=Hba_17,Input!AI$37&lt;&gt;""),Input!$B$37&amp;";",""),IF(AND($G61&lt;Hta_18,$G61&gt;=Hba_18,Input!AI$38&lt;&gt;""),Input!$B$38&amp;";",""),IF(AND($G61&lt;Hta_19,$G61&gt;=Hba_19,Input!AI$39&lt;&gt;""),Input!$B$39&amp;";",""),IF(AND($G61&lt;Hta_20,$G61&gt;=Hba_20,Input!AI$40&lt;&gt;""),Input!$B$40&amp;";",""),IF(AND($G61&lt;Hta_21,$G61&gt;=Hba_21,Input!AI$41&lt;&gt;""),Input!$B$41&amp;";",""),IF(AND($G61&lt;Hta_22,$G61&gt;=Hba_22,Input!AI$42&lt;&gt;""),Input!$B$42&amp;";",""),IF(AND($G61&lt;Hta_23,$G61&gt;=Hba_23,Input!AI$43&lt;&gt;""),Input!$B$43&amp;";",""),IF(AND($G61&lt;Hta_24,$G61&gt;=Hba_24,Input!AI$44&lt;&gt;""),Input!$B$44&amp;";",""),IF(AND($G61&lt;Hta_25,$G61&gt;=Hba_25,Input!AI$45&lt;&gt;""),Input!$B$45&amp;";",""),IF(AND($G61&lt;Hta_26,$G61&gt;=Hba_26,Input!AI$46&lt;&gt;""),Input!$B$46&amp;";",""),IF(AND($G61&lt;Hta_27,$G61&gt;=Hba_27,Input!AI$47&lt;&gt;""),Input!$B$47&amp;";",""),IF(AND($G61&lt;Hta_28,$G61&gt;=Hba_28,Input!AI$48&lt;&gt;""),Input!$B$48&amp;";",""),IF(AND($G61&lt;Hta_29,$G61&gt;=Hba_29,Input!AI$49&lt;&gt;""),Input!$B$49&amp;";",""),IF(AND($G61&lt;Hta_30,$G61&gt;=Hba_30,Input!AI$50&lt;&gt;""),Input!$B$50&amp;";","")),"")</f>
        <v/>
      </c>
      <c r="CK61" s="25" t="str">
        <f>IFERROR(CONCATENATE(IF(AND($G61&lt;Hta_1,$G61&gt;=Hba_1,Input!AJ$21&lt;&gt;""),Input!$B$21&amp;";",""),IF(AND($G61&lt;Hta_2,$G61&gt;=Hba_2,Input!AJ$22&lt;&gt;""),Input!$B$22&amp;";",""),IF(AND($G61&lt;Hta_3,$G61&gt;=Hba_3,Input!AJ$23&lt;&gt;""),Input!$B$23&amp;";",""),IF(AND($G61&lt;Hta_4,$G61&gt;=Hba_4,Input!AJ$24&lt;&gt;""),Input!$B$24&amp;";",""),IF(AND($G61&lt;Hta_5,$G61&gt;=Hba_5,Input!AJ$25&lt;&gt;""),Input!$B$25&amp;";",""),IF(AND($G61&lt;Hta_6,$G61&gt;=Hba_6,Input!AJ$26&lt;&gt;""),Input!$B$26&amp;";",""),IF(AND($G61&lt;Hta_7,$G61&gt;=Hba_7,Input!AJ$27&lt;&gt;""),Input!$B$27&amp;";",""),IF(AND($G61&lt;Hta_8,$G61&gt;=Hba_8,Input!AJ$28&lt;&gt;""),Input!$B$28&amp;";",""),IF(AND($G61&lt;Hta_9,$G61&gt;=Hba_9,Input!AJ$29&lt;&gt;""),Input!$B$29&amp;";",""),IF(AND($G61&lt;Hta_10,$G61&gt;=Hba_10,Input!AJ$30&lt;&gt;""),Input!$B$30&amp;";",""),IF(AND($G61&lt;Hta_11,$G61&gt;=Hba_11,Input!AJ$31&lt;&gt;""),Input!$B$31&amp;";",""),IF(AND($G61&lt;Hta_12,$G61&gt;=Hba_12,Input!AJ$32&lt;&gt;""),Input!$B$32&amp;";",""),IF(AND($G61&lt;Hta_13,$G61&gt;=Hba_13,Input!AJ$33&lt;&gt;""),Input!$B$33&amp;";",""),IF(AND($G61&lt;Hta_14,$G61&gt;=Hba_14,Input!AJ$34&lt;&gt;""),Input!$B$34&amp;";",""),IF(AND($G61&lt;Hta_15,$G61&gt;=Hba_15,Input!AJ$35&lt;&gt;""),Input!$B$35&amp;";",""),IF(AND($G61&lt;Hta_16,$G61&gt;=Hba_16,Input!AJ$36&lt;&gt;""),Input!$B$36&amp;";",""),IF(AND($G61&lt;Hta_17,$G61&gt;=Hba_17,Input!AJ$37&lt;&gt;""),Input!$B$37&amp;";",""),IF(AND($G61&lt;Hta_18,$G61&gt;=Hba_18,Input!AJ$38&lt;&gt;""),Input!$B$38&amp;";",""),IF(AND($G61&lt;Hta_19,$G61&gt;=Hba_19,Input!AJ$39&lt;&gt;""),Input!$B$39&amp;";",""),IF(AND($G61&lt;Hta_20,$G61&gt;=Hba_20,Input!AJ$40&lt;&gt;""),Input!$B$40&amp;";",""),IF(AND($G61&lt;Hta_21,$G61&gt;=Hba_21,Input!AJ$41&lt;&gt;""),Input!$B$41&amp;";",""),IF(AND($G61&lt;Hta_22,$G61&gt;=Hba_22,Input!AJ$42&lt;&gt;""),Input!$B$42&amp;";",""),IF(AND($G61&lt;Hta_23,$G61&gt;=Hba_23,Input!AJ$43&lt;&gt;""),Input!$B$43&amp;";",""),IF(AND($G61&lt;Hta_24,$G61&gt;=Hba_24,Input!AJ$44&lt;&gt;""),Input!$B$44&amp;";",""),IF(AND($G61&lt;Hta_25,$G61&gt;=Hba_25,Input!AJ$45&lt;&gt;""),Input!$B$45&amp;";",""),IF(AND($G61&lt;Hta_26,$G61&gt;=Hba_26,Input!AJ$46&lt;&gt;""),Input!$B$46&amp;";",""),IF(AND($G61&lt;Hta_27,$G61&gt;=Hba_27,Input!AJ$47&lt;&gt;""),Input!$B$47&amp;";",""),IF(AND($G61&lt;Hta_28,$G61&gt;=Hba_28,Input!AJ$48&lt;&gt;""),Input!$B$48&amp;";",""),IF(AND($G61&lt;Hta_29,$G61&gt;=Hba_29,Input!AJ$49&lt;&gt;""),Input!$B$49&amp;";",""),IF(AND($G61&lt;Hta_30,$G61&gt;=Hba_30,Input!AJ$50&lt;&gt;""),Input!$B$50&amp;";","")),"")</f>
        <v/>
      </c>
      <c r="CL61" s="25" t="str">
        <f>IFERROR(CONCATENATE(IF(AND($G61&lt;Hta_1,$G61&gt;=Hba_1,Input!AK$21&lt;&gt;""),Input!$B$21&amp;";",""),IF(AND($G61&lt;Hta_2,$G61&gt;=Hba_2,Input!AK$22&lt;&gt;""),Input!$B$22&amp;";",""),IF(AND($G61&lt;Hta_3,$G61&gt;=Hba_3,Input!AK$23&lt;&gt;""),Input!$B$23&amp;";",""),IF(AND($G61&lt;Hta_4,$G61&gt;=Hba_4,Input!AK$24&lt;&gt;""),Input!$B$24&amp;";",""),IF(AND($G61&lt;Hta_5,$G61&gt;=Hba_5,Input!AK$25&lt;&gt;""),Input!$B$25&amp;";",""),IF(AND($G61&lt;Hta_6,$G61&gt;=Hba_6,Input!AK$26&lt;&gt;""),Input!$B$26&amp;";",""),IF(AND($G61&lt;Hta_7,$G61&gt;=Hba_7,Input!AK$27&lt;&gt;""),Input!$B$27&amp;";",""),IF(AND($G61&lt;Hta_8,$G61&gt;=Hba_8,Input!AK$28&lt;&gt;""),Input!$B$28&amp;";",""),IF(AND($G61&lt;Hta_9,$G61&gt;=Hba_9,Input!AK$29&lt;&gt;""),Input!$B$29&amp;";",""),IF(AND($G61&lt;Hta_10,$G61&gt;=Hba_10,Input!AK$30&lt;&gt;""),Input!$B$30&amp;";",""),IF(AND($G61&lt;Hta_11,$G61&gt;=Hba_11,Input!AK$31&lt;&gt;""),Input!$B$31&amp;";",""),IF(AND($G61&lt;Hta_12,$G61&gt;=Hba_12,Input!AK$32&lt;&gt;""),Input!$B$32&amp;";",""),IF(AND($G61&lt;Hta_13,$G61&gt;=Hba_13,Input!AK$33&lt;&gt;""),Input!$B$33&amp;";",""),IF(AND($G61&lt;Hta_14,$G61&gt;=Hba_14,Input!AK$34&lt;&gt;""),Input!$B$34&amp;";",""),IF(AND($G61&lt;Hta_15,$G61&gt;=Hba_15,Input!AK$35&lt;&gt;""),Input!$B$35&amp;";",""),IF(AND($G61&lt;Hta_16,$G61&gt;=Hba_16,Input!AK$36&lt;&gt;""),Input!$B$36&amp;";",""),IF(AND($G61&lt;Hta_17,$G61&gt;=Hba_17,Input!AK$37&lt;&gt;""),Input!$B$37&amp;";",""),IF(AND($G61&lt;Hta_18,$G61&gt;=Hba_18,Input!AK$38&lt;&gt;""),Input!$B$38&amp;";",""),IF(AND($G61&lt;Hta_19,$G61&gt;=Hba_19,Input!AK$39&lt;&gt;""),Input!$B$39&amp;";",""),IF(AND($G61&lt;Hta_20,$G61&gt;=Hba_20,Input!AK$40&lt;&gt;""),Input!$B$40&amp;";",""),IF(AND($G61&lt;Hta_21,$G61&gt;=Hba_21,Input!AK$41&lt;&gt;""),Input!$B$41&amp;";",""),IF(AND($G61&lt;Hta_22,$G61&gt;=Hba_22,Input!AK$42&lt;&gt;""),Input!$B$42&amp;";",""),IF(AND($G61&lt;Hta_23,$G61&gt;=Hba_23,Input!AK$43&lt;&gt;""),Input!$B$43&amp;";",""),IF(AND($G61&lt;Hta_24,$G61&gt;=Hba_24,Input!AK$44&lt;&gt;""),Input!$B$44&amp;";",""),IF(AND($G61&lt;Hta_25,$G61&gt;=Hba_25,Input!AK$45&lt;&gt;""),Input!$B$45&amp;";",""),IF(AND($G61&lt;Hta_26,$G61&gt;=Hba_26,Input!AK$46&lt;&gt;""),Input!$B$46&amp;";",""),IF(AND($G61&lt;Hta_27,$G61&gt;=Hba_27,Input!AK$47&lt;&gt;""),Input!$B$47&amp;";",""),IF(AND($G61&lt;Hta_28,$G61&gt;=Hba_28,Input!AK$48&lt;&gt;""),Input!$B$48&amp;";",""),IF(AND($G61&lt;Hta_29,$G61&gt;=Hba_29,Input!AK$49&lt;&gt;""),Input!$B$49&amp;";",""),IF(AND($G61&lt;Hta_30,$G61&gt;=Hba_30,Input!AK$50&lt;&gt;""),Input!$B$50&amp;";","")),"")</f>
        <v/>
      </c>
      <c r="CM61" s="25" t="str">
        <f>IFERROR(CONCATENATE(IF(AND($G61&lt;Hta_1,$G61&gt;=Hba_1,Input!AL$21&lt;&gt;""),Input!$B$21&amp;";",""),IF(AND($G61&lt;Hta_2,$G61&gt;=Hba_2,Input!AL$22&lt;&gt;""),Input!$B$22&amp;";",""),IF(AND($G61&lt;Hta_3,$G61&gt;=Hba_3,Input!AL$23&lt;&gt;""),Input!$B$23&amp;";",""),IF(AND($G61&lt;Hta_4,$G61&gt;=Hba_4,Input!AL$24&lt;&gt;""),Input!$B$24&amp;";",""),IF(AND($G61&lt;Hta_5,$G61&gt;=Hba_5,Input!AL$25&lt;&gt;""),Input!$B$25&amp;";",""),IF(AND($G61&lt;Hta_6,$G61&gt;=Hba_6,Input!AL$26&lt;&gt;""),Input!$B$26&amp;";",""),IF(AND($G61&lt;Hta_7,$G61&gt;=Hba_7,Input!AL$27&lt;&gt;""),Input!$B$27&amp;";",""),IF(AND($G61&lt;Hta_8,$G61&gt;=Hba_8,Input!AL$28&lt;&gt;""),Input!$B$28&amp;";",""),IF(AND($G61&lt;Hta_9,$G61&gt;=Hba_9,Input!AL$29&lt;&gt;""),Input!$B$29&amp;";",""),IF(AND($G61&lt;Hta_10,$G61&gt;=Hba_10,Input!AL$30&lt;&gt;""),Input!$B$30&amp;";",""),IF(AND($G61&lt;Hta_11,$G61&gt;=Hba_11,Input!AL$31&lt;&gt;""),Input!$B$31&amp;";",""),IF(AND($G61&lt;Hta_12,$G61&gt;=Hba_12,Input!AL$32&lt;&gt;""),Input!$B$32&amp;";",""),IF(AND($G61&lt;Hta_13,$G61&gt;=Hba_13,Input!AL$33&lt;&gt;""),Input!$B$33&amp;";",""),IF(AND($G61&lt;Hta_14,$G61&gt;=Hba_14,Input!AL$34&lt;&gt;""),Input!$B$34&amp;";",""),IF(AND($G61&lt;Hta_15,$G61&gt;=Hba_15,Input!AL$35&lt;&gt;""),Input!$B$35&amp;";",""),IF(AND($G61&lt;Hta_16,$G61&gt;=Hba_16,Input!AL$36&lt;&gt;""),Input!$B$36&amp;";",""),IF(AND($G61&lt;Hta_17,$G61&gt;=Hba_17,Input!AL$37&lt;&gt;""),Input!$B$37&amp;";",""),IF(AND($G61&lt;Hta_18,$G61&gt;=Hba_18,Input!AL$38&lt;&gt;""),Input!$B$38&amp;";",""),IF(AND($G61&lt;Hta_19,$G61&gt;=Hba_19,Input!AL$39&lt;&gt;""),Input!$B$39&amp;";",""),IF(AND($G61&lt;Hta_20,$G61&gt;=Hba_20,Input!AL$40&lt;&gt;""),Input!$B$40&amp;";",""),IF(AND($G61&lt;Hta_21,$G61&gt;=Hba_21,Input!AL$41&lt;&gt;""),Input!$B$41&amp;";",""),IF(AND($G61&lt;Hta_22,$G61&gt;=Hba_22,Input!AL$42&lt;&gt;""),Input!$B$42&amp;";",""),IF(AND($G61&lt;Hta_23,$G61&gt;=Hba_23,Input!AL$43&lt;&gt;""),Input!$B$43&amp;";",""),IF(AND($G61&lt;Hta_24,$G61&gt;=Hba_24,Input!AL$44&lt;&gt;""),Input!$B$44&amp;";",""),IF(AND($G61&lt;Hta_25,$G61&gt;=Hba_25,Input!AL$45&lt;&gt;""),Input!$B$45&amp;";",""),IF(AND($G61&lt;Hta_26,$G61&gt;=Hba_26,Input!AL$46&lt;&gt;""),Input!$B$46&amp;";",""),IF(AND($G61&lt;Hta_27,$G61&gt;=Hba_27,Input!AL$47&lt;&gt;""),Input!$B$47&amp;";",""),IF(AND($G61&lt;Hta_28,$G61&gt;=Hba_28,Input!AL$48&lt;&gt;""),Input!$B$48&amp;";",""),IF(AND($G61&lt;Hta_29,$G61&gt;=Hba_29,Input!AL$49&lt;&gt;""),Input!$B$49&amp;";",""),IF(AND($G61&lt;Hta_30,$G61&gt;=Hba_30,Input!AL$50&lt;&gt;""),Input!$B$50&amp;";","")),"")</f>
        <v/>
      </c>
      <c r="CN61" s="60" t="str">
        <f t="shared" si="6"/>
        <v/>
      </c>
      <c r="CO61" s="798"/>
      <c r="CP61" s="799"/>
      <c r="CQ61" s="800"/>
      <c r="CR61" s="798"/>
      <c r="CS61" s="799"/>
      <c r="CT61" s="800"/>
      <c r="CU61" s="798" t="str">
        <f t="shared" si="7"/>
        <v/>
      </c>
      <c r="CV61" s="799"/>
      <c r="CW61" s="806"/>
      <c r="CX61" s="726"/>
      <c r="CY61" s="727"/>
      <c r="CZ61" s="732"/>
      <c r="DA61" s="726"/>
      <c r="DB61" s="727"/>
      <c r="DC61" s="732"/>
      <c r="DD61" s="726" t="str">
        <f t="shared" si="8"/>
        <v/>
      </c>
      <c r="DE61" s="727"/>
      <c r="DF61" s="728"/>
      <c r="DG61" s="53"/>
      <c r="DH61" s="54"/>
      <c r="DI61" s="54"/>
      <c r="DJ61" s="54"/>
      <c r="DK61" s="54"/>
      <c r="DL61" s="54"/>
      <c r="DM61" s="54"/>
      <c r="DN61" s="54"/>
      <c r="DO61" s="54"/>
      <c r="DP61" s="54"/>
      <c r="DQ61" s="57"/>
      <c r="DR61" s="57"/>
      <c r="DS61" s="57"/>
      <c r="DT61" s="57"/>
      <c r="DU61" s="57"/>
      <c r="DV61" s="57"/>
      <c r="DW61" s="57"/>
      <c r="DX61" s="57"/>
      <c r="DY61" s="57"/>
      <c r="DZ61" s="57"/>
      <c r="EA61" s="57"/>
      <c r="EB61" s="57"/>
      <c r="EC61" s="57"/>
      <c r="ED61" s="57"/>
      <c r="EE61" s="57"/>
      <c r="EF61" s="57"/>
      <c r="EG61" s="57"/>
      <c r="EH61" s="57"/>
      <c r="EI61" s="57"/>
      <c r="EJ61" s="57"/>
      <c r="EK61" s="57"/>
      <c r="EL61" s="133"/>
      <c r="EM61" s="133"/>
      <c r="EN61" s="133"/>
      <c r="EO61" s="133"/>
      <c r="EP61" s="133"/>
      <c r="EQ61" s="133"/>
      <c r="ER61" s="133"/>
      <c r="ES61" s="133"/>
      <c r="ET61" s="133"/>
      <c r="EU61" s="133"/>
      <c r="EV61" s="133"/>
      <c r="EW61" s="133"/>
      <c r="EX61" s="133"/>
      <c r="EY61" s="133"/>
      <c r="EZ61" s="133"/>
      <c r="FA61" s="133"/>
      <c r="FB61" s="133"/>
      <c r="FC61" s="133"/>
      <c r="FD61" s="133"/>
      <c r="FE61" s="133"/>
      <c r="FF61" s="133"/>
      <c r="FG61" s="133"/>
      <c r="FH61" s="133"/>
      <c r="FI61" s="133"/>
      <c r="FJ61" s="133"/>
      <c r="FK61" s="133"/>
      <c r="FL61" s="133"/>
      <c r="FM61" s="133"/>
      <c r="FN61" s="133"/>
      <c r="FO61" s="133"/>
      <c r="FQ61" s="125"/>
      <c r="FR61" s="123"/>
      <c r="FS61" s="121"/>
      <c r="FT61" s="119"/>
    </row>
    <row r="62" spans="2:176" ht="15.75" hidden="1" thickBot="1" x14ac:dyDescent="0.3">
      <c r="B62" s="62" t="b">
        <f>IF(OR(AND(G62&gt;='Geometry 2'!$AK$5,G62&lt;'Geometry 2'!$AL$5),AND(G62&gt;='Geometry 2'!$AK$6,G62&lt;'Geometry 2'!$AL$6),AND(G62&gt;='Geometry 2'!$AK$7,G62&lt;'Geometry 2'!$AL$7),AND(G62&gt;='Geometry 2'!$AK$8,G62&lt;'Geometry 2'!$AL$8),AND(G62&gt;='Geometry 2'!$AK$9,G62&lt;'Geometry 2'!$AL$9),AND(G62&gt;='Geometry 2'!$AK$10,G62&lt;'Geometry 2'!$AL$10),AND(G62&gt;='Geometry 2'!$AK$11,G62&lt;'Geometry 2'!$AL$11),AND(G62&gt;='Geometry 2'!$AK$12,G62&lt;'Geometry 2'!$AL$12),AND(G62&gt;='Geometry 2'!$AK$13,G62&lt;'Geometry 2'!$AL$13),AND(G62&gt;='Geometry 2'!$AK$14,G62&lt;'Geometry 2'!$AL$14)),TRUE,FALSE)</f>
        <v>0</v>
      </c>
      <c r="C62" s="4" t="str">
        <f t="shared" si="3"/>
        <v/>
      </c>
      <c r="D62" s="766" t="str">
        <f t="shared" si="4"/>
        <v/>
      </c>
      <c r="E62" s="767"/>
      <c r="F62" s="17" t="str">
        <f t="shared" si="2"/>
        <v/>
      </c>
      <c r="G62" s="768" t="str">
        <f>IF(D62="","",MAX(0,G61-IF(inc="n/a",999,inc),MAX(IF(G61&lt;=Hta_1,0,Hta_1),IF(G61&lt;=Hta_2,0,Hta_2),IF(G61&lt;=Hta_3,0,Hta_3),IF(G61&lt;=Hta_4,0,Hta_4),IF(G61&lt;=Hta_5,0,Hta_5),IF(G61&lt;=Hta_6,0,Hta_6),IF(G61&lt;=Hta_7,0,Hta_7),IF(G61&lt;=Hta_8,0,Hta_8),IF(G61&lt;=Hta_9,0,Hta_9),IF(G61&lt;=Hta_10,0,Hta_10),IF(G61&lt;=Hta_11,0,Hta_11),IF(G61&lt;=Hta_12,0,Hta_12),IF(G61&lt;=Hta_13,0,Hta_13),IF(G61&lt;=Hta_14,0,Hta_14),IF(G61&lt;=Hta_15,0,Hta_15),IF(G61&lt;=Hta_16,0,Hta_16),IF(G61&lt;=Hta_17,0,Hta_17),IF(G61&lt;=Hta_18,0,Hta_18),IF(G61&lt;=Hta_19,0,Hta_19),IF(G61&lt;=Hta_20,0,Hta_20),IF(G61&lt;=Hta_21,0,Hta_21),IF(G61&lt;=Hta_22,0,Hta_22),IF(G61&lt;=Hta_23,0,Hta_23),IF(G61&lt;=Hta_24,0,Hta_24),IF(G61&lt;=Hta_25,0,Hta_25),IF(G61&lt;=Hta_26,0,Hta_26),IF(G61&lt;=Hta_27,0,Hta_27),IF(G61&lt;=Hta_28,0,Hta_28),IF(G61&lt;=Hta_29,0,Hta_29),IF(G61&lt;=Hta_30,0,Hta_30)),MAX(IF(G61&lt;=Hta_1-0.25,0,Hta_1-0.25),IF(G61&lt;=Hta_2-0.25,0,Hta_2-0.25),IF(G61&lt;=Hta_3-0.25,0,Hta_3-0.25),IF(G61&lt;=Hta_4-0.25,0,Hta_4-0.25),IF(G61&lt;=Hta_5-0.25,0,Hta_5-0.25),IF(G61&lt;=Hta_6-0.25,0,Hta_6-0.25),IF(G61&lt;=Hta_7-0.25,0,Hta_7-0.25),IF(G61&lt;=Hta_8-0.25,0,Hta_8-0.25),IF(G61&lt;=Hta_9-0.25,0,Hta_9-0.25),IF(G61&lt;=Hta_10-0.25,0,Hta_10-0.25),IF(G61&lt;=Hta_11-0.25,0,Hta_11-0.25),IF(G61&lt;=Hta_12-0.25,0,Hta_12-0.25),IF(G61&lt;=Hta_13-0.25,0,Hta_13-0.25),IF(G61&lt;=Hta_14-0.25,0,Hta_14-0.25),IF(G61&lt;=Hta_15-0.25,0,Hta_15-0.25),IF(G61&lt;=Hta_16-0.25,0,Hta_16-0.25),IF(G61&lt;=Hta_17-0.25,0,Hta_17-0.25),IF(G61&lt;=Hta_18-0.25,0,Hta_18-0.25),IF(G61&lt;=Hta_19-0.25,0,Hta_19-0.25),IF(G61&lt;=Hta_20-0.25,0,Hta_20-0.25),IF(G61&lt;=Hta_21-0.25,0,Hta_21-0.25),IF(G61&lt;=Hta_22-0.25,0,Hta_22-0.25),IF(G61&lt;=Hta_23-0.25,0,Hta_23-0.25),IF(G61&lt;=Hta_24-0.25,0,Hta_24-0.25),IF(G61&lt;=Hta_25-0.25,0,Hta_25-0.25),IF(G61&lt;=Hta_26-0.25,0,Hta_26-0.25),IF(G61&lt;=Hta_27-0.25,0,Hta_27-0.25),IF(G61&lt;=Hta_28-0.25,0,Hta_28-0.25),IF(G61&lt;=Hta_29-0.25,0,Hta_29-0.25),IF(G61&lt;=Hta_30-0.25,0,Hta_30-0.25)),MAX(IF(G61&lt;=Hba_1,0,Hba_1),IF(G61&lt;=Hba_2,0,Hba_2),IF(G61&lt;=Hba_3,0,Hba_3),IF(G61&lt;=Hba_4,0,Hba_4),IF(G61&lt;=Hba_5,0,Hba_5),IF(G61&lt;=Hba_6,0,Hba_6),IF(G61&lt;=Hba_7,0,Hba_7),IF(G61&lt;=Hba_8,0,Hba_8),IF(G61&lt;=Hba_9,0,Hba_9),IF(G61&lt;=Hba_10,0,Hba_10),IF(G61&lt;=Hba_11,0,Hba_11),IF(G61&lt;=Hba_12,0,Hba_12),IF(G61&lt;=Hba_13,0,Hba_13),IF(G61&lt;=Hba_14,0,Hba_14),IF(G61&lt;=Hba_15,0,Hba_15),IF(G61&lt;=Hba_16,0,Hba_16),IF(G61&lt;=Hba_17,0,Hba_17),IF(G61&lt;=Hba_18,0,Hba_18),IF(G61&lt;=Hba_19,0,Hba_19),IF(G61&lt;=Hba_20,0,Hba_20),IF(G61&lt;=Hba_21,0,Hba_21),IF(G61&lt;=Hba_22,0,Hba_22),IF(G61&lt;=Hba_23,0,Hba_23),IF(G61&lt;=Hba_24,0,Hba_24),IF(G61&lt;=Hba_25,0,Hba_25),IF(G61&lt;=Hba_26,0,Hba_26),IF(G61&lt;=Hba_27,0,Hba_27),IF(G61&lt;=Hba_28,0,Hba_28),IF(G61&lt;=Hba_29,0,Hba_29),IF(G61&lt;=Hba_30,0,Hba_30)),MAX(IF(G61&lt;=Input!$C$8,0,Input!$C$8),IF(G61&lt;=Input!$C$9,0,Input!$C$9),IF(G61&lt;=Input!$C$10,0,Input!$C$10),IF(G61&lt;=Input!$C$11,0,Input!$C$11),IF(G61&lt;=Input!$C$12,0,Input!$C$12),IF(G61&lt;=Input!$C$13,0,Input!$C$13),IF(G61&lt;=Input!$C$14,0,Input!$C$14),IF(G61&lt;=Input!$C$15,0,Input!$C$15),IF(G61&lt;=Input!$C$16,0,Input!$C$16)),MAX(IF(G61&lt;=Hba_1-0.25,0,Hba_1-0.25),IF(G61&lt;=Hba_2-0.25,0,Hba_2-0.25),IF(G61&lt;=Hba_3-0.25,0,Hba_3-0.25),IF(G61&lt;=Hba_4-0.25,0,Hba_4-0.25),IF(G61&lt;=Hba_5-0.25,0,Hba_5-0.25),IF(G61&lt;=Hba_6-0.25,0,Hba_6-0.25),IF(G61&lt;=Hba_7-0.25,0,Hba_7-0.25),IF(G61&lt;=Hba_8-0.25,0,Hba_8-0.25),IF(G61&lt;=Hba_9-0.25,0,Hba_9-0.25),IF(G61&lt;=Hba_10-0.25,0,Hba_10-0.25),IF(G61&lt;=Hba_11-0.25,0,Hba_11-0.25),IF(G61&lt;=Hba_12-0.25,0,Hba_12-0.25),IF(G61&lt;=Hba_13-0.25,0,Hba_13-0.25),IF(G61&lt;=Hba_14-0.25,0,Hba_14-0.25),IF(G61&lt;=Hba_15-0.25,0,Hba_15-0.25),IF(G61&lt;=Hba_16-0.25,0,Hba_16-0.25),IF(G61&lt;=Hba_17-0.25,0,Hba_17-0.25),IF(G61&lt;=Hba_18-0.25,0,Hba_18-0.25),IF(G61&lt;=Hba_19-0.25,0,Hba_19-0.25),IF(G61&lt;=Hba_20-0.25,0,Hba_20-0.25),IF(G61&lt;=Hba_21-0.25,0,Hba_21-0.25),IF(G61&lt;=Hba_22-0.25,0,Hba_22-0.25),IF(G61&lt;=Hba_23-0.25,0,Hba_23-0.25),IF(G61&lt;=Hba_24-0.25,0,Hba_24-0.25),IF(G61&lt;=Hba_25-0.25,0,Hba_25-0.25),IF(G61&lt;=Hba_26-0.25,0,Hba_26-0.25),IF(G61&lt;=Hba_27-0.25,0,Hba_27-0.25),IF(G61&lt;=Hba_28-0.25,0,Hba_28-0.25),IF(G61&lt;=Hba_29-0.25,0,Hba_29-0.25),IF(G61&lt;=Hba_30-0.25,0,Hba_30-0.25)),IF(G61&lt;='Macro References'!$A$38,0,'Macro References'!$A$38)))</f>
        <v/>
      </c>
      <c r="H62" s="769"/>
      <c r="I62" s="228"/>
      <c r="J62" s="228"/>
      <c r="K62" s="228"/>
      <c r="L62" s="717" t="str">
        <f t="shared" si="10"/>
        <v/>
      </c>
      <c r="M62" s="717"/>
      <c r="N62" s="717"/>
      <c r="O62" s="717"/>
      <c r="P62" s="717" t="str">
        <f>IF(OR(G62=0,G62=""),"",IF(VLOOKUP(G62,'Geometry 2'!$C$4:$AI$14,1,TRUE)=VLOOKUP(G63,'Geometry 2'!$C$4:$AI$14,1,TRUE),"",IF(VLOOKUP(G62,'Geometry 2'!$C$4:$AI$14,33,TRUE)&lt;&gt;"n/a",MIN(G62,VLOOKUP(G62,'Geometry 2'!$C$4:$AI$14,1,TRUE))-VLOOKUP(G62,'Geometry 2'!$C$4:$AI$14,33,TRUE),"check")))</f>
        <v/>
      </c>
      <c r="Q62" s="717"/>
      <c r="R62" s="717"/>
      <c r="S62" s="717"/>
      <c r="T62" s="717" t="str">
        <f>IF($G62="","",VLOOKUP($G62,'Geometry 2'!$E$4:$AH$14,11,TRUE))</f>
        <v/>
      </c>
      <c r="U62" s="717"/>
      <c r="V62" s="717"/>
      <c r="W62" s="717"/>
      <c r="X62" s="716" t="str">
        <f>IF($G62="","",VLOOKUP($G62,'Geometry 2'!$E$4:$AJ$14,19,TRUE)-12*VLOOKUP($G62,'Geometry 2'!$E$4:$AJ$14,32,TRUE)*($D62-VLOOKUP($G62,'Geometry 2'!$E$5:$AH$14,1,TRUE)))</f>
        <v/>
      </c>
      <c r="Y62" s="716"/>
      <c r="Z62" s="716"/>
      <c r="AA62" s="716"/>
      <c r="AB62" s="757" t="str">
        <f>IF($G62="","",VLOOKUP($G62,'Geometry 2'!$E$4:$AJ$14,19,TRUE)-12*VLOOKUP($G62,'Geometry 2'!$E$4:$AJ$14,32,TRUE)*($G62-VLOOKUP($G62,'Geometry 2'!$E$5:$AH$14,1,TRUE)))</f>
        <v/>
      </c>
      <c r="AC62" s="758"/>
      <c r="AD62" s="758"/>
      <c r="AE62" s="759"/>
      <c r="AF62" s="716" t="str">
        <f>IF($G62="","",VLOOKUP($G62,'Geometry 2'!$E$4:$AJ$14,19,TRUE)-12*VLOOKUP($G62,'Geometry 2'!$E$4:$AJ$14,32,TRUE)*($G62-IF($P62="",0,$P62)-VLOOKUP($G62,'Geometry 2'!$E$5:$AH$14,1,TRUE)))</f>
        <v/>
      </c>
      <c r="AG62" s="716"/>
      <c r="AH62" s="716"/>
      <c r="AI62" s="716"/>
      <c r="AJ62" s="746" t="str">
        <f>IF($G62="","",VLOOKUP($G62,'Geometry 2'!$E$4:$AH$14,23,TRUE))</f>
        <v/>
      </c>
      <c r="AK62" s="747"/>
      <c r="AL62" s="747"/>
      <c r="AM62" s="748"/>
      <c r="AN62" s="717"/>
      <c r="AO62" s="717"/>
      <c r="AP62" s="717"/>
      <c r="AQ62" s="717"/>
      <c r="AR62" s="717" t="str">
        <f>IF($G62="","",VLOOKUP($G62,'Geometry 2'!$E$4:$AH$14,27,TRUE))</f>
        <v/>
      </c>
      <c r="AS62" s="717"/>
      <c r="AT62" s="717"/>
      <c r="AU62" s="718"/>
      <c r="AV62" s="715"/>
      <c r="AW62" s="716"/>
      <c r="AX62" s="716"/>
      <c r="AZ62" s="722" t="str">
        <f t="shared" si="5"/>
        <v/>
      </c>
      <c r="BA62" s="723"/>
      <c r="BB62" s="723"/>
      <c r="BC62" s="724"/>
      <c r="BD62" s="722"/>
      <c r="BE62" s="723"/>
      <c r="BF62" s="723"/>
      <c r="BG62" s="722" t="str">
        <f t="shared" si="9"/>
        <v/>
      </c>
      <c r="BH62" s="723"/>
      <c r="BI62" s="723"/>
      <c r="BJ62" s="723"/>
      <c r="BK62" s="724"/>
      <c r="BL62" s="722"/>
      <c r="BM62" s="723"/>
      <c r="BN62" s="723"/>
      <c r="BO62" s="723"/>
      <c r="BP62" s="725"/>
      <c r="BQ62" s="725"/>
      <c r="BR62" s="722" t="str">
        <f>IF(BP62="","",IF(OR(AND(Rev="H",Calculations!$F$27=TRUE),AND(Rev&lt;&gt;"H",Calculations!$F$30=TRUE)),IF(BP62&lt;=1,"Pass","Fail"),IF(BP62&lt;=1.05,"Pass","Fail")))</f>
        <v/>
      </c>
      <c r="BS62" s="723"/>
      <c r="BT62" s="724"/>
      <c r="BU62" s="49"/>
      <c r="BV62" s="25" t="str">
        <f>IFERROR(CONCATENATE(IF(AND($G62&lt;Hta_1,$G62&gt;=Hba_1,Input!U$21&lt;&gt;""),Input!$B$21&amp;";",""),IF(AND($G62&lt;Hta_2,$G62&gt;=Hba_2,Input!U$22&lt;&gt;""),Input!$B$22&amp;";",""),IF(AND($G62&lt;Hta_3,$G62&gt;=Hba_3,Input!U$23&lt;&gt;""),Input!$B$23&amp;";",""),IF(AND($G62&lt;Hta_4,$G62&gt;=Hba_4,Input!U$24&lt;&gt;""),Input!$B$24&amp;";",""),IF(AND($G62&lt;Hta_5,$G62&gt;=Hba_5,Input!U$25&lt;&gt;""),Input!$B$25&amp;";",""),IF(AND($G62&lt;Hta_6,$G62&gt;=Hba_6,Input!U$26&lt;&gt;""),Input!$B$26&amp;";",""),IF(AND($G62&lt;Hta_7,$G62&gt;=Hba_7,Input!U$27&lt;&gt;""),Input!$B$27&amp;";",""),IF(AND($G62&lt;Hta_8,$G62&gt;=Hba_8,Input!U$28&lt;&gt;""),Input!$B$28&amp;";",""),IF(AND($G62&lt;Hta_9,$G62&gt;=Hba_9,Input!U$29&lt;&gt;""),Input!$B$29&amp;";",""),IF(AND($G62&lt;Hta_10,$G62&gt;=Hba_10,Input!U$30&lt;&gt;""),Input!$B$30&amp;";",""),IF(AND($G62&lt;Hta_11,$G62&gt;=Hba_11,Input!U$31&lt;&gt;""),Input!$B$31&amp;";",""),IF(AND($G62&lt;Hta_12,$G62&gt;=Hba_12,Input!U$32&lt;&gt;""),Input!$B$32&amp;";",""),IF(AND($G62&lt;Hta_13,$G62&gt;=Hba_13,Input!U$33&lt;&gt;""),Input!$B$33&amp;";",""),IF(AND($G62&lt;Hta_14,$G62&gt;=Hba_14,Input!U$34&lt;&gt;""),Input!$B$34&amp;";",""),IF(AND($G62&lt;Hta_15,$G62&gt;=Hba_15,Input!U$35&lt;&gt;""),Input!$B$35&amp;";",""),IF(AND($G62&lt;Hta_16,$G62&gt;=Hba_16,Input!U$36&lt;&gt;""),Input!$B$36&amp;";",""),IF(AND($G62&lt;Hta_17,$G62&gt;=Hba_17,Input!U$37&lt;&gt;""),Input!$B$37&amp;";",""),IF(AND($G62&lt;Hta_18,$G62&gt;=Hba_18,Input!U$38&lt;&gt;""),Input!$B$38&amp;";",""),IF(AND($G62&lt;Hta_19,$G62&gt;=Hba_19,Input!U$39&lt;&gt;""),Input!$B$39&amp;";",""),IF(AND($G62&lt;Hta_20,$G62&gt;=Hba_20,Input!U$40&lt;&gt;""),Input!$B$40&amp;";",""),IF(AND($G62&lt;Hta_21,$G62&gt;=Hba_21,Input!U$41&lt;&gt;""),Input!$B$41&amp;";",""),IF(AND($G62&lt;Hta_22,$G62&gt;=Hba_22,Input!U$42&lt;&gt;""),Input!$B$42&amp;";",""),IF(AND($G62&lt;Hta_23,$G62&gt;=Hba_23,Input!U$43&lt;&gt;""),Input!$B$43&amp;";",""),IF(AND($G62&lt;Hta_24,$G62&gt;=Hba_24,Input!U$44&lt;&gt;""),Input!$B$44&amp;";",""),IF(AND($G62&lt;Hta_25,$G62&gt;=Hba_25,Input!U$45&lt;&gt;""),Input!$B$45&amp;";",""),IF(AND($G62&lt;Hta_26,$G62&gt;=Hba_26,Input!U$46&lt;&gt;""),Input!$B$46&amp;";",""),IF(AND($G62&lt;Hta_27,$G62&gt;=Hba_27,Input!U$47&lt;&gt;""),Input!$B$47&amp;";",""),IF(AND($G62&lt;Hta_28,$G62&gt;=Hba_28,Input!U$48&lt;&gt;""),Input!$B$48&amp;";",""),IF(AND($G62&lt;Hta_29,$G62&gt;=Hba_29,Input!U$49&lt;&gt;""),Input!$B$49&amp;";",""),IF(AND($G62&lt;Hta_30,$G62&gt;=Hba_30,Input!U$50&lt;&gt;""),Input!$B$50&amp;";","")),"")</f>
        <v/>
      </c>
      <c r="BW62" s="25" t="str">
        <f>IFERROR(CONCATENATE(IF(AND($G62&lt;Hta_1,$G62&gt;=Hba_1,Input!V$21&lt;&gt;""),Input!$B$21&amp;";",""),IF(AND($G62&lt;Hta_2,$G62&gt;=Hba_2,Input!V$22&lt;&gt;""),Input!$B$22&amp;";",""),IF(AND($G62&lt;Hta_3,$G62&gt;=Hba_3,Input!V$23&lt;&gt;""),Input!$B$23&amp;";",""),IF(AND($G62&lt;Hta_4,$G62&gt;=Hba_4,Input!V$24&lt;&gt;""),Input!$B$24&amp;";",""),IF(AND($G62&lt;Hta_5,$G62&gt;=Hba_5,Input!V$25&lt;&gt;""),Input!$B$25&amp;";",""),IF(AND($G62&lt;Hta_6,$G62&gt;=Hba_6,Input!V$26&lt;&gt;""),Input!$B$26&amp;";",""),IF(AND($G62&lt;Hta_7,$G62&gt;=Hba_7,Input!V$27&lt;&gt;""),Input!$B$27&amp;";",""),IF(AND($G62&lt;Hta_8,$G62&gt;=Hba_8,Input!V$28&lt;&gt;""),Input!$B$28&amp;";",""),IF(AND($G62&lt;Hta_9,$G62&gt;=Hba_9,Input!V$29&lt;&gt;""),Input!$B$29&amp;";",""),IF(AND($G62&lt;Hta_10,$G62&gt;=Hba_10,Input!V$30&lt;&gt;""),Input!$B$30&amp;";",""),IF(AND($G62&lt;Hta_11,$G62&gt;=Hba_11,Input!V$31&lt;&gt;""),Input!$B$31&amp;";",""),IF(AND($G62&lt;Hta_12,$G62&gt;=Hba_12,Input!V$32&lt;&gt;""),Input!$B$32&amp;";",""),IF(AND($G62&lt;Hta_13,$G62&gt;=Hba_13,Input!V$33&lt;&gt;""),Input!$B$33&amp;";",""),IF(AND($G62&lt;Hta_14,$G62&gt;=Hba_14,Input!V$34&lt;&gt;""),Input!$B$34&amp;";",""),IF(AND($G62&lt;Hta_15,$G62&gt;=Hba_15,Input!V$35&lt;&gt;""),Input!$B$35&amp;";",""),IF(AND($G62&lt;Hta_16,$G62&gt;=Hba_16,Input!V$36&lt;&gt;""),Input!$B$36&amp;";",""),IF(AND($G62&lt;Hta_17,$G62&gt;=Hba_17,Input!V$37&lt;&gt;""),Input!$B$37&amp;";",""),IF(AND($G62&lt;Hta_18,$G62&gt;=Hba_18,Input!V$38&lt;&gt;""),Input!$B$38&amp;";",""),IF(AND($G62&lt;Hta_19,$G62&gt;=Hba_19,Input!V$39&lt;&gt;""),Input!$B$39&amp;";",""),IF(AND($G62&lt;Hta_20,$G62&gt;=Hba_20,Input!V$40&lt;&gt;""),Input!$B$40&amp;";",""),IF(AND($G62&lt;Hta_21,$G62&gt;=Hba_21,Input!V$41&lt;&gt;""),Input!$B$41&amp;";",""),IF(AND($G62&lt;Hta_22,$G62&gt;=Hba_22,Input!V$42&lt;&gt;""),Input!$B$42&amp;";",""),IF(AND($G62&lt;Hta_23,$G62&gt;=Hba_23,Input!V$43&lt;&gt;""),Input!$B$43&amp;";",""),IF(AND($G62&lt;Hta_24,$G62&gt;=Hba_24,Input!V$44&lt;&gt;""),Input!$B$44&amp;";",""),IF(AND($G62&lt;Hta_25,$G62&gt;=Hba_25,Input!V$45&lt;&gt;""),Input!$B$45&amp;";",""),IF(AND($G62&lt;Hta_26,$G62&gt;=Hba_26,Input!V$46&lt;&gt;""),Input!$B$46&amp;";",""),IF(AND($G62&lt;Hta_27,$G62&gt;=Hba_27,Input!V$47&lt;&gt;""),Input!$B$47&amp;";",""),IF(AND($G62&lt;Hta_28,$G62&gt;=Hba_28,Input!V$48&lt;&gt;""),Input!$B$48&amp;";",""),IF(AND($G62&lt;Hta_29,$G62&gt;=Hba_29,Input!V$49&lt;&gt;""),Input!$B$49&amp;";",""),IF(AND($G62&lt;Hta_30,$G62&gt;=Hba_30,Input!V$50&lt;&gt;""),Input!$B$50&amp;";","")),"")</f>
        <v/>
      </c>
      <c r="BX62" s="25" t="str">
        <f>IFERROR(CONCATENATE(IF(AND($G62&lt;Hta_1,$G62&gt;=Hba_1,Input!W$21&lt;&gt;""),Input!$B$21&amp;";",""),IF(AND($G62&lt;Hta_2,$G62&gt;=Hba_2,Input!W$22&lt;&gt;""),Input!$B$22&amp;";",""),IF(AND($G62&lt;Hta_3,$G62&gt;=Hba_3,Input!W$23&lt;&gt;""),Input!$B$23&amp;";",""),IF(AND($G62&lt;Hta_4,$G62&gt;=Hba_4,Input!W$24&lt;&gt;""),Input!$B$24&amp;";",""),IF(AND($G62&lt;Hta_5,$G62&gt;=Hba_5,Input!W$25&lt;&gt;""),Input!$B$25&amp;";",""),IF(AND($G62&lt;Hta_6,$G62&gt;=Hba_6,Input!W$26&lt;&gt;""),Input!$B$26&amp;";",""),IF(AND($G62&lt;Hta_7,$G62&gt;=Hba_7,Input!W$27&lt;&gt;""),Input!$B$27&amp;";",""),IF(AND($G62&lt;Hta_8,$G62&gt;=Hba_8,Input!W$28&lt;&gt;""),Input!$B$28&amp;";",""),IF(AND($G62&lt;Hta_9,$G62&gt;=Hba_9,Input!W$29&lt;&gt;""),Input!$B$29&amp;";",""),IF(AND($G62&lt;Hta_10,$G62&gt;=Hba_10,Input!W$30&lt;&gt;""),Input!$B$30&amp;";",""),IF(AND($G62&lt;Hta_11,$G62&gt;=Hba_11,Input!W$31&lt;&gt;""),Input!$B$31&amp;";",""),IF(AND($G62&lt;Hta_12,$G62&gt;=Hba_12,Input!W$32&lt;&gt;""),Input!$B$32&amp;";",""),IF(AND($G62&lt;Hta_13,$G62&gt;=Hba_13,Input!W$33&lt;&gt;""),Input!$B$33&amp;";",""),IF(AND($G62&lt;Hta_14,$G62&gt;=Hba_14,Input!W$34&lt;&gt;""),Input!$B$34&amp;";",""),IF(AND($G62&lt;Hta_15,$G62&gt;=Hba_15,Input!W$35&lt;&gt;""),Input!$B$35&amp;";",""),IF(AND($G62&lt;Hta_16,$G62&gt;=Hba_16,Input!W$36&lt;&gt;""),Input!$B$36&amp;";",""),IF(AND($G62&lt;Hta_17,$G62&gt;=Hba_17,Input!W$37&lt;&gt;""),Input!$B$37&amp;";",""),IF(AND($G62&lt;Hta_18,$G62&gt;=Hba_18,Input!W$38&lt;&gt;""),Input!$B$38&amp;";",""),IF(AND($G62&lt;Hta_19,$G62&gt;=Hba_19,Input!W$39&lt;&gt;""),Input!$B$39&amp;";",""),IF(AND($G62&lt;Hta_20,$G62&gt;=Hba_20,Input!W$40&lt;&gt;""),Input!$B$40&amp;";",""),IF(AND($G62&lt;Hta_21,$G62&gt;=Hba_21,Input!W$41&lt;&gt;""),Input!$B$41&amp;";",""),IF(AND($G62&lt;Hta_22,$G62&gt;=Hba_22,Input!W$42&lt;&gt;""),Input!$B$42&amp;";",""),IF(AND($G62&lt;Hta_23,$G62&gt;=Hba_23,Input!W$43&lt;&gt;""),Input!$B$43&amp;";",""),IF(AND($G62&lt;Hta_24,$G62&gt;=Hba_24,Input!W$44&lt;&gt;""),Input!$B$44&amp;";",""),IF(AND($G62&lt;Hta_25,$G62&gt;=Hba_25,Input!W$45&lt;&gt;""),Input!$B$45&amp;";",""),IF(AND($G62&lt;Hta_26,$G62&gt;=Hba_26,Input!W$46&lt;&gt;""),Input!$B$46&amp;";",""),IF(AND($G62&lt;Hta_27,$G62&gt;=Hba_27,Input!W$47&lt;&gt;""),Input!$B$47&amp;";",""),IF(AND($G62&lt;Hta_28,$G62&gt;=Hba_28,Input!W$48&lt;&gt;""),Input!$B$48&amp;";",""),IF(AND($G62&lt;Hta_29,$G62&gt;=Hba_29,Input!W$49&lt;&gt;""),Input!$B$49&amp;";",""),IF(AND($G62&lt;Hta_30,$G62&gt;=Hba_30,Input!W$50&lt;&gt;""),Input!$B$50&amp;";","")),"")</f>
        <v/>
      </c>
      <c r="BY62" s="25" t="str">
        <f>IFERROR(CONCATENATE(IF(AND($G62&lt;Hta_1,$G62&gt;=Hba_1,Input!X$21&lt;&gt;""),Input!$B$21&amp;";",""),IF(AND($G62&lt;Hta_2,$G62&gt;=Hba_2,Input!X$22&lt;&gt;""),Input!$B$22&amp;";",""),IF(AND($G62&lt;Hta_3,$G62&gt;=Hba_3,Input!X$23&lt;&gt;""),Input!$B$23&amp;";",""),IF(AND($G62&lt;Hta_4,$G62&gt;=Hba_4,Input!X$24&lt;&gt;""),Input!$B$24&amp;";",""),IF(AND($G62&lt;Hta_5,$G62&gt;=Hba_5,Input!X$25&lt;&gt;""),Input!$B$25&amp;";",""),IF(AND($G62&lt;Hta_6,$G62&gt;=Hba_6,Input!X$26&lt;&gt;""),Input!$B$26&amp;";",""),IF(AND($G62&lt;Hta_7,$G62&gt;=Hba_7,Input!X$27&lt;&gt;""),Input!$B$27&amp;";",""),IF(AND($G62&lt;Hta_8,$G62&gt;=Hba_8,Input!X$28&lt;&gt;""),Input!$B$28&amp;";",""),IF(AND($G62&lt;Hta_9,$G62&gt;=Hba_9,Input!X$29&lt;&gt;""),Input!$B$29&amp;";",""),IF(AND($G62&lt;Hta_10,$G62&gt;=Hba_10,Input!X$30&lt;&gt;""),Input!$B$30&amp;";",""),IF(AND($G62&lt;Hta_11,$G62&gt;=Hba_11,Input!X$31&lt;&gt;""),Input!$B$31&amp;";",""),IF(AND($G62&lt;Hta_12,$G62&gt;=Hba_12,Input!X$32&lt;&gt;""),Input!$B$32&amp;";",""),IF(AND($G62&lt;Hta_13,$G62&gt;=Hba_13,Input!X$33&lt;&gt;""),Input!$B$33&amp;";",""),IF(AND($G62&lt;Hta_14,$G62&gt;=Hba_14,Input!X$34&lt;&gt;""),Input!$B$34&amp;";",""),IF(AND($G62&lt;Hta_15,$G62&gt;=Hba_15,Input!X$35&lt;&gt;""),Input!$B$35&amp;";",""),IF(AND($G62&lt;Hta_16,$G62&gt;=Hba_16,Input!X$36&lt;&gt;""),Input!$B$36&amp;";",""),IF(AND($G62&lt;Hta_17,$G62&gt;=Hba_17,Input!X$37&lt;&gt;""),Input!$B$37&amp;";",""),IF(AND($G62&lt;Hta_18,$G62&gt;=Hba_18,Input!X$38&lt;&gt;""),Input!$B$38&amp;";",""),IF(AND($G62&lt;Hta_19,$G62&gt;=Hba_19,Input!X$39&lt;&gt;""),Input!$B$39&amp;";",""),IF(AND($G62&lt;Hta_20,$G62&gt;=Hba_20,Input!X$40&lt;&gt;""),Input!$B$40&amp;";",""),IF(AND($G62&lt;Hta_21,$G62&gt;=Hba_21,Input!X$41&lt;&gt;""),Input!$B$41&amp;";",""),IF(AND($G62&lt;Hta_22,$G62&gt;=Hba_22,Input!X$42&lt;&gt;""),Input!$B$42&amp;";",""),IF(AND($G62&lt;Hta_23,$G62&gt;=Hba_23,Input!X$43&lt;&gt;""),Input!$B$43&amp;";",""),IF(AND($G62&lt;Hta_24,$G62&gt;=Hba_24,Input!X$44&lt;&gt;""),Input!$B$44&amp;";",""),IF(AND($G62&lt;Hta_25,$G62&gt;=Hba_25,Input!X$45&lt;&gt;""),Input!$B$45&amp;";",""),IF(AND($G62&lt;Hta_26,$G62&gt;=Hba_26,Input!X$46&lt;&gt;""),Input!$B$46&amp;";",""),IF(AND($G62&lt;Hta_27,$G62&gt;=Hba_27,Input!X$47&lt;&gt;""),Input!$B$47&amp;";",""),IF(AND($G62&lt;Hta_28,$G62&gt;=Hba_28,Input!X$48&lt;&gt;""),Input!$B$48&amp;";",""),IF(AND($G62&lt;Hta_29,$G62&gt;=Hba_29,Input!X$49&lt;&gt;""),Input!$B$49&amp;";",""),IF(AND($G62&lt;Hta_30,$G62&gt;=Hba_30,Input!X$50&lt;&gt;""),Input!$B$50&amp;";","")),"")</f>
        <v/>
      </c>
      <c r="BZ62" s="25" t="str">
        <f>IFERROR(CONCATENATE(IF(AND($G62&lt;Hta_1,$G62&gt;=Hba_1,Input!Y$21&lt;&gt;""),Input!$B$21&amp;";",""),IF(AND($G62&lt;Hta_2,$G62&gt;=Hba_2,Input!Y$22&lt;&gt;""),Input!$B$22&amp;";",""),IF(AND($G62&lt;Hta_3,$G62&gt;=Hba_3,Input!Y$23&lt;&gt;""),Input!$B$23&amp;";",""),IF(AND($G62&lt;Hta_4,$G62&gt;=Hba_4,Input!Y$24&lt;&gt;""),Input!$B$24&amp;";",""),IF(AND($G62&lt;Hta_5,$G62&gt;=Hba_5,Input!Y$25&lt;&gt;""),Input!$B$25&amp;";",""),IF(AND($G62&lt;Hta_6,$G62&gt;=Hba_6,Input!Y$26&lt;&gt;""),Input!$B$26&amp;";",""),IF(AND($G62&lt;Hta_7,$G62&gt;=Hba_7,Input!Y$27&lt;&gt;""),Input!$B$27&amp;";",""),IF(AND($G62&lt;Hta_8,$G62&gt;=Hba_8,Input!Y$28&lt;&gt;""),Input!$B$28&amp;";",""),IF(AND($G62&lt;Hta_9,$G62&gt;=Hba_9,Input!Y$29&lt;&gt;""),Input!$B$29&amp;";",""),IF(AND($G62&lt;Hta_10,$G62&gt;=Hba_10,Input!Y$30&lt;&gt;""),Input!$B$30&amp;";",""),IF(AND($G62&lt;Hta_11,$G62&gt;=Hba_11,Input!Y$31&lt;&gt;""),Input!$B$31&amp;";",""),IF(AND($G62&lt;Hta_12,$G62&gt;=Hba_12,Input!Y$32&lt;&gt;""),Input!$B$32&amp;";",""),IF(AND($G62&lt;Hta_13,$G62&gt;=Hba_13,Input!Y$33&lt;&gt;""),Input!$B$33&amp;";",""),IF(AND($G62&lt;Hta_14,$G62&gt;=Hba_14,Input!Y$34&lt;&gt;""),Input!$B$34&amp;";",""),IF(AND($G62&lt;Hta_15,$G62&gt;=Hba_15,Input!Y$35&lt;&gt;""),Input!$B$35&amp;";",""),IF(AND($G62&lt;Hta_16,$G62&gt;=Hba_16,Input!Y$36&lt;&gt;""),Input!$B$36&amp;";",""),IF(AND($G62&lt;Hta_17,$G62&gt;=Hba_17,Input!Y$37&lt;&gt;""),Input!$B$37&amp;";",""),IF(AND($G62&lt;Hta_18,$G62&gt;=Hba_18,Input!Y$38&lt;&gt;""),Input!$B$38&amp;";",""),IF(AND($G62&lt;Hta_19,$G62&gt;=Hba_19,Input!Y$39&lt;&gt;""),Input!$B$39&amp;";",""),IF(AND($G62&lt;Hta_20,$G62&gt;=Hba_20,Input!Y$40&lt;&gt;""),Input!$B$40&amp;";",""),IF(AND($G62&lt;Hta_21,$G62&gt;=Hba_21,Input!Y$41&lt;&gt;""),Input!$B$41&amp;";",""),IF(AND($G62&lt;Hta_22,$G62&gt;=Hba_22,Input!Y$42&lt;&gt;""),Input!$B$42&amp;";",""),IF(AND($G62&lt;Hta_23,$G62&gt;=Hba_23,Input!Y$43&lt;&gt;""),Input!$B$43&amp;";",""),IF(AND($G62&lt;Hta_24,$G62&gt;=Hba_24,Input!Y$44&lt;&gt;""),Input!$B$44&amp;";",""),IF(AND($G62&lt;Hta_25,$G62&gt;=Hba_25,Input!Y$45&lt;&gt;""),Input!$B$45&amp;";",""),IF(AND($G62&lt;Hta_26,$G62&gt;=Hba_26,Input!Y$46&lt;&gt;""),Input!$B$46&amp;";",""),IF(AND($G62&lt;Hta_27,$G62&gt;=Hba_27,Input!Y$47&lt;&gt;""),Input!$B$47&amp;";",""),IF(AND($G62&lt;Hta_28,$G62&gt;=Hba_28,Input!Y$48&lt;&gt;""),Input!$B$48&amp;";",""),IF(AND($G62&lt;Hta_29,$G62&gt;=Hba_29,Input!Y$49&lt;&gt;""),Input!$B$49&amp;";",""),IF(AND($G62&lt;Hta_30,$G62&gt;=Hba_30,Input!Y$50&lt;&gt;""),Input!$B$50&amp;";","")),"")</f>
        <v/>
      </c>
      <c r="CA62" s="25" t="str">
        <f>IFERROR(CONCATENATE(IF(AND($G62&lt;Hta_1,$G62&gt;=Hba_1,Input!Z$21&lt;&gt;""),Input!$B$21&amp;";",""),IF(AND($G62&lt;Hta_2,$G62&gt;=Hba_2,Input!Z$22&lt;&gt;""),Input!$B$22&amp;";",""),IF(AND($G62&lt;Hta_3,$G62&gt;=Hba_3,Input!Z$23&lt;&gt;""),Input!$B$23&amp;";",""),IF(AND($G62&lt;Hta_4,$G62&gt;=Hba_4,Input!Z$24&lt;&gt;""),Input!$B$24&amp;";",""),IF(AND($G62&lt;Hta_5,$G62&gt;=Hba_5,Input!Z$25&lt;&gt;""),Input!$B$25&amp;";",""),IF(AND($G62&lt;Hta_6,$G62&gt;=Hba_6,Input!Z$26&lt;&gt;""),Input!$B$26&amp;";",""),IF(AND($G62&lt;Hta_7,$G62&gt;=Hba_7,Input!Z$27&lt;&gt;""),Input!$B$27&amp;";",""),IF(AND($G62&lt;Hta_8,$G62&gt;=Hba_8,Input!Z$28&lt;&gt;""),Input!$B$28&amp;";",""),IF(AND($G62&lt;Hta_9,$G62&gt;=Hba_9,Input!Z$29&lt;&gt;""),Input!$B$29&amp;";",""),IF(AND($G62&lt;Hta_10,$G62&gt;=Hba_10,Input!Z$30&lt;&gt;""),Input!$B$30&amp;";",""),IF(AND($G62&lt;Hta_11,$G62&gt;=Hba_11,Input!Z$31&lt;&gt;""),Input!$B$31&amp;";",""),IF(AND($G62&lt;Hta_12,$G62&gt;=Hba_12,Input!Z$32&lt;&gt;""),Input!$B$32&amp;";",""),IF(AND($G62&lt;Hta_13,$G62&gt;=Hba_13,Input!Z$33&lt;&gt;""),Input!$B$33&amp;";",""),IF(AND($G62&lt;Hta_14,$G62&gt;=Hba_14,Input!Z$34&lt;&gt;""),Input!$B$34&amp;";",""),IF(AND($G62&lt;Hta_15,$G62&gt;=Hba_15,Input!Z$35&lt;&gt;""),Input!$B$35&amp;";",""),IF(AND($G62&lt;Hta_16,$G62&gt;=Hba_16,Input!Z$36&lt;&gt;""),Input!$B$36&amp;";",""),IF(AND($G62&lt;Hta_17,$G62&gt;=Hba_17,Input!Z$37&lt;&gt;""),Input!$B$37&amp;";",""),IF(AND($G62&lt;Hta_18,$G62&gt;=Hba_18,Input!Z$38&lt;&gt;""),Input!$B$38&amp;";",""),IF(AND($G62&lt;Hta_19,$G62&gt;=Hba_19,Input!Z$39&lt;&gt;""),Input!$B$39&amp;";",""),IF(AND($G62&lt;Hta_20,$G62&gt;=Hba_20,Input!Z$40&lt;&gt;""),Input!$B$40&amp;";",""),IF(AND($G62&lt;Hta_21,$G62&gt;=Hba_21,Input!Z$41&lt;&gt;""),Input!$B$41&amp;";",""),IF(AND($G62&lt;Hta_22,$G62&gt;=Hba_22,Input!Z$42&lt;&gt;""),Input!$B$42&amp;";",""),IF(AND($G62&lt;Hta_23,$G62&gt;=Hba_23,Input!Z$43&lt;&gt;""),Input!$B$43&amp;";",""),IF(AND($G62&lt;Hta_24,$G62&gt;=Hba_24,Input!Z$44&lt;&gt;""),Input!$B$44&amp;";",""),IF(AND($G62&lt;Hta_25,$G62&gt;=Hba_25,Input!Z$45&lt;&gt;""),Input!$B$45&amp;";",""),IF(AND($G62&lt;Hta_26,$G62&gt;=Hba_26,Input!Z$46&lt;&gt;""),Input!$B$46&amp;";",""),IF(AND($G62&lt;Hta_27,$G62&gt;=Hba_27,Input!Z$47&lt;&gt;""),Input!$B$47&amp;";",""),IF(AND($G62&lt;Hta_28,$G62&gt;=Hba_28,Input!Z$48&lt;&gt;""),Input!$B$48&amp;";",""),IF(AND($G62&lt;Hta_29,$G62&gt;=Hba_29,Input!Z$49&lt;&gt;""),Input!$B$49&amp;";",""),IF(AND($G62&lt;Hta_30,$G62&gt;=Hba_30,Input!Z$50&lt;&gt;""),Input!$B$50&amp;";","")),"")</f>
        <v/>
      </c>
      <c r="CB62" s="25" t="str">
        <f>IFERROR(CONCATENATE(IF(AND($G62&lt;Hta_1,$G62&gt;=Hba_1,Input!AA$21&lt;&gt;""),Input!$B$21&amp;";",""),IF(AND($G62&lt;Hta_2,$G62&gt;=Hba_2,Input!AA$22&lt;&gt;""),Input!$B$22&amp;";",""),IF(AND($G62&lt;Hta_3,$G62&gt;=Hba_3,Input!AA$23&lt;&gt;""),Input!$B$23&amp;";",""),IF(AND($G62&lt;Hta_4,$G62&gt;=Hba_4,Input!AA$24&lt;&gt;""),Input!$B$24&amp;";",""),IF(AND($G62&lt;Hta_5,$G62&gt;=Hba_5,Input!AA$25&lt;&gt;""),Input!$B$25&amp;";",""),IF(AND($G62&lt;Hta_6,$G62&gt;=Hba_6,Input!AA$26&lt;&gt;""),Input!$B$26&amp;";",""),IF(AND($G62&lt;Hta_7,$G62&gt;=Hba_7,Input!AA$27&lt;&gt;""),Input!$B$27&amp;";",""),IF(AND($G62&lt;Hta_8,$G62&gt;=Hba_8,Input!AA$28&lt;&gt;""),Input!$B$28&amp;";",""),IF(AND($G62&lt;Hta_9,$G62&gt;=Hba_9,Input!AA$29&lt;&gt;""),Input!$B$29&amp;";",""),IF(AND($G62&lt;Hta_10,$G62&gt;=Hba_10,Input!AA$30&lt;&gt;""),Input!$B$30&amp;";",""),IF(AND($G62&lt;Hta_11,$G62&gt;=Hba_11,Input!AA$31&lt;&gt;""),Input!$B$31&amp;";",""),IF(AND($G62&lt;Hta_12,$G62&gt;=Hba_12,Input!AA$32&lt;&gt;""),Input!$B$32&amp;";",""),IF(AND($G62&lt;Hta_13,$G62&gt;=Hba_13,Input!AA$33&lt;&gt;""),Input!$B$33&amp;";",""),IF(AND($G62&lt;Hta_14,$G62&gt;=Hba_14,Input!AA$34&lt;&gt;""),Input!$B$34&amp;";",""),IF(AND($G62&lt;Hta_15,$G62&gt;=Hba_15,Input!AA$35&lt;&gt;""),Input!$B$35&amp;";",""),IF(AND($G62&lt;Hta_16,$G62&gt;=Hba_16,Input!AA$36&lt;&gt;""),Input!$B$36&amp;";",""),IF(AND($G62&lt;Hta_17,$G62&gt;=Hba_17,Input!AA$37&lt;&gt;""),Input!$B$37&amp;";",""),IF(AND($G62&lt;Hta_18,$G62&gt;=Hba_18,Input!AA$38&lt;&gt;""),Input!$B$38&amp;";",""),IF(AND($G62&lt;Hta_19,$G62&gt;=Hba_19,Input!AA$39&lt;&gt;""),Input!$B$39&amp;";",""),IF(AND($G62&lt;Hta_20,$G62&gt;=Hba_20,Input!AA$40&lt;&gt;""),Input!$B$40&amp;";",""),IF(AND($G62&lt;Hta_21,$G62&gt;=Hba_21,Input!AA$41&lt;&gt;""),Input!$B$41&amp;";",""),IF(AND($G62&lt;Hta_22,$G62&gt;=Hba_22,Input!AA$42&lt;&gt;""),Input!$B$42&amp;";",""),IF(AND($G62&lt;Hta_23,$G62&gt;=Hba_23,Input!AA$43&lt;&gt;""),Input!$B$43&amp;";",""),IF(AND($G62&lt;Hta_24,$G62&gt;=Hba_24,Input!AA$44&lt;&gt;""),Input!$B$44&amp;";",""),IF(AND($G62&lt;Hta_25,$G62&gt;=Hba_25,Input!AA$45&lt;&gt;""),Input!$B$45&amp;";",""),IF(AND($G62&lt;Hta_26,$G62&gt;=Hba_26,Input!AA$46&lt;&gt;""),Input!$B$46&amp;";",""),IF(AND($G62&lt;Hta_27,$G62&gt;=Hba_27,Input!AA$47&lt;&gt;""),Input!$B$47&amp;";",""),IF(AND($G62&lt;Hta_28,$G62&gt;=Hba_28,Input!AA$48&lt;&gt;""),Input!$B$48&amp;";",""),IF(AND($G62&lt;Hta_29,$G62&gt;=Hba_29,Input!AA$49&lt;&gt;""),Input!$B$49&amp;";",""),IF(AND($G62&lt;Hta_30,$G62&gt;=Hba_30,Input!AA$50&lt;&gt;""),Input!$B$50&amp;";","")),"")</f>
        <v/>
      </c>
      <c r="CC62" s="25" t="str">
        <f>IFERROR(CONCATENATE(IF(AND($G62&lt;Hta_1,$G62&gt;=Hba_1,Input!AB$21&lt;&gt;""),Input!$B$21&amp;";",""),IF(AND($G62&lt;Hta_2,$G62&gt;=Hba_2,Input!AB$22&lt;&gt;""),Input!$B$22&amp;";",""),IF(AND($G62&lt;Hta_3,$G62&gt;=Hba_3,Input!AB$23&lt;&gt;""),Input!$B$23&amp;";",""),IF(AND($G62&lt;Hta_4,$G62&gt;=Hba_4,Input!AB$24&lt;&gt;""),Input!$B$24&amp;";",""),IF(AND($G62&lt;Hta_5,$G62&gt;=Hba_5,Input!AB$25&lt;&gt;""),Input!$B$25&amp;";",""),IF(AND($G62&lt;Hta_6,$G62&gt;=Hba_6,Input!AB$26&lt;&gt;""),Input!$B$26&amp;";",""),IF(AND($G62&lt;Hta_7,$G62&gt;=Hba_7,Input!AB$27&lt;&gt;""),Input!$B$27&amp;";",""),IF(AND($G62&lt;Hta_8,$G62&gt;=Hba_8,Input!AB$28&lt;&gt;""),Input!$B$28&amp;";",""),IF(AND($G62&lt;Hta_9,$G62&gt;=Hba_9,Input!AB$29&lt;&gt;""),Input!$B$29&amp;";",""),IF(AND($G62&lt;Hta_10,$G62&gt;=Hba_10,Input!AB$30&lt;&gt;""),Input!$B$30&amp;";",""),IF(AND($G62&lt;Hta_11,$G62&gt;=Hba_11,Input!AB$31&lt;&gt;""),Input!$B$31&amp;";",""),IF(AND($G62&lt;Hta_12,$G62&gt;=Hba_12,Input!AB$32&lt;&gt;""),Input!$B$32&amp;";",""),IF(AND($G62&lt;Hta_13,$G62&gt;=Hba_13,Input!AB$33&lt;&gt;""),Input!$B$33&amp;";",""),IF(AND($G62&lt;Hta_14,$G62&gt;=Hba_14,Input!AB$34&lt;&gt;""),Input!$B$34&amp;";",""),IF(AND($G62&lt;Hta_15,$G62&gt;=Hba_15,Input!AB$35&lt;&gt;""),Input!$B$35&amp;";",""),IF(AND($G62&lt;Hta_16,$G62&gt;=Hba_16,Input!AB$36&lt;&gt;""),Input!$B$36&amp;";",""),IF(AND($G62&lt;Hta_17,$G62&gt;=Hba_17,Input!AB$37&lt;&gt;""),Input!$B$37&amp;";",""),IF(AND($G62&lt;Hta_18,$G62&gt;=Hba_18,Input!AB$38&lt;&gt;""),Input!$B$38&amp;";",""),IF(AND($G62&lt;Hta_19,$G62&gt;=Hba_19,Input!AB$39&lt;&gt;""),Input!$B$39&amp;";",""),IF(AND($G62&lt;Hta_20,$G62&gt;=Hba_20,Input!AB$40&lt;&gt;""),Input!$B$40&amp;";",""),IF(AND($G62&lt;Hta_21,$G62&gt;=Hba_21,Input!AB$41&lt;&gt;""),Input!$B$41&amp;";",""),IF(AND($G62&lt;Hta_22,$G62&gt;=Hba_22,Input!AB$42&lt;&gt;""),Input!$B$42&amp;";",""),IF(AND($G62&lt;Hta_23,$G62&gt;=Hba_23,Input!AB$43&lt;&gt;""),Input!$B$43&amp;";",""),IF(AND($G62&lt;Hta_24,$G62&gt;=Hba_24,Input!AB$44&lt;&gt;""),Input!$B$44&amp;";",""),IF(AND($G62&lt;Hta_25,$G62&gt;=Hba_25,Input!AB$45&lt;&gt;""),Input!$B$45&amp;";",""),IF(AND($G62&lt;Hta_26,$G62&gt;=Hba_26,Input!AB$46&lt;&gt;""),Input!$B$46&amp;";",""),IF(AND($G62&lt;Hta_27,$G62&gt;=Hba_27,Input!AB$47&lt;&gt;""),Input!$B$47&amp;";",""),IF(AND($G62&lt;Hta_28,$G62&gt;=Hba_28,Input!AB$48&lt;&gt;""),Input!$B$48&amp;";",""),IF(AND($G62&lt;Hta_29,$G62&gt;=Hba_29,Input!AB$49&lt;&gt;""),Input!$B$49&amp;";",""),IF(AND($G62&lt;Hta_30,$G62&gt;=Hba_30,Input!AB$50&lt;&gt;""),Input!$B$50&amp;";","")),"")</f>
        <v/>
      </c>
      <c r="CD62" s="25" t="str">
        <f>IFERROR(CONCATENATE(IF(AND($G62&lt;Hta_1,$G62&gt;=Hba_1,Input!AC$21&lt;&gt;""),Input!$B$21&amp;";",""),IF(AND($G62&lt;Hta_2,$G62&gt;=Hba_2,Input!AC$22&lt;&gt;""),Input!$B$22&amp;";",""),IF(AND($G62&lt;Hta_3,$G62&gt;=Hba_3,Input!AC$23&lt;&gt;""),Input!$B$23&amp;";",""),IF(AND($G62&lt;Hta_4,$G62&gt;=Hba_4,Input!AC$24&lt;&gt;""),Input!$B$24&amp;";",""),IF(AND($G62&lt;Hta_5,$G62&gt;=Hba_5,Input!AC$25&lt;&gt;""),Input!$B$25&amp;";",""),IF(AND($G62&lt;Hta_6,$G62&gt;=Hba_6,Input!AC$26&lt;&gt;""),Input!$B$26&amp;";",""),IF(AND($G62&lt;Hta_7,$G62&gt;=Hba_7,Input!AC$27&lt;&gt;""),Input!$B$27&amp;";",""),IF(AND($G62&lt;Hta_8,$G62&gt;=Hba_8,Input!AC$28&lt;&gt;""),Input!$B$28&amp;";",""),IF(AND($G62&lt;Hta_9,$G62&gt;=Hba_9,Input!AC$29&lt;&gt;""),Input!$B$29&amp;";",""),IF(AND($G62&lt;Hta_10,$G62&gt;=Hba_10,Input!AC$30&lt;&gt;""),Input!$B$30&amp;";",""),IF(AND($G62&lt;Hta_11,$G62&gt;=Hba_11,Input!AC$31&lt;&gt;""),Input!$B$31&amp;";",""),IF(AND($G62&lt;Hta_12,$G62&gt;=Hba_12,Input!AC$32&lt;&gt;""),Input!$B$32&amp;";",""),IF(AND($G62&lt;Hta_13,$G62&gt;=Hba_13,Input!AC$33&lt;&gt;""),Input!$B$33&amp;";",""),IF(AND($G62&lt;Hta_14,$G62&gt;=Hba_14,Input!AC$34&lt;&gt;""),Input!$B$34&amp;";",""),IF(AND($G62&lt;Hta_15,$G62&gt;=Hba_15,Input!AC$35&lt;&gt;""),Input!$B$35&amp;";",""),IF(AND($G62&lt;Hta_16,$G62&gt;=Hba_16,Input!AC$36&lt;&gt;""),Input!$B$36&amp;";",""),IF(AND($G62&lt;Hta_17,$G62&gt;=Hba_17,Input!AC$37&lt;&gt;""),Input!$B$37&amp;";",""),IF(AND($G62&lt;Hta_18,$G62&gt;=Hba_18,Input!AC$38&lt;&gt;""),Input!$B$38&amp;";",""),IF(AND($G62&lt;Hta_19,$G62&gt;=Hba_19,Input!AC$39&lt;&gt;""),Input!$B$39&amp;";",""),IF(AND($G62&lt;Hta_20,$G62&gt;=Hba_20,Input!AC$40&lt;&gt;""),Input!$B$40&amp;";",""),IF(AND($G62&lt;Hta_21,$G62&gt;=Hba_21,Input!AC$41&lt;&gt;""),Input!$B$41&amp;";",""),IF(AND($G62&lt;Hta_22,$G62&gt;=Hba_22,Input!AC$42&lt;&gt;""),Input!$B$42&amp;";",""),IF(AND($G62&lt;Hta_23,$G62&gt;=Hba_23,Input!AC$43&lt;&gt;""),Input!$B$43&amp;";",""),IF(AND($G62&lt;Hta_24,$G62&gt;=Hba_24,Input!AC$44&lt;&gt;""),Input!$B$44&amp;";",""),IF(AND($G62&lt;Hta_25,$G62&gt;=Hba_25,Input!AC$45&lt;&gt;""),Input!$B$45&amp;";",""),IF(AND($G62&lt;Hta_26,$G62&gt;=Hba_26,Input!AC$46&lt;&gt;""),Input!$B$46&amp;";",""),IF(AND($G62&lt;Hta_27,$G62&gt;=Hba_27,Input!AC$47&lt;&gt;""),Input!$B$47&amp;";",""),IF(AND($G62&lt;Hta_28,$G62&gt;=Hba_28,Input!AC$48&lt;&gt;""),Input!$B$48&amp;";",""),IF(AND($G62&lt;Hta_29,$G62&gt;=Hba_29,Input!AC$49&lt;&gt;""),Input!$B$49&amp;";",""),IF(AND($G62&lt;Hta_30,$G62&gt;=Hba_30,Input!AC$50&lt;&gt;""),Input!$B$50&amp;";","")),"")</f>
        <v/>
      </c>
      <c r="CE62" s="25" t="str">
        <f>IFERROR(CONCATENATE(IF(AND($G62&lt;Hta_1,$G62&gt;=Hba_1,Input!AD$21&lt;&gt;""),Input!$B$21&amp;";",""),IF(AND($G62&lt;Hta_2,$G62&gt;=Hba_2,Input!AD$22&lt;&gt;""),Input!$B$22&amp;";",""),IF(AND($G62&lt;Hta_3,$G62&gt;=Hba_3,Input!AD$23&lt;&gt;""),Input!$B$23&amp;";",""),IF(AND($G62&lt;Hta_4,$G62&gt;=Hba_4,Input!AD$24&lt;&gt;""),Input!$B$24&amp;";",""),IF(AND($G62&lt;Hta_5,$G62&gt;=Hba_5,Input!AD$25&lt;&gt;""),Input!$B$25&amp;";",""),IF(AND($G62&lt;Hta_6,$G62&gt;=Hba_6,Input!AD$26&lt;&gt;""),Input!$B$26&amp;";",""),IF(AND($G62&lt;Hta_7,$G62&gt;=Hba_7,Input!AD$27&lt;&gt;""),Input!$B$27&amp;";",""),IF(AND($G62&lt;Hta_8,$G62&gt;=Hba_8,Input!AD$28&lt;&gt;""),Input!$B$28&amp;";",""),IF(AND($G62&lt;Hta_9,$G62&gt;=Hba_9,Input!AD$29&lt;&gt;""),Input!$B$29&amp;";",""),IF(AND($G62&lt;Hta_10,$G62&gt;=Hba_10,Input!AD$30&lt;&gt;""),Input!$B$30&amp;";",""),IF(AND($G62&lt;Hta_11,$G62&gt;=Hba_11,Input!AD$31&lt;&gt;""),Input!$B$31&amp;";",""),IF(AND($G62&lt;Hta_12,$G62&gt;=Hba_12,Input!AD$32&lt;&gt;""),Input!$B$32&amp;";",""),IF(AND($G62&lt;Hta_13,$G62&gt;=Hba_13,Input!AD$33&lt;&gt;""),Input!$B$33&amp;";",""),IF(AND($G62&lt;Hta_14,$G62&gt;=Hba_14,Input!AD$34&lt;&gt;""),Input!$B$34&amp;";",""),IF(AND($G62&lt;Hta_15,$G62&gt;=Hba_15,Input!AD$35&lt;&gt;""),Input!$B$35&amp;";",""),IF(AND($G62&lt;Hta_16,$G62&gt;=Hba_16,Input!AD$36&lt;&gt;""),Input!$B$36&amp;";",""),IF(AND($G62&lt;Hta_17,$G62&gt;=Hba_17,Input!AD$37&lt;&gt;""),Input!$B$37&amp;";",""),IF(AND($G62&lt;Hta_18,$G62&gt;=Hba_18,Input!AD$38&lt;&gt;""),Input!$B$38&amp;";",""),IF(AND($G62&lt;Hta_19,$G62&gt;=Hba_19,Input!AD$39&lt;&gt;""),Input!$B$39&amp;";",""),IF(AND($G62&lt;Hta_20,$G62&gt;=Hba_20,Input!AD$40&lt;&gt;""),Input!$B$40&amp;";",""),IF(AND($G62&lt;Hta_21,$G62&gt;=Hba_21,Input!AD$41&lt;&gt;""),Input!$B$41&amp;";",""),IF(AND($G62&lt;Hta_22,$G62&gt;=Hba_22,Input!AD$42&lt;&gt;""),Input!$B$42&amp;";",""),IF(AND($G62&lt;Hta_23,$G62&gt;=Hba_23,Input!AD$43&lt;&gt;""),Input!$B$43&amp;";",""),IF(AND($G62&lt;Hta_24,$G62&gt;=Hba_24,Input!AD$44&lt;&gt;""),Input!$B$44&amp;";",""),IF(AND($G62&lt;Hta_25,$G62&gt;=Hba_25,Input!AD$45&lt;&gt;""),Input!$B$45&amp;";",""),IF(AND($G62&lt;Hta_26,$G62&gt;=Hba_26,Input!AD$46&lt;&gt;""),Input!$B$46&amp;";",""),IF(AND($G62&lt;Hta_27,$G62&gt;=Hba_27,Input!AD$47&lt;&gt;""),Input!$B$47&amp;";",""),IF(AND($G62&lt;Hta_28,$G62&gt;=Hba_28,Input!AD$48&lt;&gt;""),Input!$B$48&amp;";",""),IF(AND($G62&lt;Hta_29,$G62&gt;=Hba_29,Input!AD$49&lt;&gt;""),Input!$B$49&amp;";",""),IF(AND($G62&lt;Hta_30,$G62&gt;=Hba_30,Input!AD$50&lt;&gt;""),Input!$B$50&amp;";","")),"")</f>
        <v/>
      </c>
      <c r="CF62" s="25" t="str">
        <f>IFERROR(CONCATENATE(IF(AND($G62&lt;Hta_1,$G62&gt;=Hba_1,Input!AE$21&lt;&gt;""),Input!$B$21&amp;";",""),IF(AND($G62&lt;Hta_2,$G62&gt;=Hba_2,Input!AE$22&lt;&gt;""),Input!$B$22&amp;";",""),IF(AND($G62&lt;Hta_3,$G62&gt;=Hba_3,Input!AE$23&lt;&gt;""),Input!$B$23&amp;";",""),IF(AND($G62&lt;Hta_4,$G62&gt;=Hba_4,Input!AE$24&lt;&gt;""),Input!$B$24&amp;";",""),IF(AND($G62&lt;Hta_5,$G62&gt;=Hba_5,Input!AE$25&lt;&gt;""),Input!$B$25&amp;";",""),IF(AND($G62&lt;Hta_6,$G62&gt;=Hba_6,Input!AE$26&lt;&gt;""),Input!$B$26&amp;";",""),IF(AND($G62&lt;Hta_7,$G62&gt;=Hba_7,Input!AE$27&lt;&gt;""),Input!$B$27&amp;";",""),IF(AND($G62&lt;Hta_8,$G62&gt;=Hba_8,Input!AE$28&lt;&gt;""),Input!$B$28&amp;";",""),IF(AND($G62&lt;Hta_9,$G62&gt;=Hba_9,Input!AE$29&lt;&gt;""),Input!$B$29&amp;";",""),IF(AND($G62&lt;Hta_10,$G62&gt;=Hba_10,Input!AE$30&lt;&gt;""),Input!$B$30&amp;";",""),IF(AND($G62&lt;Hta_11,$G62&gt;=Hba_11,Input!AE$31&lt;&gt;""),Input!$B$31&amp;";",""),IF(AND($G62&lt;Hta_12,$G62&gt;=Hba_12,Input!AE$32&lt;&gt;""),Input!$B$32&amp;";",""),IF(AND($G62&lt;Hta_13,$G62&gt;=Hba_13,Input!AE$33&lt;&gt;""),Input!$B$33&amp;";",""),IF(AND($G62&lt;Hta_14,$G62&gt;=Hba_14,Input!AE$34&lt;&gt;""),Input!$B$34&amp;";",""),IF(AND($G62&lt;Hta_15,$G62&gt;=Hba_15,Input!AE$35&lt;&gt;""),Input!$B$35&amp;";",""),IF(AND($G62&lt;Hta_16,$G62&gt;=Hba_16,Input!AE$36&lt;&gt;""),Input!$B$36&amp;";",""),IF(AND($G62&lt;Hta_17,$G62&gt;=Hba_17,Input!AE$37&lt;&gt;""),Input!$B$37&amp;";",""),IF(AND($G62&lt;Hta_18,$G62&gt;=Hba_18,Input!AE$38&lt;&gt;""),Input!$B$38&amp;";",""),IF(AND($G62&lt;Hta_19,$G62&gt;=Hba_19,Input!AE$39&lt;&gt;""),Input!$B$39&amp;";",""),IF(AND($G62&lt;Hta_20,$G62&gt;=Hba_20,Input!AE$40&lt;&gt;""),Input!$B$40&amp;";",""),IF(AND($G62&lt;Hta_21,$G62&gt;=Hba_21,Input!AE$41&lt;&gt;""),Input!$B$41&amp;";",""),IF(AND($G62&lt;Hta_22,$G62&gt;=Hba_22,Input!AE$42&lt;&gt;""),Input!$B$42&amp;";",""),IF(AND($G62&lt;Hta_23,$G62&gt;=Hba_23,Input!AE$43&lt;&gt;""),Input!$B$43&amp;";",""),IF(AND($G62&lt;Hta_24,$G62&gt;=Hba_24,Input!AE$44&lt;&gt;""),Input!$B$44&amp;";",""),IF(AND($G62&lt;Hta_25,$G62&gt;=Hba_25,Input!AE$45&lt;&gt;""),Input!$B$45&amp;";",""),IF(AND($G62&lt;Hta_26,$G62&gt;=Hba_26,Input!AE$46&lt;&gt;""),Input!$B$46&amp;";",""),IF(AND($G62&lt;Hta_27,$G62&gt;=Hba_27,Input!AE$47&lt;&gt;""),Input!$B$47&amp;";",""),IF(AND($G62&lt;Hta_28,$G62&gt;=Hba_28,Input!AE$48&lt;&gt;""),Input!$B$48&amp;";",""),IF(AND($G62&lt;Hta_29,$G62&gt;=Hba_29,Input!AE$49&lt;&gt;""),Input!$B$49&amp;";",""),IF(AND($G62&lt;Hta_30,$G62&gt;=Hba_30,Input!AE$50&lt;&gt;""),Input!$B$50&amp;";","")),"")</f>
        <v/>
      </c>
      <c r="CG62" s="25" t="str">
        <f>IFERROR(CONCATENATE(IF(AND($G62&lt;Hta_1,$G62&gt;=Hba_1,Input!AF$21&lt;&gt;""),Input!$B$21&amp;";",""),IF(AND($G62&lt;Hta_2,$G62&gt;=Hba_2,Input!AF$22&lt;&gt;""),Input!$B$22&amp;";",""),IF(AND($G62&lt;Hta_3,$G62&gt;=Hba_3,Input!AF$23&lt;&gt;""),Input!$B$23&amp;";",""),IF(AND($G62&lt;Hta_4,$G62&gt;=Hba_4,Input!AF$24&lt;&gt;""),Input!$B$24&amp;";",""),IF(AND($G62&lt;Hta_5,$G62&gt;=Hba_5,Input!AF$25&lt;&gt;""),Input!$B$25&amp;";",""),IF(AND($G62&lt;Hta_6,$G62&gt;=Hba_6,Input!AF$26&lt;&gt;""),Input!$B$26&amp;";",""),IF(AND($G62&lt;Hta_7,$G62&gt;=Hba_7,Input!AF$27&lt;&gt;""),Input!$B$27&amp;";",""),IF(AND($G62&lt;Hta_8,$G62&gt;=Hba_8,Input!AF$28&lt;&gt;""),Input!$B$28&amp;";",""),IF(AND($G62&lt;Hta_9,$G62&gt;=Hba_9,Input!AF$29&lt;&gt;""),Input!$B$29&amp;";",""),IF(AND($G62&lt;Hta_10,$G62&gt;=Hba_10,Input!AF$30&lt;&gt;""),Input!$B$30&amp;";",""),IF(AND($G62&lt;Hta_11,$G62&gt;=Hba_11,Input!AF$31&lt;&gt;""),Input!$B$31&amp;";",""),IF(AND($G62&lt;Hta_12,$G62&gt;=Hba_12,Input!AF$32&lt;&gt;""),Input!$B$32&amp;";",""),IF(AND($G62&lt;Hta_13,$G62&gt;=Hba_13,Input!AF$33&lt;&gt;""),Input!$B$33&amp;";",""),IF(AND($G62&lt;Hta_14,$G62&gt;=Hba_14,Input!AF$34&lt;&gt;""),Input!$B$34&amp;";",""),IF(AND($G62&lt;Hta_15,$G62&gt;=Hba_15,Input!AF$35&lt;&gt;""),Input!$B$35&amp;";",""),IF(AND($G62&lt;Hta_16,$G62&gt;=Hba_16,Input!AF$36&lt;&gt;""),Input!$B$36&amp;";",""),IF(AND($G62&lt;Hta_17,$G62&gt;=Hba_17,Input!AF$37&lt;&gt;""),Input!$B$37&amp;";",""),IF(AND($G62&lt;Hta_18,$G62&gt;=Hba_18,Input!AF$38&lt;&gt;""),Input!$B$38&amp;";",""),IF(AND($G62&lt;Hta_19,$G62&gt;=Hba_19,Input!AF$39&lt;&gt;""),Input!$B$39&amp;";",""),IF(AND($G62&lt;Hta_20,$G62&gt;=Hba_20,Input!AF$40&lt;&gt;""),Input!$B$40&amp;";",""),IF(AND($G62&lt;Hta_21,$G62&gt;=Hba_21,Input!AF$41&lt;&gt;""),Input!$B$41&amp;";",""),IF(AND($G62&lt;Hta_22,$G62&gt;=Hba_22,Input!AF$42&lt;&gt;""),Input!$B$42&amp;";",""),IF(AND($G62&lt;Hta_23,$G62&gt;=Hba_23,Input!AF$43&lt;&gt;""),Input!$B$43&amp;";",""),IF(AND($G62&lt;Hta_24,$G62&gt;=Hba_24,Input!AF$44&lt;&gt;""),Input!$B$44&amp;";",""),IF(AND($G62&lt;Hta_25,$G62&gt;=Hba_25,Input!AF$45&lt;&gt;""),Input!$B$45&amp;";",""),IF(AND($G62&lt;Hta_26,$G62&gt;=Hba_26,Input!AF$46&lt;&gt;""),Input!$B$46&amp;";",""),IF(AND($G62&lt;Hta_27,$G62&gt;=Hba_27,Input!AF$47&lt;&gt;""),Input!$B$47&amp;";",""),IF(AND($G62&lt;Hta_28,$G62&gt;=Hba_28,Input!AF$48&lt;&gt;""),Input!$B$48&amp;";",""),IF(AND($G62&lt;Hta_29,$G62&gt;=Hba_29,Input!AF$49&lt;&gt;""),Input!$B$49&amp;";",""),IF(AND($G62&lt;Hta_30,$G62&gt;=Hba_30,Input!AF$50&lt;&gt;""),Input!$B$50&amp;";","")),"")</f>
        <v/>
      </c>
      <c r="CH62" s="25" t="str">
        <f>IFERROR(CONCATENATE(IF(AND($G62&lt;Hta_1,$G62&gt;=Hba_1,Input!AG$21&lt;&gt;""),Input!$B$21&amp;";",""),IF(AND($G62&lt;Hta_2,$G62&gt;=Hba_2,Input!AG$22&lt;&gt;""),Input!$B$22&amp;";",""),IF(AND($G62&lt;Hta_3,$G62&gt;=Hba_3,Input!AG$23&lt;&gt;""),Input!$B$23&amp;";",""),IF(AND($G62&lt;Hta_4,$G62&gt;=Hba_4,Input!AG$24&lt;&gt;""),Input!$B$24&amp;";",""),IF(AND($G62&lt;Hta_5,$G62&gt;=Hba_5,Input!AG$25&lt;&gt;""),Input!$B$25&amp;";",""),IF(AND($G62&lt;Hta_6,$G62&gt;=Hba_6,Input!AG$26&lt;&gt;""),Input!$B$26&amp;";",""),IF(AND($G62&lt;Hta_7,$G62&gt;=Hba_7,Input!AG$27&lt;&gt;""),Input!$B$27&amp;";",""),IF(AND($G62&lt;Hta_8,$G62&gt;=Hba_8,Input!AG$28&lt;&gt;""),Input!$B$28&amp;";",""),IF(AND($G62&lt;Hta_9,$G62&gt;=Hba_9,Input!AG$29&lt;&gt;""),Input!$B$29&amp;";",""),IF(AND($G62&lt;Hta_10,$G62&gt;=Hba_10,Input!AG$30&lt;&gt;""),Input!$B$30&amp;";",""),IF(AND($G62&lt;Hta_11,$G62&gt;=Hba_11,Input!AG$31&lt;&gt;""),Input!$B$31&amp;";",""),IF(AND($G62&lt;Hta_12,$G62&gt;=Hba_12,Input!AG$32&lt;&gt;""),Input!$B$32&amp;";",""),IF(AND($G62&lt;Hta_13,$G62&gt;=Hba_13,Input!AG$33&lt;&gt;""),Input!$B$33&amp;";",""),IF(AND($G62&lt;Hta_14,$G62&gt;=Hba_14,Input!AG$34&lt;&gt;""),Input!$B$34&amp;";",""),IF(AND($G62&lt;Hta_15,$G62&gt;=Hba_15,Input!AG$35&lt;&gt;""),Input!$B$35&amp;";",""),IF(AND($G62&lt;Hta_16,$G62&gt;=Hba_16,Input!AG$36&lt;&gt;""),Input!$B$36&amp;";",""),IF(AND($G62&lt;Hta_17,$G62&gt;=Hba_17,Input!AG$37&lt;&gt;""),Input!$B$37&amp;";",""),IF(AND($G62&lt;Hta_18,$G62&gt;=Hba_18,Input!AG$38&lt;&gt;""),Input!$B$38&amp;";",""),IF(AND($G62&lt;Hta_19,$G62&gt;=Hba_19,Input!AG$39&lt;&gt;""),Input!$B$39&amp;";",""),IF(AND($G62&lt;Hta_20,$G62&gt;=Hba_20,Input!AG$40&lt;&gt;""),Input!$B$40&amp;";",""),IF(AND($G62&lt;Hta_21,$G62&gt;=Hba_21,Input!AG$41&lt;&gt;""),Input!$B$41&amp;";",""),IF(AND($G62&lt;Hta_22,$G62&gt;=Hba_22,Input!AG$42&lt;&gt;""),Input!$B$42&amp;";",""),IF(AND($G62&lt;Hta_23,$G62&gt;=Hba_23,Input!AG$43&lt;&gt;""),Input!$B$43&amp;";",""),IF(AND($G62&lt;Hta_24,$G62&gt;=Hba_24,Input!AG$44&lt;&gt;""),Input!$B$44&amp;";",""),IF(AND($G62&lt;Hta_25,$G62&gt;=Hba_25,Input!AG$45&lt;&gt;""),Input!$B$45&amp;";",""),IF(AND($G62&lt;Hta_26,$G62&gt;=Hba_26,Input!AG$46&lt;&gt;""),Input!$B$46&amp;";",""),IF(AND($G62&lt;Hta_27,$G62&gt;=Hba_27,Input!AG$47&lt;&gt;""),Input!$B$47&amp;";",""),IF(AND($G62&lt;Hta_28,$G62&gt;=Hba_28,Input!AG$48&lt;&gt;""),Input!$B$48&amp;";",""),IF(AND($G62&lt;Hta_29,$G62&gt;=Hba_29,Input!AG$49&lt;&gt;""),Input!$B$49&amp;";",""),IF(AND($G62&lt;Hta_30,$G62&gt;=Hba_30,Input!AG$50&lt;&gt;""),Input!$B$50&amp;";","")),"")</f>
        <v/>
      </c>
      <c r="CI62" s="25" t="str">
        <f>IFERROR(CONCATENATE(IF(AND($G62&lt;Hta_1,$G62&gt;=Hba_1,Input!AH$21&lt;&gt;""),Input!$B$21&amp;";",""),IF(AND($G62&lt;Hta_2,$G62&gt;=Hba_2,Input!AH$22&lt;&gt;""),Input!$B$22&amp;";",""),IF(AND($G62&lt;Hta_3,$G62&gt;=Hba_3,Input!AH$23&lt;&gt;""),Input!$B$23&amp;";",""),IF(AND($G62&lt;Hta_4,$G62&gt;=Hba_4,Input!AH$24&lt;&gt;""),Input!$B$24&amp;";",""),IF(AND($G62&lt;Hta_5,$G62&gt;=Hba_5,Input!AH$25&lt;&gt;""),Input!$B$25&amp;";",""),IF(AND($G62&lt;Hta_6,$G62&gt;=Hba_6,Input!AH$26&lt;&gt;""),Input!$B$26&amp;";",""),IF(AND($G62&lt;Hta_7,$G62&gt;=Hba_7,Input!AH$27&lt;&gt;""),Input!$B$27&amp;";",""),IF(AND($G62&lt;Hta_8,$G62&gt;=Hba_8,Input!AH$28&lt;&gt;""),Input!$B$28&amp;";",""),IF(AND($G62&lt;Hta_9,$G62&gt;=Hba_9,Input!AH$29&lt;&gt;""),Input!$B$29&amp;";",""),IF(AND($G62&lt;Hta_10,$G62&gt;=Hba_10,Input!AH$30&lt;&gt;""),Input!$B$30&amp;";",""),IF(AND($G62&lt;Hta_11,$G62&gt;=Hba_11,Input!AH$31&lt;&gt;""),Input!$B$31&amp;";",""),IF(AND($G62&lt;Hta_12,$G62&gt;=Hba_12,Input!AH$32&lt;&gt;""),Input!$B$32&amp;";",""),IF(AND($G62&lt;Hta_13,$G62&gt;=Hba_13,Input!AH$33&lt;&gt;""),Input!$B$33&amp;";",""),IF(AND($G62&lt;Hta_14,$G62&gt;=Hba_14,Input!AH$34&lt;&gt;""),Input!$B$34&amp;";",""),IF(AND($G62&lt;Hta_15,$G62&gt;=Hba_15,Input!AH$35&lt;&gt;""),Input!$B$35&amp;";",""),IF(AND($G62&lt;Hta_16,$G62&gt;=Hba_16,Input!AH$36&lt;&gt;""),Input!$B$36&amp;";",""),IF(AND($G62&lt;Hta_17,$G62&gt;=Hba_17,Input!AH$37&lt;&gt;""),Input!$B$37&amp;";",""),IF(AND($G62&lt;Hta_18,$G62&gt;=Hba_18,Input!AH$38&lt;&gt;""),Input!$B$38&amp;";",""),IF(AND($G62&lt;Hta_19,$G62&gt;=Hba_19,Input!AH$39&lt;&gt;""),Input!$B$39&amp;";",""),IF(AND($G62&lt;Hta_20,$G62&gt;=Hba_20,Input!AH$40&lt;&gt;""),Input!$B$40&amp;";",""),IF(AND($G62&lt;Hta_21,$G62&gt;=Hba_21,Input!AH$41&lt;&gt;""),Input!$B$41&amp;";",""),IF(AND($G62&lt;Hta_22,$G62&gt;=Hba_22,Input!AH$42&lt;&gt;""),Input!$B$42&amp;";",""),IF(AND($G62&lt;Hta_23,$G62&gt;=Hba_23,Input!AH$43&lt;&gt;""),Input!$B$43&amp;";",""),IF(AND($G62&lt;Hta_24,$G62&gt;=Hba_24,Input!AH$44&lt;&gt;""),Input!$B$44&amp;";",""),IF(AND($G62&lt;Hta_25,$G62&gt;=Hba_25,Input!AH$45&lt;&gt;""),Input!$B$45&amp;";",""),IF(AND($G62&lt;Hta_26,$G62&gt;=Hba_26,Input!AH$46&lt;&gt;""),Input!$B$46&amp;";",""),IF(AND($G62&lt;Hta_27,$G62&gt;=Hba_27,Input!AH$47&lt;&gt;""),Input!$B$47&amp;";",""),IF(AND($G62&lt;Hta_28,$G62&gt;=Hba_28,Input!AH$48&lt;&gt;""),Input!$B$48&amp;";",""),IF(AND($G62&lt;Hta_29,$G62&gt;=Hba_29,Input!AH$49&lt;&gt;""),Input!$B$49&amp;";",""),IF(AND($G62&lt;Hta_30,$G62&gt;=Hba_30,Input!AH$50&lt;&gt;""),Input!$B$50&amp;";","")),"")</f>
        <v/>
      </c>
      <c r="CJ62" s="25" t="str">
        <f>IFERROR(CONCATENATE(IF(AND($G62&lt;Hta_1,$G62&gt;=Hba_1,Input!AI$21&lt;&gt;""),Input!$B$21&amp;";",""),IF(AND($G62&lt;Hta_2,$G62&gt;=Hba_2,Input!AI$22&lt;&gt;""),Input!$B$22&amp;";",""),IF(AND($G62&lt;Hta_3,$G62&gt;=Hba_3,Input!AI$23&lt;&gt;""),Input!$B$23&amp;";",""),IF(AND($G62&lt;Hta_4,$G62&gt;=Hba_4,Input!AI$24&lt;&gt;""),Input!$B$24&amp;";",""),IF(AND($G62&lt;Hta_5,$G62&gt;=Hba_5,Input!AI$25&lt;&gt;""),Input!$B$25&amp;";",""),IF(AND($G62&lt;Hta_6,$G62&gt;=Hba_6,Input!AI$26&lt;&gt;""),Input!$B$26&amp;";",""),IF(AND($G62&lt;Hta_7,$G62&gt;=Hba_7,Input!AI$27&lt;&gt;""),Input!$B$27&amp;";",""),IF(AND($G62&lt;Hta_8,$G62&gt;=Hba_8,Input!AI$28&lt;&gt;""),Input!$B$28&amp;";",""),IF(AND($G62&lt;Hta_9,$G62&gt;=Hba_9,Input!AI$29&lt;&gt;""),Input!$B$29&amp;";",""),IF(AND($G62&lt;Hta_10,$G62&gt;=Hba_10,Input!AI$30&lt;&gt;""),Input!$B$30&amp;";",""),IF(AND($G62&lt;Hta_11,$G62&gt;=Hba_11,Input!AI$31&lt;&gt;""),Input!$B$31&amp;";",""),IF(AND($G62&lt;Hta_12,$G62&gt;=Hba_12,Input!AI$32&lt;&gt;""),Input!$B$32&amp;";",""),IF(AND($G62&lt;Hta_13,$G62&gt;=Hba_13,Input!AI$33&lt;&gt;""),Input!$B$33&amp;";",""),IF(AND($G62&lt;Hta_14,$G62&gt;=Hba_14,Input!AI$34&lt;&gt;""),Input!$B$34&amp;";",""),IF(AND($G62&lt;Hta_15,$G62&gt;=Hba_15,Input!AI$35&lt;&gt;""),Input!$B$35&amp;";",""),IF(AND($G62&lt;Hta_16,$G62&gt;=Hba_16,Input!AI$36&lt;&gt;""),Input!$B$36&amp;";",""),IF(AND($G62&lt;Hta_17,$G62&gt;=Hba_17,Input!AI$37&lt;&gt;""),Input!$B$37&amp;";",""),IF(AND($G62&lt;Hta_18,$G62&gt;=Hba_18,Input!AI$38&lt;&gt;""),Input!$B$38&amp;";",""),IF(AND($G62&lt;Hta_19,$G62&gt;=Hba_19,Input!AI$39&lt;&gt;""),Input!$B$39&amp;";",""),IF(AND($G62&lt;Hta_20,$G62&gt;=Hba_20,Input!AI$40&lt;&gt;""),Input!$B$40&amp;";",""),IF(AND($G62&lt;Hta_21,$G62&gt;=Hba_21,Input!AI$41&lt;&gt;""),Input!$B$41&amp;";",""),IF(AND($G62&lt;Hta_22,$G62&gt;=Hba_22,Input!AI$42&lt;&gt;""),Input!$B$42&amp;";",""),IF(AND($G62&lt;Hta_23,$G62&gt;=Hba_23,Input!AI$43&lt;&gt;""),Input!$B$43&amp;";",""),IF(AND($G62&lt;Hta_24,$G62&gt;=Hba_24,Input!AI$44&lt;&gt;""),Input!$B$44&amp;";",""),IF(AND($G62&lt;Hta_25,$G62&gt;=Hba_25,Input!AI$45&lt;&gt;""),Input!$B$45&amp;";",""),IF(AND($G62&lt;Hta_26,$G62&gt;=Hba_26,Input!AI$46&lt;&gt;""),Input!$B$46&amp;";",""),IF(AND($G62&lt;Hta_27,$G62&gt;=Hba_27,Input!AI$47&lt;&gt;""),Input!$B$47&amp;";",""),IF(AND($G62&lt;Hta_28,$G62&gt;=Hba_28,Input!AI$48&lt;&gt;""),Input!$B$48&amp;";",""),IF(AND($G62&lt;Hta_29,$G62&gt;=Hba_29,Input!AI$49&lt;&gt;""),Input!$B$49&amp;";",""),IF(AND($G62&lt;Hta_30,$G62&gt;=Hba_30,Input!AI$50&lt;&gt;""),Input!$B$50&amp;";","")),"")</f>
        <v/>
      </c>
      <c r="CK62" s="25" t="str">
        <f>IFERROR(CONCATENATE(IF(AND($G62&lt;Hta_1,$G62&gt;=Hba_1,Input!AJ$21&lt;&gt;""),Input!$B$21&amp;";",""),IF(AND($G62&lt;Hta_2,$G62&gt;=Hba_2,Input!AJ$22&lt;&gt;""),Input!$B$22&amp;";",""),IF(AND($G62&lt;Hta_3,$G62&gt;=Hba_3,Input!AJ$23&lt;&gt;""),Input!$B$23&amp;";",""),IF(AND($G62&lt;Hta_4,$G62&gt;=Hba_4,Input!AJ$24&lt;&gt;""),Input!$B$24&amp;";",""),IF(AND($G62&lt;Hta_5,$G62&gt;=Hba_5,Input!AJ$25&lt;&gt;""),Input!$B$25&amp;";",""),IF(AND($G62&lt;Hta_6,$G62&gt;=Hba_6,Input!AJ$26&lt;&gt;""),Input!$B$26&amp;";",""),IF(AND($G62&lt;Hta_7,$G62&gt;=Hba_7,Input!AJ$27&lt;&gt;""),Input!$B$27&amp;";",""),IF(AND($G62&lt;Hta_8,$G62&gt;=Hba_8,Input!AJ$28&lt;&gt;""),Input!$B$28&amp;";",""),IF(AND($G62&lt;Hta_9,$G62&gt;=Hba_9,Input!AJ$29&lt;&gt;""),Input!$B$29&amp;";",""),IF(AND($G62&lt;Hta_10,$G62&gt;=Hba_10,Input!AJ$30&lt;&gt;""),Input!$B$30&amp;";",""),IF(AND($G62&lt;Hta_11,$G62&gt;=Hba_11,Input!AJ$31&lt;&gt;""),Input!$B$31&amp;";",""),IF(AND($G62&lt;Hta_12,$G62&gt;=Hba_12,Input!AJ$32&lt;&gt;""),Input!$B$32&amp;";",""),IF(AND($G62&lt;Hta_13,$G62&gt;=Hba_13,Input!AJ$33&lt;&gt;""),Input!$B$33&amp;";",""),IF(AND($G62&lt;Hta_14,$G62&gt;=Hba_14,Input!AJ$34&lt;&gt;""),Input!$B$34&amp;";",""),IF(AND($G62&lt;Hta_15,$G62&gt;=Hba_15,Input!AJ$35&lt;&gt;""),Input!$B$35&amp;";",""),IF(AND($G62&lt;Hta_16,$G62&gt;=Hba_16,Input!AJ$36&lt;&gt;""),Input!$B$36&amp;";",""),IF(AND($G62&lt;Hta_17,$G62&gt;=Hba_17,Input!AJ$37&lt;&gt;""),Input!$B$37&amp;";",""),IF(AND($G62&lt;Hta_18,$G62&gt;=Hba_18,Input!AJ$38&lt;&gt;""),Input!$B$38&amp;";",""),IF(AND($G62&lt;Hta_19,$G62&gt;=Hba_19,Input!AJ$39&lt;&gt;""),Input!$B$39&amp;";",""),IF(AND($G62&lt;Hta_20,$G62&gt;=Hba_20,Input!AJ$40&lt;&gt;""),Input!$B$40&amp;";",""),IF(AND($G62&lt;Hta_21,$G62&gt;=Hba_21,Input!AJ$41&lt;&gt;""),Input!$B$41&amp;";",""),IF(AND($G62&lt;Hta_22,$G62&gt;=Hba_22,Input!AJ$42&lt;&gt;""),Input!$B$42&amp;";",""),IF(AND($G62&lt;Hta_23,$G62&gt;=Hba_23,Input!AJ$43&lt;&gt;""),Input!$B$43&amp;";",""),IF(AND($G62&lt;Hta_24,$G62&gt;=Hba_24,Input!AJ$44&lt;&gt;""),Input!$B$44&amp;";",""),IF(AND($G62&lt;Hta_25,$G62&gt;=Hba_25,Input!AJ$45&lt;&gt;""),Input!$B$45&amp;";",""),IF(AND($G62&lt;Hta_26,$G62&gt;=Hba_26,Input!AJ$46&lt;&gt;""),Input!$B$46&amp;";",""),IF(AND($G62&lt;Hta_27,$G62&gt;=Hba_27,Input!AJ$47&lt;&gt;""),Input!$B$47&amp;";",""),IF(AND($G62&lt;Hta_28,$G62&gt;=Hba_28,Input!AJ$48&lt;&gt;""),Input!$B$48&amp;";",""),IF(AND($G62&lt;Hta_29,$G62&gt;=Hba_29,Input!AJ$49&lt;&gt;""),Input!$B$49&amp;";",""),IF(AND($G62&lt;Hta_30,$G62&gt;=Hba_30,Input!AJ$50&lt;&gt;""),Input!$B$50&amp;";","")),"")</f>
        <v/>
      </c>
      <c r="CL62" s="25" t="str">
        <f>IFERROR(CONCATENATE(IF(AND($G62&lt;Hta_1,$G62&gt;=Hba_1,Input!AK$21&lt;&gt;""),Input!$B$21&amp;";",""),IF(AND($G62&lt;Hta_2,$G62&gt;=Hba_2,Input!AK$22&lt;&gt;""),Input!$B$22&amp;";",""),IF(AND($G62&lt;Hta_3,$G62&gt;=Hba_3,Input!AK$23&lt;&gt;""),Input!$B$23&amp;";",""),IF(AND($G62&lt;Hta_4,$G62&gt;=Hba_4,Input!AK$24&lt;&gt;""),Input!$B$24&amp;";",""),IF(AND($G62&lt;Hta_5,$G62&gt;=Hba_5,Input!AK$25&lt;&gt;""),Input!$B$25&amp;";",""),IF(AND($G62&lt;Hta_6,$G62&gt;=Hba_6,Input!AK$26&lt;&gt;""),Input!$B$26&amp;";",""),IF(AND($G62&lt;Hta_7,$G62&gt;=Hba_7,Input!AK$27&lt;&gt;""),Input!$B$27&amp;";",""),IF(AND($G62&lt;Hta_8,$G62&gt;=Hba_8,Input!AK$28&lt;&gt;""),Input!$B$28&amp;";",""),IF(AND($G62&lt;Hta_9,$G62&gt;=Hba_9,Input!AK$29&lt;&gt;""),Input!$B$29&amp;";",""),IF(AND($G62&lt;Hta_10,$G62&gt;=Hba_10,Input!AK$30&lt;&gt;""),Input!$B$30&amp;";",""),IF(AND($G62&lt;Hta_11,$G62&gt;=Hba_11,Input!AK$31&lt;&gt;""),Input!$B$31&amp;";",""),IF(AND($G62&lt;Hta_12,$G62&gt;=Hba_12,Input!AK$32&lt;&gt;""),Input!$B$32&amp;";",""),IF(AND($G62&lt;Hta_13,$G62&gt;=Hba_13,Input!AK$33&lt;&gt;""),Input!$B$33&amp;";",""),IF(AND($G62&lt;Hta_14,$G62&gt;=Hba_14,Input!AK$34&lt;&gt;""),Input!$B$34&amp;";",""),IF(AND($G62&lt;Hta_15,$G62&gt;=Hba_15,Input!AK$35&lt;&gt;""),Input!$B$35&amp;";",""),IF(AND($G62&lt;Hta_16,$G62&gt;=Hba_16,Input!AK$36&lt;&gt;""),Input!$B$36&amp;";",""),IF(AND($G62&lt;Hta_17,$G62&gt;=Hba_17,Input!AK$37&lt;&gt;""),Input!$B$37&amp;";",""),IF(AND($G62&lt;Hta_18,$G62&gt;=Hba_18,Input!AK$38&lt;&gt;""),Input!$B$38&amp;";",""),IF(AND($G62&lt;Hta_19,$G62&gt;=Hba_19,Input!AK$39&lt;&gt;""),Input!$B$39&amp;";",""),IF(AND($G62&lt;Hta_20,$G62&gt;=Hba_20,Input!AK$40&lt;&gt;""),Input!$B$40&amp;";",""),IF(AND($G62&lt;Hta_21,$G62&gt;=Hba_21,Input!AK$41&lt;&gt;""),Input!$B$41&amp;";",""),IF(AND($G62&lt;Hta_22,$G62&gt;=Hba_22,Input!AK$42&lt;&gt;""),Input!$B$42&amp;";",""),IF(AND($G62&lt;Hta_23,$G62&gt;=Hba_23,Input!AK$43&lt;&gt;""),Input!$B$43&amp;";",""),IF(AND($G62&lt;Hta_24,$G62&gt;=Hba_24,Input!AK$44&lt;&gt;""),Input!$B$44&amp;";",""),IF(AND($G62&lt;Hta_25,$G62&gt;=Hba_25,Input!AK$45&lt;&gt;""),Input!$B$45&amp;";",""),IF(AND($G62&lt;Hta_26,$G62&gt;=Hba_26,Input!AK$46&lt;&gt;""),Input!$B$46&amp;";",""),IF(AND($G62&lt;Hta_27,$G62&gt;=Hba_27,Input!AK$47&lt;&gt;""),Input!$B$47&amp;";",""),IF(AND($G62&lt;Hta_28,$G62&gt;=Hba_28,Input!AK$48&lt;&gt;""),Input!$B$48&amp;";",""),IF(AND($G62&lt;Hta_29,$G62&gt;=Hba_29,Input!AK$49&lt;&gt;""),Input!$B$49&amp;";",""),IF(AND($G62&lt;Hta_30,$G62&gt;=Hba_30,Input!AK$50&lt;&gt;""),Input!$B$50&amp;";","")),"")</f>
        <v/>
      </c>
      <c r="CM62" s="25" t="str">
        <f>IFERROR(CONCATENATE(IF(AND($G62&lt;Hta_1,$G62&gt;=Hba_1,Input!AL$21&lt;&gt;""),Input!$B$21&amp;";",""),IF(AND($G62&lt;Hta_2,$G62&gt;=Hba_2,Input!AL$22&lt;&gt;""),Input!$B$22&amp;";",""),IF(AND($G62&lt;Hta_3,$G62&gt;=Hba_3,Input!AL$23&lt;&gt;""),Input!$B$23&amp;";",""),IF(AND($G62&lt;Hta_4,$G62&gt;=Hba_4,Input!AL$24&lt;&gt;""),Input!$B$24&amp;";",""),IF(AND($G62&lt;Hta_5,$G62&gt;=Hba_5,Input!AL$25&lt;&gt;""),Input!$B$25&amp;";",""),IF(AND($G62&lt;Hta_6,$G62&gt;=Hba_6,Input!AL$26&lt;&gt;""),Input!$B$26&amp;";",""),IF(AND($G62&lt;Hta_7,$G62&gt;=Hba_7,Input!AL$27&lt;&gt;""),Input!$B$27&amp;";",""),IF(AND($G62&lt;Hta_8,$G62&gt;=Hba_8,Input!AL$28&lt;&gt;""),Input!$B$28&amp;";",""),IF(AND($G62&lt;Hta_9,$G62&gt;=Hba_9,Input!AL$29&lt;&gt;""),Input!$B$29&amp;";",""),IF(AND($G62&lt;Hta_10,$G62&gt;=Hba_10,Input!AL$30&lt;&gt;""),Input!$B$30&amp;";",""),IF(AND($G62&lt;Hta_11,$G62&gt;=Hba_11,Input!AL$31&lt;&gt;""),Input!$B$31&amp;";",""),IF(AND($G62&lt;Hta_12,$G62&gt;=Hba_12,Input!AL$32&lt;&gt;""),Input!$B$32&amp;";",""),IF(AND($G62&lt;Hta_13,$G62&gt;=Hba_13,Input!AL$33&lt;&gt;""),Input!$B$33&amp;";",""),IF(AND($G62&lt;Hta_14,$G62&gt;=Hba_14,Input!AL$34&lt;&gt;""),Input!$B$34&amp;";",""),IF(AND($G62&lt;Hta_15,$G62&gt;=Hba_15,Input!AL$35&lt;&gt;""),Input!$B$35&amp;";",""),IF(AND($G62&lt;Hta_16,$G62&gt;=Hba_16,Input!AL$36&lt;&gt;""),Input!$B$36&amp;";",""),IF(AND($G62&lt;Hta_17,$G62&gt;=Hba_17,Input!AL$37&lt;&gt;""),Input!$B$37&amp;";",""),IF(AND($G62&lt;Hta_18,$G62&gt;=Hba_18,Input!AL$38&lt;&gt;""),Input!$B$38&amp;";",""),IF(AND($G62&lt;Hta_19,$G62&gt;=Hba_19,Input!AL$39&lt;&gt;""),Input!$B$39&amp;";",""),IF(AND($G62&lt;Hta_20,$G62&gt;=Hba_20,Input!AL$40&lt;&gt;""),Input!$B$40&amp;";",""),IF(AND($G62&lt;Hta_21,$G62&gt;=Hba_21,Input!AL$41&lt;&gt;""),Input!$B$41&amp;";",""),IF(AND($G62&lt;Hta_22,$G62&gt;=Hba_22,Input!AL$42&lt;&gt;""),Input!$B$42&amp;";",""),IF(AND($G62&lt;Hta_23,$G62&gt;=Hba_23,Input!AL$43&lt;&gt;""),Input!$B$43&amp;";",""),IF(AND($G62&lt;Hta_24,$G62&gt;=Hba_24,Input!AL$44&lt;&gt;""),Input!$B$44&amp;";",""),IF(AND($G62&lt;Hta_25,$G62&gt;=Hba_25,Input!AL$45&lt;&gt;""),Input!$B$45&amp;";",""),IF(AND($G62&lt;Hta_26,$G62&gt;=Hba_26,Input!AL$46&lt;&gt;""),Input!$B$46&amp;";",""),IF(AND($G62&lt;Hta_27,$G62&gt;=Hba_27,Input!AL$47&lt;&gt;""),Input!$B$47&amp;";",""),IF(AND($G62&lt;Hta_28,$G62&gt;=Hba_28,Input!AL$48&lt;&gt;""),Input!$B$48&amp;";",""),IF(AND($G62&lt;Hta_29,$G62&gt;=Hba_29,Input!AL$49&lt;&gt;""),Input!$B$49&amp;";",""),IF(AND($G62&lt;Hta_30,$G62&gt;=Hba_30,Input!AL$50&lt;&gt;""),Input!$B$50&amp;";","")),"")</f>
        <v/>
      </c>
      <c r="CN62" s="59" t="str">
        <f t="shared" si="6"/>
        <v/>
      </c>
      <c r="CO62" s="791"/>
      <c r="CP62" s="792"/>
      <c r="CQ62" s="793"/>
      <c r="CR62" s="791"/>
      <c r="CS62" s="792"/>
      <c r="CT62" s="793"/>
      <c r="CU62" s="791" t="str">
        <f t="shared" si="7"/>
        <v/>
      </c>
      <c r="CV62" s="792"/>
      <c r="CW62" s="807"/>
      <c r="CX62" s="808"/>
      <c r="CY62" s="730"/>
      <c r="CZ62" s="809"/>
      <c r="DA62" s="733"/>
      <c r="DB62" s="734"/>
      <c r="DC62" s="735"/>
      <c r="DD62" s="729" t="str">
        <f t="shared" si="8"/>
        <v/>
      </c>
      <c r="DE62" s="730"/>
      <c r="DF62" s="731"/>
      <c r="DG62" s="55"/>
      <c r="DH62" s="56"/>
      <c r="DI62" s="56"/>
      <c r="DJ62" s="56"/>
      <c r="DK62" s="56"/>
      <c r="DL62" s="56"/>
      <c r="DM62" s="56"/>
      <c r="DN62" s="56"/>
      <c r="DO62" s="56"/>
      <c r="DP62" s="56"/>
      <c r="DQ62" s="58"/>
      <c r="DR62" s="58"/>
      <c r="DS62" s="58"/>
      <c r="DT62" s="58"/>
      <c r="DU62" s="58"/>
      <c r="DV62" s="58"/>
      <c r="DW62" s="58"/>
      <c r="DX62" s="58"/>
      <c r="DY62" s="58"/>
      <c r="DZ62" s="58"/>
      <c r="EA62" s="58"/>
      <c r="EB62" s="58"/>
      <c r="EC62" s="58"/>
      <c r="ED62" s="58"/>
      <c r="EE62" s="58"/>
      <c r="EF62" s="58"/>
      <c r="EG62" s="58"/>
      <c r="EH62" s="58"/>
      <c r="EI62" s="58"/>
      <c r="EJ62" s="58"/>
      <c r="EK62" s="58"/>
      <c r="EL62" s="134"/>
      <c r="EM62" s="134"/>
      <c r="EN62" s="134"/>
      <c r="EO62" s="134"/>
      <c r="EP62" s="134"/>
      <c r="EQ62" s="134"/>
      <c r="ER62" s="134"/>
      <c r="ES62" s="134"/>
      <c r="ET62" s="134"/>
      <c r="EU62" s="134"/>
      <c r="EV62" s="134"/>
      <c r="EW62" s="134"/>
      <c r="EX62" s="134"/>
      <c r="EY62" s="134"/>
      <c r="EZ62" s="134"/>
      <c r="FA62" s="134"/>
      <c r="FB62" s="134"/>
      <c r="FC62" s="134"/>
      <c r="FD62" s="134"/>
      <c r="FE62" s="134"/>
      <c r="FF62" s="134"/>
      <c r="FG62" s="134"/>
      <c r="FH62" s="134"/>
      <c r="FI62" s="134"/>
      <c r="FJ62" s="134"/>
      <c r="FK62" s="134"/>
      <c r="FL62" s="134"/>
      <c r="FM62" s="134"/>
      <c r="FN62" s="134"/>
      <c r="FO62" s="134"/>
      <c r="FQ62" s="124"/>
      <c r="FR62" s="122"/>
      <c r="FS62" s="120"/>
      <c r="FT62" s="119"/>
    </row>
    <row r="63" spans="2:176" ht="15.75" hidden="1" thickBot="1" x14ac:dyDescent="0.3">
      <c r="B63" s="62" t="b">
        <f>IF(OR(AND(G63&gt;='Geometry 2'!$AK$5,G63&lt;'Geometry 2'!$AL$5),AND(G63&gt;='Geometry 2'!$AK$6,G63&lt;'Geometry 2'!$AL$6),AND(G63&gt;='Geometry 2'!$AK$7,G63&lt;'Geometry 2'!$AL$7),AND(G63&gt;='Geometry 2'!$AK$8,G63&lt;'Geometry 2'!$AL$8),AND(G63&gt;='Geometry 2'!$AK$9,G63&lt;'Geometry 2'!$AL$9),AND(G63&gt;='Geometry 2'!$AK$10,G63&lt;'Geometry 2'!$AL$10),AND(G63&gt;='Geometry 2'!$AK$11,G63&lt;'Geometry 2'!$AL$11),AND(G63&gt;='Geometry 2'!$AK$12,G63&lt;'Geometry 2'!$AL$12),AND(G63&gt;='Geometry 2'!$AK$13,G63&lt;'Geometry 2'!$AL$13),AND(G63&gt;='Geometry 2'!$AK$14,G63&lt;'Geometry 2'!$AL$14)),TRUE,FALSE)</f>
        <v>0</v>
      </c>
      <c r="C63" s="4" t="str">
        <f t="shared" si="3"/>
        <v/>
      </c>
      <c r="D63" s="766" t="str">
        <f t="shared" si="4"/>
        <v/>
      </c>
      <c r="E63" s="767"/>
      <c r="F63" s="17" t="str">
        <f t="shared" si="2"/>
        <v/>
      </c>
      <c r="G63" s="768" t="str">
        <f>IF(D63="","",MAX(0,G62-IF(inc="n/a",999,inc),MAX(IF(G62&lt;=Hta_1,0,Hta_1),IF(G62&lt;=Hta_2,0,Hta_2),IF(G62&lt;=Hta_3,0,Hta_3),IF(G62&lt;=Hta_4,0,Hta_4),IF(G62&lt;=Hta_5,0,Hta_5),IF(G62&lt;=Hta_6,0,Hta_6),IF(G62&lt;=Hta_7,0,Hta_7),IF(G62&lt;=Hta_8,0,Hta_8),IF(G62&lt;=Hta_9,0,Hta_9),IF(G62&lt;=Hta_10,0,Hta_10),IF(G62&lt;=Hta_11,0,Hta_11),IF(G62&lt;=Hta_12,0,Hta_12),IF(G62&lt;=Hta_13,0,Hta_13),IF(G62&lt;=Hta_14,0,Hta_14),IF(G62&lt;=Hta_15,0,Hta_15),IF(G62&lt;=Hta_16,0,Hta_16),IF(G62&lt;=Hta_17,0,Hta_17),IF(G62&lt;=Hta_18,0,Hta_18),IF(G62&lt;=Hta_19,0,Hta_19),IF(G62&lt;=Hta_20,0,Hta_20),IF(G62&lt;=Hta_21,0,Hta_21),IF(G62&lt;=Hta_22,0,Hta_22),IF(G62&lt;=Hta_23,0,Hta_23),IF(G62&lt;=Hta_24,0,Hta_24),IF(G62&lt;=Hta_25,0,Hta_25),IF(G62&lt;=Hta_26,0,Hta_26),IF(G62&lt;=Hta_27,0,Hta_27),IF(G62&lt;=Hta_28,0,Hta_28),IF(G62&lt;=Hta_29,0,Hta_29),IF(G62&lt;=Hta_30,0,Hta_30)),MAX(IF(G62&lt;=Hta_1-0.25,0,Hta_1-0.25),IF(G62&lt;=Hta_2-0.25,0,Hta_2-0.25),IF(G62&lt;=Hta_3-0.25,0,Hta_3-0.25),IF(G62&lt;=Hta_4-0.25,0,Hta_4-0.25),IF(G62&lt;=Hta_5-0.25,0,Hta_5-0.25),IF(G62&lt;=Hta_6-0.25,0,Hta_6-0.25),IF(G62&lt;=Hta_7-0.25,0,Hta_7-0.25),IF(G62&lt;=Hta_8-0.25,0,Hta_8-0.25),IF(G62&lt;=Hta_9-0.25,0,Hta_9-0.25),IF(G62&lt;=Hta_10-0.25,0,Hta_10-0.25),IF(G62&lt;=Hta_11-0.25,0,Hta_11-0.25),IF(G62&lt;=Hta_12-0.25,0,Hta_12-0.25),IF(G62&lt;=Hta_13-0.25,0,Hta_13-0.25),IF(G62&lt;=Hta_14-0.25,0,Hta_14-0.25),IF(G62&lt;=Hta_15-0.25,0,Hta_15-0.25),IF(G62&lt;=Hta_16-0.25,0,Hta_16-0.25),IF(G62&lt;=Hta_17-0.25,0,Hta_17-0.25),IF(G62&lt;=Hta_18-0.25,0,Hta_18-0.25),IF(G62&lt;=Hta_19-0.25,0,Hta_19-0.25),IF(G62&lt;=Hta_20-0.25,0,Hta_20-0.25),IF(G62&lt;=Hta_21-0.25,0,Hta_21-0.25),IF(G62&lt;=Hta_22-0.25,0,Hta_22-0.25),IF(G62&lt;=Hta_23-0.25,0,Hta_23-0.25),IF(G62&lt;=Hta_24-0.25,0,Hta_24-0.25),IF(G62&lt;=Hta_25-0.25,0,Hta_25-0.25),IF(G62&lt;=Hta_26-0.25,0,Hta_26-0.25),IF(G62&lt;=Hta_27-0.25,0,Hta_27-0.25),IF(G62&lt;=Hta_28-0.25,0,Hta_28-0.25),IF(G62&lt;=Hta_29-0.25,0,Hta_29-0.25),IF(G62&lt;=Hta_30-0.25,0,Hta_30-0.25)),MAX(IF(G62&lt;=Hba_1,0,Hba_1),IF(G62&lt;=Hba_2,0,Hba_2),IF(G62&lt;=Hba_3,0,Hba_3),IF(G62&lt;=Hba_4,0,Hba_4),IF(G62&lt;=Hba_5,0,Hba_5),IF(G62&lt;=Hba_6,0,Hba_6),IF(G62&lt;=Hba_7,0,Hba_7),IF(G62&lt;=Hba_8,0,Hba_8),IF(G62&lt;=Hba_9,0,Hba_9),IF(G62&lt;=Hba_10,0,Hba_10),IF(G62&lt;=Hba_11,0,Hba_11),IF(G62&lt;=Hba_12,0,Hba_12),IF(G62&lt;=Hba_13,0,Hba_13),IF(G62&lt;=Hba_14,0,Hba_14),IF(G62&lt;=Hba_15,0,Hba_15),IF(G62&lt;=Hba_16,0,Hba_16),IF(G62&lt;=Hba_17,0,Hba_17),IF(G62&lt;=Hba_18,0,Hba_18),IF(G62&lt;=Hba_19,0,Hba_19),IF(G62&lt;=Hba_20,0,Hba_20),IF(G62&lt;=Hba_21,0,Hba_21),IF(G62&lt;=Hba_22,0,Hba_22),IF(G62&lt;=Hba_23,0,Hba_23),IF(G62&lt;=Hba_24,0,Hba_24),IF(G62&lt;=Hba_25,0,Hba_25),IF(G62&lt;=Hba_26,0,Hba_26),IF(G62&lt;=Hba_27,0,Hba_27),IF(G62&lt;=Hba_28,0,Hba_28),IF(G62&lt;=Hba_29,0,Hba_29),IF(G62&lt;=Hba_30,0,Hba_30)),MAX(IF(G62&lt;=Input!$C$8,0,Input!$C$8),IF(G62&lt;=Input!$C$9,0,Input!$C$9),IF(G62&lt;=Input!$C$10,0,Input!$C$10),IF(G62&lt;=Input!$C$11,0,Input!$C$11),IF(G62&lt;=Input!$C$12,0,Input!$C$12),IF(G62&lt;=Input!$C$13,0,Input!$C$13),IF(G62&lt;=Input!$C$14,0,Input!$C$14),IF(G62&lt;=Input!$C$15,0,Input!$C$15),IF(G62&lt;=Input!$C$16,0,Input!$C$16)),MAX(IF(G62&lt;=Hba_1-0.25,0,Hba_1-0.25),IF(G62&lt;=Hba_2-0.25,0,Hba_2-0.25),IF(G62&lt;=Hba_3-0.25,0,Hba_3-0.25),IF(G62&lt;=Hba_4-0.25,0,Hba_4-0.25),IF(G62&lt;=Hba_5-0.25,0,Hba_5-0.25),IF(G62&lt;=Hba_6-0.25,0,Hba_6-0.25),IF(G62&lt;=Hba_7-0.25,0,Hba_7-0.25),IF(G62&lt;=Hba_8-0.25,0,Hba_8-0.25),IF(G62&lt;=Hba_9-0.25,0,Hba_9-0.25),IF(G62&lt;=Hba_10-0.25,0,Hba_10-0.25),IF(G62&lt;=Hba_11-0.25,0,Hba_11-0.25),IF(G62&lt;=Hba_12-0.25,0,Hba_12-0.25),IF(G62&lt;=Hba_13-0.25,0,Hba_13-0.25),IF(G62&lt;=Hba_14-0.25,0,Hba_14-0.25),IF(G62&lt;=Hba_15-0.25,0,Hba_15-0.25),IF(G62&lt;=Hba_16-0.25,0,Hba_16-0.25),IF(G62&lt;=Hba_17-0.25,0,Hba_17-0.25),IF(G62&lt;=Hba_18-0.25,0,Hba_18-0.25),IF(G62&lt;=Hba_19-0.25,0,Hba_19-0.25),IF(G62&lt;=Hba_20-0.25,0,Hba_20-0.25),IF(G62&lt;=Hba_21-0.25,0,Hba_21-0.25),IF(G62&lt;=Hba_22-0.25,0,Hba_22-0.25),IF(G62&lt;=Hba_23-0.25,0,Hba_23-0.25),IF(G62&lt;=Hba_24-0.25,0,Hba_24-0.25),IF(G62&lt;=Hba_25-0.25,0,Hba_25-0.25),IF(G62&lt;=Hba_26-0.25,0,Hba_26-0.25),IF(G62&lt;=Hba_27-0.25,0,Hba_27-0.25),IF(G62&lt;=Hba_28-0.25,0,Hba_28-0.25),IF(G62&lt;=Hba_29-0.25,0,Hba_29-0.25),IF(G62&lt;=Hba_30-0.25,0,Hba_30-0.25)),IF(G62&lt;='Macro References'!$A$38,0,'Macro References'!$A$38)))</f>
        <v/>
      </c>
      <c r="H63" s="769"/>
      <c r="I63" s="228"/>
      <c r="J63" s="228"/>
      <c r="K63" s="228"/>
      <c r="L63" s="717" t="str">
        <f t="shared" si="10"/>
        <v/>
      </c>
      <c r="M63" s="717"/>
      <c r="N63" s="717"/>
      <c r="O63" s="717"/>
      <c r="P63" s="717" t="str">
        <f>IF(OR(G63=0,G63=""),"",IF(VLOOKUP(G63,'Geometry 2'!$C$4:$AI$14,1,TRUE)=VLOOKUP(G64,'Geometry 2'!$C$4:$AI$14,1,TRUE),"",IF(VLOOKUP(G63,'Geometry 2'!$C$4:$AI$14,33,TRUE)&lt;&gt;"n/a",MIN(G63,VLOOKUP(G63,'Geometry 2'!$C$4:$AI$14,1,TRUE))-VLOOKUP(G63,'Geometry 2'!$C$4:$AI$14,33,TRUE),"check")))</f>
        <v/>
      </c>
      <c r="Q63" s="717"/>
      <c r="R63" s="717"/>
      <c r="S63" s="717"/>
      <c r="T63" s="717" t="str">
        <f>IF($G63="","",VLOOKUP($G63,'Geometry 2'!$E$4:$AH$14,11,TRUE))</f>
        <v/>
      </c>
      <c r="U63" s="717"/>
      <c r="V63" s="717"/>
      <c r="W63" s="717"/>
      <c r="X63" s="716" t="str">
        <f>IF($G63="","",VLOOKUP($G63,'Geometry 2'!$E$4:$AJ$14,19,TRUE)-12*VLOOKUP($G63,'Geometry 2'!$E$4:$AJ$14,32,TRUE)*($D63-VLOOKUP($G63,'Geometry 2'!$E$5:$AH$14,1,TRUE)))</f>
        <v/>
      </c>
      <c r="Y63" s="716"/>
      <c r="Z63" s="716"/>
      <c r="AA63" s="716"/>
      <c r="AB63" s="757" t="str">
        <f>IF($G63="","",VLOOKUP($G63,'Geometry 2'!$E$4:$AJ$14,19,TRUE)-12*VLOOKUP($G63,'Geometry 2'!$E$4:$AJ$14,32,TRUE)*($G63-VLOOKUP($G63,'Geometry 2'!$E$5:$AH$14,1,TRUE)))</f>
        <v/>
      </c>
      <c r="AC63" s="758"/>
      <c r="AD63" s="758"/>
      <c r="AE63" s="759"/>
      <c r="AF63" s="716" t="str">
        <f>IF($G63="","",VLOOKUP($G63,'Geometry 2'!$E$4:$AJ$14,19,TRUE)-12*VLOOKUP($G63,'Geometry 2'!$E$4:$AJ$14,32,TRUE)*($G63-IF($P63="",0,$P63)-VLOOKUP($G63,'Geometry 2'!$E$5:$AH$14,1,TRUE)))</f>
        <v/>
      </c>
      <c r="AG63" s="716"/>
      <c r="AH63" s="716"/>
      <c r="AI63" s="716"/>
      <c r="AJ63" s="746" t="str">
        <f>IF($G63="","",VLOOKUP($G63,'Geometry 2'!$E$4:$AH$14,23,TRUE))</f>
        <v/>
      </c>
      <c r="AK63" s="747"/>
      <c r="AL63" s="747"/>
      <c r="AM63" s="748"/>
      <c r="AN63" s="717"/>
      <c r="AO63" s="717"/>
      <c r="AP63" s="717"/>
      <c r="AQ63" s="717"/>
      <c r="AR63" s="717" t="str">
        <f>IF($G63="","",VLOOKUP($G63,'Geometry 2'!$E$4:$AH$14,27,TRUE))</f>
        <v/>
      </c>
      <c r="AS63" s="717"/>
      <c r="AT63" s="717"/>
      <c r="AU63" s="718"/>
      <c r="AV63" s="715"/>
      <c r="AW63" s="716"/>
      <c r="AX63" s="716"/>
      <c r="AZ63" s="722" t="str">
        <f t="shared" si="5"/>
        <v/>
      </c>
      <c r="BA63" s="723"/>
      <c r="BB63" s="723"/>
      <c r="BC63" s="724"/>
      <c r="BD63" s="722"/>
      <c r="BE63" s="723"/>
      <c r="BF63" s="723"/>
      <c r="BG63" s="722" t="str">
        <f t="shared" si="9"/>
        <v/>
      </c>
      <c r="BH63" s="723"/>
      <c r="BI63" s="723"/>
      <c r="BJ63" s="723"/>
      <c r="BK63" s="724"/>
      <c r="BL63" s="722"/>
      <c r="BM63" s="723"/>
      <c r="BN63" s="723"/>
      <c r="BO63" s="723"/>
      <c r="BP63" s="725"/>
      <c r="BQ63" s="725"/>
      <c r="BR63" s="722" t="str">
        <f>IF(BP63="","",IF(OR(AND(Rev="H",Calculations!$F$27=TRUE),AND(Rev&lt;&gt;"H",Calculations!$F$30=TRUE)),IF(BP63&lt;=1,"Pass","Fail"),IF(BP63&lt;=1.05,"Pass","Fail")))</f>
        <v/>
      </c>
      <c r="BS63" s="723"/>
      <c r="BT63" s="724"/>
      <c r="BU63" s="49"/>
      <c r="BV63" s="25" t="str">
        <f>IFERROR(CONCATENATE(IF(AND($G63&lt;Hta_1,$G63&gt;=Hba_1,Input!U$21&lt;&gt;""),Input!$B$21&amp;";",""),IF(AND($G63&lt;Hta_2,$G63&gt;=Hba_2,Input!U$22&lt;&gt;""),Input!$B$22&amp;";",""),IF(AND($G63&lt;Hta_3,$G63&gt;=Hba_3,Input!U$23&lt;&gt;""),Input!$B$23&amp;";",""),IF(AND($G63&lt;Hta_4,$G63&gt;=Hba_4,Input!U$24&lt;&gt;""),Input!$B$24&amp;";",""),IF(AND($G63&lt;Hta_5,$G63&gt;=Hba_5,Input!U$25&lt;&gt;""),Input!$B$25&amp;";",""),IF(AND($G63&lt;Hta_6,$G63&gt;=Hba_6,Input!U$26&lt;&gt;""),Input!$B$26&amp;";",""),IF(AND($G63&lt;Hta_7,$G63&gt;=Hba_7,Input!U$27&lt;&gt;""),Input!$B$27&amp;";",""),IF(AND($G63&lt;Hta_8,$G63&gt;=Hba_8,Input!U$28&lt;&gt;""),Input!$B$28&amp;";",""),IF(AND($G63&lt;Hta_9,$G63&gt;=Hba_9,Input!U$29&lt;&gt;""),Input!$B$29&amp;";",""),IF(AND($G63&lt;Hta_10,$G63&gt;=Hba_10,Input!U$30&lt;&gt;""),Input!$B$30&amp;";",""),IF(AND($G63&lt;Hta_11,$G63&gt;=Hba_11,Input!U$31&lt;&gt;""),Input!$B$31&amp;";",""),IF(AND($G63&lt;Hta_12,$G63&gt;=Hba_12,Input!U$32&lt;&gt;""),Input!$B$32&amp;";",""),IF(AND($G63&lt;Hta_13,$G63&gt;=Hba_13,Input!U$33&lt;&gt;""),Input!$B$33&amp;";",""),IF(AND($G63&lt;Hta_14,$G63&gt;=Hba_14,Input!U$34&lt;&gt;""),Input!$B$34&amp;";",""),IF(AND($G63&lt;Hta_15,$G63&gt;=Hba_15,Input!U$35&lt;&gt;""),Input!$B$35&amp;";",""),IF(AND($G63&lt;Hta_16,$G63&gt;=Hba_16,Input!U$36&lt;&gt;""),Input!$B$36&amp;";",""),IF(AND($G63&lt;Hta_17,$G63&gt;=Hba_17,Input!U$37&lt;&gt;""),Input!$B$37&amp;";",""),IF(AND($G63&lt;Hta_18,$G63&gt;=Hba_18,Input!U$38&lt;&gt;""),Input!$B$38&amp;";",""),IF(AND($G63&lt;Hta_19,$G63&gt;=Hba_19,Input!U$39&lt;&gt;""),Input!$B$39&amp;";",""),IF(AND($G63&lt;Hta_20,$G63&gt;=Hba_20,Input!U$40&lt;&gt;""),Input!$B$40&amp;";",""),IF(AND($G63&lt;Hta_21,$G63&gt;=Hba_21,Input!U$41&lt;&gt;""),Input!$B$41&amp;";",""),IF(AND($G63&lt;Hta_22,$G63&gt;=Hba_22,Input!U$42&lt;&gt;""),Input!$B$42&amp;";",""),IF(AND($G63&lt;Hta_23,$G63&gt;=Hba_23,Input!U$43&lt;&gt;""),Input!$B$43&amp;";",""),IF(AND($G63&lt;Hta_24,$G63&gt;=Hba_24,Input!U$44&lt;&gt;""),Input!$B$44&amp;";",""),IF(AND($G63&lt;Hta_25,$G63&gt;=Hba_25,Input!U$45&lt;&gt;""),Input!$B$45&amp;";",""),IF(AND($G63&lt;Hta_26,$G63&gt;=Hba_26,Input!U$46&lt;&gt;""),Input!$B$46&amp;";",""),IF(AND($G63&lt;Hta_27,$G63&gt;=Hba_27,Input!U$47&lt;&gt;""),Input!$B$47&amp;";",""),IF(AND($G63&lt;Hta_28,$G63&gt;=Hba_28,Input!U$48&lt;&gt;""),Input!$B$48&amp;";",""),IF(AND($G63&lt;Hta_29,$G63&gt;=Hba_29,Input!U$49&lt;&gt;""),Input!$B$49&amp;";",""),IF(AND($G63&lt;Hta_30,$G63&gt;=Hba_30,Input!U$50&lt;&gt;""),Input!$B$50&amp;";","")),"")</f>
        <v/>
      </c>
      <c r="BW63" s="25" t="str">
        <f>IFERROR(CONCATENATE(IF(AND($G63&lt;Hta_1,$G63&gt;=Hba_1,Input!V$21&lt;&gt;""),Input!$B$21&amp;";",""),IF(AND($G63&lt;Hta_2,$G63&gt;=Hba_2,Input!V$22&lt;&gt;""),Input!$B$22&amp;";",""),IF(AND($G63&lt;Hta_3,$G63&gt;=Hba_3,Input!V$23&lt;&gt;""),Input!$B$23&amp;";",""),IF(AND($G63&lt;Hta_4,$G63&gt;=Hba_4,Input!V$24&lt;&gt;""),Input!$B$24&amp;";",""),IF(AND($G63&lt;Hta_5,$G63&gt;=Hba_5,Input!V$25&lt;&gt;""),Input!$B$25&amp;";",""),IF(AND($G63&lt;Hta_6,$G63&gt;=Hba_6,Input!V$26&lt;&gt;""),Input!$B$26&amp;";",""),IF(AND($G63&lt;Hta_7,$G63&gt;=Hba_7,Input!V$27&lt;&gt;""),Input!$B$27&amp;";",""),IF(AND($G63&lt;Hta_8,$G63&gt;=Hba_8,Input!V$28&lt;&gt;""),Input!$B$28&amp;";",""),IF(AND($G63&lt;Hta_9,$G63&gt;=Hba_9,Input!V$29&lt;&gt;""),Input!$B$29&amp;";",""),IF(AND($G63&lt;Hta_10,$G63&gt;=Hba_10,Input!V$30&lt;&gt;""),Input!$B$30&amp;";",""),IF(AND($G63&lt;Hta_11,$G63&gt;=Hba_11,Input!V$31&lt;&gt;""),Input!$B$31&amp;";",""),IF(AND($G63&lt;Hta_12,$G63&gt;=Hba_12,Input!V$32&lt;&gt;""),Input!$B$32&amp;";",""),IF(AND($G63&lt;Hta_13,$G63&gt;=Hba_13,Input!V$33&lt;&gt;""),Input!$B$33&amp;";",""),IF(AND($G63&lt;Hta_14,$G63&gt;=Hba_14,Input!V$34&lt;&gt;""),Input!$B$34&amp;";",""),IF(AND($G63&lt;Hta_15,$G63&gt;=Hba_15,Input!V$35&lt;&gt;""),Input!$B$35&amp;";",""),IF(AND($G63&lt;Hta_16,$G63&gt;=Hba_16,Input!V$36&lt;&gt;""),Input!$B$36&amp;";",""),IF(AND($G63&lt;Hta_17,$G63&gt;=Hba_17,Input!V$37&lt;&gt;""),Input!$B$37&amp;";",""),IF(AND($G63&lt;Hta_18,$G63&gt;=Hba_18,Input!V$38&lt;&gt;""),Input!$B$38&amp;";",""),IF(AND($G63&lt;Hta_19,$G63&gt;=Hba_19,Input!V$39&lt;&gt;""),Input!$B$39&amp;";",""),IF(AND($G63&lt;Hta_20,$G63&gt;=Hba_20,Input!V$40&lt;&gt;""),Input!$B$40&amp;";",""),IF(AND($G63&lt;Hta_21,$G63&gt;=Hba_21,Input!V$41&lt;&gt;""),Input!$B$41&amp;";",""),IF(AND($G63&lt;Hta_22,$G63&gt;=Hba_22,Input!V$42&lt;&gt;""),Input!$B$42&amp;";",""),IF(AND($G63&lt;Hta_23,$G63&gt;=Hba_23,Input!V$43&lt;&gt;""),Input!$B$43&amp;";",""),IF(AND($G63&lt;Hta_24,$G63&gt;=Hba_24,Input!V$44&lt;&gt;""),Input!$B$44&amp;";",""),IF(AND($G63&lt;Hta_25,$G63&gt;=Hba_25,Input!V$45&lt;&gt;""),Input!$B$45&amp;";",""),IF(AND($G63&lt;Hta_26,$G63&gt;=Hba_26,Input!V$46&lt;&gt;""),Input!$B$46&amp;";",""),IF(AND($G63&lt;Hta_27,$G63&gt;=Hba_27,Input!V$47&lt;&gt;""),Input!$B$47&amp;";",""),IF(AND($G63&lt;Hta_28,$G63&gt;=Hba_28,Input!V$48&lt;&gt;""),Input!$B$48&amp;";",""),IF(AND($G63&lt;Hta_29,$G63&gt;=Hba_29,Input!V$49&lt;&gt;""),Input!$B$49&amp;";",""),IF(AND($G63&lt;Hta_30,$G63&gt;=Hba_30,Input!V$50&lt;&gt;""),Input!$B$50&amp;";","")),"")</f>
        <v/>
      </c>
      <c r="BX63" s="25" t="str">
        <f>IFERROR(CONCATENATE(IF(AND($G63&lt;Hta_1,$G63&gt;=Hba_1,Input!W$21&lt;&gt;""),Input!$B$21&amp;";",""),IF(AND($G63&lt;Hta_2,$G63&gt;=Hba_2,Input!W$22&lt;&gt;""),Input!$B$22&amp;";",""),IF(AND($G63&lt;Hta_3,$G63&gt;=Hba_3,Input!W$23&lt;&gt;""),Input!$B$23&amp;";",""),IF(AND($G63&lt;Hta_4,$G63&gt;=Hba_4,Input!W$24&lt;&gt;""),Input!$B$24&amp;";",""),IF(AND($G63&lt;Hta_5,$G63&gt;=Hba_5,Input!W$25&lt;&gt;""),Input!$B$25&amp;";",""),IF(AND($G63&lt;Hta_6,$G63&gt;=Hba_6,Input!W$26&lt;&gt;""),Input!$B$26&amp;";",""),IF(AND($G63&lt;Hta_7,$G63&gt;=Hba_7,Input!W$27&lt;&gt;""),Input!$B$27&amp;";",""),IF(AND($G63&lt;Hta_8,$G63&gt;=Hba_8,Input!W$28&lt;&gt;""),Input!$B$28&amp;";",""),IF(AND($G63&lt;Hta_9,$G63&gt;=Hba_9,Input!W$29&lt;&gt;""),Input!$B$29&amp;";",""),IF(AND($G63&lt;Hta_10,$G63&gt;=Hba_10,Input!W$30&lt;&gt;""),Input!$B$30&amp;";",""),IF(AND($G63&lt;Hta_11,$G63&gt;=Hba_11,Input!W$31&lt;&gt;""),Input!$B$31&amp;";",""),IF(AND($G63&lt;Hta_12,$G63&gt;=Hba_12,Input!W$32&lt;&gt;""),Input!$B$32&amp;";",""),IF(AND($G63&lt;Hta_13,$G63&gt;=Hba_13,Input!W$33&lt;&gt;""),Input!$B$33&amp;";",""),IF(AND($G63&lt;Hta_14,$G63&gt;=Hba_14,Input!W$34&lt;&gt;""),Input!$B$34&amp;";",""),IF(AND($G63&lt;Hta_15,$G63&gt;=Hba_15,Input!W$35&lt;&gt;""),Input!$B$35&amp;";",""),IF(AND($G63&lt;Hta_16,$G63&gt;=Hba_16,Input!W$36&lt;&gt;""),Input!$B$36&amp;";",""),IF(AND($G63&lt;Hta_17,$G63&gt;=Hba_17,Input!W$37&lt;&gt;""),Input!$B$37&amp;";",""),IF(AND($G63&lt;Hta_18,$G63&gt;=Hba_18,Input!W$38&lt;&gt;""),Input!$B$38&amp;";",""),IF(AND($G63&lt;Hta_19,$G63&gt;=Hba_19,Input!W$39&lt;&gt;""),Input!$B$39&amp;";",""),IF(AND($G63&lt;Hta_20,$G63&gt;=Hba_20,Input!W$40&lt;&gt;""),Input!$B$40&amp;";",""),IF(AND($G63&lt;Hta_21,$G63&gt;=Hba_21,Input!W$41&lt;&gt;""),Input!$B$41&amp;";",""),IF(AND($G63&lt;Hta_22,$G63&gt;=Hba_22,Input!W$42&lt;&gt;""),Input!$B$42&amp;";",""),IF(AND($G63&lt;Hta_23,$G63&gt;=Hba_23,Input!W$43&lt;&gt;""),Input!$B$43&amp;";",""),IF(AND($G63&lt;Hta_24,$G63&gt;=Hba_24,Input!W$44&lt;&gt;""),Input!$B$44&amp;";",""),IF(AND($G63&lt;Hta_25,$G63&gt;=Hba_25,Input!W$45&lt;&gt;""),Input!$B$45&amp;";",""),IF(AND($G63&lt;Hta_26,$G63&gt;=Hba_26,Input!W$46&lt;&gt;""),Input!$B$46&amp;";",""),IF(AND($G63&lt;Hta_27,$G63&gt;=Hba_27,Input!W$47&lt;&gt;""),Input!$B$47&amp;";",""),IF(AND($G63&lt;Hta_28,$G63&gt;=Hba_28,Input!W$48&lt;&gt;""),Input!$B$48&amp;";",""),IF(AND($G63&lt;Hta_29,$G63&gt;=Hba_29,Input!W$49&lt;&gt;""),Input!$B$49&amp;";",""),IF(AND($G63&lt;Hta_30,$G63&gt;=Hba_30,Input!W$50&lt;&gt;""),Input!$B$50&amp;";","")),"")</f>
        <v/>
      </c>
      <c r="BY63" s="25" t="str">
        <f>IFERROR(CONCATENATE(IF(AND($G63&lt;Hta_1,$G63&gt;=Hba_1,Input!X$21&lt;&gt;""),Input!$B$21&amp;";",""),IF(AND($G63&lt;Hta_2,$G63&gt;=Hba_2,Input!X$22&lt;&gt;""),Input!$B$22&amp;";",""),IF(AND($G63&lt;Hta_3,$G63&gt;=Hba_3,Input!X$23&lt;&gt;""),Input!$B$23&amp;";",""),IF(AND($G63&lt;Hta_4,$G63&gt;=Hba_4,Input!X$24&lt;&gt;""),Input!$B$24&amp;";",""),IF(AND($G63&lt;Hta_5,$G63&gt;=Hba_5,Input!X$25&lt;&gt;""),Input!$B$25&amp;";",""),IF(AND($G63&lt;Hta_6,$G63&gt;=Hba_6,Input!X$26&lt;&gt;""),Input!$B$26&amp;";",""),IF(AND($G63&lt;Hta_7,$G63&gt;=Hba_7,Input!X$27&lt;&gt;""),Input!$B$27&amp;";",""),IF(AND($G63&lt;Hta_8,$G63&gt;=Hba_8,Input!X$28&lt;&gt;""),Input!$B$28&amp;";",""),IF(AND($G63&lt;Hta_9,$G63&gt;=Hba_9,Input!X$29&lt;&gt;""),Input!$B$29&amp;";",""),IF(AND($G63&lt;Hta_10,$G63&gt;=Hba_10,Input!X$30&lt;&gt;""),Input!$B$30&amp;";",""),IF(AND($G63&lt;Hta_11,$G63&gt;=Hba_11,Input!X$31&lt;&gt;""),Input!$B$31&amp;";",""),IF(AND($G63&lt;Hta_12,$G63&gt;=Hba_12,Input!X$32&lt;&gt;""),Input!$B$32&amp;";",""),IF(AND($G63&lt;Hta_13,$G63&gt;=Hba_13,Input!X$33&lt;&gt;""),Input!$B$33&amp;";",""),IF(AND($G63&lt;Hta_14,$G63&gt;=Hba_14,Input!X$34&lt;&gt;""),Input!$B$34&amp;";",""),IF(AND($G63&lt;Hta_15,$G63&gt;=Hba_15,Input!X$35&lt;&gt;""),Input!$B$35&amp;";",""),IF(AND($G63&lt;Hta_16,$G63&gt;=Hba_16,Input!X$36&lt;&gt;""),Input!$B$36&amp;";",""),IF(AND($G63&lt;Hta_17,$G63&gt;=Hba_17,Input!X$37&lt;&gt;""),Input!$B$37&amp;";",""),IF(AND($G63&lt;Hta_18,$G63&gt;=Hba_18,Input!X$38&lt;&gt;""),Input!$B$38&amp;";",""),IF(AND($G63&lt;Hta_19,$G63&gt;=Hba_19,Input!X$39&lt;&gt;""),Input!$B$39&amp;";",""),IF(AND($G63&lt;Hta_20,$G63&gt;=Hba_20,Input!X$40&lt;&gt;""),Input!$B$40&amp;";",""),IF(AND($G63&lt;Hta_21,$G63&gt;=Hba_21,Input!X$41&lt;&gt;""),Input!$B$41&amp;";",""),IF(AND($G63&lt;Hta_22,$G63&gt;=Hba_22,Input!X$42&lt;&gt;""),Input!$B$42&amp;";",""),IF(AND($G63&lt;Hta_23,$G63&gt;=Hba_23,Input!X$43&lt;&gt;""),Input!$B$43&amp;";",""),IF(AND($G63&lt;Hta_24,$G63&gt;=Hba_24,Input!X$44&lt;&gt;""),Input!$B$44&amp;";",""),IF(AND($G63&lt;Hta_25,$G63&gt;=Hba_25,Input!X$45&lt;&gt;""),Input!$B$45&amp;";",""),IF(AND($G63&lt;Hta_26,$G63&gt;=Hba_26,Input!X$46&lt;&gt;""),Input!$B$46&amp;";",""),IF(AND($G63&lt;Hta_27,$G63&gt;=Hba_27,Input!X$47&lt;&gt;""),Input!$B$47&amp;";",""),IF(AND($G63&lt;Hta_28,$G63&gt;=Hba_28,Input!X$48&lt;&gt;""),Input!$B$48&amp;";",""),IF(AND($G63&lt;Hta_29,$G63&gt;=Hba_29,Input!X$49&lt;&gt;""),Input!$B$49&amp;";",""),IF(AND($G63&lt;Hta_30,$G63&gt;=Hba_30,Input!X$50&lt;&gt;""),Input!$B$50&amp;";","")),"")</f>
        <v/>
      </c>
      <c r="BZ63" s="25" t="str">
        <f>IFERROR(CONCATENATE(IF(AND($G63&lt;Hta_1,$G63&gt;=Hba_1,Input!Y$21&lt;&gt;""),Input!$B$21&amp;";",""),IF(AND($G63&lt;Hta_2,$G63&gt;=Hba_2,Input!Y$22&lt;&gt;""),Input!$B$22&amp;";",""),IF(AND($G63&lt;Hta_3,$G63&gt;=Hba_3,Input!Y$23&lt;&gt;""),Input!$B$23&amp;";",""),IF(AND($G63&lt;Hta_4,$G63&gt;=Hba_4,Input!Y$24&lt;&gt;""),Input!$B$24&amp;";",""),IF(AND($G63&lt;Hta_5,$G63&gt;=Hba_5,Input!Y$25&lt;&gt;""),Input!$B$25&amp;";",""),IF(AND($G63&lt;Hta_6,$G63&gt;=Hba_6,Input!Y$26&lt;&gt;""),Input!$B$26&amp;";",""),IF(AND($G63&lt;Hta_7,$G63&gt;=Hba_7,Input!Y$27&lt;&gt;""),Input!$B$27&amp;";",""),IF(AND($G63&lt;Hta_8,$G63&gt;=Hba_8,Input!Y$28&lt;&gt;""),Input!$B$28&amp;";",""),IF(AND($G63&lt;Hta_9,$G63&gt;=Hba_9,Input!Y$29&lt;&gt;""),Input!$B$29&amp;";",""),IF(AND($G63&lt;Hta_10,$G63&gt;=Hba_10,Input!Y$30&lt;&gt;""),Input!$B$30&amp;";",""),IF(AND($G63&lt;Hta_11,$G63&gt;=Hba_11,Input!Y$31&lt;&gt;""),Input!$B$31&amp;";",""),IF(AND($G63&lt;Hta_12,$G63&gt;=Hba_12,Input!Y$32&lt;&gt;""),Input!$B$32&amp;";",""),IF(AND($G63&lt;Hta_13,$G63&gt;=Hba_13,Input!Y$33&lt;&gt;""),Input!$B$33&amp;";",""),IF(AND($G63&lt;Hta_14,$G63&gt;=Hba_14,Input!Y$34&lt;&gt;""),Input!$B$34&amp;";",""),IF(AND($G63&lt;Hta_15,$G63&gt;=Hba_15,Input!Y$35&lt;&gt;""),Input!$B$35&amp;";",""),IF(AND($G63&lt;Hta_16,$G63&gt;=Hba_16,Input!Y$36&lt;&gt;""),Input!$B$36&amp;";",""),IF(AND($G63&lt;Hta_17,$G63&gt;=Hba_17,Input!Y$37&lt;&gt;""),Input!$B$37&amp;";",""),IF(AND($G63&lt;Hta_18,$G63&gt;=Hba_18,Input!Y$38&lt;&gt;""),Input!$B$38&amp;";",""),IF(AND($G63&lt;Hta_19,$G63&gt;=Hba_19,Input!Y$39&lt;&gt;""),Input!$B$39&amp;";",""),IF(AND($G63&lt;Hta_20,$G63&gt;=Hba_20,Input!Y$40&lt;&gt;""),Input!$B$40&amp;";",""),IF(AND($G63&lt;Hta_21,$G63&gt;=Hba_21,Input!Y$41&lt;&gt;""),Input!$B$41&amp;";",""),IF(AND($G63&lt;Hta_22,$G63&gt;=Hba_22,Input!Y$42&lt;&gt;""),Input!$B$42&amp;";",""),IF(AND($G63&lt;Hta_23,$G63&gt;=Hba_23,Input!Y$43&lt;&gt;""),Input!$B$43&amp;";",""),IF(AND($G63&lt;Hta_24,$G63&gt;=Hba_24,Input!Y$44&lt;&gt;""),Input!$B$44&amp;";",""),IF(AND($G63&lt;Hta_25,$G63&gt;=Hba_25,Input!Y$45&lt;&gt;""),Input!$B$45&amp;";",""),IF(AND($G63&lt;Hta_26,$G63&gt;=Hba_26,Input!Y$46&lt;&gt;""),Input!$B$46&amp;";",""),IF(AND($G63&lt;Hta_27,$G63&gt;=Hba_27,Input!Y$47&lt;&gt;""),Input!$B$47&amp;";",""),IF(AND($G63&lt;Hta_28,$G63&gt;=Hba_28,Input!Y$48&lt;&gt;""),Input!$B$48&amp;";",""),IF(AND($G63&lt;Hta_29,$G63&gt;=Hba_29,Input!Y$49&lt;&gt;""),Input!$B$49&amp;";",""),IF(AND($G63&lt;Hta_30,$G63&gt;=Hba_30,Input!Y$50&lt;&gt;""),Input!$B$50&amp;";","")),"")</f>
        <v/>
      </c>
      <c r="CA63" s="25" t="str">
        <f>IFERROR(CONCATENATE(IF(AND($G63&lt;Hta_1,$G63&gt;=Hba_1,Input!Z$21&lt;&gt;""),Input!$B$21&amp;";",""),IF(AND($G63&lt;Hta_2,$G63&gt;=Hba_2,Input!Z$22&lt;&gt;""),Input!$B$22&amp;";",""),IF(AND($G63&lt;Hta_3,$G63&gt;=Hba_3,Input!Z$23&lt;&gt;""),Input!$B$23&amp;";",""),IF(AND($G63&lt;Hta_4,$G63&gt;=Hba_4,Input!Z$24&lt;&gt;""),Input!$B$24&amp;";",""),IF(AND($G63&lt;Hta_5,$G63&gt;=Hba_5,Input!Z$25&lt;&gt;""),Input!$B$25&amp;";",""),IF(AND($G63&lt;Hta_6,$G63&gt;=Hba_6,Input!Z$26&lt;&gt;""),Input!$B$26&amp;";",""),IF(AND($G63&lt;Hta_7,$G63&gt;=Hba_7,Input!Z$27&lt;&gt;""),Input!$B$27&amp;";",""),IF(AND($G63&lt;Hta_8,$G63&gt;=Hba_8,Input!Z$28&lt;&gt;""),Input!$B$28&amp;";",""),IF(AND($G63&lt;Hta_9,$G63&gt;=Hba_9,Input!Z$29&lt;&gt;""),Input!$B$29&amp;";",""),IF(AND($G63&lt;Hta_10,$G63&gt;=Hba_10,Input!Z$30&lt;&gt;""),Input!$B$30&amp;";",""),IF(AND($G63&lt;Hta_11,$G63&gt;=Hba_11,Input!Z$31&lt;&gt;""),Input!$B$31&amp;";",""),IF(AND($G63&lt;Hta_12,$G63&gt;=Hba_12,Input!Z$32&lt;&gt;""),Input!$B$32&amp;";",""),IF(AND($G63&lt;Hta_13,$G63&gt;=Hba_13,Input!Z$33&lt;&gt;""),Input!$B$33&amp;";",""),IF(AND($G63&lt;Hta_14,$G63&gt;=Hba_14,Input!Z$34&lt;&gt;""),Input!$B$34&amp;";",""),IF(AND($G63&lt;Hta_15,$G63&gt;=Hba_15,Input!Z$35&lt;&gt;""),Input!$B$35&amp;";",""),IF(AND($G63&lt;Hta_16,$G63&gt;=Hba_16,Input!Z$36&lt;&gt;""),Input!$B$36&amp;";",""),IF(AND($G63&lt;Hta_17,$G63&gt;=Hba_17,Input!Z$37&lt;&gt;""),Input!$B$37&amp;";",""),IF(AND($G63&lt;Hta_18,$G63&gt;=Hba_18,Input!Z$38&lt;&gt;""),Input!$B$38&amp;";",""),IF(AND($G63&lt;Hta_19,$G63&gt;=Hba_19,Input!Z$39&lt;&gt;""),Input!$B$39&amp;";",""),IF(AND($G63&lt;Hta_20,$G63&gt;=Hba_20,Input!Z$40&lt;&gt;""),Input!$B$40&amp;";",""),IF(AND($G63&lt;Hta_21,$G63&gt;=Hba_21,Input!Z$41&lt;&gt;""),Input!$B$41&amp;";",""),IF(AND($G63&lt;Hta_22,$G63&gt;=Hba_22,Input!Z$42&lt;&gt;""),Input!$B$42&amp;";",""),IF(AND($G63&lt;Hta_23,$G63&gt;=Hba_23,Input!Z$43&lt;&gt;""),Input!$B$43&amp;";",""),IF(AND($G63&lt;Hta_24,$G63&gt;=Hba_24,Input!Z$44&lt;&gt;""),Input!$B$44&amp;";",""),IF(AND($G63&lt;Hta_25,$G63&gt;=Hba_25,Input!Z$45&lt;&gt;""),Input!$B$45&amp;";",""),IF(AND($G63&lt;Hta_26,$G63&gt;=Hba_26,Input!Z$46&lt;&gt;""),Input!$B$46&amp;";",""),IF(AND($G63&lt;Hta_27,$G63&gt;=Hba_27,Input!Z$47&lt;&gt;""),Input!$B$47&amp;";",""),IF(AND($G63&lt;Hta_28,$G63&gt;=Hba_28,Input!Z$48&lt;&gt;""),Input!$B$48&amp;";",""),IF(AND($G63&lt;Hta_29,$G63&gt;=Hba_29,Input!Z$49&lt;&gt;""),Input!$B$49&amp;";",""),IF(AND($G63&lt;Hta_30,$G63&gt;=Hba_30,Input!Z$50&lt;&gt;""),Input!$B$50&amp;";","")),"")</f>
        <v/>
      </c>
      <c r="CB63" s="25" t="str">
        <f>IFERROR(CONCATENATE(IF(AND($G63&lt;Hta_1,$G63&gt;=Hba_1,Input!AA$21&lt;&gt;""),Input!$B$21&amp;";",""),IF(AND($G63&lt;Hta_2,$G63&gt;=Hba_2,Input!AA$22&lt;&gt;""),Input!$B$22&amp;";",""),IF(AND($G63&lt;Hta_3,$G63&gt;=Hba_3,Input!AA$23&lt;&gt;""),Input!$B$23&amp;";",""),IF(AND($G63&lt;Hta_4,$G63&gt;=Hba_4,Input!AA$24&lt;&gt;""),Input!$B$24&amp;";",""),IF(AND($G63&lt;Hta_5,$G63&gt;=Hba_5,Input!AA$25&lt;&gt;""),Input!$B$25&amp;";",""),IF(AND($G63&lt;Hta_6,$G63&gt;=Hba_6,Input!AA$26&lt;&gt;""),Input!$B$26&amp;";",""),IF(AND($G63&lt;Hta_7,$G63&gt;=Hba_7,Input!AA$27&lt;&gt;""),Input!$B$27&amp;";",""),IF(AND($G63&lt;Hta_8,$G63&gt;=Hba_8,Input!AA$28&lt;&gt;""),Input!$B$28&amp;";",""),IF(AND($G63&lt;Hta_9,$G63&gt;=Hba_9,Input!AA$29&lt;&gt;""),Input!$B$29&amp;";",""),IF(AND($G63&lt;Hta_10,$G63&gt;=Hba_10,Input!AA$30&lt;&gt;""),Input!$B$30&amp;";",""),IF(AND($G63&lt;Hta_11,$G63&gt;=Hba_11,Input!AA$31&lt;&gt;""),Input!$B$31&amp;";",""),IF(AND($G63&lt;Hta_12,$G63&gt;=Hba_12,Input!AA$32&lt;&gt;""),Input!$B$32&amp;";",""),IF(AND($G63&lt;Hta_13,$G63&gt;=Hba_13,Input!AA$33&lt;&gt;""),Input!$B$33&amp;";",""),IF(AND($G63&lt;Hta_14,$G63&gt;=Hba_14,Input!AA$34&lt;&gt;""),Input!$B$34&amp;";",""),IF(AND($G63&lt;Hta_15,$G63&gt;=Hba_15,Input!AA$35&lt;&gt;""),Input!$B$35&amp;";",""),IF(AND($G63&lt;Hta_16,$G63&gt;=Hba_16,Input!AA$36&lt;&gt;""),Input!$B$36&amp;";",""),IF(AND($G63&lt;Hta_17,$G63&gt;=Hba_17,Input!AA$37&lt;&gt;""),Input!$B$37&amp;";",""),IF(AND($G63&lt;Hta_18,$G63&gt;=Hba_18,Input!AA$38&lt;&gt;""),Input!$B$38&amp;";",""),IF(AND($G63&lt;Hta_19,$G63&gt;=Hba_19,Input!AA$39&lt;&gt;""),Input!$B$39&amp;";",""),IF(AND($G63&lt;Hta_20,$G63&gt;=Hba_20,Input!AA$40&lt;&gt;""),Input!$B$40&amp;";",""),IF(AND($G63&lt;Hta_21,$G63&gt;=Hba_21,Input!AA$41&lt;&gt;""),Input!$B$41&amp;";",""),IF(AND($G63&lt;Hta_22,$G63&gt;=Hba_22,Input!AA$42&lt;&gt;""),Input!$B$42&amp;";",""),IF(AND($G63&lt;Hta_23,$G63&gt;=Hba_23,Input!AA$43&lt;&gt;""),Input!$B$43&amp;";",""),IF(AND($G63&lt;Hta_24,$G63&gt;=Hba_24,Input!AA$44&lt;&gt;""),Input!$B$44&amp;";",""),IF(AND($G63&lt;Hta_25,$G63&gt;=Hba_25,Input!AA$45&lt;&gt;""),Input!$B$45&amp;";",""),IF(AND($G63&lt;Hta_26,$G63&gt;=Hba_26,Input!AA$46&lt;&gt;""),Input!$B$46&amp;";",""),IF(AND($G63&lt;Hta_27,$G63&gt;=Hba_27,Input!AA$47&lt;&gt;""),Input!$B$47&amp;";",""),IF(AND($G63&lt;Hta_28,$G63&gt;=Hba_28,Input!AA$48&lt;&gt;""),Input!$B$48&amp;";",""),IF(AND($G63&lt;Hta_29,$G63&gt;=Hba_29,Input!AA$49&lt;&gt;""),Input!$B$49&amp;";",""),IF(AND($G63&lt;Hta_30,$G63&gt;=Hba_30,Input!AA$50&lt;&gt;""),Input!$B$50&amp;";","")),"")</f>
        <v/>
      </c>
      <c r="CC63" s="25" t="str">
        <f>IFERROR(CONCATENATE(IF(AND($G63&lt;Hta_1,$G63&gt;=Hba_1,Input!AB$21&lt;&gt;""),Input!$B$21&amp;";",""),IF(AND($G63&lt;Hta_2,$G63&gt;=Hba_2,Input!AB$22&lt;&gt;""),Input!$B$22&amp;";",""),IF(AND($G63&lt;Hta_3,$G63&gt;=Hba_3,Input!AB$23&lt;&gt;""),Input!$B$23&amp;";",""),IF(AND($G63&lt;Hta_4,$G63&gt;=Hba_4,Input!AB$24&lt;&gt;""),Input!$B$24&amp;";",""),IF(AND($G63&lt;Hta_5,$G63&gt;=Hba_5,Input!AB$25&lt;&gt;""),Input!$B$25&amp;";",""),IF(AND($G63&lt;Hta_6,$G63&gt;=Hba_6,Input!AB$26&lt;&gt;""),Input!$B$26&amp;";",""),IF(AND($G63&lt;Hta_7,$G63&gt;=Hba_7,Input!AB$27&lt;&gt;""),Input!$B$27&amp;";",""),IF(AND($G63&lt;Hta_8,$G63&gt;=Hba_8,Input!AB$28&lt;&gt;""),Input!$B$28&amp;";",""),IF(AND($G63&lt;Hta_9,$G63&gt;=Hba_9,Input!AB$29&lt;&gt;""),Input!$B$29&amp;";",""),IF(AND($G63&lt;Hta_10,$G63&gt;=Hba_10,Input!AB$30&lt;&gt;""),Input!$B$30&amp;";",""),IF(AND($G63&lt;Hta_11,$G63&gt;=Hba_11,Input!AB$31&lt;&gt;""),Input!$B$31&amp;";",""),IF(AND($G63&lt;Hta_12,$G63&gt;=Hba_12,Input!AB$32&lt;&gt;""),Input!$B$32&amp;";",""),IF(AND($G63&lt;Hta_13,$G63&gt;=Hba_13,Input!AB$33&lt;&gt;""),Input!$B$33&amp;";",""),IF(AND($G63&lt;Hta_14,$G63&gt;=Hba_14,Input!AB$34&lt;&gt;""),Input!$B$34&amp;";",""),IF(AND($G63&lt;Hta_15,$G63&gt;=Hba_15,Input!AB$35&lt;&gt;""),Input!$B$35&amp;";",""),IF(AND($G63&lt;Hta_16,$G63&gt;=Hba_16,Input!AB$36&lt;&gt;""),Input!$B$36&amp;";",""),IF(AND($G63&lt;Hta_17,$G63&gt;=Hba_17,Input!AB$37&lt;&gt;""),Input!$B$37&amp;";",""),IF(AND($G63&lt;Hta_18,$G63&gt;=Hba_18,Input!AB$38&lt;&gt;""),Input!$B$38&amp;";",""),IF(AND($G63&lt;Hta_19,$G63&gt;=Hba_19,Input!AB$39&lt;&gt;""),Input!$B$39&amp;";",""),IF(AND($G63&lt;Hta_20,$G63&gt;=Hba_20,Input!AB$40&lt;&gt;""),Input!$B$40&amp;";",""),IF(AND($G63&lt;Hta_21,$G63&gt;=Hba_21,Input!AB$41&lt;&gt;""),Input!$B$41&amp;";",""),IF(AND($G63&lt;Hta_22,$G63&gt;=Hba_22,Input!AB$42&lt;&gt;""),Input!$B$42&amp;";",""),IF(AND($G63&lt;Hta_23,$G63&gt;=Hba_23,Input!AB$43&lt;&gt;""),Input!$B$43&amp;";",""),IF(AND($G63&lt;Hta_24,$G63&gt;=Hba_24,Input!AB$44&lt;&gt;""),Input!$B$44&amp;";",""),IF(AND($G63&lt;Hta_25,$G63&gt;=Hba_25,Input!AB$45&lt;&gt;""),Input!$B$45&amp;";",""),IF(AND($G63&lt;Hta_26,$G63&gt;=Hba_26,Input!AB$46&lt;&gt;""),Input!$B$46&amp;";",""),IF(AND($G63&lt;Hta_27,$G63&gt;=Hba_27,Input!AB$47&lt;&gt;""),Input!$B$47&amp;";",""),IF(AND($G63&lt;Hta_28,$G63&gt;=Hba_28,Input!AB$48&lt;&gt;""),Input!$B$48&amp;";",""),IF(AND($G63&lt;Hta_29,$G63&gt;=Hba_29,Input!AB$49&lt;&gt;""),Input!$B$49&amp;";",""),IF(AND($G63&lt;Hta_30,$G63&gt;=Hba_30,Input!AB$50&lt;&gt;""),Input!$B$50&amp;";","")),"")</f>
        <v/>
      </c>
      <c r="CD63" s="25" t="str">
        <f>IFERROR(CONCATENATE(IF(AND($G63&lt;Hta_1,$G63&gt;=Hba_1,Input!AC$21&lt;&gt;""),Input!$B$21&amp;";",""),IF(AND($G63&lt;Hta_2,$G63&gt;=Hba_2,Input!AC$22&lt;&gt;""),Input!$B$22&amp;";",""),IF(AND($G63&lt;Hta_3,$G63&gt;=Hba_3,Input!AC$23&lt;&gt;""),Input!$B$23&amp;";",""),IF(AND($G63&lt;Hta_4,$G63&gt;=Hba_4,Input!AC$24&lt;&gt;""),Input!$B$24&amp;";",""),IF(AND($G63&lt;Hta_5,$G63&gt;=Hba_5,Input!AC$25&lt;&gt;""),Input!$B$25&amp;";",""),IF(AND($G63&lt;Hta_6,$G63&gt;=Hba_6,Input!AC$26&lt;&gt;""),Input!$B$26&amp;";",""),IF(AND($G63&lt;Hta_7,$G63&gt;=Hba_7,Input!AC$27&lt;&gt;""),Input!$B$27&amp;";",""),IF(AND($G63&lt;Hta_8,$G63&gt;=Hba_8,Input!AC$28&lt;&gt;""),Input!$B$28&amp;";",""),IF(AND($G63&lt;Hta_9,$G63&gt;=Hba_9,Input!AC$29&lt;&gt;""),Input!$B$29&amp;";",""),IF(AND($G63&lt;Hta_10,$G63&gt;=Hba_10,Input!AC$30&lt;&gt;""),Input!$B$30&amp;";",""),IF(AND($G63&lt;Hta_11,$G63&gt;=Hba_11,Input!AC$31&lt;&gt;""),Input!$B$31&amp;";",""),IF(AND($G63&lt;Hta_12,$G63&gt;=Hba_12,Input!AC$32&lt;&gt;""),Input!$B$32&amp;";",""),IF(AND($G63&lt;Hta_13,$G63&gt;=Hba_13,Input!AC$33&lt;&gt;""),Input!$B$33&amp;";",""),IF(AND($G63&lt;Hta_14,$G63&gt;=Hba_14,Input!AC$34&lt;&gt;""),Input!$B$34&amp;";",""),IF(AND($G63&lt;Hta_15,$G63&gt;=Hba_15,Input!AC$35&lt;&gt;""),Input!$B$35&amp;";",""),IF(AND($G63&lt;Hta_16,$G63&gt;=Hba_16,Input!AC$36&lt;&gt;""),Input!$B$36&amp;";",""),IF(AND($G63&lt;Hta_17,$G63&gt;=Hba_17,Input!AC$37&lt;&gt;""),Input!$B$37&amp;";",""),IF(AND($G63&lt;Hta_18,$G63&gt;=Hba_18,Input!AC$38&lt;&gt;""),Input!$B$38&amp;";",""),IF(AND($G63&lt;Hta_19,$G63&gt;=Hba_19,Input!AC$39&lt;&gt;""),Input!$B$39&amp;";",""),IF(AND($G63&lt;Hta_20,$G63&gt;=Hba_20,Input!AC$40&lt;&gt;""),Input!$B$40&amp;";",""),IF(AND($G63&lt;Hta_21,$G63&gt;=Hba_21,Input!AC$41&lt;&gt;""),Input!$B$41&amp;";",""),IF(AND($G63&lt;Hta_22,$G63&gt;=Hba_22,Input!AC$42&lt;&gt;""),Input!$B$42&amp;";",""),IF(AND($G63&lt;Hta_23,$G63&gt;=Hba_23,Input!AC$43&lt;&gt;""),Input!$B$43&amp;";",""),IF(AND($G63&lt;Hta_24,$G63&gt;=Hba_24,Input!AC$44&lt;&gt;""),Input!$B$44&amp;";",""),IF(AND($G63&lt;Hta_25,$G63&gt;=Hba_25,Input!AC$45&lt;&gt;""),Input!$B$45&amp;";",""),IF(AND($G63&lt;Hta_26,$G63&gt;=Hba_26,Input!AC$46&lt;&gt;""),Input!$B$46&amp;";",""),IF(AND($G63&lt;Hta_27,$G63&gt;=Hba_27,Input!AC$47&lt;&gt;""),Input!$B$47&amp;";",""),IF(AND($G63&lt;Hta_28,$G63&gt;=Hba_28,Input!AC$48&lt;&gt;""),Input!$B$48&amp;";",""),IF(AND($G63&lt;Hta_29,$G63&gt;=Hba_29,Input!AC$49&lt;&gt;""),Input!$B$49&amp;";",""),IF(AND($G63&lt;Hta_30,$G63&gt;=Hba_30,Input!AC$50&lt;&gt;""),Input!$B$50&amp;";","")),"")</f>
        <v/>
      </c>
      <c r="CE63" s="25" t="str">
        <f>IFERROR(CONCATENATE(IF(AND($G63&lt;Hta_1,$G63&gt;=Hba_1,Input!AD$21&lt;&gt;""),Input!$B$21&amp;";",""),IF(AND($G63&lt;Hta_2,$G63&gt;=Hba_2,Input!AD$22&lt;&gt;""),Input!$B$22&amp;";",""),IF(AND($G63&lt;Hta_3,$G63&gt;=Hba_3,Input!AD$23&lt;&gt;""),Input!$B$23&amp;";",""),IF(AND($G63&lt;Hta_4,$G63&gt;=Hba_4,Input!AD$24&lt;&gt;""),Input!$B$24&amp;";",""),IF(AND($G63&lt;Hta_5,$G63&gt;=Hba_5,Input!AD$25&lt;&gt;""),Input!$B$25&amp;";",""),IF(AND($G63&lt;Hta_6,$G63&gt;=Hba_6,Input!AD$26&lt;&gt;""),Input!$B$26&amp;";",""),IF(AND($G63&lt;Hta_7,$G63&gt;=Hba_7,Input!AD$27&lt;&gt;""),Input!$B$27&amp;";",""),IF(AND($G63&lt;Hta_8,$G63&gt;=Hba_8,Input!AD$28&lt;&gt;""),Input!$B$28&amp;";",""),IF(AND($G63&lt;Hta_9,$G63&gt;=Hba_9,Input!AD$29&lt;&gt;""),Input!$B$29&amp;";",""),IF(AND($G63&lt;Hta_10,$G63&gt;=Hba_10,Input!AD$30&lt;&gt;""),Input!$B$30&amp;";",""),IF(AND($G63&lt;Hta_11,$G63&gt;=Hba_11,Input!AD$31&lt;&gt;""),Input!$B$31&amp;";",""),IF(AND($G63&lt;Hta_12,$G63&gt;=Hba_12,Input!AD$32&lt;&gt;""),Input!$B$32&amp;";",""),IF(AND($G63&lt;Hta_13,$G63&gt;=Hba_13,Input!AD$33&lt;&gt;""),Input!$B$33&amp;";",""),IF(AND($G63&lt;Hta_14,$G63&gt;=Hba_14,Input!AD$34&lt;&gt;""),Input!$B$34&amp;";",""),IF(AND($G63&lt;Hta_15,$G63&gt;=Hba_15,Input!AD$35&lt;&gt;""),Input!$B$35&amp;";",""),IF(AND($G63&lt;Hta_16,$G63&gt;=Hba_16,Input!AD$36&lt;&gt;""),Input!$B$36&amp;";",""),IF(AND($G63&lt;Hta_17,$G63&gt;=Hba_17,Input!AD$37&lt;&gt;""),Input!$B$37&amp;";",""),IF(AND($G63&lt;Hta_18,$G63&gt;=Hba_18,Input!AD$38&lt;&gt;""),Input!$B$38&amp;";",""),IF(AND($G63&lt;Hta_19,$G63&gt;=Hba_19,Input!AD$39&lt;&gt;""),Input!$B$39&amp;";",""),IF(AND($G63&lt;Hta_20,$G63&gt;=Hba_20,Input!AD$40&lt;&gt;""),Input!$B$40&amp;";",""),IF(AND($G63&lt;Hta_21,$G63&gt;=Hba_21,Input!AD$41&lt;&gt;""),Input!$B$41&amp;";",""),IF(AND($G63&lt;Hta_22,$G63&gt;=Hba_22,Input!AD$42&lt;&gt;""),Input!$B$42&amp;";",""),IF(AND($G63&lt;Hta_23,$G63&gt;=Hba_23,Input!AD$43&lt;&gt;""),Input!$B$43&amp;";",""),IF(AND($G63&lt;Hta_24,$G63&gt;=Hba_24,Input!AD$44&lt;&gt;""),Input!$B$44&amp;";",""),IF(AND($G63&lt;Hta_25,$G63&gt;=Hba_25,Input!AD$45&lt;&gt;""),Input!$B$45&amp;";",""),IF(AND($G63&lt;Hta_26,$G63&gt;=Hba_26,Input!AD$46&lt;&gt;""),Input!$B$46&amp;";",""),IF(AND($G63&lt;Hta_27,$G63&gt;=Hba_27,Input!AD$47&lt;&gt;""),Input!$B$47&amp;";",""),IF(AND($G63&lt;Hta_28,$G63&gt;=Hba_28,Input!AD$48&lt;&gt;""),Input!$B$48&amp;";",""),IF(AND($G63&lt;Hta_29,$G63&gt;=Hba_29,Input!AD$49&lt;&gt;""),Input!$B$49&amp;";",""),IF(AND($G63&lt;Hta_30,$G63&gt;=Hba_30,Input!AD$50&lt;&gt;""),Input!$B$50&amp;";","")),"")</f>
        <v/>
      </c>
      <c r="CF63" s="25" t="str">
        <f>IFERROR(CONCATENATE(IF(AND($G63&lt;Hta_1,$G63&gt;=Hba_1,Input!AE$21&lt;&gt;""),Input!$B$21&amp;";",""),IF(AND($G63&lt;Hta_2,$G63&gt;=Hba_2,Input!AE$22&lt;&gt;""),Input!$B$22&amp;";",""),IF(AND($G63&lt;Hta_3,$G63&gt;=Hba_3,Input!AE$23&lt;&gt;""),Input!$B$23&amp;";",""),IF(AND($G63&lt;Hta_4,$G63&gt;=Hba_4,Input!AE$24&lt;&gt;""),Input!$B$24&amp;";",""),IF(AND($G63&lt;Hta_5,$G63&gt;=Hba_5,Input!AE$25&lt;&gt;""),Input!$B$25&amp;";",""),IF(AND($G63&lt;Hta_6,$G63&gt;=Hba_6,Input!AE$26&lt;&gt;""),Input!$B$26&amp;";",""),IF(AND($G63&lt;Hta_7,$G63&gt;=Hba_7,Input!AE$27&lt;&gt;""),Input!$B$27&amp;";",""),IF(AND($G63&lt;Hta_8,$G63&gt;=Hba_8,Input!AE$28&lt;&gt;""),Input!$B$28&amp;";",""),IF(AND($G63&lt;Hta_9,$G63&gt;=Hba_9,Input!AE$29&lt;&gt;""),Input!$B$29&amp;";",""),IF(AND($G63&lt;Hta_10,$G63&gt;=Hba_10,Input!AE$30&lt;&gt;""),Input!$B$30&amp;";",""),IF(AND($G63&lt;Hta_11,$G63&gt;=Hba_11,Input!AE$31&lt;&gt;""),Input!$B$31&amp;";",""),IF(AND($G63&lt;Hta_12,$G63&gt;=Hba_12,Input!AE$32&lt;&gt;""),Input!$B$32&amp;";",""),IF(AND($G63&lt;Hta_13,$G63&gt;=Hba_13,Input!AE$33&lt;&gt;""),Input!$B$33&amp;";",""),IF(AND($G63&lt;Hta_14,$G63&gt;=Hba_14,Input!AE$34&lt;&gt;""),Input!$B$34&amp;";",""),IF(AND($G63&lt;Hta_15,$G63&gt;=Hba_15,Input!AE$35&lt;&gt;""),Input!$B$35&amp;";",""),IF(AND($G63&lt;Hta_16,$G63&gt;=Hba_16,Input!AE$36&lt;&gt;""),Input!$B$36&amp;";",""),IF(AND($G63&lt;Hta_17,$G63&gt;=Hba_17,Input!AE$37&lt;&gt;""),Input!$B$37&amp;";",""),IF(AND($G63&lt;Hta_18,$G63&gt;=Hba_18,Input!AE$38&lt;&gt;""),Input!$B$38&amp;";",""),IF(AND($G63&lt;Hta_19,$G63&gt;=Hba_19,Input!AE$39&lt;&gt;""),Input!$B$39&amp;";",""),IF(AND($G63&lt;Hta_20,$G63&gt;=Hba_20,Input!AE$40&lt;&gt;""),Input!$B$40&amp;";",""),IF(AND($G63&lt;Hta_21,$G63&gt;=Hba_21,Input!AE$41&lt;&gt;""),Input!$B$41&amp;";",""),IF(AND($G63&lt;Hta_22,$G63&gt;=Hba_22,Input!AE$42&lt;&gt;""),Input!$B$42&amp;";",""),IF(AND($G63&lt;Hta_23,$G63&gt;=Hba_23,Input!AE$43&lt;&gt;""),Input!$B$43&amp;";",""),IF(AND($G63&lt;Hta_24,$G63&gt;=Hba_24,Input!AE$44&lt;&gt;""),Input!$B$44&amp;";",""),IF(AND($G63&lt;Hta_25,$G63&gt;=Hba_25,Input!AE$45&lt;&gt;""),Input!$B$45&amp;";",""),IF(AND($G63&lt;Hta_26,$G63&gt;=Hba_26,Input!AE$46&lt;&gt;""),Input!$B$46&amp;";",""),IF(AND($G63&lt;Hta_27,$G63&gt;=Hba_27,Input!AE$47&lt;&gt;""),Input!$B$47&amp;";",""),IF(AND($G63&lt;Hta_28,$G63&gt;=Hba_28,Input!AE$48&lt;&gt;""),Input!$B$48&amp;";",""),IF(AND($G63&lt;Hta_29,$G63&gt;=Hba_29,Input!AE$49&lt;&gt;""),Input!$B$49&amp;";",""),IF(AND($G63&lt;Hta_30,$G63&gt;=Hba_30,Input!AE$50&lt;&gt;""),Input!$B$50&amp;";","")),"")</f>
        <v/>
      </c>
      <c r="CG63" s="25" t="str">
        <f>IFERROR(CONCATENATE(IF(AND($G63&lt;Hta_1,$G63&gt;=Hba_1,Input!AF$21&lt;&gt;""),Input!$B$21&amp;";",""),IF(AND($G63&lt;Hta_2,$G63&gt;=Hba_2,Input!AF$22&lt;&gt;""),Input!$B$22&amp;";",""),IF(AND($G63&lt;Hta_3,$G63&gt;=Hba_3,Input!AF$23&lt;&gt;""),Input!$B$23&amp;";",""),IF(AND($G63&lt;Hta_4,$G63&gt;=Hba_4,Input!AF$24&lt;&gt;""),Input!$B$24&amp;";",""),IF(AND($G63&lt;Hta_5,$G63&gt;=Hba_5,Input!AF$25&lt;&gt;""),Input!$B$25&amp;";",""),IF(AND($G63&lt;Hta_6,$G63&gt;=Hba_6,Input!AF$26&lt;&gt;""),Input!$B$26&amp;";",""),IF(AND($G63&lt;Hta_7,$G63&gt;=Hba_7,Input!AF$27&lt;&gt;""),Input!$B$27&amp;";",""),IF(AND($G63&lt;Hta_8,$G63&gt;=Hba_8,Input!AF$28&lt;&gt;""),Input!$B$28&amp;";",""),IF(AND($G63&lt;Hta_9,$G63&gt;=Hba_9,Input!AF$29&lt;&gt;""),Input!$B$29&amp;";",""),IF(AND($G63&lt;Hta_10,$G63&gt;=Hba_10,Input!AF$30&lt;&gt;""),Input!$B$30&amp;";",""),IF(AND($G63&lt;Hta_11,$G63&gt;=Hba_11,Input!AF$31&lt;&gt;""),Input!$B$31&amp;";",""),IF(AND($G63&lt;Hta_12,$G63&gt;=Hba_12,Input!AF$32&lt;&gt;""),Input!$B$32&amp;";",""),IF(AND($G63&lt;Hta_13,$G63&gt;=Hba_13,Input!AF$33&lt;&gt;""),Input!$B$33&amp;";",""),IF(AND($G63&lt;Hta_14,$G63&gt;=Hba_14,Input!AF$34&lt;&gt;""),Input!$B$34&amp;";",""),IF(AND($G63&lt;Hta_15,$G63&gt;=Hba_15,Input!AF$35&lt;&gt;""),Input!$B$35&amp;";",""),IF(AND($G63&lt;Hta_16,$G63&gt;=Hba_16,Input!AF$36&lt;&gt;""),Input!$B$36&amp;";",""),IF(AND($G63&lt;Hta_17,$G63&gt;=Hba_17,Input!AF$37&lt;&gt;""),Input!$B$37&amp;";",""),IF(AND($G63&lt;Hta_18,$G63&gt;=Hba_18,Input!AF$38&lt;&gt;""),Input!$B$38&amp;";",""),IF(AND($G63&lt;Hta_19,$G63&gt;=Hba_19,Input!AF$39&lt;&gt;""),Input!$B$39&amp;";",""),IF(AND($G63&lt;Hta_20,$G63&gt;=Hba_20,Input!AF$40&lt;&gt;""),Input!$B$40&amp;";",""),IF(AND($G63&lt;Hta_21,$G63&gt;=Hba_21,Input!AF$41&lt;&gt;""),Input!$B$41&amp;";",""),IF(AND($G63&lt;Hta_22,$G63&gt;=Hba_22,Input!AF$42&lt;&gt;""),Input!$B$42&amp;";",""),IF(AND($G63&lt;Hta_23,$G63&gt;=Hba_23,Input!AF$43&lt;&gt;""),Input!$B$43&amp;";",""),IF(AND($G63&lt;Hta_24,$G63&gt;=Hba_24,Input!AF$44&lt;&gt;""),Input!$B$44&amp;";",""),IF(AND($G63&lt;Hta_25,$G63&gt;=Hba_25,Input!AF$45&lt;&gt;""),Input!$B$45&amp;";",""),IF(AND($G63&lt;Hta_26,$G63&gt;=Hba_26,Input!AF$46&lt;&gt;""),Input!$B$46&amp;";",""),IF(AND($G63&lt;Hta_27,$G63&gt;=Hba_27,Input!AF$47&lt;&gt;""),Input!$B$47&amp;";",""),IF(AND($G63&lt;Hta_28,$G63&gt;=Hba_28,Input!AF$48&lt;&gt;""),Input!$B$48&amp;";",""),IF(AND($G63&lt;Hta_29,$G63&gt;=Hba_29,Input!AF$49&lt;&gt;""),Input!$B$49&amp;";",""),IF(AND($G63&lt;Hta_30,$G63&gt;=Hba_30,Input!AF$50&lt;&gt;""),Input!$B$50&amp;";","")),"")</f>
        <v/>
      </c>
      <c r="CH63" s="25" t="str">
        <f>IFERROR(CONCATENATE(IF(AND($G63&lt;Hta_1,$G63&gt;=Hba_1,Input!AG$21&lt;&gt;""),Input!$B$21&amp;";",""),IF(AND($G63&lt;Hta_2,$G63&gt;=Hba_2,Input!AG$22&lt;&gt;""),Input!$B$22&amp;";",""),IF(AND($G63&lt;Hta_3,$G63&gt;=Hba_3,Input!AG$23&lt;&gt;""),Input!$B$23&amp;";",""),IF(AND($G63&lt;Hta_4,$G63&gt;=Hba_4,Input!AG$24&lt;&gt;""),Input!$B$24&amp;";",""),IF(AND($G63&lt;Hta_5,$G63&gt;=Hba_5,Input!AG$25&lt;&gt;""),Input!$B$25&amp;";",""),IF(AND($G63&lt;Hta_6,$G63&gt;=Hba_6,Input!AG$26&lt;&gt;""),Input!$B$26&amp;";",""),IF(AND($G63&lt;Hta_7,$G63&gt;=Hba_7,Input!AG$27&lt;&gt;""),Input!$B$27&amp;";",""),IF(AND($G63&lt;Hta_8,$G63&gt;=Hba_8,Input!AG$28&lt;&gt;""),Input!$B$28&amp;";",""),IF(AND($G63&lt;Hta_9,$G63&gt;=Hba_9,Input!AG$29&lt;&gt;""),Input!$B$29&amp;";",""),IF(AND($G63&lt;Hta_10,$G63&gt;=Hba_10,Input!AG$30&lt;&gt;""),Input!$B$30&amp;";",""),IF(AND($G63&lt;Hta_11,$G63&gt;=Hba_11,Input!AG$31&lt;&gt;""),Input!$B$31&amp;";",""),IF(AND($G63&lt;Hta_12,$G63&gt;=Hba_12,Input!AG$32&lt;&gt;""),Input!$B$32&amp;";",""),IF(AND($G63&lt;Hta_13,$G63&gt;=Hba_13,Input!AG$33&lt;&gt;""),Input!$B$33&amp;";",""),IF(AND($G63&lt;Hta_14,$G63&gt;=Hba_14,Input!AG$34&lt;&gt;""),Input!$B$34&amp;";",""),IF(AND($G63&lt;Hta_15,$G63&gt;=Hba_15,Input!AG$35&lt;&gt;""),Input!$B$35&amp;";",""),IF(AND($G63&lt;Hta_16,$G63&gt;=Hba_16,Input!AG$36&lt;&gt;""),Input!$B$36&amp;";",""),IF(AND($G63&lt;Hta_17,$G63&gt;=Hba_17,Input!AG$37&lt;&gt;""),Input!$B$37&amp;";",""),IF(AND($G63&lt;Hta_18,$G63&gt;=Hba_18,Input!AG$38&lt;&gt;""),Input!$B$38&amp;";",""),IF(AND($G63&lt;Hta_19,$G63&gt;=Hba_19,Input!AG$39&lt;&gt;""),Input!$B$39&amp;";",""),IF(AND($G63&lt;Hta_20,$G63&gt;=Hba_20,Input!AG$40&lt;&gt;""),Input!$B$40&amp;";",""),IF(AND($G63&lt;Hta_21,$G63&gt;=Hba_21,Input!AG$41&lt;&gt;""),Input!$B$41&amp;";",""),IF(AND($G63&lt;Hta_22,$G63&gt;=Hba_22,Input!AG$42&lt;&gt;""),Input!$B$42&amp;";",""),IF(AND($G63&lt;Hta_23,$G63&gt;=Hba_23,Input!AG$43&lt;&gt;""),Input!$B$43&amp;";",""),IF(AND($G63&lt;Hta_24,$G63&gt;=Hba_24,Input!AG$44&lt;&gt;""),Input!$B$44&amp;";",""),IF(AND($G63&lt;Hta_25,$G63&gt;=Hba_25,Input!AG$45&lt;&gt;""),Input!$B$45&amp;";",""),IF(AND($G63&lt;Hta_26,$G63&gt;=Hba_26,Input!AG$46&lt;&gt;""),Input!$B$46&amp;";",""),IF(AND($G63&lt;Hta_27,$G63&gt;=Hba_27,Input!AG$47&lt;&gt;""),Input!$B$47&amp;";",""),IF(AND($G63&lt;Hta_28,$G63&gt;=Hba_28,Input!AG$48&lt;&gt;""),Input!$B$48&amp;";",""),IF(AND($G63&lt;Hta_29,$G63&gt;=Hba_29,Input!AG$49&lt;&gt;""),Input!$B$49&amp;";",""),IF(AND($G63&lt;Hta_30,$G63&gt;=Hba_30,Input!AG$50&lt;&gt;""),Input!$B$50&amp;";","")),"")</f>
        <v/>
      </c>
      <c r="CI63" s="25" t="str">
        <f>IFERROR(CONCATENATE(IF(AND($G63&lt;Hta_1,$G63&gt;=Hba_1,Input!AH$21&lt;&gt;""),Input!$B$21&amp;";",""),IF(AND($G63&lt;Hta_2,$G63&gt;=Hba_2,Input!AH$22&lt;&gt;""),Input!$B$22&amp;";",""),IF(AND($G63&lt;Hta_3,$G63&gt;=Hba_3,Input!AH$23&lt;&gt;""),Input!$B$23&amp;";",""),IF(AND($G63&lt;Hta_4,$G63&gt;=Hba_4,Input!AH$24&lt;&gt;""),Input!$B$24&amp;";",""),IF(AND($G63&lt;Hta_5,$G63&gt;=Hba_5,Input!AH$25&lt;&gt;""),Input!$B$25&amp;";",""),IF(AND($G63&lt;Hta_6,$G63&gt;=Hba_6,Input!AH$26&lt;&gt;""),Input!$B$26&amp;";",""),IF(AND($G63&lt;Hta_7,$G63&gt;=Hba_7,Input!AH$27&lt;&gt;""),Input!$B$27&amp;";",""),IF(AND($G63&lt;Hta_8,$G63&gt;=Hba_8,Input!AH$28&lt;&gt;""),Input!$B$28&amp;";",""),IF(AND($G63&lt;Hta_9,$G63&gt;=Hba_9,Input!AH$29&lt;&gt;""),Input!$B$29&amp;";",""),IF(AND($G63&lt;Hta_10,$G63&gt;=Hba_10,Input!AH$30&lt;&gt;""),Input!$B$30&amp;";",""),IF(AND($G63&lt;Hta_11,$G63&gt;=Hba_11,Input!AH$31&lt;&gt;""),Input!$B$31&amp;";",""),IF(AND($G63&lt;Hta_12,$G63&gt;=Hba_12,Input!AH$32&lt;&gt;""),Input!$B$32&amp;";",""),IF(AND($G63&lt;Hta_13,$G63&gt;=Hba_13,Input!AH$33&lt;&gt;""),Input!$B$33&amp;";",""),IF(AND($G63&lt;Hta_14,$G63&gt;=Hba_14,Input!AH$34&lt;&gt;""),Input!$B$34&amp;";",""),IF(AND($G63&lt;Hta_15,$G63&gt;=Hba_15,Input!AH$35&lt;&gt;""),Input!$B$35&amp;";",""),IF(AND($G63&lt;Hta_16,$G63&gt;=Hba_16,Input!AH$36&lt;&gt;""),Input!$B$36&amp;";",""),IF(AND($G63&lt;Hta_17,$G63&gt;=Hba_17,Input!AH$37&lt;&gt;""),Input!$B$37&amp;";",""),IF(AND($G63&lt;Hta_18,$G63&gt;=Hba_18,Input!AH$38&lt;&gt;""),Input!$B$38&amp;";",""),IF(AND($G63&lt;Hta_19,$G63&gt;=Hba_19,Input!AH$39&lt;&gt;""),Input!$B$39&amp;";",""),IF(AND($G63&lt;Hta_20,$G63&gt;=Hba_20,Input!AH$40&lt;&gt;""),Input!$B$40&amp;";",""),IF(AND($G63&lt;Hta_21,$G63&gt;=Hba_21,Input!AH$41&lt;&gt;""),Input!$B$41&amp;";",""),IF(AND($G63&lt;Hta_22,$G63&gt;=Hba_22,Input!AH$42&lt;&gt;""),Input!$B$42&amp;";",""),IF(AND($G63&lt;Hta_23,$G63&gt;=Hba_23,Input!AH$43&lt;&gt;""),Input!$B$43&amp;";",""),IF(AND($G63&lt;Hta_24,$G63&gt;=Hba_24,Input!AH$44&lt;&gt;""),Input!$B$44&amp;";",""),IF(AND($G63&lt;Hta_25,$G63&gt;=Hba_25,Input!AH$45&lt;&gt;""),Input!$B$45&amp;";",""),IF(AND($G63&lt;Hta_26,$G63&gt;=Hba_26,Input!AH$46&lt;&gt;""),Input!$B$46&amp;";",""),IF(AND($G63&lt;Hta_27,$G63&gt;=Hba_27,Input!AH$47&lt;&gt;""),Input!$B$47&amp;";",""),IF(AND($G63&lt;Hta_28,$G63&gt;=Hba_28,Input!AH$48&lt;&gt;""),Input!$B$48&amp;";",""),IF(AND($G63&lt;Hta_29,$G63&gt;=Hba_29,Input!AH$49&lt;&gt;""),Input!$B$49&amp;";",""),IF(AND($G63&lt;Hta_30,$G63&gt;=Hba_30,Input!AH$50&lt;&gt;""),Input!$B$50&amp;";","")),"")</f>
        <v/>
      </c>
      <c r="CJ63" s="25" t="str">
        <f>IFERROR(CONCATENATE(IF(AND($G63&lt;Hta_1,$G63&gt;=Hba_1,Input!AI$21&lt;&gt;""),Input!$B$21&amp;";",""),IF(AND($G63&lt;Hta_2,$G63&gt;=Hba_2,Input!AI$22&lt;&gt;""),Input!$B$22&amp;";",""),IF(AND($G63&lt;Hta_3,$G63&gt;=Hba_3,Input!AI$23&lt;&gt;""),Input!$B$23&amp;";",""),IF(AND($G63&lt;Hta_4,$G63&gt;=Hba_4,Input!AI$24&lt;&gt;""),Input!$B$24&amp;";",""),IF(AND($G63&lt;Hta_5,$G63&gt;=Hba_5,Input!AI$25&lt;&gt;""),Input!$B$25&amp;";",""),IF(AND($G63&lt;Hta_6,$G63&gt;=Hba_6,Input!AI$26&lt;&gt;""),Input!$B$26&amp;";",""),IF(AND($G63&lt;Hta_7,$G63&gt;=Hba_7,Input!AI$27&lt;&gt;""),Input!$B$27&amp;";",""),IF(AND($G63&lt;Hta_8,$G63&gt;=Hba_8,Input!AI$28&lt;&gt;""),Input!$B$28&amp;";",""),IF(AND($G63&lt;Hta_9,$G63&gt;=Hba_9,Input!AI$29&lt;&gt;""),Input!$B$29&amp;";",""),IF(AND($G63&lt;Hta_10,$G63&gt;=Hba_10,Input!AI$30&lt;&gt;""),Input!$B$30&amp;";",""),IF(AND($G63&lt;Hta_11,$G63&gt;=Hba_11,Input!AI$31&lt;&gt;""),Input!$B$31&amp;";",""),IF(AND($G63&lt;Hta_12,$G63&gt;=Hba_12,Input!AI$32&lt;&gt;""),Input!$B$32&amp;";",""),IF(AND($G63&lt;Hta_13,$G63&gt;=Hba_13,Input!AI$33&lt;&gt;""),Input!$B$33&amp;";",""),IF(AND($G63&lt;Hta_14,$G63&gt;=Hba_14,Input!AI$34&lt;&gt;""),Input!$B$34&amp;";",""),IF(AND($G63&lt;Hta_15,$G63&gt;=Hba_15,Input!AI$35&lt;&gt;""),Input!$B$35&amp;";",""),IF(AND($G63&lt;Hta_16,$G63&gt;=Hba_16,Input!AI$36&lt;&gt;""),Input!$B$36&amp;";",""),IF(AND($G63&lt;Hta_17,$G63&gt;=Hba_17,Input!AI$37&lt;&gt;""),Input!$B$37&amp;";",""),IF(AND($G63&lt;Hta_18,$G63&gt;=Hba_18,Input!AI$38&lt;&gt;""),Input!$B$38&amp;";",""),IF(AND($G63&lt;Hta_19,$G63&gt;=Hba_19,Input!AI$39&lt;&gt;""),Input!$B$39&amp;";",""),IF(AND($G63&lt;Hta_20,$G63&gt;=Hba_20,Input!AI$40&lt;&gt;""),Input!$B$40&amp;";",""),IF(AND($G63&lt;Hta_21,$G63&gt;=Hba_21,Input!AI$41&lt;&gt;""),Input!$B$41&amp;";",""),IF(AND($G63&lt;Hta_22,$G63&gt;=Hba_22,Input!AI$42&lt;&gt;""),Input!$B$42&amp;";",""),IF(AND($G63&lt;Hta_23,$G63&gt;=Hba_23,Input!AI$43&lt;&gt;""),Input!$B$43&amp;";",""),IF(AND($G63&lt;Hta_24,$G63&gt;=Hba_24,Input!AI$44&lt;&gt;""),Input!$B$44&amp;";",""),IF(AND($G63&lt;Hta_25,$G63&gt;=Hba_25,Input!AI$45&lt;&gt;""),Input!$B$45&amp;";",""),IF(AND($G63&lt;Hta_26,$G63&gt;=Hba_26,Input!AI$46&lt;&gt;""),Input!$B$46&amp;";",""),IF(AND($G63&lt;Hta_27,$G63&gt;=Hba_27,Input!AI$47&lt;&gt;""),Input!$B$47&amp;";",""),IF(AND($G63&lt;Hta_28,$G63&gt;=Hba_28,Input!AI$48&lt;&gt;""),Input!$B$48&amp;";",""),IF(AND($G63&lt;Hta_29,$G63&gt;=Hba_29,Input!AI$49&lt;&gt;""),Input!$B$49&amp;";",""),IF(AND($G63&lt;Hta_30,$G63&gt;=Hba_30,Input!AI$50&lt;&gt;""),Input!$B$50&amp;";","")),"")</f>
        <v/>
      </c>
      <c r="CK63" s="25" t="str">
        <f>IFERROR(CONCATENATE(IF(AND($G63&lt;Hta_1,$G63&gt;=Hba_1,Input!AJ$21&lt;&gt;""),Input!$B$21&amp;";",""),IF(AND($G63&lt;Hta_2,$G63&gt;=Hba_2,Input!AJ$22&lt;&gt;""),Input!$B$22&amp;";",""),IF(AND($G63&lt;Hta_3,$G63&gt;=Hba_3,Input!AJ$23&lt;&gt;""),Input!$B$23&amp;";",""),IF(AND($G63&lt;Hta_4,$G63&gt;=Hba_4,Input!AJ$24&lt;&gt;""),Input!$B$24&amp;";",""),IF(AND($G63&lt;Hta_5,$G63&gt;=Hba_5,Input!AJ$25&lt;&gt;""),Input!$B$25&amp;";",""),IF(AND($G63&lt;Hta_6,$G63&gt;=Hba_6,Input!AJ$26&lt;&gt;""),Input!$B$26&amp;";",""),IF(AND($G63&lt;Hta_7,$G63&gt;=Hba_7,Input!AJ$27&lt;&gt;""),Input!$B$27&amp;";",""),IF(AND($G63&lt;Hta_8,$G63&gt;=Hba_8,Input!AJ$28&lt;&gt;""),Input!$B$28&amp;";",""),IF(AND($G63&lt;Hta_9,$G63&gt;=Hba_9,Input!AJ$29&lt;&gt;""),Input!$B$29&amp;";",""),IF(AND($G63&lt;Hta_10,$G63&gt;=Hba_10,Input!AJ$30&lt;&gt;""),Input!$B$30&amp;";",""),IF(AND($G63&lt;Hta_11,$G63&gt;=Hba_11,Input!AJ$31&lt;&gt;""),Input!$B$31&amp;";",""),IF(AND($G63&lt;Hta_12,$G63&gt;=Hba_12,Input!AJ$32&lt;&gt;""),Input!$B$32&amp;";",""),IF(AND($G63&lt;Hta_13,$G63&gt;=Hba_13,Input!AJ$33&lt;&gt;""),Input!$B$33&amp;";",""),IF(AND($G63&lt;Hta_14,$G63&gt;=Hba_14,Input!AJ$34&lt;&gt;""),Input!$B$34&amp;";",""),IF(AND($G63&lt;Hta_15,$G63&gt;=Hba_15,Input!AJ$35&lt;&gt;""),Input!$B$35&amp;";",""),IF(AND($G63&lt;Hta_16,$G63&gt;=Hba_16,Input!AJ$36&lt;&gt;""),Input!$B$36&amp;";",""),IF(AND($G63&lt;Hta_17,$G63&gt;=Hba_17,Input!AJ$37&lt;&gt;""),Input!$B$37&amp;";",""),IF(AND($G63&lt;Hta_18,$G63&gt;=Hba_18,Input!AJ$38&lt;&gt;""),Input!$B$38&amp;";",""),IF(AND($G63&lt;Hta_19,$G63&gt;=Hba_19,Input!AJ$39&lt;&gt;""),Input!$B$39&amp;";",""),IF(AND($G63&lt;Hta_20,$G63&gt;=Hba_20,Input!AJ$40&lt;&gt;""),Input!$B$40&amp;";",""),IF(AND($G63&lt;Hta_21,$G63&gt;=Hba_21,Input!AJ$41&lt;&gt;""),Input!$B$41&amp;";",""),IF(AND($G63&lt;Hta_22,$G63&gt;=Hba_22,Input!AJ$42&lt;&gt;""),Input!$B$42&amp;";",""),IF(AND($G63&lt;Hta_23,$G63&gt;=Hba_23,Input!AJ$43&lt;&gt;""),Input!$B$43&amp;";",""),IF(AND($G63&lt;Hta_24,$G63&gt;=Hba_24,Input!AJ$44&lt;&gt;""),Input!$B$44&amp;";",""),IF(AND($G63&lt;Hta_25,$G63&gt;=Hba_25,Input!AJ$45&lt;&gt;""),Input!$B$45&amp;";",""),IF(AND($G63&lt;Hta_26,$G63&gt;=Hba_26,Input!AJ$46&lt;&gt;""),Input!$B$46&amp;";",""),IF(AND($G63&lt;Hta_27,$G63&gt;=Hba_27,Input!AJ$47&lt;&gt;""),Input!$B$47&amp;";",""),IF(AND($G63&lt;Hta_28,$G63&gt;=Hba_28,Input!AJ$48&lt;&gt;""),Input!$B$48&amp;";",""),IF(AND($G63&lt;Hta_29,$G63&gt;=Hba_29,Input!AJ$49&lt;&gt;""),Input!$B$49&amp;";",""),IF(AND($G63&lt;Hta_30,$G63&gt;=Hba_30,Input!AJ$50&lt;&gt;""),Input!$B$50&amp;";","")),"")</f>
        <v/>
      </c>
      <c r="CL63" s="25" t="str">
        <f>IFERROR(CONCATENATE(IF(AND($G63&lt;Hta_1,$G63&gt;=Hba_1,Input!AK$21&lt;&gt;""),Input!$B$21&amp;";",""),IF(AND($G63&lt;Hta_2,$G63&gt;=Hba_2,Input!AK$22&lt;&gt;""),Input!$B$22&amp;";",""),IF(AND($G63&lt;Hta_3,$G63&gt;=Hba_3,Input!AK$23&lt;&gt;""),Input!$B$23&amp;";",""),IF(AND($G63&lt;Hta_4,$G63&gt;=Hba_4,Input!AK$24&lt;&gt;""),Input!$B$24&amp;";",""),IF(AND($G63&lt;Hta_5,$G63&gt;=Hba_5,Input!AK$25&lt;&gt;""),Input!$B$25&amp;";",""),IF(AND($G63&lt;Hta_6,$G63&gt;=Hba_6,Input!AK$26&lt;&gt;""),Input!$B$26&amp;";",""),IF(AND($G63&lt;Hta_7,$G63&gt;=Hba_7,Input!AK$27&lt;&gt;""),Input!$B$27&amp;";",""),IF(AND($G63&lt;Hta_8,$G63&gt;=Hba_8,Input!AK$28&lt;&gt;""),Input!$B$28&amp;";",""),IF(AND($G63&lt;Hta_9,$G63&gt;=Hba_9,Input!AK$29&lt;&gt;""),Input!$B$29&amp;";",""),IF(AND($G63&lt;Hta_10,$G63&gt;=Hba_10,Input!AK$30&lt;&gt;""),Input!$B$30&amp;";",""),IF(AND($G63&lt;Hta_11,$G63&gt;=Hba_11,Input!AK$31&lt;&gt;""),Input!$B$31&amp;";",""),IF(AND($G63&lt;Hta_12,$G63&gt;=Hba_12,Input!AK$32&lt;&gt;""),Input!$B$32&amp;";",""),IF(AND($G63&lt;Hta_13,$G63&gt;=Hba_13,Input!AK$33&lt;&gt;""),Input!$B$33&amp;";",""),IF(AND($G63&lt;Hta_14,$G63&gt;=Hba_14,Input!AK$34&lt;&gt;""),Input!$B$34&amp;";",""),IF(AND($G63&lt;Hta_15,$G63&gt;=Hba_15,Input!AK$35&lt;&gt;""),Input!$B$35&amp;";",""),IF(AND($G63&lt;Hta_16,$G63&gt;=Hba_16,Input!AK$36&lt;&gt;""),Input!$B$36&amp;";",""),IF(AND($G63&lt;Hta_17,$G63&gt;=Hba_17,Input!AK$37&lt;&gt;""),Input!$B$37&amp;";",""),IF(AND($G63&lt;Hta_18,$G63&gt;=Hba_18,Input!AK$38&lt;&gt;""),Input!$B$38&amp;";",""),IF(AND($G63&lt;Hta_19,$G63&gt;=Hba_19,Input!AK$39&lt;&gt;""),Input!$B$39&amp;";",""),IF(AND($G63&lt;Hta_20,$G63&gt;=Hba_20,Input!AK$40&lt;&gt;""),Input!$B$40&amp;";",""),IF(AND($G63&lt;Hta_21,$G63&gt;=Hba_21,Input!AK$41&lt;&gt;""),Input!$B$41&amp;";",""),IF(AND($G63&lt;Hta_22,$G63&gt;=Hba_22,Input!AK$42&lt;&gt;""),Input!$B$42&amp;";",""),IF(AND($G63&lt;Hta_23,$G63&gt;=Hba_23,Input!AK$43&lt;&gt;""),Input!$B$43&amp;";",""),IF(AND($G63&lt;Hta_24,$G63&gt;=Hba_24,Input!AK$44&lt;&gt;""),Input!$B$44&amp;";",""),IF(AND($G63&lt;Hta_25,$G63&gt;=Hba_25,Input!AK$45&lt;&gt;""),Input!$B$45&amp;";",""),IF(AND($G63&lt;Hta_26,$G63&gt;=Hba_26,Input!AK$46&lt;&gt;""),Input!$B$46&amp;";",""),IF(AND($G63&lt;Hta_27,$G63&gt;=Hba_27,Input!AK$47&lt;&gt;""),Input!$B$47&amp;";",""),IF(AND($G63&lt;Hta_28,$G63&gt;=Hba_28,Input!AK$48&lt;&gt;""),Input!$B$48&amp;";",""),IF(AND($G63&lt;Hta_29,$G63&gt;=Hba_29,Input!AK$49&lt;&gt;""),Input!$B$49&amp;";",""),IF(AND($G63&lt;Hta_30,$G63&gt;=Hba_30,Input!AK$50&lt;&gt;""),Input!$B$50&amp;";","")),"")</f>
        <v/>
      </c>
      <c r="CM63" s="25" t="str">
        <f>IFERROR(CONCATENATE(IF(AND($G63&lt;Hta_1,$G63&gt;=Hba_1,Input!AL$21&lt;&gt;""),Input!$B$21&amp;";",""),IF(AND($G63&lt;Hta_2,$G63&gt;=Hba_2,Input!AL$22&lt;&gt;""),Input!$B$22&amp;";",""),IF(AND($G63&lt;Hta_3,$G63&gt;=Hba_3,Input!AL$23&lt;&gt;""),Input!$B$23&amp;";",""),IF(AND($G63&lt;Hta_4,$G63&gt;=Hba_4,Input!AL$24&lt;&gt;""),Input!$B$24&amp;";",""),IF(AND($G63&lt;Hta_5,$G63&gt;=Hba_5,Input!AL$25&lt;&gt;""),Input!$B$25&amp;";",""),IF(AND($G63&lt;Hta_6,$G63&gt;=Hba_6,Input!AL$26&lt;&gt;""),Input!$B$26&amp;";",""),IF(AND($G63&lt;Hta_7,$G63&gt;=Hba_7,Input!AL$27&lt;&gt;""),Input!$B$27&amp;";",""),IF(AND($G63&lt;Hta_8,$G63&gt;=Hba_8,Input!AL$28&lt;&gt;""),Input!$B$28&amp;";",""),IF(AND($G63&lt;Hta_9,$G63&gt;=Hba_9,Input!AL$29&lt;&gt;""),Input!$B$29&amp;";",""),IF(AND($G63&lt;Hta_10,$G63&gt;=Hba_10,Input!AL$30&lt;&gt;""),Input!$B$30&amp;";",""),IF(AND($G63&lt;Hta_11,$G63&gt;=Hba_11,Input!AL$31&lt;&gt;""),Input!$B$31&amp;";",""),IF(AND($G63&lt;Hta_12,$G63&gt;=Hba_12,Input!AL$32&lt;&gt;""),Input!$B$32&amp;";",""),IF(AND($G63&lt;Hta_13,$G63&gt;=Hba_13,Input!AL$33&lt;&gt;""),Input!$B$33&amp;";",""),IF(AND($G63&lt;Hta_14,$G63&gt;=Hba_14,Input!AL$34&lt;&gt;""),Input!$B$34&amp;";",""),IF(AND($G63&lt;Hta_15,$G63&gt;=Hba_15,Input!AL$35&lt;&gt;""),Input!$B$35&amp;";",""),IF(AND($G63&lt;Hta_16,$G63&gt;=Hba_16,Input!AL$36&lt;&gt;""),Input!$B$36&amp;";",""),IF(AND($G63&lt;Hta_17,$G63&gt;=Hba_17,Input!AL$37&lt;&gt;""),Input!$B$37&amp;";",""),IF(AND($G63&lt;Hta_18,$G63&gt;=Hba_18,Input!AL$38&lt;&gt;""),Input!$B$38&amp;";",""),IF(AND($G63&lt;Hta_19,$G63&gt;=Hba_19,Input!AL$39&lt;&gt;""),Input!$B$39&amp;";",""),IF(AND($G63&lt;Hta_20,$G63&gt;=Hba_20,Input!AL$40&lt;&gt;""),Input!$B$40&amp;";",""),IF(AND($G63&lt;Hta_21,$G63&gt;=Hba_21,Input!AL$41&lt;&gt;""),Input!$B$41&amp;";",""),IF(AND($G63&lt;Hta_22,$G63&gt;=Hba_22,Input!AL$42&lt;&gt;""),Input!$B$42&amp;";",""),IF(AND($G63&lt;Hta_23,$G63&gt;=Hba_23,Input!AL$43&lt;&gt;""),Input!$B$43&amp;";",""),IF(AND($G63&lt;Hta_24,$G63&gt;=Hba_24,Input!AL$44&lt;&gt;""),Input!$B$44&amp;";",""),IF(AND($G63&lt;Hta_25,$G63&gt;=Hba_25,Input!AL$45&lt;&gt;""),Input!$B$45&amp;";",""),IF(AND($G63&lt;Hta_26,$G63&gt;=Hba_26,Input!AL$46&lt;&gt;""),Input!$B$46&amp;";",""),IF(AND($G63&lt;Hta_27,$G63&gt;=Hba_27,Input!AL$47&lt;&gt;""),Input!$B$47&amp;";",""),IF(AND($G63&lt;Hta_28,$G63&gt;=Hba_28,Input!AL$48&lt;&gt;""),Input!$B$48&amp;";",""),IF(AND($G63&lt;Hta_29,$G63&gt;=Hba_29,Input!AL$49&lt;&gt;""),Input!$B$49&amp;";",""),IF(AND($G63&lt;Hta_30,$G63&gt;=Hba_30,Input!AL$50&lt;&gt;""),Input!$B$50&amp;";","")),"")</f>
        <v/>
      </c>
      <c r="CN63" s="60" t="str">
        <f t="shared" si="6"/>
        <v/>
      </c>
      <c r="CO63" s="798"/>
      <c r="CP63" s="799"/>
      <c r="CQ63" s="800"/>
      <c r="CR63" s="798"/>
      <c r="CS63" s="799"/>
      <c r="CT63" s="800"/>
      <c r="CU63" s="798" t="str">
        <f t="shared" si="7"/>
        <v/>
      </c>
      <c r="CV63" s="799"/>
      <c r="CW63" s="806"/>
      <c r="CX63" s="726"/>
      <c r="CY63" s="727"/>
      <c r="CZ63" s="732"/>
      <c r="DA63" s="726"/>
      <c r="DB63" s="727"/>
      <c r="DC63" s="732"/>
      <c r="DD63" s="726" t="str">
        <f t="shared" si="8"/>
        <v/>
      </c>
      <c r="DE63" s="727"/>
      <c r="DF63" s="728"/>
      <c r="DG63" s="53"/>
      <c r="DH63" s="54"/>
      <c r="DI63" s="54"/>
      <c r="DJ63" s="54"/>
      <c r="DK63" s="54"/>
      <c r="DL63" s="54"/>
      <c r="DM63" s="54"/>
      <c r="DN63" s="54"/>
      <c r="DO63" s="54"/>
      <c r="DP63" s="54"/>
      <c r="DQ63" s="57"/>
      <c r="DR63" s="57"/>
      <c r="DS63" s="57"/>
      <c r="DT63" s="57"/>
      <c r="DU63" s="57"/>
      <c r="DV63" s="57"/>
      <c r="DW63" s="57"/>
      <c r="DX63" s="57"/>
      <c r="DY63" s="57"/>
      <c r="DZ63" s="57"/>
      <c r="EA63" s="57"/>
      <c r="EB63" s="57"/>
      <c r="EC63" s="57"/>
      <c r="ED63" s="57"/>
      <c r="EE63" s="57"/>
      <c r="EF63" s="57"/>
      <c r="EG63" s="57"/>
      <c r="EH63" s="57"/>
      <c r="EI63" s="57"/>
      <c r="EJ63" s="57"/>
      <c r="EK63" s="57"/>
      <c r="EL63" s="133"/>
      <c r="EM63" s="133"/>
      <c r="EN63" s="133"/>
      <c r="EO63" s="133"/>
      <c r="EP63" s="133"/>
      <c r="EQ63" s="133"/>
      <c r="ER63" s="133"/>
      <c r="ES63" s="133"/>
      <c r="ET63" s="133"/>
      <c r="EU63" s="133"/>
      <c r="EV63" s="133"/>
      <c r="EW63" s="133"/>
      <c r="EX63" s="133"/>
      <c r="EY63" s="133"/>
      <c r="EZ63" s="133"/>
      <c r="FA63" s="133"/>
      <c r="FB63" s="133"/>
      <c r="FC63" s="133"/>
      <c r="FD63" s="133"/>
      <c r="FE63" s="133"/>
      <c r="FF63" s="133"/>
      <c r="FG63" s="133"/>
      <c r="FH63" s="133"/>
      <c r="FI63" s="133"/>
      <c r="FJ63" s="133"/>
      <c r="FK63" s="133"/>
      <c r="FL63" s="133"/>
      <c r="FM63" s="133"/>
      <c r="FN63" s="133"/>
      <c r="FO63" s="133"/>
      <c r="FQ63" s="125"/>
      <c r="FR63" s="123"/>
      <c r="FS63" s="121"/>
      <c r="FT63" s="119"/>
    </row>
    <row r="64" spans="2:176" ht="15.75" hidden="1" thickBot="1" x14ac:dyDescent="0.3">
      <c r="B64" s="62" t="b">
        <f>IF(OR(AND(G64&gt;='Geometry 2'!$AK$5,G64&lt;'Geometry 2'!$AL$5),AND(G64&gt;='Geometry 2'!$AK$6,G64&lt;'Geometry 2'!$AL$6),AND(G64&gt;='Geometry 2'!$AK$7,G64&lt;'Geometry 2'!$AL$7),AND(G64&gt;='Geometry 2'!$AK$8,G64&lt;'Geometry 2'!$AL$8),AND(G64&gt;='Geometry 2'!$AK$9,G64&lt;'Geometry 2'!$AL$9),AND(G64&gt;='Geometry 2'!$AK$10,G64&lt;'Geometry 2'!$AL$10),AND(G64&gt;='Geometry 2'!$AK$11,G64&lt;'Geometry 2'!$AL$11),AND(G64&gt;='Geometry 2'!$AK$12,G64&lt;'Geometry 2'!$AL$12),AND(G64&gt;='Geometry 2'!$AK$13,G64&lt;'Geometry 2'!$AL$13),AND(G64&gt;='Geometry 2'!$AK$14,G64&lt;'Geometry 2'!$AL$14)),TRUE,FALSE)</f>
        <v>0</v>
      </c>
      <c r="C64" s="4" t="str">
        <f t="shared" si="3"/>
        <v/>
      </c>
      <c r="D64" s="766" t="str">
        <f t="shared" si="4"/>
        <v/>
      </c>
      <c r="E64" s="767"/>
      <c r="F64" s="17" t="str">
        <f t="shared" si="2"/>
        <v/>
      </c>
      <c r="G64" s="768" t="str">
        <f>IF(D64="","",MAX(0,G63-IF(inc="n/a",999,inc),MAX(IF(G63&lt;=Hta_1,0,Hta_1),IF(G63&lt;=Hta_2,0,Hta_2),IF(G63&lt;=Hta_3,0,Hta_3),IF(G63&lt;=Hta_4,0,Hta_4),IF(G63&lt;=Hta_5,0,Hta_5),IF(G63&lt;=Hta_6,0,Hta_6),IF(G63&lt;=Hta_7,0,Hta_7),IF(G63&lt;=Hta_8,0,Hta_8),IF(G63&lt;=Hta_9,0,Hta_9),IF(G63&lt;=Hta_10,0,Hta_10),IF(G63&lt;=Hta_11,0,Hta_11),IF(G63&lt;=Hta_12,0,Hta_12),IF(G63&lt;=Hta_13,0,Hta_13),IF(G63&lt;=Hta_14,0,Hta_14),IF(G63&lt;=Hta_15,0,Hta_15),IF(G63&lt;=Hta_16,0,Hta_16),IF(G63&lt;=Hta_17,0,Hta_17),IF(G63&lt;=Hta_18,0,Hta_18),IF(G63&lt;=Hta_19,0,Hta_19),IF(G63&lt;=Hta_20,0,Hta_20),IF(G63&lt;=Hta_21,0,Hta_21),IF(G63&lt;=Hta_22,0,Hta_22),IF(G63&lt;=Hta_23,0,Hta_23),IF(G63&lt;=Hta_24,0,Hta_24),IF(G63&lt;=Hta_25,0,Hta_25),IF(G63&lt;=Hta_26,0,Hta_26),IF(G63&lt;=Hta_27,0,Hta_27),IF(G63&lt;=Hta_28,0,Hta_28),IF(G63&lt;=Hta_29,0,Hta_29),IF(G63&lt;=Hta_30,0,Hta_30)),MAX(IF(G63&lt;=Hta_1-0.25,0,Hta_1-0.25),IF(G63&lt;=Hta_2-0.25,0,Hta_2-0.25),IF(G63&lt;=Hta_3-0.25,0,Hta_3-0.25),IF(G63&lt;=Hta_4-0.25,0,Hta_4-0.25),IF(G63&lt;=Hta_5-0.25,0,Hta_5-0.25),IF(G63&lt;=Hta_6-0.25,0,Hta_6-0.25),IF(G63&lt;=Hta_7-0.25,0,Hta_7-0.25),IF(G63&lt;=Hta_8-0.25,0,Hta_8-0.25),IF(G63&lt;=Hta_9-0.25,0,Hta_9-0.25),IF(G63&lt;=Hta_10-0.25,0,Hta_10-0.25),IF(G63&lt;=Hta_11-0.25,0,Hta_11-0.25),IF(G63&lt;=Hta_12-0.25,0,Hta_12-0.25),IF(G63&lt;=Hta_13-0.25,0,Hta_13-0.25),IF(G63&lt;=Hta_14-0.25,0,Hta_14-0.25),IF(G63&lt;=Hta_15-0.25,0,Hta_15-0.25),IF(G63&lt;=Hta_16-0.25,0,Hta_16-0.25),IF(G63&lt;=Hta_17-0.25,0,Hta_17-0.25),IF(G63&lt;=Hta_18-0.25,0,Hta_18-0.25),IF(G63&lt;=Hta_19-0.25,0,Hta_19-0.25),IF(G63&lt;=Hta_20-0.25,0,Hta_20-0.25),IF(G63&lt;=Hta_21-0.25,0,Hta_21-0.25),IF(G63&lt;=Hta_22-0.25,0,Hta_22-0.25),IF(G63&lt;=Hta_23-0.25,0,Hta_23-0.25),IF(G63&lt;=Hta_24-0.25,0,Hta_24-0.25),IF(G63&lt;=Hta_25-0.25,0,Hta_25-0.25),IF(G63&lt;=Hta_26-0.25,0,Hta_26-0.25),IF(G63&lt;=Hta_27-0.25,0,Hta_27-0.25),IF(G63&lt;=Hta_28-0.25,0,Hta_28-0.25),IF(G63&lt;=Hta_29-0.25,0,Hta_29-0.25),IF(G63&lt;=Hta_30-0.25,0,Hta_30-0.25)),MAX(IF(G63&lt;=Hba_1,0,Hba_1),IF(G63&lt;=Hba_2,0,Hba_2),IF(G63&lt;=Hba_3,0,Hba_3),IF(G63&lt;=Hba_4,0,Hba_4),IF(G63&lt;=Hba_5,0,Hba_5),IF(G63&lt;=Hba_6,0,Hba_6),IF(G63&lt;=Hba_7,0,Hba_7),IF(G63&lt;=Hba_8,0,Hba_8),IF(G63&lt;=Hba_9,0,Hba_9),IF(G63&lt;=Hba_10,0,Hba_10),IF(G63&lt;=Hba_11,0,Hba_11),IF(G63&lt;=Hba_12,0,Hba_12),IF(G63&lt;=Hba_13,0,Hba_13),IF(G63&lt;=Hba_14,0,Hba_14),IF(G63&lt;=Hba_15,0,Hba_15),IF(G63&lt;=Hba_16,0,Hba_16),IF(G63&lt;=Hba_17,0,Hba_17),IF(G63&lt;=Hba_18,0,Hba_18),IF(G63&lt;=Hba_19,0,Hba_19),IF(G63&lt;=Hba_20,0,Hba_20),IF(G63&lt;=Hba_21,0,Hba_21),IF(G63&lt;=Hba_22,0,Hba_22),IF(G63&lt;=Hba_23,0,Hba_23),IF(G63&lt;=Hba_24,0,Hba_24),IF(G63&lt;=Hba_25,0,Hba_25),IF(G63&lt;=Hba_26,0,Hba_26),IF(G63&lt;=Hba_27,0,Hba_27),IF(G63&lt;=Hba_28,0,Hba_28),IF(G63&lt;=Hba_29,0,Hba_29),IF(G63&lt;=Hba_30,0,Hba_30)),MAX(IF(G63&lt;=Input!$C$8,0,Input!$C$8),IF(G63&lt;=Input!$C$9,0,Input!$C$9),IF(G63&lt;=Input!$C$10,0,Input!$C$10),IF(G63&lt;=Input!$C$11,0,Input!$C$11),IF(G63&lt;=Input!$C$12,0,Input!$C$12),IF(G63&lt;=Input!$C$13,0,Input!$C$13),IF(G63&lt;=Input!$C$14,0,Input!$C$14),IF(G63&lt;=Input!$C$15,0,Input!$C$15),IF(G63&lt;=Input!$C$16,0,Input!$C$16)),MAX(IF(G63&lt;=Hba_1-0.25,0,Hba_1-0.25),IF(G63&lt;=Hba_2-0.25,0,Hba_2-0.25),IF(G63&lt;=Hba_3-0.25,0,Hba_3-0.25),IF(G63&lt;=Hba_4-0.25,0,Hba_4-0.25),IF(G63&lt;=Hba_5-0.25,0,Hba_5-0.25),IF(G63&lt;=Hba_6-0.25,0,Hba_6-0.25),IF(G63&lt;=Hba_7-0.25,0,Hba_7-0.25),IF(G63&lt;=Hba_8-0.25,0,Hba_8-0.25),IF(G63&lt;=Hba_9-0.25,0,Hba_9-0.25),IF(G63&lt;=Hba_10-0.25,0,Hba_10-0.25),IF(G63&lt;=Hba_11-0.25,0,Hba_11-0.25),IF(G63&lt;=Hba_12-0.25,0,Hba_12-0.25),IF(G63&lt;=Hba_13-0.25,0,Hba_13-0.25),IF(G63&lt;=Hba_14-0.25,0,Hba_14-0.25),IF(G63&lt;=Hba_15-0.25,0,Hba_15-0.25),IF(G63&lt;=Hba_16-0.25,0,Hba_16-0.25),IF(G63&lt;=Hba_17-0.25,0,Hba_17-0.25),IF(G63&lt;=Hba_18-0.25,0,Hba_18-0.25),IF(G63&lt;=Hba_19-0.25,0,Hba_19-0.25),IF(G63&lt;=Hba_20-0.25,0,Hba_20-0.25),IF(G63&lt;=Hba_21-0.25,0,Hba_21-0.25),IF(G63&lt;=Hba_22-0.25,0,Hba_22-0.25),IF(G63&lt;=Hba_23-0.25,0,Hba_23-0.25),IF(G63&lt;=Hba_24-0.25,0,Hba_24-0.25),IF(G63&lt;=Hba_25-0.25,0,Hba_25-0.25),IF(G63&lt;=Hba_26-0.25,0,Hba_26-0.25),IF(G63&lt;=Hba_27-0.25,0,Hba_27-0.25),IF(G63&lt;=Hba_28-0.25,0,Hba_28-0.25),IF(G63&lt;=Hba_29-0.25,0,Hba_29-0.25),IF(G63&lt;=Hba_30-0.25,0,Hba_30-0.25)),IF(G63&lt;='Macro References'!$A$38,0,'Macro References'!$A$38)))</f>
        <v/>
      </c>
      <c r="H64" s="769"/>
      <c r="I64" s="228"/>
      <c r="J64" s="228"/>
      <c r="K64" s="228"/>
      <c r="L64" s="717" t="str">
        <f t="shared" si="10"/>
        <v/>
      </c>
      <c r="M64" s="717"/>
      <c r="N64" s="717"/>
      <c r="O64" s="717"/>
      <c r="P64" s="717" t="str">
        <f>IF(OR(G64=0,G64=""),"",IF(VLOOKUP(G64,'Geometry 2'!$C$4:$AI$14,1,TRUE)=VLOOKUP(G65,'Geometry 2'!$C$4:$AI$14,1,TRUE),"",IF(VLOOKUP(G64,'Geometry 2'!$C$4:$AI$14,33,TRUE)&lt;&gt;"n/a",MIN(G64,VLOOKUP(G64,'Geometry 2'!$C$4:$AI$14,1,TRUE))-VLOOKUP(G64,'Geometry 2'!$C$4:$AI$14,33,TRUE),"check")))</f>
        <v/>
      </c>
      <c r="Q64" s="717"/>
      <c r="R64" s="717"/>
      <c r="S64" s="717"/>
      <c r="T64" s="717" t="str">
        <f>IF($G64="","",VLOOKUP($G64,'Geometry 2'!$E$4:$AH$14,11,TRUE))</f>
        <v/>
      </c>
      <c r="U64" s="717"/>
      <c r="V64" s="717"/>
      <c r="W64" s="717"/>
      <c r="X64" s="716" t="str">
        <f>IF($G64="","",VLOOKUP($G64,'Geometry 2'!$E$4:$AJ$14,19,TRUE)-12*VLOOKUP($G64,'Geometry 2'!$E$4:$AJ$14,32,TRUE)*($D64-VLOOKUP($G64,'Geometry 2'!$E$5:$AH$14,1,TRUE)))</f>
        <v/>
      </c>
      <c r="Y64" s="716"/>
      <c r="Z64" s="716"/>
      <c r="AA64" s="716"/>
      <c r="AB64" s="757" t="str">
        <f>IF($G64="","",VLOOKUP($G64,'Geometry 2'!$E$4:$AJ$14,19,TRUE)-12*VLOOKUP($G64,'Geometry 2'!$E$4:$AJ$14,32,TRUE)*($G64-VLOOKUP($G64,'Geometry 2'!$E$5:$AH$14,1,TRUE)))</f>
        <v/>
      </c>
      <c r="AC64" s="758"/>
      <c r="AD64" s="758"/>
      <c r="AE64" s="759"/>
      <c r="AF64" s="716" t="str">
        <f>IF($G64="","",VLOOKUP($G64,'Geometry 2'!$E$4:$AJ$14,19,TRUE)-12*VLOOKUP($G64,'Geometry 2'!$E$4:$AJ$14,32,TRUE)*($G64-IF($P64="",0,$P64)-VLOOKUP($G64,'Geometry 2'!$E$5:$AH$14,1,TRUE)))</f>
        <v/>
      </c>
      <c r="AG64" s="716"/>
      <c r="AH64" s="716"/>
      <c r="AI64" s="716"/>
      <c r="AJ64" s="746" t="str">
        <f>IF($G64="","",VLOOKUP($G64,'Geometry 2'!$E$4:$AH$14,23,TRUE))</f>
        <v/>
      </c>
      <c r="AK64" s="747"/>
      <c r="AL64" s="747"/>
      <c r="AM64" s="748"/>
      <c r="AN64" s="717"/>
      <c r="AO64" s="717"/>
      <c r="AP64" s="717"/>
      <c r="AQ64" s="717"/>
      <c r="AR64" s="717" t="str">
        <f>IF($G64="","",VLOOKUP($G64,'Geometry 2'!$E$4:$AH$14,27,TRUE))</f>
        <v/>
      </c>
      <c r="AS64" s="717"/>
      <c r="AT64" s="717"/>
      <c r="AU64" s="718"/>
      <c r="AV64" s="715"/>
      <c r="AW64" s="716"/>
      <c r="AX64" s="716"/>
      <c r="AZ64" s="722" t="str">
        <f t="shared" si="5"/>
        <v/>
      </c>
      <c r="BA64" s="723"/>
      <c r="BB64" s="723"/>
      <c r="BC64" s="724"/>
      <c r="BD64" s="722"/>
      <c r="BE64" s="723"/>
      <c r="BF64" s="723"/>
      <c r="BG64" s="722" t="str">
        <f t="shared" si="9"/>
        <v/>
      </c>
      <c r="BH64" s="723"/>
      <c r="BI64" s="723"/>
      <c r="BJ64" s="723"/>
      <c r="BK64" s="724"/>
      <c r="BL64" s="722"/>
      <c r="BM64" s="723"/>
      <c r="BN64" s="723"/>
      <c r="BO64" s="723"/>
      <c r="BP64" s="725"/>
      <c r="BQ64" s="725"/>
      <c r="BR64" s="722" t="str">
        <f>IF(BP64="","",IF(OR(AND(Rev="H",Calculations!$F$27=TRUE),AND(Rev&lt;&gt;"H",Calculations!$F$30=TRUE)),IF(BP64&lt;=1,"Pass","Fail"),IF(BP64&lt;=1.05,"Pass","Fail")))</f>
        <v/>
      </c>
      <c r="BS64" s="723"/>
      <c r="BT64" s="724"/>
      <c r="BU64" s="49"/>
      <c r="BV64" s="25" t="str">
        <f>IFERROR(CONCATENATE(IF(AND($G64&lt;Hta_1,$G64&gt;=Hba_1,Input!U$21&lt;&gt;""),Input!$B$21&amp;";",""),IF(AND($G64&lt;Hta_2,$G64&gt;=Hba_2,Input!U$22&lt;&gt;""),Input!$B$22&amp;";",""),IF(AND($G64&lt;Hta_3,$G64&gt;=Hba_3,Input!U$23&lt;&gt;""),Input!$B$23&amp;";",""),IF(AND($G64&lt;Hta_4,$G64&gt;=Hba_4,Input!U$24&lt;&gt;""),Input!$B$24&amp;";",""),IF(AND($G64&lt;Hta_5,$G64&gt;=Hba_5,Input!U$25&lt;&gt;""),Input!$B$25&amp;";",""),IF(AND($G64&lt;Hta_6,$G64&gt;=Hba_6,Input!U$26&lt;&gt;""),Input!$B$26&amp;";",""),IF(AND($G64&lt;Hta_7,$G64&gt;=Hba_7,Input!U$27&lt;&gt;""),Input!$B$27&amp;";",""),IF(AND($G64&lt;Hta_8,$G64&gt;=Hba_8,Input!U$28&lt;&gt;""),Input!$B$28&amp;";",""),IF(AND($G64&lt;Hta_9,$G64&gt;=Hba_9,Input!U$29&lt;&gt;""),Input!$B$29&amp;";",""),IF(AND($G64&lt;Hta_10,$G64&gt;=Hba_10,Input!U$30&lt;&gt;""),Input!$B$30&amp;";",""),IF(AND($G64&lt;Hta_11,$G64&gt;=Hba_11,Input!U$31&lt;&gt;""),Input!$B$31&amp;";",""),IF(AND($G64&lt;Hta_12,$G64&gt;=Hba_12,Input!U$32&lt;&gt;""),Input!$B$32&amp;";",""),IF(AND($G64&lt;Hta_13,$G64&gt;=Hba_13,Input!U$33&lt;&gt;""),Input!$B$33&amp;";",""),IF(AND($G64&lt;Hta_14,$G64&gt;=Hba_14,Input!U$34&lt;&gt;""),Input!$B$34&amp;";",""),IF(AND($G64&lt;Hta_15,$G64&gt;=Hba_15,Input!U$35&lt;&gt;""),Input!$B$35&amp;";",""),IF(AND($G64&lt;Hta_16,$G64&gt;=Hba_16,Input!U$36&lt;&gt;""),Input!$B$36&amp;";",""),IF(AND($G64&lt;Hta_17,$G64&gt;=Hba_17,Input!U$37&lt;&gt;""),Input!$B$37&amp;";",""),IF(AND($G64&lt;Hta_18,$G64&gt;=Hba_18,Input!U$38&lt;&gt;""),Input!$B$38&amp;";",""),IF(AND($G64&lt;Hta_19,$G64&gt;=Hba_19,Input!U$39&lt;&gt;""),Input!$B$39&amp;";",""),IF(AND($G64&lt;Hta_20,$G64&gt;=Hba_20,Input!U$40&lt;&gt;""),Input!$B$40&amp;";",""),IF(AND($G64&lt;Hta_21,$G64&gt;=Hba_21,Input!U$41&lt;&gt;""),Input!$B$41&amp;";",""),IF(AND($G64&lt;Hta_22,$G64&gt;=Hba_22,Input!U$42&lt;&gt;""),Input!$B$42&amp;";",""),IF(AND($G64&lt;Hta_23,$G64&gt;=Hba_23,Input!U$43&lt;&gt;""),Input!$B$43&amp;";",""),IF(AND($G64&lt;Hta_24,$G64&gt;=Hba_24,Input!U$44&lt;&gt;""),Input!$B$44&amp;";",""),IF(AND($G64&lt;Hta_25,$G64&gt;=Hba_25,Input!U$45&lt;&gt;""),Input!$B$45&amp;";",""),IF(AND($G64&lt;Hta_26,$G64&gt;=Hba_26,Input!U$46&lt;&gt;""),Input!$B$46&amp;";",""),IF(AND($G64&lt;Hta_27,$G64&gt;=Hba_27,Input!U$47&lt;&gt;""),Input!$B$47&amp;";",""),IF(AND($G64&lt;Hta_28,$G64&gt;=Hba_28,Input!U$48&lt;&gt;""),Input!$B$48&amp;";",""),IF(AND($G64&lt;Hta_29,$G64&gt;=Hba_29,Input!U$49&lt;&gt;""),Input!$B$49&amp;";",""),IF(AND($G64&lt;Hta_30,$G64&gt;=Hba_30,Input!U$50&lt;&gt;""),Input!$B$50&amp;";","")),"")</f>
        <v/>
      </c>
      <c r="BW64" s="25" t="str">
        <f>IFERROR(CONCATENATE(IF(AND($G64&lt;Hta_1,$G64&gt;=Hba_1,Input!V$21&lt;&gt;""),Input!$B$21&amp;";",""),IF(AND($G64&lt;Hta_2,$G64&gt;=Hba_2,Input!V$22&lt;&gt;""),Input!$B$22&amp;";",""),IF(AND($G64&lt;Hta_3,$G64&gt;=Hba_3,Input!V$23&lt;&gt;""),Input!$B$23&amp;";",""),IF(AND($G64&lt;Hta_4,$G64&gt;=Hba_4,Input!V$24&lt;&gt;""),Input!$B$24&amp;";",""),IF(AND($G64&lt;Hta_5,$G64&gt;=Hba_5,Input!V$25&lt;&gt;""),Input!$B$25&amp;";",""),IF(AND($G64&lt;Hta_6,$G64&gt;=Hba_6,Input!V$26&lt;&gt;""),Input!$B$26&amp;";",""),IF(AND($G64&lt;Hta_7,$G64&gt;=Hba_7,Input!V$27&lt;&gt;""),Input!$B$27&amp;";",""),IF(AND($G64&lt;Hta_8,$G64&gt;=Hba_8,Input!V$28&lt;&gt;""),Input!$B$28&amp;";",""),IF(AND($G64&lt;Hta_9,$G64&gt;=Hba_9,Input!V$29&lt;&gt;""),Input!$B$29&amp;";",""),IF(AND($G64&lt;Hta_10,$G64&gt;=Hba_10,Input!V$30&lt;&gt;""),Input!$B$30&amp;";",""),IF(AND($G64&lt;Hta_11,$G64&gt;=Hba_11,Input!V$31&lt;&gt;""),Input!$B$31&amp;";",""),IF(AND($G64&lt;Hta_12,$G64&gt;=Hba_12,Input!V$32&lt;&gt;""),Input!$B$32&amp;";",""),IF(AND($G64&lt;Hta_13,$G64&gt;=Hba_13,Input!V$33&lt;&gt;""),Input!$B$33&amp;";",""),IF(AND($G64&lt;Hta_14,$G64&gt;=Hba_14,Input!V$34&lt;&gt;""),Input!$B$34&amp;";",""),IF(AND($G64&lt;Hta_15,$G64&gt;=Hba_15,Input!V$35&lt;&gt;""),Input!$B$35&amp;";",""),IF(AND($G64&lt;Hta_16,$G64&gt;=Hba_16,Input!V$36&lt;&gt;""),Input!$B$36&amp;";",""),IF(AND($G64&lt;Hta_17,$G64&gt;=Hba_17,Input!V$37&lt;&gt;""),Input!$B$37&amp;";",""),IF(AND($G64&lt;Hta_18,$G64&gt;=Hba_18,Input!V$38&lt;&gt;""),Input!$B$38&amp;";",""),IF(AND($G64&lt;Hta_19,$G64&gt;=Hba_19,Input!V$39&lt;&gt;""),Input!$B$39&amp;";",""),IF(AND($G64&lt;Hta_20,$G64&gt;=Hba_20,Input!V$40&lt;&gt;""),Input!$B$40&amp;";",""),IF(AND($G64&lt;Hta_21,$G64&gt;=Hba_21,Input!V$41&lt;&gt;""),Input!$B$41&amp;";",""),IF(AND($G64&lt;Hta_22,$G64&gt;=Hba_22,Input!V$42&lt;&gt;""),Input!$B$42&amp;";",""),IF(AND($G64&lt;Hta_23,$G64&gt;=Hba_23,Input!V$43&lt;&gt;""),Input!$B$43&amp;";",""),IF(AND($G64&lt;Hta_24,$G64&gt;=Hba_24,Input!V$44&lt;&gt;""),Input!$B$44&amp;";",""),IF(AND($G64&lt;Hta_25,$G64&gt;=Hba_25,Input!V$45&lt;&gt;""),Input!$B$45&amp;";",""),IF(AND($G64&lt;Hta_26,$G64&gt;=Hba_26,Input!V$46&lt;&gt;""),Input!$B$46&amp;";",""),IF(AND($G64&lt;Hta_27,$G64&gt;=Hba_27,Input!V$47&lt;&gt;""),Input!$B$47&amp;";",""),IF(AND($G64&lt;Hta_28,$G64&gt;=Hba_28,Input!V$48&lt;&gt;""),Input!$B$48&amp;";",""),IF(AND($G64&lt;Hta_29,$G64&gt;=Hba_29,Input!V$49&lt;&gt;""),Input!$B$49&amp;";",""),IF(AND($G64&lt;Hta_30,$G64&gt;=Hba_30,Input!V$50&lt;&gt;""),Input!$B$50&amp;";","")),"")</f>
        <v/>
      </c>
      <c r="BX64" s="25" t="str">
        <f>IFERROR(CONCATENATE(IF(AND($G64&lt;Hta_1,$G64&gt;=Hba_1,Input!W$21&lt;&gt;""),Input!$B$21&amp;";",""),IF(AND($G64&lt;Hta_2,$G64&gt;=Hba_2,Input!W$22&lt;&gt;""),Input!$B$22&amp;";",""),IF(AND($G64&lt;Hta_3,$G64&gt;=Hba_3,Input!W$23&lt;&gt;""),Input!$B$23&amp;";",""),IF(AND($G64&lt;Hta_4,$G64&gt;=Hba_4,Input!W$24&lt;&gt;""),Input!$B$24&amp;";",""),IF(AND($G64&lt;Hta_5,$G64&gt;=Hba_5,Input!W$25&lt;&gt;""),Input!$B$25&amp;";",""),IF(AND($G64&lt;Hta_6,$G64&gt;=Hba_6,Input!W$26&lt;&gt;""),Input!$B$26&amp;";",""),IF(AND($G64&lt;Hta_7,$G64&gt;=Hba_7,Input!W$27&lt;&gt;""),Input!$B$27&amp;";",""),IF(AND($G64&lt;Hta_8,$G64&gt;=Hba_8,Input!W$28&lt;&gt;""),Input!$B$28&amp;";",""),IF(AND($G64&lt;Hta_9,$G64&gt;=Hba_9,Input!W$29&lt;&gt;""),Input!$B$29&amp;";",""),IF(AND($G64&lt;Hta_10,$G64&gt;=Hba_10,Input!W$30&lt;&gt;""),Input!$B$30&amp;";",""),IF(AND($G64&lt;Hta_11,$G64&gt;=Hba_11,Input!W$31&lt;&gt;""),Input!$B$31&amp;";",""),IF(AND($G64&lt;Hta_12,$G64&gt;=Hba_12,Input!W$32&lt;&gt;""),Input!$B$32&amp;";",""),IF(AND($G64&lt;Hta_13,$G64&gt;=Hba_13,Input!W$33&lt;&gt;""),Input!$B$33&amp;";",""),IF(AND($G64&lt;Hta_14,$G64&gt;=Hba_14,Input!W$34&lt;&gt;""),Input!$B$34&amp;";",""),IF(AND($G64&lt;Hta_15,$G64&gt;=Hba_15,Input!W$35&lt;&gt;""),Input!$B$35&amp;";",""),IF(AND($G64&lt;Hta_16,$G64&gt;=Hba_16,Input!W$36&lt;&gt;""),Input!$B$36&amp;";",""),IF(AND($G64&lt;Hta_17,$G64&gt;=Hba_17,Input!W$37&lt;&gt;""),Input!$B$37&amp;";",""),IF(AND($G64&lt;Hta_18,$G64&gt;=Hba_18,Input!W$38&lt;&gt;""),Input!$B$38&amp;";",""),IF(AND($G64&lt;Hta_19,$G64&gt;=Hba_19,Input!W$39&lt;&gt;""),Input!$B$39&amp;";",""),IF(AND($G64&lt;Hta_20,$G64&gt;=Hba_20,Input!W$40&lt;&gt;""),Input!$B$40&amp;";",""),IF(AND($G64&lt;Hta_21,$G64&gt;=Hba_21,Input!W$41&lt;&gt;""),Input!$B$41&amp;";",""),IF(AND($G64&lt;Hta_22,$G64&gt;=Hba_22,Input!W$42&lt;&gt;""),Input!$B$42&amp;";",""),IF(AND($G64&lt;Hta_23,$G64&gt;=Hba_23,Input!W$43&lt;&gt;""),Input!$B$43&amp;";",""),IF(AND($G64&lt;Hta_24,$G64&gt;=Hba_24,Input!W$44&lt;&gt;""),Input!$B$44&amp;";",""),IF(AND($G64&lt;Hta_25,$G64&gt;=Hba_25,Input!W$45&lt;&gt;""),Input!$B$45&amp;";",""),IF(AND($G64&lt;Hta_26,$G64&gt;=Hba_26,Input!W$46&lt;&gt;""),Input!$B$46&amp;";",""),IF(AND($G64&lt;Hta_27,$G64&gt;=Hba_27,Input!W$47&lt;&gt;""),Input!$B$47&amp;";",""),IF(AND($G64&lt;Hta_28,$G64&gt;=Hba_28,Input!W$48&lt;&gt;""),Input!$B$48&amp;";",""),IF(AND($G64&lt;Hta_29,$G64&gt;=Hba_29,Input!W$49&lt;&gt;""),Input!$B$49&amp;";",""),IF(AND($G64&lt;Hta_30,$G64&gt;=Hba_30,Input!W$50&lt;&gt;""),Input!$B$50&amp;";","")),"")</f>
        <v/>
      </c>
      <c r="BY64" s="25" t="str">
        <f>IFERROR(CONCATENATE(IF(AND($G64&lt;Hta_1,$G64&gt;=Hba_1,Input!X$21&lt;&gt;""),Input!$B$21&amp;";",""),IF(AND($G64&lt;Hta_2,$G64&gt;=Hba_2,Input!X$22&lt;&gt;""),Input!$B$22&amp;";",""),IF(AND($G64&lt;Hta_3,$G64&gt;=Hba_3,Input!X$23&lt;&gt;""),Input!$B$23&amp;";",""),IF(AND($G64&lt;Hta_4,$G64&gt;=Hba_4,Input!X$24&lt;&gt;""),Input!$B$24&amp;";",""),IF(AND($G64&lt;Hta_5,$G64&gt;=Hba_5,Input!X$25&lt;&gt;""),Input!$B$25&amp;";",""),IF(AND($G64&lt;Hta_6,$G64&gt;=Hba_6,Input!X$26&lt;&gt;""),Input!$B$26&amp;";",""),IF(AND($G64&lt;Hta_7,$G64&gt;=Hba_7,Input!X$27&lt;&gt;""),Input!$B$27&amp;";",""),IF(AND($G64&lt;Hta_8,$G64&gt;=Hba_8,Input!X$28&lt;&gt;""),Input!$B$28&amp;";",""),IF(AND($G64&lt;Hta_9,$G64&gt;=Hba_9,Input!X$29&lt;&gt;""),Input!$B$29&amp;";",""),IF(AND($G64&lt;Hta_10,$G64&gt;=Hba_10,Input!X$30&lt;&gt;""),Input!$B$30&amp;";",""),IF(AND($G64&lt;Hta_11,$G64&gt;=Hba_11,Input!X$31&lt;&gt;""),Input!$B$31&amp;";",""),IF(AND($G64&lt;Hta_12,$G64&gt;=Hba_12,Input!X$32&lt;&gt;""),Input!$B$32&amp;";",""),IF(AND($G64&lt;Hta_13,$G64&gt;=Hba_13,Input!X$33&lt;&gt;""),Input!$B$33&amp;";",""),IF(AND($G64&lt;Hta_14,$G64&gt;=Hba_14,Input!X$34&lt;&gt;""),Input!$B$34&amp;";",""),IF(AND($G64&lt;Hta_15,$G64&gt;=Hba_15,Input!X$35&lt;&gt;""),Input!$B$35&amp;";",""),IF(AND($G64&lt;Hta_16,$G64&gt;=Hba_16,Input!X$36&lt;&gt;""),Input!$B$36&amp;";",""),IF(AND($G64&lt;Hta_17,$G64&gt;=Hba_17,Input!X$37&lt;&gt;""),Input!$B$37&amp;";",""),IF(AND($G64&lt;Hta_18,$G64&gt;=Hba_18,Input!X$38&lt;&gt;""),Input!$B$38&amp;";",""),IF(AND($G64&lt;Hta_19,$G64&gt;=Hba_19,Input!X$39&lt;&gt;""),Input!$B$39&amp;";",""),IF(AND($G64&lt;Hta_20,$G64&gt;=Hba_20,Input!X$40&lt;&gt;""),Input!$B$40&amp;";",""),IF(AND($G64&lt;Hta_21,$G64&gt;=Hba_21,Input!X$41&lt;&gt;""),Input!$B$41&amp;";",""),IF(AND($G64&lt;Hta_22,$G64&gt;=Hba_22,Input!X$42&lt;&gt;""),Input!$B$42&amp;";",""),IF(AND($G64&lt;Hta_23,$G64&gt;=Hba_23,Input!X$43&lt;&gt;""),Input!$B$43&amp;";",""),IF(AND($G64&lt;Hta_24,$G64&gt;=Hba_24,Input!X$44&lt;&gt;""),Input!$B$44&amp;";",""),IF(AND($G64&lt;Hta_25,$G64&gt;=Hba_25,Input!X$45&lt;&gt;""),Input!$B$45&amp;";",""),IF(AND($G64&lt;Hta_26,$G64&gt;=Hba_26,Input!X$46&lt;&gt;""),Input!$B$46&amp;";",""),IF(AND($G64&lt;Hta_27,$G64&gt;=Hba_27,Input!X$47&lt;&gt;""),Input!$B$47&amp;";",""),IF(AND($G64&lt;Hta_28,$G64&gt;=Hba_28,Input!X$48&lt;&gt;""),Input!$B$48&amp;";",""),IF(AND($G64&lt;Hta_29,$G64&gt;=Hba_29,Input!X$49&lt;&gt;""),Input!$B$49&amp;";",""),IF(AND($G64&lt;Hta_30,$G64&gt;=Hba_30,Input!X$50&lt;&gt;""),Input!$B$50&amp;";","")),"")</f>
        <v/>
      </c>
      <c r="BZ64" s="25" t="str">
        <f>IFERROR(CONCATENATE(IF(AND($G64&lt;Hta_1,$G64&gt;=Hba_1,Input!Y$21&lt;&gt;""),Input!$B$21&amp;";",""),IF(AND($G64&lt;Hta_2,$G64&gt;=Hba_2,Input!Y$22&lt;&gt;""),Input!$B$22&amp;";",""),IF(AND($G64&lt;Hta_3,$G64&gt;=Hba_3,Input!Y$23&lt;&gt;""),Input!$B$23&amp;";",""),IF(AND($G64&lt;Hta_4,$G64&gt;=Hba_4,Input!Y$24&lt;&gt;""),Input!$B$24&amp;";",""),IF(AND($G64&lt;Hta_5,$G64&gt;=Hba_5,Input!Y$25&lt;&gt;""),Input!$B$25&amp;";",""),IF(AND($G64&lt;Hta_6,$G64&gt;=Hba_6,Input!Y$26&lt;&gt;""),Input!$B$26&amp;";",""),IF(AND($G64&lt;Hta_7,$G64&gt;=Hba_7,Input!Y$27&lt;&gt;""),Input!$B$27&amp;";",""),IF(AND($G64&lt;Hta_8,$G64&gt;=Hba_8,Input!Y$28&lt;&gt;""),Input!$B$28&amp;";",""),IF(AND($G64&lt;Hta_9,$G64&gt;=Hba_9,Input!Y$29&lt;&gt;""),Input!$B$29&amp;";",""),IF(AND($G64&lt;Hta_10,$G64&gt;=Hba_10,Input!Y$30&lt;&gt;""),Input!$B$30&amp;";",""),IF(AND($G64&lt;Hta_11,$G64&gt;=Hba_11,Input!Y$31&lt;&gt;""),Input!$B$31&amp;";",""),IF(AND($G64&lt;Hta_12,$G64&gt;=Hba_12,Input!Y$32&lt;&gt;""),Input!$B$32&amp;";",""),IF(AND($G64&lt;Hta_13,$G64&gt;=Hba_13,Input!Y$33&lt;&gt;""),Input!$B$33&amp;";",""),IF(AND($G64&lt;Hta_14,$G64&gt;=Hba_14,Input!Y$34&lt;&gt;""),Input!$B$34&amp;";",""),IF(AND($G64&lt;Hta_15,$G64&gt;=Hba_15,Input!Y$35&lt;&gt;""),Input!$B$35&amp;";",""),IF(AND($G64&lt;Hta_16,$G64&gt;=Hba_16,Input!Y$36&lt;&gt;""),Input!$B$36&amp;";",""),IF(AND($G64&lt;Hta_17,$G64&gt;=Hba_17,Input!Y$37&lt;&gt;""),Input!$B$37&amp;";",""),IF(AND($G64&lt;Hta_18,$G64&gt;=Hba_18,Input!Y$38&lt;&gt;""),Input!$B$38&amp;";",""),IF(AND($G64&lt;Hta_19,$G64&gt;=Hba_19,Input!Y$39&lt;&gt;""),Input!$B$39&amp;";",""),IF(AND($G64&lt;Hta_20,$G64&gt;=Hba_20,Input!Y$40&lt;&gt;""),Input!$B$40&amp;";",""),IF(AND($G64&lt;Hta_21,$G64&gt;=Hba_21,Input!Y$41&lt;&gt;""),Input!$B$41&amp;";",""),IF(AND($G64&lt;Hta_22,$G64&gt;=Hba_22,Input!Y$42&lt;&gt;""),Input!$B$42&amp;";",""),IF(AND($G64&lt;Hta_23,$G64&gt;=Hba_23,Input!Y$43&lt;&gt;""),Input!$B$43&amp;";",""),IF(AND($G64&lt;Hta_24,$G64&gt;=Hba_24,Input!Y$44&lt;&gt;""),Input!$B$44&amp;";",""),IF(AND($G64&lt;Hta_25,$G64&gt;=Hba_25,Input!Y$45&lt;&gt;""),Input!$B$45&amp;";",""),IF(AND($G64&lt;Hta_26,$G64&gt;=Hba_26,Input!Y$46&lt;&gt;""),Input!$B$46&amp;";",""),IF(AND($G64&lt;Hta_27,$G64&gt;=Hba_27,Input!Y$47&lt;&gt;""),Input!$B$47&amp;";",""),IF(AND($G64&lt;Hta_28,$G64&gt;=Hba_28,Input!Y$48&lt;&gt;""),Input!$B$48&amp;";",""),IF(AND($G64&lt;Hta_29,$G64&gt;=Hba_29,Input!Y$49&lt;&gt;""),Input!$B$49&amp;";",""),IF(AND($G64&lt;Hta_30,$G64&gt;=Hba_30,Input!Y$50&lt;&gt;""),Input!$B$50&amp;";","")),"")</f>
        <v/>
      </c>
      <c r="CA64" s="25" t="str">
        <f>IFERROR(CONCATENATE(IF(AND($G64&lt;Hta_1,$G64&gt;=Hba_1,Input!Z$21&lt;&gt;""),Input!$B$21&amp;";",""),IF(AND($G64&lt;Hta_2,$G64&gt;=Hba_2,Input!Z$22&lt;&gt;""),Input!$B$22&amp;";",""),IF(AND($G64&lt;Hta_3,$G64&gt;=Hba_3,Input!Z$23&lt;&gt;""),Input!$B$23&amp;";",""),IF(AND($G64&lt;Hta_4,$G64&gt;=Hba_4,Input!Z$24&lt;&gt;""),Input!$B$24&amp;";",""),IF(AND($G64&lt;Hta_5,$G64&gt;=Hba_5,Input!Z$25&lt;&gt;""),Input!$B$25&amp;";",""),IF(AND($G64&lt;Hta_6,$G64&gt;=Hba_6,Input!Z$26&lt;&gt;""),Input!$B$26&amp;";",""),IF(AND($G64&lt;Hta_7,$G64&gt;=Hba_7,Input!Z$27&lt;&gt;""),Input!$B$27&amp;";",""),IF(AND($G64&lt;Hta_8,$G64&gt;=Hba_8,Input!Z$28&lt;&gt;""),Input!$B$28&amp;";",""),IF(AND($G64&lt;Hta_9,$G64&gt;=Hba_9,Input!Z$29&lt;&gt;""),Input!$B$29&amp;";",""),IF(AND($G64&lt;Hta_10,$G64&gt;=Hba_10,Input!Z$30&lt;&gt;""),Input!$B$30&amp;";",""),IF(AND($G64&lt;Hta_11,$G64&gt;=Hba_11,Input!Z$31&lt;&gt;""),Input!$B$31&amp;";",""),IF(AND($G64&lt;Hta_12,$G64&gt;=Hba_12,Input!Z$32&lt;&gt;""),Input!$B$32&amp;";",""),IF(AND($G64&lt;Hta_13,$G64&gt;=Hba_13,Input!Z$33&lt;&gt;""),Input!$B$33&amp;";",""),IF(AND($G64&lt;Hta_14,$G64&gt;=Hba_14,Input!Z$34&lt;&gt;""),Input!$B$34&amp;";",""),IF(AND($G64&lt;Hta_15,$G64&gt;=Hba_15,Input!Z$35&lt;&gt;""),Input!$B$35&amp;";",""),IF(AND($G64&lt;Hta_16,$G64&gt;=Hba_16,Input!Z$36&lt;&gt;""),Input!$B$36&amp;";",""),IF(AND($G64&lt;Hta_17,$G64&gt;=Hba_17,Input!Z$37&lt;&gt;""),Input!$B$37&amp;";",""),IF(AND($G64&lt;Hta_18,$G64&gt;=Hba_18,Input!Z$38&lt;&gt;""),Input!$B$38&amp;";",""),IF(AND($G64&lt;Hta_19,$G64&gt;=Hba_19,Input!Z$39&lt;&gt;""),Input!$B$39&amp;";",""),IF(AND($G64&lt;Hta_20,$G64&gt;=Hba_20,Input!Z$40&lt;&gt;""),Input!$B$40&amp;";",""),IF(AND($G64&lt;Hta_21,$G64&gt;=Hba_21,Input!Z$41&lt;&gt;""),Input!$B$41&amp;";",""),IF(AND($G64&lt;Hta_22,$G64&gt;=Hba_22,Input!Z$42&lt;&gt;""),Input!$B$42&amp;";",""),IF(AND($G64&lt;Hta_23,$G64&gt;=Hba_23,Input!Z$43&lt;&gt;""),Input!$B$43&amp;";",""),IF(AND($G64&lt;Hta_24,$G64&gt;=Hba_24,Input!Z$44&lt;&gt;""),Input!$B$44&amp;";",""),IF(AND($G64&lt;Hta_25,$G64&gt;=Hba_25,Input!Z$45&lt;&gt;""),Input!$B$45&amp;";",""),IF(AND($G64&lt;Hta_26,$G64&gt;=Hba_26,Input!Z$46&lt;&gt;""),Input!$B$46&amp;";",""),IF(AND($G64&lt;Hta_27,$G64&gt;=Hba_27,Input!Z$47&lt;&gt;""),Input!$B$47&amp;";",""),IF(AND($G64&lt;Hta_28,$G64&gt;=Hba_28,Input!Z$48&lt;&gt;""),Input!$B$48&amp;";",""),IF(AND($G64&lt;Hta_29,$G64&gt;=Hba_29,Input!Z$49&lt;&gt;""),Input!$B$49&amp;";",""),IF(AND($G64&lt;Hta_30,$G64&gt;=Hba_30,Input!Z$50&lt;&gt;""),Input!$B$50&amp;";","")),"")</f>
        <v/>
      </c>
      <c r="CB64" s="25" t="str">
        <f>IFERROR(CONCATENATE(IF(AND($G64&lt;Hta_1,$G64&gt;=Hba_1,Input!AA$21&lt;&gt;""),Input!$B$21&amp;";",""),IF(AND($G64&lt;Hta_2,$G64&gt;=Hba_2,Input!AA$22&lt;&gt;""),Input!$B$22&amp;";",""),IF(AND($G64&lt;Hta_3,$G64&gt;=Hba_3,Input!AA$23&lt;&gt;""),Input!$B$23&amp;";",""),IF(AND($G64&lt;Hta_4,$G64&gt;=Hba_4,Input!AA$24&lt;&gt;""),Input!$B$24&amp;";",""),IF(AND($G64&lt;Hta_5,$G64&gt;=Hba_5,Input!AA$25&lt;&gt;""),Input!$B$25&amp;";",""),IF(AND($G64&lt;Hta_6,$G64&gt;=Hba_6,Input!AA$26&lt;&gt;""),Input!$B$26&amp;";",""),IF(AND($G64&lt;Hta_7,$G64&gt;=Hba_7,Input!AA$27&lt;&gt;""),Input!$B$27&amp;";",""),IF(AND($G64&lt;Hta_8,$G64&gt;=Hba_8,Input!AA$28&lt;&gt;""),Input!$B$28&amp;";",""),IF(AND($G64&lt;Hta_9,$G64&gt;=Hba_9,Input!AA$29&lt;&gt;""),Input!$B$29&amp;";",""),IF(AND($G64&lt;Hta_10,$G64&gt;=Hba_10,Input!AA$30&lt;&gt;""),Input!$B$30&amp;";",""),IF(AND($G64&lt;Hta_11,$G64&gt;=Hba_11,Input!AA$31&lt;&gt;""),Input!$B$31&amp;";",""),IF(AND($G64&lt;Hta_12,$G64&gt;=Hba_12,Input!AA$32&lt;&gt;""),Input!$B$32&amp;";",""),IF(AND($G64&lt;Hta_13,$G64&gt;=Hba_13,Input!AA$33&lt;&gt;""),Input!$B$33&amp;";",""),IF(AND($G64&lt;Hta_14,$G64&gt;=Hba_14,Input!AA$34&lt;&gt;""),Input!$B$34&amp;";",""),IF(AND($G64&lt;Hta_15,$G64&gt;=Hba_15,Input!AA$35&lt;&gt;""),Input!$B$35&amp;";",""),IF(AND($G64&lt;Hta_16,$G64&gt;=Hba_16,Input!AA$36&lt;&gt;""),Input!$B$36&amp;";",""),IF(AND($G64&lt;Hta_17,$G64&gt;=Hba_17,Input!AA$37&lt;&gt;""),Input!$B$37&amp;";",""),IF(AND($G64&lt;Hta_18,$G64&gt;=Hba_18,Input!AA$38&lt;&gt;""),Input!$B$38&amp;";",""),IF(AND($G64&lt;Hta_19,$G64&gt;=Hba_19,Input!AA$39&lt;&gt;""),Input!$B$39&amp;";",""),IF(AND($G64&lt;Hta_20,$G64&gt;=Hba_20,Input!AA$40&lt;&gt;""),Input!$B$40&amp;";",""),IF(AND($G64&lt;Hta_21,$G64&gt;=Hba_21,Input!AA$41&lt;&gt;""),Input!$B$41&amp;";",""),IF(AND($G64&lt;Hta_22,$G64&gt;=Hba_22,Input!AA$42&lt;&gt;""),Input!$B$42&amp;";",""),IF(AND($G64&lt;Hta_23,$G64&gt;=Hba_23,Input!AA$43&lt;&gt;""),Input!$B$43&amp;";",""),IF(AND($G64&lt;Hta_24,$G64&gt;=Hba_24,Input!AA$44&lt;&gt;""),Input!$B$44&amp;";",""),IF(AND($G64&lt;Hta_25,$G64&gt;=Hba_25,Input!AA$45&lt;&gt;""),Input!$B$45&amp;";",""),IF(AND($G64&lt;Hta_26,$G64&gt;=Hba_26,Input!AA$46&lt;&gt;""),Input!$B$46&amp;";",""),IF(AND($G64&lt;Hta_27,$G64&gt;=Hba_27,Input!AA$47&lt;&gt;""),Input!$B$47&amp;";",""),IF(AND($G64&lt;Hta_28,$G64&gt;=Hba_28,Input!AA$48&lt;&gt;""),Input!$B$48&amp;";",""),IF(AND($G64&lt;Hta_29,$G64&gt;=Hba_29,Input!AA$49&lt;&gt;""),Input!$B$49&amp;";",""),IF(AND($G64&lt;Hta_30,$G64&gt;=Hba_30,Input!AA$50&lt;&gt;""),Input!$B$50&amp;";","")),"")</f>
        <v/>
      </c>
      <c r="CC64" s="25" t="str">
        <f>IFERROR(CONCATENATE(IF(AND($G64&lt;Hta_1,$G64&gt;=Hba_1,Input!AB$21&lt;&gt;""),Input!$B$21&amp;";",""),IF(AND($G64&lt;Hta_2,$G64&gt;=Hba_2,Input!AB$22&lt;&gt;""),Input!$B$22&amp;";",""),IF(AND($G64&lt;Hta_3,$G64&gt;=Hba_3,Input!AB$23&lt;&gt;""),Input!$B$23&amp;";",""),IF(AND($G64&lt;Hta_4,$G64&gt;=Hba_4,Input!AB$24&lt;&gt;""),Input!$B$24&amp;";",""),IF(AND($G64&lt;Hta_5,$G64&gt;=Hba_5,Input!AB$25&lt;&gt;""),Input!$B$25&amp;";",""),IF(AND($G64&lt;Hta_6,$G64&gt;=Hba_6,Input!AB$26&lt;&gt;""),Input!$B$26&amp;";",""),IF(AND($G64&lt;Hta_7,$G64&gt;=Hba_7,Input!AB$27&lt;&gt;""),Input!$B$27&amp;";",""),IF(AND($G64&lt;Hta_8,$G64&gt;=Hba_8,Input!AB$28&lt;&gt;""),Input!$B$28&amp;";",""),IF(AND($G64&lt;Hta_9,$G64&gt;=Hba_9,Input!AB$29&lt;&gt;""),Input!$B$29&amp;";",""),IF(AND($G64&lt;Hta_10,$G64&gt;=Hba_10,Input!AB$30&lt;&gt;""),Input!$B$30&amp;";",""),IF(AND($G64&lt;Hta_11,$G64&gt;=Hba_11,Input!AB$31&lt;&gt;""),Input!$B$31&amp;";",""),IF(AND($G64&lt;Hta_12,$G64&gt;=Hba_12,Input!AB$32&lt;&gt;""),Input!$B$32&amp;";",""),IF(AND($G64&lt;Hta_13,$G64&gt;=Hba_13,Input!AB$33&lt;&gt;""),Input!$B$33&amp;";",""),IF(AND($G64&lt;Hta_14,$G64&gt;=Hba_14,Input!AB$34&lt;&gt;""),Input!$B$34&amp;";",""),IF(AND($G64&lt;Hta_15,$G64&gt;=Hba_15,Input!AB$35&lt;&gt;""),Input!$B$35&amp;";",""),IF(AND($G64&lt;Hta_16,$G64&gt;=Hba_16,Input!AB$36&lt;&gt;""),Input!$B$36&amp;";",""),IF(AND($G64&lt;Hta_17,$G64&gt;=Hba_17,Input!AB$37&lt;&gt;""),Input!$B$37&amp;";",""),IF(AND($G64&lt;Hta_18,$G64&gt;=Hba_18,Input!AB$38&lt;&gt;""),Input!$B$38&amp;";",""),IF(AND($G64&lt;Hta_19,$G64&gt;=Hba_19,Input!AB$39&lt;&gt;""),Input!$B$39&amp;";",""),IF(AND($G64&lt;Hta_20,$G64&gt;=Hba_20,Input!AB$40&lt;&gt;""),Input!$B$40&amp;";",""),IF(AND($G64&lt;Hta_21,$G64&gt;=Hba_21,Input!AB$41&lt;&gt;""),Input!$B$41&amp;";",""),IF(AND($G64&lt;Hta_22,$G64&gt;=Hba_22,Input!AB$42&lt;&gt;""),Input!$B$42&amp;";",""),IF(AND($G64&lt;Hta_23,$G64&gt;=Hba_23,Input!AB$43&lt;&gt;""),Input!$B$43&amp;";",""),IF(AND($G64&lt;Hta_24,$G64&gt;=Hba_24,Input!AB$44&lt;&gt;""),Input!$B$44&amp;";",""),IF(AND($G64&lt;Hta_25,$G64&gt;=Hba_25,Input!AB$45&lt;&gt;""),Input!$B$45&amp;";",""),IF(AND($G64&lt;Hta_26,$G64&gt;=Hba_26,Input!AB$46&lt;&gt;""),Input!$B$46&amp;";",""),IF(AND($G64&lt;Hta_27,$G64&gt;=Hba_27,Input!AB$47&lt;&gt;""),Input!$B$47&amp;";",""),IF(AND($G64&lt;Hta_28,$G64&gt;=Hba_28,Input!AB$48&lt;&gt;""),Input!$B$48&amp;";",""),IF(AND($G64&lt;Hta_29,$G64&gt;=Hba_29,Input!AB$49&lt;&gt;""),Input!$B$49&amp;";",""),IF(AND($G64&lt;Hta_30,$G64&gt;=Hba_30,Input!AB$50&lt;&gt;""),Input!$B$50&amp;";","")),"")</f>
        <v/>
      </c>
      <c r="CD64" s="25" t="str">
        <f>IFERROR(CONCATENATE(IF(AND($G64&lt;Hta_1,$G64&gt;=Hba_1,Input!AC$21&lt;&gt;""),Input!$B$21&amp;";",""),IF(AND($G64&lt;Hta_2,$G64&gt;=Hba_2,Input!AC$22&lt;&gt;""),Input!$B$22&amp;";",""),IF(AND($G64&lt;Hta_3,$G64&gt;=Hba_3,Input!AC$23&lt;&gt;""),Input!$B$23&amp;";",""),IF(AND($G64&lt;Hta_4,$G64&gt;=Hba_4,Input!AC$24&lt;&gt;""),Input!$B$24&amp;";",""),IF(AND($G64&lt;Hta_5,$G64&gt;=Hba_5,Input!AC$25&lt;&gt;""),Input!$B$25&amp;";",""),IF(AND($G64&lt;Hta_6,$G64&gt;=Hba_6,Input!AC$26&lt;&gt;""),Input!$B$26&amp;";",""),IF(AND($G64&lt;Hta_7,$G64&gt;=Hba_7,Input!AC$27&lt;&gt;""),Input!$B$27&amp;";",""),IF(AND($G64&lt;Hta_8,$G64&gt;=Hba_8,Input!AC$28&lt;&gt;""),Input!$B$28&amp;";",""),IF(AND($G64&lt;Hta_9,$G64&gt;=Hba_9,Input!AC$29&lt;&gt;""),Input!$B$29&amp;";",""),IF(AND($G64&lt;Hta_10,$G64&gt;=Hba_10,Input!AC$30&lt;&gt;""),Input!$B$30&amp;";",""),IF(AND($G64&lt;Hta_11,$G64&gt;=Hba_11,Input!AC$31&lt;&gt;""),Input!$B$31&amp;";",""),IF(AND($G64&lt;Hta_12,$G64&gt;=Hba_12,Input!AC$32&lt;&gt;""),Input!$B$32&amp;";",""),IF(AND($G64&lt;Hta_13,$G64&gt;=Hba_13,Input!AC$33&lt;&gt;""),Input!$B$33&amp;";",""),IF(AND($G64&lt;Hta_14,$G64&gt;=Hba_14,Input!AC$34&lt;&gt;""),Input!$B$34&amp;";",""),IF(AND($G64&lt;Hta_15,$G64&gt;=Hba_15,Input!AC$35&lt;&gt;""),Input!$B$35&amp;";",""),IF(AND($G64&lt;Hta_16,$G64&gt;=Hba_16,Input!AC$36&lt;&gt;""),Input!$B$36&amp;";",""),IF(AND($G64&lt;Hta_17,$G64&gt;=Hba_17,Input!AC$37&lt;&gt;""),Input!$B$37&amp;";",""),IF(AND($G64&lt;Hta_18,$G64&gt;=Hba_18,Input!AC$38&lt;&gt;""),Input!$B$38&amp;";",""),IF(AND($G64&lt;Hta_19,$G64&gt;=Hba_19,Input!AC$39&lt;&gt;""),Input!$B$39&amp;";",""),IF(AND($G64&lt;Hta_20,$G64&gt;=Hba_20,Input!AC$40&lt;&gt;""),Input!$B$40&amp;";",""),IF(AND($G64&lt;Hta_21,$G64&gt;=Hba_21,Input!AC$41&lt;&gt;""),Input!$B$41&amp;";",""),IF(AND($G64&lt;Hta_22,$G64&gt;=Hba_22,Input!AC$42&lt;&gt;""),Input!$B$42&amp;";",""),IF(AND($G64&lt;Hta_23,$G64&gt;=Hba_23,Input!AC$43&lt;&gt;""),Input!$B$43&amp;";",""),IF(AND($G64&lt;Hta_24,$G64&gt;=Hba_24,Input!AC$44&lt;&gt;""),Input!$B$44&amp;";",""),IF(AND($G64&lt;Hta_25,$G64&gt;=Hba_25,Input!AC$45&lt;&gt;""),Input!$B$45&amp;";",""),IF(AND($G64&lt;Hta_26,$G64&gt;=Hba_26,Input!AC$46&lt;&gt;""),Input!$B$46&amp;";",""),IF(AND($G64&lt;Hta_27,$G64&gt;=Hba_27,Input!AC$47&lt;&gt;""),Input!$B$47&amp;";",""),IF(AND($G64&lt;Hta_28,$G64&gt;=Hba_28,Input!AC$48&lt;&gt;""),Input!$B$48&amp;";",""),IF(AND($G64&lt;Hta_29,$G64&gt;=Hba_29,Input!AC$49&lt;&gt;""),Input!$B$49&amp;";",""),IF(AND($G64&lt;Hta_30,$G64&gt;=Hba_30,Input!AC$50&lt;&gt;""),Input!$B$50&amp;";","")),"")</f>
        <v/>
      </c>
      <c r="CE64" s="25" t="str">
        <f>IFERROR(CONCATENATE(IF(AND($G64&lt;Hta_1,$G64&gt;=Hba_1,Input!AD$21&lt;&gt;""),Input!$B$21&amp;";",""),IF(AND($G64&lt;Hta_2,$G64&gt;=Hba_2,Input!AD$22&lt;&gt;""),Input!$B$22&amp;";",""),IF(AND($G64&lt;Hta_3,$G64&gt;=Hba_3,Input!AD$23&lt;&gt;""),Input!$B$23&amp;";",""),IF(AND($G64&lt;Hta_4,$G64&gt;=Hba_4,Input!AD$24&lt;&gt;""),Input!$B$24&amp;";",""),IF(AND($G64&lt;Hta_5,$G64&gt;=Hba_5,Input!AD$25&lt;&gt;""),Input!$B$25&amp;";",""),IF(AND($G64&lt;Hta_6,$G64&gt;=Hba_6,Input!AD$26&lt;&gt;""),Input!$B$26&amp;";",""),IF(AND($G64&lt;Hta_7,$G64&gt;=Hba_7,Input!AD$27&lt;&gt;""),Input!$B$27&amp;";",""),IF(AND($G64&lt;Hta_8,$G64&gt;=Hba_8,Input!AD$28&lt;&gt;""),Input!$B$28&amp;";",""),IF(AND($G64&lt;Hta_9,$G64&gt;=Hba_9,Input!AD$29&lt;&gt;""),Input!$B$29&amp;";",""),IF(AND($G64&lt;Hta_10,$G64&gt;=Hba_10,Input!AD$30&lt;&gt;""),Input!$B$30&amp;";",""),IF(AND($G64&lt;Hta_11,$G64&gt;=Hba_11,Input!AD$31&lt;&gt;""),Input!$B$31&amp;";",""),IF(AND($G64&lt;Hta_12,$G64&gt;=Hba_12,Input!AD$32&lt;&gt;""),Input!$B$32&amp;";",""),IF(AND($G64&lt;Hta_13,$G64&gt;=Hba_13,Input!AD$33&lt;&gt;""),Input!$B$33&amp;";",""),IF(AND($G64&lt;Hta_14,$G64&gt;=Hba_14,Input!AD$34&lt;&gt;""),Input!$B$34&amp;";",""),IF(AND($G64&lt;Hta_15,$G64&gt;=Hba_15,Input!AD$35&lt;&gt;""),Input!$B$35&amp;";",""),IF(AND($G64&lt;Hta_16,$G64&gt;=Hba_16,Input!AD$36&lt;&gt;""),Input!$B$36&amp;";",""),IF(AND($G64&lt;Hta_17,$G64&gt;=Hba_17,Input!AD$37&lt;&gt;""),Input!$B$37&amp;";",""),IF(AND($G64&lt;Hta_18,$G64&gt;=Hba_18,Input!AD$38&lt;&gt;""),Input!$B$38&amp;";",""),IF(AND($G64&lt;Hta_19,$G64&gt;=Hba_19,Input!AD$39&lt;&gt;""),Input!$B$39&amp;";",""),IF(AND($G64&lt;Hta_20,$G64&gt;=Hba_20,Input!AD$40&lt;&gt;""),Input!$B$40&amp;";",""),IF(AND($G64&lt;Hta_21,$G64&gt;=Hba_21,Input!AD$41&lt;&gt;""),Input!$B$41&amp;";",""),IF(AND($G64&lt;Hta_22,$G64&gt;=Hba_22,Input!AD$42&lt;&gt;""),Input!$B$42&amp;";",""),IF(AND($G64&lt;Hta_23,$G64&gt;=Hba_23,Input!AD$43&lt;&gt;""),Input!$B$43&amp;";",""),IF(AND($G64&lt;Hta_24,$G64&gt;=Hba_24,Input!AD$44&lt;&gt;""),Input!$B$44&amp;";",""),IF(AND($G64&lt;Hta_25,$G64&gt;=Hba_25,Input!AD$45&lt;&gt;""),Input!$B$45&amp;";",""),IF(AND($G64&lt;Hta_26,$G64&gt;=Hba_26,Input!AD$46&lt;&gt;""),Input!$B$46&amp;";",""),IF(AND($G64&lt;Hta_27,$G64&gt;=Hba_27,Input!AD$47&lt;&gt;""),Input!$B$47&amp;";",""),IF(AND($G64&lt;Hta_28,$G64&gt;=Hba_28,Input!AD$48&lt;&gt;""),Input!$B$48&amp;";",""),IF(AND($G64&lt;Hta_29,$G64&gt;=Hba_29,Input!AD$49&lt;&gt;""),Input!$B$49&amp;";",""),IF(AND($G64&lt;Hta_30,$G64&gt;=Hba_30,Input!AD$50&lt;&gt;""),Input!$B$50&amp;";","")),"")</f>
        <v/>
      </c>
      <c r="CF64" s="25" t="str">
        <f>IFERROR(CONCATENATE(IF(AND($G64&lt;Hta_1,$G64&gt;=Hba_1,Input!AE$21&lt;&gt;""),Input!$B$21&amp;";",""),IF(AND($G64&lt;Hta_2,$G64&gt;=Hba_2,Input!AE$22&lt;&gt;""),Input!$B$22&amp;";",""),IF(AND($G64&lt;Hta_3,$G64&gt;=Hba_3,Input!AE$23&lt;&gt;""),Input!$B$23&amp;";",""),IF(AND($G64&lt;Hta_4,$G64&gt;=Hba_4,Input!AE$24&lt;&gt;""),Input!$B$24&amp;";",""),IF(AND($G64&lt;Hta_5,$G64&gt;=Hba_5,Input!AE$25&lt;&gt;""),Input!$B$25&amp;";",""),IF(AND($G64&lt;Hta_6,$G64&gt;=Hba_6,Input!AE$26&lt;&gt;""),Input!$B$26&amp;";",""),IF(AND($G64&lt;Hta_7,$G64&gt;=Hba_7,Input!AE$27&lt;&gt;""),Input!$B$27&amp;";",""),IF(AND($G64&lt;Hta_8,$G64&gt;=Hba_8,Input!AE$28&lt;&gt;""),Input!$B$28&amp;";",""),IF(AND($G64&lt;Hta_9,$G64&gt;=Hba_9,Input!AE$29&lt;&gt;""),Input!$B$29&amp;";",""),IF(AND($G64&lt;Hta_10,$G64&gt;=Hba_10,Input!AE$30&lt;&gt;""),Input!$B$30&amp;";",""),IF(AND($G64&lt;Hta_11,$G64&gt;=Hba_11,Input!AE$31&lt;&gt;""),Input!$B$31&amp;";",""),IF(AND($G64&lt;Hta_12,$G64&gt;=Hba_12,Input!AE$32&lt;&gt;""),Input!$B$32&amp;";",""),IF(AND($G64&lt;Hta_13,$G64&gt;=Hba_13,Input!AE$33&lt;&gt;""),Input!$B$33&amp;";",""),IF(AND($G64&lt;Hta_14,$G64&gt;=Hba_14,Input!AE$34&lt;&gt;""),Input!$B$34&amp;";",""),IF(AND($G64&lt;Hta_15,$G64&gt;=Hba_15,Input!AE$35&lt;&gt;""),Input!$B$35&amp;";",""),IF(AND($G64&lt;Hta_16,$G64&gt;=Hba_16,Input!AE$36&lt;&gt;""),Input!$B$36&amp;";",""),IF(AND($G64&lt;Hta_17,$G64&gt;=Hba_17,Input!AE$37&lt;&gt;""),Input!$B$37&amp;";",""),IF(AND($G64&lt;Hta_18,$G64&gt;=Hba_18,Input!AE$38&lt;&gt;""),Input!$B$38&amp;";",""),IF(AND($G64&lt;Hta_19,$G64&gt;=Hba_19,Input!AE$39&lt;&gt;""),Input!$B$39&amp;";",""),IF(AND($G64&lt;Hta_20,$G64&gt;=Hba_20,Input!AE$40&lt;&gt;""),Input!$B$40&amp;";",""),IF(AND($G64&lt;Hta_21,$G64&gt;=Hba_21,Input!AE$41&lt;&gt;""),Input!$B$41&amp;";",""),IF(AND($G64&lt;Hta_22,$G64&gt;=Hba_22,Input!AE$42&lt;&gt;""),Input!$B$42&amp;";",""),IF(AND($G64&lt;Hta_23,$G64&gt;=Hba_23,Input!AE$43&lt;&gt;""),Input!$B$43&amp;";",""),IF(AND($G64&lt;Hta_24,$G64&gt;=Hba_24,Input!AE$44&lt;&gt;""),Input!$B$44&amp;";",""),IF(AND($G64&lt;Hta_25,$G64&gt;=Hba_25,Input!AE$45&lt;&gt;""),Input!$B$45&amp;";",""),IF(AND($G64&lt;Hta_26,$G64&gt;=Hba_26,Input!AE$46&lt;&gt;""),Input!$B$46&amp;";",""),IF(AND($G64&lt;Hta_27,$G64&gt;=Hba_27,Input!AE$47&lt;&gt;""),Input!$B$47&amp;";",""),IF(AND($G64&lt;Hta_28,$G64&gt;=Hba_28,Input!AE$48&lt;&gt;""),Input!$B$48&amp;";",""),IF(AND($G64&lt;Hta_29,$G64&gt;=Hba_29,Input!AE$49&lt;&gt;""),Input!$B$49&amp;";",""),IF(AND($G64&lt;Hta_30,$G64&gt;=Hba_30,Input!AE$50&lt;&gt;""),Input!$B$50&amp;";","")),"")</f>
        <v/>
      </c>
      <c r="CG64" s="25" t="str">
        <f>IFERROR(CONCATENATE(IF(AND($G64&lt;Hta_1,$G64&gt;=Hba_1,Input!AF$21&lt;&gt;""),Input!$B$21&amp;";",""),IF(AND($G64&lt;Hta_2,$G64&gt;=Hba_2,Input!AF$22&lt;&gt;""),Input!$B$22&amp;";",""),IF(AND($G64&lt;Hta_3,$G64&gt;=Hba_3,Input!AF$23&lt;&gt;""),Input!$B$23&amp;";",""),IF(AND($G64&lt;Hta_4,$G64&gt;=Hba_4,Input!AF$24&lt;&gt;""),Input!$B$24&amp;";",""),IF(AND($G64&lt;Hta_5,$G64&gt;=Hba_5,Input!AF$25&lt;&gt;""),Input!$B$25&amp;";",""),IF(AND($G64&lt;Hta_6,$G64&gt;=Hba_6,Input!AF$26&lt;&gt;""),Input!$B$26&amp;";",""),IF(AND($G64&lt;Hta_7,$G64&gt;=Hba_7,Input!AF$27&lt;&gt;""),Input!$B$27&amp;";",""),IF(AND($G64&lt;Hta_8,$G64&gt;=Hba_8,Input!AF$28&lt;&gt;""),Input!$B$28&amp;";",""),IF(AND($G64&lt;Hta_9,$G64&gt;=Hba_9,Input!AF$29&lt;&gt;""),Input!$B$29&amp;";",""),IF(AND($G64&lt;Hta_10,$G64&gt;=Hba_10,Input!AF$30&lt;&gt;""),Input!$B$30&amp;";",""),IF(AND($G64&lt;Hta_11,$G64&gt;=Hba_11,Input!AF$31&lt;&gt;""),Input!$B$31&amp;";",""),IF(AND($G64&lt;Hta_12,$G64&gt;=Hba_12,Input!AF$32&lt;&gt;""),Input!$B$32&amp;";",""),IF(AND($G64&lt;Hta_13,$G64&gt;=Hba_13,Input!AF$33&lt;&gt;""),Input!$B$33&amp;";",""),IF(AND($G64&lt;Hta_14,$G64&gt;=Hba_14,Input!AF$34&lt;&gt;""),Input!$B$34&amp;";",""),IF(AND($G64&lt;Hta_15,$G64&gt;=Hba_15,Input!AF$35&lt;&gt;""),Input!$B$35&amp;";",""),IF(AND($G64&lt;Hta_16,$G64&gt;=Hba_16,Input!AF$36&lt;&gt;""),Input!$B$36&amp;";",""),IF(AND($G64&lt;Hta_17,$G64&gt;=Hba_17,Input!AF$37&lt;&gt;""),Input!$B$37&amp;";",""),IF(AND($G64&lt;Hta_18,$G64&gt;=Hba_18,Input!AF$38&lt;&gt;""),Input!$B$38&amp;";",""),IF(AND($G64&lt;Hta_19,$G64&gt;=Hba_19,Input!AF$39&lt;&gt;""),Input!$B$39&amp;";",""),IF(AND($G64&lt;Hta_20,$G64&gt;=Hba_20,Input!AF$40&lt;&gt;""),Input!$B$40&amp;";",""),IF(AND($G64&lt;Hta_21,$G64&gt;=Hba_21,Input!AF$41&lt;&gt;""),Input!$B$41&amp;";",""),IF(AND($G64&lt;Hta_22,$G64&gt;=Hba_22,Input!AF$42&lt;&gt;""),Input!$B$42&amp;";",""),IF(AND($G64&lt;Hta_23,$G64&gt;=Hba_23,Input!AF$43&lt;&gt;""),Input!$B$43&amp;";",""),IF(AND($G64&lt;Hta_24,$G64&gt;=Hba_24,Input!AF$44&lt;&gt;""),Input!$B$44&amp;";",""),IF(AND($G64&lt;Hta_25,$G64&gt;=Hba_25,Input!AF$45&lt;&gt;""),Input!$B$45&amp;";",""),IF(AND($G64&lt;Hta_26,$G64&gt;=Hba_26,Input!AF$46&lt;&gt;""),Input!$B$46&amp;";",""),IF(AND($G64&lt;Hta_27,$G64&gt;=Hba_27,Input!AF$47&lt;&gt;""),Input!$B$47&amp;";",""),IF(AND($G64&lt;Hta_28,$G64&gt;=Hba_28,Input!AF$48&lt;&gt;""),Input!$B$48&amp;";",""),IF(AND($G64&lt;Hta_29,$G64&gt;=Hba_29,Input!AF$49&lt;&gt;""),Input!$B$49&amp;";",""),IF(AND($G64&lt;Hta_30,$G64&gt;=Hba_30,Input!AF$50&lt;&gt;""),Input!$B$50&amp;";","")),"")</f>
        <v/>
      </c>
      <c r="CH64" s="25" t="str">
        <f>IFERROR(CONCATENATE(IF(AND($G64&lt;Hta_1,$G64&gt;=Hba_1,Input!AG$21&lt;&gt;""),Input!$B$21&amp;";",""),IF(AND($G64&lt;Hta_2,$G64&gt;=Hba_2,Input!AG$22&lt;&gt;""),Input!$B$22&amp;";",""),IF(AND($G64&lt;Hta_3,$G64&gt;=Hba_3,Input!AG$23&lt;&gt;""),Input!$B$23&amp;";",""),IF(AND($G64&lt;Hta_4,$G64&gt;=Hba_4,Input!AG$24&lt;&gt;""),Input!$B$24&amp;";",""),IF(AND($G64&lt;Hta_5,$G64&gt;=Hba_5,Input!AG$25&lt;&gt;""),Input!$B$25&amp;";",""),IF(AND($G64&lt;Hta_6,$G64&gt;=Hba_6,Input!AG$26&lt;&gt;""),Input!$B$26&amp;";",""),IF(AND($G64&lt;Hta_7,$G64&gt;=Hba_7,Input!AG$27&lt;&gt;""),Input!$B$27&amp;";",""),IF(AND($G64&lt;Hta_8,$G64&gt;=Hba_8,Input!AG$28&lt;&gt;""),Input!$B$28&amp;";",""),IF(AND($G64&lt;Hta_9,$G64&gt;=Hba_9,Input!AG$29&lt;&gt;""),Input!$B$29&amp;";",""),IF(AND($G64&lt;Hta_10,$G64&gt;=Hba_10,Input!AG$30&lt;&gt;""),Input!$B$30&amp;";",""),IF(AND($G64&lt;Hta_11,$G64&gt;=Hba_11,Input!AG$31&lt;&gt;""),Input!$B$31&amp;";",""),IF(AND($G64&lt;Hta_12,$G64&gt;=Hba_12,Input!AG$32&lt;&gt;""),Input!$B$32&amp;";",""),IF(AND($G64&lt;Hta_13,$G64&gt;=Hba_13,Input!AG$33&lt;&gt;""),Input!$B$33&amp;";",""),IF(AND($G64&lt;Hta_14,$G64&gt;=Hba_14,Input!AG$34&lt;&gt;""),Input!$B$34&amp;";",""),IF(AND($G64&lt;Hta_15,$G64&gt;=Hba_15,Input!AG$35&lt;&gt;""),Input!$B$35&amp;";",""),IF(AND($G64&lt;Hta_16,$G64&gt;=Hba_16,Input!AG$36&lt;&gt;""),Input!$B$36&amp;";",""),IF(AND($G64&lt;Hta_17,$G64&gt;=Hba_17,Input!AG$37&lt;&gt;""),Input!$B$37&amp;";",""),IF(AND($G64&lt;Hta_18,$G64&gt;=Hba_18,Input!AG$38&lt;&gt;""),Input!$B$38&amp;";",""),IF(AND($G64&lt;Hta_19,$G64&gt;=Hba_19,Input!AG$39&lt;&gt;""),Input!$B$39&amp;";",""),IF(AND($G64&lt;Hta_20,$G64&gt;=Hba_20,Input!AG$40&lt;&gt;""),Input!$B$40&amp;";",""),IF(AND($G64&lt;Hta_21,$G64&gt;=Hba_21,Input!AG$41&lt;&gt;""),Input!$B$41&amp;";",""),IF(AND($G64&lt;Hta_22,$G64&gt;=Hba_22,Input!AG$42&lt;&gt;""),Input!$B$42&amp;";",""),IF(AND($G64&lt;Hta_23,$G64&gt;=Hba_23,Input!AG$43&lt;&gt;""),Input!$B$43&amp;";",""),IF(AND($G64&lt;Hta_24,$G64&gt;=Hba_24,Input!AG$44&lt;&gt;""),Input!$B$44&amp;";",""),IF(AND($G64&lt;Hta_25,$G64&gt;=Hba_25,Input!AG$45&lt;&gt;""),Input!$B$45&amp;";",""),IF(AND($G64&lt;Hta_26,$G64&gt;=Hba_26,Input!AG$46&lt;&gt;""),Input!$B$46&amp;";",""),IF(AND($G64&lt;Hta_27,$G64&gt;=Hba_27,Input!AG$47&lt;&gt;""),Input!$B$47&amp;";",""),IF(AND($G64&lt;Hta_28,$G64&gt;=Hba_28,Input!AG$48&lt;&gt;""),Input!$B$48&amp;";",""),IF(AND($G64&lt;Hta_29,$G64&gt;=Hba_29,Input!AG$49&lt;&gt;""),Input!$B$49&amp;";",""),IF(AND($G64&lt;Hta_30,$G64&gt;=Hba_30,Input!AG$50&lt;&gt;""),Input!$B$50&amp;";","")),"")</f>
        <v/>
      </c>
      <c r="CI64" s="25" t="str">
        <f>IFERROR(CONCATENATE(IF(AND($G64&lt;Hta_1,$G64&gt;=Hba_1,Input!AH$21&lt;&gt;""),Input!$B$21&amp;";",""),IF(AND($G64&lt;Hta_2,$G64&gt;=Hba_2,Input!AH$22&lt;&gt;""),Input!$B$22&amp;";",""),IF(AND($G64&lt;Hta_3,$G64&gt;=Hba_3,Input!AH$23&lt;&gt;""),Input!$B$23&amp;";",""),IF(AND($G64&lt;Hta_4,$G64&gt;=Hba_4,Input!AH$24&lt;&gt;""),Input!$B$24&amp;";",""),IF(AND($G64&lt;Hta_5,$G64&gt;=Hba_5,Input!AH$25&lt;&gt;""),Input!$B$25&amp;";",""),IF(AND($G64&lt;Hta_6,$G64&gt;=Hba_6,Input!AH$26&lt;&gt;""),Input!$B$26&amp;";",""),IF(AND($G64&lt;Hta_7,$G64&gt;=Hba_7,Input!AH$27&lt;&gt;""),Input!$B$27&amp;";",""),IF(AND($G64&lt;Hta_8,$G64&gt;=Hba_8,Input!AH$28&lt;&gt;""),Input!$B$28&amp;";",""),IF(AND($G64&lt;Hta_9,$G64&gt;=Hba_9,Input!AH$29&lt;&gt;""),Input!$B$29&amp;";",""),IF(AND($G64&lt;Hta_10,$G64&gt;=Hba_10,Input!AH$30&lt;&gt;""),Input!$B$30&amp;";",""),IF(AND($G64&lt;Hta_11,$G64&gt;=Hba_11,Input!AH$31&lt;&gt;""),Input!$B$31&amp;";",""),IF(AND($G64&lt;Hta_12,$G64&gt;=Hba_12,Input!AH$32&lt;&gt;""),Input!$B$32&amp;";",""),IF(AND($G64&lt;Hta_13,$G64&gt;=Hba_13,Input!AH$33&lt;&gt;""),Input!$B$33&amp;";",""),IF(AND($G64&lt;Hta_14,$G64&gt;=Hba_14,Input!AH$34&lt;&gt;""),Input!$B$34&amp;";",""),IF(AND($G64&lt;Hta_15,$G64&gt;=Hba_15,Input!AH$35&lt;&gt;""),Input!$B$35&amp;";",""),IF(AND($G64&lt;Hta_16,$G64&gt;=Hba_16,Input!AH$36&lt;&gt;""),Input!$B$36&amp;";",""),IF(AND($G64&lt;Hta_17,$G64&gt;=Hba_17,Input!AH$37&lt;&gt;""),Input!$B$37&amp;";",""),IF(AND($G64&lt;Hta_18,$G64&gt;=Hba_18,Input!AH$38&lt;&gt;""),Input!$B$38&amp;";",""),IF(AND($G64&lt;Hta_19,$G64&gt;=Hba_19,Input!AH$39&lt;&gt;""),Input!$B$39&amp;";",""),IF(AND($G64&lt;Hta_20,$G64&gt;=Hba_20,Input!AH$40&lt;&gt;""),Input!$B$40&amp;";",""),IF(AND($G64&lt;Hta_21,$G64&gt;=Hba_21,Input!AH$41&lt;&gt;""),Input!$B$41&amp;";",""),IF(AND($G64&lt;Hta_22,$G64&gt;=Hba_22,Input!AH$42&lt;&gt;""),Input!$B$42&amp;";",""),IF(AND($G64&lt;Hta_23,$G64&gt;=Hba_23,Input!AH$43&lt;&gt;""),Input!$B$43&amp;";",""),IF(AND($G64&lt;Hta_24,$G64&gt;=Hba_24,Input!AH$44&lt;&gt;""),Input!$B$44&amp;";",""),IF(AND($G64&lt;Hta_25,$G64&gt;=Hba_25,Input!AH$45&lt;&gt;""),Input!$B$45&amp;";",""),IF(AND($G64&lt;Hta_26,$G64&gt;=Hba_26,Input!AH$46&lt;&gt;""),Input!$B$46&amp;";",""),IF(AND($G64&lt;Hta_27,$G64&gt;=Hba_27,Input!AH$47&lt;&gt;""),Input!$B$47&amp;";",""),IF(AND($G64&lt;Hta_28,$G64&gt;=Hba_28,Input!AH$48&lt;&gt;""),Input!$B$48&amp;";",""),IF(AND($G64&lt;Hta_29,$G64&gt;=Hba_29,Input!AH$49&lt;&gt;""),Input!$B$49&amp;";",""),IF(AND($G64&lt;Hta_30,$G64&gt;=Hba_30,Input!AH$50&lt;&gt;""),Input!$B$50&amp;";","")),"")</f>
        <v/>
      </c>
      <c r="CJ64" s="25" t="str">
        <f>IFERROR(CONCATENATE(IF(AND($G64&lt;Hta_1,$G64&gt;=Hba_1,Input!AI$21&lt;&gt;""),Input!$B$21&amp;";",""),IF(AND($G64&lt;Hta_2,$G64&gt;=Hba_2,Input!AI$22&lt;&gt;""),Input!$B$22&amp;";",""),IF(AND($G64&lt;Hta_3,$G64&gt;=Hba_3,Input!AI$23&lt;&gt;""),Input!$B$23&amp;";",""),IF(AND($G64&lt;Hta_4,$G64&gt;=Hba_4,Input!AI$24&lt;&gt;""),Input!$B$24&amp;";",""),IF(AND($G64&lt;Hta_5,$G64&gt;=Hba_5,Input!AI$25&lt;&gt;""),Input!$B$25&amp;";",""),IF(AND($G64&lt;Hta_6,$G64&gt;=Hba_6,Input!AI$26&lt;&gt;""),Input!$B$26&amp;";",""),IF(AND($G64&lt;Hta_7,$G64&gt;=Hba_7,Input!AI$27&lt;&gt;""),Input!$B$27&amp;";",""),IF(AND($G64&lt;Hta_8,$G64&gt;=Hba_8,Input!AI$28&lt;&gt;""),Input!$B$28&amp;";",""),IF(AND($G64&lt;Hta_9,$G64&gt;=Hba_9,Input!AI$29&lt;&gt;""),Input!$B$29&amp;";",""),IF(AND($G64&lt;Hta_10,$G64&gt;=Hba_10,Input!AI$30&lt;&gt;""),Input!$B$30&amp;";",""),IF(AND($G64&lt;Hta_11,$G64&gt;=Hba_11,Input!AI$31&lt;&gt;""),Input!$B$31&amp;";",""),IF(AND($G64&lt;Hta_12,$G64&gt;=Hba_12,Input!AI$32&lt;&gt;""),Input!$B$32&amp;";",""),IF(AND($G64&lt;Hta_13,$G64&gt;=Hba_13,Input!AI$33&lt;&gt;""),Input!$B$33&amp;";",""),IF(AND($G64&lt;Hta_14,$G64&gt;=Hba_14,Input!AI$34&lt;&gt;""),Input!$B$34&amp;";",""),IF(AND($G64&lt;Hta_15,$G64&gt;=Hba_15,Input!AI$35&lt;&gt;""),Input!$B$35&amp;";",""),IF(AND($G64&lt;Hta_16,$G64&gt;=Hba_16,Input!AI$36&lt;&gt;""),Input!$B$36&amp;";",""),IF(AND($G64&lt;Hta_17,$G64&gt;=Hba_17,Input!AI$37&lt;&gt;""),Input!$B$37&amp;";",""),IF(AND($G64&lt;Hta_18,$G64&gt;=Hba_18,Input!AI$38&lt;&gt;""),Input!$B$38&amp;";",""),IF(AND($G64&lt;Hta_19,$G64&gt;=Hba_19,Input!AI$39&lt;&gt;""),Input!$B$39&amp;";",""),IF(AND($G64&lt;Hta_20,$G64&gt;=Hba_20,Input!AI$40&lt;&gt;""),Input!$B$40&amp;";",""),IF(AND($G64&lt;Hta_21,$G64&gt;=Hba_21,Input!AI$41&lt;&gt;""),Input!$B$41&amp;";",""),IF(AND($G64&lt;Hta_22,$G64&gt;=Hba_22,Input!AI$42&lt;&gt;""),Input!$B$42&amp;";",""),IF(AND($G64&lt;Hta_23,$G64&gt;=Hba_23,Input!AI$43&lt;&gt;""),Input!$B$43&amp;";",""),IF(AND($G64&lt;Hta_24,$G64&gt;=Hba_24,Input!AI$44&lt;&gt;""),Input!$B$44&amp;";",""),IF(AND($G64&lt;Hta_25,$G64&gt;=Hba_25,Input!AI$45&lt;&gt;""),Input!$B$45&amp;";",""),IF(AND($G64&lt;Hta_26,$G64&gt;=Hba_26,Input!AI$46&lt;&gt;""),Input!$B$46&amp;";",""),IF(AND($G64&lt;Hta_27,$G64&gt;=Hba_27,Input!AI$47&lt;&gt;""),Input!$B$47&amp;";",""),IF(AND($G64&lt;Hta_28,$G64&gt;=Hba_28,Input!AI$48&lt;&gt;""),Input!$B$48&amp;";",""),IF(AND($G64&lt;Hta_29,$G64&gt;=Hba_29,Input!AI$49&lt;&gt;""),Input!$B$49&amp;";",""),IF(AND($G64&lt;Hta_30,$G64&gt;=Hba_30,Input!AI$50&lt;&gt;""),Input!$B$50&amp;";","")),"")</f>
        <v/>
      </c>
      <c r="CK64" s="25" t="str">
        <f>IFERROR(CONCATENATE(IF(AND($G64&lt;Hta_1,$G64&gt;=Hba_1,Input!AJ$21&lt;&gt;""),Input!$B$21&amp;";",""),IF(AND($G64&lt;Hta_2,$G64&gt;=Hba_2,Input!AJ$22&lt;&gt;""),Input!$B$22&amp;";",""),IF(AND($G64&lt;Hta_3,$G64&gt;=Hba_3,Input!AJ$23&lt;&gt;""),Input!$B$23&amp;";",""),IF(AND($G64&lt;Hta_4,$G64&gt;=Hba_4,Input!AJ$24&lt;&gt;""),Input!$B$24&amp;";",""),IF(AND($G64&lt;Hta_5,$G64&gt;=Hba_5,Input!AJ$25&lt;&gt;""),Input!$B$25&amp;";",""),IF(AND($G64&lt;Hta_6,$G64&gt;=Hba_6,Input!AJ$26&lt;&gt;""),Input!$B$26&amp;";",""),IF(AND($G64&lt;Hta_7,$G64&gt;=Hba_7,Input!AJ$27&lt;&gt;""),Input!$B$27&amp;";",""),IF(AND($G64&lt;Hta_8,$G64&gt;=Hba_8,Input!AJ$28&lt;&gt;""),Input!$B$28&amp;";",""),IF(AND($G64&lt;Hta_9,$G64&gt;=Hba_9,Input!AJ$29&lt;&gt;""),Input!$B$29&amp;";",""),IF(AND($G64&lt;Hta_10,$G64&gt;=Hba_10,Input!AJ$30&lt;&gt;""),Input!$B$30&amp;";",""),IF(AND($G64&lt;Hta_11,$G64&gt;=Hba_11,Input!AJ$31&lt;&gt;""),Input!$B$31&amp;";",""),IF(AND($G64&lt;Hta_12,$G64&gt;=Hba_12,Input!AJ$32&lt;&gt;""),Input!$B$32&amp;";",""),IF(AND($G64&lt;Hta_13,$G64&gt;=Hba_13,Input!AJ$33&lt;&gt;""),Input!$B$33&amp;";",""),IF(AND($G64&lt;Hta_14,$G64&gt;=Hba_14,Input!AJ$34&lt;&gt;""),Input!$B$34&amp;";",""),IF(AND($G64&lt;Hta_15,$G64&gt;=Hba_15,Input!AJ$35&lt;&gt;""),Input!$B$35&amp;";",""),IF(AND($G64&lt;Hta_16,$G64&gt;=Hba_16,Input!AJ$36&lt;&gt;""),Input!$B$36&amp;";",""),IF(AND($G64&lt;Hta_17,$G64&gt;=Hba_17,Input!AJ$37&lt;&gt;""),Input!$B$37&amp;";",""),IF(AND($G64&lt;Hta_18,$G64&gt;=Hba_18,Input!AJ$38&lt;&gt;""),Input!$B$38&amp;";",""),IF(AND($G64&lt;Hta_19,$G64&gt;=Hba_19,Input!AJ$39&lt;&gt;""),Input!$B$39&amp;";",""),IF(AND($G64&lt;Hta_20,$G64&gt;=Hba_20,Input!AJ$40&lt;&gt;""),Input!$B$40&amp;";",""),IF(AND($G64&lt;Hta_21,$G64&gt;=Hba_21,Input!AJ$41&lt;&gt;""),Input!$B$41&amp;";",""),IF(AND($G64&lt;Hta_22,$G64&gt;=Hba_22,Input!AJ$42&lt;&gt;""),Input!$B$42&amp;";",""),IF(AND($G64&lt;Hta_23,$G64&gt;=Hba_23,Input!AJ$43&lt;&gt;""),Input!$B$43&amp;";",""),IF(AND($G64&lt;Hta_24,$G64&gt;=Hba_24,Input!AJ$44&lt;&gt;""),Input!$B$44&amp;";",""),IF(AND($G64&lt;Hta_25,$G64&gt;=Hba_25,Input!AJ$45&lt;&gt;""),Input!$B$45&amp;";",""),IF(AND($G64&lt;Hta_26,$G64&gt;=Hba_26,Input!AJ$46&lt;&gt;""),Input!$B$46&amp;";",""),IF(AND($G64&lt;Hta_27,$G64&gt;=Hba_27,Input!AJ$47&lt;&gt;""),Input!$B$47&amp;";",""),IF(AND($G64&lt;Hta_28,$G64&gt;=Hba_28,Input!AJ$48&lt;&gt;""),Input!$B$48&amp;";",""),IF(AND($G64&lt;Hta_29,$G64&gt;=Hba_29,Input!AJ$49&lt;&gt;""),Input!$B$49&amp;";",""),IF(AND($G64&lt;Hta_30,$G64&gt;=Hba_30,Input!AJ$50&lt;&gt;""),Input!$B$50&amp;";","")),"")</f>
        <v/>
      </c>
      <c r="CL64" s="25" t="str">
        <f>IFERROR(CONCATENATE(IF(AND($G64&lt;Hta_1,$G64&gt;=Hba_1,Input!AK$21&lt;&gt;""),Input!$B$21&amp;";",""),IF(AND($G64&lt;Hta_2,$G64&gt;=Hba_2,Input!AK$22&lt;&gt;""),Input!$B$22&amp;";",""),IF(AND($G64&lt;Hta_3,$G64&gt;=Hba_3,Input!AK$23&lt;&gt;""),Input!$B$23&amp;";",""),IF(AND($G64&lt;Hta_4,$G64&gt;=Hba_4,Input!AK$24&lt;&gt;""),Input!$B$24&amp;";",""),IF(AND($G64&lt;Hta_5,$G64&gt;=Hba_5,Input!AK$25&lt;&gt;""),Input!$B$25&amp;";",""),IF(AND($G64&lt;Hta_6,$G64&gt;=Hba_6,Input!AK$26&lt;&gt;""),Input!$B$26&amp;";",""),IF(AND($G64&lt;Hta_7,$G64&gt;=Hba_7,Input!AK$27&lt;&gt;""),Input!$B$27&amp;";",""),IF(AND($G64&lt;Hta_8,$G64&gt;=Hba_8,Input!AK$28&lt;&gt;""),Input!$B$28&amp;";",""),IF(AND($G64&lt;Hta_9,$G64&gt;=Hba_9,Input!AK$29&lt;&gt;""),Input!$B$29&amp;";",""),IF(AND($G64&lt;Hta_10,$G64&gt;=Hba_10,Input!AK$30&lt;&gt;""),Input!$B$30&amp;";",""),IF(AND($G64&lt;Hta_11,$G64&gt;=Hba_11,Input!AK$31&lt;&gt;""),Input!$B$31&amp;";",""),IF(AND($G64&lt;Hta_12,$G64&gt;=Hba_12,Input!AK$32&lt;&gt;""),Input!$B$32&amp;";",""),IF(AND($G64&lt;Hta_13,$G64&gt;=Hba_13,Input!AK$33&lt;&gt;""),Input!$B$33&amp;";",""),IF(AND($G64&lt;Hta_14,$G64&gt;=Hba_14,Input!AK$34&lt;&gt;""),Input!$B$34&amp;";",""),IF(AND($G64&lt;Hta_15,$G64&gt;=Hba_15,Input!AK$35&lt;&gt;""),Input!$B$35&amp;";",""),IF(AND($G64&lt;Hta_16,$G64&gt;=Hba_16,Input!AK$36&lt;&gt;""),Input!$B$36&amp;";",""),IF(AND($G64&lt;Hta_17,$G64&gt;=Hba_17,Input!AK$37&lt;&gt;""),Input!$B$37&amp;";",""),IF(AND($G64&lt;Hta_18,$G64&gt;=Hba_18,Input!AK$38&lt;&gt;""),Input!$B$38&amp;";",""),IF(AND($G64&lt;Hta_19,$G64&gt;=Hba_19,Input!AK$39&lt;&gt;""),Input!$B$39&amp;";",""),IF(AND($G64&lt;Hta_20,$G64&gt;=Hba_20,Input!AK$40&lt;&gt;""),Input!$B$40&amp;";",""),IF(AND($G64&lt;Hta_21,$G64&gt;=Hba_21,Input!AK$41&lt;&gt;""),Input!$B$41&amp;";",""),IF(AND($G64&lt;Hta_22,$G64&gt;=Hba_22,Input!AK$42&lt;&gt;""),Input!$B$42&amp;";",""),IF(AND($G64&lt;Hta_23,$G64&gt;=Hba_23,Input!AK$43&lt;&gt;""),Input!$B$43&amp;";",""),IF(AND($G64&lt;Hta_24,$G64&gt;=Hba_24,Input!AK$44&lt;&gt;""),Input!$B$44&amp;";",""),IF(AND($G64&lt;Hta_25,$G64&gt;=Hba_25,Input!AK$45&lt;&gt;""),Input!$B$45&amp;";",""),IF(AND($G64&lt;Hta_26,$G64&gt;=Hba_26,Input!AK$46&lt;&gt;""),Input!$B$46&amp;";",""),IF(AND($G64&lt;Hta_27,$G64&gt;=Hba_27,Input!AK$47&lt;&gt;""),Input!$B$47&amp;";",""),IF(AND($G64&lt;Hta_28,$G64&gt;=Hba_28,Input!AK$48&lt;&gt;""),Input!$B$48&amp;";",""),IF(AND($G64&lt;Hta_29,$G64&gt;=Hba_29,Input!AK$49&lt;&gt;""),Input!$B$49&amp;";",""),IF(AND($G64&lt;Hta_30,$G64&gt;=Hba_30,Input!AK$50&lt;&gt;""),Input!$B$50&amp;";","")),"")</f>
        <v/>
      </c>
      <c r="CM64" s="25" t="str">
        <f>IFERROR(CONCATENATE(IF(AND($G64&lt;Hta_1,$G64&gt;=Hba_1,Input!AL$21&lt;&gt;""),Input!$B$21&amp;";",""),IF(AND($G64&lt;Hta_2,$G64&gt;=Hba_2,Input!AL$22&lt;&gt;""),Input!$B$22&amp;";",""),IF(AND($G64&lt;Hta_3,$G64&gt;=Hba_3,Input!AL$23&lt;&gt;""),Input!$B$23&amp;";",""),IF(AND($G64&lt;Hta_4,$G64&gt;=Hba_4,Input!AL$24&lt;&gt;""),Input!$B$24&amp;";",""),IF(AND($G64&lt;Hta_5,$G64&gt;=Hba_5,Input!AL$25&lt;&gt;""),Input!$B$25&amp;";",""),IF(AND($G64&lt;Hta_6,$G64&gt;=Hba_6,Input!AL$26&lt;&gt;""),Input!$B$26&amp;";",""),IF(AND($G64&lt;Hta_7,$G64&gt;=Hba_7,Input!AL$27&lt;&gt;""),Input!$B$27&amp;";",""),IF(AND($G64&lt;Hta_8,$G64&gt;=Hba_8,Input!AL$28&lt;&gt;""),Input!$B$28&amp;";",""),IF(AND($G64&lt;Hta_9,$G64&gt;=Hba_9,Input!AL$29&lt;&gt;""),Input!$B$29&amp;";",""),IF(AND($G64&lt;Hta_10,$G64&gt;=Hba_10,Input!AL$30&lt;&gt;""),Input!$B$30&amp;";",""),IF(AND($G64&lt;Hta_11,$G64&gt;=Hba_11,Input!AL$31&lt;&gt;""),Input!$B$31&amp;";",""),IF(AND($G64&lt;Hta_12,$G64&gt;=Hba_12,Input!AL$32&lt;&gt;""),Input!$B$32&amp;";",""),IF(AND($G64&lt;Hta_13,$G64&gt;=Hba_13,Input!AL$33&lt;&gt;""),Input!$B$33&amp;";",""),IF(AND($G64&lt;Hta_14,$G64&gt;=Hba_14,Input!AL$34&lt;&gt;""),Input!$B$34&amp;";",""),IF(AND($G64&lt;Hta_15,$G64&gt;=Hba_15,Input!AL$35&lt;&gt;""),Input!$B$35&amp;";",""),IF(AND($G64&lt;Hta_16,$G64&gt;=Hba_16,Input!AL$36&lt;&gt;""),Input!$B$36&amp;";",""),IF(AND($G64&lt;Hta_17,$G64&gt;=Hba_17,Input!AL$37&lt;&gt;""),Input!$B$37&amp;";",""),IF(AND($G64&lt;Hta_18,$G64&gt;=Hba_18,Input!AL$38&lt;&gt;""),Input!$B$38&amp;";",""),IF(AND($G64&lt;Hta_19,$G64&gt;=Hba_19,Input!AL$39&lt;&gt;""),Input!$B$39&amp;";",""),IF(AND($G64&lt;Hta_20,$G64&gt;=Hba_20,Input!AL$40&lt;&gt;""),Input!$B$40&amp;";",""),IF(AND($G64&lt;Hta_21,$G64&gt;=Hba_21,Input!AL$41&lt;&gt;""),Input!$B$41&amp;";",""),IF(AND($G64&lt;Hta_22,$G64&gt;=Hba_22,Input!AL$42&lt;&gt;""),Input!$B$42&amp;";",""),IF(AND($G64&lt;Hta_23,$G64&gt;=Hba_23,Input!AL$43&lt;&gt;""),Input!$B$43&amp;";",""),IF(AND($G64&lt;Hta_24,$G64&gt;=Hba_24,Input!AL$44&lt;&gt;""),Input!$B$44&amp;";",""),IF(AND($G64&lt;Hta_25,$G64&gt;=Hba_25,Input!AL$45&lt;&gt;""),Input!$B$45&amp;";",""),IF(AND($G64&lt;Hta_26,$G64&gt;=Hba_26,Input!AL$46&lt;&gt;""),Input!$B$46&amp;";",""),IF(AND($G64&lt;Hta_27,$G64&gt;=Hba_27,Input!AL$47&lt;&gt;""),Input!$B$47&amp;";",""),IF(AND($G64&lt;Hta_28,$G64&gt;=Hba_28,Input!AL$48&lt;&gt;""),Input!$B$48&amp;";",""),IF(AND($G64&lt;Hta_29,$G64&gt;=Hba_29,Input!AL$49&lt;&gt;""),Input!$B$49&amp;";",""),IF(AND($G64&lt;Hta_30,$G64&gt;=Hba_30,Input!AL$50&lt;&gt;""),Input!$B$50&amp;";","")),"")</f>
        <v/>
      </c>
      <c r="CN64" s="59" t="str">
        <f t="shared" si="6"/>
        <v/>
      </c>
      <c r="CO64" s="791"/>
      <c r="CP64" s="792"/>
      <c r="CQ64" s="793"/>
      <c r="CR64" s="791"/>
      <c r="CS64" s="792"/>
      <c r="CT64" s="793"/>
      <c r="CU64" s="791" t="str">
        <f t="shared" si="7"/>
        <v/>
      </c>
      <c r="CV64" s="792"/>
      <c r="CW64" s="807"/>
      <c r="CX64" s="808"/>
      <c r="CY64" s="730"/>
      <c r="CZ64" s="809"/>
      <c r="DA64" s="733"/>
      <c r="DB64" s="734"/>
      <c r="DC64" s="735"/>
      <c r="DD64" s="729" t="str">
        <f t="shared" si="8"/>
        <v/>
      </c>
      <c r="DE64" s="730"/>
      <c r="DF64" s="731"/>
      <c r="DG64" s="55"/>
      <c r="DH64" s="56"/>
      <c r="DI64" s="56"/>
      <c r="DJ64" s="56"/>
      <c r="DK64" s="56"/>
      <c r="DL64" s="56"/>
      <c r="DM64" s="56"/>
      <c r="DN64" s="56"/>
      <c r="DO64" s="56"/>
      <c r="DP64" s="56"/>
      <c r="DQ64" s="58"/>
      <c r="DR64" s="58"/>
      <c r="DS64" s="58"/>
      <c r="DT64" s="58"/>
      <c r="DU64" s="58"/>
      <c r="DV64" s="58"/>
      <c r="DW64" s="58"/>
      <c r="DX64" s="58"/>
      <c r="DY64" s="58"/>
      <c r="DZ64" s="58"/>
      <c r="EA64" s="58"/>
      <c r="EB64" s="58"/>
      <c r="EC64" s="58"/>
      <c r="ED64" s="58"/>
      <c r="EE64" s="58"/>
      <c r="EF64" s="58"/>
      <c r="EG64" s="58"/>
      <c r="EH64" s="58"/>
      <c r="EI64" s="58"/>
      <c r="EJ64" s="58"/>
      <c r="EK64" s="58"/>
      <c r="EL64" s="134"/>
      <c r="EM64" s="134"/>
      <c r="EN64" s="134"/>
      <c r="EO64" s="134"/>
      <c r="EP64" s="134"/>
      <c r="EQ64" s="134"/>
      <c r="ER64" s="134"/>
      <c r="ES64" s="134"/>
      <c r="ET64" s="134"/>
      <c r="EU64" s="134"/>
      <c r="EV64" s="134"/>
      <c r="EW64" s="134"/>
      <c r="EX64" s="134"/>
      <c r="EY64" s="134"/>
      <c r="EZ64" s="134"/>
      <c r="FA64" s="134"/>
      <c r="FB64" s="134"/>
      <c r="FC64" s="134"/>
      <c r="FD64" s="134"/>
      <c r="FE64" s="134"/>
      <c r="FF64" s="134"/>
      <c r="FG64" s="134"/>
      <c r="FH64" s="134"/>
      <c r="FI64" s="134"/>
      <c r="FJ64" s="134"/>
      <c r="FK64" s="134"/>
      <c r="FL64" s="134"/>
      <c r="FM64" s="134"/>
      <c r="FN64" s="134"/>
      <c r="FO64" s="134"/>
      <c r="FQ64" s="124"/>
      <c r="FR64" s="122"/>
      <c r="FS64" s="120"/>
      <c r="FT64" s="119"/>
    </row>
    <row r="65" spans="2:176" ht="15.75" hidden="1" thickBot="1" x14ac:dyDescent="0.3">
      <c r="B65" s="62" t="b">
        <f>IF(OR(AND(G65&gt;='Geometry 2'!$AK$5,G65&lt;'Geometry 2'!$AL$5),AND(G65&gt;='Geometry 2'!$AK$6,G65&lt;'Geometry 2'!$AL$6),AND(G65&gt;='Geometry 2'!$AK$7,G65&lt;'Geometry 2'!$AL$7),AND(G65&gt;='Geometry 2'!$AK$8,G65&lt;'Geometry 2'!$AL$8),AND(G65&gt;='Geometry 2'!$AK$9,G65&lt;'Geometry 2'!$AL$9),AND(G65&gt;='Geometry 2'!$AK$10,G65&lt;'Geometry 2'!$AL$10),AND(G65&gt;='Geometry 2'!$AK$11,G65&lt;'Geometry 2'!$AL$11),AND(G65&gt;='Geometry 2'!$AK$12,G65&lt;'Geometry 2'!$AL$12),AND(G65&gt;='Geometry 2'!$AK$13,G65&lt;'Geometry 2'!$AL$13),AND(G65&gt;='Geometry 2'!$AK$14,G65&lt;'Geometry 2'!$AL$14)),TRUE,FALSE)</f>
        <v>0</v>
      </c>
      <c r="C65" s="4" t="str">
        <f t="shared" si="3"/>
        <v/>
      </c>
      <c r="D65" s="766" t="str">
        <f t="shared" si="4"/>
        <v/>
      </c>
      <c r="E65" s="767"/>
      <c r="F65" s="17" t="str">
        <f t="shared" si="2"/>
        <v/>
      </c>
      <c r="G65" s="768" t="str">
        <f>IF(D65="","",MAX(0,G64-IF(inc="n/a",999,inc),MAX(IF(G64&lt;=Hta_1,0,Hta_1),IF(G64&lt;=Hta_2,0,Hta_2),IF(G64&lt;=Hta_3,0,Hta_3),IF(G64&lt;=Hta_4,0,Hta_4),IF(G64&lt;=Hta_5,0,Hta_5),IF(G64&lt;=Hta_6,0,Hta_6),IF(G64&lt;=Hta_7,0,Hta_7),IF(G64&lt;=Hta_8,0,Hta_8),IF(G64&lt;=Hta_9,0,Hta_9),IF(G64&lt;=Hta_10,0,Hta_10),IF(G64&lt;=Hta_11,0,Hta_11),IF(G64&lt;=Hta_12,0,Hta_12),IF(G64&lt;=Hta_13,0,Hta_13),IF(G64&lt;=Hta_14,0,Hta_14),IF(G64&lt;=Hta_15,0,Hta_15),IF(G64&lt;=Hta_16,0,Hta_16),IF(G64&lt;=Hta_17,0,Hta_17),IF(G64&lt;=Hta_18,0,Hta_18),IF(G64&lt;=Hta_19,0,Hta_19),IF(G64&lt;=Hta_20,0,Hta_20),IF(G64&lt;=Hta_21,0,Hta_21),IF(G64&lt;=Hta_22,0,Hta_22),IF(G64&lt;=Hta_23,0,Hta_23),IF(G64&lt;=Hta_24,0,Hta_24),IF(G64&lt;=Hta_25,0,Hta_25),IF(G64&lt;=Hta_26,0,Hta_26),IF(G64&lt;=Hta_27,0,Hta_27),IF(G64&lt;=Hta_28,0,Hta_28),IF(G64&lt;=Hta_29,0,Hta_29),IF(G64&lt;=Hta_30,0,Hta_30)),MAX(IF(G64&lt;=Hta_1-0.25,0,Hta_1-0.25),IF(G64&lt;=Hta_2-0.25,0,Hta_2-0.25),IF(G64&lt;=Hta_3-0.25,0,Hta_3-0.25),IF(G64&lt;=Hta_4-0.25,0,Hta_4-0.25),IF(G64&lt;=Hta_5-0.25,0,Hta_5-0.25),IF(G64&lt;=Hta_6-0.25,0,Hta_6-0.25),IF(G64&lt;=Hta_7-0.25,0,Hta_7-0.25),IF(G64&lt;=Hta_8-0.25,0,Hta_8-0.25),IF(G64&lt;=Hta_9-0.25,0,Hta_9-0.25),IF(G64&lt;=Hta_10-0.25,0,Hta_10-0.25),IF(G64&lt;=Hta_11-0.25,0,Hta_11-0.25),IF(G64&lt;=Hta_12-0.25,0,Hta_12-0.25),IF(G64&lt;=Hta_13-0.25,0,Hta_13-0.25),IF(G64&lt;=Hta_14-0.25,0,Hta_14-0.25),IF(G64&lt;=Hta_15-0.25,0,Hta_15-0.25),IF(G64&lt;=Hta_16-0.25,0,Hta_16-0.25),IF(G64&lt;=Hta_17-0.25,0,Hta_17-0.25),IF(G64&lt;=Hta_18-0.25,0,Hta_18-0.25),IF(G64&lt;=Hta_19-0.25,0,Hta_19-0.25),IF(G64&lt;=Hta_20-0.25,0,Hta_20-0.25),IF(G64&lt;=Hta_21-0.25,0,Hta_21-0.25),IF(G64&lt;=Hta_22-0.25,0,Hta_22-0.25),IF(G64&lt;=Hta_23-0.25,0,Hta_23-0.25),IF(G64&lt;=Hta_24-0.25,0,Hta_24-0.25),IF(G64&lt;=Hta_25-0.25,0,Hta_25-0.25),IF(G64&lt;=Hta_26-0.25,0,Hta_26-0.25),IF(G64&lt;=Hta_27-0.25,0,Hta_27-0.25),IF(G64&lt;=Hta_28-0.25,0,Hta_28-0.25),IF(G64&lt;=Hta_29-0.25,0,Hta_29-0.25),IF(G64&lt;=Hta_30-0.25,0,Hta_30-0.25)),MAX(IF(G64&lt;=Hba_1,0,Hba_1),IF(G64&lt;=Hba_2,0,Hba_2),IF(G64&lt;=Hba_3,0,Hba_3),IF(G64&lt;=Hba_4,0,Hba_4),IF(G64&lt;=Hba_5,0,Hba_5),IF(G64&lt;=Hba_6,0,Hba_6),IF(G64&lt;=Hba_7,0,Hba_7),IF(G64&lt;=Hba_8,0,Hba_8),IF(G64&lt;=Hba_9,0,Hba_9),IF(G64&lt;=Hba_10,0,Hba_10),IF(G64&lt;=Hba_11,0,Hba_11),IF(G64&lt;=Hba_12,0,Hba_12),IF(G64&lt;=Hba_13,0,Hba_13),IF(G64&lt;=Hba_14,0,Hba_14),IF(G64&lt;=Hba_15,0,Hba_15),IF(G64&lt;=Hba_16,0,Hba_16),IF(G64&lt;=Hba_17,0,Hba_17),IF(G64&lt;=Hba_18,0,Hba_18),IF(G64&lt;=Hba_19,0,Hba_19),IF(G64&lt;=Hba_20,0,Hba_20),IF(G64&lt;=Hba_21,0,Hba_21),IF(G64&lt;=Hba_22,0,Hba_22),IF(G64&lt;=Hba_23,0,Hba_23),IF(G64&lt;=Hba_24,0,Hba_24),IF(G64&lt;=Hba_25,0,Hba_25),IF(G64&lt;=Hba_26,0,Hba_26),IF(G64&lt;=Hba_27,0,Hba_27),IF(G64&lt;=Hba_28,0,Hba_28),IF(G64&lt;=Hba_29,0,Hba_29),IF(G64&lt;=Hba_30,0,Hba_30)),MAX(IF(G64&lt;=Input!$C$8,0,Input!$C$8),IF(G64&lt;=Input!$C$9,0,Input!$C$9),IF(G64&lt;=Input!$C$10,0,Input!$C$10),IF(G64&lt;=Input!$C$11,0,Input!$C$11),IF(G64&lt;=Input!$C$12,0,Input!$C$12),IF(G64&lt;=Input!$C$13,0,Input!$C$13),IF(G64&lt;=Input!$C$14,0,Input!$C$14),IF(G64&lt;=Input!$C$15,0,Input!$C$15),IF(G64&lt;=Input!$C$16,0,Input!$C$16)),MAX(IF(G64&lt;=Hba_1-0.25,0,Hba_1-0.25),IF(G64&lt;=Hba_2-0.25,0,Hba_2-0.25),IF(G64&lt;=Hba_3-0.25,0,Hba_3-0.25),IF(G64&lt;=Hba_4-0.25,0,Hba_4-0.25),IF(G64&lt;=Hba_5-0.25,0,Hba_5-0.25),IF(G64&lt;=Hba_6-0.25,0,Hba_6-0.25),IF(G64&lt;=Hba_7-0.25,0,Hba_7-0.25),IF(G64&lt;=Hba_8-0.25,0,Hba_8-0.25),IF(G64&lt;=Hba_9-0.25,0,Hba_9-0.25),IF(G64&lt;=Hba_10-0.25,0,Hba_10-0.25),IF(G64&lt;=Hba_11-0.25,0,Hba_11-0.25),IF(G64&lt;=Hba_12-0.25,0,Hba_12-0.25),IF(G64&lt;=Hba_13-0.25,0,Hba_13-0.25),IF(G64&lt;=Hba_14-0.25,0,Hba_14-0.25),IF(G64&lt;=Hba_15-0.25,0,Hba_15-0.25),IF(G64&lt;=Hba_16-0.25,0,Hba_16-0.25),IF(G64&lt;=Hba_17-0.25,0,Hba_17-0.25),IF(G64&lt;=Hba_18-0.25,0,Hba_18-0.25),IF(G64&lt;=Hba_19-0.25,0,Hba_19-0.25),IF(G64&lt;=Hba_20-0.25,0,Hba_20-0.25),IF(G64&lt;=Hba_21-0.25,0,Hba_21-0.25),IF(G64&lt;=Hba_22-0.25,0,Hba_22-0.25),IF(G64&lt;=Hba_23-0.25,0,Hba_23-0.25),IF(G64&lt;=Hba_24-0.25,0,Hba_24-0.25),IF(G64&lt;=Hba_25-0.25,0,Hba_25-0.25),IF(G64&lt;=Hba_26-0.25,0,Hba_26-0.25),IF(G64&lt;=Hba_27-0.25,0,Hba_27-0.25),IF(G64&lt;=Hba_28-0.25,0,Hba_28-0.25),IF(G64&lt;=Hba_29-0.25,0,Hba_29-0.25),IF(G64&lt;=Hba_30-0.25,0,Hba_30-0.25)),IF(G64&lt;='Macro References'!$A$38,0,'Macro References'!$A$38)))</f>
        <v/>
      </c>
      <c r="H65" s="769"/>
      <c r="I65" s="228"/>
      <c r="J65" s="228"/>
      <c r="K65" s="228"/>
      <c r="L65" s="717" t="str">
        <f t="shared" si="10"/>
        <v/>
      </c>
      <c r="M65" s="717"/>
      <c r="N65" s="717"/>
      <c r="O65" s="717"/>
      <c r="P65" s="717" t="str">
        <f>IF(OR(G65=0,G65=""),"",IF(VLOOKUP(G65,'Geometry 2'!$C$4:$AI$14,1,TRUE)=VLOOKUP(G66,'Geometry 2'!$C$4:$AI$14,1,TRUE),"",IF(VLOOKUP(G65,'Geometry 2'!$C$4:$AI$14,33,TRUE)&lt;&gt;"n/a",MIN(G65,VLOOKUP(G65,'Geometry 2'!$C$4:$AI$14,1,TRUE))-VLOOKUP(G65,'Geometry 2'!$C$4:$AI$14,33,TRUE),"check")))</f>
        <v/>
      </c>
      <c r="Q65" s="717"/>
      <c r="R65" s="717"/>
      <c r="S65" s="717"/>
      <c r="T65" s="717" t="str">
        <f>IF($G65="","",VLOOKUP($G65,'Geometry 2'!$E$4:$AH$14,11,TRUE))</f>
        <v/>
      </c>
      <c r="U65" s="717"/>
      <c r="V65" s="717"/>
      <c r="W65" s="717"/>
      <c r="X65" s="716" t="str">
        <f>IF($G65="","",VLOOKUP($G65,'Geometry 2'!$E$4:$AJ$14,19,TRUE)-12*VLOOKUP($G65,'Geometry 2'!$E$4:$AJ$14,32,TRUE)*($D65-VLOOKUP($G65,'Geometry 2'!$E$5:$AH$14,1,TRUE)))</f>
        <v/>
      </c>
      <c r="Y65" s="716"/>
      <c r="Z65" s="716"/>
      <c r="AA65" s="716"/>
      <c r="AB65" s="757" t="str">
        <f>IF($G65="","",VLOOKUP($G65,'Geometry 2'!$E$4:$AJ$14,19,TRUE)-12*VLOOKUP($G65,'Geometry 2'!$E$4:$AJ$14,32,TRUE)*($G65-VLOOKUP($G65,'Geometry 2'!$E$5:$AH$14,1,TRUE)))</f>
        <v/>
      </c>
      <c r="AC65" s="758"/>
      <c r="AD65" s="758"/>
      <c r="AE65" s="759"/>
      <c r="AF65" s="716" t="str">
        <f>IF($G65="","",VLOOKUP($G65,'Geometry 2'!$E$4:$AJ$14,19,TRUE)-12*VLOOKUP($G65,'Geometry 2'!$E$4:$AJ$14,32,TRUE)*($G65-IF($P65="",0,$P65)-VLOOKUP($G65,'Geometry 2'!$E$5:$AH$14,1,TRUE)))</f>
        <v/>
      </c>
      <c r="AG65" s="716"/>
      <c r="AH65" s="716"/>
      <c r="AI65" s="716"/>
      <c r="AJ65" s="746" t="str">
        <f>IF($G65="","",VLOOKUP($G65,'Geometry 2'!$E$4:$AH$14,23,TRUE))</f>
        <v/>
      </c>
      <c r="AK65" s="747"/>
      <c r="AL65" s="747"/>
      <c r="AM65" s="748"/>
      <c r="AN65" s="717"/>
      <c r="AO65" s="717"/>
      <c r="AP65" s="717"/>
      <c r="AQ65" s="717"/>
      <c r="AR65" s="717" t="str">
        <f>IF($G65="","",VLOOKUP($G65,'Geometry 2'!$E$4:$AH$14,27,TRUE))</f>
        <v/>
      </c>
      <c r="AS65" s="717"/>
      <c r="AT65" s="717"/>
      <c r="AU65" s="718"/>
      <c r="AV65" s="715"/>
      <c r="AW65" s="716"/>
      <c r="AX65" s="716"/>
      <c r="AZ65" s="722" t="str">
        <f t="shared" si="5"/>
        <v/>
      </c>
      <c r="BA65" s="723"/>
      <c r="BB65" s="723"/>
      <c r="BC65" s="724"/>
      <c r="BD65" s="722"/>
      <c r="BE65" s="723"/>
      <c r="BF65" s="723"/>
      <c r="BG65" s="722" t="str">
        <f t="shared" si="9"/>
        <v/>
      </c>
      <c r="BH65" s="723"/>
      <c r="BI65" s="723"/>
      <c r="BJ65" s="723"/>
      <c r="BK65" s="724"/>
      <c r="BL65" s="722"/>
      <c r="BM65" s="723"/>
      <c r="BN65" s="723"/>
      <c r="BO65" s="723"/>
      <c r="BP65" s="725"/>
      <c r="BQ65" s="725"/>
      <c r="BR65" s="722" t="str">
        <f>IF(BP65="","",IF(OR(AND(Rev="H",Calculations!$F$27=TRUE),AND(Rev&lt;&gt;"H",Calculations!$F$30=TRUE)),IF(BP65&lt;=1,"Pass","Fail"),IF(BP65&lt;=1.05,"Pass","Fail")))</f>
        <v/>
      </c>
      <c r="BS65" s="723"/>
      <c r="BT65" s="724"/>
      <c r="BU65" s="49"/>
      <c r="BV65" s="25" t="str">
        <f>IFERROR(CONCATENATE(IF(AND($G65&lt;Hta_1,$G65&gt;=Hba_1,Input!U$21&lt;&gt;""),Input!$B$21&amp;";",""),IF(AND($G65&lt;Hta_2,$G65&gt;=Hba_2,Input!U$22&lt;&gt;""),Input!$B$22&amp;";",""),IF(AND($G65&lt;Hta_3,$G65&gt;=Hba_3,Input!U$23&lt;&gt;""),Input!$B$23&amp;";",""),IF(AND($G65&lt;Hta_4,$G65&gt;=Hba_4,Input!U$24&lt;&gt;""),Input!$B$24&amp;";",""),IF(AND($G65&lt;Hta_5,$G65&gt;=Hba_5,Input!U$25&lt;&gt;""),Input!$B$25&amp;";",""),IF(AND($G65&lt;Hta_6,$G65&gt;=Hba_6,Input!U$26&lt;&gt;""),Input!$B$26&amp;";",""),IF(AND($G65&lt;Hta_7,$G65&gt;=Hba_7,Input!U$27&lt;&gt;""),Input!$B$27&amp;";",""),IF(AND($G65&lt;Hta_8,$G65&gt;=Hba_8,Input!U$28&lt;&gt;""),Input!$B$28&amp;";",""),IF(AND($G65&lt;Hta_9,$G65&gt;=Hba_9,Input!U$29&lt;&gt;""),Input!$B$29&amp;";",""),IF(AND($G65&lt;Hta_10,$G65&gt;=Hba_10,Input!U$30&lt;&gt;""),Input!$B$30&amp;";",""),IF(AND($G65&lt;Hta_11,$G65&gt;=Hba_11,Input!U$31&lt;&gt;""),Input!$B$31&amp;";",""),IF(AND($G65&lt;Hta_12,$G65&gt;=Hba_12,Input!U$32&lt;&gt;""),Input!$B$32&amp;";",""),IF(AND($G65&lt;Hta_13,$G65&gt;=Hba_13,Input!U$33&lt;&gt;""),Input!$B$33&amp;";",""),IF(AND($G65&lt;Hta_14,$G65&gt;=Hba_14,Input!U$34&lt;&gt;""),Input!$B$34&amp;";",""),IF(AND($G65&lt;Hta_15,$G65&gt;=Hba_15,Input!U$35&lt;&gt;""),Input!$B$35&amp;";",""),IF(AND($G65&lt;Hta_16,$G65&gt;=Hba_16,Input!U$36&lt;&gt;""),Input!$B$36&amp;";",""),IF(AND($G65&lt;Hta_17,$G65&gt;=Hba_17,Input!U$37&lt;&gt;""),Input!$B$37&amp;";",""),IF(AND($G65&lt;Hta_18,$G65&gt;=Hba_18,Input!U$38&lt;&gt;""),Input!$B$38&amp;";",""),IF(AND($G65&lt;Hta_19,$G65&gt;=Hba_19,Input!U$39&lt;&gt;""),Input!$B$39&amp;";",""),IF(AND($G65&lt;Hta_20,$G65&gt;=Hba_20,Input!U$40&lt;&gt;""),Input!$B$40&amp;";",""),IF(AND($G65&lt;Hta_21,$G65&gt;=Hba_21,Input!U$41&lt;&gt;""),Input!$B$41&amp;";",""),IF(AND($G65&lt;Hta_22,$G65&gt;=Hba_22,Input!U$42&lt;&gt;""),Input!$B$42&amp;";",""),IF(AND($G65&lt;Hta_23,$G65&gt;=Hba_23,Input!U$43&lt;&gt;""),Input!$B$43&amp;";",""),IF(AND($G65&lt;Hta_24,$G65&gt;=Hba_24,Input!U$44&lt;&gt;""),Input!$B$44&amp;";",""),IF(AND($G65&lt;Hta_25,$G65&gt;=Hba_25,Input!U$45&lt;&gt;""),Input!$B$45&amp;";",""),IF(AND($G65&lt;Hta_26,$G65&gt;=Hba_26,Input!U$46&lt;&gt;""),Input!$B$46&amp;";",""),IF(AND($G65&lt;Hta_27,$G65&gt;=Hba_27,Input!U$47&lt;&gt;""),Input!$B$47&amp;";",""),IF(AND($G65&lt;Hta_28,$G65&gt;=Hba_28,Input!U$48&lt;&gt;""),Input!$B$48&amp;";",""),IF(AND($G65&lt;Hta_29,$G65&gt;=Hba_29,Input!U$49&lt;&gt;""),Input!$B$49&amp;";",""),IF(AND($G65&lt;Hta_30,$G65&gt;=Hba_30,Input!U$50&lt;&gt;""),Input!$B$50&amp;";","")),"")</f>
        <v/>
      </c>
      <c r="BW65" s="25" t="str">
        <f>IFERROR(CONCATENATE(IF(AND($G65&lt;Hta_1,$G65&gt;=Hba_1,Input!V$21&lt;&gt;""),Input!$B$21&amp;";",""),IF(AND($G65&lt;Hta_2,$G65&gt;=Hba_2,Input!V$22&lt;&gt;""),Input!$B$22&amp;";",""),IF(AND($G65&lt;Hta_3,$G65&gt;=Hba_3,Input!V$23&lt;&gt;""),Input!$B$23&amp;";",""),IF(AND($G65&lt;Hta_4,$G65&gt;=Hba_4,Input!V$24&lt;&gt;""),Input!$B$24&amp;";",""),IF(AND($G65&lt;Hta_5,$G65&gt;=Hba_5,Input!V$25&lt;&gt;""),Input!$B$25&amp;";",""),IF(AND($G65&lt;Hta_6,$G65&gt;=Hba_6,Input!V$26&lt;&gt;""),Input!$B$26&amp;";",""),IF(AND($G65&lt;Hta_7,$G65&gt;=Hba_7,Input!V$27&lt;&gt;""),Input!$B$27&amp;";",""),IF(AND($G65&lt;Hta_8,$G65&gt;=Hba_8,Input!V$28&lt;&gt;""),Input!$B$28&amp;";",""),IF(AND($G65&lt;Hta_9,$G65&gt;=Hba_9,Input!V$29&lt;&gt;""),Input!$B$29&amp;";",""),IF(AND($G65&lt;Hta_10,$G65&gt;=Hba_10,Input!V$30&lt;&gt;""),Input!$B$30&amp;";",""),IF(AND($G65&lt;Hta_11,$G65&gt;=Hba_11,Input!V$31&lt;&gt;""),Input!$B$31&amp;";",""),IF(AND($G65&lt;Hta_12,$G65&gt;=Hba_12,Input!V$32&lt;&gt;""),Input!$B$32&amp;";",""),IF(AND($G65&lt;Hta_13,$G65&gt;=Hba_13,Input!V$33&lt;&gt;""),Input!$B$33&amp;";",""),IF(AND($G65&lt;Hta_14,$G65&gt;=Hba_14,Input!V$34&lt;&gt;""),Input!$B$34&amp;";",""),IF(AND($G65&lt;Hta_15,$G65&gt;=Hba_15,Input!V$35&lt;&gt;""),Input!$B$35&amp;";",""),IF(AND($G65&lt;Hta_16,$G65&gt;=Hba_16,Input!V$36&lt;&gt;""),Input!$B$36&amp;";",""),IF(AND($G65&lt;Hta_17,$G65&gt;=Hba_17,Input!V$37&lt;&gt;""),Input!$B$37&amp;";",""),IF(AND($G65&lt;Hta_18,$G65&gt;=Hba_18,Input!V$38&lt;&gt;""),Input!$B$38&amp;";",""),IF(AND($G65&lt;Hta_19,$G65&gt;=Hba_19,Input!V$39&lt;&gt;""),Input!$B$39&amp;";",""),IF(AND($G65&lt;Hta_20,$G65&gt;=Hba_20,Input!V$40&lt;&gt;""),Input!$B$40&amp;";",""),IF(AND($G65&lt;Hta_21,$G65&gt;=Hba_21,Input!V$41&lt;&gt;""),Input!$B$41&amp;";",""),IF(AND($G65&lt;Hta_22,$G65&gt;=Hba_22,Input!V$42&lt;&gt;""),Input!$B$42&amp;";",""),IF(AND($G65&lt;Hta_23,$G65&gt;=Hba_23,Input!V$43&lt;&gt;""),Input!$B$43&amp;";",""),IF(AND($G65&lt;Hta_24,$G65&gt;=Hba_24,Input!V$44&lt;&gt;""),Input!$B$44&amp;";",""),IF(AND($G65&lt;Hta_25,$G65&gt;=Hba_25,Input!V$45&lt;&gt;""),Input!$B$45&amp;";",""),IF(AND($G65&lt;Hta_26,$G65&gt;=Hba_26,Input!V$46&lt;&gt;""),Input!$B$46&amp;";",""),IF(AND($G65&lt;Hta_27,$G65&gt;=Hba_27,Input!V$47&lt;&gt;""),Input!$B$47&amp;";",""),IF(AND($G65&lt;Hta_28,$G65&gt;=Hba_28,Input!V$48&lt;&gt;""),Input!$B$48&amp;";",""),IF(AND($G65&lt;Hta_29,$G65&gt;=Hba_29,Input!V$49&lt;&gt;""),Input!$B$49&amp;";",""),IF(AND($G65&lt;Hta_30,$G65&gt;=Hba_30,Input!V$50&lt;&gt;""),Input!$B$50&amp;";","")),"")</f>
        <v/>
      </c>
      <c r="BX65" s="25" t="str">
        <f>IFERROR(CONCATENATE(IF(AND($G65&lt;Hta_1,$G65&gt;=Hba_1,Input!W$21&lt;&gt;""),Input!$B$21&amp;";",""),IF(AND($G65&lt;Hta_2,$G65&gt;=Hba_2,Input!W$22&lt;&gt;""),Input!$B$22&amp;";",""),IF(AND($G65&lt;Hta_3,$G65&gt;=Hba_3,Input!W$23&lt;&gt;""),Input!$B$23&amp;";",""),IF(AND($G65&lt;Hta_4,$G65&gt;=Hba_4,Input!W$24&lt;&gt;""),Input!$B$24&amp;";",""),IF(AND($G65&lt;Hta_5,$G65&gt;=Hba_5,Input!W$25&lt;&gt;""),Input!$B$25&amp;";",""),IF(AND($G65&lt;Hta_6,$G65&gt;=Hba_6,Input!W$26&lt;&gt;""),Input!$B$26&amp;";",""),IF(AND($G65&lt;Hta_7,$G65&gt;=Hba_7,Input!W$27&lt;&gt;""),Input!$B$27&amp;";",""),IF(AND($G65&lt;Hta_8,$G65&gt;=Hba_8,Input!W$28&lt;&gt;""),Input!$B$28&amp;";",""),IF(AND($G65&lt;Hta_9,$G65&gt;=Hba_9,Input!W$29&lt;&gt;""),Input!$B$29&amp;";",""),IF(AND($G65&lt;Hta_10,$G65&gt;=Hba_10,Input!W$30&lt;&gt;""),Input!$B$30&amp;";",""),IF(AND($G65&lt;Hta_11,$G65&gt;=Hba_11,Input!W$31&lt;&gt;""),Input!$B$31&amp;";",""),IF(AND($G65&lt;Hta_12,$G65&gt;=Hba_12,Input!W$32&lt;&gt;""),Input!$B$32&amp;";",""),IF(AND($G65&lt;Hta_13,$G65&gt;=Hba_13,Input!W$33&lt;&gt;""),Input!$B$33&amp;";",""),IF(AND($G65&lt;Hta_14,$G65&gt;=Hba_14,Input!W$34&lt;&gt;""),Input!$B$34&amp;";",""),IF(AND($G65&lt;Hta_15,$G65&gt;=Hba_15,Input!W$35&lt;&gt;""),Input!$B$35&amp;";",""),IF(AND($G65&lt;Hta_16,$G65&gt;=Hba_16,Input!W$36&lt;&gt;""),Input!$B$36&amp;";",""),IF(AND($G65&lt;Hta_17,$G65&gt;=Hba_17,Input!W$37&lt;&gt;""),Input!$B$37&amp;";",""),IF(AND($G65&lt;Hta_18,$G65&gt;=Hba_18,Input!W$38&lt;&gt;""),Input!$B$38&amp;";",""),IF(AND($G65&lt;Hta_19,$G65&gt;=Hba_19,Input!W$39&lt;&gt;""),Input!$B$39&amp;";",""),IF(AND($G65&lt;Hta_20,$G65&gt;=Hba_20,Input!W$40&lt;&gt;""),Input!$B$40&amp;";",""),IF(AND($G65&lt;Hta_21,$G65&gt;=Hba_21,Input!W$41&lt;&gt;""),Input!$B$41&amp;";",""),IF(AND($G65&lt;Hta_22,$G65&gt;=Hba_22,Input!W$42&lt;&gt;""),Input!$B$42&amp;";",""),IF(AND($G65&lt;Hta_23,$G65&gt;=Hba_23,Input!W$43&lt;&gt;""),Input!$B$43&amp;";",""),IF(AND($G65&lt;Hta_24,$G65&gt;=Hba_24,Input!W$44&lt;&gt;""),Input!$B$44&amp;";",""),IF(AND($G65&lt;Hta_25,$G65&gt;=Hba_25,Input!W$45&lt;&gt;""),Input!$B$45&amp;";",""),IF(AND($G65&lt;Hta_26,$G65&gt;=Hba_26,Input!W$46&lt;&gt;""),Input!$B$46&amp;";",""),IF(AND($G65&lt;Hta_27,$G65&gt;=Hba_27,Input!W$47&lt;&gt;""),Input!$B$47&amp;";",""),IF(AND($G65&lt;Hta_28,$G65&gt;=Hba_28,Input!W$48&lt;&gt;""),Input!$B$48&amp;";",""),IF(AND($G65&lt;Hta_29,$G65&gt;=Hba_29,Input!W$49&lt;&gt;""),Input!$B$49&amp;";",""),IF(AND($G65&lt;Hta_30,$G65&gt;=Hba_30,Input!W$50&lt;&gt;""),Input!$B$50&amp;";","")),"")</f>
        <v/>
      </c>
      <c r="BY65" s="25" t="str">
        <f>IFERROR(CONCATENATE(IF(AND($G65&lt;Hta_1,$G65&gt;=Hba_1,Input!X$21&lt;&gt;""),Input!$B$21&amp;";",""),IF(AND($G65&lt;Hta_2,$G65&gt;=Hba_2,Input!X$22&lt;&gt;""),Input!$B$22&amp;";",""),IF(AND($G65&lt;Hta_3,$G65&gt;=Hba_3,Input!X$23&lt;&gt;""),Input!$B$23&amp;";",""),IF(AND($G65&lt;Hta_4,$G65&gt;=Hba_4,Input!X$24&lt;&gt;""),Input!$B$24&amp;";",""),IF(AND($G65&lt;Hta_5,$G65&gt;=Hba_5,Input!X$25&lt;&gt;""),Input!$B$25&amp;";",""),IF(AND($G65&lt;Hta_6,$G65&gt;=Hba_6,Input!X$26&lt;&gt;""),Input!$B$26&amp;";",""),IF(AND($G65&lt;Hta_7,$G65&gt;=Hba_7,Input!X$27&lt;&gt;""),Input!$B$27&amp;";",""),IF(AND($G65&lt;Hta_8,$G65&gt;=Hba_8,Input!X$28&lt;&gt;""),Input!$B$28&amp;";",""),IF(AND($G65&lt;Hta_9,$G65&gt;=Hba_9,Input!X$29&lt;&gt;""),Input!$B$29&amp;";",""),IF(AND($G65&lt;Hta_10,$G65&gt;=Hba_10,Input!X$30&lt;&gt;""),Input!$B$30&amp;";",""),IF(AND($G65&lt;Hta_11,$G65&gt;=Hba_11,Input!X$31&lt;&gt;""),Input!$B$31&amp;";",""),IF(AND($G65&lt;Hta_12,$G65&gt;=Hba_12,Input!X$32&lt;&gt;""),Input!$B$32&amp;";",""),IF(AND($G65&lt;Hta_13,$G65&gt;=Hba_13,Input!X$33&lt;&gt;""),Input!$B$33&amp;";",""),IF(AND($G65&lt;Hta_14,$G65&gt;=Hba_14,Input!X$34&lt;&gt;""),Input!$B$34&amp;";",""),IF(AND($G65&lt;Hta_15,$G65&gt;=Hba_15,Input!X$35&lt;&gt;""),Input!$B$35&amp;";",""),IF(AND($G65&lt;Hta_16,$G65&gt;=Hba_16,Input!X$36&lt;&gt;""),Input!$B$36&amp;";",""),IF(AND($G65&lt;Hta_17,$G65&gt;=Hba_17,Input!X$37&lt;&gt;""),Input!$B$37&amp;";",""),IF(AND($G65&lt;Hta_18,$G65&gt;=Hba_18,Input!X$38&lt;&gt;""),Input!$B$38&amp;";",""),IF(AND($G65&lt;Hta_19,$G65&gt;=Hba_19,Input!X$39&lt;&gt;""),Input!$B$39&amp;";",""),IF(AND($G65&lt;Hta_20,$G65&gt;=Hba_20,Input!X$40&lt;&gt;""),Input!$B$40&amp;";",""),IF(AND($G65&lt;Hta_21,$G65&gt;=Hba_21,Input!X$41&lt;&gt;""),Input!$B$41&amp;";",""),IF(AND($G65&lt;Hta_22,$G65&gt;=Hba_22,Input!X$42&lt;&gt;""),Input!$B$42&amp;";",""),IF(AND($G65&lt;Hta_23,$G65&gt;=Hba_23,Input!X$43&lt;&gt;""),Input!$B$43&amp;";",""),IF(AND($G65&lt;Hta_24,$G65&gt;=Hba_24,Input!X$44&lt;&gt;""),Input!$B$44&amp;";",""),IF(AND($G65&lt;Hta_25,$G65&gt;=Hba_25,Input!X$45&lt;&gt;""),Input!$B$45&amp;";",""),IF(AND($G65&lt;Hta_26,$G65&gt;=Hba_26,Input!X$46&lt;&gt;""),Input!$B$46&amp;";",""),IF(AND($G65&lt;Hta_27,$G65&gt;=Hba_27,Input!X$47&lt;&gt;""),Input!$B$47&amp;";",""),IF(AND($G65&lt;Hta_28,$G65&gt;=Hba_28,Input!X$48&lt;&gt;""),Input!$B$48&amp;";",""),IF(AND($G65&lt;Hta_29,$G65&gt;=Hba_29,Input!X$49&lt;&gt;""),Input!$B$49&amp;";",""),IF(AND($G65&lt;Hta_30,$G65&gt;=Hba_30,Input!X$50&lt;&gt;""),Input!$B$50&amp;";","")),"")</f>
        <v/>
      </c>
      <c r="BZ65" s="25" t="str">
        <f>IFERROR(CONCATENATE(IF(AND($G65&lt;Hta_1,$G65&gt;=Hba_1,Input!Y$21&lt;&gt;""),Input!$B$21&amp;";",""),IF(AND($G65&lt;Hta_2,$G65&gt;=Hba_2,Input!Y$22&lt;&gt;""),Input!$B$22&amp;";",""),IF(AND($G65&lt;Hta_3,$G65&gt;=Hba_3,Input!Y$23&lt;&gt;""),Input!$B$23&amp;";",""),IF(AND($G65&lt;Hta_4,$G65&gt;=Hba_4,Input!Y$24&lt;&gt;""),Input!$B$24&amp;";",""),IF(AND($G65&lt;Hta_5,$G65&gt;=Hba_5,Input!Y$25&lt;&gt;""),Input!$B$25&amp;";",""),IF(AND($G65&lt;Hta_6,$G65&gt;=Hba_6,Input!Y$26&lt;&gt;""),Input!$B$26&amp;";",""),IF(AND($G65&lt;Hta_7,$G65&gt;=Hba_7,Input!Y$27&lt;&gt;""),Input!$B$27&amp;";",""),IF(AND($G65&lt;Hta_8,$G65&gt;=Hba_8,Input!Y$28&lt;&gt;""),Input!$B$28&amp;";",""),IF(AND($G65&lt;Hta_9,$G65&gt;=Hba_9,Input!Y$29&lt;&gt;""),Input!$B$29&amp;";",""),IF(AND($G65&lt;Hta_10,$G65&gt;=Hba_10,Input!Y$30&lt;&gt;""),Input!$B$30&amp;";",""),IF(AND($G65&lt;Hta_11,$G65&gt;=Hba_11,Input!Y$31&lt;&gt;""),Input!$B$31&amp;";",""),IF(AND($G65&lt;Hta_12,$G65&gt;=Hba_12,Input!Y$32&lt;&gt;""),Input!$B$32&amp;";",""),IF(AND($G65&lt;Hta_13,$G65&gt;=Hba_13,Input!Y$33&lt;&gt;""),Input!$B$33&amp;";",""),IF(AND($G65&lt;Hta_14,$G65&gt;=Hba_14,Input!Y$34&lt;&gt;""),Input!$B$34&amp;";",""),IF(AND($G65&lt;Hta_15,$G65&gt;=Hba_15,Input!Y$35&lt;&gt;""),Input!$B$35&amp;";",""),IF(AND($G65&lt;Hta_16,$G65&gt;=Hba_16,Input!Y$36&lt;&gt;""),Input!$B$36&amp;";",""),IF(AND($G65&lt;Hta_17,$G65&gt;=Hba_17,Input!Y$37&lt;&gt;""),Input!$B$37&amp;";",""),IF(AND($G65&lt;Hta_18,$G65&gt;=Hba_18,Input!Y$38&lt;&gt;""),Input!$B$38&amp;";",""),IF(AND($G65&lt;Hta_19,$G65&gt;=Hba_19,Input!Y$39&lt;&gt;""),Input!$B$39&amp;";",""),IF(AND($G65&lt;Hta_20,$G65&gt;=Hba_20,Input!Y$40&lt;&gt;""),Input!$B$40&amp;";",""),IF(AND($G65&lt;Hta_21,$G65&gt;=Hba_21,Input!Y$41&lt;&gt;""),Input!$B$41&amp;";",""),IF(AND($G65&lt;Hta_22,$G65&gt;=Hba_22,Input!Y$42&lt;&gt;""),Input!$B$42&amp;";",""),IF(AND($G65&lt;Hta_23,$G65&gt;=Hba_23,Input!Y$43&lt;&gt;""),Input!$B$43&amp;";",""),IF(AND($G65&lt;Hta_24,$G65&gt;=Hba_24,Input!Y$44&lt;&gt;""),Input!$B$44&amp;";",""),IF(AND($G65&lt;Hta_25,$G65&gt;=Hba_25,Input!Y$45&lt;&gt;""),Input!$B$45&amp;";",""),IF(AND($G65&lt;Hta_26,$G65&gt;=Hba_26,Input!Y$46&lt;&gt;""),Input!$B$46&amp;";",""),IF(AND($G65&lt;Hta_27,$G65&gt;=Hba_27,Input!Y$47&lt;&gt;""),Input!$B$47&amp;";",""),IF(AND($G65&lt;Hta_28,$G65&gt;=Hba_28,Input!Y$48&lt;&gt;""),Input!$B$48&amp;";",""),IF(AND($G65&lt;Hta_29,$G65&gt;=Hba_29,Input!Y$49&lt;&gt;""),Input!$B$49&amp;";",""),IF(AND($G65&lt;Hta_30,$G65&gt;=Hba_30,Input!Y$50&lt;&gt;""),Input!$B$50&amp;";","")),"")</f>
        <v/>
      </c>
      <c r="CA65" s="25" t="str">
        <f>IFERROR(CONCATENATE(IF(AND($G65&lt;Hta_1,$G65&gt;=Hba_1,Input!Z$21&lt;&gt;""),Input!$B$21&amp;";",""),IF(AND($G65&lt;Hta_2,$G65&gt;=Hba_2,Input!Z$22&lt;&gt;""),Input!$B$22&amp;";",""),IF(AND($G65&lt;Hta_3,$G65&gt;=Hba_3,Input!Z$23&lt;&gt;""),Input!$B$23&amp;";",""),IF(AND($G65&lt;Hta_4,$G65&gt;=Hba_4,Input!Z$24&lt;&gt;""),Input!$B$24&amp;";",""),IF(AND($G65&lt;Hta_5,$G65&gt;=Hba_5,Input!Z$25&lt;&gt;""),Input!$B$25&amp;";",""),IF(AND($G65&lt;Hta_6,$G65&gt;=Hba_6,Input!Z$26&lt;&gt;""),Input!$B$26&amp;";",""),IF(AND($G65&lt;Hta_7,$G65&gt;=Hba_7,Input!Z$27&lt;&gt;""),Input!$B$27&amp;";",""),IF(AND($G65&lt;Hta_8,$G65&gt;=Hba_8,Input!Z$28&lt;&gt;""),Input!$B$28&amp;";",""),IF(AND($G65&lt;Hta_9,$G65&gt;=Hba_9,Input!Z$29&lt;&gt;""),Input!$B$29&amp;";",""),IF(AND($G65&lt;Hta_10,$G65&gt;=Hba_10,Input!Z$30&lt;&gt;""),Input!$B$30&amp;";",""),IF(AND($G65&lt;Hta_11,$G65&gt;=Hba_11,Input!Z$31&lt;&gt;""),Input!$B$31&amp;";",""),IF(AND($G65&lt;Hta_12,$G65&gt;=Hba_12,Input!Z$32&lt;&gt;""),Input!$B$32&amp;";",""),IF(AND($G65&lt;Hta_13,$G65&gt;=Hba_13,Input!Z$33&lt;&gt;""),Input!$B$33&amp;";",""),IF(AND($G65&lt;Hta_14,$G65&gt;=Hba_14,Input!Z$34&lt;&gt;""),Input!$B$34&amp;";",""),IF(AND($G65&lt;Hta_15,$G65&gt;=Hba_15,Input!Z$35&lt;&gt;""),Input!$B$35&amp;";",""),IF(AND($G65&lt;Hta_16,$G65&gt;=Hba_16,Input!Z$36&lt;&gt;""),Input!$B$36&amp;";",""),IF(AND($G65&lt;Hta_17,$G65&gt;=Hba_17,Input!Z$37&lt;&gt;""),Input!$B$37&amp;";",""),IF(AND($G65&lt;Hta_18,$G65&gt;=Hba_18,Input!Z$38&lt;&gt;""),Input!$B$38&amp;";",""),IF(AND($G65&lt;Hta_19,$G65&gt;=Hba_19,Input!Z$39&lt;&gt;""),Input!$B$39&amp;";",""),IF(AND($G65&lt;Hta_20,$G65&gt;=Hba_20,Input!Z$40&lt;&gt;""),Input!$B$40&amp;";",""),IF(AND($G65&lt;Hta_21,$G65&gt;=Hba_21,Input!Z$41&lt;&gt;""),Input!$B$41&amp;";",""),IF(AND($G65&lt;Hta_22,$G65&gt;=Hba_22,Input!Z$42&lt;&gt;""),Input!$B$42&amp;";",""),IF(AND($G65&lt;Hta_23,$G65&gt;=Hba_23,Input!Z$43&lt;&gt;""),Input!$B$43&amp;";",""),IF(AND($G65&lt;Hta_24,$G65&gt;=Hba_24,Input!Z$44&lt;&gt;""),Input!$B$44&amp;";",""),IF(AND($G65&lt;Hta_25,$G65&gt;=Hba_25,Input!Z$45&lt;&gt;""),Input!$B$45&amp;";",""),IF(AND($G65&lt;Hta_26,$G65&gt;=Hba_26,Input!Z$46&lt;&gt;""),Input!$B$46&amp;";",""),IF(AND($G65&lt;Hta_27,$G65&gt;=Hba_27,Input!Z$47&lt;&gt;""),Input!$B$47&amp;";",""),IF(AND($G65&lt;Hta_28,$G65&gt;=Hba_28,Input!Z$48&lt;&gt;""),Input!$B$48&amp;";",""),IF(AND($G65&lt;Hta_29,$G65&gt;=Hba_29,Input!Z$49&lt;&gt;""),Input!$B$49&amp;";",""),IF(AND($G65&lt;Hta_30,$G65&gt;=Hba_30,Input!Z$50&lt;&gt;""),Input!$B$50&amp;";","")),"")</f>
        <v/>
      </c>
      <c r="CB65" s="25" t="str">
        <f>IFERROR(CONCATENATE(IF(AND($G65&lt;Hta_1,$G65&gt;=Hba_1,Input!AA$21&lt;&gt;""),Input!$B$21&amp;";",""),IF(AND($G65&lt;Hta_2,$G65&gt;=Hba_2,Input!AA$22&lt;&gt;""),Input!$B$22&amp;";",""),IF(AND($G65&lt;Hta_3,$G65&gt;=Hba_3,Input!AA$23&lt;&gt;""),Input!$B$23&amp;";",""),IF(AND($G65&lt;Hta_4,$G65&gt;=Hba_4,Input!AA$24&lt;&gt;""),Input!$B$24&amp;";",""),IF(AND($G65&lt;Hta_5,$G65&gt;=Hba_5,Input!AA$25&lt;&gt;""),Input!$B$25&amp;";",""),IF(AND($G65&lt;Hta_6,$G65&gt;=Hba_6,Input!AA$26&lt;&gt;""),Input!$B$26&amp;";",""),IF(AND($G65&lt;Hta_7,$G65&gt;=Hba_7,Input!AA$27&lt;&gt;""),Input!$B$27&amp;";",""),IF(AND($G65&lt;Hta_8,$G65&gt;=Hba_8,Input!AA$28&lt;&gt;""),Input!$B$28&amp;";",""),IF(AND($G65&lt;Hta_9,$G65&gt;=Hba_9,Input!AA$29&lt;&gt;""),Input!$B$29&amp;";",""),IF(AND($G65&lt;Hta_10,$G65&gt;=Hba_10,Input!AA$30&lt;&gt;""),Input!$B$30&amp;";",""),IF(AND($G65&lt;Hta_11,$G65&gt;=Hba_11,Input!AA$31&lt;&gt;""),Input!$B$31&amp;";",""),IF(AND($G65&lt;Hta_12,$G65&gt;=Hba_12,Input!AA$32&lt;&gt;""),Input!$B$32&amp;";",""),IF(AND($G65&lt;Hta_13,$G65&gt;=Hba_13,Input!AA$33&lt;&gt;""),Input!$B$33&amp;";",""),IF(AND($G65&lt;Hta_14,$G65&gt;=Hba_14,Input!AA$34&lt;&gt;""),Input!$B$34&amp;";",""),IF(AND($G65&lt;Hta_15,$G65&gt;=Hba_15,Input!AA$35&lt;&gt;""),Input!$B$35&amp;";",""),IF(AND($G65&lt;Hta_16,$G65&gt;=Hba_16,Input!AA$36&lt;&gt;""),Input!$B$36&amp;";",""),IF(AND($G65&lt;Hta_17,$G65&gt;=Hba_17,Input!AA$37&lt;&gt;""),Input!$B$37&amp;";",""),IF(AND($G65&lt;Hta_18,$G65&gt;=Hba_18,Input!AA$38&lt;&gt;""),Input!$B$38&amp;";",""),IF(AND($G65&lt;Hta_19,$G65&gt;=Hba_19,Input!AA$39&lt;&gt;""),Input!$B$39&amp;";",""),IF(AND($G65&lt;Hta_20,$G65&gt;=Hba_20,Input!AA$40&lt;&gt;""),Input!$B$40&amp;";",""),IF(AND($G65&lt;Hta_21,$G65&gt;=Hba_21,Input!AA$41&lt;&gt;""),Input!$B$41&amp;";",""),IF(AND($G65&lt;Hta_22,$G65&gt;=Hba_22,Input!AA$42&lt;&gt;""),Input!$B$42&amp;";",""),IF(AND($G65&lt;Hta_23,$G65&gt;=Hba_23,Input!AA$43&lt;&gt;""),Input!$B$43&amp;";",""),IF(AND($G65&lt;Hta_24,$G65&gt;=Hba_24,Input!AA$44&lt;&gt;""),Input!$B$44&amp;";",""),IF(AND($G65&lt;Hta_25,$G65&gt;=Hba_25,Input!AA$45&lt;&gt;""),Input!$B$45&amp;";",""),IF(AND($G65&lt;Hta_26,$G65&gt;=Hba_26,Input!AA$46&lt;&gt;""),Input!$B$46&amp;";",""),IF(AND($G65&lt;Hta_27,$G65&gt;=Hba_27,Input!AA$47&lt;&gt;""),Input!$B$47&amp;";",""),IF(AND($G65&lt;Hta_28,$G65&gt;=Hba_28,Input!AA$48&lt;&gt;""),Input!$B$48&amp;";",""),IF(AND($G65&lt;Hta_29,$G65&gt;=Hba_29,Input!AA$49&lt;&gt;""),Input!$B$49&amp;";",""),IF(AND($G65&lt;Hta_30,$G65&gt;=Hba_30,Input!AA$50&lt;&gt;""),Input!$B$50&amp;";","")),"")</f>
        <v/>
      </c>
      <c r="CC65" s="25" t="str">
        <f>IFERROR(CONCATENATE(IF(AND($G65&lt;Hta_1,$G65&gt;=Hba_1,Input!AB$21&lt;&gt;""),Input!$B$21&amp;";",""),IF(AND($G65&lt;Hta_2,$G65&gt;=Hba_2,Input!AB$22&lt;&gt;""),Input!$B$22&amp;";",""),IF(AND($G65&lt;Hta_3,$G65&gt;=Hba_3,Input!AB$23&lt;&gt;""),Input!$B$23&amp;";",""),IF(AND($G65&lt;Hta_4,$G65&gt;=Hba_4,Input!AB$24&lt;&gt;""),Input!$B$24&amp;";",""),IF(AND($G65&lt;Hta_5,$G65&gt;=Hba_5,Input!AB$25&lt;&gt;""),Input!$B$25&amp;";",""),IF(AND($G65&lt;Hta_6,$G65&gt;=Hba_6,Input!AB$26&lt;&gt;""),Input!$B$26&amp;";",""),IF(AND($G65&lt;Hta_7,$G65&gt;=Hba_7,Input!AB$27&lt;&gt;""),Input!$B$27&amp;";",""),IF(AND($G65&lt;Hta_8,$G65&gt;=Hba_8,Input!AB$28&lt;&gt;""),Input!$B$28&amp;";",""),IF(AND($G65&lt;Hta_9,$G65&gt;=Hba_9,Input!AB$29&lt;&gt;""),Input!$B$29&amp;";",""),IF(AND($G65&lt;Hta_10,$G65&gt;=Hba_10,Input!AB$30&lt;&gt;""),Input!$B$30&amp;";",""),IF(AND($G65&lt;Hta_11,$G65&gt;=Hba_11,Input!AB$31&lt;&gt;""),Input!$B$31&amp;";",""),IF(AND($G65&lt;Hta_12,$G65&gt;=Hba_12,Input!AB$32&lt;&gt;""),Input!$B$32&amp;";",""),IF(AND($G65&lt;Hta_13,$G65&gt;=Hba_13,Input!AB$33&lt;&gt;""),Input!$B$33&amp;";",""),IF(AND($G65&lt;Hta_14,$G65&gt;=Hba_14,Input!AB$34&lt;&gt;""),Input!$B$34&amp;";",""),IF(AND($G65&lt;Hta_15,$G65&gt;=Hba_15,Input!AB$35&lt;&gt;""),Input!$B$35&amp;";",""),IF(AND($G65&lt;Hta_16,$G65&gt;=Hba_16,Input!AB$36&lt;&gt;""),Input!$B$36&amp;";",""),IF(AND($G65&lt;Hta_17,$G65&gt;=Hba_17,Input!AB$37&lt;&gt;""),Input!$B$37&amp;";",""),IF(AND($G65&lt;Hta_18,$G65&gt;=Hba_18,Input!AB$38&lt;&gt;""),Input!$B$38&amp;";",""),IF(AND($G65&lt;Hta_19,$G65&gt;=Hba_19,Input!AB$39&lt;&gt;""),Input!$B$39&amp;";",""),IF(AND($G65&lt;Hta_20,$G65&gt;=Hba_20,Input!AB$40&lt;&gt;""),Input!$B$40&amp;";",""),IF(AND($G65&lt;Hta_21,$G65&gt;=Hba_21,Input!AB$41&lt;&gt;""),Input!$B$41&amp;";",""),IF(AND($G65&lt;Hta_22,$G65&gt;=Hba_22,Input!AB$42&lt;&gt;""),Input!$B$42&amp;";",""),IF(AND($G65&lt;Hta_23,$G65&gt;=Hba_23,Input!AB$43&lt;&gt;""),Input!$B$43&amp;";",""),IF(AND($G65&lt;Hta_24,$G65&gt;=Hba_24,Input!AB$44&lt;&gt;""),Input!$B$44&amp;";",""),IF(AND($G65&lt;Hta_25,$G65&gt;=Hba_25,Input!AB$45&lt;&gt;""),Input!$B$45&amp;";",""),IF(AND($G65&lt;Hta_26,$G65&gt;=Hba_26,Input!AB$46&lt;&gt;""),Input!$B$46&amp;";",""),IF(AND($G65&lt;Hta_27,$G65&gt;=Hba_27,Input!AB$47&lt;&gt;""),Input!$B$47&amp;";",""),IF(AND($G65&lt;Hta_28,$G65&gt;=Hba_28,Input!AB$48&lt;&gt;""),Input!$B$48&amp;";",""),IF(AND($G65&lt;Hta_29,$G65&gt;=Hba_29,Input!AB$49&lt;&gt;""),Input!$B$49&amp;";",""),IF(AND($G65&lt;Hta_30,$G65&gt;=Hba_30,Input!AB$50&lt;&gt;""),Input!$B$50&amp;";","")),"")</f>
        <v/>
      </c>
      <c r="CD65" s="25" t="str">
        <f>IFERROR(CONCATENATE(IF(AND($G65&lt;Hta_1,$G65&gt;=Hba_1,Input!AC$21&lt;&gt;""),Input!$B$21&amp;";",""),IF(AND($G65&lt;Hta_2,$G65&gt;=Hba_2,Input!AC$22&lt;&gt;""),Input!$B$22&amp;";",""),IF(AND($G65&lt;Hta_3,$G65&gt;=Hba_3,Input!AC$23&lt;&gt;""),Input!$B$23&amp;";",""),IF(AND($G65&lt;Hta_4,$G65&gt;=Hba_4,Input!AC$24&lt;&gt;""),Input!$B$24&amp;";",""),IF(AND($G65&lt;Hta_5,$G65&gt;=Hba_5,Input!AC$25&lt;&gt;""),Input!$B$25&amp;";",""),IF(AND($G65&lt;Hta_6,$G65&gt;=Hba_6,Input!AC$26&lt;&gt;""),Input!$B$26&amp;";",""),IF(AND($G65&lt;Hta_7,$G65&gt;=Hba_7,Input!AC$27&lt;&gt;""),Input!$B$27&amp;";",""),IF(AND($G65&lt;Hta_8,$G65&gt;=Hba_8,Input!AC$28&lt;&gt;""),Input!$B$28&amp;";",""),IF(AND($G65&lt;Hta_9,$G65&gt;=Hba_9,Input!AC$29&lt;&gt;""),Input!$B$29&amp;";",""),IF(AND($G65&lt;Hta_10,$G65&gt;=Hba_10,Input!AC$30&lt;&gt;""),Input!$B$30&amp;";",""),IF(AND($G65&lt;Hta_11,$G65&gt;=Hba_11,Input!AC$31&lt;&gt;""),Input!$B$31&amp;";",""),IF(AND($G65&lt;Hta_12,$G65&gt;=Hba_12,Input!AC$32&lt;&gt;""),Input!$B$32&amp;";",""),IF(AND($G65&lt;Hta_13,$G65&gt;=Hba_13,Input!AC$33&lt;&gt;""),Input!$B$33&amp;";",""),IF(AND($G65&lt;Hta_14,$G65&gt;=Hba_14,Input!AC$34&lt;&gt;""),Input!$B$34&amp;";",""),IF(AND($G65&lt;Hta_15,$G65&gt;=Hba_15,Input!AC$35&lt;&gt;""),Input!$B$35&amp;";",""),IF(AND($G65&lt;Hta_16,$G65&gt;=Hba_16,Input!AC$36&lt;&gt;""),Input!$B$36&amp;";",""),IF(AND($G65&lt;Hta_17,$G65&gt;=Hba_17,Input!AC$37&lt;&gt;""),Input!$B$37&amp;";",""),IF(AND($G65&lt;Hta_18,$G65&gt;=Hba_18,Input!AC$38&lt;&gt;""),Input!$B$38&amp;";",""),IF(AND($G65&lt;Hta_19,$G65&gt;=Hba_19,Input!AC$39&lt;&gt;""),Input!$B$39&amp;";",""),IF(AND($G65&lt;Hta_20,$G65&gt;=Hba_20,Input!AC$40&lt;&gt;""),Input!$B$40&amp;";",""),IF(AND($G65&lt;Hta_21,$G65&gt;=Hba_21,Input!AC$41&lt;&gt;""),Input!$B$41&amp;";",""),IF(AND($G65&lt;Hta_22,$G65&gt;=Hba_22,Input!AC$42&lt;&gt;""),Input!$B$42&amp;";",""),IF(AND($G65&lt;Hta_23,$G65&gt;=Hba_23,Input!AC$43&lt;&gt;""),Input!$B$43&amp;";",""),IF(AND($G65&lt;Hta_24,$G65&gt;=Hba_24,Input!AC$44&lt;&gt;""),Input!$B$44&amp;";",""),IF(AND($G65&lt;Hta_25,$G65&gt;=Hba_25,Input!AC$45&lt;&gt;""),Input!$B$45&amp;";",""),IF(AND($G65&lt;Hta_26,$G65&gt;=Hba_26,Input!AC$46&lt;&gt;""),Input!$B$46&amp;";",""),IF(AND($G65&lt;Hta_27,$G65&gt;=Hba_27,Input!AC$47&lt;&gt;""),Input!$B$47&amp;";",""),IF(AND($G65&lt;Hta_28,$G65&gt;=Hba_28,Input!AC$48&lt;&gt;""),Input!$B$48&amp;";",""),IF(AND($G65&lt;Hta_29,$G65&gt;=Hba_29,Input!AC$49&lt;&gt;""),Input!$B$49&amp;";",""),IF(AND($G65&lt;Hta_30,$G65&gt;=Hba_30,Input!AC$50&lt;&gt;""),Input!$B$50&amp;";","")),"")</f>
        <v/>
      </c>
      <c r="CE65" s="25" t="str">
        <f>IFERROR(CONCATENATE(IF(AND($G65&lt;Hta_1,$G65&gt;=Hba_1,Input!AD$21&lt;&gt;""),Input!$B$21&amp;";",""),IF(AND($G65&lt;Hta_2,$G65&gt;=Hba_2,Input!AD$22&lt;&gt;""),Input!$B$22&amp;";",""),IF(AND($G65&lt;Hta_3,$G65&gt;=Hba_3,Input!AD$23&lt;&gt;""),Input!$B$23&amp;";",""),IF(AND($G65&lt;Hta_4,$G65&gt;=Hba_4,Input!AD$24&lt;&gt;""),Input!$B$24&amp;";",""),IF(AND($G65&lt;Hta_5,$G65&gt;=Hba_5,Input!AD$25&lt;&gt;""),Input!$B$25&amp;";",""),IF(AND($G65&lt;Hta_6,$G65&gt;=Hba_6,Input!AD$26&lt;&gt;""),Input!$B$26&amp;";",""),IF(AND($G65&lt;Hta_7,$G65&gt;=Hba_7,Input!AD$27&lt;&gt;""),Input!$B$27&amp;";",""),IF(AND($G65&lt;Hta_8,$G65&gt;=Hba_8,Input!AD$28&lt;&gt;""),Input!$B$28&amp;";",""),IF(AND($G65&lt;Hta_9,$G65&gt;=Hba_9,Input!AD$29&lt;&gt;""),Input!$B$29&amp;";",""),IF(AND($G65&lt;Hta_10,$G65&gt;=Hba_10,Input!AD$30&lt;&gt;""),Input!$B$30&amp;";",""),IF(AND($G65&lt;Hta_11,$G65&gt;=Hba_11,Input!AD$31&lt;&gt;""),Input!$B$31&amp;";",""),IF(AND($G65&lt;Hta_12,$G65&gt;=Hba_12,Input!AD$32&lt;&gt;""),Input!$B$32&amp;";",""),IF(AND($G65&lt;Hta_13,$G65&gt;=Hba_13,Input!AD$33&lt;&gt;""),Input!$B$33&amp;";",""),IF(AND($G65&lt;Hta_14,$G65&gt;=Hba_14,Input!AD$34&lt;&gt;""),Input!$B$34&amp;";",""),IF(AND($G65&lt;Hta_15,$G65&gt;=Hba_15,Input!AD$35&lt;&gt;""),Input!$B$35&amp;";",""),IF(AND($G65&lt;Hta_16,$G65&gt;=Hba_16,Input!AD$36&lt;&gt;""),Input!$B$36&amp;";",""),IF(AND($G65&lt;Hta_17,$G65&gt;=Hba_17,Input!AD$37&lt;&gt;""),Input!$B$37&amp;";",""),IF(AND($G65&lt;Hta_18,$G65&gt;=Hba_18,Input!AD$38&lt;&gt;""),Input!$B$38&amp;";",""),IF(AND($G65&lt;Hta_19,$G65&gt;=Hba_19,Input!AD$39&lt;&gt;""),Input!$B$39&amp;";",""),IF(AND($G65&lt;Hta_20,$G65&gt;=Hba_20,Input!AD$40&lt;&gt;""),Input!$B$40&amp;";",""),IF(AND($G65&lt;Hta_21,$G65&gt;=Hba_21,Input!AD$41&lt;&gt;""),Input!$B$41&amp;";",""),IF(AND($G65&lt;Hta_22,$G65&gt;=Hba_22,Input!AD$42&lt;&gt;""),Input!$B$42&amp;";",""),IF(AND($G65&lt;Hta_23,$G65&gt;=Hba_23,Input!AD$43&lt;&gt;""),Input!$B$43&amp;";",""),IF(AND($G65&lt;Hta_24,$G65&gt;=Hba_24,Input!AD$44&lt;&gt;""),Input!$B$44&amp;";",""),IF(AND($G65&lt;Hta_25,$G65&gt;=Hba_25,Input!AD$45&lt;&gt;""),Input!$B$45&amp;";",""),IF(AND($G65&lt;Hta_26,$G65&gt;=Hba_26,Input!AD$46&lt;&gt;""),Input!$B$46&amp;";",""),IF(AND($G65&lt;Hta_27,$G65&gt;=Hba_27,Input!AD$47&lt;&gt;""),Input!$B$47&amp;";",""),IF(AND($G65&lt;Hta_28,$G65&gt;=Hba_28,Input!AD$48&lt;&gt;""),Input!$B$48&amp;";",""),IF(AND($G65&lt;Hta_29,$G65&gt;=Hba_29,Input!AD$49&lt;&gt;""),Input!$B$49&amp;";",""),IF(AND($G65&lt;Hta_30,$G65&gt;=Hba_30,Input!AD$50&lt;&gt;""),Input!$B$50&amp;";","")),"")</f>
        <v/>
      </c>
      <c r="CF65" s="25" t="str">
        <f>IFERROR(CONCATENATE(IF(AND($G65&lt;Hta_1,$G65&gt;=Hba_1,Input!AE$21&lt;&gt;""),Input!$B$21&amp;";",""),IF(AND($G65&lt;Hta_2,$G65&gt;=Hba_2,Input!AE$22&lt;&gt;""),Input!$B$22&amp;";",""),IF(AND($G65&lt;Hta_3,$G65&gt;=Hba_3,Input!AE$23&lt;&gt;""),Input!$B$23&amp;";",""),IF(AND($G65&lt;Hta_4,$G65&gt;=Hba_4,Input!AE$24&lt;&gt;""),Input!$B$24&amp;";",""),IF(AND($G65&lt;Hta_5,$G65&gt;=Hba_5,Input!AE$25&lt;&gt;""),Input!$B$25&amp;";",""),IF(AND($G65&lt;Hta_6,$G65&gt;=Hba_6,Input!AE$26&lt;&gt;""),Input!$B$26&amp;";",""),IF(AND($G65&lt;Hta_7,$G65&gt;=Hba_7,Input!AE$27&lt;&gt;""),Input!$B$27&amp;";",""),IF(AND($G65&lt;Hta_8,$G65&gt;=Hba_8,Input!AE$28&lt;&gt;""),Input!$B$28&amp;";",""),IF(AND($G65&lt;Hta_9,$G65&gt;=Hba_9,Input!AE$29&lt;&gt;""),Input!$B$29&amp;";",""),IF(AND($G65&lt;Hta_10,$G65&gt;=Hba_10,Input!AE$30&lt;&gt;""),Input!$B$30&amp;";",""),IF(AND($G65&lt;Hta_11,$G65&gt;=Hba_11,Input!AE$31&lt;&gt;""),Input!$B$31&amp;";",""),IF(AND($G65&lt;Hta_12,$G65&gt;=Hba_12,Input!AE$32&lt;&gt;""),Input!$B$32&amp;";",""),IF(AND($G65&lt;Hta_13,$G65&gt;=Hba_13,Input!AE$33&lt;&gt;""),Input!$B$33&amp;";",""),IF(AND($G65&lt;Hta_14,$G65&gt;=Hba_14,Input!AE$34&lt;&gt;""),Input!$B$34&amp;";",""),IF(AND($G65&lt;Hta_15,$G65&gt;=Hba_15,Input!AE$35&lt;&gt;""),Input!$B$35&amp;";",""),IF(AND($G65&lt;Hta_16,$G65&gt;=Hba_16,Input!AE$36&lt;&gt;""),Input!$B$36&amp;";",""),IF(AND($G65&lt;Hta_17,$G65&gt;=Hba_17,Input!AE$37&lt;&gt;""),Input!$B$37&amp;";",""),IF(AND($G65&lt;Hta_18,$G65&gt;=Hba_18,Input!AE$38&lt;&gt;""),Input!$B$38&amp;";",""),IF(AND($G65&lt;Hta_19,$G65&gt;=Hba_19,Input!AE$39&lt;&gt;""),Input!$B$39&amp;";",""),IF(AND($G65&lt;Hta_20,$G65&gt;=Hba_20,Input!AE$40&lt;&gt;""),Input!$B$40&amp;";",""),IF(AND($G65&lt;Hta_21,$G65&gt;=Hba_21,Input!AE$41&lt;&gt;""),Input!$B$41&amp;";",""),IF(AND($G65&lt;Hta_22,$G65&gt;=Hba_22,Input!AE$42&lt;&gt;""),Input!$B$42&amp;";",""),IF(AND($G65&lt;Hta_23,$G65&gt;=Hba_23,Input!AE$43&lt;&gt;""),Input!$B$43&amp;";",""),IF(AND($G65&lt;Hta_24,$G65&gt;=Hba_24,Input!AE$44&lt;&gt;""),Input!$B$44&amp;";",""),IF(AND($G65&lt;Hta_25,$G65&gt;=Hba_25,Input!AE$45&lt;&gt;""),Input!$B$45&amp;";",""),IF(AND($G65&lt;Hta_26,$G65&gt;=Hba_26,Input!AE$46&lt;&gt;""),Input!$B$46&amp;";",""),IF(AND($G65&lt;Hta_27,$G65&gt;=Hba_27,Input!AE$47&lt;&gt;""),Input!$B$47&amp;";",""),IF(AND($G65&lt;Hta_28,$G65&gt;=Hba_28,Input!AE$48&lt;&gt;""),Input!$B$48&amp;";",""),IF(AND($G65&lt;Hta_29,$G65&gt;=Hba_29,Input!AE$49&lt;&gt;""),Input!$B$49&amp;";",""),IF(AND($G65&lt;Hta_30,$G65&gt;=Hba_30,Input!AE$50&lt;&gt;""),Input!$B$50&amp;";","")),"")</f>
        <v/>
      </c>
      <c r="CG65" s="25" t="str">
        <f>IFERROR(CONCATENATE(IF(AND($G65&lt;Hta_1,$G65&gt;=Hba_1,Input!AF$21&lt;&gt;""),Input!$B$21&amp;";",""),IF(AND($G65&lt;Hta_2,$G65&gt;=Hba_2,Input!AF$22&lt;&gt;""),Input!$B$22&amp;";",""),IF(AND($G65&lt;Hta_3,$G65&gt;=Hba_3,Input!AF$23&lt;&gt;""),Input!$B$23&amp;";",""),IF(AND($G65&lt;Hta_4,$G65&gt;=Hba_4,Input!AF$24&lt;&gt;""),Input!$B$24&amp;";",""),IF(AND($G65&lt;Hta_5,$G65&gt;=Hba_5,Input!AF$25&lt;&gt;""),Input!$B$25&amp;";",""),IF(AND($G65&lt;Hta_6,$G65&gt;=Hba_6,Input!AF$26&lt;&gt;""),Input!$B$26&amp;";",""),IF(AND($G65&lt;Hta_7,$G65&gt;=Hba_7,Input!AF$27&lt;&gt;""),Input!$B$27&amp;";",""),IF(AND($G65&lt;Hta_8,$G65&gt;=Hba_8,Input!AF$28&lt;&gt;""),Input!$B$28&amp;";",""),IF(AND($G65&lt;Hta_9,$G65&gt;=Hba_9,Input!AF$29&lt;&gt;""),Input!$B$29&amp;";",""),IF(AND($G65&lt;Hta_10,$G65&gt;=Hba_10,Input!AF$30&lt;&gt;""),Input!$B$30&amp;";",""),IF(AND($G65&lt;Hta_11,$G65&gt;=Hba_11,Input!AF$31&lt;&gt;""),Input!$B$31&amp;";",""),IF(AND($G65&lt;Hta_12,$G65&gt;=Hba_12,Input!AF$32&lt;&gt;""),Input!$B$32&amp;";",""),IF(AND($G65&lt;Hta_13,$G65&gt;=Hba_13,Input!AF$33&lt;&gt;""),Input!$B$33&amp;";",""),IF(AND($G65&lt;Hta_14,$G65&gt;=Hba_14,Input!AF$34&lt;&gt;""),Input!$B$34&amp;";",""),IF(AND($G65&lt;Hta_15,$G65&gt;=Hba_15,Input!AF$35&lt;&gt;""),Input!$B$35&amp;";",""),IF(AND($G65&lt;Hta_16,$G65&gt;=Hba_16,Input!AF$36&lt;&gt;""),Input!$B$36&amp;";",""),IF(AND($G65&lt;Hta_17,$G65&gt;=Hba_17,Input!AF$37&lt;&gt;""),Input!$B$37&amp;";",""),IF(AND($G65&lt;Hta_18,$G65&gt;=Hba_18,Input!AF$38&lt;&gt;""),Input!$B$38&amp;";",""),IF(AND($G65&lt;Hta_19,$G65&gt;=Hba_19,Input!AF$39&lt;&gt;""),Input!$B$39&amp;";",""),IF(AND($G65&lt;Hta_20,$G65&gt;=Hba_20,Input!AF$40&lt;&gt;""),Input!$B$40&amp;";",""),IF(AND($G65&lt;Hta_21,$G65&gt;=Hba_21,Input!AF$41&lt;&gt;""),Input!$B$41&amp;";",""),IF(AND($G65&lt;Hta_22,$G65&gt;=Hba_22,Input!AF$42&lt;&gt;""),Input!$B$42&amp;";",""),IF(AND($G65&lt;Hta_23,$G65&gt;=Hba_23,Input!AF$43&lt;&gt;""),Input!$B$43&amp;";",""),IF(AND($G65&lt;Hta_24,$G65&gt;=Hba_24,Input!AF$44&lt;&gt;""),Input!$B$44&amp;";",""),IF(AND($G65&lt;Hta_25,$G65&gt;=Hba_25,Input!AF$45&lt;&gt;""),Input!$B$45&amp;";",""),IF(AND($G65&lt;Hta_26,$G65&gt;=Hba_26,Input!AF$46&lt;&gt;""),Input!$B$46&amp;";",""),IF(AND($G65&lt;Hta_27,$G65&gt;=Hba_27,Input!AF$47&lt;&gt;""),Input!$B$47&amp;";",""),IF(AND($G65&lt;Hta_28,$G65&gt;=Hba_28,Input!AF$48&lt;&gt;""),Input!$B$48&amp;";",""),IF(AND($G65&lt;Hta_29,$G65&gt;=Hba_29,Input!AF$49&lt;&gt;""),Input!$B$49&amp;";",""),IF(AND($G65&lt;Hta_30,$G65&gt;=Hba_30,Input!AF$50&lt;&gt;""),Input!$B$50&amp;";","")),"")</f>
        <v/>
      </c>
      <c r="CH65" s="25" t="str">
        <f>IFERROR(CONCATENATE(IF(AND($G65&lt;Hta_1,$G65&gt;=Hba_1,Input!AG$21&lt;&gt;""),Input!$B$21&amp;";",""),IF(AND($G65&lt;Hta_2,$G65&gt;=Hba_2,Input!AG$22&lt;&gt;""),Input!$B$22&amp;";",""),IF(AND($G65&lt;Hta_3,$G65&gt;=Hba_3,Input!AG$23&lt;&gt;""),Input!$B$23&amp;";",""),IF(AND($G65&lt;Hta_4,$G65&gt;=Hba_4,Input!AG$24&lt;&gt;""),Input!$B$24&amp;";",""),IF(AND($G65&lt;Hta_5,$G65&gt;=Hba_5,Input!AG$25&lt;&gt;""),Input!$B$25&amp;";",""),IF(AND($G65&lt;Hta_6,$G65&gt;=Hba_6,Input!AG$26&lt;&gt;""),Input!$B$26&amp;";",""),IF(AND($G65&lt;Hta_7,$G65&gt;=Hba_7,Input!AG$27&lt;&gt;""),Input!$B$27&amp;";",""),IF(AND($G65&lt;Hta_8,$G65&gt;=Hba_8,Input!AG$28&lt;&gt;""),Input!$B$28&amp;";",""),IF(AND($G65&lt;Hta_9,$G65&gt;=Hba_9,Input!AG$29&lt;&gt;""),Input!$B$29&amp;";",""),IF(AND($G65&lt;Hta_10,$G65&gt;=Hba_10,Input!AG$30&lt;&gt;""),Input!$B$30&amp;";",""),IF(AND($G65&lt;Hta_11,$G65&gt;=Hba_11,Input!AG$31&lt;&gt;""),Input!$B$31&amp;";",""),IF(AND($G65&lt;Hta_12,$G65&gt;=Hba_12,Input!AG$32&lt;&gt;""),Input!$B$32&amp;";",""),IF(AND($G65&lt;Hta_13,$G65&gt;=Hba_13,Input!AG$33&lt;&gt;""),Input!$B$33&amp;";",""),IF(AND($G65&lt;Hta_14,$G65&gt;=Hba_14,Input!AG$34&lt;&gt;""),Input!$B$34&amp;";",""),IF(AND($G65&lt;Hta_15,$G65&gt;=Hba_15,Input!AG$35&lt;&gt;""),Input!$B$35&amp;";",""),IF(AND($G65&lt;Hta_16,$G65&gt;=Hba_16,Input!AG$36&lt;&gt;""),Input!$B$36&amp;";",""),IF(AND($G65&lt;Hta_17,$G65&gt;=Hba_17,Input!AG$37&lt;&gt;""),Input!$B$37&amp;";",""),IF(AND($G65&lt;Hta_18,$G65&gt;=Hba_18,Input!AG$38&lt;&gt;""),Input!$B$38&amp;";",""),IF(AND($G65&lt;Hta_19,$G65&gt;=Hba_19,Input!AG$39&lt;&gt;""),Input!$B$39&amp;";",""),IF(AND($G65&lt;Hta_20,$G65&gt;=Hba_20,Input!AG$40&lt;&gt;""),Input!$B$40&amp;";",""),IF(AND($G65&lt;Hta_21,$G65&gt;=Hba_21,Input!AG$41&lt;&gt;""),Input!$B$41&amp;";",""),IF(AND($G65&lt;Hta_22,$G65&gt;=Hba_22,Input!AG$42&lt;&gt;""),Input!$B$42&amp;";",""),IF(AND($G65&lt;Hta_23,$G65&gt;=Hba_23,Input!AG$43&lt;&gt;""),Input!$B$43&amp;";",""),IF(AND($G65&lt;Hta_24,$G65&gt;=Hba_24,Input!AG$44&lt;&gt;""),Input!$B$44&amp;";",""),IF(AND($G65&lt;Hta_25,$G65&gt;=Hba_25,Input!AG$45&lt;&gt;""),Input!$B$45&amp;";",""),IF(AND($G65&lt;Hta_26,$G65&gt;=Hba_26,Input!AG$46&lt;&gt;""),Input!$B$46&amp;";",""),IF(AND($G65&lt;Hta_27,$G65&gt;=Hba_27,Input!AG$47&lt;&gt;""),Input!$B$47&amp;";",""),IF(AND($G65&lt;Hta_28,$G65&gt;=Hba_28,Input!AG$48&lt;&gt;""),Input!$B$48&amp;";",""),IF(AND($G65&lt;Hta_29,$G65&gt;=Hba_29,Input!AG$49&lt;&gt;""),Input!$B$49&amp;";",""),IF(AND($G65&lt;Hta_30,$G65&gt;=Hba_30,Input!AG$50&lt;&gt;""),Input!$B$50&amp;";","")),"")</f>
        <v/>
      </c>
      <c r="CI65" s="25" t="str">
        <f>IFERROR(CONCATENATE(IF(AND($G65&lt;Hta_1,$G65&gt;=Hba_1,Input!AH$21&lt;&gt;""),Input!$B$21&amp;";",""),IF(AND($G65&lt;Hta_2,$G65&gt;=Hba_2,Input!AH$22&lt;&gt;""),Input!$B$22&amp;";",""),IF(AND($G65&lt;Hta_3,$G65&gt;=Hba_3,Input!AH$23&lt;&gt;""),Input!$B$23&amp;";",""),IF(AND($G65&lt;Hta_4,$G65&gt;=Hba_4,Input!AH$24&lt;&gt;""),Input!$B$24&amp;";",""),IF(AND($G65&lt;Hta_5,$G65&gt;=Hba_5,Input!AH$25&lt;&gt;""),Input!$B$25&amp;";",""),IF(AND($G65&lt;Hta_6,$G65&gt;=Hba_6,Input!AH$26&lt;&gt;""),Input!$B$26&amp;";",""),IF(AND($G65&lt;Hta_7,$G65&gt;=Hba_7,Input!AH$27&lt;&gt;""),Input!$B$27&amp;";",""),IF(AND($G65&lt;Hta_8,$G65&gt;=Hba_8,Input!AH$28&lt;&gt;""),Input!$B$28&amp;";",""),IF(AND($G65&lt;Hta_9,$G65&gt;=Hba_9,Input!AH$29&lt;&gt;""),Input!$B$29&amp;";",""),IF(AND($G65&lt;Hta_10,$G65&gt;=Hba_10,Input!AH$30&lt;&gt;""),Input!$B$30&amp;";",""),IF(AND($G65&lt;Hta_11,$G65&gt;=Hba_11,Input!AH$31&lt;&gt;""),Input!$B$31&amp;";",""),IF(AND($G65&lt;Hta_12,$G65&gt;=Hba_12,Input!AH$32&lt;&gt;""),Input!$B$32&amp;";",""),IF(AND($G65&lt;Hta_13,$G65&gt;=Hba_13,Input!AH$33&lt;&gt;""),Input!$B$33&amp;";",""),IF(AND($G65&lt;Hta_14,$G65&gt;=Hba_14,Input!AH$34&lt;&gt;""),Input!$B$34&amp;";",""),IF(AND($G65&lt;Hta_15,$G65&gt;=Hba_15,Input!AH$35&lt;&gt;""),Input!$B$35&amp;";",""),IF(AND($G65&lt;Hta_16,$G65&gt;=Hba_16,Input!AH$36&lt;&gt;""),Input!$B$36&amp;";",""),IF(AND($G65&lt;Hta_17,$G65&gt;=Hba_17,Input!AH$37&lt;&gt;""),Input!$B$37&amp;";",""),IF(AND($G65&lt;Hta_18,$G65&gt;=Hba_18,Input!AH$38&lt;&gt;""),Input!$B$38&amp;";",""),IF(AND($G65&lt;Hta_19,$G65&gt;=Hba_19,Input!AH$39&lt;&gt;""),Input!$B$39&amp;";",""),IF(AND($G65&lt;Hta_20,$G65&gt;=Hba_20,Input!AH$40&lt;&gt;""),Input!$B$40&amp;";",""),IF(AND($G65&lt;Hta_21,$G65&gt;=Hba_21,Input!AH$41&lt;&gt;""),Input!$B$41&amp;";",""),IF(AND($G65&lt;Hta_22,$G65&gt;=Hba_22,Input!AH$42&lt;&gt;""),Input!$B$42&amp;";",""),IF(AND($G65&lt;Hta_23,$G65&gt;=Hba_23,Input!AH$43&lt;&gt;""),Input!$B$43&amp;";",""),IF(AND($G65&lt;Hta_24,$G65&gt;=Hba_24,Input!AH$44&lt;&gt;""),Input!$B$44&amp;";",""),IF(AND($G65&lt;Hta_25,$G65&gt;=Hba_25,Input!AH$45&lt;&gt;""),Input!$B$45&amp;";",""),IF(AND($G65&lt;Hta_26,$G65&gt;=Hba_26,Input!AH$46&lt;&gt;""),Input!$B$46&amp;";",""),IF(AND($G65&lt;Hta_27,$G65&gt;=Hba_27,Input!AH$47&lt;&gt;""),Input!$B$47&amp;";",""),IF(AND($G65&lt;Hta_28,$G65&gt;=Hba_28,Input!AH$48&lt;&gt;""),Input!$B$48&amp;";",""),IF(AND($G65&lt;Hta_29,$G65&gt;=Hba_29,Input!AH$49&lt;&gt;""),Input!$B$49&amp;";",""),IF(AND($G65&lt;Hta_30,$G65&gt;=Hba_30,Input!AH$50&lt;&gt;""),Input!$B$50&amp;";","")),"")</f>
        <v/>
      </c>
      <c r="CJ65" s="25" t="str">
        <f>IFERROR(CONCATENATE(IF(AND($G65&lt;Hta_1,$G65&gt;=Hba_1,Input!AI$21&lt;&gt;""),Input!$B$21&amp;";",""),IF(AND($G65&lt;Hta_2,$G65&gt;=Hba_2,Input!AI$22&lt;&gt;""),Input!$B$22&amp;";",""),IF(AND($G65&lt;Hta_3,$G65&gt;=Hba_3,Input!AI$23&lt;&gt;""),Input!$B$23&amp;";",""),IF(AND($G65&lt;Hta_4,$G65&gt;=Hba_4,Input!AI$24&lt;&gt;""),Input!$B$24&amp;";",""),IF(AND($G65&lt;Hta_5,$G65&gt;=Hba_5,Input!AI$25&lt;&gt;""),Input!$B$25&amp;";",""),IF(AND($G65&lt;Hta_6,$G65&gt;=Hba_6,Input!AI$26&lt;&gt;""),Input!$B$26&amp;";",""),IF(AND($G65&lt;Hta_7,$G65&gt;=Hba_7,Input!AI$27&lt;&gt;""),Input!$B$27&amp;";",""),IF(AND($G65&lt;Hta_8,$G65&gt;=Hba_8,Input!AI$28&lt;&gt;""),Input!$B$28&amp;";",""),IF(AND($G65&lt;Hta_9,$G65&gt;=Hba_9,Input!AI$29&lt;&gt;""),Input!$B$29&amp;";",""),IF(AND($G65&lt;Hta_10,$G65&gt;=Hba_10,Input!AI$30&lt;&gt;""),Input!$B$30&amp;";",""),IF(AND($G65&lt;Hta_11,$G65&gt;=Hba_11,Input!AI$31&lt;&gt;""),Input!$B$31&amp;";",""),IF(AND($G65&lt;Hta_12,$G65&gt;=Hba_12,Input!AI$32&lt;&gt;""),Input!$B$32&amp;";",""),IF(AND($G65&lt;Hta_13,$G65&gt;=Hba_13,Input!AI$33&lt;&gt;""),Input!$B$33&amp;";",""),IF(AND($G65&lt;Hta_14,$G65&gt;=Hba_14,Input!AI$34&lt;&gt;""),Input!$B$34&amp;";",""),IF(AND($G65&lt;Hta_15,$G65&gt;=Hba_15,Input!AI$35&lt;&gt;""),Input!$B$35&amp;";",""),IF(AND($G65&lt;Hta_16,$G65&gt;=Hba_16,Input!AI$36&lt;&gt;""),Input!$B$36&amp;";",""),IF(AND($G65&lt;Hta_17,$G65&gt;=Hba_17,Input!AI$37&lt;&gt;""),Input!$B$37&amp;";",""),IF(AND($G65&lt;Hta_18,$G65&gt;=Hba_18,Input!AI$38&lt;&gt;""),Input!$B$38&amp;";",""),IF(AND($G65&lt;Hta_19,$G65&gt;=Hba_19,Input!AI$39&lt;&gt;""),Input!$B$39&amp;";",""),IF(AND($G65&lt;Hta_20,$G65&gt;=Hba_20,Input!AI$40&lt;&gt;""),Input!$B$40&amp;";",""),IF(AND($G65&lt;Hta_21,$G65&gt;=Hba_21,Input!AI$41&lt;&gt;""),Input!$B$41&amp;";",""),IF(AND($G65&lt;Hta_22,$G65&gt;=Hba_22,Input!AI$42&lt;&gt;""),Input!$B$42&amp;";",""),IF(AND($G65&lt;Hta_23,$G65&gt;=Hba_23,Input!AI$43&lt;&gt;""),Input!$B$43&amp;";",""),IF(AND($G65&lt;Hta_24,$G65&gt;=Hba_24,Input!AI$44&lt;&gt;""),Input!$B$44&amp;";",""),IF(AND($G65&lt;Hta_25,$G65&gt;=Hba_25,Input!AI$45&lt;&gt;""),Input!$B$45&amp;";",""),IF(AND($G65&lt;Hta_26,$G65&gt;=Hba_26,Input!AI$46&lt;&gt;""),Input!$B$46&amp;";",""),IF(AND($G65&lt;Hta_27,$G65&gt;=Hba_27,Input!AI$47&lt;&gt;""),Input!$B$47&amp;";",""),IF(AND($G65&lt;Hta_28,$G65&gt;=Hba_28,Input!AI$48&lt;&gt;""),Input!$B$48&amp;";",""),IF(AND($G65&lt;Hta_29,$G65&gt;=Hba_29,Input!AI$49&lt;&gt;""),Input!$B$49&amp;";",""),IF(AND($G65&lt;Hta_30,$G65&gt;=Hba_30,Input!AI$50&lt;&gt;""),Input!$B$50&amp;";","")),"")</f>
        <v/>
      </c>
      <c r="CK65" s="25" t="str">
        <f>IFERROR(CONCATENATE(IF(AND($G65&lt;Hta_1,$G65&gt;=Hba_1,Input!AJ$21&lt;&gt;""),Input!$B$21&amp;";",""),IF(AND($G65&lt;Hta_2,$G65&gt;=Hba_2,Input!AJ$22&lt;&gt;""),Input!$B$22&amp;";",""),IF(AND($G65&lt;Hta_3,$G65&gt;=Hba_3,Input!AJ$23&lt;&gt;""),Input!$B$23&amp;";",""),IF(AND($G65&lt;Hta_4,$G65&gt;=Hba_4,Input!AJ$24&lt;&gt;""),Input!$B$24&amp;";",""),IF(AND($G65&lt;Hta_5,$G65&gt;=Hba_5,Input!AJ$25&lt;&gt;""),Input!$B$25&amp;";",""),IF(AND($G65&lt;Hta_6,$G65&gt;=Hba_6,Input!AJ$26&lt;&gt;""),Input!$B$26&amp;";",""),IF(AND($G65&lt;Hta_7,$G65&gt;=Hba_7,Input!AJ$27&lt;&gt;""),Input!$B$27&amp;";",""),IF(AND($G65&lt;Hta_8,$G65&gt;=Hba_8,Input!AJ$28&lt;&gt;""),Input!$B$28&amp;";",""),IF(AND($G65&lt;Hta_9,$G65&gt;=Hba_9,Input!AJ$29&lt;&gt;""),Input!$B$29&amp;";",""),IF(AND($G65&lt;Hta_10,$G65&gt;=Hba_10,Input!AJ$30&lt;&gt;""),Input!$B$30&amp;";",""),IF(AND($G65&lt;Hta_11,$G65&gt;=Hba_11,Input!AJ$31&lt;&gt;""),Input!$B$31&amp;";",""),IF(AND($G65&lt;Hta_12,$G65&gt;=Hba_12,Input!AJ$32&lt;&gt;""),Input!$B$32&amp;";",""),IF(AND($G65&lt;Hta_13,$G65&gt;=Hba_13,Input!AJ$33&lt;&gt;""),Input!$B$33&amp;";",""),IF(AND($G65&lt;Hta_14,$G65&gt;=Hba_14,Input!AJ$34&lt;&gt;""),Input!$B$34&amp;";",""),IF(AND($G65&lt;Hta_15,$G65&gt;=Hba_15,Input!AJ$35&lt;&gt;""),Input!$B$35&amp;";",""),IF(AND($G65&lt;Hta_16,$G65&gt;=Hba_16,Input!AJ$36&lt;&gt;""),Input!$B$36&amp;";",""),IF(AND($G65&lt;Hta_17,$G65&gt;=Hba_17,Input!AJ$37&lt;&gt;""),Input!$B$37&amp;";",""),IF(AND($G65&lt;Hta_18,$G65&gt;=Hba_18,Input!AJ$38&lt;&gt;""),Input!$B$38&amp;";",""),IF(AND($G65&lt;Hta_19,$G65&gt;=Hba_19,Input!AJ$39&lt;&gt;""),Input!$B$39&amp;";",""),IF(AND($G65&lt;Hta_20,$G65&gt;=Hba_20,Input!AJ$40&lt;&gt;""),Input!$B$40&amp;";",""),IF(AND($G65&lt;Hta_21,$G65&gt;=Hba_21,Input!AJ$41&lt;&gt;""),Input!$B$41&amp;";",""),IF(AND($G65&lt;Hta_22,$G65&gt;=Hba_22,Input!AJ$42&lt;&gt;""),Input!$B$42&amp;";",""),IF(AND($G65&lt;Hta_23,$G65&gt;=Hba_23,Input!AJ$43&lt;&gt;""),Input!$B$43&amp;";",""),IF(AND($G65&lt;Hta_24,$G65&gt;=Hba_24,Input!AJ$44&lt;&gt;""),Input!$B$44&amp;";",""),IF(AND($G65&lt;Hta_25,$G65&gt;=Hba_25,Input!AJ$45&lt;&gt;""),Input!$B$45&amp;";",""),IF(AND($G65&lt;Hta_26,$G65&gt;=Hba_26,Input!AJ$46&lt;&gt;""),Input!$B$46&amp;";",""),IF(AND($G65&lt;Hta_27,$G65&gt;=Hba_27,Input!AJ$47&lt;&gt;""),Input!$B$47&amp;";",""),IF(AND($G65&lt;Hta_28,$G65&gt;=Hba_28,Input!AJ$48&lt;&gt;""),Input!$B$48&amp;";",""),IF(AND($G65&lt;Hta_29,$G65&gt;=Hba_29,Input!AJ$49&lt;&gt;""),Input!$B$49&amp;";",""),IF(AND($G65&lt;Hta_30,$G65&gt;=Hba_30,Input!AJ$50&lt;&gt;""),Input!$B$50&amp;";","")),"")</f>
        <v/>
      </c>
      <c r="CL65" s="25" t="str">
        <f>IFERROR(CONCATENATE(IF(AND($G65&lt;Hta_1,$G65&gt;=Hba_1,Input!AK$21&lt;&gt;""),Input!$B$21&amp;";",""),IF(AND($G65&lt;Hta_2,$G65&gt;=Hba_2,Input!AK$22&lt;&gt;""),Input!$B$22&amp;";",""),IF(AND($G65&lt;Hta_3,$G65&gt;=Hba_3,Input!AK$23&lt;&gt;""),Input!$B$23&amp;";",""),IF(AND($G65&lt;Hta_4,$G65&gt;=Hba_4,Input!AK$24&lt;&gt;""),Input!$B$24&amp;";",""),IF(AND($G65&lt;Hta_5,$G65&gt;=Hba_5,Input!AK$25&lt;&gt;""),Input!$B$25&amp;";",""),IF(AND($G65&lt;Hta_6,$G65&gt;=Hba_6,Input!AK$26&lt;&gt;""),Input!$B$26&amp;";",""),IF(AND($G65&lt;Hta_7,$G65&gt;=Hba_7,Input!AK$27&lt;&gt;""),Input!$B$27&amp;";",""),IF(AND($G65&lt;Hta_8,$G65&gt;=Hba_8,Input!AK$28&lt;&gt;""),Input!$B$28&amp;";",""),IF(AND($G65&lt;Hta_9,$G65&gt;=Hba_9,Input!AK$29&lt;&gt;""),Input!$B$29&amp;";",""),IF(AND($G65&lt;Hta_10,$G65&gt;=Hba_10,Input!AK$30&lt;&gt;""),Input!$B$30&amp;";",""),IF(AND($G65&lt;Hta_11,$G65&gt;=Hba_11,Input!AK$31&lt;&gt;""),Input!$B$31&amp;";",""),IF(AND($G65&lt;Hta_12,$G65&gt;=Hba_12,Input!AK$32&lt;&gt;""),Input!$B$32&amp;";",""),IF(AND($G65&lt;Hta_13,$G65&gt;=Hba_13,Input!AK$33&lt;&gt;""),Input!$B$33&amp;";",""),IF(AND($G65&lt;Hta_14,$G65&gt;=Hba_14,Input!AK$34&lt;&gt;""),Input!$B$34&amp;";",""),IF(AND($G65&lt;Hta_15,$G65&gt;=Hba_15,Input!AK$35&lt;&gt;""),Input!$B$35&amp;";",""),IF(AND($G65&lt;Hta_16,$G65&gt;=Hba_16,Input!AK$36&lt;&gt;""),Input!$B$36&amp;";",""),IF(AND($G65&lt;Hta_17,$G65&gt;=Hba_17,Input!AK$37&lt;&gt;""),Input!$B$37&amp;";",""),IF(AND($G65&lt;Hta_18,$G65&gt;=Hba_18,Input!AK$38&lt;&gt;""),Input!$B$38&amp;";",""),IF(AND($G65&lt;Hta_19,$G65&gt;=Hba_19,Input!AK$39&lt;&gt;""),Input!$B$39&amp;";",""),IF(AND($G65&lt;Hta_20,$G65&gt;=Hba_20,Input!AK$40&lt;&gt;""),Input!$B$40&amp;";",""),IF(AND($G65&lt;Hta_21,$G65&gt;=Hba_21,Input!AK$41&lt;&gt;""),Input!$B$41&amp;";",""),IF(AND($G65&lt;Hta_22,$G65&gt;=Hba_22,Input!AK$42&lt;&gt;""),Input!$B$42&amp;";",""),IF(AND($G65&lt;Hta_23,$G65&gt;=Hba_23,Input!AK$43&lt;&gt;""),Input!$B$43&amp;";",""),IF(AND($G65&lt;Hta_24,$G65&gt;=Hba_24,Input!AK$44&lt;&gt;""),Input!$B$44&amp;";",""),IF(AND($G65&lt;Hta_25,$G65&gt;=Hba_25,Input!AK$45&lt;&gt;""),Input!$B$45&amp;";",""),IF(AND($G65&lt;Hta_26,$G65&gt;=Hba_26,Input!AK$46&lt;&gt;""),Input!$B$46&amp;";",""),IF(AND($G65&lt;Hta_27,$G65&gt;=Hba_27,Input!AK$47&lt;&gt;""),Input!$B$47&amp;";",""),IF(AND($G65&lt;Hta_28,$G65&gt;=Hba_28,Input!AK$48&lt;&gt;""),Input!$B$48&amp;";",""),IF(AND($G65&lt;Hta_29,$G65&gt;=Hba_29,Input!AK$49&lt;&gt;""),Input!$B$49&amp;";",""),IF(AND($G65&lt;Hta_30,$G65&gt;=Hba_30,Input!AK$50&lt;&gt;""),Input!$B$50&amp;";","")),"")</f>
        <v/>
      </c>
      <c r="CM65" s="25" t="str">
        <f>IFERROR(CONCATENATE(IF(AND($G65&lt;Hta_1,$G65&gt;=Hba_1,Input!AL$21&lt;&gt;""),Input!$B$21&amp;";",""),IF(AND($G65&lt;Hta_2,$G65&gt;=Hba_2,Input!AL$22&lt;&gt;""),Input!$B$22&amp;";",""),IF(AND($G65&lt;Hta_3,$G65&gt;=Hba_3,Input!AL$23&lt;&gt;""),Input!$B$23&amp;";",""),IF(AND($G65&lt;Hta_4,$G65&gt;=Hba_4,Input!AL$24&lt;&gt;""),Input!$B$24&amp;";",""),IF(AND($G65&lt;Hta_5,$G65&gt;=Hba_5,Input!AL$25&lt;&gt;""),Input!$B$25&amp;";",""),IF(AND($G65&lt;Hta_6,$G65&gt;=Hba_6,Input!AL$26&lt;&gt;""),Input!$B$26&amp;";",""),IF(AND($G65&lt;Hta_7,$G65&gt;=Hba_7,Input!AL$27&lt;&gt;""),Input!$B$27&amp;";",""),IF(AND($G65&lt;Hta_8,$G65&gt;=Hba_8,Input!AL$28&lt;&gt;""),Input!$B$28&amp;";",""),IF(AND($G65&lt;Hta_9,$G65&gt;=Hba_9,Input!AL$29&lt;&gt;""),Input!$B$29&amp;";",""),IF(AND($G65&lt;Hta_10,$G65&gt;=Hba_10,Input!AL$30&lt;&gt;""),Input!$B$30&amp;";",""),IF(AND($G65&lt;Hta_11,$G65&gt;=Hba_11,Input!AL$31&lt;&gt;""),Input!$B$31&amp;";",""),IF(AND($G65&lt;Hta_12,$G65&gt;=Hba_12,Input!AL$32&lt;&gt;""),Input!$B$32&amp;";",""),IF(AND($G65&lt;Hta_13,$G65&gt;=Hba_13,Input!AL$33&lt;&gt;""),Input!$B$33&amp;";",""),IF(AND($G65&lt;Hta_14,$G65&gt;=Hba_14,Input!AL$34&lt;&gt;""),Input!$B$34&amp;";",""),IF(AND($G65&lt;Hta_15,$G65&gt;=Hba_15,Input!AL$35&lt;&gt;""),Input!$B$35&amp;";",""),IF(AND($G65&lt;Hta_16,$G65&gt;=Hba_16,Input!AL$36&lt;&gt;""),Input!$B$36&amp;";",""),IF(AND($G65&lt;Hta_17,$G65&gt;=Hba_17,Input!AL$37&lt;&gt;""),Input!$B$37&amp;";",""),IF(AND($G65&lt;Hta_18,$G65&gt;=Hba_18,Input!AL$38&lt;&gt;""),Input!$B$38&amp;";",""),IF(AND($G65&lt;Hta_19,$G65&gt;=Hba_19,Input!AL$39&lt;&gt;""),Input!$B$39&amp;";",""),IF(AND($G65&lt;Hta_20,$G65&gt;=Hba_20,Input!AL$40&lt;&gt;""),Input!$B$40&amp;";",""),IF(AND($G65&lt;Hta_21,$G65&gt;=Hba_21,Input!AL$41&lt;&gt;""),Input!$B$41&amp;";",""),IF(AND($G65&lt;Hta_22,$G65&gt;=Hba_22,Input!AL$42&lt;&gt;""),Input!$B$42&amp;";",""),IF(AND($G65&lt;Hta_23,$G65&gt;=Hba_23,Input!AL$43&lt;&gt;""),Input!$B$43&amp;";",""),IF(AND($G65&lt;Hta_24,$G65&gt;=Hba_24,Input!AL$44&lt;&gt;""),Input!$B$44&amp;";",""),IF(AND($G65&lt;Hta_25,$G65&gt;=Hba_25,Input!AL$45&lt;&gt;""),Input!$B$45&amp;";",""),IF(AND($G65&lt;Hta_26,$G65&gt;=Hba_26,Input!AL$46&lt;&gt;""),Input!$B$46&amp;";",""),IF(AND($G65&lt;Hta_27,$G65&gt;=Hba_27,Input!AL$47&lt;&gt;""),Input!$B$47&amp;";",""),IF(AND($G65&lt;Hta_28,$G65&gt;=Hba_28,Input!AL$48&lt;&gt;""),Input!$B$48&amp;";",""),IF(AND($G65&lt;Hta_29,$G65&gt;=Hba_29,Input!AL$49&lt;&gt;""),Input!$B$49&amp;";",""),IF(AND($G65&lt;Hta_30,$G65&gt;=Hba_30,Input!AL$50&lt;&gt;""),Input!$B$50&amp;";","")),"")</f>
        <v/>
      </c>
      <c r="CN65" s="60" t="str">
        <f t="shared" si="6"/>
        <v/>
      </c>
      <c r="CO65" s="798"/>
      <c r="CP65" s="799"/>
      <c r="CQ65" s="800"/>
      <c r="CR65" s="798"/>
      <c r="CS65" s="799"/>
      <c r="CT65" s="800"/>
      <c r="CU65" s="798" t="str">
        <f t="shared" si="7"/>
        <v/>
      </c>
      <c r="CV65" s="799"/>
      <c r="CW65" s="806"/>
      <c r="CX65" s="726"/>
      <c r="CY65" s="727"/>
      <c r="CZ65" s="732"/>
      <c r="DA65" s="726"/>
      <c r="DB65" s="727"/>
      <c r="DC65" s="732"/>
      <c r="DD65" s="726" t="str">
        <f t="shared" si="8"/>
        <v/>
      </c>
      <c r="DE65" s="727"/>
      <c r="DF65" s="728"/>
      <c r="DG65" s="53"/>
      <c r="DH65" s="54"/>
      <c r="DI65" s="54"/>
      <c r="DJ65" s="54"/>
      <c r="DK65" s="54"/>
      <c r="DL65" s="54"/>
      <c r="DM65" s="54"/>
      <c r="DN65" s="54"/>
      <c r="DO65" s="54"/>
      <c r="DP65" s="54"/>
      <c r="DQ65" s="57"/>
      <c r="DR65" s="57"/>
      <c r="DS65" s="57"/>
      <c r="DT65" s="57"/>
      <c r="DU65" s="57"/>
      <c r="DV65" s="57"/>
      <c r="DW65" s="57"/>
      <c r="DX65" s="57"/>
      <c r="DY65" s="57"/>
      <c r="DZ65" s="57"/>
      <c r="EA65" s="57"/>
      <c r="EB65" s="57"/>
      <c r="EC65" s="57"/>
      <c r="ED65" s="57"/>
      <c r="EE65" s="57"/>
      <c r="EF65" s="57"/>
      <c r="EG65" s="57"/>
      <c r="EH65" s="57"/>
      <c r="EI65" s="57"/>
      <c r="EJ65" s="57"/>
      <c r="EK65" s="57"/>
      <c r="EL65" s="133"/>
      <c r="EM65" s="133"/>
      <c r="EN65" s="133"/>
      <c r="EO65" s="133"/>
      <c r="EP65" s="133"/>
      <c r="EQ65" s="133"/>
      <c r="ER65" s="133"/>
      <c r="ES65" s="133"/>
      <c r="ET65" s="133"/>
      <c r="EU65" s="133"/>
      <c r="EV65" s="133"/>
      <c r="EW65" s="133"/>
      <c r="EX65" s="133"/>
      <c r="EY65" s="133"/>
      <c r="EZ65" s="133"/>
      <c r="FA65" s="133"/>
      <c r="FB65" s="133"/>
      <c r="FC65" s="133"/>
      <c r="FD65" s="133"/>
      <c r="FE65" s="133"/>
      <c r="FF65" s="133"/>
      <c r="FG65" s="133"/>
      <c r="FH65" s="133"/>
      <c r="FI65" s="133"/>
      <c r="FJ65" s="133"/>
      <c r="FK65" s="133"/>
      <c r="FL65" s="133"/>
      <c r="FM65" s="133"/>
      <c r="FN65" s="133"/>
      <c r="FO65" s="133"/>
      <c r="FQ65" s="125"/>
      <c r="FR65" s="123"/>
      <c r="FS65" s="121"/>
      <c r="FT65" s="119"/>
    </row>
    <row r="66" spans="2:176" ht="15.75" hidden="1" thickBot="1" x14ac:dyDescent="0.3">
      <c r="B66" s="62" t="b">
        <f>IF(OR(AND(G66&gt;='Geometry 2'!$AK$5,G66&lt;'Geometry 2'!$AL$5),AND(G66&gt;='Geometry 2'!$AK$6,G66&lt;'Geometry 2'!$AL$6),AND(G66&gt;='Geometry 2'!$AK$7,G66&lt;'Geometry 2'!$AL$7),AND(G66&gt;='Geometry 2'!$AK$8,G66&lt;'Geometry 2'!$AL$8),AND(G66&gt;='Geometry 2'!$AK$9,G66&lt;'Geometry 2'!$AL$9),AND(G66&gt;='Geometry 2'!$AK$10,G66&lt;'Geometry 2'!$AL$10),AND(G66&gt;='Geometry 2'!$AK$11,G66&lt;'Geometry 2'!$AL$11),AND(G66&gt;='Geometry 2'!$AK$12,G66&lt;'Geometry 2'!$AL$12),AND(G66&gt;='Geometry 2'!$AK$13,G66&lt;'Geometry 2'!$AL$13),AND(G66&gt;='Geometry 2'!$AK$14,G66&lt;'Geometry 2'!$AL$14)),TRUE,FALSE)</f>
        <v>0</v>
      </c>
      <c r="C66" s="4" t="str">
        <f t="shared" si="3"/>
        <v/>
      </c>
      <c r="D66" s="766" t="str">
        <f t="shared" si="4"/>
        <v/>
      </c>
      <c r="E66" s="767"/>
      <c r="F66" s="17" t="str">
        <f t="shared" si="2"/>
        <v/>
      </c>
      <c r="G66" s="768" t="str">
        <f>IF(D66="","",MAX(0,G65-IF(inc="n/a",999,inc),MAX(IF(G65&lt;=Hta_1,0,Hta_1),IF(G65&lt;=Hta_2,0,Hta_2),IF(G65&lt;=Hta_3,0,Hta_3),IF(G65&lt;=Hta_4,0,Hta_4),IF(G65&lt;=Hta_5,0,Hta_5),IF(G65&lt;=Hta_6,0,Hta_6),IF(G65&lt;=Hta_7,0,Hta_7),IF(G65&lt;=Hta_8,0,Hta_8),IF(G65&lt;=Hta_9,0,Hta_9),IF(G65&lt;=Hta_10,0,Hta_10),IF(G65&lt;=Hta_11,0,Hta_11),IF(G65&lt;=Hta_12,0,Hta_12),IF(G65&lt;=Hta_13,0,Hta_13),IF(G65&lt;=Hta_14,0,Hta_14),IF(G65&lt;=Hta_15,0,Hta_15),IF(G65&lt;=Hta_16,0,Hta_16),IF(G65&lt;=Hta_17,0,Hta_17),IF(G65&lt;=Hta_18,0,Hta_18),IF(G65&lt;=Hta_19,0,Hta_19),IF(G65&lt;=Hta_20,0,Hta_20),IF(G65&lt;=Hta_21,0,Hta_21),IF(G65&lt;=Hta_22,0,Hta_22),IF(G65&lt;=Hta_23,0,Hta_23),IF(G65&lt;=Hta_24,0,Hta_24),IF(G65&lt;=Hta_25,0,Hta_25),IF(G65&lt;=Hta_26,0,Hta_26),IF(G65&lt;=Hta_27,0,Hta_27),IF(G65&lt;=Hta_28,0,Hta_28),IF(G65&lt;=Hta_29,0,Hta_29),IF(G65&lt;=Hta_30,0,Hta_30)),MAX(IF(G65&lt;=Hta_1-0.25,0,Hta_1-0.25),IF(G65&lt;=Hta_2-0.25,0,Hta_2-0.25),IF(G65&lt;=Hta_3-0.25,0,Hta_3-0.25),IF(G65&lt;=Hta_4-0.25,0,Hta_4-0.25),IF(G65&lt;=Hta_5-0.25,0,Hta_5-0.25),IF(G65&lt;=Hta_6-0.25,0,Hta_6-0.25),IF(G65&lt;=Hta_7-0.25,0,Hta_7-0.25),IF(G65&lt;=Hta_8-0.25,0,Hta_8-0.25),IF(G65&lt;=Hta_9-0.25,0,Hta_9-0.25),IF(G65&lt;=Hta_10-0.25,0,Hta_10-0.25),IF(G65&lt;=Hta_11-0.25,0,Hta_11-0.25),IF(G65&lt;=Hta_12-0.25,0,Hta_12-0.25),IF(G65&lt;=Hta_13-0.25,0,Hta_13-0.25),IF(G65&lt;=Hta_14-0.25,0,Hta_14-0.25),IF(G65&lt;=Hta_15-0.25,0,Hta_15-0.25),IF(G65&lt;=Hta_16-0.25,0,Hta_16-0.25),IF(G65&lt;=Hta_17-0.25,0,Hta_17-0.25),IF(G65&lt;=Hta_18-0.25,0,Hta_18-0.25),IF(G65&lt;=Hta_19-0.25,0,Hta_19-0.25),IF(G65&lt;=Hta_20-0.25,0,Hta_20-0.25),IF(G65&lt;=Hta_21-0.25,0,Hta_21-0.25),IF(G65&lt;=Hta_22-0.25,0,Hta_22-0.25),IF(G65&lt;=Hta_23-0.25,0,Hta_23-0.25),IF(G65&lt;=Hta_24-0.25,0,Hta_24-0.25),IF(G65&lt;=Hta_25-0.25,0,Hta_25-0.25),IF(G65&lt;=Hta_26-0.25,0,Hta_26-0.25),IF(G65&lt;=Hta_27-0.25,0,Hta_27-0.25),IF(G65&lt;=Hta_28-0.25,0,Hta_28-0.25),IF(G65&lt;=Hta_29-0.25,0,Hta_29-0.25),IF(G65&lt;=Hta_30-0.25,0,Hta_30-0.25)),MAX(IF(G65&lt;=Hba_1,0,Hba_1),IF(G65&lt;=Hba_2,0,Hba_2),IF(G65&lt;=Hba_3,0,Hba_3),IF(G65&lt;=Hba_4,0,Hba_4),IF(G65&lt;=Hba_5,0,Hba_5),IF(G65&lt;=Hba_6,0,Hba_6),IF(G65&lt;=Hba_7,0,Hba_7),IF(G65&lt;=Hba_8,0,Hba_8),IF(G65&lt;=Hba_9,0,Hba_9),IF(G65&lt;=Hba_10,0,Hba_10),IF(G65&lt;=Hba_11,0,Hba_11),IF(G65&lt;=Hba_12,0,Hba_12),IF(G65&lt;=Hba_13,0,Hba_13),IF(G65&lt;=Hba_14,0,Hba_14),IF(G65&lt;=Hba_15,0,Hba_15),IF(G65&lt;=Hba_16,0,Hba_16),IF(G65&lt;=Hba_17,0,Hba_17),IF(G65&lt;=Hba_18,0,Hba_18),IF(G65&lt;=Hba_19,0,Hba_19),IF(G65&lt;=Hba_20,0,Hba_20),IF(G65&lt;=Hba_21,0,Hba_21),IF(G65&lt;=Hba_22,0,Hba_22),IF(G65&lt;=Hba_23,0,Hba_23),IF(G65&lt;=Hba_24,0,Hba_24),IF(G65&lt;=Hba_25,0,Hba_25),IF(G65&lt;=Hba_26,0,Hba_26),IF(G65&lt;=Hba_27,0,Hba_27),IF(G65&lt;=Hba_28,0,Hba_28),IF(G65&lt;=Hba_29,0,Hba_29),IF(G65&lt;=Hba_30,0,Hba_30)),MAX(IF(G65&lt;=Input!$C$8,0,Input!$C$8),IF(G65&lt;=Input!$C$9,0,Input!$C$9),IF(G65&lt;=Input!$C$10,0,Input!$C$10),IF(G65&lt;=Input!$C$11,0,Input!$C$11),IF(G65&lt;=Input!$C$12,0,Input!$C$12),IF(G65&lt;=Input!$C$13,0,Input!$C$13),IF(G65&lt;=Input!$C$14,0,Input!$C$14),IF(G65&lt;=Input!$C$15,0,Input!$C$15),IF(G65&lt;=Input!$C$16,0,Input!$C$16)),MAX(IF(G65&lt;=Hba_1-0.25,0,Hba_1-0.25),IF(G65&lt;=Hba_2-0.25,0,Hba_2-0.25),IF(G65&lt;=Hba_3-0.25,0,Hba_3-0.25),IF(G65&lt;=Hba_4-0.25,0,Hba_4-0.25),IF(G65&lt;=Hba_5-0.25,0,Hba_5-0.25),IF(G65&lt;=Hba_6-0.25,0,Hba_6-0.25),IF(G65&lt;=Hba_7-0.25,0,Hba_7-0.25),IF(G65&lt;=Hba_8-0.25,0,Hba_8-0.25),IF(G65&lt;=Hba_9-0.25,0,Hba_9-0.25),IF(G65&lt;=Hba_10-0.25,0,Hba_10-0.25),IF(G65&lt;=Hba_11-0.25,0,Hba_11-0.25),IF(G65&lt;=Hba_12-0.25,0,Hba_12-0.25),IF(G65&lt;=Hba_13-0.25,0,Hba_13-0.25),IF(G65&lt;=Hba_14-0.25,0,Hba_14-0.25),IF(G65&lt;=Hba_15-0.25,0,Hba_15-0.25),IF(G65&lt;=Hba_16-0.25,0,Hba_16-0.25),IF(G65&lt;=Hba_17-0.25,0,Hba_17-0.25),IF(G65&lt;=Hba_18-0.25,0,Hba_18-0.25),IF(G65&lt;=Hba_19-0.25,0,Hba_19-0.25),IF(G65&lt;=Hba_20-0.25,0,Hba_20-0.25),IF(G65&lt;=Hba_21-0.25,0,Hba_21-0.25),IF(G65&lt;=Hba_22-0.25,0,Hba_22-0.25),IF(G65&lt;=Hba_23-0.25,0,Hba_23-0.25),IF(G65&lt;=Hba_24-0.25,0,Hba_24-0.25),IF(G65&lt;=Hba_25-0.25,0,Hba_25-0.25),IF(G65&lt;=Hba_26-0.25,0,Hba_26-0.25),IF(G65&lt;=Hba_27-0.25,0,Hba_27-0.25),IF(G65&lt;=Hba_28-0.25,0,Hba_28-0.25),IF(G65&lt;=Hba_29-0.25,0,Hba_29-0.25),IF(G65&lt;=Hba_30-0.25,0,Hba_30-0.25)),IF(G65&lt;='Macro References'!$A$38,0,'Macro References'!$A$38)))</f>
        <v/>
      </c>
      <c r="H66" s="769"/>
      <c r="I66" s="228"/>
      <c r="J66" s="228"/>
      <c r="K66" s="228"/>
      <c r="L66" s="717" t="str">
        <f t="shared" si="10"/>
        <v/>
      </c>
      <c r="M66" s="717"/>
      <c r="N66" s="717"/>
      <c r="O66" s="717"/>
      <c r="P66" s="717" t="str">
        <f>IF(OR(G66=0,G66=""),"",IF(VLOOKUP(G66,'Geometry 2'!$C$4:$AI$14,1,TRUE)=VLOOKUP(G67,'Geometry 2'!$C$4:$AI$14,1,TRUE),"",IF(VLOOKUP(G66,'Geometry 2'!$C$4:$AI$14,33,TRUE)&lt;&gt;"n/a",MIN(G66,VLOOKUP(G66,'Geometry 2'!$C$4:$AI$14,1,TRUE))-VLOOKUP(G66,'Geometry 2'!$C$4:$AI$14,33,TRUE),"check")))</f>
        <v/>
      </c>
      <c r="Q66" s="717"/>
      <c r="R66" s="717"/>
      <c r="S66" s="717"/>
      <c r="T66" s="717" t="str">
        <f>IF($G66="","",VLOOKUP($G66,'Geometry 2'!$E$4:$AH$14,11,TRUE))</f>
        <v/>
      </c>
      <c r="U66" s="717"/>
      <c r="V66" s="717"/>
      <c r="W66" s="717"/>
      <c r="X66" s="716" t="str">
        <f>IF($G66="","",VLOOKUP($G66,'Geometry 2'!$E$4:$AJ$14,19,TRUE)-12*VLOOKUP($G66,'Geometry 2'!$E$4:$AJ$14,32,TRUE)*($D66-VLOOKUP($G66,'Geometry 2'!$E$5:$AH$14,1,TRUE)))</f>
        <v/>
      </c>
      <c r="Y66" s="716"/>
      <c r="Z66" s="716"/>
      <c r="AA66" s="716"/>
      <c r="AB66" s="757" t="str">
        <f>IF($G66="","",VLOOKUP($G66,'Geometry 2'!$E$4:$AJ$14,19,TRUE)-12*VLOOKUP($G66,'Geometry 2'!$E$4:$AJ$14,32,TRUE)*($G66-VLOOKUP($G66,'Geometry 2'!$E$5:$AH$14,1,TRUE)))</f>
        <v/>
      </c>
      <c r="AC66" s="758"/>
      <c r="AD66" s="758"/>
      <c r="AE66" s="759"/>
      <c r="AF66" s="716" t="str">
        <f>IF($G66="","",VLOOKUP($G66,'Geometry 2'!$E$4:$AJ$14,19,TRUE)-12*VLOOKUP($G66,'Geometry 2'!$E$4:$AJ$14,32,TRUE)*($G66-IF($P66="",0,$P66)-VLOOKUP($G66,'Geometry 2'!$E$5:$AH$14,1,TRUE)))</f>
        <v/>
      </c>
      <c r="AG66" s="716"/>
      <c r="AH66" s="716"/>
      <c r="AI66" s="716"/>
      <c r="AJ66" s="746" t="str">
        <f>IF($G66="","",VLOOKUP($G66,'Geometry 2'!$E$4:$AH$14,23,TRUE))</f>
        <v/>
      </c>
      <c r="AK66" s="747"/>
      <c r="AL66" s="747"/>
      <c r="AM66" s="748"/>
      <c r="AN66" s="717"/>
      <c r="AO66" s="717"/>
      <c r="AP66" s="717"/>
      <c r="AQ66" s="717"/>
      <c r="AR66" s="717" t="str">
        <f>IF($G66="","",VLOOKUP($G66,'Geometry 2'!$E$4:$AH$14,27,TRUE))</f>
        <v/>
      </c>
      <c r="AS66" s="717"/>
      <c r="AT66" s="717"/>
      <c r="AU66" s="718"/>
      <c r="AV66" s="715"/>
      <c r="AW66" s="716"/>
      <c r="AX66" s="716"/>
      <c r="AZ66" s="722" t="str">
        <f t="shared" si="5"/>
        <v/>
      </c>
      <c r="BA66" s="723"/>
      <c r="BB66" s="723"/>
      <c r="BC66" s="724"/>
      <c r="BD66" s="722"/>
      <c r="BE66" s="723"/>
      <c r="BF66" s="723"/>
      <c r="BG66" s="722" t="str">
        <f t="shared" si="9"/>
        <v/>
      </c>
      <c r="BH66" s="723"/>
      <c r="BI66" s="723"/>
      <c r="BJ66" s="723"/>
      <c r="BK66" s="724"/>
      <c r="BL66" s="722"/>
      <c r="BM66" s="723"/>
      <c r="BN66" s="723"/>
      <c r="BO66" s="723"/>
      <c r="BP66" s="725"/>
      <c r="BQ66" s="725"/>
      <c r="BR66" s="722" t="str">
        <f>IF(BP66="","",IF(OR(AND(Rev="H",Calculations!$F$27=TRUE),AND(Rev&lt;&gt;"H",Calculations!$F$30=TRUE)),IF(BP66&lt;=1,"Pass","Fail"),IF(BP66&lt;=1.05,"Pass","Fail")))</f>
        <v/>
      </c>
      <c r="BS66" s="723"/>
      <c r="BT66" s="724"/>
      <c r="BU66" s="49"/>
      <c r="BV66" s="25" t="str">
        <f>IFERROR(CONCATENATE(IF(AND($G66&lt;Hta_1,$G66&gt;=Hba_1,Input!U$21&lt;&gt;""),Input!$B$21&amp;";",""),IF(AND($G66&lt;Hta_2,$G66&gt;=Hba_2,Input!U$22&lt;&gt;""),Input!$B$22&amp;";",""),IF(AND($G66&lt;Hta_3,$G66&gt;=Hba_3,Input!U$23&lt;&gt;""),Input!$B$23&amp;";",""),IF(AND($G66&lt;Hta_4,$G66&gt;=Hba_4,Input!U$24&lt;&gt;""),Input!$B$24&amp;";",""),IF(AND($G66&lt;Hta_5,$G66&gt;=Hba_5,Input!U$25&lt;&gt;""),Input!$B$25&amp;";",""),IF(AND($G66&lt;Hta_6,$G66&gt;=Hba_6,Input!U$26&lt;&gt;""),Input!$B$26&amp;";",""),IF(AND($G66&lt;Hta_7,$G66&gt;=Hba_7,Input!U$27&lt;&gt;""),Input!$B$27&amp;";",""),IF(AND($G66&lt;Hta_8,$G66&gt;=Hba_8,Input!U$28&lt;&gt;""),Input!$B$28&amp;";",""),IF(AND($G66&lt;Hta_9,$G66&gt;=Hba_9,Input!U$29&lt;&gt;""),Input!$B$29&amp;";",""),IF(AND($G66&lt;Hta_10,$G66&gt;=Hba_10,Input!U$30&lt;&gt;""),Input!$B$30&amp;";",""),IF(AND($G66&lt;Hta_11,$G66&gt;=Hba_11,Input!U$31&lt;&gt;""),Input!$B$31&amp;";",""),IF(AND($G66&lt;Hta_12,$G66&gt;=Hba_12,Input!U$32&lt;&gt;""),Input!$B$32&amp;";",""),IF(AND($G66&lt;Hta_13,$G66&gt;=Hba_13,Input!U$33&lt;&gt;""),Input!$B$33&amp;";",""),IF(AND($G66&lt;Hta_14,$G66&gt;=Hba_14,Input!U$34&lt;&gt;""),Input!$B$34&amp;";",""),IF(AND($G66&lt;Hta_15,$G66&gt;=Hba_15,Input!U$35&lt;&gt;""),Input!$B$35&amp;";",""),IF(AND($G66&lt;Hta_16,$G66&gt;=Hba_16,Input!U$36&lt;&gt;""),Input!$B$36&amp;";",""),IF(AND($G66&lt;Hta_17,$G66&gt;=Hba_17,Input!U$37&lt;&gt;""),Input!$B$37&amp;";",""),IF(AND($G66&lt;Hta_18,$G66&gt;=Hba_18,Input!U$38&lt;&gt;""),Input!$B$38&amp;";",""),IF(AND($G66&lt;Hta_19,$G66&gt;=Hba_19,Input!U$39&lt;&gt;""),Input!$B$39&amp;";",""),IF(AND($G66&lt;Hta_20,$G66&gt;=Hba_20,Input!U$40&lt;&gt;""),Input!$B$40&amp;";",""),IF(AND($G66&lt;Hta_21,$G66&gt;=Hba_21,Input!U$41&lt;&gt;""),Input!$B$41&amp;";",""),IF(AND($G66&lt;Hta_22,$G66&gt;=Hba_22,Input!U$42&lt;&gt;""),Input!$B$42&amp;";",""),IF(AND($G66&lt;Hta_23,$G66&gt;=Hba_23,Input!U$43&lt;&gt;""),Input!$B$43&amp;";",""),IF(AND($G66&lt;Hta_24,$G66&gt;=Hba_24,Input!U$44&lt;&gt;""),Input!$B$44&amp;";",""),IF(AND($G66&lt;Hta_25,$G66&gt;=Hba_25,Input!U$45&lt;&gt;""),Input!$B$45&amp;";",""),IF(AND($G66&lt;Hta_26,$G66&gt;=Hba_26,Input!U$46&lt;&gt;""),Input!$B$46&amp;";",""),IF(AND($G66&lt;Hta_27,$G66&gt;=Hba_27,Input!U$47&lt;&gt;""),Input!$B$47&amp;";",""),IF(AND($G66&lt;Hta_28,$G66&gt;=Hba_28,Input!U$48&lt;&gt;""),Input!$B$48&amp;";",""),IF(AND($G66&lt;Hta_29,$G66&gt;=Hba_29,Input!U$49&lt;&gt;""),Input!$B$49&amp;";",""),IF(AND($G66&lt;Hta_30,$G66&gt;=Hba_30,Input!U$50&lt;&gt;""),Input!$B$50&amp;";","")),"")</f>
        <v/>
      </c>
      <c r="BW66" s="25" t="str">
        <f>IFERROR(CONCATENATE(IF(AND($G66&lt;Hta_1,$G66&gt;=Hba_1,Input!V$21&lt;&gt;""),Input!$B$21&amp;";",""),IF(AND($G66&lt;Hta_2,$G66&gt;=Hba_2,Input!V$22&lt;&gt;""),Input!$B$22&amp;";",""),IF(AND($G66&lt;Hta_3,$G66&gt;=Hba_3,Input!V$23&lt;&gt;""),Input!$B$23&amp;";",""),IF(AND($G66&lt;Hta_4,$G66&gt;=Hba_4,Input!V$24&lt;&gt;""),Input!$B$24&amp;";",""),IF(AND($G66&lt;Hta_5,$G66&gt;=Hba_5,Input!V$25&lt;&gt;""),Input!$B$25&amp;";",""),IF(AND($G66&lt;Hta_6,$G66&gt;=Hba_6,Input!V$26&lt;&gt;""),Input!$B$26&amp;";",""),IF(AND($G66&lt;Hta_7,$G66&gt;=Hba_7,Input!V$27&lt;&gt;""),Input!$B$27&amp;";",""),IF(AND($G66&lt;Hta_8,$G66&gt;=Hba_8,Input!V$28&lt;&gt;""),Input!$B$28&amp;";",""),IF(AND($G66&lt;Hta_9,$G66&gt;=Hba_9,Input!V$29&lt;&gt;""),Input!$B$29&amp;";",""),IF(AND($G66&lt;Hta_10,$G66&gt;=Hba_10,Input!V$30&lt;&gt;""),Input!$B$30&amp;";",""),IF(AND($G66&lt;Hta_11,$G66&gt;=Hba_11,Input!V$31&lt;&gt;""),Input!$B$31&amp;";",""),IF(AND($G66&lt;Hta_12,$G66&gt;=Hba_12,Input!V$32&lt;&gt;""),Input!$B$32&amp;";",""),IF(AND($G66&lt;Hta_13,$G66&gt;=Hba_13,Input!V$33&lt;&gt;""),Input!$B$33&amp;";",""),IF(AND($G66&lt;Hta_14,$G66&gt;=Hba_14,Input!V$34&lt;&gt;""),Input!$B$34&amp;";",""),IF(AND($G66&lt;Hta_15,$G66&gt;=Hba_15,Input!V$35&lt;&gt;""),Input!$B$35&amp;";",""),IF(AND($G66&lt;Hta_16,$G66&gt;=Hba_16,Input!V$36&lt;&gt;""),Input!$B$36&amp;";",""),IF(AND($G66&lt;Hta_17,$G66&gt;=Hba_17,Input!V$37&lt;&gt;""),Input!$B$37&amp;";",""),IF(AND($G66&lt;Hta_18,$G66&gt;=Hba_18,Input!V$38&lt;&gt;""),Input!$B$38&amp;";",""),IF(AND($G66&lt;Hta_19,$G66&gt;=Hba_19,Input!V$39&lt;&gt;""),Input!$B$39&amp;";",""),IF(AND($G66&lt;Hta_20,$G66&gt;=Hba_20,Input!V$40&lt;&gt;""),Input!$B$40&amp;";",""),IF(AND($G66&lt;Hta_21,$G66&gt;=Hba_21,Input!V$41&lt;&gt;""),Input!$B$41&amp;";",""),IF(AND($G66&lt;Hta_22,$G66&gt;=Hba_22,Input!V$42&lt;&gt;""),Input!$B$42&amp;";",""),IF(AND($G66&lt;Hta_23,$G66&gt;=Hba_23,Input!V$43&lt;&gt;""),Input!$B$43&amp;";",""),IF(AND($G66&lt;Hta_24,$G66&gt;=Hba_24,Input!V$44&lt;&gt;""),Input!$B$44&amp;";",""),IF(AND($G66&lt;Hta_25,$G66&gt;=Hba_25,Input!V$45&lt;&gt;""),Input!$B$45&amp;";",""),IF(AND($G66&lt;Hta_26,$G66&gt;=Hba_26,Input!V$46&lt;&gt;""),Input!$B$46&amp;";",""),IF(AND($G66&lt;Hta_27,$G66&gt;=Hba_27,Input!V$47&lt;&gt;""),Input!$B$47&amp;";",""),IF(AND($G66&lt;Hta_28,$G66&gt;=Hba_28,Input!V$48&lt;&gt;""),Input!$B$48&amp;";",""),IF(AND($G66&lt;Hta_29,$G66&gt;=Hba_29,Input!V$49&lt;&gt;""),Input!$B$49&amp;";",""),IF(AND($G66&lt;Hta_30,$G66&gt;=Hba_30,Input!V$50&lt;&gt;""),Input!$B$50&amp;";","")),"")</f>
        <v/>
      </c>
      <c r="BX66" s="25" t="str">
        <f>IFERROR(CONCATENATE(IF(AND($G66&lt;Hta_1,$G66&gt;=Hba_1,Input!W$21&lt;&gt;""),Input!$B$21&amp;";",""),IF(AND($G66&lt;Hta_2,$G66&gt;=Hba_2,Input!W$22&lt;&gt;""),Input!$B$22&amp;";",""),IF(AND($G66&lt;Hta_3,$G66&gt;=Hba_3,Input!W$23&lt;&gt;""),Input!$B$23&amp;";",""),IF(AND($G66&lt;Hta_4,$G66&gt;=Hba_4,Input!W$24&lt;&gt;""),Input!$B$24&amp;";",""),IF(AND($G66&lt;Hta_5,$G66&gt;=Hba_5,Input!W$25&lt;&gt;""),Input!$B$25&amp;";",""),IF(AND($G66&lt;Hta_6,$G66&gt;=Hba_6,Input!W$26&lt;&gt;""),Input!$B$26&amp;";",""),IF(AND($G66&lt;Hta_7,$G66&gt;=Hba_7,Input!W$27&lt;&gt;""),Input!$B$27&amp;";",""),IF(AND($G66&lt;Hta_8,$G66&gt;=Hba_8,Input!W$28&lt;&gt;""),Input!$B$28&amp;";",""),IF(AND($G66&lt;Hta_9,$G66&gt;=Hba_9,Input!W$29&lt;&gt;""),Input!$B$29&amp;";",""),IF(AND($G66&lt;Hta_10,$G66&gt;=Hba_10,Input!W$30&lt;&gt;""),Input!$B$30&amp;";",""),IF(AND($G66&lt;Hta_11,$G66&gt;=Hba_11,Input!W$31&lt;&gt;""),Input!$B$31&amp;";",""),IF(AND($G66&lt;Hta_12,$G66&gt;=Hba_12,Input!W$32&lt;&gt;""),Input!$B$32&amp;";",""),IF(AND($G66&lt;Hta_13,$G66&gt;=Hba_13,Input!W$33&lt;&gt;""),Input!$B$33&amp;";",""),IF(AND($G66&lt;Hta_14,$G66&gt;=Hba_14,Input!W$34&lt;&gt;""),Input!$B$34&amp;";",""),IF(AND($G66&lt;Hta_15,$G66&gt;=Hba_15,Input!W$35&lt;&gt;""),Input!$B$35&amp;";",""),IF(AND($G66&lt;Hta_16,$G66&gt;=Hba_16,Input!W$36&lt;&gt;""),Input!$B$36&amp;";",""),IF(AND($G66&lt;Hta_17,$G66&gt;=Hba_17,Input!W$37&lt;&gt;""),Input!$B$37&amp;";",""),IF(AND($G66&lt;Hta_18,$G66&gt;=Hba_18,Input!W$38&lt;&gt;""),Input!$B$38&amp;";",""),IF(AND($G66&lt;Hta_19,$G66&gt;=Hba_19,Input!W$39&lt;&gt;""),Input!$B$39&amp;";",""),IF(AND($G66&lt;Hta_20,$G66&gt;=Hba_20,Input!W$40&lt;&gt;""),Input!$B$40&amp;";",""),IF(AND($G66&lt;Hta_21,$G66&gt;=Hba_21,Input!W$41&lt;&gt;""),Input!$B$41&amp;";",""),IF(AND($G66&lt;Hta_22,$G66&gt;=Hba_22,Input!W$42&lt;&gt;""),Input!$B$42&amp;";",""),IF(AND($G66&lt;Hta_23,$G66&gt;=Hba_23,Input!W$43&lt;&gt;""),Input!$B$43&amp;";",""),IF(AND($G66&lt;Hta_24,$G66&gt;=Hba_24,Input!W$44&lt;&gt;""),Input!$B$44&amp;";",""),IF(AND($G66&lt;Hta_25,$G66&gt;=Hba_25,Input!W$45&lt;&gt;""),Input!$B$45&amp;";",""),IF(AND($G66&lt;Hta_26,$G66&gt;=Hba_26,Input!W$46&lt;&gt;""),Input!$B$46&amp;";",""),IF(AND($G66&lt;Hta_27,$G66&gt;=Hba_27,Input!W$47&lt;&gt;""),Input!$B$47&amp;";",""),IF(AND($G66&lt;Hta_28,$G66&gt;=Hba_28,Input!W$48&lt;&gt;""),Input!$B$48&amp;";",""),IF(AND($G66&lt;Hta_29,$G66&gt;=Hba_29,Input!W$49&lt;&gt;""),Input!$B$49&amp;";",""),IF(AND($G66&lt;Hta_30,$G66&gt;=Hba_30,Input!W$50&lt;&gt;""),Input!$B$50&amp;";","")),"")</f>
        <v/>
      </c>
      <c r="BY66" s="25" t="str">
        <f>IFERROR(CONCATENATE(IF(AND($G66&lt;Hta_1,$G66&gt;=Hba_1,Input!X$21&lt;&gt;""),Input!$B$21&amp;";",""),IF(AND($G66&lt;Hta_2,$G66&gt;=Hba_2,Input!X$22&lt;&gt;""),Input!$B$22&amp;";",""),IF(AND($G66&lt;Hta_3,$G66&gt;=Hba_3,Input!X$23&lt;&gt;""),Input!$B$23&amp;";",""),IF(AND($G66&lt;Hta_4,$G66&gt;=Hba_4,Input!X$24&lt;&gt;""),Input!$B$24&amp;";",""),IF(AND($G66&lt;Hta_5,$G66&gt;=Hba_5,Input!X$25&lt;&gt;""),Input!$B$25&amp;";",""),IF(AND($G66&lt;Hta_6,$G66&gt;=Hba_6,Input!X$26&lt;&gt;""),Input!$B$26&amp;";",""),IF(AND($G66&lt;Hta_7,$G66&gt;=Hba_7,Input!X$27&lt;&gt;""),Input!$B$27&amp;";",""),IF(AND($G66&lt;Hta_8,$G66&gt;=Hba_8,Input!X$28&lt;&gt;""),Input!$B$28&amp;";",""),IF(AND($G66&lt;Hta_9,$G66&gt;=Hba_9,Input!X$29&lt;&gt;""),Input!$B$29&amp;";",""),IF(AND($G66&lt;Hta_10,$G66&gt;=Hba_10,Input!X$30&lt;&gt;""),Input!$B$30&amp;";",""),IF(AND($G66&lt;Hta_11,$G66&gt;=Hba_11,Input!X$31&lt;&gt;""),Input!$B$31&amp;";",""),IF(AND($G66&lt;Hta_12,$G66&gt;=Hba_12,Input!X$32&lt;&gt;""),Input!$B$32&amp;";",""),IF(AND($G66&lt;Hta_13,$G66&gt;=Hba_13,Input!X$33&lt;&gt;""),Input!$B$33&amp;";",""),IF(AND($G66&lt;Hta_14,$G66&gt;=Hba_14,Input!X$34&lt;&gt;""),Input!$B$34&amp;";",""),IF(AND($G66&lt;Hta_15,$G66&gt;=Hba_15,Input!X$35&lt;&gt;""),Input!$B$35&amp;";",""),IF(AND($G66&lt;Hta_16,$G66&gt;=Hba_16,Input!X$36&lt;&gt;""),Input!$B$36&amp;";",""),IF(AND($G66&lt;Hta_17,$G66&gt;=Hba_17,Input!X$37&lt;&gt;""),Input!$B$37&amp;";",""),IF(AND($G66&lt;Hta_18,$G66&gt;=Hba_18,Input!X$38&lt;&gt;""),Input!$B$38&amp;";",""),IF(AND($G66&lt;Hta_19,$G66&gt;=Hba_19,Input!X$39&lt;&gt;""),Input!$B$39&amp;";",""),IF(AND($G66&lt;Hta_20,$G66&gt;=Hba_20,Input!X$40&lt;&gt;""),Input!$B$40&amp;";",""),IF(AND($G66&lt;Hta_21,$G66&gt;=Hba_21,Input!X$41&lt;&gt;""),Input!$B$41&amp;";",""),IF(AND($G66&lt;Hta_22,$G66&gt;=Hba_22,Input!X$42&lt;&gt;""),Input!$B$42&amp;";",""),IF(AND($G66&lt;Hta_23,$G66&gt;=Hba_23,Input!X$43&lt;&gt;""),Input!$B$43&amp;";",""),IF(AND($G66&lt;Hta_24,$G66&gt;=Hba_24,Input!X$44&lt;&gt;""),Input!$B$44&amp;";",""),IF(AND($G66&lt;Hta_25,$G66&gt;=Hba_25,Input!X$45&lt;&gt;""),Input!$B$45&amp;";",""),IF(AND($G66&lt;Hta_26,$G66&gt;=Hba_26,Input!X$46&lt;&gt;""),Input!$B$46&amp;";",""),IF(AND($G66&lt;Hta_27,$G66&gt;=Hba_27,Input!X$47&lt;&gt;""),Input!$B$47&amp;";",""),IF(AND($G66&lt;Hta_28,$G66&gt;=Hba_28,Input!X$48&lt;&gt;""),Input!$B$48&amp;";",""),IF(AND($G66&lt;Hta_29,$G66&gt;=Hba_29,Input!X$49&lt;&gt;""),Input!$B$49&amp;";",""),IF(AND($G66&lt;Hta_30,$G66&gt;=Hba_30,Input!X$50&lt;&gt;""),Input!$B$50&amp;";","")),"")</f>
        <v/>
      </c>
      <c r="BZ66" s="25" t="str">
        <f>IFERROR(CONCATENATE(IF(AND($G66&lt;Hta_1,$G66&gt;=Hba_1,Input!Y$21&lt;&gt;""),Input!$B$21&amp;";",""),IF(AND($G66&lt;Hta_2,$G66&gt;=Hba_2,Input!Y$22&lt;&gt;""),Input!$B$22&amp;";",""),IF(AND($G66&lt;Hta_3,$G66&gt;=Hba_3,Input!Y$23&lt;&gt;""),Input!$B$23&amp;";",""),IF(AND($G66&lt;Hta_4,$G66&gt;=Hba_4,Input!Y$24&lt;&gt;""),Input!$B$24&amp;";",""),IF(AND($G66&lt;Hta_5,$G66&gt;=Hba_5,Input!Y$25&lt;&gt;""),Input!$B$25&amp;";",""),IF(AND($G66&lt;Hta_6,$G66&gt;=Hba_6,Input!Y$26&lt;&gt;""),Input!$B$26&amp;";",""),IF(AND($G66&lt;Hta_7,$G66&gt;=Hba_7,Input!Y$27&lt;&gt;""),Input!$B$27&amp;";",""),IF(AND($G66&lt;Hta_8,$G66&gt;=Hba_8,Input!Y$28&lt;&gt;""),Input!$B$28&amp;";",""),IF(AND($G66&lt;Hta_9,$G66&gt;=Hba_9,Input!Y$29&lt;&gt;""),Input!$B$29&amp;";",""),IF(AND($G66&lt;Hta_10,$G66&gt;=Hba_10,Input!Y$30&lt;&gt;""),Input!$B$30&amp;";",""),IF(AND($G66&lt;Hta_11,$G66&gt;=Hba_11,Input!Y$31&lt;&gt;""),Input!$B$31&amp;";",""),IF(AND($G66&lt;Hta_12,$G66&gt;=Hba_12,Input!Y$32&lt;&gt;""),Input!$B$32&amp;";",""),IF(AND($G66&lt;Hta_13,$G66&gt;=Hba_13,Input!Y$33&lt;&gt;""),Input!$B$33&amp;";",""),IF(AND($G66&lt;Hta_14,$G66&gt;=Hba_14,Input!Y$34&lt;&gt;""),Input!$B$34&amp;";",""),IF(AND($G66&lt;Hta_15,$G66&gt;=Hba_15,Input!Y$35&lt;&gt;""),Input!$B$35&amp;";",""),IF(AND($G66&lt;Hta_16,$G66&gt;=Hba_16,Input!Y$36&lt;&gt;""),Input!$B$36&amp;";",""),IF(AND($G66&lt;Hta_17,$G66&gt;=Hba_17,Input!Y$37&lt;&gt;""),Input!$B$37&amp;";",""),IF(AND($G66&lt;Hta_18,$G66&gt;=Hba_18,Input!Y$38&lt;&gt;""),Input!$B$38&amp;";",""),IF(AND($G66&lt;Hta_19,$G66&gt;=Hba_19,Input!Y$39&lt;&gt;""),Input!$B$39&amp;";",""),IF(AND($G66&lt;Hta_20,$G66&gt;=Hba_20,Input!Y$40&lt;&gt;""),Input!$B$40&amp;";",""),IF(AND($G66&lt;Hta_21,$G66&gt;=Hba_21,Input!Y$41&lt;&gt;""),Input!$B$41&amp;";",""),IF(AND($G66&lt;Hta_22,$G66&gt;=Hba_22,Input!Y$42&lt;&gt;""),Input!$B$42&amp;";",""),IF(AND($G66&lt;Hta_23,$G66&gt;=Hba_23,Input!Y$43&lt;&gt;""),Input!$B$43&amp;";",""),IF(AND($G66&lt;Hta_24,$G66&gt;=Hba_24,Input!Y$44&lt;&gt;""),Input!$B$44&amp;";",""),IF(AND($G66&lt;Hta_25,$G66&gt;=Hba_25,Input!Y$45&lt;&gt;""),Input!$B$45&amp;";",""),IF(AND($G66&lt;Hta_26,$G66&gt;=Hba_26,Input!Y$46&lt;&gt;""),Input!$B$46&amp;";",""),IF(AND($G66&lt;Hta_27,$G66&gt;=Hba_27,Input!Y$47&lt;&gt;""),Input!$B$47&amp;";",""),IF(AND($G66&lt;Hta_28,$G66&gt;=Hba_28,Input!Y$48&lt;&gt;""),Input!$B$48&amp;";",""),IF(AND($G66&lt;Hta_29,$G66&gt;=Hba_29,Input!Y$49&lt;&gt;""),Input!$B$49&amp;";",""),IF(AND($G66&lt;Hta_30,$G66&gt;=Hba_30,Input!Y$50&lt;&gt;""),Input!$B$50&amp;";","")),"")</f>
        <v/>
      </c>
      <c r="CA66" s="25" t="str">
        <f>IFERROR(CONCATENATE(IF(AND($G66&lt;Hta_1,$G66&gt;=Hba_1,Input!Z$21&lt;&gt;""),Input!$B$21&amp;";",""),IF(AND($G66&lt;Hta_2,$G66&gt;=Hba_2,Input!Z$22&lt;&gt;""),Input!$B$22&amp;";",""),IF(AND($G66&lt;Hta_3,$G66&gt;=Hba_3,Input!Z$23&lt;&gt;""),Input!$B$23&amp;";",""),IF(AND($G66&lt;Hta_4,$G66&gt;=Hba_4,Input!Z$24&lt;&gt;""),Input!$B$24&amp;";",""),IF(AND($G66&lt;Hta_5,$G66&gt;=Hba_5,Input!Z$25&lt;&gt;""),Input!$B$25&amp;";",""),IF(AND($G66&lt;Hta_6,$G66&gt;=Hba_6,Input!Z$26&lt;&gt;""),Input!$B$26&amp;";",""),IF(AND($G66&lt;Hta_7,$G66&gt;=Hba_7,Input!Z$27&lt;&gt;""),Input!$B$27&amp;";",""),IF(AND($G66&lt;Hta_8,$G66&gt;=Hba_8,Input!Z$28&lt;&gt;""),Input!$B$28&amp;";",""),IF(AND($G66&lt;Hta_9,$G66&gt;=Hba_9,Input!Z$29&lt;&gt;""),Input!$B$29&amp;";",""),IF(AND($G66&lt;Hta_10,$G66&gt;=Hba_10,Input!Z$30&lt;&gt;""),Input!$B$30&amp;";",""),IF(AND($G66&lt;Hta_11,$G66&gt;=Hba_11,Input!Z$31&lt;&gt;""),Input!$B$31&amp;";",""),IF(AND($G66&lt;Hta_12,$G66&gt;=Hba_12,Input!Z$32&lt;&gt;""),Input!$B$32&amp;";",""),IF(AND($G66&lt;Hta_13,$G66&gt;=Hba_13,Input!Z$33&lt;&gt;""),Input!$B$33&amp;";",""),IF(AND($G66&lt;Hta_14,$G66&gt;=Hba_14,Input!Z$34&lt;&gt;""),Input!$B$34&amp;";",""),IF(AND($G66&lt;Hta_15,$G66&gt;=Hba_15,Input!Z$35&lt;&gt;""),Input!$B$35&amp;";",""),IF(AND($G66&lt;Hta_16,$G66&gt;=Hba_16,Input!Z$36&lt;&gt;""),Input!$B$36&amp;";",""),IF(AND($G66&lt;Hta_17,$G66&gt;=Hba_17,Input!Z$37&lt;&gt;""),Input!$B$37&amp;";",""),IF(AND($G66&lt;Hta_18,$G66&gt;=Hba_18,Input!Z$38&lt;&gt;""),Input!$B$38&amp;";",""),IF(AND($G66&lt;Hta_19,$G66&gt;=Hba_19,Input!Z$39&lt;&gt;""),Input!$B$39&amp;";",""),IF(AND($G66&lt;Hta_20,$G66&gt;=Hba_20,Input!Z$40&lt;&gt;""),Input!$B$40&amp;";",""),IF(AND($G66&lt;Hta_21,$G66&gt;=Hba_21,Input!Z$41&lt;&gt;""),Input!$B$41&amp;";",""),IF(AND($G66&lt;Hta_22,$G66&gt;=Hba_22,Input!Z$42&lt;&gt;""),Input!$B$42&amp;";",""),IF(AND($G66&lt;Hta_23,$G66&gt;=Hba_23,Input!Z$43&lt;&gt;""),Input!$B$43&amp;";",""),IF(AND($G66&lt;Hta_24,$G66&gt;=Hba_24,Input!Z$44&lt;&gt;""),Input!$B$44&amp;";",""),IF(AND($G66&lt;Hta_25,$G66&gt;=Hba_25,Input!Z$45&lt;&gt;""),Input!$B$45&amp;";",""),IF(AND($G66&lt;Hta_26,$G66&gt;=Hba_26,Input!Z$46&lt;&gt;""),Input!$B$46&amp;";",""),IF(AND($G66&lt;Hta_27,$G66&gt;=Hba_27,Input!Z$47&lt;&gt;""),Input!$B$47&amp;";",""),IF(AND($G66&lt;Hta_28,$G66&gt;=Hba_28,Input!Z$48&lt;&gt;""),Input!$B$48&amp;";",""),IF(AND($G66&lt;Hta_29,$G66&gt;=Hba_29,Input!Z$49&lt;&gt;""),Input!$B$49&amp;";",""),IF(AND($G66&lt;Hta_30,$G66&gt;=Hba_30,Input!Z$50&lt;&gt;""),Input!$B$50&amp;";","")),"")</f>
        <v/>
      </c>
      <c r="CB66" s="25" t="str">
        <f>IFERROR(CONCATENATE(IF(AND($G66&lt;Hta_1,$G66&gt;=Hba_1,Input!AA$21&lt;&gt;""),Input!$B$21&amp;";",""),IF(AND($G66&lt;Hta_2,$G66&gt;=Hba_2,Input!AA$22&lt;&gt;""),Input!$B$22&amp;";",""),IF(AND($G66&lt;Hta_3,$G66&gt;=Hba_3,Input!AA$23&lt;&gt;""),Input!$B$23&amp;";",""),IF(AND($G66&lt;Hta_4,$G66&gt;=Hba_4,Input!AA$24&lt;&gt;""),Input!$B$24&amp;";",""),IF(AND($G66&lt;Hta_5,$G66&gt;=Hba_5,Input!AA$25&lt;&gt;""),Input!$B$25&amp;";",""),IF(AND($G66&lt;Hta_6,$G66&gt;=Hba_6,Input!AA$26&lt;&gt;""),Input!$B$26&amp;";",""),IF(AND($G66&lt;Hta_7,$G66&gt;=Hba_7,Input!AA$27&lt;&gt;""),Input!$B$27&amp;";",""),IF(AND($G66&lt;Hta_8,$G66&gt;=Hba_8,Input!AA$28&lt;&gt;""),Input!$B$28&amp;";",""),IF(AND($G66&lt;Hta_9,$G66&gt;=Hba_9,Input!AA$29&lt;&gt;""),Input!$B$29&amp;";",""),IF(AND($G66&lt;Hta_10,$G66&gt;=Hba_10,Input!AA$30&lt;&gt;""),Input!$B$30&amp;";",""),IF(AND($G66&lt;Hta_11,$G66&gt;=Hba_11,Input!AA$31&lt;&gt;""),Input!$B$31&amp;";",""),IF(AND($G66&lt;Hta_12,$G66&gt;=Hba_12,Input!AA$32&lt;&gt;""),Input!$B$32&amp;";",""),IF(AND($G66&lt;Hta_13,$G66&gt;=Hba_13,Input!AA$33&lt;&gt;""),Input!$B$33&amp;";",""),IF(AND($G66&lt;Hta_14,$G66&gt;=Hba_14,Input!AA$34&lt;&gt;""),Input!$B$34&amp;";",""),IF(AND($G66&lt;Hta_15,$G66&gt;=Hba_15,Input!AA$35&lt;&gt;""),Input!$B$35&amp;";",""),IF(AND($G66&lt;Hta_16,$G66&gt;=Hba_16,Input!AA$36&lt;&gt;""),Input!$B$36&amp;";",""),IF(AND($G66&lt;Hta_17,$G66&gt;=Hba_17,Input!AA$37&lt;&gt;""),Input!$B$37&amp;";",""),IF(AND($G66&lt;Hta_18,$G66&gt;=Hba_18,Input!AA$38&lt;&gt;""),Input!$B$38&amp;";",""),IF(AND($G66&lt;Hta_19,$G66&gt;=Hba_19,Input!AA$39&lt;&gt;""),Input!$B$39&amp;";",""),IF(AND($G66&lt;Hta_20,$G66&gt;=Hba_20,Input!AA$40&lt;&gt;""),Input!$B$40&amp;";",""),IF(AND($G66&lt;Hta_21,$G66&gt;=Hba_21,Input!AA$41&lt;&gt;""),Input!$B$41&amp;";",""),IF(AND($G66&lt;Hta_22,$G66&gt;=Hba_22,Input!AA$42&lt;&gt;""),Input!$B$42&amp;";",""),IF(AND($G66&lt;Hta_23,$G66&gt;=Hba_23,Input!AA$43&lt;&gt;""),Input!$B$43&amp;";",""),IF(AND($G66&lt;Hta_24,$G66&gt;=Hba_24,Input!AA$44&lt;&gt;""),Input!$B$44&amp;";",""),IF(AND($G66&lt;Hta_25,$G66&gt;=Hba_25,Input!AA$45&lt;&gt;""),Input!$B$45&amp;";",""),IF(AND($G66&lt;Hta_26,$G66&gt;=Hba_26,Input!AA$46&lt;&gt;""),Input!$B$46&amp;";",""),IF(AND($G66&lt;Hta_27,$G66&gt;=Hba_27,Input!AA$47&lt;&gt;""),Input!$B$47&amp;";",""),IF(AND($G66&lt;Hta_28,$G66&gt;=Hba_28,Input!AA$48&lt;&gt;""),Input!$B$48&amp;";",""),IF(AND($G66&lt;Hta_29,$G66&gt;=Hba_29,Input!AA$49&lt;&gt;""),Input!$B$49&amp;";",""),IF(AND($G66&lt;Hta_30,$G66&gt;=Hba_30,Input!AA$50&lt;&gt;""),Input!$B$50&amp;";","")),"")</f>
        <v/>
      </c>
      <c r="CC66" s="25" t="str">
        <f>IFERROR(CONCATENATE(IF(AND($G66&lt;Hta_1,$G66&gt;=Hba_1,Input!AB$21&lt;&gt;""),Input!$B$21&amp;";",""),IF(AND($G66&lt;Hta_2,$G66&gt;=Hba_2,Input!AB$22&lt;&gt;""),Input!$B$22&amp;";",""),IF(AND($G66&lt;Hta_3,$G66&gt;=Hba_3,Input!AB$23&lt;&gt;""),Input!$B$23&amp;";",""),IF(AND($G66&lt;Hta_4,$G66&gt;=Hba_4,Input!AB$24&lt;&gt;""),Input!$B$24&amp;";",""),IF(AND($G66&lt;Hta_5,$G66&gt;=Hba_5,Input!AB$25&lt;&gt;""),Input!$B$25&amp;";",""),IF(AND($G66&lt;Hta_6,$G66&gt;=Hba_6,Input!AB$26&lt;&gt;""),Input!$B$26&amp;";",""),IF(AND($G66&lt;Hta_7,$G66&gt;=Hba_7,Input!AB$27&lt;&gt;""),Input!$B$27&amp;";",""),IF(AND($G66&lt;Hta_8,$G66&gt;=Hba_8,Input!AB$28&lt;&gt;""),Input!$B$28&amp;";",""),IF(AND($G66&lt;Hta_9,$G66&gt;=Hba_9,Input!AB$29&lt;&gt;""),Input!$B$29&amp;";",""),IF(AND($G66&lt;Hta_10,$G66&gt;=Hba_10,Input!AB$30&lt;&gt;""),Input!$B$30&amp;";",""),IF(AND($G66&lt;Hta_11,$G66&gt;=Hba_11,Input!AB$31&lt;&gt;""),Input!$B$31&amp;";",""),IF(AND($G66&lt;Hta_12,$G66&gt;=Hba_12,Input!AB$32&lt;&gt;""),Input!$B$32&amp;";",""),IF(AND($G66&lt;Hta_13,$G66&gt;=Hba_13,Input!AB$33&lt;&gt;""),Input!$B$33&amp;";",""),IF(AND($G66&lt;Hta_14,$G66&gt;=Hba_14,Input!AB$34&lt;&gt;""),Input!$B$34&amp;";",""),IF(AND($G66&lt;Hta_15,$G66&gt;=Hba_15,Input!AB$35&lt;&gt;""),Input!$B$35&amp;";",""),IF(AND($G66&lt;Hta_16,$G66&gt;=Hba_16,Input!AB$36&lt;&gt;""),Input!$B$36&amp;";",""),IF(AND($G66&lt;Hta_17,$G66&gt;=Hba_17,Input!AB$37&lt;&gt;""),Input!$B$37&amp;";",""),IF(AND($G66&lt;Hta_18,$G66&gt;=Hba_18,Input!AB$38&lt;&gt;""),Input!$B$38&amp;";",""),IF(AND($G66&lt;Hta_19,$G66&gt;=Hba_19,Input!AB$39&lt;&gt;""),Input!$B$39&amp;";",""),IF(AND($G66&lt;Hta_20,$G66&gt;=Hba_20,Input!AB$40&lt;&gt;""),Input!$B$40&amp;";",""),IF(AND($G66&lt;Hta_21,$G66&gt;=Hba_21,Input!AB$41&lt;&gt;""),Input!$B$41&amp;";",""),IF(AND($G66&lt;Hta_22,$G66&gt;=Hba_22,Input!AB$42&lt;&gt;""),Input!$B$42&amp;";",""),IF(AND($G66&lt;Hta_23,$G66&gt;=Hba_23,Input!AB$43&lt;&gt;""),Input!$B$43&amp;";",""),IF(AND($G66&lt;Hta_24,$G66&gt;=Hba_24,Input!AB$44&lt;&gt;""),Input!$B$44&amp;";",""),IF(AND($G66&lt;Hta_25,$G66&gt;=Hba_25,Input!AB$45&lt;&gt;""),Input!$B$45&amp;";",""),IF(AND($G66&lt;Hta_26,$G66&gt;=Hba_26,Input!AB$46&lt;&gt;""),Input!$B$46&amp;";",""),IF(AND($G66&lt;Hta_27,$G66&gt;=Hba_27,Input!AB$47&lt;&gt;""),Input!$B$47&amp;";",""),IF(AND($G66&lt;Hta_28,$G66&gt;=Hba_28,Input!AB$48&lt;&gt;""),Input!$B$48&amp;";",""),IF(AND($G66&lt;Hta_29,$G66&gt;=Hba_29,Input!AB$49&lt;&gt;""),Input!$B$49&amp;";",""),IF(AND($G66&lt;Hta_30,$G66&gt;=Hba_30,Input!AB$50&lt;&gt;""),Input!$B$50&amp;";","")),"")</f>
        <v/>
      </c>
      <c r="CD66" s="25" t="str">
        <f>IFERROR(CONCATENATE(IF(AND($G66&lt;Hta_1,$G66&gt;=Hba_1,Input!AC$21&lt;&gt;""),Input!$B$21&amp;";",""),IF(AND($G66&lt;Hta_2,$G66&gt;=Hba_2,Input!AC$22&lt;&gt;""),Input!$B$22&amp;";",""),IF(AND($G66&lt;Hta_3,$G66&gt;=Hba_3,Input!AC$23&lt;&gt;""),Input!$B$23&amp;";",""),IF(AND($G66&lt;Hta_4,$G66&gt;=Hba_4,Input!AC$24&lt;&gt;""),Input!$B$24&amp;";",""),IF(AND($G66&lt;Hta_5,$G66&gt;=Hba_5,Input!AC$25&lt;&gt;""),Input!$B$25&amp;";",""),IF(AND($G66&lt;Hta_6,$G66&gt;=Hba_6,Input!AC$26&lt;&gt;""),Input!$B$26&amp;";",""),IF(AND($G66&lt;Hta_7,$G66&gt;=Hba_7,Input!AC$27&lt;&gt;""),Input!$B$27&amp;";",""),IF(AND($G66&lt;Hta_8,$G66&gt;=Hba_8,Input!AC$28&lt;&gt;""),Input!$B$28&amp;";",""),IF(AND($G66&lt;Hta_9,$G66&gt;=Hba_9,Input!AC$29&lt;&gt;""),Input!$B$29&amp;";",""),IF(AND($G66&lt;Hta_10,$G66&gt;=Hba_10,Input!AC$30&lt;&gt;""),Input!$B$30&amp;";",""),IF(AND($G66&lt;Hta_11,$G66&gt;=Hba_11,Input!AC$31&lt;&gt;""),Input!$B$31&amp;";",""),IF(AND($G66&lt;Hta_12,$G66&gt;=Hba_12,Input!AC$32&lt;&gt;""),Input!$B$32&amp;";",""),IF(AND($G66&lt;Hta_13,$G66&gt;=Hba_13,Input!AC$33&lt;&gt;""),Input!$B$33&amp;";",""),IF(AND($G66&lt;Hta_14,$G66&gt;=Hba_14,Input!AC$34&lt;&gt;""),Input!$B$34&amp;";",""),IF(AND($G66&lt;Hta_15,$G66&gt;=Hba_15,Input!AC$35&lt;&gt;""),Input!$B$35&amp;";",""),IF(AND($G66&lt;Hta_16,$G66&gt;=Hba_16,Input!AC$36&lt;&gt;""),Input!$B$36&amp;";",""),IF(AND($G66&lt;Hta_17,$G66&gt;=Hba_17,Input!AC$37&lt;&gt;""),Input!$B$37&amp;";",""),IF(AND($G66&lt;Hta_18,$G66&gt;=Hba_18,Input!AC$38&lt;&gt;""),Input!$B$38&amp;";",""),IF(AND($G66&lt;Hta_19,$G66&gt;=Hba_19,Input!AC$39&lt;&gt;""),Input!$B$39&amp;";",""),IF(AND($G66&lt;Hta_20,$G66&gt;=Hba_20,Input!AC$40&lt;&gt;""),Input!$B$40&amp;";",""),IF(AND($G66&lt;Hta_21,$G66&gt;=Hba_21,Input!AC$41&lt;&gt;""),Input!$B$41&amp;";",""),IF(AND($G66&lt;Hta_22,$G66&gt;=Hba_22,Input!AC$42&lt;&gt;""),Input!$B$42&amp;";",""),IF(AND($G66&lt;Hta_23,$G66&gt;=Hba_23,Input!AC$43&lt;&gt;""),Input!$B$43&amp;";",""),IF(AND($G66&lt;Hta_24,$G66&gt;=Hba_24,Input!AC$44&lt;&gt;""),Input!$B$44&amp;";",""),IF(AND($G66&lt;Hta_25,$G66&gt;=Hba_25,Input!AC$45&lt;&gt;""),Input!$B$45&amp;";",""),IF(AND($G66&lt;Hta_26,$G66&gt;=Hba_26,Input!AC$46&lt;&gt;""),Input!$B$46&amp;";",""),IF(AND($G66&lt;Hta_27,$G66&gt;=Hba_27,Input!AC$47&lt;&gt;""),Input!$B$47&amp;";",""),IF(AND($G66&lt;Hta_28,$G66&gt;=Hba_28,Input!AC$48&lt;&gt;""),Input!$B$48&amp;";",""),IF(AND($G66&lt;Hta_29,$G66&gt;=Hba_29,Input!AC$49&lt;&gt;""),Input!$B$49&amp;";",""),IF(AND($G66&lt;Hta_30,$G66&gt;=Hba_30,Input!AC$50&lt;&gt;""),Input!$B$50&amp;";","")),"")</f>
        <v/>
      </c>
      <c r="CE66" s="25" t="str">
        <f>IFERROR(CONCATENATE(IF(AND($G66&lt;Hta_1,$G66&gt;=Hba_1,Input!AD$21&lt;&gt;""),Input!$B$21&amp;";",""),IF(AND($G66&lt;Hta_2,$G66&gt;=Hba_2,Input!AD$22&lt;&gt;""),Input!$B$22&amp;";",""),IF(AND($G66&lt;Hta_3,$G66&gt;=Hba_3,Input!AD$23&lt;&gt;""),Input!$B$23&amp;";",""),IF(AND($G66&lt;Hta_4,$G66&gt;=Hba_4,Input!AD$24&lt;&gt;""),Input!$B$24&amp;";",""),IF(AND($G66&lt;Hta_5,$G66&gt;=Hba_5,Input!AD$25&lt;&gt;""),Input!$B$25&amp;";",""),IF(AND($G66&lt;Hta_6,$G66&gt;=Hba_6,Input!AD$26&lt;&gt;""),Input!$B$26&amp;";",""),IF(AND($G66&lt;Hta_7,$G66&gt;=Hba_7,Input!AD$27&lt;&gt;""),Input!$B$27&amp;";",""),IF(AND($G66&lt;Hta_8,$G66&gt;=Hba_8,Input!AD$28&lt;&gt;""),Input!$B$28&amp;";",""),IF(AND($G66&lt;Hta_9,$G66&gt;=Hba_9,Input!AD$29&lt;&gt;""),Input!$B$29&amp;";",""),IF(AND($G66&lt;Hta_10,$G66&gt;=Hba_10,Input!AD$30&lt;&gt;""),Input!$B$30&amp;";",""),IF(AND($G66&lt;Hta_11,$G66&gt;=Hba_11,Input!AD$31&lt;&gt;""),Input!$B$31&amp;";",""),IF(AND($G66&lt;Hta_12,$G66&gt;=Hba_12,Input!AD$32&lt;&gt;""),Input!$B$32&amp;";",""),IF(AND($G66&lt;Hta_13,$G66&gt;=Hba_13,Input!AD$33&lt;&gt;""),Input!$B$33&amp;";",""),IF(AND($G66&lt;Hta_14,$G66&gt;=Hba_14,Input!AD$34&lt;&gt;""),Input!$B$34&amp;";",""),IF(AND($G66&lt;Hta_15,$G66&gt;=Hba_15,Input!AD$35&lt;&gt;""),Input!$B$35&amp;";",""),IF(AND($G66&lt;Hta_16,$G66&gt;=Hba_16,Input!AD$36&lt;&gt;""),Input!$B$36&amp;";",""),IF(AND($G66&lt;Hta_17,$G66&gt;=Hba_17,Input!AD$37&lt;&gt;""),Input!$B$37&amp;";",""),IF(AND($G66&lt;Hta_18,$G66&gt;=Hba_18,Input!AD$38&lt;&gt;""),Input!$B$38&amp;";",""),IF(AND($G66&lt;Hta_19,$G66&gt;=Hba_19,Input!AD$39&lt;&gt;""),Input!$B$39&amp;";",""),IF(AND($G66&lt;Hta_20,$G66&gt;=Hba_20,Input!AD$40&lt;&gt;""),Input!$B$40&amp;";",""),IF(AND($G66&lt;Hta_21,$G66&gt;=Hba_21,Input!AD$41&lt;&gt;""),Input!$B$41&amp;";",""),IF(AND($G66&lt;Hta_22,$G66&gt;=Hba_22,Input!AD$42&lt;&gt;""),Input!$B$42&amp;";",""),IF(AND($G66&lt;Hta_23,$G66&gt;=Hba_23,Input!AD$43&lt;&gt;""),Input!$B$43&amp;";",""),IF(AND($G66&lt;Hta_24,$G66&gt;=Hba_24,Input!AD$44&lt;&gt;""),Input!$B$44&amp;";",""),IF(AND($G66&lt;Hta_25,$G66&gt;=Hba_25,Input!AD$45&lt;&gt;""),Input!$B$45&amp;";",""),IF(AND($G66&lt;Hta_26,$G66&gt;=Hba_26,Input!AD$46&lt;&gt;""),Input!$B$46&amp;";",""),IF(AND($G66&lt;Hta_27,$G66&gt;=Hba_27,Input!AD$47&lt;&gt;""),Input!$B$47&amp;";",""),IF(AND($G66&lt;Hta_28,$G66&gt;=Hba_28,Input!AD$48&lt;&gt;""),Input!$B$48&amp;";",""),IF(AND($G66&lt;Hta_29,$G66&gt;=Hba_29,Input!AD$49&lt;&gt;""),Input!$B$49&amp;";",""),IF(AND($G66&lt;Hta_30,$G66&gt;=Hba_30,Input!AD$50&lt;&gt;""),Input!$B$50&amp;";","")),"")</f>
        <v/>
      </c>
      <c r="CF66" s="25" t="str">
        <f>IFERROR(CONCATENATE(IF(AND($G66&lt;Hta_1,$G66&gt;=Hba_1,Input!AE$21&lt;&gt;""),Input!$B$21&amp;";",""),IF(AND($G66&lt;Hta_2,$G66&gt;=Hba_2,Input!AE$22&lt;&gt;""),Input!$B$22&amp;";",""),IF(AND($G66&lt;Hta_3,$G66&gt;=Hba_3,Input!AE$23&lt;&gt;""),Input!$B$23&amp;";",""),IF(AND($G66&lt;Hta_4,$G66&gt;=Hba_4,Input!AE$24&lt;&gt;""),Input!$B$24&amp;";",""),IF(AND($G66&lt;Hta_5,$G66&gt;=Hba_5,Input!AE$25&lt;&gt;""),Input!$B$25&amp;";",""),IF(AND($G66&lt;Hta_6,$G66&gt;=Hba_6,Input!AE$26&lt;&gt;""),Input!$B$26&amp;";",""),IF(AND($G66&lt;Hta_7,$G66&gt;=Hba_7,Input!AE$27&lt;&gt;""),Input!$B$27&amp;";",""),IF(AND($G66&lt;Hta_8,$G66&gt;=Hba_8,Input!AE$28&lt;&gt;""),Input!$B$28&amp;";",""),IF(AND($G66&lt;Hta_9,$G66&gt;=Hba_9,Input!AE$29&lt;&gt;""),Input!$B$29&amp;";",""),IF(AND($G66&lt;Hta_10,$G66&gt;=Hba_10,Input!AE$30&lt;&gt;""),Input!$B$30&amp;";",""),IF(AND($G66&lt;Hta_11,$G66&gt;=Hba_11,Input!AE$31&lt;&gt;""),Input!$B$31&amp;";",""),IF(AND($G66&lt;Hta_12,$G66&gt;=Hba_12,Input!AE$32&lt;&gt;""),Input!$B$32&amp;";",""),IF(AND($G66&lt;Hta_13,$G66&gt;=Hba_13,Input!AE$33&lt;&gt;""),Input!$B$33&amp;";",""),IF(AND($G66&lt;Hta_14,$G66&gt;=Hba_14,Input!AE$34&lt;&gt;""),Input!$B$34&amp;";",""),IF(AND($G66&lt;Hta_15,$G66&gt;=Hba_15,Input!AE$35&lt;&gt;""),Input!$B$35&amp;";",""),IF(AND($G66&lt;Hta_16,$G66&gt;=Hba_16,Input!AE$36&lt;&gt;""),Input!$B$36&amp;";",""),IF(AND($G66&lt;Hta_17,$G66&gt;=Hba_17,Input!AE$37&lt;&gt;""),Input!$B$37&amp;";",""),IF(AND($G66&lt;Hta_18,$G66&gt;=Hba_18,Input!AE$38&lt;&gt;""),Input!$B$38&amp;";",""),IF(AND($G66&lt;Hta_19,$G66&gt;=Hba_19,Input!AE$39&lt;&gt;""),Input!$B$39&amp;";",""),IF(AND($G66&lt;Hta_20,$G66&gt;=Hba_20,Input!AE$40&lt;&gt;""),Input!$B$40&amp;";",""),IF(AND($G66&lt;Hta_21,$G66&gt;=Hba_21,Input!AE$41&lt;&gt;""),Input!$B$41&amp;";",""),IF(AND($G66&lt;Hta_22,$G66&gt;=Hba_22,Input!AE$42&lt;&gt;""),Input!$B$42&amp;";",""),IF(AND($G66&lt;Hta_23,$G66&gt;=Hba_23,Input!AE$43&lt;&gt;""),Input!$B$43&amp;";",""),IF(AND($G66&lt;Hta_24,$G66&gt;=Hba_24,Input!AE$44&lt;&gt;""),Input!$B$44&amp;";",""),IF(AND($G66&lt;Hta_25,$G66&gt;=Hba_25,Input!AE$45&lt;&gt;""),Input!$B$45&amp;";",""),IF(AND($G66&lt;Hta_26,$G66&gt;=Hba_26,Input!AE$46&lt;&gt;""),Input!$B$46&amp;";",""),IF(AND($G66&lt;Hta_27,$G66&gt;=Hba_27,Input!AE$47&lt;&gt;""),Input!$B$47&amp;";",""),IF(AND($G66&lt;Hta_28,$G66&gt;=Hba_28,Input!AE$48&lt;&gt;""),Input!$B$48&amp;";",""),IF(AND($G66&lt;Hta_29,$G66&gt;=Hba_29,Input!AE$49&lt;&gt;""),Input!$B$49&amp;";",""),IF(AND($G66&lt;Hta_30,$G66&gt;=Hba_30,Input!AE$50&lt;&gt;""),Input!$B$50&amp;";","")),"")</f>
        <v/>
      </c>
      <c r="CG66" s="25" t="str">
        <f>IFERROR(CONCATENATE(IF(AND($G66&lt;Hta_1,$G66&gt;=Hba_1,Input!AF$21&lt;&gt;""),Input!$B$21&amp;";",""),IF(AND($G66&lt;Hta_2,$G66&gt;=Hba_2,Input!AF$22&lt;&gt;""),Input!$B$22&amp;";",""),IF(AND($G66&lt;Hta_3,$G66&gt;=Hba_3,Input!AF$23&lt;&gt;""),Input!$B$23&amp;";",""),IF(AND($G66&lt;Hta_4,$G66&gt;=Hba_4,Input!AF$24&lt;&gt;""),Input!$B$24&amp;";",""),IF(AND($G66&lt;Hta_5,$G66&gt;=Hba_5,Input!AF$25&lt;&gt;""),Input!$B$25&amp;";",""),IF(AND($G66&lt;Hta_6,$G66&gt;=Hba_6,Input!AF$26&lt;&gt;""),Input!$B$26&amp;";",""),IF(AND($G66&lt;Hta_7,$G66&gt;=Hba_7,Input!AF$27&lt;&gt;""),Input!$B$27&amp;";",""),IF(AND($G66&lt;Hta_8,$G66&gt;=Hba_8,Input!AF$28&lt;&gt;""),Input!$B$28&amp;";",""),IF(AND($G66&lt;Hta_9,$G66&gt;=Hba_9,Input!AF$29&lt;&gt;""),Input!$B$29&amp;";",""),IF(AND($G66&lt;Hta_10,$G66&gt;=Hba_10,Input!AF$30&lt;&gt;""),Input!$B$30&amp;";",""),IF(AND($G66&lt;Hta_11,$G66&gt;=Hba_11,Input!AF$31&lt;&gt;""),Input!$B$31&amp;";",""),IF(AND($G66&lt;Hta_12,$G66&gt;=Hba_12,Input!AF$32&lt;&gt;""),Input!$B$32&amp;";",""),IF(AND($G66&lt;Hta_13,$G66&gt;=Hba_13,Input!AF$33&lt;&gt;""),Input!$B$33&amp;";",""),IF(AND($G66&lt;Hta_14,$G66&gt;=Hba_14,Input!AF$34&lt;&gt;""),Input!$B$34&amp;";",""),IF(AND($G66&lt;Hta_15,$G66&gt;=Hba_15,Input!AF$35&lt;&gt;""),Input!$B$35&amp;";",""),IF(AND($G66&lt;Hta_16,$G66&gt;=Hba_16,Input!AF$36&lt;&gt;""),Input!$B$36&amp;";",""),IF(AND($G66&lt;Hta_17,$G66&gt;=Hba_17,Input!AF$37&lt;&gt;""),Input!$B$37&amp;";",""),IF(AND($G66&lt;Hta_18,$G66&gt;=Hba_18,Input!AF$38&lt;&gt;""),Input!$B$38&amp;";",""),IF(AND($G66&lt;Hta_19,$G66&gt;=Hba_19,Input!AF$39&lt;&gt;""),Input!$B$39&amp;";",""),IF(AND($G66&lt;Hta_20,$G66&gt;=Hba_20,Input!AF$40&lt;&gt;""),Input!$B$40&amp;";",""),IF(AND($G66&lt;Hta_21,$G66&gt;=Hba_21,Input!AF$41&lt;&gt;""),Input!$B$41&amp;";",""),IF(AND($G66&lt;Hta_22,$G66&gt;=Hba_22,Input!AF$42&lt;&gt;""),Input!$B$42&amp;";",""),IF(AND($G66&lt;Hta_23,$G66&gt;=Hba_23,Input!AF$43&lt;&gt;""),Input!$B$43&amp;";",""),IF(AND($G66&lt;Hta_24,$G66&gt;=Hba_24,Input!AF$44&lt;&gt;""),Input!$B$44&amp;";",""),IF(AND($G66&lt;Hta_25,$G66&gt;=Hba_25,Input!AF$45&lt;&gt;""),Input!$B$45&amp;";",""),IF(AND($G66&lt;Hta_26,$G66&gt;=Hba_26,Input!AF$46&lt;&gt;""),Input!$B$46&amp;";",""),IF(AND($G66&lt;Hta_27,$G66&gt;=Hba_27,Input!AF$47&lt;&gt;""),Input!$B$47&amp;";",""),IF(AND($G66&lt;Hta_28,$G66&gt;=Hba_28,Input!AF$48&lt;&gt;""),Input!$B$48&amp;";",""),IF(AND($G66&lt;Hta_29,$G66&gt;=Hba_29,Input!AF$49&lt;&gt;""),Input!$B$49&amp;";",""),IF(AND($G66&lt;Hta_30,$G66&gt;=Hba_30,Input!AF$50&lt;&gt;""),Input!$B$50&amp;";","")),"")</f>
        <v/>
      </c>
      <c r="CH66" s="25" t="str">
        <f>IFERROR(CONCATENATE(IF(AND($G66&lt;Hta_1,$G66&gt;=Hba_1,Input!AG$21&lt;&gt;""),Input!$B$21&amp;";",""),IF(AND($G66&lt;Hta_2,$G66&gt;=Hba_2,Input!AG$22&lt;&gt;""),Input!$B$22&amp;";",""),IF(AND($G66&lt;Hta_3,$G66&gt;=Hba_3,Input!AG$23&lt;&gt;""),Input!$B$23&amp;";",""),IF(AND($G66&lt;Hta_4,$G66&gt;=Hba_4,Input!AG$24&lt;&gt;""),Input!$B$24&amp;";",""),IF(AND($G66&lt;Hta_5,$G66&gt;=Hba_5,Input!AG$25&lt;&gt;""),Input!$B$25&amp;";",""),IF(AND($G66&lt;Hta_6,$G66&gt;=Hba_6,Input!AG$26&lt;&gt;""),Input!$B$26&amp;";",""),IF(AND($G66&lt;Hta_7,$G66&gt;=Hba_7,Input!AG$27&lt;&gt;""),Input!$B$27&amp;";",""),IF(AND($G66&lt;Hta_8,$G66&gt;=Hba_8,Input!AG$28&lt;&gt;""),Input!$B$28&amp;";",""),IF(AND($G66&lt;Hta_9,$G66&gt;=Hba_9,Input!AG$29&lt;&gt;""),Input!$B$29&amp;";",""),IF(AND($G66&lt;Hta_10,$G66&gt;=Hba_10,Input!AG$30&lt;&gt;""),Input!$B$30&amp;";",""),IF(AND($G66&lt;Hta_11,$G66&gt;=Hba_11,Input!AG$31&lt;&gt;""),Input!$B$31&amp;";",""),IF(AND($G66&lt;Hta_12,$G66&gt;=Hba_12,Input!AG$32&lt;&gt;""),Input!$B$32&amp;";",""),IF(AND($G66&lt;Hta_13,$G66&gt;=Hba_13,Input!AG$33&lt;&gt;""),Input!$B$33&amp;";",""),IF(AND($G66&lt;Hta_14,$G66&gt;=Hba_14,Input!AG$34&lt;&gt;""),Input!$B$34&amp;";",""),IF(AND($G66&lt;Hta_15,$G66&gt;=Hba_15,Input!AG$35&lt;&gt;""),Input!$B$35&amp;";",""),IF(AND($G66&lt;Hta_16,$G66&gt;=Hba_16,Input!AG$36&lt;&gt;""),Input!$B$36&amp;";",""),IF(AND($G66&lt;Hta_17,$G66&gt;=Hba_17,Input!AG$37&lt;&gt;""),Input!$B$37&amp;";",""),IF(AND($G66&lt;Hta_18,$G66&gt;=Hba_18,Input!AG$38&lt;&gt;""),Input!$B$38&amp;";",""),IF(AND($G66&lt;Hta_19,$G66&gt;=Hba_19,Input!AG$39&lt;&gt;""),Input!$B$39&amp;";",""),IF(AND($G66&lt;Hta_20,$G66&gt;=Hba_20,Input!AG$40&lt;&gt;""),Input!$B$40&amp;";",""),IF(AND($G66&lt;Hta_21,$G66&gt;=Hba_21,Input!AG$41&lt;&gt;""),Input!$B$41&amp;";",""),IF(AND($G66&lt;Hta_22,$G66&gt;=Hba_22,Input!AG$42&lt;&gt;""),Input!$B$42&amp;";",""),IF(AND($G66&lt;Hta_23,$G66&gt;=Hba_23,Input!AG$43&lt;&gt;""),Input!$B$43&amp;";",""),IF(AND($G66&lt;Hta_24,$G66&gt;=Hba_24,Input!AG$44&lt;&gt;""),Input!$B$44&amp;";",""),IF(AND($G66&lt;Hta_25,$G66&gt;=Hba_25,Input!AG$45&lt;&gt;""),Input!$B$45&amp;";",""),IF(AND($G66&lt;Hta_26,$G66&gt;=Hba_26,Input!AG$46&lt;&gt;""),Input!$B$46&amp;";",""),IF(AND($G66&lt;Hta_27,$G66&gt;=Hba_27,Input!AG$47&lt;&gt;""),Input!$B$47&amp;";",""),IF(AND($G66&lt;Hta_28,$G66&gt;=Hba_28,Input!AG$48&lt;&gt;""),Input!$B$48&amp;";",""),IF(AND($G66&lt;Hta_29,$G66&gt;=Hba_29,Input!AG$49&lt;&gt;""),Input!$B$49&amp;";",""),IF(AND($G66&lt;Hta_30,$G66&gt;=Hba_30,Input!AG$50&lt;&gt;""),Input!$B$50&amp;";","")),"")</f>
        <v/>
      </c>
      <c r="CI66" s="25" t="str">
        <f>IFERROR(CONCATENATE(IF(AND($G66&lt;Hta_1,$G66&gt;=Hba_1,Input!AH$21&lt;&gt;""),Input!$B$21&amp;";",""),IF(AND($G66&lt;Hta_2,$G66&gt;=Hba_2,Input!AH$22&lt;&gt;""),Input!$B$22&amp;";",""),IF(AND($G66&lt;Hta_3,$G66&gt;=Hba_3,Input!AH$23&lt;&gt;""),Input!$B$23&amp;";",""),IF(AND($G66&lt;Hta_4,$G66&gt;=Hba_4,Input!AH$24&lt;&gt;""),Input!$B$24&amp;";",""),IF(AND($G66&lt;Hta_5,$G66&gt;=Hba_5,Input!AH$25&lt;&gt;""),Input!$B$25&amp;";",""),IF(AND($G66&lt;Hta_6,$G66&gt;=Hba_6,Input!AH$26&lt;&gt;""),Input!$B$26&amp;";",""),IF(AND($G66&lt;Hta_7,$G66&gt;=Hba_7,Input!AH$27&lt;&gt;""),Input!$B$27&amp;";",""),IF(AND($G66&lt;Hta_8,$G66&gt;=Hba_8,Input!AH$28&lt;&gt;""),Input!$B$28&amp;";",""),IF(AND($G66&lt;Hta_9,$G66&gt;=Hba_9,Input!AH$29&lt;&gt;""),Input!$B$29&amp;";",""),IF(AND($G66&lt;Hta_10,$G66&gt;=Hba_10,Input!AH$30&lt;&gt;""),Input!$B$30&amp;";",""),IF(AND($G66&lt;Hta_11,$G66&gt;=Hba_11,Input!AH$31&lt;&gt;""),Input!$B$31&amp;";",""),IF(AND($G66&lt;Hta_12,$G66&gt;=Hba_12,Input!AH$32&lt;&gt;""),Input!$B$32&amp;";",""),IF(AND($G66&lt;Hta_13,$G66&gt;=Hba_13,Input!AH$33&lt;&gt;""),Input!$B$33&amp;";",""),IF(AND($G66&lt;Hta_14,$G66&gt;=Hba_14,Input!AH$34&lt;&gt;""),Input!$B$34&amp;";",""),IF(AND($G66&lt;Hta_15,$G66&gt;=Hba_15,Input!AH$35&lt;&gt;""),Input!$B$35&amp;";",""),IF(AND($G66&lt;Hta_16,$G66&gt;=Hba_16,Input!AH$36&lt;&gt;""),Input!$B$36&amp;";",""),IF(AND($G66&lt;Hta_17,$G66&gt;=Hba_17,Input!AH$37&lt;&gt;""),Input!$B$37&amp;";",""),IF(AND($G66&lt;Hta_18,$G66&gt;=Hba_18,Input!AH$38&lt;&gt;""),Input!$B$38&amp;";",""),IF(AND($G66&lt;Hta_19,$G66&gt;=Hba_19,Input!AH$39&lt;&gt;""),Input!$B$39&amp;";",""),IF(AND($G66&lt;Hta_20,$G66&gt;=Hba_20,Input!AH$40&lt;&gt;""),Input!$B$40&amp;";",""),IF(AND($G66&lt;Hta_21,$G66&gt;=Hba_21,Input!AH$41&lt;&gt;""),Input!$B$41&amp;";",""),IF(AND($G66&lt;Hta_22,$G66&gt;=Hba_22,Input!AH$42&lt;&gt;""),Input!$B$42&amp;";",""),IF(AND($G66&lt;Hta_23,$G66&gt;=Hba_23,Input!AH$43&lt;&gt;""),Input!$B$43&amp;";",""),IF(AND($G66&lt;Hta_24,$G66&gt;=Hba_24,Input!AH$44&lt;&gt;""),Input!$B$44&amp;";",""),IF(AND($G66&lt;Hta_25,$G66&gt;=Hba_25,Input!AH$45&lt;&gt;""),Input!$B$45&amp;";",""),IF(AND($G66&lt;Hta_26,$G66&gt;=Hba_26,Input!AH$46&lt;&gt;""),Input!$B$46&amp;";",""),IF(AND($G66&lt;Hta_27,$G66&gt;=Hba_27,Input!AH$47&lt;&gt;""),Input!$B$47&amp;";",""),IF(AND($G66&lt;Hta_28,$G66&gt;=Hba_28,Input!AH$48&lt;&gt;""),Input!$B$48&amp;";",""),IF(AND($G66&lt;Hta_29,$G66&gt;=Hba_29,Input!AH$49&lt;&gt;""),Input!$B$49&amp;";",""),IF(AND($G66&lt;Hta_30,$G66&gt;=Hba_30,Input!AH$50&lt;&gt;""),Input!$B$50&amp;";","")),"")</f>
        <v/>
      </c>
      <c r="CJ66" s="25" t="str">
        <f>IFERROR(CONCATENATE(IF(AND($G66&lt;Hta_1,$G66&gt;=Hba_1,Input!AI$21&lt;&gt;""),Input!$B$21&amp;";",""),IF(AND($G66&lt;Hta_2,$G66&gt;=Hba_2,Input!AI$22&lt;&gt;""),Input!$B$22&amp;";",""),IF(AND($G66&lt;Hta_3,$G66&gt;=Hba_3,Input!AI$23&lt;&gt;""),Input!$B$23&amp;";",""),IF(AND($G66&lt;Hta_4,$G66&gt;=Hba_4,Input!AI$24&lt;&gt;""),Input!$B$24&amp;";",""),IF(AND($G66&lt;Hta_5,$G66&gt;=Hba_5,Input!AI$25&lt;&gt;""),Input!$B$25&amp;";",""),IF(AND($G66&lt;Hta_6,$G66&gt;=Hba_6,Input!AI$26&lt;&gt;""),Input!$B$26&amp;";",""),IF(AND($G66&lt;Hta_7,$G66&gt;=Hba_7,Input!AI$27&lt;&gt;""),Input!$B$27&amp;";",""),IF(AND($G66&lt;Hta_8,$G66&gt;=Hba_8,Input!AI$28&lt;&gt;""),Input!$B$28&amp;";",""),IF(AND($G66&lt;Hta_9,$G66&gt;=Hba_9,Input!AI$29&lt;&gt;""),Input!$B$29&amp;";",""),IF(AND($G66&lt;Hta_10,$G66&gt;=Hba_10,Input!AI$30&lt;&gt;""),Input!$B$30&amp;";",""),IF(AND($G66&lt;Hta_11,$G66&gt;=Hba_11,Input!AI$31&lt;&gt;""),Input!$B$31&amp;";",""),IF(AND($G66&lt;Hta_12,$G66&gt;=Hba_12,Input!AI$32&lt;&gt;""),Input!$B$32&amp;";",""),IF(AND($G66&lt;Hta_13,$G66&gt;=Hba_13,Input!AI$33&lt;&gt;""),Input!$B$33&amp;";",""),IF(AND($G66&lt;Hta_14,$G66&gt;=Hba_14,Input!AI$34&lt;&gt;""),Input!$B$34&amp;";",""),IF(AND($G66&lt;Hta_15,$G66&gt;=Hba_15,Input!AI$35&lt;&gt;""),Input!$B$35&amp;";",""),IF(AND($G66&lt;Hta_16,$G66&gt;=Hba_16,Input!AI$36&lt;&gt;""),Input!$B$36&amp;";",""),IF(AND($G66&lt;Hta_17,$G66&gt;=Hba_17,Input!AI$37&lt;&gt;""),Input!$B$37&amp;";",""),IF(AND($G66&lt;Hta_18,$G66&gt;=Hba_18,Input!AI$38&lt;&gt;""),Input!$B$38&amp;";",""),IF(AND($G66&lt;Hta_19,$G66&gt;=Hba_19,Input!AI$39&lt;&gt;""),Input!$B$39&amp;";",""),IF(AND($G66&lt;Hta_20,$G66&gt;=Hba_20,Input!AI$40&lt;&gt;""),Input!$B$40&amp;";",""),IF(AND($G66&lt;Hta_21,$G66&gt;=Hba_21,Input!AI$41&lt;&gt;""),Input!$B$41&amp;";",""),IF(AND($G66&lt;Hta_22,$G66&gt;=Hba_22,Input!AI$42&lt;&gt;""),Input!$B$42&amp;";",""),IF(AND($G66&lt;Hta_23,$G66&gt;=Hba_23,Input!AI$43&lt;&gt;""),Input!$B$43&amp;";",""),IF(AND($G66&lt;Hta_24,$G66&gt;=Hba_24,Input!AI$44&lt;&gt;""),Input!$B$44&amp;";",""),IF(AND($G66&lt;Hta_25,$G66&gt;=Hba_25,Input!AI$45&lt;&gt;""),Input!$B$45&amp;";",""),IF(AND($G66&lt;Hta_26,$G66&gt;=Hba_26,Input!AI$46&lt;&gt;""),Input!$B$46&amp;";",""),IF(AND($G66&lt;Hta_27,$G66&gt;=Hba_27,Input!AI$47&lt;&gt;""),Input!$B$47&amp;";",""),IF(AND($G66&lt;Hta_28,$G66&gt;=Hba_28,Input!AI$48&lt;&gt;""),Input!$B$48&amp;";",""),IF(AND($G66&lt;Hta_29,$G66&gt;=Hba_29,Input!AI$49&lt;&gt;""),Input!$B$49&amp;";",""),IF(AND($G66&lt;Hta_30,$G66&gt;=Hba_30,Input!AI$50&lt;&gt;""),Input!$B$50&amp;";","")),"")</f>
        <v/>
      </c>
      <c r="CK66" s="25" t="str">
        <f>IFERROR(CONCATENATE(IF(AND($G66&lt;Hta_1,$G66&gt;=Hba_1,Input!AJ$21&lt;&gt;""),Input!$B$21&amp;";",""),IF(AND($G66&lt;Hta_2,$G66&gt;=Hba_2,Input!AJ$22&lt;&gt;""),Input!$B$22&amp;";",""),IF(AND($G66&lt;Hta_3,$G66&gt;=Hba_3,Input!AJ$23&lt;&gt;""),Input!$B$23&amp;";",""),IF(AND($G66&lt;Hta_4,$G66&gt;=Hba_4,Input!AJ$24&lt;&gt;""),Input!$B$24&amp;";",""),IF(AND($G66&lt;Hta_5,$G66&gt;=Hba_5,Input!AJ$25&lt;&gt;""),Input!$B$25&amp;";",""),IF(AND($G66&lt;Hta_6,$G66&gt;=Hba_6,Input!AJ$26&lt;&gt;""),Input!$B$26&amp;";",""),IF(AND($G66&lt;Hta_7,$G66&gt;=Hba_7,Input!AJ$27&lt;&gt;""),Input!$B$27&amp;";",""),IF(AND($G66&lt;Hta_8,$G66&gt;=Hba_8,Input!AJ$28&lt;&gt;""),Input!$B$28&amp;";",""),IF(AND($G66&lt;Hta_9,$G66&gt;=Hba_9,Input!AJ$29&lt;&gt;""),Input!$B$29&amp;";",""),IF(AND($G66&lt;Hta_10,$G66&gt;=Hba_10,Input!AJ$30&lt;&gt;""),Input!$B$30&amp;";",""),IF(AND($G66&lt;Hta_11,$G66&gt;=Hba_11,Input!AJ$31&lt;&gt;""),Input!$B$31&amp;";",""),IF(AND($G66&lt;Hta_12,$G66&gt;=Hba_12,Input!AJ$32&lt;&gt;""),Input!$B$32&amp;";",""),IF(AND($G66&lt;Hta_13,$G66&gt;=Hba_13,Input!AJ$33&lt;&gt;""),Input!$B$33&amp;";",""),IF(AND($G66&lt;Hta_14,$G66&gt;=Hba_14,Input!AJ$34&lt;&gt;""),Input!$B$34&amp;";",""),IF(AND($G66&lt;Hta_15,$G66&gt;=Hba_15,Input!AJ$35&lt;&gt;""),Input!$B$35&amp;";",""),IF(AND($G66&lt;Hta_16,$G66&gt;=Hba_16,Input!AJ$36&lt;&gt;""),Input!$B$36&amp;";",""),IF(AND($G66&lt;Hta_17,$G66&gt;=Hba_17,Input!AJ$37&lt;&gt;""),Input!$B$37&amp;";",""),IF(AND($G66&lt;Hta_18,$G66&gt;=Hba_18,Input!AJ$38&lt;&gt;""),Input!$B$38&amp;";",""),IF(AND($G66&lt;Hta_19,$G66&gt;=Hba_19,Input!AJ$39&lt;&gt;""),Input!$B$39&amp;";",""),IF(AND($G66&lt;Hta_20,$G66&gt;=Hba_20,Input!AJ$40&lt;&gt;""),Input!$B$40&amp;";",""),IF(AND($G66&lt;Hta_21,$G66&gt;=Hba_21,Input!AJ$41&lt;&gt;""),Input!$B$41&amp;";",""),IF(AND($G66&lt;Hta_22,$G66&gt;=Hba_22,Input!AJ$42&lt;&gt;""),Input!$B$42&amp;";",""),IF(AND($G66&lt;Hta_23,$G66&gt;=Hba_23,Input!AJ$43&lt;&gt;""),Input!$B$43&amp;";",""),IF(AND($G66&lt;Hta_24,$G66&gt;=Hba_24,Input!AJ$44&lt;&gt;""),Input!$B$44&amp;";",""),IF(AND($G66&lt;Hta_25,$G66&gt;=Hba_25,Input!AJ$45&lt;&gt;""),Input!$B$45&amp;";",""),IF(AND($G66&lt;Hta_26,$G66&gt;=Hba_26,Input!AJ$46&lt;&gt;""),Input!$B$46&amp;";",""),IF(AND($G66&lt;Hta_27,$G66&gt;=Hba_27,Input!AJ$47&lt;&gt;""),Input!$B$47&amp;";",""),IF(AND($G66&lt;Hta_28,$G66&gt;=Hba_28,Input!AJ$48&lt;&gt;""),Input!$B$48&amp;";",""),IF(AND($G66&lt;Hta_29,$G66&gt;=Hba_29,Input!AJ$49&lt;&gt;""),Input!$B$49&amp;";",""),IF(AND($G66&lt;Hta_30,$G66&gt;=Hba_30,Input!AJ$50&lt;&gt;""),Input!$B$50&amp;";","")),"")</f>
        <v/>
      </c>
      <c r="CL66" s="25" t="str">
        <f>IFERROR(CONCATENATE(IF(AND($G66&lt;Hta_1,$G66&gt;=Hba_1,Input!AK$21&lt;&gt;""),Input!$B$21&amp;";",""),IF(AND($G66&lt;Hta_2,$G66&gt;=Hba_2,Input!AK$22&lt;&gt;""),Input!$B$22&amp;";",""),IF(AND($G66&lt;Hta_3,$G66&gt;=Hba_3,Input!AK$23&lt;&gt;""),Input!$B$23&amp;";",""),IF(AND($G66&lt;Hta_4,$G66&gt;=Hba_4,Input!AK$24&lt;&gt;""),Input!$B$24&amp;";",""),IF(AND($G66&lt;Hta_5,$G66&gt;=Hba_5,Input!AK$25&lt;&gt;""),Input!$B$25&amp;";",""),IF(AND($G66&lt;Hta_6,$G66&gt;=Hba_6,Input!AK$26&lt;&gt;""),Input!$B$26&amp;";",""),IF(AND($G66&lt;Hta_7,$G66&gt;=Hba_7,Input!AK$27&lt;&gt;""),Input!$B$27&amp;";",""),IF(AND($G66&lt;Hta_8,$G66&gt;=Hba_8,Input!AK$28&lt;&gt;""),Input!$B$28&amp;";",""),IF(AND($G66&lt;Hta_9,$G66&gt;=Hba_9,Input!AK$29&lt;&gt;""),Input!$B$29&amp;";",""),IF(AND($G66&lt;Hta_10,$G66&gt;=Hba_10,Input!AK$30&lt;&gt;""),Input!$B$30&amp;";",""),IF(AND($G66&lt;Hta_11,$G66&gt;=Hba_11,Input!AK$31&lt;&gt;""),Input!$B$31&amp;";",""),IF(AND($G66&lt;Hta_12,$G66&gt;=Hba_12,Input!AK$32&lt;&gt;""),Input!$B$32&amp;";",""),IF(AND($G66&lt;Hta_13,$G66&gt;=Hba_13,Input!AK$33&lt;&gt;""),Input!$B$33&amp;";",""),IF(AND($G66&lt;Hta_14,$G66&gt;=Hba_14,Input!AK$34&lt;&gt;""),Input!$B$34&amp;";",""),IF(AND($G66&lt;Hta_15,$G66&gt;=Hba_15,Input!AK$35&lt;&gt;""),Input!$B$35&amp;";",""),IF(AND($G66&lt;Hta_16,$G66&gt;=Hba_16,Input!AK$36&lt;&gt;""),Input!$B$36&amp;";",""),IF(AND($G66&lt;Hta_17,$G66&gt;=Hba_17,Input!AK$37&lt;&gt;""),Input!$B$37&amp;";",""),IF(AND($G66&lt;Hta_18,$G66&gt;=Hba_18,Input!AK$38&lt;&gt;""),Input!$B$38&amp;";",""),IF(AND($G66&lt;Hta_19,$G66&gt;=Hba_19,Input!AK$39&lt;&gt;""),Input!$B$39&amp;";",""),IF(AND($G66&lt;Hta_20,$G66&gt;=Hba_20,Input!AK$40&lt;&gt;""),Input!$B$40&amp;";",""),IF(AND($G66&lt;Hta_21,$G66&gt;=Hba_21,Input!AK$41&lt;&gt;""),Input!$B$41&amp;";",""),IF(AND($G66&lt;Hta_22,$G66&gt;=Hba_22,Input!AK$42&lt;&gt;""),Input!$B$42&amp;";",""),IF(AND($G66&lt;Hta_23,$G66&gt;=Hba_23,Input!AK$43&lt;&gt;""),Input!$B$43&amp;";",""),IF(AND($G66&lt;Hta_24,$G66&gt;=Hba_24,Input!AK$44&lt;&gt;""),Input!$B$44&amp;";",""),IF(AND($G66&lt;Hta_25,$G66&gt;=Hba_25,Input!AK$45&lt;&gt;""),Input!$B$45&amp;";",""),IF(AND($G66&lt;Hta_26,$G66&gt;=Hba_26,Input!AK$46&lt;&gt;""),Input!$B$46&amp;";",""),IF(AND($G66&lt;Hta_27,$G66&gt;=Hba_27,Input!AK$47&lt;&gt;""),Input!$B$47&amp;";",""),IF(AND($G66&lt;Hta_28,$G66&gt;=Hba_28,Input!AK$48&lt;&gt;""),Input!$B$48&amp;";",""),IF(AND($G66&lt;Hta_29,$G66&gt;=Hba_29,Input!AK$49&lt;&gt;""),Input!$B$49&amp;";",""),IF(AND($G66&lt;Hta_30,$G66&gt;=Hba_30,Input!AK$50&lt;&gt;""),Input!$B$50&amp;";","")),"")</f>
        <v/>
      </c>
      <c r="CM66" s="25" t="str">
        <f>IFERROR(CONCATENATE(IF(AND($G66&lt;Hta_1,$G66&gt;=Hba_1,Input!AL$21&lt;&gt;""),Input!$B$21&amp;";",""),IF(AND($G66&lt;Hta_2,$G66&gt;=Hba_2,Input!AL$22&lt;&gt;""),Input!$B$22&amp;";",""),IF(AND($G66&lt;Hta_3,$G66&gt;=Hba_3,Input!AL$23&lt;&gt;""),Input!$B$23&amp;";",""),IF(AND($G66&lt;Hta_4,$G66&gt;=Hba_4,Input!AL$24&lt;&gt;""),Input!$B$24&amp;";",""),IF(AND($G66&lt;Hta_5,$G66&gt;=Hba_5,Input!AL$25&lt;&gt;""),Input!$B$25&amp;";",""),IF(AND($G66&lt;Hta_6,$G66&gt;=Hba_6,Input!AL$26&lt;&gt;""),Input!$B$26&amp;";",""),IF(AND($G66&lt;Hta_7,$G66&gt;=Hba_7,Input!AL$27&lt;&gt;""),Input!$B$27&amp;";",""),IF(AND($G66&lt;Hta_8,$G66&gt;=Hba_8,Input!AL$28&lt;&gt;""),Input!$B$28&amp;";",""),IF(AND($G66&lt;Hta_9,$G66&gt;=Hba_9,Input!AL$29&lt;&gt;""),Input!$B$29&amp;";",""),IF(AND($G66&lt;Hta_10,$G66&gt;=Hba_10,Input!AL$30&lt;&gt;""),Input!$B$30&amp;";",""),IF(AND($G66&lt;Hta_11,$G66&gt;=Hba_11,Input!AL$31&lt;&gt;""),Input!$B$31&amp;";",""),IF(AND($G66&lt;Hta_12,$G66&gt;=Hba_12,Input!AL$32&lt;&gt;""),Input!$B$32&amp;";",""),IF(AND($G66&lt;Hta_13,$G66&gt;=Hba_13,Input!AL$33&lt;&gt;""),Input!$B$33&amp;";",""),IF(AND($G66&lt;Hta_14,$G66&gt;=Hba_14,Input!AL$34&lt;&gt;""),Input!$B$34&amp;";",""),IF(AND($G66&lt;Hta_15,$G66&gt;=Hba_15,Input!AL$35&lt;&gt;""),Input!$B$35&amp;";",""),IF(AND($G66&lt;Hta_16,$G66&gt;=Hba_16,Input!AL$36&lt;&gt;""),Input!$B$36&amp;";",""),IF(AND($G66&lt;Hta_17,$G66&gt;=Hba_17,Input!AL$37&lt;&gt;""),Input!$B$37&amp;";",""),IF(AND($G66&lt;Hta_18,$G66&gt;=Hba_18,Input!AL$38&lt;&gt;""),Input!$B$38&amp;";",""),IF(AND($G66&lt;Hta_19,$G66&gt;=Hba_19,Input!AL$39&lt;&gt;""),Input!$B$39&amp;";",""),IF(AND($G66&lt;Hta_20,$G66&gt;=Hba_20,Input!AL$40&lt;&gt;""),Input!$B$40&amp;";",""),IF(AND($G66&lt;Hta_21,$G66&gt;=Hba_21,Input!AL$41&lt;&gt;""),Input!$B$41&amp;";",""),IF(AND($G66&lt;Hta_22,$G66&gt;=Hba_22,Input!AL$42&lt;&gt;""),Input!$B$42&amp;";",""),IF(AND($G66&lt;Hta_23,$G66&gt;=Hba_23,Input!AL$43&lt;&gt;""),Input!$B$43&amp;";",""),IF(AND($G66&lt;Hta_24,$G66&gt;=Hba_24,Input!AL$44&lt;&gt;""),Input!$B$44&amp;";",""),IF(AND($G66&lt;Hta_25,$G66&gt;=Hba_25,Input!AL$45&lt;&gt;""),Input!$B$45&amp;";",""),IF(AND($G66&lt;Hta_26,$G66&gt;=Hba_26,Input!AL$46&lt;&gt;""),Input!$B$46&amp;";",""),IF(AND($G66&lt;Hta_27,$G66&gt;=Hba_27,Input!AL$47&lt;&gt;""),Input!$B$47&amp;";",""),IF(AND($G66&lt;Hta_28,$G66&gt;=Hba_28,Input!AL$48&lt;&gt;""),Input!$B$48&amp;";",""),IF(AND($G66&lt;Hta_29,$G66&gt;=Hba_29,Input!AL$49&lt;&gt;""),Input!$B$49&amp;";",""),IF(AND($G66&lt;Hta_30,$G66&gt;=Hba_30,Input!AL$50&lt;&gt;""),Input!$B$50&amp;";","")),"")</f>
        <v/>
      </c>
      <c r="CN66" s="59" t="str">
        <f t="shared" si="6"/>
        <v/>
      </c>
      <c r="CO66" s="791"/>
      <c r="CP66" s="792"/>
      <c r="CQ66" s="793"/>
      <c r="CR66" s="791"/>
      <c r="CS66" s="792"/>
      <c r="CT66" s="793"/>
      <c r="CU66" s="791" t="str">
        <f t="shared" si="7"/>
        <v/>
      </c>
      <c r="CV66" s="792"/>
      <c r="CW66" s="807"/>
      <c r="CX66" s="808"/>
      <c r="CY66" s="730"/>
      <c r="CZ66" s="809"/>
      <c r="DA66" s="733"/>
      <c r="DB66" s="734"/>
      <c r="DC66" s="735"/>
      <c r="DD66" s="729" t="str">
        <f t="shared" si="8"/>
        <v/>
      </c>
      <c r="DE66" s="730"/>
      <c r="DF66" s="731"/>
      <c r="DG66" s="55"/>
      <c r="DH66" s="56"/>
      <c r="DI66" s="56"/>
      <c r="DJ66" s="56"/>
      <c r="DK66" s="56"/>
      <c r="DL66" s="56"/>
      <c r="DM66" s="56"/>
      <c r="DN66" s="56"/>
      <c r="DO66" s="56"/>
      <c r="DP66" s="56"/>
      <c r="DQ66" s="58"/>
      <c r="DR66" s="58"/>
      <c r="DS66" s="58"/>
      <c r="DT66" s="58"/>
      <c r="DU66" s="58"/>
      <c r="DV66" s="58"/>
      <c r="DW66" s="58"/>
      <c r="DX66" s="58"/>
      <c r="DY66" s="58"/>
      <c r="DZ66" s="58"/>
      <c r="EA66" s="58"/>
      <c r="EB66" s="58"/>
      <c r="EC66" s="58"/>
      <c r="ED66" s="58"/>
      <c r="EE66" s="58"/>
      <c r="EF66" s="58"/>
      <c r="EG66" s="58"/>
      <c r="EH66" s="58"/>
      <c r="EI66" s="58"/>
      <c r="EJ66" s="58"/>
      <c r="EK66" s="58"/>
      <c r="EL66" s="134"/>
      <c r="EM66" s="134"/>
      <c r="EN66" s="134"/>
      <c r="EO66" s="134"/>
      <c r="EP66" s="134"/>
      <c r="EQ66" s="134"/>
      <c r="ER66" s="134"/>
      <c r="ES66" s="134"/>
      <c r="ET66" s="134"/>
      <c r="EU66" s="134"/>
      <c r="EV66" s="134"/>
      <c r="EW66" s="134"/>
      <c r="EX66" s="134"/>
      <c r="EY66" s="134"/>
      <c r="EZ66" s="134"/>
      <c r="FA66" s="134"/>
      <c r="FB66" s="134"/>
      <c r="FC66" s="134"/>
      <c r="FD66" s="134"/>
      <c r="FE66" s="134"/>
      <c r="FF66" s="134"/>
      <c r="FG66" s="134"/>
      <c r="FH66" s="134"/>
      <c r="FI66" s="134"/>
      <c r="FJ66" s="134"/>
      <c r="FK66" s="134"/>
      <c r="FL66" s="134"/>
      <c r="FM66" s="134"/>
      <c r="FN66" s="134"/>
      <c r="FO66" s="134"/>
      <c r="FQ66" s="124"/>
      <c r="FR66" s="122"/>
      <c r="FS66" s="120"/>
      <c r="FT66" s="119"/>
    </row>
    <row r="67" spans="2:176" ht="15.75" hidden="1" thickBot="1" x14ac:dyDescent="0.3">
      <c r="B67" s="62" t="b">
        <f>IF(OR(AND(G67&gt;='Geometry 2'!$AK$5,G67&lt;'Geometry 2'!$AL$5),AND(G67&gt;='Geometry 2'!$AK$6,G67&lt;'Geometry 2'!$AL$6),AND(G67&gt;='Geometry 2'!$AK$7,G67&lt;'Geometry 2'!$AL$7),AND(G67&gt;='Geometry 2'!$AK$8,G67&lt;'Geometry 2'!$AL$8),AND(G67&gt;='Geometry 2'!$AK$9,G67&lt;'Geometry 2'!$AL$9),AND(G67&gt;='Geometry 2'!$AK$10,G67&lt;'Geometry 2'!$AL$10),AND(G67&gt;='Geometry 2'!$AK$11,G67&lt;'Geometry 2'!$AL$11),AND(G67&gt;='Geometry 2'!$AK$12,G67&lt;'Geometry 2'!$AL$12),AND(G67&gt;='Geometry 2'!$AK$13,G67&lt;'Geometry 2'!$AL$13),AND(G67&gt;='Geometry 2'!$AK$14,G67&lt;'Geometry 2'!$AL$14)),TRUE,FALSE)</f>
        <v>0</v>
      </c>
      <c r="C67" s="4" t="str">
        <f t="shared" si="3"/>
        <v/>
      </c>
      <c r="D67" s="766" t="str">
        <f t="shared" si="4"/>
        <v/>
      </c>
      <c r="E67" s="767"/>
      <c r="F67" s="17" t="str">
        <f t="shared" si="2"/>
        <v/>
      </c>
      <c r="G67" s="768" t="str">
        <f>IF(D67="","",MAX(0,G66-IF(inc="n/a",999,inc),MAX(IF(G66&lt;=Hta_1,0,Hta_1),IF(G66&lt;=Hta_2,0,Hta_2),IF(G66&lt;=Hta_3,0,Hta_3),IF(G66&lt;=Hta_4,0,Hta_4),IF(G66&lt;=Hta_5,0,Hta_5),IF(G66&lt;=Hta_6,0,Hta_6),IF(G66&lt;=Hta_7,0,Hta_7),IF(G66&lt;=Hta_8,0,Hta_8),IF(G66&lt;=Hta_9,0,Hta_9),IF(G66&lt;=Hta_10,0,Hta_10),IF(G66&lt;=Hta_11,0,Hta_11),IF(G66&lt;=Hta_12,0,Hta_12),IF(G66&lt;=Hta_13,0,Hta_13),IF(G66&lt;=Hta_14,0,Hta_14),IF(G66&lt;=Hta_15,0,Hta_15),IF(G66&lt;=Hta_16,0,Hta_16),IF(G66&lt;=Hta_17,0,Hta_17),IF(G66&lt;=Hta_18,0,Hta_18),IF(G66&lt;=Hta_19,0,Hta_19),IF(G66&lt;=Hta_20,0,Hta_20),IF(G66&lt;=Hta_21,0,Hta_21),IF(G66&lt;=Hta_22,0,Hta_22),IF(G66&lt;=Hta_23,0,Hta_23),IF(G66&lt;=Hta_24,0,Hta_24),IF(G66&lt;=Hta_25,0,Hta_25),IF(G66&lt;=Hta_26,0,Hta_26),IF(G66&lt;=Hta_27,0,Hta_27),IF(G66&lt;=Hta_28,0,Hta_28),IF(G66&lt;=Hta_29,0,Hta_29),IF(G66&lt;=Hta_30,0,Hta_30)),MAX(IF(G66&lt;=Hta_1-0.25,0,Hta_1-0.25),IF(G66&lt;=Hta_2-0.25,0,Hta_2-0.25),IF(G66&lt;=Hta_3-0.25,0,Hta_3-0.25),IF(G66&lt;=Hta_4-0.25,0,Hta_4-0.25),IF(G66&lt;=Hta_5-0.25,0,Hta_5-0.25),IF(G66&lt;=Hta_6-0.25,0,Hta_6-0.25),IF(G66&lt;=Hta_7-0.25,0,Hta_7-0.25),IF(G66&lt;=Hta_8-0.25,0,Hta_8-0.25),IF(G66&lt;=Hta_9-0.25,0,Hta_9-0.25),IF(G66&lt;=Hta_10-0.25,0,Hta_10-0.25),IF(G66&lt;=Hta_11-0.25,0,Hta_11-0.25),IF(G66&lt;=Hta_12-0.25,0,Hta_12-0.25),IF(G66&lt;=Hta_13-0.25,0,Hta_13-0.25),IF(G66&lt;=Hta_14-0.25,0,Hta_14-0.25),IF(G66&lt;=Hta_15-0.25,0,Hta_15-0.25),IF(G66&lt;=Hta_16-0.25,0,Hta_16-0.25),IF(G66&lt;=Hta_17-0.25,0,Hta_17-0.25),IF(G66&lt;=Hta_18-0.25,0,Hta_18-0.25),IF(G66&lt;=Hta_19-0.25,0,Hta_19-0.25),IF(G66&lt;=Hta_20-0.25,0,Hta_20-0.25),IF(G66&lt;=Hta_21-0.25,0,Hta_21-0.25),IF(G66&lt;=Hta_22-0.25,0,Hta_22-0.25),IF(G66&lt;=Hta_23-0.25,0,Hta_23-0.25),IF(G66&lt;=Hta_24-0.25,0,Hta_24-0.25),IF(G66&lt;=Hta_25-0.25,0,Hta_25-0.25),IF(G66&lt;=Hta_26-0.25,0,Hta_26-0.25),IF(G66&lt;=Hta_27-0.25,0,Hta_27-0.25),IF(G66&lt;=Hta_28-0.25,0,Hta_28-0.25),IF(G66&lt;=Hta_29-0.25,0,Hta_29-0.25),IF(G66&lt;=Hta_30-0.25,0,Hta_30-0.25)),MAX(IF(G66&lt;=Hba_1,0,Hba_1),IF(G66&lt;=Hba_2,0,Hba_2),IF(G66&lt;=Hba_3,0,Hba_3),IF(G66&lt;=Hba_4,0,Hba_4),IF(G66&lt;=Hba_5,0,Hba_5),IF(G66&lt;=Hba_6,0,Hba_6),IF(G66&lt;=Hba_7,0,Hba_7),IF(G66&lt;=Hba_8,0,Hba_8),IF(G66&lt;=Hba_9,0,Hba_9),IF(G66&lt;=Hba_10,0,Hba_10),IF(G66&lt;=Hba_11,0,Hba_11),IF(G66&lt;=Hba_12,0,Hba_12),IF(G66&lt;=Hba_13,0,Hba_13),IF(G66&lt;=Hba_14,0,Hba_14),IF(G66&lt;=Hba_15,0,Hba_15),IF(G66&lt;=Hba_16,0,Hba_16),IF(G66&lt;=Hba_17,0,Hba_17),IF(G66&lt;=Hba_18,0,Hba_18),IF(G66&lt;=Hba_19,0,Hba_19),IF(G66&lt;=Hba_20,0,Hba_20),IF(G66&lt;=Hba_21,0,Hba_21),IF(G66&lt;=Hba_22,0,Hba_22),IF(G66&lt;=Hba_23,0,Hba_23),IF(G66&lt;=Hba_24,0,Hba_24),IF(G66&lt;=Hba_25,0,Hba_25),IF(G66&lt;=Hba_26,0,Hba_26),IF(G66&lt;=Hba_27,0,Hba_27),IF(G66&lt;=Hba_28,0,Hba_28),IF(G66&lt;=Hba_29,0,Hba_29),IF(G66&lt;=Hba_30,0,Hba_30)),MAX(IF(G66&lt;=Input!$C$8,0,Input!$C$8),IF(G66&lt;=Input!$C$9,0,Input!$C$9),IF(G66&lt;=Input!$C$10,0,Input!$C$10),IF(G66&lt;=Input!$C$11,0,Input!$C$11),IF(G66&lt;=Input!$C$12,0,Input!$C$12),IF(G66&lt;=Input!$C$13,0,Input!$C$13),IF(G66&lt;=Input!$C$14,0,Input!$C$14),IF(G66&lt;=Input!$C$15,0,Input!$C$15),IF(G66&lt;=Input!$C$16,0,Input!$C$16)),MAX(IF(G66&lt;=Hba_1-0.25,0,Hba_1-0.25),IF(G66&lt;=Hba_2-0.25,0,Hba_2-0.25),IF(G66&lt;=Hba_3-0.25,0,Hba_3-0.25),IF(G66&lt;=Hba_4-0.25,0,Hba_4-0.25),IF(G66&lt;=Hba_5-0.25,0,Hba_5-0.25),IF(G66&lt;=Hba_6-0.25,0,Hba_6-0.25),IF(G66&lt;=Hba_7-0.25,0,Hba_7-0.25),IF(G66&lt;=Hba_8-0.25,0,Hba_8-0.25),IF(G66&lt;=Hba_9-0.25,0,Hba_9-0.25),IF(G66&lt;=Hba_10-0.25,0,Hba_10-0.25),IF(G66&lt;=Hba_11-0.25,0,Hba_11-0.25),IF(G66&lt;=Hba_12-0.25,0,Hba_12-0.25),IF(G66&lt;=Hba_13-0.25,0,Hba_13-0.25),IF(G66&lt;=Hba_14-0.25,0,Hba_14-0.25),IF(G66&lt;=Hba_15-0.25,0,Hba_15-0.25),IF(G66&lt;=Hba_16-0.25,0,Hba_16-0.25),IF(G66&lt;=Hba_17-0.25,0,Hba_17-0.25),IF(G66&lt;=Hba_18-0.25,0,Hba_18-0.25),IF(G66&lt;=Hba_19-0.25,0,Hba_19-0.25),IF(G66&lt;=Hba_20-0.25,0,Hba_20-0.25),IF(G66&lt;=Hba_21-0.25,0,Hba_21-0.25),IF(G66&lt;=Hba_22-0.25,0,Hba_22-0.25),IF(G66&lt;=Hba_23-0.25,0,Hba_23-0.25),IF(G66&lt;=Hba_24-0.25,0,Hba_24-0.25),IF(G66&lt;=Hba_25-0.25,0,Hba_25-0.25),IF(G66&lt;=Hba_26-0.25,0,Hba_26-0.25),IF(G66&lt;=Hba_27-0.25,0,Hba_27-0.25),IF(G66&lt;=Hba_28-0.25,0,Hba_28-0.25),IF(G66&lt;=Hba_29-0.25,0,Hba_29-0.25),IF(G66&lt;=Hba_30-0.25,0,Hba_30-0.25)),IF(G66&lt;='Macro References'!$A$38,0,'Macro References'!$A$38)))</f>
        <v/>
      </c>
      <c r="H67" s="769"/>
      <c r="I67" s="228"/>
      <c r="J67" s="228"/>
      <c r="K67" s="228"/>
      <c r="L67" s="717" t="str">
        <f t="shared" si="10"/>
        <v/>
      </c>
      <c r="M67" s="717"/>
      <c r="N67" s="717"/>
      <c r="O67" s="717"/>
      <c r="P67" s="717" t="str">
        <f>IF(OR(G67=0,G67=""),"",IF(VLOOKUP(G67,'Geometry 2'!$C$4:$AI$14,1,TRUE)=VLOOKUP(G68,'Geometry 2'!$C$4:$AI$14,1,TRUE),"",IF(VLOOKUP(G67,'Geometry 2'!$C$4:$AI$14,33,TRUE)&lt;&gt;"n/a",MIN(G67,VLOOKUP(G67,'Geometry 2'!$C$4:$AI$14,1,TRUE))-VLOOKUP(G67,'Geometry 2'!$C$4:$AI$14,33,TRUE),"check")))</f>
        <v/>
      </c>
      <c r="Q67" s="717"/>
      <c r="R67" s="717"/>
      <c r="S67" s="717"/>
      <c r="T67" s="717" t="str">
        <f>IF($G67="","",VLOOKUP($G67,'Geometry 2'!$E$4:$AH$14,11,TRUE))</f>
        <v/>
      </c>
      <c r="U67" s="717"/>
      <c r="V67" s="717"/>
      <c r="W67" s="717"/>
      <c r="X67" s="716" t="str">
        <f>IF($G67="","",VLOOKUP($G67,'Geometry 2'!$E$4:$AJ$14,19,TRUE)-12*VLOOKUP($G67,'Geometry 2'!$E$4:$AJ$14,32,TRUE)*($D67-VLOOKUP($G67,'Geometry 2'!$E$5:$AH$14,1,TRUE)))</f>
        <v/>
      </c>
      <c r="Y67" s="716"/>
      <c r="Z67" s="716"/>
      <c r="AA67" s="716"/>
      <c r="AB67" s="757" t="str">
        <f>IF($G67="","",VLOOKUP($G67,'Geometry 2'!$E$4:$AJ$14,19,TRUE)-12*VLOOKUP($G67,'Geometry 2'!$E$4:$AJ$14,32,TRUE)*($G67-VLOOKUP($G67,'Geometry 2'!$E$5:$AH$14,1,TRUE)))</f>
        <v/>
      </c>
      <c r="AC67" s="758"/>
      <c r="AD67" s="758"/>
      <c r="AE67" s="759"/>
      <c r="AF67" s="716" t="str">
        <f>IF($G67="","",VLOOKUP($G67,'Geometry 2'!$E$4:$AJ$14,19,TRUE)-12*VLOOKUP($G67,'Geometry 2'!$E$4:$AJ$14,32,TRUE)*($G67-IF($P67="",0,$P67)-VLOOKUP($G67,'Geometry 2'!$E$5:$AH$14,1,TRUE)))</f>
        <v/>
      </c>
      <c r="AG67" s="716"/>
      <c r="AH67" s="716"/>
      <c r="AI67" s="716"/>
      <c r="AJ67" s="746" t="str">
        <f>IF($G67="","",VLOOKUP($G67,'Geometry 2'!$E$4:$AH$14,23,TRUE))</f>
        <v/>
      </c>
      <c r="AK67" s="747"/>
      <c r="AL67" s="747"/>
      <c r="AM67" s="748"/>
      <c r="AN67" s="717"/>
      <c r="AO67" s="717"/>
      <c r="AP67" s="717"/>
      <c r="AQ67" s="717"/>
      <c r="AR67" s="717" t="str">
        <f>IF($G67="","",VLOOKUP($G67,'Geometry 2'!$E$4:$AH$14,27,TRUE))</f>
        <v/>
      </c>
      <c r="AS67" s="717"/>
      <c r="AT67" s="717"/>
      <c r="AU67" s="718"/>
      <c r="AV67" s="715"/>
      <c r="AW67" s="716"/>
      <c r="AX67" s="716"/>
      <c r="AZ67" s="722" t="str">
        <f t="shared" si="5"/>
        <v/>
      </c>
      <c r="BA67" s="723"/>
      <c r="BB67" s="723"/>
      <c r="BC67" s="724"/>
      <c r="BD67" s="722"/>
      <c r="BE67" s="723"/>
      <c r="BF67" s="723"/>
      <c r="BG67" s="722" t="str">
        <f t="shared" si="9"/>
        <v/>
      </c>
      <c r="BH67" s="723"/>
      <c r="BI67" s="723"/>
      <c r="BJ67" s="723"/>
      <c r="BK67" s="724"/>
      <c r="BL67" s="722"/>
      <c r="BM67" s="723"/>
      <c r="BN67" s="723"/>
      <c r="BO67" s="723"/>
      <c r="BP67" s="725"/>
      <c r="BQ67" s="725"/>
      <c r="BR67" s="722" t="str">
        <f>IF(BP67="","",IF(OR(AND(Rev="H",Calculations!$F$27=TRUE),AND(Rev&lt;&gt;"H",Calculations!$F$30=TRUE)),IF(BP67&lt;=1,"Pass","Fail"),IF(BP67&lt;=1.05,"Pass","Fail")))</f>
        <v/>
      </c>
      <c r="BS67" s="723"/>
      <c r="BT67" s="724"/>
      <c r="BU67" s="49"/>
      <c r="BV67" s="25" t="str">
        <f>IFERROR(CONCATENATE(IF(AND($G67&lt;Hta_1,$G67&gt;=Hba_1,Input!U$21&lt;&gt;""),Input!$B$21&amp;";",""),IF(AND($G67&lt;Hta_2,$G67&gt;=Hba_2,Input!U$22&lt;&gt;""),Input!$B$22&amp;";",""),IF(AND($G67&lt;Hta_3,$G67&gt;=Hba_3,Input!U$23&lt;&gt;""),Input!$B$23&amp;";",""),IF(AND($G67&lt;Hta_4,$G67&gt;=Hba_4,Input!U$24&lt;&gt;""),Input!$B$24&amp;";",""),IF(AND($G67&lt;Hta_5,$G67&gt;=Hba_5,Input!U$25&lt;&gt;""),Input!$B$25&amp;";",""),IF(AND($G67&lt;Hta_6,$G67&gt;=Hba_6,Input!U$26&lt;&gt;""),Input!$B$26&amp;";",""),IF(AND($G67&lt;Hta_7,$G67&gt;=Hba_7,Input!U$27&lt;&gt;""),Input!$B$27&amp;";",""),IF(AND($G67&lt;Hta_8,$G67&gt;=Hba_8,Input!U$28&lt;&gt;""),Input!$B$28&amp;";",""),IF(AND($G67&lt;Hta_9,$G67&gt;=Hba_9,Input!U$29&lt;&gt;""),Input!$B$29&amp;";",""),IF(AND($G67&lt;Hta_10,$G67&gt;=Hba_10,Input!U$30&lt;&gt;""),Input!$B$30&amp;";",""),IF(AND($G67&lt;Hta_11,$G67&gt;=Hba_11,Input!U$31&lt;&gt;""),Input!$B$31&amp;";",""),IF(AND($G67&lt;Hta_12,$G67&gt;=Hba_12,Input!U$32&lt;&gt;""),Input!$B$32&amp;";",""),IF(AND($G67&lt;Hta_13,$G67&gt;=Hba_13,Input!U$33&lt;&gt;""),Input!$B$33&amp;";",""),IF(AND($G67&lt;Hta_14,$G67&gt;=Hba_14,Input!U$34&lt;&gt;""),Input!$B$34&amp;";",""),IF(AND($G67&lt;Hta_15,$G67&gt;=Hba_15,Input!U$35&lt;&gt;""),Input!$B$35&amp;";",""),IF(AND($G67&lt;Hta_16,$G67&gt;=Hba_16,Input!U$36&lt;&gt;""),Input!$B$36&amp;";",""),IF(AND($G67&lt;Hta_17,$G67&gt;=Hba_17,Input!U$37&lt;&gt;""),Input!$B$37&amp;";",""),IF(AND($G67&lt;Hta_18,$G67&gt;=Hba_18,Input!U$38&lt;&gt;""),Input!$B$38&amp;";",""),IF(AND($G67&lt;Hta_19,$G67&gt;=Hba_19,Input!U$39&lt;&gt;""),Input!$B$39&amp;";",""),IF(AND($G67&lt;Hta_20,$G67&gt;=Hba_20,Input!U$40&lt;&gt;""),Input!$B$40&amp;";",""),IF(AND($G67&lt;Hta_21,$G67&gt;=Hba_21,Input!U$41&lt;&gt;""),Input!$B$41&amp;";",""),IF(AND($G67&lt;Hta_22,$G67&gt;=Hba_22,Input!U$42&lt;&gt;""),Input!$B$42&amp;";",""),IF(AND($G67&lt;Hta_23,$G67&gt;=Hba_23,Input!U$43&lt;&gt;""),Input!$B$43&amp;";",""),IF(AND($G67&lt;Hta_24,$G67&gt;=Hba_24,Input!U$44&lt;&gt;""),Input!$B$44&amp;";",""),IF(AND($G67&lt;Hta_25,$G67&gt;=Hba_25,Input!U$45&lt;&gt;""),Input!$B$45&amp;";",""),IF(AND($G67&lt;Hta_26,$G67&gt;=Hba_26,Input!U$46&lt;&gt;""),Input!$B$46&amp;";",""),IF(AND($G67&lt;Hta_27,$G67&gt;=Hba_27,Input!U$47&lt;&gt;""),Input!$B$47&amp;";",""),IF(AND($G67&lt;Hta_28,$G67&gt;=Hba_28,Input!U$48&lt;&gt;""),Input!$B$48&amp;";",""),IF(AND($G67&lt;Hta_29,$G67&gt;=Hba_29,Input!U$49&lt;&gt;""),Input!$B$49&amp;";",""),IF(AND($G67&lt;Hta_30,$G67&gt;=Hba_30,Input!U$50&lt;&gt;""),Input!$B$50&amp;";","")),"")</f>
        <v/>
      </c>
      <c r="BW67" s="25" t="str">
        <f>IFERROR(CONCATENATE(IF(AND($G67&lt;Hta_1,$G67&gt;=Hba_1,Input!V$21&lt;&gt;""),Input!$B$21&amp;";",""),IF(AND($G67&lt;Hta_2,$G67&gt;=Hba_2,Input!V$22&lt;&gt;""),Input!$B$22&amp;";",""),IF(AND($G67&lt;Hta_3,$G67&gt;=Hba_3,Input!V$23&lt;&gt;""),Input!$B$23&amp;";",""),IF(AND($G67&lt;Hta_4,$G67&gt;=Hba_4,Input!V$24&lt;&gt;""),Input!$B$24&amp;";",""),IF(AND($G67&lt;Hta_5,$G67&gt;=Hba_5,Input!V$25&lt;&gt;""),Input!$B$25&amp;";",""),IF(AND($G67&lt;Hta_6,$G67&gt;=Hba_6,Input!V$26&lt;&gt;""),Input!$B$26&amp;";",""),IF(AND($G67&lt;Hta_7,$G67&gt;=Hba_7,Input!V$27&lt;&gt;""),Input!$B$27&amp;";",""),IF(AND($G67&lt;Hta_8,$G67&gt;=Hba_8,Input!V$28&lt;&gt;""),Input!$B$28&amp;";",""),IF(AND($G67&lt;Hta_9,$G67&gt;=Hba_9,Input!V$29&lt;&gt;""),Input!$B$29&amp;";",""),IF(AND($G67&lt;Hta_10,$G67&gt;=Hba_10,Input!V$30&lt;&gt;""),Input!$B$30&amp;";",""),IF(AND($G67&lt;Hta_11,$G67&gt;=Hba_11,Input!V$31&lt;&gt;""),Input!$B$31&amp;";",""),IF(AND($G67&lt;Hta_12,$G67&gt;=Hba_12,Input!V$32&lt;&gt;""),Input!$B$32&amp;";",""),IF(AND($G67&lt;Hta_13,$G67&gt;=Hba_13,Input!V$33&lt;&gt;""),Input!$B$33&amp;";",""),IF(AND($G67&lt;Hta_14,$G67&gt;=Hba_14,Input!V$34&lt;&gt;""),Input!$B$34&amp;";",""),IF(AND($G67&lt;Hta_15,$G67&gt;=Hba_15,Input!V$35&lt;&gt;""),Input!$B$35&amp;";",""),IF(AND($G67&lt;Hta_16,$G67&gt;=Hba_16,Input!V$36&lt;&gt;""),Input!$B$36&amp;";",""),IF(AND($G67&lt;Hta_17,$G67&gt;=Hba_17,Input!V$37&lt;&gt;""),Input!$B$37&amp;";",""),IF(AND($G67&lt;Hta_18,$G67&gt;=Hba_18,Input!V$38&lt;&gt;""),Input!$B$38&amp;";",""),IF(AND($G67&lt;Hta_19,$G67&gt;=Hba_19,Input!V$39&lt;&gt;""),Input!$B$39&amp;";",""),IF(AND($G67&lt;Hta_20,$G67&gt;=Hba_20,Input!V$40&lt;&gt;""),Input!$B$40&amp;";",""),IF(AND($G67&lt;Hta_21,$G67&gt;=Hba_21,Input!V$41&lt;&gt;""),Input!$B$41&amp;";",""),IF(AND($G67&lt;Hta_22,$G67&gt;=Hba_22,Input!V$42&lt;&gt;""),Input!$B$42&amp;";",""),IF(AND($G67&lt;Hta_23,$G67&gt;=Hba_23,Input!V$43&lt;&gt;""),Input!$B$43&amp;";",""),IF(AND($G67&lt;Hta_24,$G67&gt;=Hba_24,Input!V$44&lt;&gt;""),Input!$B$44&amp;";",""),IF(AND($G67&lt;Hta_25,$G67&gt;=Hba_25,Input!V$45&lt;&gt;""),Input!$B$45&amp;";",""),IF(AND($G67&lt;Hta_26,$G67&gt;=Hba_26,Input!V$46&lt;&gt;""),Input!$B$46&amp;";",""),IF(AND($G67&lt;Hta_27,$G67&gt;=Hba_27,Input!V$47&lt;&gt;""),Input!$B$47&amp;";",""),IF(AND($G67&lt;Hta_28,$G67&gt;=Hba_28,Input!V$48&lt;&gt;""),Input!$B$48&amp;";",""),IF(AND($G67&lt;Hta_29,$G67&gt;=Hba_29,Input!V$49&lt;&gt;""),Input!$B$49&amp;";",""),IF(AND($G67&lt;Hta_30,$G67&gt;=Hba_30,Input!V$50&lt;&gt;""),Input!$B$50&amp;";","")),"")</f>
        <v/>
      </c>
      <c r="BX67" s="25" t="str">
        <f>IFERROR(CONCATENATE(IF(AND($G67&lt;Hta_1,$G67&gt;=Hba_1,Input!W$21&lt;&gt;""),Input!$B$21&amp;";",""),IF(AND($G67&lt;Hta_2,$G67&gt;=Hba_2,Input!W$22&lt;&gt;""),Input!$B$22&amp;";",""),IF(AND($G67&lt;Hta_3,$G67&gt;=Hba_3,Input!W$23&lt;&gt;""),Input!$B$23&amp;";",""),IF(AND($G67&lt;Hta_4,$G67&gt;=Hba_4,Input!W$24&lt;&gt;""),Input!$B$24&amp;";",""),IF(AND($G67&lt;Hta_5,$G67&gt;=Hba_5,Input!W$25&lt;&gt;""),Input!$B$25&amp;";",""),IF(AND($G67&lt;Hta_6,$G67&gt;=Hba_6,Input!W$26&lt;&gt;""),Input!$B$26&amp;";",""),IF(AND($G67&lt;Hta_7,$G67&gt;=Hba_7,Input!W$27&lt;&gt;""),Input!$B$27&amp;";",""),IF(AND($G67&lt;Hta_8,$G67&gt;=Hba_8,Input!W$28&lt;&gt;""),Input!$B$28&amp;";",""),IF(AND($G67&lt;Hta_9,$G67&gt;=Hba_9,Input!W$29&lt;&gt;""),Input!$B$29&amp;";",""),IF(AND($G67&lt;Hta_10,$G67&gt;=Hba_10,Input!W$30&lt;&gt;""),Input!$B$30&amp;";",""),IF(AND($G67&lt;Hta_11,$G67&gt;=Hba_11,Input!W$31&lt;&gt;""),Input!$B$31&amp;";",""),IF(AND($G67&lt;Hta_12,$G67&gt;=Hba_12,Input!W$32&lt;&gt;""),Input!$B$32&amp;";",""),IF(AND($G67&lt;Hta_13,$G67&gt;=Hba_13,Input!W$33&lt;&gt;""),Input!$B$33&amp;";",""),IF(AND($G67&lt;Hta_14,$G67&gt;=Hba_14,Input!W$34&lt;&gt;""),Input!$B$34&amp;";",""),IF(AND($G67&lt;Hta_15,$G67&gt;=Hba_15,Input!W$35&lt;&gt;""),Input!$B$35&amp;";",""),IF(AND($G67&lt;Hta_16,$G67&gt;=Hba_16,Input!W$36&lt;&gt;""),Input!$B$36&amp;";",""),IF(AND($G67&lt;Hta_17,$G67&gt;=Hba_17,Input!W$37&lt;&gt;""),Input!$B$37&amp;";",""),IF(AND($G67&lt;Hta_18,$G67&gt;=Hba_18,Input!W$38&lt;&gt;""),Input!$B$38&amp;";",""),IF(AND($G67&lt;Hta_19,$G67&gt;=Hba_19,Input!W$39&lt;&gt;""),Input!$B$39&amp;";",""),IF(AND($G67&lt;Hta_20,$G67&gt;=Hba_20,Input!W$40&lt;&gt;""),Input!$B$40&amp;";",""),IF(AND($G67&lt;Hta_21,$G67&gt;=Hba_21,Input!W$41&lt;&gt;""),Input!$B$41&amp;";",""),IF(AND($G67&lt;Hta_22,$G67&gt;=Hba_22,Input!W$42&lt;&gt;""),Input!$B$42&amp;";",""),IF(AND($G67&lt;Hta_23,$G67&gt;=Hba_23,Input!W$43&lt;&gt;""),Input!$B$43&amp;";",""),IF(AND($G67&lt;Hta_24,$G67&gt;=Hba_24,Input!W$44&lt;&gt;""),Input!$B$44&amp;";",""),IF(AND($G67&lt;Hta_25,$G67&gt;=Hba_25,Input!W$45&lt;&gt;""),Input!$B$45&amp;";",""),IF(AND($G67&lt;Hta_26,$G67&gt;=Hba_26,Input!W$46&lt;&gt;""),Input!$B$46&amp;";",""),IF(AND($G67&lt;Hta_27,$G67&gt;=Hba_27,Input!W$47&lt;&gt;""),Input!$B$47&amp;";",""),IF(AND($G67&lt;Hta_28,$G67&gt;=Hba_28,Input!W$48&lt;&gt;""),Input!$B$48&amp;";",""),IF(AND($G67&lt;Hta_29,$G67&gt;=Hba_29,Input!W$49&lt;&gt;""),Input!$B$49&amp;";",""),IF(AND($G67&lt;Hta_30,$G67&gt;=Hba_30,Input!W$50&lt;&gt;""),Input!$B$50&amp;";","")),"")</f>
        <v/>
      </c>
      <c r="BY67" s="25" t="str">
        <f>IFERROR(CONCATENATE(IF(AND($G67&lt;Hta_1,$G67&gt;=Hba_1,Input!X$21&lt;&gt;""),Input!$B$21&amp;";",""),IF(AND($G67&lt;Hta_2,$G67&gt;=Hba_2,Input!X$22&lt;&gt;""),Input!$B$22&amp;";",""),IF(AND($G67&lt;Hta_3,$G67&gt;=Hba_3,Input!X$23&lt;&gt;""),Input!$B$23&amp;";",""),IF(AND($G67&lt;Hta_4,$G67&gt;=Hba_4,Input!X$24&lt;&gt;""),Input!$B$24&amp;";",""),IF(AND($G67&lt;Hta_5,$G67&gt;=Hba_5,Input!X$25&lt;&gt;""),Input!$B$25&amp;";",""),IF(AND($G67&lt;Hta_6,$G67&gt;=Hba_6,Input!X$26&lt;&gt;""),Input!$B$26&amp;";",""),IF(AND($G67&lt;Hta_7,$G67&gt;=Hba_7,Input!X$27&lt;&gt;""),Input!$B$27&amp;";",""),IF(AND($G67&lt;Hta_8,$G67&gt;=Hba_8,Input!X$28&lt;&gt;""),Input!$B$28&amp;";",""),IF(AND($G67&lt;Hta_9,$G67&gt;=Hba_9,Input!X$29&lt;&gt;""),Input!$B$29&amp;";",""),IF(AND($G67&lt;Hta_10,$G67&gt;=Hba_10,Input!X$30&lt;&gt;""),Input!$B$30&amp;";",""),IF(AND($G67&lt;Hta_11,$G67&gt;=Hba_11,Input!X$31&lt;&gt;""),Input!$B$31&amp;";",""),IF(AND($G67&lt;Hta_12,$G67&gt;=Hba_12,Input!X$32&lt;&gt;""),Input!$B$32&amp;";",""),IF(AND($G67&lt;Hta_13,$G67&gt;=Hba_13,Input!X$33&lt;&gt;""),Input!$B$33&amp;";",""),IF(AND($G67&lt;Hta_14,$G67&gt;=Hba_14,Input!X$34&lt;&gt;""),Input!$B$34&amp;";",""),IF(AND($G67&lt;Hta_15,$G67&gt;=Hba_15,Input!X$35&lt;&gt;""),Input!$B$35&amp;";",""),IF(AND($G67&lt;Hta_16,$G67&gt;=Hba_16,Input!X$36&lt;&gt;""),Input!$B$36&amp;";",""),IF(AND($G67&lt;Hta_17,$G67&gt;=Hba_17,Input!X$37&lt;&gt;""),Input!$B$37&amp;";",""),IF(AND($G67&lt;Hta_18,$G67&gt;=Hba_18,Input!X$38&lt;&gt;""),Input!$B$38&amp;";",""),IF(AND($G67&lt;Hta_19,$G67&gt;=Hba_19,Input!X$39&lt;&gt;""),Input!$B$39&amp;";",""),IF(AND($G67&lt;Hta_20,$G67&gt;=Hba_20,Input!X$40&lt;&gt;""),Input!$B$40&amp;";",""),IF(AND($G67&lt;Hta_21,$G67&gt;=Hba_21,Input!X$41&lt;&gt;""),Input!$B$41&amp;";",""),IF(AND($G67&lt;Hta_22,$G67&gt;=Hba_22,Input!X$42&lt;&gt;""),Input!$B$42&amp;";",""),IF(AND($G67&lt;Hta_23,$G67&gt;=Hba_23,Input!X$43&lt;&gt;""),Input!$B$43&amp;";",""),IF(AND($G67&lt;Hta_24,$G67&gt;=Hba_24,Input!X$44&lt;&gt;""),Input!$B$44&amp;";",""),IF(AND($G67&lt;Hta_25,$G67&gt;=Hba_25,Input!X$45&lt;&gt;""),Input!$B$45&amp;";",""),IF(AND($G67&lt;Hta_26,$G67&gt;=Hba_26,Input!X$46&lt;&gt;""),Input!$B$46&amp;";",""),IF(AND($G67&lt;Hta_27,$G67&gt;=Hba_27,Input!X$47&lt;&gt;""),Input!$B$47&amp;";",""),IF(AND($G67&lt;Hta_28,$G67&gt;=Hba_28,Input!X$48&lt;&gt;""),Input!$B$48&amp;";",""),IF(AND($G67&lt;Hta_29,$G67&gt;=Hba_29,Input!X$49&lt;&gt;""),Input!$B$49&amp;";",""),IF(AND($G67&lt;Hta_30,$G67&gt;=Hba_30,Input!X$50&lt;&gt;""),Input!$B$50&amp;";","")),"")</f>
        <v/>
      </c>
      <c r="BZ67" s="25" t="str">
        <f>IFERROR(CONCATENATE(IF(AND($G67&lt;Hta_1,$G67&gt;=Hba_1,Input!Y$21&lt;&gt;""),Input!$B$21&amp;";",""),IF(AND($G67&lt;Hta_2,$G67&gt;=Hba_2,Input!Y$22&lt;&gt;""),Input!$B$22&amp;";",""),IF(AND($G67&lt;Hta_3,$G67&gt;=Hba_3,Input!Y$23&lt;&gt;""),Input!$B$23&amp;";",""),IF(AND($G67&lt;Hta_4,$G67&gt;=Hba_4,Input!Y$24&lt;&gt;""),Input!$B$24&amp;";",""),IF(AND($G67&lt;Hta_5,$G67&gt;=Hba_5,Input!Y$25&lt;&gt;""),Input!$B$25&amp;";",""),IF(AND($G67&lt;Hta_6,$G67&gt;=Hba_6,Input!Y$26&lt;&gt;""),Input!$B$26&amp;";",""),IF(AND($G67&lt;Hta_7,$G67&gt;=Hba_7,Input!Y$27&lt;&gt;""),Input!$B$27&amp;";",""),IF(AND($G67&lt;Hta_8,$G67&gt;=Hba_8,Input!Y$28&lt;&gt;""),Input!$B$28&amp;";",""),IF(AND($G67&lt;Hta_9,$G67&gt;=Hba_9,Input!Y$29&lt;&gt;""),Input!$B$29&amp;";",""),IF(AND($G67&lt;Hta_10,$G67&gt;=Hba_10,Input!Y$30&lt;&gt;""),Input!$B$30&amp;";",""),IF(AND($G67&lt;Hta_11,$G67&gt;=Hba_11,Input!Y$31&lt;&gt;""),Input!$B$31&amp;";",""),IF(AND($G67&lt;Hta_12,$G67&gt;=Hba_12,Input!Y$32&lt;&gt;""),Input!$B$32&amp;";",""),IF(AND($G67&lt;Hta_13,$G67&gt;=Hba_13,Input!Y$33&lt;&gt;""),Input!$B$33&amp;";",""),IF(AND($G67&lt;Hta_14,$G67&gt;=Hba_14,Input!Y$34&lt;&gt;""),Input!$B$34&amp;";",""),IF(AND($G67&lt;Hta_15,$G67&gt;=Hba_15,Input!Y$35&lt;&gt;""),Input!$B$35&amp;";",""),IF(AND($G67&lt;Hta_16,$G67&gt;=Hba_16,Input!Y$36&lt;&gt;""),Input!$B$36&amp;";",""),IF(AND($G67&lt;Hta_17,$G67&gt;=Hba_17,Input!Y$37&lt;&gt;""),Input!$B$37&amp;";",""),IF(AND($G67&lt;Hta_18,$G67&gt;=Hba_18,Input!Y$38&lt;&gt;""),Input!$B$38&amp;";",""),IF(AND($G67&lt;Hta_19,$G67&gt;=Hba_19,Input!Y$39&lt;&gt;""),Input!$B$39&amp;";",""),IF(AND($G67&lt;Hta_20,$G67&gt;=Hba_20,Input!Y$40&lt;&gt;""),Input!$B$40&amp;";",""),IF(AND($G67&lt;Hta_21,$G67&gt;=Hba_21,Input!Y$41&lt;&gt;""),Input!$B$41&amp;";",""),IF(AND($G67&lt;Hta_22,$G67&gt;=Hba_22,Input!Y$42&lt;&gt;""),Input!$B$42&amp;";",""),IF(AND($G67&lt;Hta_23,$G67&gt;=Hba_23,Input!Y$43&lt;&gt;""),Input!$B$43&amp;";",""),IF(AND($G67&lt;Hta_24,$G67&gt;=Hba_24,Input!Y$44&lt;&gt;""),Input!$B$44&amp;";",""),IF(AND($G67&lt;Hta_25,$G67&gt;=Hba_25,Input!Y$45&lt;&gt;""),Input!$B$45&amp;";",""),IF(AND($G67&lt;Hta_26,$G67&gt;=Hba_26,Input!Y$46&lt;&gt;""),Input!$B$46&amp;";",""),IF(AND($G67&lt;Hta_27,$G67&gt;=Hba_27,Input!Y$47&lt;&gt;""),Input!$B$47&amp;";",""),IF(AND($G67&lt;Hta_28,$G67&gt;=Hba_28,Input!Y$48&lt;&gt;""),Input!$B$48&amp;";",""),IF(AND($G67&lt;Hta_29,$G67&gt;=Hba_29,Input!Y$49&lt;&gt;""),Input!$B$49&amp;";",""),IF(AND($G67&lt;Hta_30,$G67&gt;=Hba_30,Input!Y$50&lt;&gt;""),Input!$B$50&amp;";","")),"")</f>
        <v/>
      </c>
      <c r="CA67" s="25" t="str">
        <f>IFERROR(CONCATENATE(IF(AND($G67&lt;Hta_1,$G67&gt;=Hba_1,Input!Z$21&lt;&gt;""),Input!$B$21&amp;";",""),IF(AND($G67&lt;Hta_2,$G67&gt;=Hba_2,Input!Z$22&lt;&gt;""),Input!$B$22&amp;";",""),IF(AND($G67&lt;Hta_3,$G67&gt;=Hba_3,Input!Z$23&lt;&gt;""),Input!$B$23&amp;";",""),IF(AND($G67&lt;Hta_4,$G67&gt;=Hba_4,Input!Z$24&lt;&gt;""),Input!$B$24&amp;";",""),IF(AND($G67&lt;Hta_5,$G67&gt;=Hba_5,Input!Z$25&lt;&gt;""),Input!$B$25&amp;";",""),IF(AND($G67&lt;Hta_6,$G67&gt;=Hba_6,Input!Z$26&lt;&gt;""),Input!$B$26&amp;";",""),IF(AND($G67&lt;Hta_7,$G67&gt;=Hba_7,Input!Z$27&lt;&gt;""),Input!$B$27&amp;";",""),IF(AND($G67&lt;Hta_8,$G67&gt;=Hba_8,Input!Z$28&lt;&gt;""),Input!$B$28&amp;";",""),IF(AND($G67&lt;Hta_9,$G67&gt;=Hba_9,Input!Z$29&lt;&gt;""),Input!$B$29&amp;";",""),IF(AND($G67&lt;Hta_10,$G67&gt;=Hba_10,Input!Z$30&lt;&gt;""),Input!$B$30&amp;";",""),IF(AND($G67&lt;Hta_11,$G67&gt;=Hba_11,Input!Z$31&lt;&gt;""),Input!$B$31&amp;";",""),IF(AND($G67&lt;Hta_12,$G67&gt;=Hba_12,Input!Z$32&lt;&gt;""),Input!$B$32&amp;";",""),IF(AND($G67&lt;Hta_13,$G67&gt;=Hba_13,Input!Z$33&lt;&gt;""),Input!$B$33&amp;";",""),IF(AND($G67&lt;Hta_14,$G67&gt;=Hba_14,Input!Z$34&lt;&gt;""),Input!$B$34&amp;";",""),IF(AND($G67&lt;Hta_15,$G67&gt;=Hba_15,Input!Z$35&lt;&gt;""),Input!$B$35&amp;";",""),IF(AND($G67&lt;Hta_16,$G67&gt;=Hba_16,Input!Z$36&lt;&gt;""),Input!$B$36&amp;";",""),IF(AND($G67&lt;Hta_17,$G67&gt;=Hba_17,Input!Z$37&lt;&gt;""),Input!$B$37&amp;";",""),IF(AND($G67&lt;Hta_18,$G67&gt;=Hba_18,Input!Z$38&lt;&gt;""),Input!$B$38&amp;";",""),IF(AND($G67&lt;Hta_19,$G67&gt;=Hba_19,Input!Z$39&lt;&gt;""),Input!$B$39&amp;";",""),IF(AND($G67&lt;Hta_20,$G67&gt;=Hba_20,Input!Z$40&lt;&gt;""),Input!$B$40&amp;";",""),IF(AND($G67&lt;Hta_21,$G67&gt;=Hba_21,Input!Z$41&lt;&gt;""),Input!$B$41&amp;";",""),IF(AND($G67&lt;Hta_22,$G67&gt;=Hba_22,Input!Z$42&lt;&gt;""),Input!$B$42&amp;";",""),IF(AND($G67&lt;Hta_23,$G67&gt;=Hba_23,Input!Z$43&lt;&gt;""),Input!$B$43&amp;";",""),IF(AND($G67&lt;Hta_24,$G67&gt;=Hba_24,Input!Z$44&lt;&gt;""),Input!$B$44&amp;";",""),IF(AND($G67&lt;Hta_25,$G67&gt;=Hba_25,Input!Z$45&lt;&gt;""),Input!$B$45&amp;";",""),IF(AND($G67&lt;Hta_26,$G67&gt;=Hba_26,Input!Z$46&lt;&gt;""),Input!$B$46&amp;";",""),IF(AND($G67&lt;Hta_27,$G67&gt;=Hba_27,Input!Z$47&lt;&gt;""),Input!$B$47&amp;";",""),IF(AND($G67&lt;Hta_28,$G67&gt;=Hba_28,Input!Z$48&lt;&gt;""),Input!$B$48&amp;";",""),IF(AND($G67&lt;Hta_29,$G67&gt;=Hba_29,Input!Z$49&lt;&gt;""),Input!$B$49&amp;";",""),IF(AND($G67&lt;Hta_30,$G67&gt;=Hba_30,Input!Z$50&lt;&gt;""),Input!$B$50&amp;";","")),"")</f>
        <v/>
      </c>
      <c r="CB67" s="25" t="str">
        <f>IFERROR(CONCATENATE(IF(AND($G67&lt;Hta_1,$G67&gt;=Hba_1,Input!AA$21&lt;&gt;""),Input!$B$21&amp;";",""),IF(AND($G67&lt;Hta_2,$G67&gt;=Hba_2,Input!AA$22&lt;&gt;""),Input!$B$22&amp;";",""),IF(AND($G67&lt;Hta_3,$G67&gt;=Hba_3,Input!AA$23&lt;&gt;""),Input!$B$23&amp;";",""),IF(AND($G67&lt;Hta_4,$G67&gt;=Hba_4,Input!AA$24&lt;&gt;""),Input!$B$24&amp;";",""),IF(AND($G67&lt;Hta_5,$G67&gt;=Hba_5,Input!AA$25&lt;&gt;""),Input!$B$25&amp;";",""),IF(AND($G67&lt;Hta_6,$G67&gt;=Hba_6,Input!AA$26&lt;&gt;""),Input!$B$26&amp;";",""),IF(AND($G67&lt;Hta_7,$G67&gt;=Hba_7,Input!AA$27&lt;&gt;""),Input!$B$27&amp;";",""),IF(AND($G67&lt;Hta_8,$G67&gt;=Hba_8,Input!AA$28&lt;&gt;""),Input!$B$28&amp;";",""),IF(AND($G67&lt;Hta_9,$G67&gt;=Hba_9,Input!AA$29&lt;&gt;""),Input!$B$29&amp;";",""),IF(AND($G67&lt;Hta_10,$G67&gt;=Hba_10,Input!AA$30&lt;&gt;""),Input!$B$30&amp;";",""),IF(AND($G67&lt;Hta_11,$G67&gt;=Hba_11,Input!AA$31&lt;&gt;""),Input!$B$31&amp;";",""),IF(AND($G67&lt;Hta_12,$G67&gt;=Hba_12,Input!AA$32&lt;&gt;""),Input!$B$32&amp;";",""),IF(AND($G67&lt;Hta_13,$G67&gt;=Hba_13,Input!AA$33&lt;&gt;""),Input!$B$33&amp;";",""),IF(AND($G67&lt;Hta_14,$G67&gt;=Hba_14,Input!AA$34&lt;&gt;""),Input!$B$34&amp;";",""),IF(AND($G67&lt;Hta_15,$G67&gt;=Hba_15,Input!AA$35&lt;&gt;""),Input!$B$35&amp;";",""),IF(AND($G67&lt;Hta_16,$G67&gt;=Hba_16,Input!AA$36&lt;&gt;""),Input!$B$36&amp;";",""),IF(AND($G67&lt;Hta_17,$G67&gt;=Hba_17,Input!AA$37&lt;&gt;""),Input!$B$37&amp;";",""),IF(AND($G67&lt;Hta_18,$G67&gt;=Hba_18,Input!AA$38&lt;&gt;""),Input!$B$38&amp;";",""),IF(AND($G67&lt;Hta_19,$G67&gt;=Hba_19,Input!AA$39&lt;&gt;""),Input!$B$39&amp;";",""),IF(AND($G67&lt;Hta_20,$G67&gt;=Hba_20,Input!AA$40&lt;&gt;""),Input!$B$40&amp;";",""),IF(AND($G67&lt;Hta_21,$G67&gt;=Hba_21,Input!AA$41&lt;&gt;""),Input!$B$41&amp;";",""),IF(AND($G67&lt;Hta_22,$G67&gt;=Hba_22,Input!AA$42&lt;&gt;""),Input!$B$42&amp;";",""),IF(AND($G67&lt;Hta_23,$G67&gt;=Hba_23,Input!AA$43&lt;&gt;""),Input!$B$43&amp;";",""),IF(AND($G67&lt;Hta_24,$G67&gt;=Hba_24,Input!AA$44&lt;&gt;""),Input!$B$44&amp;";",""),IF(AND($G67&lt;Hta_25,$G67&gt;=Hba_25,Input!AA$45&lt;&gt;""),Input!$B$45&amp;";",""),IF(AND($G67&lt;Hta_26,$G67&gt;=Hba_26,Input!AA$46&lt;&gt;""),Input!$B$46&amp;";",""),IF(AND($G67&lt;Hta_27,$G67&gt;=Hba_27,Input!AA$47&lt;&gt;""),Input!$B$47&amp;";",""),IF(AND($G67&lt;Hta_28,$G67&gt;=Hba_28,Input!AA$48&lt;&gt;""),Input!$B$48&amp;";",""),IF(AND($G67&lt;Hta_29,$G67&gt;=Hba_29,Input!AA$49&lt;&gt;""),Input!$B$49&amp;";",""),IF(AND($G67&lt;Hta_30,$G67&gt;=Hba_30,Input!AA$50&lt;&gt;""),Input!$B$50&amp;";","")),"")</f>
        <v/>
      </c>
      <c r="CC67" s="25" t="str">
        <f>IFERROR(CONCATENATE(IF(AND($G67&lt;Hta_1,$G67&gt;=Hba_1,Input!AB$21&lt;&gt;""),Input!$B$21&amp;";",""),IF(AND($G67&lt;Hta_2,$G67&gt;=Hba_2,Input!AB$22&lt;&gt;""),Input!$B$22&amp;";",""),IF(AND($G67&lt;Hta_3,$G67&gt;=Hba_3,Input!AB$23&lt;&gt;""),Input!$B$23&amp;";",""),IF(AND($G67&lt;Hta_4,$G67&gt;=Hba_4,Input!AB$24&lt;&gt;""),Input!$B$24&amp;";",""),IF(AND($G67&lt;Hta_5,$G67&gt;=Hba_5,Input!AB$25&lt;&gt;""),Input!$B$25&amp;";",""),IF(AND($G67&lt;Hta_6,$G67&gt;=Hba_6,Input!AB$26&lt;&gt;""),Input!$B$26&amp;";",""),IF(AND($G67&lt;Hta_7,$G67&gt;=Hba_7,Input!AB$27&lt;&gt;""),Input!$B$27&amp;";",""),IF(AND($G67&lt;Hta_8,$G67&gt;=Hba_8,Input!AB$28&lt;&gt;""),Input!$B$28&amp;";",""),IF(AND($G67&lt;Hta_9,$G67&gt;=Hba_9,Input!AB$29&lt;&gt;""),Input!$B$29&amp;";",""),IF(AND($G67&lt;Hta_10,$G67&gt;=Hba_10,Input!AB$30&lt;&gt;""),Input!$B$30&amp;";",""),IF(AND($G67&lt;Hta_11,$G67&gt;=Hba_11,Input!AB$31&lt;&gt;""),Input!$B$31&amp;";",""),IF(AND($G67&lt;Hta_12,$G67&gt;=Hba_12,Input!AB$32&lt;&gt;""),Input!$B$32&amp;";",""),IF(AND($G67&lt;Hta_13,$G67&gt;=Hba_13,Input!AB$33&lt;&gt;""),Input!$B$33&amp;";",""),IF(AND($G67&lt;Hta_14,$G67&gt;=Hba_14,Input!AB$34&lt;&gt;""),Input!$B$34&amp;";",""),IF(AND($G67&lt;Hta_15,$G67&gt;=Hba_15,Input!AB$35&lt;&gt;""),Input!$B$35&amp;";",""),IF(AND($G67&lt;Hta_16,$G67&gt;=Hba_16,Input!AB$36&lt;&gt;""),Input!$B$36&amp;";",""),IF(AND($G67&lt;Hta_17,$G67&gt;=Hba_17,Input!AB$37&lt;&gt;""),Input!$B$37&amp;";",""),IF(AND($G67&lt;Hta_18,$G67&gt;=Hba_18,Input!AB$38&lt;&gt;""),Input!$B$38&amp;";",""),IF(AND($G67&lt;Hta_19,$G67&gt;=Hba_19,Input!AB$39&lt;&gt;""),Input!$B$39&amp;";",""),IF(AND($G67&lt;Hta_20,$G67&gt;=Hba_20,Input!AB$40&lt;&gt;""),Input!$B$40&amp;";",""),IF(AND($G67&lt;Hta_21,$G67&gt;=Hba_21,Input!AB$41&lt;&gt;""),Input!$B$41&amp;";",""),IF(AND($G67&lt;Hta_22,$G67&gt;=Hba_22,Input!AB$42&lt;&gt;""),Input!$B$42&amp;";",""),IF(AND($G67&lt;Hta_23,$G67&gt;=Hba_23,Input!AB$43&lt;&gt;""),Input!$B$43&amp;";",""),IF(AND($G67&lt;Hta_24,$G67&gt;=Hba_24,Input!AB$44&lt;&gt;""),Input!$B$44&amp;";",""),IF(AND($G67&lt;Hta_25,$G67&gt;=Hba_25,Input!AB$45&lt;&gt;""),Input!$B$45&amp;";",""),IF(AND($G67&lt;Hta_26,$G67&gt;=Hba_26,Input!AB$46&lt;&gt;""),Input!$B$46&amp;";",""),IF(AND($G67&lt;Hta_27,$G67&gt;=Hba_27,Input!AB$47&lt;&gt;""),Input!$B$47&amp;";",""),IF(AND($G67&lt;Hta_28,$G67&gt;=Hba_28,Input!AB$48&lt;&gt;""),Input!$B$48&amp;";",""),IF(AND($G67&lt;Hta_29,$G67&gt;=Hba_29,Input!AB$49&lt;&gt;""),Input!$B$49&amp;";",""),IF(AND($G67&lt;Hta_30,$G67&gt;=Hba_30,Input!AB$50&lt;&gt;""),Input!$B$50&amp;";","")),"")</f>
        <v/>
      </c>
      <c r="CD67" s="25" t="str">
        <f>IFERROR(CONCATENATE(IF(AND($G67&lt;Hta_1,$G67&gt;=Hba_1,Input!AC$21&lt;&gt;""),Input!$B$21&amp;";",""),IF(AND($G67&lt;Hta_2,$G67&gt;=Hba_2,Input!AC$22&lt;&gt;""),Input!$B$22&amp;";",""),IF(AND($G67&lt;Hta_3,$G67&gt;=Hba_3,Input!AC$23&lt;&gt;""),Input!$B$23&amp;";",""),IF(AND($G67&lt;Hta_4,$G67&gt;=Hba_4,Input!AC$24&lt;&gt;""),Input!$B$24&amp;";",""),IF(AND($G67&lt;Hta_5,$G67&gt;=Hba_5,Input!AC$25&lt;&gt;""),Input!$B$25&amp;";",""),IF(AND($G67&lt;Hta_6,$G67&gt;=Hba_6,Input!AC$26&lt;&gt;""),Input!$B$26&amp;";",""),IF(AND($G67&lt;Hta_7,$G67&gt;=Hba_7,Input!AC$27&lt;&gt;""),Input!$B$27&amp;";",""),IF(AND($G67&lt;Hta_8,$G67&gt;=Hba_8,Input!AC$28&lt;&gt;""),Input!$B$28&amp;";",""),IF(AND($G67&lt;Hta_9,$G67&gt;=Hba_9,Input!AC$29&lt;&gt;""),Input!$B$29&amp;";",""),IF(AND($G67&lt;Hta_10,$G67&gt;=Hba_10,Input!AC$30&lt;&gt;""),Input!$B$30&amp;";",""),IF(AND($G67&lt;Hta_11,$G67&gt;=Hba_11,Input!AC$31&lt;&gt;""),Input!$B$31&amp;";",""),IF(AND($G67&lt;Hta_12,$G67&gt;=Hba_12,Input!AC$32&lt;&gt;""),Input!$B$32&amp;";",""),IF(AND($G67&lt;Hta_13,$G67&gt;=Hba_13,Input!AC$33&lt;&gt;""),Input!$B$33&amp;";",""),IF(AND($G67&lt;Hta_14,$G67&gt;=Hba_14,Input!AC$34&lt;&gt;""),Input!$B$34&amp;";",""),IF(AND($G67&lt;Hta_15,$G67&gt;=Hba_15,Input!AC$35&lt;&gt;""),Input!$B$35&amp;";",""),IF(AND($G67&lt;Hta_16,$G67&gt;=Hba_16,Input!AC$36&lt;&gt;""),Input!$B$36&amp;";",""),IF(AND($G67&lt;Hta_17,$G67&gt;=Hba_17,Input!AC$37&lt;&gt;""),Input!$B$37&amp;";",""),IF(AND($G67&lt;Hta_18,$G67&gt;=Hba_18,Input!AC$38&lt;&gt;""),Input!$B$38&amp;";",""),IF(AND($G67&lt;Hta_19,$G67&gt;=Hba_19,Input!AC$39&lt;&gt;""),Input!$B$39&amp;";",""),IF(AND($G67&lt;Hta_20,$G67&gt;=Hba_20,Input!AC$40&lt;&gt;""),Input!$B$40&amp;";",""),IF(AND($G67&lt;Hta_21,$G67&gt;=Hba_21,Input!AC$41&lt;&gt;""),Input!$B$41&amp;";",""),IF(AND($G67&lt;Hta_22,$G67&gt;=Hba_22,Input!AC$42&lt;&gt;""),Input!$B$42&amp;";",""),IF(AND($G67&lt;Hta_23,$G67&gt;=Hba_23,Input!AC$43&lt;&gt;""),Input!$B$43&amp;";",""),IF(AND($G67&lt;Hta_24,$G67&gt;=Hba_24,Input!AC$44&lt;&gt;""),Input!$B$44&amp;";",""),IF(AND($G67&lt;Hta_25,$G67&gt;=Hba_25,Input!AC$45&lt;&gt;""),Input!$B$45&amp;";",""),IF(AND($G67&lt;Hta_26,$G67&gt;=Hba_26,Input!AC$46&lt;&gt;""),Input!$B$46&amp;";",""),IF(AND($G67&lt;Hta_27,$G67&gt;=Hba_27,Input!AC$47&lt;&gt;""),Input!$B$47&amp;";",""),IF(AND($G67&lt;Hta_28,$G67&gt;=Hba_28,Input!AC$48&lt;&gt;""),Input!$B$48&amp;";",""),IF(AND($G67&lt;Hta_29,$G67&gt;=Hba_29,Input!AC$49&lt;&gt;""),Input!$B$49&amp;";",""),IF(AND($G67&lt;Hta_30,$G67&gt;=Hba_30,Input!AC$50&lt;&gt;""),Input!$B$50&amp;";","")),"")</f>
        <v/>
      </c>
      <c r="CE67" s="25" t="str">
        <f>IFERROR(CONCATENATE(IF(AND($G67&lt;Hta_1,$G67&gt;=Hba_1,Input!AD$21&lt;&gt;""),Input!$B$21&amp;";",""),IF(AND($G67&lt;Hta_2,$G67&gt;=Hba_2,Input!AD$22&lt;&gt;""),Input!$B$22&amp;";",""),IF(AND($G67&lt;Hta_3,$G67&gt;=Hba_3,Input!AD$23&lt;&gt;""),Input!$B$23&amp;";",""),IF(AND($G67&lt;Hta_4,$G67&gt;=Hba_4,Input!AD$24&lt;&gt;""),Input!$B$24&amp;";",""),IF(AND($G67&lt;Hta_5,$G67&gt;=Hba_5,Input!AD$25&lt;&gt;""),Input!$B$25&amp;";",""),IF(AND($G67&lt;Hta_6,$G67&gt;=Hba_6,Input!AD$26&lt;&gt;""),Input!$B$26&amp;";",""),IF(AND($G67&lt;Hta_7,$G67&gt;=Hba_7,Input!AD$27&lt;&gt;""),Input!$B$27&amp;";",""),IF(AND($G67&lt;Hta_8,$G67&gt;=Hba_8,Input!AD$28&lt;&gt;""),Input!$B$28&amp;";",""),IF(AND($G67&lt;Hta_9,$G67&gt;=Hba_9,Input!AD$29&lt;&gt;""),Input!$B$29&amp;";",""),IF(AND($G67&lt;Hta_10,$G67&gt;=Hba_10,Input!AD$30&lt;&gt;""),Input!$B$30&amp;";",""),IF(AND($G67&lt;Hta_11,$G67&gt;=Hba_11,Input!AD$31&lt;&gt;""),Input!$B$31&amp;";",""),IF(AND($G67&lt;Hta_12,$G67&gt;=Hba_12,Input!AD$32&lt;&gt;""),Input!$B$32&amp;";",""),IF(AND($G67&lt;Hta_13,$G67&gt;=Hba_13,Input!AD$33&lt;&gt;""),Input!$B$33&amp;";",""),IF(AND($G67&lt;Hta_14,$G67&gt;=Hba_14,Input!AD$34&lt;&gt;""),Input!$B$34&amp;";",""),IF(AND($G67&lt;Hta_15,$G67&gt;=Hba_15,Input!AD$35&lt;&gt;""),Input!$B$35&amp;";",""),IF(AND($G67&lt;Hta_16,$G67&gt;=Hba_16,Input!AD$36&lt;&gt;""),Input!$B$36&amp;";",""),IF(AND($G67&lt;Hta_17,$G67&gt;=Hba_17,Input!AD$37&lt;&gt;""),Input!$B$37&amp;";",""),IF(AND($G67&lt;Hta_18,$G67&gt;=Hba_18,Input!AD$38&lt;&gt;""),Input!$B$38&amp;";",""),IF(AND($G67&lt;Hta_19,$G67&gt;=Hba_19,Input!AD$39&lt;&gt;""),Input!$B$39&amp;";",""),IF(AND($G67&lt;Hta_20,$G67&gt;=Hba_20,Input!AD$40&lt;&gt;""),Input!$B$40&amp;";",""),IF(AND($G67&lt;Hta_21,$G67&gt;=Hba_21,Input!AD$41&lt;&gt;""),Input!$B$41&amp;";",""),IF(AND($G67&lt;Hta_22,$G67&gt;=Hba_22,Input!AD$42&lt;&gt;""),Input!$B$42&amp;";",""),IF(AND($G67&lt;Hta_23,$G67&gt;=Hba_23,Input!AD$43&lt;&gt;""),Input!$B$43&amp;";",""),IF(AND($G67&lt;Hta_24,$G67&gt;=Hba_24,Input!AD$44&lt;&gt;""),Input!$B$44&amp;";",""),IF(AND($G67&lt;Hta_25,$G67&gt;=Hba_25,Input!AD$45&lt;&gt;""),Input!$B$45&amp;";",""),IF(AND($G67&lt;Hta_26,$G67&gt;=Hba_26,Input!AD$46&lt;&gt;""),Input!$B$46&amp;";",""),IF(AND($G67&lt;Hta_27,$G67&gt;=Hba_27,Input!AD$47&lt;&gt;""),Input!$B$47&amp;";",""),IF(AND($G67&lt;Hta_28,$G67&gt;=Hba_28,Input!AD$48&lt;&gt;""),Input!$B$48&amp;";",""),IF(AND($G67&lt;Hta_29,$G67&gt;=Hba_29,Input!AD$49&lt;&gt;""),Input!$B$49&amp;";",""),IF(AND($G67&lt;Hta_30,$G67&gt;=Hba_30,Input!AD$50&lt;&gt;""),Input!$B$50&amp;";","")),"")</f>
        <v/>
      </c>
      <c r="CF67" s="25" t="str">
        <f>IFERROR(CONCATENATE(IF(AND($G67&lt;Hta_1,$G67&gt;=Hba_1,Input!AE$21&lt;&gt;""),Input!$B$21&amp;";",""),IF(AND($G67&lt;Hta_2,$G67&gt;=Hba_2,Input!AE$22&lt;&gt;""),Input!$B$22&amp;";",""),IF(AND($G67&lt;Hta_3,$G67&gt;=Hba_3,Input!AE$23&lt;&gt;""),Input!$B$23&amp;";",""),IF(AND($G67&lt;Hta_4,$G67&gt;=Hba_4,Input!AE$24&lt;&gt;""),Input!$B$24&amp;";",""),IF(AND($G67&lt;Hta_5,$G67&gt;=Hba_5,Input!AE$25&lt;&gt;""),Input!$B$25&amp;";",""),IF(AND($G67&lt;Hta_6,$G67&gt;=Hba_6,Input!AE$26&lt;&gt;""),Input!$B$26&amp;";",""),IF(AND($G67&lt;Hta_7,$G67&gt;=Hba_7,Input!AE$27&lt;&gt;""),Input!$B$27&amp;";",""),IF(AND($G67&lt;Hta_8,$G67&gt;=Hba_8,Input!AE$28&lt;&gt;""),Input!$B$28&amp;";",""),IF(AND($G67&lt;Hta_9,$G67&gt;=Hba_9,Input!AE$29&lt;&gt;""),Input!$B$29&amp;";",""),IF(AND($G67&lt;Hta_10,$G67&gt;=Hba_10,Input!AE$30&lt;&gt;""),Input!$B$30&amp;";",""),IF(AND($G67&lt;Hta_11,$G67&gt;=Hba_11,Input!AE$31&lt;&gt;""),Input!$B$31&amp;";",""),IF(AND($G67&lt;Hta_12,$G67&gt;=Hba_12,Input!AE$32&lt;&gt;""),Input!$B$32&amp;";",""),IF(AND($G67&lt;Hta_13,$G67&gt;=Hba_13,Input!AE$33&lt;&gt;""),Input!$B$33&amp;";",""),IF(AND($G67&lt;Hta_14,$G67&gt;=Hba_14,Input!AE$34&lt;&gt;""),Input!$B$34&amp;";",""),IF(AND($G67&lt;Hta_15,$G67&gt;=Hba_15,Input!AE$35&lt;&gt;""),Input!$B$35&amp;";",""),IF(AND($G67&lt;Hta_16,$G67&gt;=Hba_16,Input!AE$36&lt;&gt;""),Input!$B$36&amp;";",""),IF(AND($G67&lt;Hta_17,$G67&gt;=Hba_17,Input!AE$37&lt;&gt;""),Input!$B$37&amp;";",""),IF(AND($G67&lt;Hta_18,$G67&gt;=Hba_18,Input!AE$38&lt;&gt;""),Input!$B$38&amp;";",""),IF(AND($G67&lt;Hta_19,$G67&gt;=Hba_19,Input!AE$39&lt;&gt;""),Input!$B$39&amp;";",""),IF(AND($G67&lt;Hta_20,$G67&gt;=Hba_20,Input!AE$40&lt;&gt;""),Input!$B$40&amp;";",""),IF(AND($G67&lt;Hta_21,$G67&gt;=Hba_21,Input!AE$41&lt;&gt;""),Input!$B$41&amp;";",""),IF(AND($G67&lt;Hta_22,$G67&gt;=Hba_22,Input!AE$42&lt;&gt;""),Input!$B$42&amp;";",""),IF(AND($G67&lt;Hta_23,$G67&gt;=Hba_23,Input!AE$43&lt;&gt;""),Input!$B$43&amp;";",""),IF(AND($G67&lt;Hta_24,$G67&gt;=Hba_24,Input!AE$44&lt;&gt;""),Input!$B$44&amp;";",""),IF(AND($G67&lt;Hta_25,$G67&gt;=Hba_25,Input!AE$45&lt;&gt;""),Input!$B$45&amp;";",""),IF(AND($G67&lt;Hta_26,$G67&gt;=Hba_26,Input!AE$46&lt;&gt;""),Input!$B$46&amp;";",""),IF(AND($G67&lt;Hta_27,$G67&gt;=Hba_27,Input!AE$47&lt;&gt;""),Input!$B$47&amp;";",""),IF(AND($G67&lt;Hta_28,$G67&gt;=Hba_28,Input!AE$48&lt;&gt;""),Input!$B$48&amp;";",""),IF(AND($G67&lt;Hta_29,$G67&gt;=Hba_29,Input!AE$49&lt;&gt;""),Input!$B$49&amp;";",""),IF(AND($G67&lt;Hta_30,$G67&gt;=Hba_30,Input!AE$50&lt;&gt;""),Input!$B$50&amp;";","")),"")</f>
        <v/>
      </c>
      <c r="CG67" s="25" t="str">
        <f>IFERROR(CONCATENATE(IF(AND($G67&lt;Hta_1,$G67&gt;=Hba_1,Input!AF$21&lt;&gt;""),Input!$B$21&amp;";",""),IF(AND($G67&lt;Hta_2,$G67&gt;=Hba_2,Input!AF$22&lt;&gt;""),Input!$B$22&amp;";",""),IF(AND($G67&lt;Hta_3,$G67&gt;=Hba_3,Input!AF$23&lt;&gt;""),Input!$B$23&amp;";",""),IF(AND($G67&lt;Hta_4,$G67&gt;=Hba_4,Input!AF$24&lt;&gt;""),Input!$B$24&amp;";",""),IF(AND($G67&lt;Hta_5,$G67&gt;=Hba_5,Input!AF$25&lt;&gt;""),Input!$B$25&amp;";",""),IF(AND($G67&lt;Hta_6,$G67&gt;=Hba_6,Input!AF$26&lt;&gt;""),Input!$B$26&amp;";",""),IF(AND($G67&lt;Hta_7,$G67&gt;=Hba_7,Input!AF$27&lt;&gt;""),Input!$B$27&amp;";",""),IF(AND($G67&lt;Hta_8,$G67&gt;=Hba_8,Input!AF$28&lt;&gt;""),Input!$B$28&amp;";",""),IF(AND($G67&lt;Hta_9,$G67&gt;=Hba_9,Input!AF$29&lt;&gt;""),Input!$B$29&amp;";",""),IF(AND($G67&lt;Hta_10,$G67&gt;=Hba_10,Input!AF$30&lt;&gt;""),Input!$B$30&amp;";",""),IF(AND($G67&lt;Hta_11,$G67&gt;=Hba_11,Input!AF$31&lt;&gt;""),Input!$B$31&amp;";",""),IF(AND($G67&lt;Hta_12,$G67&gt;=Hba_12,Input!AF$32&lt;&gt;""),Input!$B$32&amp;";",""),IF(AND($G67&lt;Hta_13,$G67&gt;=Hba_13,Input!AF$33&lt;&gt;""),Input!$B$33&amp;";",""),IF(AND($G67&lt;Hta_14,$G67&gt;=Hba_14,Input!AF$34&lt;&gt;""),Input!$B$34&amp;";",""),IF(AND($G67&lt;Hta_15,$G67&gt;=Hba_15,Input!AF$35&lt;&gt;""),Input!$B$35&amp;";",""),IF(AND($G67&lt;Hta_16,$G67&gt;=Hba_16,Input!AF$36&lt;&gt;""),Input!$B$36&amp;";",""),IF(AND($G67&lt;Hta_17,$G67&gt;=Hba_17,Input!AF$37&lt;&gt;""),Input!$B$37&amp;";",""),IF(AND($G67&lt;Hta_18,$G67&gt;=Hba_18,Input!AF$38&lt;&gt;""),Input!$B$38&amp;";",""),IF(AND($G67&lt;Hta_19,$G67&gt;=Hba_19,Input!AF$39&lt;&gt;""),Input!$B$39&amp;";",""),IF(AND($G67&lt;Hta_20,$G67&gt;=Hba_20,Input!AF$40&lt;&gt;""),Input!$B$40&amp;";",""),IF(AND($G67&lt;Hta_21,$G67&gt;=Hba_21,Input!AF$41&lt;&gt;""),Input!$B$41&amp;";",""),IF(AND($G67&lt;Hta_22,$G67&gt;=Hba_22,Input!AF$42&lt;&gt;""),Input!$B$42&amp;";",""),IF(AND($G67&lt;Hta_23,$G67&gt;=Hba_23,Input!AF$43&lt;&gt;""),Input!$B$43&amp;";",""),IF(AND($G67&lt;Hta_24,$G67&gt;=Hba_24,Input!AF$44&lt;&gt;""),Input!$B$44&amp;";",""),IF(AND($G67&lt;Hta_25,$G67&gt;=Hba_25,Input!AF$45&lt;&gt;""),Input!$B$45&amp;";",""),IF(AND($G67&lt;Hta_26,$G67&gt;=Hba_26,Input!AF$46&lt;&gt;""),Input!$B$46&amp;";",""),IF(AND($G67&lt;Hta_27,$G67&gt;=Hba_27,Input!AF$47&lt;&gt;""),Input!$B$47&amp;";",""),IF(AND($G67&lt;Hta_28,$G67&gt;=Hba_28,Input!AF$48&lt;&gt;""),Input!$B$48&amp;";",""),IF(AND($G67&lt;Hta_29,$G67&gt;=Hba_29,Input!AF$49&lt;&gt;""),Input!$B$49&amp;";",""),IF(AND($G67&lt;Hta_30,$G67&gt;=Hba_30,Input!AF$50&lt;&gt;""),Input!$B$50&amp;";","")),"")</f>
        <v/>
      </c>
      <c r="CH67" s="25" t="str">
        <f>IFERROR(CONCATENATE(IF(AND($G67&lt;Hta_1,$G67&gt;=Hba_1,Input!AG$21&lt;&gt;""),Input!$B$21&amp;";",""),IF(AND($G67&lt;Hta_2,$G67&gt;=Hba_2,Input!AG$22&lt;&gt;""),Input!$B$22&amp;";",""),IF(AND($G67&lt;Hta_3,$G67&gt;=Hba_3,Input!AG$23&lt;&gt;""),Input!$B$23&amp;";",""),IF(AND($G67&lt;Hta_4,$G67&gt;=Hba_4,Input!AG$24&lt;&gt;""),Input!$B$24&amp;";",""),IF(AND($G67&lt;Hta_5,$G67&gt;=Hba_5,Input!AG$25&lt;&gt;""),Input!$B$25&amp;";",""),IF(AND($G67&lt;Hta_6,$G67&gt;=Hba_6,Input!AG$26&lt;&gt;""),Input!$B$26&amp;";",""),IF(AND($G67&lt;Hta_7,$G67&gt;=Hba_7,Input!AG$27&lt;&gt;""),Input!$B$27&amp;";",""),IF(AND($G67&lt;Hta_8,$G67&gt;=Hba_8,Input!AG$28&lt;&gt;""),Input!$B$28&amp;";",""),IF(AND($G67&lt;Hta_9,$G67&gt;=Hba_9,Input!AG$29&lt;&gt;""),Input!$B$29&amp;";",""),IF(AND($G67&lt;Hta_10,$G67&gt;=Hba_10,Input!AG$30&lt;&gt;""),Input!$B$30&amp;";",""),IF(AND($G67&lt;Hta_11,$G67&gt;=Hba_11,Input!AG$31&lt;&gt;""),Input!$B$31&amp;";",""),IF(AND($G67&lt;Hta_12,$G67&gt;=Hba_12,Input!AG$32&lt;&gt;""),Input!$B$32&amp;";",""),IF(AND($G67&lt;Hta_13,$G67&gt;=Hba_13,Input!AG$33&lt;&gt;""),Input!$B$33&amp;";",""),IF(AND($G67&lt;Hta_14,$G67&gt;=Hba_14,Input!AG$34&lt;&gt;""),Input!$B$34&amp;";",""),IF(AND($G67&lt;Hta_15,$G67&gt;=Hba_15,Input!AG$35&lt;&gt;""),Input!$B$35&amp;";",""),IF(AND($G67&lt;Hta_16,$G67&gt;=Hba_16,Input!AG$36&lt;&gt;""),Input!$B$36&amp;";",""),IF(AND($G67&lt;Hta_17,$G67&gt;=Hba_17,Input!AG$37&lt;&gt;""),Input!$B$37&amp;";",""),IF(AND($G67&lt;Hta_18,$G67&gt;=Hba_18,Input!AG$38&lt;&gt;""),Input!$B$38&amp;";",""),IF(AND($G67&lt;Hta_19,$G67&gt;=Hba_19,Input!AG$39&lt;&gt;""),Input!$B$39&amp;";",""),IF(AND($G67&lt;Hta_20,$G67&gt;=Hba_20,Input!AG$40&lt;&gt;""),Input!$B$40&amp;";",""),IF(AND($G67&lt;Hta_21,$G67&gt;=Hba_21,Input!AG$41&lt;&gt;""),Input!$B$41&amp;";",""),IF(AND($G67&lt;Hta_22,$G67&gt;=Hba_22,Input!AG$42&lt;&gt;""),Input!$B$42&amp;";",""),IF(AND($G67&lt;Hta_23,$G67&gt;=Hba_23,Input!AG$43&lt;&gt;""),Input!$B$43&amp;";",""),IF(AND($G67&lt;Hta_24,$G67&gt;=Hba_24,Input!AG$44&lt;&gt;""),Input!$B$44&amp;";",""),IF(AND($G67&lt;Hta_25,$G67&gt;=Hba_25,Input!AG$45&lt;&gt;""),Input!$B$45&amp;";",""),IF(AND($G67&lt;Hta_26,$G67&gt;=Hba_26,Input!AG$46&lt;&gt;""),Input!$B$46&amp;";",""),IF(AND($G67&lt;Hta_27,$G67&gt;=Hba_27,Input!AG$47&lt;&gt;""),Input!$B$47&amp;";",""),IF(AND($G67&lt;Hta_28,$G67&gt;=Hba_28,Input!AG$48&lt;&gt;""),Input!$B$48&amp;";",""),IF(AND($G67&lt;Hta_29,$G67&gt;=Hba_29,Input!AG$49&lt;&gt;""),Input!$B$49&amp;";",""),IF(AND($G67&lt;Hta_30,$G67&gt;=Hba_30,Input!AG$50&lt;&gt;""),Input!$B$50&amp;";","")),"")</f>
        <v/>
      </c>
      <c r="CI67" s="25" t="str">
        <f>IFERROR(CONCATENATE(IF(AND($G67&lt;Hta_1,$G67&gt;=Hba_1,Input!AH$21&lt;&gt;""),Input!$B$21&amp;";",""),IF(AND($G67&lt;Hta_2,$G67&gt;=Hba_2,Input!AH$22&lt;&gt;""),Input!$B$22&amp;";",""),IF(AND($G67&lt;Hta_3,$G67&gt;=Hba_3,Input!AH$23&lt;&gt;""),Input!$B$23&amp;";",""),IF(AND($G67&lt;Hta_4,$G67&gt;=Hba_4,Input!AH$24&lt;&gt;""),Input!$B$24&amp;";",""),IF(AND($G67&lt;Hta_5,$G67&gt;=Hba_5,Input!AH$25&lt;&gt;""),Input!$B$25&amp;";",""),IF(AND($G67&lt;Hta_6,$G67&gt;=Hba_6,Input!AH$26&lt;&gt;""),Input!$B$26&amp;";",""),IF(AND($G67&lt;Hta_7,$G67&gt;=Hba_7,Input!AH$27&lt;&gt;""),Input!$B$27&amp;";",""),IF(AND($G67&lt;Hta_8,$G67&gt;=Hba_8,Input!AH$28&lt;&gt;""),Input!$B$28&amp;";",""),IF(AND($G67&lt;Hta_9,$G67&gt;=Hba_9,Input!AH$29&lt;&gt;""),Input!$B$29&amp;";",""),IF(AND($G67&lt;Hta_10,$G67&gt;=Hba_10,Input!AH$30&lt;&gt;""),Input!$B$30&amp;";",""),IF(AND($G67&lt;Hta_11,$G67&gt;=Hba_11,Input!AH$31&lt;&gt;""),Input!$B$31&amp;";",""),IF(AND($G67&lt;Hta_12,$G67&gt;=Hba_12,Input!AH$32&lt;&gt;""),Input!$B$32&amp;";",""),IF(AND($G67&lt;Hta_13,$G67&gt;=Hba_13,Input!AH$33&lt;&gt;""),Input!$B$33&amp;";",""),IF(AND($G67&lt;Hta_14,$G67&gt;=Hba_14,Input!AH$34&lt;&gt;""),Input!$B$34&amp;";",""),IF(AND($G67&lt;Hta_15,$G67&gt;=Hba_15,Input!AH$35&lt;&gt;""),Input!$B$35&amp;";",""),IF(AND($G67&lt;Hta_16,$G67&gt;=Hba_16,Input!AH$36&lt;&gt;""),Input!$B$36&amp;";",""),IF(AND($G67&lt;Hta_17,$G67&gt;=Hba_17,Input!AH$37&lt;&gt;""),Input!$B$37&amp;";",""),IF(AND($G67&lt;Hta_18,$G67&gt;=Hba_18,Input!AH$38&lt;&gt;""),Input!$B$38&amp;";",""),IF(AND($G67&lt;Hta_19,$G67&gt;=Hba_19,Input!AH$39&lt;&gt;""),Input!$B$39&amp;";",""),IF(AND($G67&lt;Hta_20,$G67&gt;=Hba_20,Input!AH$40&lt;&gt;""),Input!$B$40&amp;";",""),IF(AND($G67&lt;Hta_21,$G67&gt;=Hba_21,Input!AH$41&lt;&gt;""),Input!$B$41&amp;";",""),IF(AND($G67&lt;Hta_22,$G67&gt;=Hba_22,Input!AH$42&lt;&gt;""),Input!$B$42&amp;";",""),IF(AND($G67&lt;Hta_23,$G67&gt;=Hba_23,Input!AH$43&lt;&gt;""),Input!$B$43&amp;";",""),IF(AND($G67&lt;Hta_24,$G67&gt;=Hba_24,Input!AH$44&lt;&gt;""),Input!$B$44&amp;";",""),IF(AND($G67&lt;Hta_25,$G67&gt;=Hba_25,Input!AH$45&lt;&gt;""),Input!$B$45&amp;";",""),IF(AND($G67&lt;Hta_26,$G67&gt;=Hba_26,Input!AH$46&lt;&gt;""),Input!$B$46&amp;";",""),IF(AND($G67&lt;Hta_27,$G67&gt;=Hba_27,Input!AH$47&lt;&gt;""),Input!$B$47&amp;";",""),IF(AND($G67&lt;Hta_28,$G67&gt;=Hba_28,Input!AH$48&lt;&gt;""),Input!$B$48&amp;";",""),IF(AND($G67&lt;Hta_29,$G67&gt;=Hba_29,Input!AH$49&lt;&gt;""),Input!$B$49&amp;";",""),IF(AND($G67&lt;Hta_30,$G67&gt;=Hba_30,Input!AH$50&lt;&gt;""),Input!$B$50&amp;";","")),"")</f>
        <v/>
      </c>
      <c r="CJ67" s="25" t="str">
        <f>IFERROR(CONCATENATE(IF(AND($G67&lt;Hta_1,$G67&gt;=Hba_1,Input!AI$21&lt;&gt;""),Input!$B$21&amp;";",""),IF(AND($G67&lt;Hta_2,$G67&gt;=Hba_2,Input!AI$22&lt;&gt;""),Input!$B$22&amp;";",""),IF(AND($G67&lt;Hta_3,$G67&gt;=Hba_3,Input!AI$23&lt;&gt;""),Input!$B$23&amp;";",""),IF(AND($G67&lt;Hta_4,$G67&gt;=Hba_4,Input!AI$24&lt;&gt;""),Input!$B$24&amp;";",""),IF(AND($G67&lt;Hta_5,$G67&gt;=Hba_5,Input!AI$25&lt;&gt;""),Input!$B$25&amp;";",""),IF(AND($G67&lt;Hta_6,$G67&gt;=Hba_6,Input!AI$26&lt;&gt;""),Input!$B$26&amp;";",""),IF(AND($G67&lt;Hta_7,$G67&gt;=Hba_7,Input!AI$27&lt;&gt;""),Input!$B$27&amp;";",""),IF(AND($G67&lt;Hta_8,$G67&gt;=Hba_8,Input!AI$28&lt;&gt;""),Input!$B$28&amp;";",""),IF(AND($G67&lt;Hta_9,$G67&gt;=Hba_9,Input!AI$29&lt;&gt;""),Input!$B$29&amp;";",""),IF(AND($G67&lt;Hta_10,$G67&gt;=Hba_10,Input!AI$30&lt;&gt;""),Input!$B$30&amp;";",""),IF(AND($G67&lt;Hta_11,$G67&gt;=Hba_11,Input!AI$31&lt;&gt;""),Input!$B$31&amp;";",""),IF(AND($G67&lt;Hta_12,$G67&gt;=Hba_12,Input!AI$32&lt;&gt;""),Input!$B$32&amp;";",""),IF(AND($G67&lt;Hta_13,$G67&gt;=Hba_13,Input!AI$33&lt;&gt;""),Input!$B$33&amp;";",""),IF(AND($G67&lt;Hta_14,$G67&gt;=Hba_14,Input!AI$34&lt;&gt;""),Input!$B$34&amp;";",""),IF(AND($G67&lt;Hta_15,$G67&gt;=Hba_15,Input!AI$35&lt;&gt;""),Input!$B$35&amp;";",""),IF(AND($G67&lt;Hta_16,$G67&gt;=Hba_16,Input!AI$36&lt;&gt;""),Input!$B$36&amp;";",""),IF(AND($G67&lt;Hta_17,$G67&gt;=Hba_17,Input!AI$37&lt;&gt;""),Input!$B$37&amp;";",""),IF(AND($G67&lt;Hta_18,$G67&gt;=Hba_18,Input!AI$38&lt;&gt;""),Input!$B$38&amp;";",""),IF(AND($G67&lt;Hta_19,$G67&gt;=Hba_19,Input!AI$39&lt;&gt;""),Input!$B$39&amp;";",""),IF(AND($G67&lt;Hta_20,$G67&gt;=Hba_20,Input!AI$40&lt;&gt;""),Input!$B$40&amp;";",""),IF(AND($G67&lt;Hta_21,$G67&gt;=Hba_21,Input!AI$41&lt;&gt;""),Input!$B$41&amp;";",""),IF(AND($G67&lt;Hta_22,$G67&gt;=Hba_22,Input!AI$42&lt;&gt;""),Input!$B$42&amp;";",""),IF(AND($G67&lt;Hta_23,$G67&gt;=Hba_23,Input!AI$43&lt;&gt;""),Input!$B$43&amp;";",""),IF(AND($G67&lt;Hta_24,$G67&gt;=Hba_24,Input!AI$44&lt;&gt;""),Input!$B$44&amp;";",""),IF(AND($G67&lt;Hta_25,$G67&gt;=Hba_25,Input!AI$45&lt;&gt;""),Input!$B$45&amp;";",""),IF(AND($G67&lt;Hta_26,$G67&gt;=Hba_26,Input!AI$46&lt;&gt;""),Input!$B$46&amp;";",""),IF(AND($G67&lt;Hta_27,$G67&gt;=Hba_27,Input!AI$47&lt;&gt;""),Input!$B$47&amp;";",""),IF(AND($G67&lt;Hta_28,$G67&gt;=Hba_28,Input!AI$48&lt;&gt;""),Input!$B$48&amp;";",""),IF(AND($G67&lt;Hta_29,$G67&gt;=Hba_29,Input!AI$49&lt;&gt;""),Input!$B$49&amp;";",""),IF(AND($G67&lt;Hta_30,$G67&gt;=Hba_30,Input!AI$50&lt;&gt;""),Input!$B$50&amp;";","")),"")</f>
        <v/>
      </c>
      <c r="CK67" s="25" t="str">
        <f>IFERROR(CONCATENATE(IF(AND($G67&lt;Hta_1,$G67&gt;=Hba_1,Input!AJ$21&lt;&gt;""),Input!$B$21&amp;";",""),IF(AND($G67&lt;Hta_2,$G67&gt;=Hba_2,Input!AJ$22&lt;&gt;""),Input!$B$22&amp;";",""),IF(AND($G67&lt;Hta_3,$G67&gt;=Hba_3,Input!AJ$23&lt;&gt;""),Input!$B$23&amp;";",""),IF(AND($G67&lt;Hta_4,$G67&gt;=Hba_4,Input!AJ$24&lt;&gt;""),Input!$B$24&amp;";",""),IF(AND($G67&lt;Hta_5,$G67&gt;=Hba_5,Input!AJ$25&lt;&gt;""),Input!$B$25&amp;";",""),IF(AND($G67&lt;Hta_6,$G67&gt;=Hba_6,Input!AJ$26&lt;&gt;""),Input!$B$26&amp;";",""),IF(AND($G67&lt;Hta_7,$G67&gt;=Hba_7,Input!AJ$27&lt;&gt;""),Input!$B$27&amp;";",""),IF(AND($G67&lt;Hta_8,$G67&gt;=Hba_8,Input!AJ$28&lt;&gt;""),Input!$B$28&amp;";",""),IF(AND($G67&lt;Hta_9,$G67&gt;=Hba_9,Input!AJ$29&lt;&gt;""),Input!$B$29&amp;";",""),IF(AND($G67&lt;Hta_10,$G67&gt;=Hba_10,Input!AJ$30&lt;&gt;""),Input!$B$30&amp;";",""),IF(AND($G67&lt;Hta_11,$G67&gt;=Hba_11,Input!AJ$31&lt;&gt;""),Input!$B$31&amp;";",""),IF(AND($G67&lt;Hta_12,$G67&gt;=Hba_12,Input!AJ$32&lt;&gt;""),Input!$B$32&amp;";",""),IF(AND($G67&lt;Hta_13,$G67&gt;=Hba_13,Input!AJ$33&lt;&gt;""),Input!$B$33&amp;";",""),IF(AND($G67&lt;Hta_14,$G67&gt;=Hba_14,Input!AJ$34&lt;&gt;""),Input!$B$34&amp;";",""),IF(AND($G67&lt;Hta_15,$G67&gt;=Hba_15,Input!AJ$35&lt;&gt;""),Input!$B$35&amp;";",""),IF(AND($G67&lt;Hta_16,$G67&gt;=Hba_16,Input!AJ$36&lt;&gt;""),Input!$B$36&amp;";",""),IF(AND($G67&lt;Hta_17,$G67&gt;=Hba_17,Input!AJ$37&lt;&gt;""),Input!$B$37&amp;";",""),IF(AND($G67&lt;Hta_18,$G67&gt;=Hba_18,Input!AJ$38&lt;&gt;""),Input!$B$38&amp;";",""),IF(AND($G67&lt;Hta_19,$G67&gt;=Hba_19,Input!AJ$39&lt;&gt;""),Input!$B$39&amp;";",""),IF(AND($G67&lt;Hta_20,$G67&gt;=Hba_20,Input!AJ$40&lt;&gt;""),Input!$B$40&amp;";",""),IF(AND($G67&lt;Hta_21,$G67&gt;=Hba_21,Input!AJ$41&lt;&gt;""),Input!$B$41&amp;";",""),IF(AND($G67&lt;Hta_22,$G67&gt;=Hba_22,Input!AJ$42&lt;&gt;""),Input!$B$42&amp;";",""),IF(AND($G67&lt;Hta_23,$G67&gt;=Hba_23,Input!AJ$43&lt;&gt;""),Input!$B$43&amp;";",""),IF(AND($G67&lt;Hta_24,$G67&gt;=Hba_24,Input!AJ$44&lt;&gt;""),Input!$B$44&amp;";",""),IF(AND($G67&lt;Hta_25,$G67&gt;=Hba_25,Input!AJ$45&lt;&gt;""),Input!$B$45&amp;";",""),IF(AND($G67&lt;Hta_26,$G67&gt;=Hba_26,Input!AJ$46&lt;&gt;""),Input!$B$46&amp;";",""),IF(AND($G67&lt;Hta_27,$G67&gt;=Hba_27,Input!AJ$47&lt;&gt;""),Input!$B$47&amp;";",""),IF(AND($G67&lt;Hta_28,$G67&gt;=Hba_28,Input!AJ$48&lt;&gt;""),Input!$B$48&amp;";",""),IF(AND($G67&lt;Hta_29,$G67&gt;=Hba_29,Input!AJ$49&lt;&gt;""),Input!$B$49&amp;";",""),IF(AND($G67&lt;Hta_30,$G67&gt;=Hba_30,Input!AJ$50&lt;&gt;""),Input!$B$50&amp;";","")),"")</f>
        <v/>
      </c>
      <c r="CL67" s="25" t="str">
        <f>IFERROR(CONCATENATE(IF(AND($G67&lt;Hta_1,$G67&gt;=Hba_1,Input!AK$21&lt;&gt;""),Input!$B$21&amp;";",""),IF(AND($G67&lt;Hta_2,$G67&gt;=Hba_2,Input!AK$22&lt;&gt;""),Input!$B$22&amp;";",""),IF(AND($G67&lt;Hta_3,$G67&gt;=Hba_3,Input!AK$23&lt;&gt;""),Input!$B$23&amp;";",""),IF(AND($G67&lt;Hta_4,$G67&gt;=Hba_4,Input!AK$24&lt;&gt;""),Input!$B$24&amp;";",""),IF(AND($G67&lt;Hta_5,$G67&gt;=Hba_5,Input!AK$25&lt;&gt;""),Input!$B$25&amp;";",""),IF(AND($G67&lt;Hta_6,$G67&gt;=Hba_6,Input!AK$26&lt;&gt;""),Input!$B$26&amp;";",""),IF(AND($G67&lt;Hta_7,$G67&gt;=Hba_7,Input!AK$27&lt;&gt;""),Input!$B$27&amp;";",""),IF(AND($G67&lt;Hta_8,$G67&gt;=Hba_8,Input!AK$28&lt;&gt;""),Input!$B$28&amp;";",""),IF(AND($G67&lt;Hta_9,$G67&gt;=Hba_9,Input!AK$29&lt;&gt;""),Input!$B$29&amp;";",""),IF(AND($G67&lt;Hta_10,$G67&gt;=Hba_10,Input!AK$30&lt;&gt;""),Input!$B$30&amp;";",""),IF(AND($G67&lt;Hta_11,$G67&gt;=Hba_11,Input!AK$31&lt;&gt;""),Input!$B$31&amp;";",""),IF(AND($G67&lt;Hta_12,$G67&gt;=Hba_12,Input!AK$32&lt;&gt;""),Input!$B$32&amp;";",""),IF(AND($G67&lt;Hta_13,$G67&gt;=Hba_13,Input!AK$33&lt;&gt;""),Input!$B$33&amp;";",""),IF(AND($G67&lt;Hta_14,$G67&gt;=Hba_14,Input!AK$34&lt;&gt;""),Input!$B$34&amp;";",""),IF(AND($G67&lt;Hta_15,$G67&gt;=Hba_15,Input!AK$35&lt;&gt;""),Input!$B$35&amp;";",""),IF(AND($G67&lt;Hta_16,$G67&gt;=Hba_16,Input!AK$36&lt;&gt;""),Input!$B$36&amp;";",""),IF(AND($G67&lt;Hta_17,$G67&gt;=Hba_17,Input!AK$37&lt;&gt;""),Input!$B$37&amp;";",""),IF(AND($G67&lt;Hta_18,$G67&gt;=Hba_18,Input!AK$38&lt;&gt;""),Input!$B$38&amp;";",""),IF(AND($G67&lt;Hta_19,$G67&gt;=Hba_19,Input!AK$39&lt;&gt;""),Input!$B$39&amp;";",""),IF(AND($G67&lt;Hta_20,$G67&gt;=Hba_20,Input!AK$40&lt;&gt;""),Input!$B$40&amp;";",""),IF(AND($G67&lt;Hta_21,$G67&gt;=Hba_21,Input!AK$41&lt;&gt;""),Input!$B$41&amp;";",""),IF(AND($G67&lt;Hta_22,$G67&gt;=Hba_22,Input!AK$42&lt;&gt;""),Input!$B$42&amp;";",""),IF(AND($G67&lt;Hta_23,$G67&gt;=Hba_23,Input!AK$43&lt;&gt;""),Input!$B$43&amp;";",""),IF(AND($G67&lt;Hta_24,$G67&gt;=Hba_24,Input!AK$44&lt;&gt;""),Input!$B$44&amp;";",""),IF(AND($G67&lt;Hta_25,$G67&gt;=Hba_25,Input!AK$45&lt;&gt;""),Input!$B$45&amp;";",""),IF(AND($G67&lt;Hta_26,$G67&gt;=Hba_26,Input!AK$46&lt;&gt;""),Input!$B$46&amp;";",""),IF(AND($G67&lt;Hta_27,$G67&gt;=Hba_27,Input!AK$47&lt;&gt;""),Input!$B$47&amp;";",""),IF(AND($G67&lt;Hta_28,$G67&gt;=Hba_28,Input!AK$48&lt;&gt;""),Input!$B$48&amp;";",""),IF(AND($G67&lt;Hta_29,$G67&gt;=Hba_29,Input!AK$49&lt;&gt;""),Input!$B$49&amp;";",""),IF(AND($G67&lt;Hta_30,$G67&gt;=Hba_30,Input!AK$50&lt;&gt;""),Input!$B$50&amp;";","")),"")</f>
        <v/>
      </c>
      <c r="CM67" s="25" t="str">
        <f>IFERROR(CONCATENATE(IF(AND($G67&lt;Hta_1,$G67&gt;=Hba_1,Input!AL$21&lt;&gt;""),Input!$B$21&amp;";",""),IF(AND($G67&lt;Hta_2,$G67&gt;=Hba_2,Input!AL$22&lt;&gt;""),Input!$B$22&amp;";",""),IF(AND($G67&lt;Hta_3,$G67&gt;=Hba_3,Input!AL$23&lt;&gt;""),Input!$B$23&amp;";",""),IF(AND($G67&lt;Hta_4,$G67&gt;=Hba_4,Input!AL$24&lt;&gt;""),Input!$B$24&amp;";",""),IF(AND($G67&lt;Hta_5,$G67&gt;=Hba_5,Input!AL$25&lt;&gt;""),Input!$B$25&amp;";",""),IF(AND($G67&lt;Hta_6,$G67&gt;=Hba_6,Input!AL$26&lt;&gt;""),Input!$B$26&amp;";",""),IF(AND($G67&lt;Hta_7,$G67&gt;=Hba_7,Input!AL$27&lt;&gt;""),Input!$B$27&amp;";",""),IF(AND($G67&lt;Hta_8,$G67&gt;=Hba_8,Input!AL$28&lt;&gt;""),Input!$B$28&amp;";",""),IF(AND($G67&lt;Hta_9,$G67&gt;=Hba_9,Input!AL$29&lt;&gt;""),Input!$B$29&amp;";",""),IF(AND($G67&lt;Hta_10,$G67&gt;=Hba_10,Input!AL$30&lt;&gt;""),Input!$B$30&amp;";",""),IF(AND($G67&lt;Hta_11,$G67&gt;=Hba_11,Input!AL$31&lt;&gt;""),Input!$B$31&amp;";",""),IF(AND($G67&lt;Hta_12,$G67&gt;=Hba_12,Input!AL$32&lt;&gt;""),Input!$B$32&amp;";",""),IF(AND($G67&lt;Hta_13,$G67&gt;=Hba_13,Input!AL$33&lt;&gt;""),Input!$B$33&amp;";",""),IF(AND($G67&lt;Hta_14,$G67&gt;=Hba_14,Input!AL$34&lt;&gt;""),Input!$B$34&amp;";",""),IF(AND($G67&lt;Hta_15,$G67&gt;=Hba_15,Input!AL$35&lt;&gt;""),Input!$B$35&amp;";",""),IF(AND($G67&lt;Hta_16,$G67&gt;=Hba_16,Input!AL$36&lt;&gt;""),Input!$B$36&amp;";",""),IF(AND($G67&lt;Hta_17,$G67&gt;=Hba_17,Input!AL$37&lt;&gt;""),Input!$B$37&amp;";",""),IF(AND($G67&lt;Hta_18,$G67&gt;=Hba_18,Input!AL$38&lt;&gt;""),Input!$B$38&amp;";",""),IF(AND($G67&lt;Hta_19,$G67&gt;=Hba_19,Input!AL$39&lt;&gt;""),Input!$B$39&amp;";",""),IF(AND($G67&lt;Hta_20,$G67&gt;=Hba_20,Input!AL$40&lt;&gt;""),Input!$B$40&amp;";",""),IF(AND($G67&lt;Hta_21,$G67&gt;=Hba_21,Input!AL$41&lt;&gt;""),Input!$B$41&amp;";",""),IF(AND($G67&lt;Hta_22,$G67&gt;=Hba_22,Input!AL$42&lt;&gt;""),Input!$B$42&amp;";",""),IF(AND($G67&lt;Hta_23,$G67&gt;=Hba_23,Input!AL$43&lt;&gt;""),Input!$B$43&amp;";",""),IF(AND($G67&lt;Hta_24,$G67&gt;=Hba_24,Input!AL$44&lt;&gt;""),Input!$B$44&amp;";",""),IF(AND($G67&lt;Hta_25,$G67&gt;=Hba_25,Input!AL$45&lt;&gt;""),Input!$B$45&amp;";",""),IF(AND($G67&lt;Hta_26,$G67&gt;=Hba_26,Input!AL$46&lt;&gt;""),Input!$B$46&amp;";",""),IF(AND($G67&lt;Hta_27,$G67&gt;=Hba_27,Input!AL$47&lt;&gt;""),Input!$B$47&amp;";",""),IF(AND($G67&lt;Hta_28,$G67&gt;=Hba_28,Input!AL$48&lt;&gt;""),Input!$B$48&amp;";",""),IF(AND($G67&lt;Hta_29,$G67&gt;=Hba_29,Input!AL$49&lt;&gt;""),Input!$B$49&amp;";",""),IF(AND($G67&lt;Hta_30,$G67&gt;=Hba_30,Input!AL$50&lt;&gt;""),Input!$B$50&amp;";","")),"")</f>
        <v/>
      </c>
      <c r="CN67" s="60" t="str">
        <f t="shared" si="6"/>
        <v/>
      </c>
      <c r="CO67" s="798"/>
      <c r="CP67" s="799"/>
      <c r="CQ67" s="800"/>
      <c r="CR67" s="798"/>
      <c r="CS67" s="799"/>
      <c r="CT67" s="800"/>
      <c r="CU67" s="798" t="str">
        <f t="shared" si="7"/>
        <v/>
      </c>
      <c r="CV67" s="799"/>
      <c r="CW67" s="806"/>
      <c r="CX67" s="726"/>
      <c r="CY67" s="727"/>
      <c r="CZ67" s="732"/>
      <c r="DA67" s="726"/>
      <c r="DB67" s="727"/>
      <c r="DC67" s="732"/>
      <c r="DD67" s="726" t="str">
        <f t="shared" si="8"/>
        <v/>
      </c>
      <c r="DE67" s="727"/>
      <c r="DF67" s="728"/>
      <c r="DG67" s="53"/>
      <c r="DH67" s="54"/>
      <c r="DI67" s="54"/>
      <c r="DJ67" s="54"/>
      <c r="DK67" s="54"/>
      <c r="DL67" s="54"/>
      <c r="DM67" s="54"/>
      <c r="DN67" s="54"/>
      <c r="DO67" s="54"/>
      <c r="DP67" s="54"/>
      <c r="DQ67" s="57"/>
      <c r="DR67" s="57"/>
      <c r="DS67" s="57"/>
      <c r="DT67" s="57"/>
      <c r="DU67" s="57"/>
      <c r="DV67" s="57"/>
      <c r="DW67" s="57"/>
      <c r="DX67" s="57"/>
      <c r="DY67" s="57"/>
      <c r="DZ67" s="57"/>
      <c r="EA67" s="57"/>
      <c r="EB67" s="57"/>
      <c r="EC67" s="57"/>
      <c r="ED67" s="57"/>
      <c r="EE67" s="57"/>
      <c r="EF67" s="57"/>
      <c r="EG67" s="57"/>
      <c r="EH67" s="57"/>
      <c r="EI67" s="57"/>
      <c r="EJ67" s="57"/>
      <c r="EK67" s="57"/>
      <c r="EL67" s="133"/>
      <c r="EM67" s="133"/>
      <c r="EN67" s="133"/>
      <c r="EO67" s="133"/>
      <c r="EP67" s="133"/>
      <c r="EQ67" s="133"/>
      <c r="ER67" s="133"/>
      <c r="ES67" s="133"/>
      <c r="ET67" s="133"/>
      <c r="EU67" s="133"/>
      <c r="EV67" s="133"/>
      <c r="EW67" s="133"/>
      <c r="EX67" s="133"/>
      <c r="EY67" s="133"/>
      <c r="EZ67" s="133"/>
      <c r="FA67" s="133"/>
      <c r="FB67" s="133"/>
      <c r="FC67" s="133"/>
      <c r="FD67" s="133"/>
      <c r="FE67" s="133"/>
      <c r="FF67" s="133"/>
      <c r="FG67" s="133"/>
      <c r="FH67" s="133"/>
      <c r="FI67" s="133"/>
      <c r="FJ67" s="133"/>
      <c r="FK67" s="133"/>
      <c r="FL67" s="133"/>
      <c r="FM67" s="133"/>
      <c r="FN67" s="133"/>
      <c r="FO67" s="133"/>
      <c r="FQ67" s="125"/>
      <c r="FR67" s="123"/>
      <c r="FS67" s="121"/>
      <c r="FT67" s="119"/>
    </row>
    <row r="68" spans="2:176" ht="15.75" hidden="1" thickBot="1" x14ac:dyDescent="0.3">
      <c r="B68" s="62" t="b">
        <f>IF(OR(AND(G68&gt;='Geometry 2'!$AK$5,G68&lt;'Geometry 2'!$AL$5),AND(G68&gt;='Geometry 2'!$AK$6,G68&lt;'Geometry 2'!$AL$6),AND(G68&gt;='Geometry 2'!$AK$7,G68&lt;'Geometry 2'!$AL$7),AND(G68&gt;='Geometry 2'!$AK$8,G68&lt;'Geometry 2'!$AL$8),AND(G68&gt;='Geometry 2'!$AK$9,G68&lt;'Geometry 2'!$AL$9),AND(G68&gt;='Geometry 2'!$AK$10,G68&lt;'Geometry 2'!$AL$10),AND(G68&gt;='Geometry 2'!$AK$11,G68&lt;'Geometry 2'!$AL$11),AND(G68&gt;='Geometry 2'!$AK$12,G68&lt;'Geometry 2'!$AL$12),AND(G68&gt;='Geometry 2'!$AK$13,G68&lt;'Geometry 2'!$AL$13),AND(G68&gt;='Geometry 2'!$AK$14,G68&lt;'Geometry 2'!$AL$14)),TRUE,FALSE)</f>
        <v>0</v>
      </c>
      <c r="C68" s="4" t="str">
        <f t="shared" si="3"/>
        <v/>
      </c>
      <c r="D68" s="766" t="str">
        <f t="shared" si="4"/>
        <v/>
      </c>
      <c r="E68" s="767"/>
      <c r="F68" s="17" t="str">
        <f t="shared" si="2"/>
        <v/>
      </c>
      <c r="G68" s="768" t="str">
        <f>IF(D68="","",MAX(0,G67-IF(inc="n/a",999,inc),MAX(IF(G67&lt;=Hta_1,0,Hta_1),IF(G67&lt;=Hta_2,0,Hta_2),IF(G67&lt;=Hta_3,0,Hta_3),IF(G67&lt;=Hta_4,0,Hta_4),IF(G67&lt;=Hta_5,0,Hta_5),IF(G67&lt;=Hta_6,0,Hta_6),IF(G67&lt;=Hta_7,0,Hta_7),IF(G67&lt;=Hta_8,0,Hta_8),IF(G67&lt;=Hta_9,0,Hta_9),IF(G67&lt;=Hta_10,0,Hta_10),IF(G67&lt;=Hta_11,0,Hta_11),IF(G67&lt;=Hta_12,0,Hta_12),IF(G67&lt;=Hta_13,0,Hta_13),IF(G67&lt;=Hta_14,0,Hta_14),IF(G67&lt;=Hta_15,0,Hta_15),IF(G67&lt;=Hta_16,0,Hta_16),IF(G67&lt;=Hta_17,0,Hta_17),IF(G67&lt;=Hta_18,0,Hta_18),IF(G67&lt;=Hta_19,0,Hta_19),IF(G67&lt;=Hta_20,0,Hta_20),IF(G67&lt;=Hta_21,0,Hta_21),IF(G67&lt;=Hta_22,0,Hta_22),IF(G67&lt;=Hta_23,0,Hta_23),IF(G67&lt;=Hta_24,0,Hta_24),IF(G67&lt;=Hta_25,0,Hta_25),IF(G67&lt;=Hta_26,0,Hta_26),IF(G67&lt;=Hta_27,0,Hta_27),IF(G67&lt;=Hta_28,0,Hta_28),IF(G67&lt;=Hta_29,0,Hta_29),IF(G67&lt;=Hta_30,0,Hta_30)),MAX(IF(G67&lt;=Hta_1-0.25,0,Hta_1-0.25),IF(G67&lt;=Hta_2-0.25,0,Hta_2-0.25),IF(G67&lt;=Hta_3-0.25,0,Hta_3-0.25),IF(G67&lt;=Hta_4-0.25,0,Hta_4-0.25),IF(G67&lt;=Hta_5-0.25,0,Hta_5-0.25),IF(G67&lt;=Hta_6-0.25,0,Hta_6-0.25),IF(G67&lt;=Hta_7-0.25,0,Hta_7-0.25),IF(G67&lt;=Hta_8-0.25,0,Hta_8-0.25),IF(G67&lt;=Hta_9-0.25,0,Hta_9-0.25),IF(G67&lt;=Hta_10-0.25,0,Hta_10-0.25),IF(G67&lt;=Hta_11-0.25,0,Hta_11-0.25),IF(G67&lt;=Hta_12-0.25,0,Hta_12-0.25),IF(G67&lt;=Hta_13-0.25,0,Hta_13-0.25),IF(G67&lt;=Hta_14-0.25,0,Hta_14-0.25),IF(G67&lt;=Hta_15-0.25,0,Hta_15-0.25),IF(G67&lt;=Hta_16-0.25,0,Hta_16-0.25),IF(G67&lt;=Hta_17-0.25,0,Hta_17-0.25),IF(G67&lt;=Hta_18-0.25,0,Hta_18-0.25),IF(G67&lt;=Hta_19-0.25,0,Hta_19-0.25),IF(G67&lt;=Hta_20-0.25,0,Hta_20-0.25),IF(G67&lt;=Hta_21-0.25,0,Hta_21-0.25),IF(G67&lt;=Hta_22-0.25,0,Hta_22-0.25),IF(G67&lt;=Hta_23-0.25,0,Hta_23-0.25),IF(G67&lt;=Hta_24-0.25,0,Hta_24-0.25),IF(G67&lt;=Hta_25-0.25,0,Hta_25-0.25),IF(G67&lt;=Hta_26-0.25,0,Hta_26-0.25),IF(G67&lt;=Hta_27-0.25,0,Hta_27-0.25),IF(G67&lt;=Hta_28-0.25,0,Hta_28-0.25),IF(G67&lt;=Hta_29-0.25,0,Hta_29-0.25),IF(G67&lt;=Hta_30-0.25,0,Hta_30-0.25)),MAX(IF(G67&lt;=Hba_1,0,Hba_1),IF(G67&lt;=Hba_2,0,Hba_2),IF(G67&lt;=Hba_3,0,Hba_3),IF(G67&lt;=Hba_4,0,Hba_4),IF(G67&lt;=Hba_5,0,Hba_5),IF(G67&lt;=Hba_6,0,Hba_6),IF(G67&lt;=Hba_7,0,Hba_7),IF(G67&lt;=Hba_8,0,Hba_8),IF(G67&lt;=Hba_9,0,Hba_9),IF(G67&lt;=Hba_10,0,Hba_10),IF(G67&lt;=Hba_11,0,Hba_11),IF(G67&lt;=Hba_12,0,Hba_12),IF(G67&lt;=Hba_13,0,Hba_13),IF(G67&lt;=Hba_14,0,Hba_14),IF(G67&lt;=Hba_15,0,Hba_15),IF(G67&lt;=Hba_16,0,Hba_16),IF(G67&lt;=Hba_17,0,Hba_17),IF(G67&lt;=Hba_18,0,Hba_18),IF(G67&lt;=Hba_19,0,Hba_19),IF(G67&lt;=Hba_20,0,Hba_20),IF(G67&lt;=Hba_21,0,Hba_21),IF(G67&lt;=Hba_22,0,Hba_22),IF(G67&lt;=Hba_23,0,Hba_23),IF(G67&lt;=Hba_24,0,Hba_24),IF(G67&lt;=Hba_25,0,Hba_25),IF(G67&lt;=Hba_26,0,Hba_26),IF(G67&lt;=Hba_27,0,Hba_27),IF(G67&lt;=Hba_28,0,Hba_28),IF(G67&lt;=Hba_29,0,Hba_29),IF(G67&lt;=Hba_30,0,Hba_30)),MAX(IF(G67&lt;=Input!$C$8,0,Input!$C$8),IF(G67&lt;=Input!$C$9,0,Input!$C$9),IF(G67&lt;=Input!$C$10,0,Input!$C$10),IF(G67&lt;=Input!$C$11,0,Input!$C$11),IF(G67&lt;=Input!$C$12,0,Input!$C$12),IF(G67&lt;=Input!$C$13,0,Input!$C$13),IF(G67&lt;=Input!$C$14,0,Input!$C$14),IF(G67&lt;=Input!$C$15,0,Input!$C$15),IF(G67&lt;=Input!$C$16,0,Input!$C$16)),MAX(IF(G67&lt;=Hba_1-0.25,0,Hba_1-0.25),IF(G67&lt;=Hba_2-0.25,0,Hba_2-0.25),IF(G67&lt;=Hba_3-0.25,0,Hba_3-0.25),IF(G67&lt;=Hba_4-0.25,0,Hba_4-0.25),IF(G67&lt;=Hba_5-0.25,0,Hba_5-0.25),IF(G67&lt;=Hba_6-0.25,0,Hba_6-0.25),IF(G67&lt;=Hba_7-0.25,0,Hba_7-0.25),IF(G67&lt;=Hba_8-0.25,0,Hba_8-0.25),IF(G67&lt;=Hba_9-0.25,0,Hba_9-0.25),IF(G67&lt;=Hba_10-0.25,0,Hba_10-0.25),IF(G67&lt;=Hba_11-0.25,0,Hba_11-0.25),IF(G67&lt;=Hba_12-0.25,0,Hba_12-0.25),IF(G67&lt;=Hba_13-0.25,0,Hba_13-0.25),IF(G67&lt;=Hba_14-0.25,0,Hba_14-0.25),IF(G67&lt;=Hba_15-0.25,0,Hba_15-0.25),IF(G67&lt;=Hba_16-0.25,0,Hba_16-0.25),IF(G67&lt;=Hba_17-0.25,0,Hba_17-0.25),IF(G67&lt;=Hba_18-0.25,0,Hba_18-0.25),IF(G67&lt;=Hba_19-0.25,0,Hba_19-0.25),IF(G67&lt;=Hba_20-0.25,0,Hba_20-0.25),IF(G67&lt;=Hba_21-0.25,0,Hba_21-0.25),IF(G67&lt;=Hba_22-0.25,0,Hba_22-0.25),IF(G67&lt;=Hba_23-0.25,0,Hba_23-0.25),IF(G67&lt;=Hba_24-0.25,0,Hba_24-0.25),IF(G67&lt;=Hba_25-0.25,0,Hba_25-0.25),IF(G67&lt;=Hba_26-0.25,0,Hba_26-0.25),IF(G67&lt;=Hba_27-0.25,0,Hba_27-0.25),IF(G67&lt;=Hba_28-0.25,0,Hba_28-0.25),IF(G67&lt;=Hba_29-0.25,0,Hba_29-0.25),IF(G67&lt;=Hba_30-0.25,0,Hba_30-0.25)),IF(G67&lt;='Macro References'!$A$38,0,'Macro References'!$A$38)))</f>
        <v/>
      </c>
      <c r="H68" s="769"/>
      <c r="I68" s="228"/>
      <c r="J68" s="228"/>
      <c r="K68" s="228"/>
      <c r="L68" s="717" t="str">
        <f t="shared" si="10"/>
        <v/>
      </c>
      <c r="M68" s="717"/>
      <c r="N68" s="717"/>
      <c r="O68" s="717"/>
      <c r="P68" s="717" t="str">
        <f>IF(OR(G68=0,G68=""),"",IF(VLOOKUP(G68,'Geometry 2'!$C$4:$AI$14,1,TRUE)=VLOOKUP(G69,'Geometry 2'!$C$4:$AI$14,1,TRUE),"",IF(VLOOKUP(G68,'Geometry 2'!$C$4:$AI$14,33,TRUE)&lt;&gt;"n/a",MIN(G68,VLOOKUP(G68,'Geometry 2'!$C$4:$AI$14,1,TRUE))-VLOOKUP(G68,'Geometry 2'!$C$4:$AI$14,33,TRUE),"check")))</f>
        <v/>
      </c>
      <c r="Q68" s="717"/>
      <c r="R68" s="717"/>
      <c r="S68" s="717"/>
      <c r="T68" s="717" t="str">
        <f>IF($G68="","",VLOOKUP($G68,'Geometry 2'!$E$4:$AH$14,11,TRUE))</f>
        <v/>
      </c>
      <c r="U68" s="717"/>
      <c r="V68" s="717"/>
      <c r="W68" s="717"/>
      <c r="X68" s="716" t="str">
        <f>IF($G68="","",VLOOKUP($G68,'Geometry 2'!$E$4:$AJ$14,19,TRUE)-12*VLOOKUP($G68,'Geometry 2'!$E$4:$AJ$14,32,TRUE)*($D68-VLOOKUP($G68,'Geometry 2'!$E$5:$AH$14,1,TRUE)))</f>
        <v/>
      </c>
      <c r="Y68" s="716"/>
      <c r="Z68" s="716"/>
      <c r="AA68" s="716"/>
      <c r="AB68" s="757" t="str">
        <f>IF($G68="","",VLOOKUP($G68,'Geometry 2'!$E$4:$AJ$14,19,TRUE)-12*VLOOKUP($G68,'Geometry 2'!$E$4:$AJ$14,32,TRUE)*($G68-VLOOKUP($G68,'Geometry 2'!$E$5:$AH$14,1,TRUE)))</f>
        <v/>
      </c>
      <c r="AC68" s="758"/>
      <c r="AD68" s="758"/>
      <c r="AE68" s="759"/>
      <c r="AF68" s="716" t="str">
        <f>IF($G68="","",VLOOKUP($G68,'Geometry 2'!$E$4:$AJ$14,19,TRUE)-12*VLOOKUP($G68,'Geometry 2'!$E$4:$AJ$14,32,TRUE)*($G68-IF($P68="",0,$P68)-VLOOKUP($G68,'Geometry 2'!$E$5:$AH$14,1,TRUE)))</f>
        <v/>
      </c>
      <c r="AG68" s="716"/>
      <c r="AH68" s="716"/>
      <c r="AI68" s="716"/>
      <c r="AJ68" s="746" t="str">
        <f>IF($G68="","",VLOOKUP($G68,'Geometry 2'!$E$4:$AH$14,23,TRUE))</f>
        <v/>
      </c>
      <c r="AK68" s="747"/>
      <c r="AL68" s="747"/>
      <c r="AM68" s="748"/>
      <c r="AN68" s="717"/>
      <c r="AO68" s="717"/>
      <c r="AP68" s="717"/>
      <c r="AQ68" s="717"/>
      <c r="AR68" s="717" t="str">
        <f>IF($G68="","",VLOOKUP($G68,'Geometry 2'!$E$4:$AH$14,27,TRUE))</f>
        <v/>
      </c>
      <c r="AS68" s="717"/>
      <c r="AT68" s="717"/>
      <c r="AU68" s="718"/>
      <c r="AV68" s="715"/>
      <c r="AW68" s="716"/>
      <c r="AX68" s="716"/>
      <c r="AZ68" s="722" t="str">
        <f t="shared" si="5"/>
        <v/>
      </c>
      <c r="BA68" s="723"/>
      <c r="BB68" s="723"/>
      <c r="BC68" s="724"/>
      <c r="BD68" s="722"/>
      <c r="BE68" s="723"/>
      <c r="BF68" s="723"/>
      <c r="BG68" s="722" t="str">
        <f t="shared" si="9"/>
        <v/>
      </c>
      <c r="BH68" s="723"/>
      <c r="BI68" s="723"/>
      <c r="BJ68" s="723"/>
      <c r="BK68" s="724"/>
      <c r="BL68" s="722"/>
      <c r="BM68" s="723"/>
      <c r="BN68" s="723"/>
      <c r="BO68" s="723"/>
      <c r="BP68" s="725"/>
      <c r="BQ68" s="725"/>
      <c r="BR68" s="722" t="str">
        <f>IF(BP68="","",IF(OR(AND(Rev="H",Calculations!$F$27=TRUE),AND(Rev&lt;&gt;"H",Calculations!$F$30=TRUE)),IF(BP68&lt;=1,"Pass","Fail"),IF(BP68&lt;=1.05,"Pass","Fail")))</f>
        <v/>
      </c>
      <c r="BS68" s="723"/>
      <c r="BT68" s="724"/>
      <c r="BU68" s="49"/>
      <c r="BV68" s="25" t="str">
        <f>IFERROR(CONCATENATE(IF(AND($G68&lt;Hta_1,$G68&gt;=Hba_1,Input!U$21&lt;&gt;""),Input!$B$21&amp;";",""),IF(AND($G68&lt;Hta_2,$G68&gt;=Hba_2,Input!U$22&lt;&gt;""),Input!$B$22&amp;";",""),IF(AND($G68&lt;Hta_3,$G68&gt;=Hba_3,Input!U$23&lt;&gt;""),Input!$B$23&amp;";",""),IF(AND($G68&lt;Hta_4,$G68&gt;=Hba_4,Input!U$24&lt;&gt;""),Input!$B$24&amp;";",""),IF(AND($G68&lt;Hta_5,$G68&gt;=Hba_5,Input!U$25&lt;&gt;""),Input!$B$25&amp;";",""),IF(AND($G68&lt;Hta_6,$G68&gt;=Hba_6,Input!U$26&lt;&gt;""),Input!$B$26&amp;";",""),IF(AND($G68&lt;Hta_7,$G68&gt;=Hba_7,Input!U$27&lt;&gt;""),Input!$B$27&amp;";",""),IF(AND($G68&lt;Hta_8,$G68&gt;=Hba_8,Input!U$28&lt;&gt;""),Input!$B$28&amp;";",""),IF(AND($G68&lt;Hta_9,$G68&gt;=Hba_9,Input!U$29&lt;&gt;""),Input!$B$29&amp;";",""),IF(AND($G68&lt;Hta_10,$G68&gt;=Hba_10,Input!U$30&lt;&gt;""),Input!$B$30&amp;";",""),IF(AND($G68&lt;Hta_11,$G68&gt;=Hba_11,Input!U$31&lt;&gt;""),Input!$B$31&amp;";",""),IF(AND($G68&lt;Hta_12,$G68&gt;=Hba_12,Input!U$32&lt;&gt;""),Input!$B$32&amp;";",""),IF(AND($G68&lt;Hta_13,$G68&gt;=Hba_13,Input!U$33&lt;&gt;""),Input!$B$33&amp;";",""),IF(AND($G68&lt;Hta_14,$G68&gt;=Hba_14,Input!U$34&lt;&gt;""),Input!$B$34&amp;";",""),IF(AND($G68&lt;Hta_15,$G68&gt;=Hba_15,Input!U$35&lt;&gt;""),Input!$B$35&amp;";",""),IF(AND($G68&lt;Hta_16,$G68&gt;=Hba_16,Input!U$36&lt;&gt;""),Input!$B$36&amp;";",""),IF(AND($G68&lt;Hta_17,$G68&gt;=Hba_17,Input!U$37&lt;&gt;""),Input!$B$37&amp;";",""),IF(AND($G68&lt;Hta_18,$G68&gt;=Hba_18,Input!U$38&lt;&gt;""),Input!$B$38&amp;";",""),IF(AND($G68&lt;Hta_19,$G68&gt;=Hba_19,Input!U$39&lt;&gt;""),Input!$B$39&amp;";",""),IF(AND($G68&lt;Hta_20,$G68&gt;=Hba_20,Input!U$40&lt;&gt;""),Input!$B$40&amp;";",""),IF(AND($G68&lt;Hta_21,$G68&gt;=Hba_21,Input!U$41&lt;&gt;""),Input!$B$41&amp;";",""),IF(AND($G68&lt;Hta_22,$G68&gt;=Hba_22,Input!U$42&lt;&gt;""),Input!$B$42&amp;";",""),IF(AND($G68&lt;Hta_23,$G68&gt;=Hba_23,Input!U$43&lt;&gt;""),Input!$B$43&amp;";",""),IF(AND($G68&lt;Hta_24,$G68&gt;=Hba_24,Input!U$44&lt;&gt;""),Input!$B$44&amp;";",""),IF(AND($G68&lt;Hta_25,$G68&gt;=Hba_25,Input!U$45&lt;&gt;""),Input!$B$45&amp;";",""),IF(AND($G68&lt;Hta_26,$G68&gt;=Hba_26,Input!U$46&lt;&gt;""),Input!$B$46&amp;";",""),IF(AND($G68&lt;Hta_27,$G68&gt;=Hba_27,Input!U$47&lt;&gt;""),Input!$B$47&amp;";",""),IF(AND($G68&lt;Hta_28,$G68&gt;=Hba_28,Input!U$48&lt;&gt;""),Input!$B$48&amp;";",""),IF(AND($G68&lt;Hta_29,$G68&gt;=Hba_29,Input!U$49&lt;&gt;""),Input!$B$49&amp;";",""),IF(AND($G68&lt;Hta_30,$G68&gt;=Hba_30,Input!U$50&lt;&gt;""),Input!$B$50&amp;";","")),"")</f>
        <v/>
      </c>
      <c r="BW68" s="25" t="str">
        <f>IFERROR(CONCATENATE(IF(AND($G68&lt;Hta_1,$G68&gt;=Hba_1,Input!V$21&lt;&gt;""),Input!$B$21&amp;";",""),IF(AND($G68&lt;Hta_2,$G68&gt;=Hba_2,Input!V$22&lt;&gt;""),Input!$B$22&amp;";",""),IF(AND($G68&lt;Hta_3,$G68&gt;=Hba_3,Input!V$23&lt;&gt;""),Input!$B$23&amp;";",""),IF(AND($G68&lt;Hta_4,$G68&gt;=Hba_4,Input!V$24&lt;&gt;""),Input!$B$24&amp;";",""),IF(AND($G68&lt;Hta_5,$G68&gt;=Hba_5,Input!V$25&lt;&gt;""),Input!$B$25&amp;";",""),IF(AND($G68&lt;Hta_6,$G68&gt;=Hba_6,Input!V$26&lt;&gt;""),Input!$B$26&amp;";",""),IF(AND($G68&lt;Hta_7,$G68&gt;=Hba_7,Input!V$27&lt;&gt;""),Input!$B$27&amp;";",""),IF(AND($G68&lt;Hta_8,$G68&gt;=Hba_8,Input!V$28&lt;&gt;""),Input!$B$28&amp;";",""),IF(AND($G68&lt;Hta_9,$G68&gt;=Hba_9,Input!V$29&lt;&gt;""),Input!$B$29&amp;";",""),IF(AND($G68&lt;Hta_10,$G68&gt;=Hba_10,Input!V$30&lt;&gt;""),Input!$B$30&amp;";",""),IF(AND($G68&lt;Hta_11,$G68&gt;=Hba_11,Input!V$31&lt;&gt;""),Input!$B$31&amp;";",""),IF(AND($G68&lt;Hta_12,$G68&gt;=Hba_12,Input!V$32&lt;&gt;""),Input!$B$32&amp;";",""),IF(AND($G68&lt;Hta_13,$G68&gt;=Hba_13,Input!V$33&lt;&gt;""),Input!$B$33&amp;";",""),IF(AND($G68&lt;Hta_14,$G68&gt;=Hba_14,Input!V$34&lt;&gt;""),Input!$B$34&amp;";",""),IF(AND($G68&lt;Hta_15,$G68&gt;=Hba_15,Input!V$35&lt;&gt;""),Input!$B$35&amp;";",""),IF(AND($G68&lt;Hta_16,$G68&gt;=Hba_16,Input!V$36&lt;&gt;""),Input!$B$36&amp;";",""),IF(AND($G68&lt;Hta_17,$G68&gt;=Hba_17,Input!V$37&lt;&gt;""),Input!$B$37&amp;";",""),IF(AND($G68&lt;Hta_18,$G68&gt;=Hba_18,Input!V$38&lt;&gt;""),Input!$B$38&amp;";",""),IF(AND($G68&lt;Hta_19,$G68&gt;=Hba_19,Input!V$39&lt;&gt;""),Input!$B$39&amp;";",""),IF(AND($G68&lt;Hta_20,$G68&gt;=Hba_20,Input!V$40&lt;&gt;""),Input!$B$40&amp;";",""),IF(AND($G68&lt;Hta_21,$G68&gt;=Hba_21,Input!V$41&lt;&gt;""),Input!$B$41&amp;";",""),IF(AND($G68&lt;Hta_22,$G68&gt;=Hba_22,Input!V$42&lt;&gt;""),Input!$B$42&amp;";",""),IF(AND($G68&lt;Hta_23,$G68&gt;=Hba_23,Input!V$43&lt;&gt;""),Input!$B$43&amp;";",""),IF(AND($G68&lt;Hta_24,$G68&gt;=Hba_24,Input!V$44&lt;&gt;""),Input!$B$44&amp;";",""),IF(AND($G68&lt;Hta_25,$G68&gt;=Hba_25,Input!V$45&lt;&gt;""),Input!$B$45&amp;";",""),IF(AND($G68&lt;Hta_26,$G68&gt;=Hba_26,Input!V$46&lt;&gt;""),Input!$B$46&amp;";",""),IF(AND($G68&lt;Hta_27,$G68&gt;=Hba_27,Input!V$47&lt;&gt;""),Input!$B$47&amp;";",""),IF(AND($G68&lt;Hta_28,$G68&gt;=Hba_28,Input!V$48&lt;&gt;""),Input!$B$48&amp;";",""),IF(AND($G68&lt;Hta_29,$G68&gt;=Hba_29,Input!V$49&lt;&gt;""),Input!$B$49&amp;";",""),IF(AND($G68&lt;Hta_30,$G68&gt;=Hba_30,Input!V$50&lt;&gt;""),Input!$B$50&amp;";","")),"")</f>
        <v/>
      </c>
      <c r="BX68" s="25" t="str">
        <f>IFERROR(CONCATENATE(IF(AND($G68&lt;Hta_1,$G68&gt;=Hba_1,Input!W$21&lt;&gt;""),Input!$B$21&amp;";",""),IF(AND($G68&lt;Hta_2,$G68&gt;=Hba_2,Input!W$22&lt;&gt;""),Input!$B$22&amp;";",""),IF(AND($G68&lt;Hta_3,$G68&gt;=Hba_3,Input!W$23&lt;&gt;""),Input!$B$23&amp;";",""),IF(AND($G68&lt;Hta_4,$G68&gt;=Hba_4,Input!W$24&lt;&gt;""),Input!$B$24&amp;";",""),IF(AND($G68&lt;Hta_5,$G68&gt;=Hba_5,Input!W$25&lt;&gt;""),Input!$B$25&amp;";",""),IF(AND($G68&lt;Hta_6,$G68&gt;=Hba_6,Input!W$26&lt;&gt;""),Input!$B$26&amp;";",""),IF(AND($G68&lt;Hta_7,$G68&gt;=Hba_7,Input!W$27&lt;&gt;""),Input!$B$27&amp;";",""),IF(AND($G68&lt;Hta_8,$G68&gt;=Hba_8,Input!W$28&lt;&gt;""),Input!$B$28&amp;";",""),IF(AND($G68&lt;Hta_9,$G68&gt;=Hba_9,Input!W$29&lt;&gt;""),Input!$B$29&amp;";",""),IF(AND($G68&lt;Hta_10,$G68&gt;=Hba_10,Input!W$30&lt;&gt;""),Input!$B$30&amp;";",""),IF(AND($G68&lt;Hta_11,$G68&gt;=Hba_11,Input!W$31&lt;&gt;""),Input!$B$31&amp;";",""),IF(AND($G68&lt;Hta_12,$G68&gt;=Hba_12,Input!W$32&lt;&gt;""),Input!$B$32&amp;";",""),IF(AND($G68&lt;Hta_13,$G68&gt;=Hba_13,Input!W$33&lt;&gt;""),Input!$B$33&amp;";",""),IF(AND($G68&lt;Hta_14,$G68&gt;=Hba_14,Input!W$34&lt;&gt;""),Input!$B$34&amp;";",""),IF(AND($G68&lt;Hta_15,$G68&gt;=Hba_15,Input!W$35&lt;&gt;""),Input!$B$35&amp;";",""),IF(AND($G68&lt;Hta_16,$G68&gt;=Hba_16,Input!W$36&lt;&gt;""),Input!$B$36&amp;";",""),IF(AND($G68&lt;Hta_17,$G68&gt;=Hba_17,Input!W$37&lt;&gt;""),Input!$B$37&amp;";",""),IF(AND($G68&lt;Hta_18,$G68&gt;=Hba_18,Input!W$38&lt;&gt;""),Input!$B$38&amp;";",""),IF(AND($G68&lt;Hta_19,$G68&gt;=Hba_19,Input!W$39&lt;&gt;""),Input!$B$39&amp;";",""),IF(AND($G68&lt;Hta_20,$G68&gt;=Hba_20,Input!W$40&lt;&gt;""),Input!$B$40&amp;";",""),IF(AND($G68&lt;Hta_21,$G68&gt;=Hba_21,Input!W$41&lt;&gt;""),Input!$B$41&amp;";",""),IF(AND($G68&lt;Hta_22,$G68&gt;=Hba_22,Input!W$42&lt;&gt;""),Input!$B$42&amp;";",""),IF(AND($G68&lt;Hta_23,$G68&gt;=Hba_23,Input!W$43&lt;&gt;""),Input!$B$43&amp;";",""),IF(AND($G68&lt;Hta_24,$G68&gt;=Hba_24,Input!W$44&lt;&gt;""),Input!$B$44&amp;";",""),IF(AND($G68&lt;Hta_25,$G68&gt;=Hba_25,Input!W$45&lt;&gt;""),Input!$B$45&amp;";",""),IF(AND($G68&lt;Hta_26,$G68&gt;=Hba_26,Input!W$46&lt;&gt;""),Input!$B$46&amp;";",""),IF(AND($G68&lt;Hta_27,$G68&gt;=Hba_27,Input!W$47&lt;&gt;""),Input!$B$47&amp;";",""),IF(AND($G68&lt;Hta_28,$G68&gt;=Hba_28,Input!W$48&lt;&gt;""),Input!$B$48&amp;";",""),IF(AND($G68&lt;Hta_29,$G68&gt;=Hba_29,Input!W$49&lt;&gt;""),Input!$B$49&amp;";",""),IF(AND($G68&lt;Hta_30,$G68&gt;=Hba_30,Input!W$50&lt;&gt;""),Input!$B$50&amp;";","")),"")</f>
        <v/>
      </c>
      <c r="BY68" s="25" t="str">
        <f>IFERROR(CONCATENATE(IF(AND($G68&lt;Hta_1,$G68&gt;=Hba_1,Input!X$21&lt;&gt;""),Input!$B$21&amp;";",""),IF(AND($G68&lt;Hta_2,$G68&gt;=Hba_2,Input!X$22&lt;&gt;""),Input!$B$22&amp;";",""),IF(AND($G68&lt;Hta_3,$G68&gt;=Hba_3,Input!X$23&lt;&gt;""),Input!$B$23&amp;";",""),IF(AND($G68&lt;Hta_4,$G68&gt;=Hba_4,Input!X$24&lt;&gt;""),Input!$B$24&amp;";",""),IF(AND($G68&lt;Hta_5,$G68&gt;=Hba_5,Input!X$25&lt;&gt;""),Input!$B$25&amp;";",""),IF(AND($G68&lt;Hta_6,$G68&gt;=Hba_6,Input!X$26&lt;&gt;""),Input!$B$26&amp;";",""),IF(AND($G68&lt;Hta_7,$G68&gt;=Hba_7,Input!X$27&lt;&gt;""),Input!$B$27&amp;";",""),IF(AND($G68&lt;Hta_8,$G68&gt;=Hba_8,Input!X$28&lt;&gt;""),Input!$B$28&amp;";",""),IF(AND($G68&lt;Hta_9,$G68&gt;=Hba_9,Input!X$29&lt;&gt;""),Input!$B$29&amp;";",""),IF(AND($G68&lt;Hta_10,$G68&gt;=Hba_10,Input!X$30&lt;&gt;""),Input!$B$30&amp;";",""),IF(AND($G68&lt;Hta_11,$G68&gt;=Hba_11,Input!X$31&lt;&gt;""),Input!$B$31&amp;";",""),IF(AND($G68&lt;Hta_12,$G68&gt;=Hba_12,Input!X$32&lt;&gt;""),Input!$B$32&amp;";",""),IF(AND($G68&lt;Hta_13,$G68&gt;=Hba_13,Input!X$33&lt;&gt;""),Input!$B$33&amp;";",""),IF(AND($G68&lt;Hta_14,$G68&gt;=Hba_14,Input!X$34&lt;&gt;""),Input!$B$34&amp;";",""),IF(AND($G68&lt;Hta_15,$G68&gt;=Hba_15,Input!X$35&lt;&gt;""),Input!$B$35&amp;";",""),IF(AND($G68&lt;Hta_16,$G68&gt;=Hba_16,Input!X$36&lt;&gt;""),Input!$B$36&amp;";",""),IF(AND($G68&lt;Hta_17,$G68&gt;=Hba_17,Input!X$37&lt;&gt;""),Input!$B$37&amp;";",""),IF(AND($G68&lt;Hta_18,$G68&gt;=Hba_18,Input!X$38&lt;&gt;""),Input!$B$38&amp;";",""),IF(AND($G68&lt;Hta_19,$G68&gt;=Hba_19,Input!X$39&lt;&gt;""),Input!$B$39&amp;";",""),IF(AND($G68&lt;Hta_20,$G68&gt;=Hba_20,Input!X$40&lt;&gt;""),Input!$B$40&amp;";",""),IF(AND($G68&lt;Hta_21,$G68&gt;=Hba_21,Input!X$41&lt;&gt;""),Input!$B$41&amp;";",""),IF(AND($G68&lt;Hta_22,$G68&gt;=Hba_22,Input!X$42&lt;&gt;""),Input!$B$42&amp;";",""),IF(AND($G68&lt;Hta_23,$G68&gt;=Hba_23,Input!X$43&lt;&gt;""),Input!$B$43&amp;";",""),IF(AND($G68&lt;Hta_24,$G68&gt;=Hba_24,Input!X$44&lt;&gt;""),Input!$B$44&amp;";",""),IF(AND($G68&lt;Hta_25,$G68&gt;=Hba_25,Input!X$45&lt;&gt;""),Input!$B$45&amp;";",""),IF(AND($G68&lt;Hta_26,$G68&gt;=Hba_26,Input!X$46&lt;&gt;""),Input!$B$46&amp;";",""),IF(AND($G68&lt;Hta_27,$G68&gt;=Hba_27,Input!X$47&lt;&gt;""),Input!$B$47&amp;";",""),IF(AND($G68&lt;Hta_28,$G68&gt;=Hba_28,Input!X$48&lt;&gt;""),Input!$B$48&amp;";",""),IF(AND($G68&lt;Hta_29,$G68&gt;=Hba_29,Input!X$49&lt;&gt;""),Input!$B$49&amp;";",""),IF(AND($G68&lt;Hta_30,$G68&gt;=Hba_30,Input!X$50&lt;&gt;""),Input!$B$50&amp;";","")),"")</f>
        <v/>
      </c>
      <c r="BZ68" s="25" t="str">
        <f>IFERROR(CONCATENATE(IF(AND($G68&lt;Hta_1,$G68&gt;=Hba_1,Input!Y$21&lt;&gt;""),Input!$B$21&amp;";",""),IF(AND($G68&lt;Hta_2,$G68&gt;=Hba_2,Input!Y$22&lt;&gt;""),Input!$B$22&amp;";",""),IF(AND($G68&lt;Hta_3,$G68&gt;=Hba_3,Input!Y$23&lt;&gt;""),Input!$B$23&amp;";",""),IF(AND($G68&lt;Hta_4,$G68&gt;=Hba_4,Input!Y$24&lt;&gt;""),Input!$B$24&amp;";",""),IF(AND($G68&lt;Hta_5,$G68&gt;=Hba_5,Input!Y$25&lt;&gt;""),Input!$B$25&amp;";",""),IF(AND($G68&lt;Hta_6,$G68&gt;=Hba_6,Input!Y$26&lt;&gt;""),Input!$B$26&amp;";",""),IF(AND($G68&lt;Hta_7,$G68&gt;=Hba_7,Input!Y$27&lt;&gt;""),Input!$B$27&amp;";",""),IF(AND($G68&lt;Hta_8,$G68&gt;=Hba_8,Input!Y$28&lt;&gt;""),Input!$B$28&amp;";",""),IF(AND($G68&lt;Hta_9,$G68&gt;=Hba_9,Input!Y$29&lt;&gt;""),Input!$B$29&amp;";",""),IF(AND($G68&lt;Hta_10,$G68&gt;=Hba_10,Input!Y$30&lt;&gt;""),Input!$B$30&amp;";",""),IF(AND($G68&lt;Hta_11,$G68&gt;=Hba_11,Input!Y$31&lt;&gt;""),Input!$B$31&amp;";",""),IF(AND($G68&lt;Hta_12,$G68&gt;=Hba_12,Input!Y$32&lt;&gt;""),Input!$B$32&amp;";",""),IF(AND($G68&lt;Hta_13,$G68&gt;=Hba_13,Input!Y$33&lt;&gt;""),Input!$B$33&amp;";",""),IF(AND($G68&lt;Hta_14,$G68&gt;=Hba_14,Input!Y$34&lt;&gt;""),Input!$B$34&amp;";",""),IF(AND($G68&lt;Hta_15,$G68&gt;=Hba_15,Input!Y$35&lt;&gt;""),Input!$B$35&amp;";",""),IF(AND($G68&lt;Hta_16,$G68&gt;=Hba_16,Input!Y$36&lt;&gt;""),Input!$B$36&amp;";",""),IF(AND($G68&lt;Hta_17,$G68&gt;=Hba_17,Input!Y$37&lt;&gt;""),Input!$B$37&amp;";",""),IF(AND($G68&lt;Hta_18,$G68&gt;=Hba_18,Input!Y$38&lt;&gt;""),Input!$B$38&amp;";",""),IF(AND($G68&lt;Hta_19,$G68&gt;=Hba_19,Input!Y$39&lt;&gt;""),Input!$B$39&amp;";",""),IF(AND($G68&lt;Hta_20,$G68&gt;=Hba_20,Input!Y$40&lt;&gt;""),Input!$B$40&amp;";",""),IF(AND($G68&lt;Hta_21,$G68&gt;=Hba_21,Input!Y$41&lt;&gt;""),Input!$B$41&amp;";",""),IF(AND($G68&lt;Hta_22,$G68&gt;=Hba_22,Input!Y$42&lt;&gt;""),Input!$B$42&amp;";",""),IF(AND($G68&lt;Hta_23,$G68&gt;=Hba_23,Input!Y$43&lt;&gt;""),Input!$B$43&amp;";",""),IF(AND($G68&lt;Hta_24,$G68&gt;=Hba_24,Input!Y$44&lt;&gt;""),Input!$B$44&amp;";",""),IF(AND($G68&lt;Hta_25,$G68&gt;=Hba_25,Input!Y$45&lt;&gt;""),Input!$B$45&amp;";",""),IF(AND($G68&lt;Hta_26,$G68&gt;=Hba_26,Input!Y$46&lt;&gt;""),Input!$B$46&amp;";",""),IF(AND($G68&lt;Hta_27,$G68&gt;=Hba_27,Input!Y$47&lt;&gt;""),Input!$B$47&amp;";",""),IF(AND($G68&lt;Hta_28,$G68&gt;=Hba_28,Input!Y$48&lt;&gt;""),Input!$B$48&amp;";",""),IF(AND($G68&lt;Hta_29,$G68&gt;=Hba_29,Input!Y$49&lt;&gt;""),Input!$B$49&amp;";",""),IF(AND($G68&lt;Hta_30,$G68&gt;=Hba_30,Input!Y$50&lt;&gt;""),Input!$B$50&amp;";","")),"")</f>
        <v/>
      </c>
      <c r="CA68" s="25" t="str">
        <f>IFERROR(CONCATENATE(IF(AND($G68&lt;Hta_1,$G68&gt;=Hba_1,Input!Z$21&lt;&gt;""),Input!$B$21&amp;";",""),IF(AND($G68&lt;Hta_2,$G68&gt;=Hba_2,Input!Z$22&lt;&gt;""),Input!$B$22&amp;";",""),IF(AND($G68&lt;Hta_3,$G68&gt;=Hba_3,Input!Z$23&lt;&gt;""),Input!$B$23&amp;";",""),IF(AND($G68&lt;Hta_4,$G68&gt;=Hba_4,Input!Z$24&lt;&gt;""),Input!$B$24&amp;";",""),IF(AND($G68&lt;Hta_5,$G68&gt;=Hba_5,Input!Z$25&lt;&gt;""),Input!$B$25&amp;";",""),IF(AND($G68&lt;Hta_6,$G68&gt;=Hba_6,Input!Z$26&lt;&gt;""),Input!$B$26&amp;";",""),IF(AND($G68&lt;Hta_7,$G68&gt;=Hba_7,Input!Z$27&lt;&gt;""),Input!$B$27&amp;";",""),IF(AND($G68&lt;Hta_8,$G68&gt;=Hba_8,Input!Z$28&lt;&gt;""),Input!$B$28&amp;";",""),IF(AND($G68&lt;Hta_9,$G68&gt;=Hba_9,Input!Z$29&lt;&gt;""),Input!$B$29&amp;";",""),IF(AND($G68&lt;Hta_10,$G68&gt;=Hba_10,Input!Z$30&lt;&gt;""),Input!$B$30&amp;";",""),IF(AND($G68&lt;Hta_11,$G68&gt;=Hba_11,Input!Z$31&lt;&gt;""),Input!$B$31&amp;";",""),IF(AND($G68&lt;Hta_12,$G68&gt;=Hba_12,Input!Z$32&lt;&gt;""),Input!$B$32&amp;";",""),IF(AND($G68&lt;Hta_13,$G68&gt;=Hba_13,Input!Z$33&lt;&gt;""),Input!$B$33&amp;";",""),IF(AND($G68&lt;Hta_14,$G68&gt;=Hba_14,Input!Z$34&lt;&gt;""),Input!$B$34&amp;";",""),IF(AND($G68&lt;Hta_15,$G68&gt;=Hba_15,Input!Z$35&lt;&gt;""),Input!$B$35&amp;";",""),IF(AND($G68&lt;Hta_16,$G68&gt;=Hba_16,Input!Z$36&lt;&gt;""),Input!$B$36&amp;";",""),IF(AND($G68&lt;Hta_17,$G68&gt;=Hba_17,Input!Z$37&lt;&gt;""),Input!$B$37&amp;";",""),IF(AND($G68&lt;Hta_18,$G68&gt;=Hba_18,Input!Z$38&lt;&gt;""),Input!$B$38&amp;";",""),IF(AND($G68&lt;Hta_19,$G68&gt;=Hba_19,Input!Z$39&lt;&gt;""),Input!$B$39&amp;";",""),IF(AND($G68&lt;Hta_20,$G68&gt;=Hba_20,Input!Z$40&lt;&gt;""),Input!$B$40&amp;";",""),IF(AND($G68&lt;Hta_21,$G68&gt;=Hba_21,Input!Z$41&lt;&gt;""),Input!$B$41&amp;";",""),IF(AND($G68&lt;Hta_22,$G68&gt;=Hba_22,Input!Z$42&lt;&gt;""),Input!$B$42&amp;";",""),IF(AND($G68&lt;Hta_23,$G68&gt;=Hba_23,Input!Z$43&lt;&gt;""),Input!$B$43&amp;";",""),IF(AND($G68&lt;Hta_24,$G68&gt;=Hba_24,Input!Z$44&lt;&gt;""),Input!$B$44&amp;";",""),IF(AND($G68&lt;Hta_25,$G68&gt;=Hba_25,Input!Z$45&lt;&gt;""),Input!$B$45&amp;";",""),IF(AND($G68&lt;Hta_26,$G68&gt;=Hba_26,Input!Z$46&lt;&gt;""),Input!$B$46&amp;";",""),IF(AND($G68&lt;Hta_27,$G68&gt;=Hba_27,Input!Z$47&lt;&gt;""),Input!$B$47&amp;";",""),IF(AND($G68&lt;Hta_28,$G68&gt;=Hba_28,Input!Z$48&lt;&gt;""),Input!$B$48&amp;";",""),IF(AND($G68&lt;Hta_29,$G68&gt;=Hba_29,Input!Z$49&lt;&gt;""),Input!$B$49&amp;";",""),IF(AND($G68&lt;Hta_30,$G68&gt;=Hba_30,Input!Z$50&lt;&gt;""),Input!$B$50&amp;";","")),"")</f>
        <v/>
      </c>
      <c r="CB68" s="25" t="str">
        <f>IFERROR(CONCATENATE(IF(AND($G68&lt;Hta_1,$G68&gt;=Hba_1,Input!AA$21&lt;&gt;""),Input!$B$21&amp;";",""),IF(AND($G68&lt;Hta_2,$G68&gt;=Hba_2,Input!AA$22&lt;&gt;""),Input!$B$22&amp;";",""),IF(AND($G68&lt;Hta_3,$G68&gt;=Hba_3,Input!AA$23&lt;&gt;""),Input!$B$23&amp;";",""),IF(AND($G68&lt;Hta_4,$G68&gt;=Hba_4,Input!AA$24&lt;&gt;""),Input!$B$24&amp;";",""),IF(AND($G68&lt;Hta_5,$G68&gt;=Hba_5,Input!AA$25&lt;&gt;""),Input!$B$25&amp;";",""),IF(AND($G68&lt;Hta_6,$G68&gt;=Hba_6,Input!AA$26&lt;&gt;""),Input!$B$26&amp;";",""),IF(AND($G68&lt;Hta_7,$G68&gt;=Hba_7,Input!AA$27&lt;&gt;""),Input!$B$27&amp;";",""),IF(AND($G68&lt;Hta_8,$G68&gt;=Hba_8,Input!AA$28&lt;&gt;""),Input!$B$28&amp;";",""),IF(AND($G68&lt;Hta_9,$G68&gt;=Hba_9,Input!AA$29&lt;&gt;""),Input!$B$29&amp;";",""),IF(AND($G68&lt;Hta_10,$G68&gt;=Hba_10,Input!AA$30&lt;&gt;""),Input!$B$30&amp;";",""),IF(AND($G68&lt;Hta_11,$G68&gt;=Hba_11,Input!AA$31&lt;&gt;""),Input!$B$31&amp;";",""),IF(AND($G68&lt;Hta_12,$G68&gt;=Hba_12,Input!AA$32&lt;&gt;""),Input!$B$32&amp;";",""),IF(AND($G68&lt;Hta_13,$G68&gt;=Hba_13,Input!AA$33&lt;&gt;""),Input!$B$33&amp;";",""),IF(AND($G68&lt;Hta_14,$G68&gt;=Hba_14,Input!AA$34&lt;&gt;""),Input!$B$34&amp;";",""),IF(AND($G68&lt;Hta_15,$G68&gt;=Hba_15,Input!AA$35&lt;&gt;""),Input!$B$35&amp;";",""),IF(AND($G68&lt;Hta_16,$G68&gt;=Hba_16,Input!AA$36&lt;&gt;""),Input!$B$36&amp;";",""),IF(AND($G68&lt;Hta_17,$G68&gt;=Hba_17,Input!AA$37&lt;&gt;""),Input!$B$37&amp;";",""),IF(AND($G68&lt;Hta_18,$G68&gt;=Hba_18,Input!AA$38&lt;&gt;""),Input!$B$38&amp;";",""),IF(AND($G68&lt;Hta_19,$G68&gt;=Hba_19,Input!AA$39&lt;&gt;""),Input!$B$39&amp;";",""),IF(AND($G68&lt;Hta_20,$G68&gt;=Hba_20,Input!AA$40&lt;&gt;""),Input!$B$40&amp;";",""),IF(AND($G68&lt;Hta_21,$G68&gt;=Hba_21,Input!AA$41&lt;&gt;""),Input!$B$41&amp;";",""),IF(AND($G68&lt;Hta_22,$G68&gt;=Hba_22,Input!AA$42&lt;&gt;""),Input!$B$42&amp;";",""),IF(AND($G68&lt;Hta_23,$G68&gt;=Hba_23,Input!AA$43&lt;&gt;""),Input!$B$43&amp;";",""),IF(AND($G68&lt;Hta_24,$G68&gt;=Hba_24,Input!AA$44&lt;&gt;""),Input!$B$44&amp;";",""),IF(AND($G68&lt;Hta_25,$G68&gt;=Hba_25,Input!AA$45&lt;&gt;""),Input!$B$45&amp;";",""),IF(AND($G68&lt;Hta_26,$G68&gt;=Hba_26,Input!AA$46&lt;&gt;""),Input!$B$46&amp;";",""),IF(AND($G68&lt;Hta_27,$G68&gt;=Hba_27,Input!AA$47&lt;&gt;""),Input!$B$47&amp;";",""),IF(AND($G68&lt;Hta_28,$G68&gt;=Hba_28,Input!AA$48&lt;&gt;""),Input!$B$48&amp;";",""),IF(AND($G68&lt;Hta_29,$G68&gt;=Hba_29,Input!AA$49&lt;&gt;""),Input!$B$49&amp;";",""),IF(AND($G68&lt;Hta_30,$G68&gt;=Hba_30,Input!AA$50&lt;&gt;""),Input!$B$50&amp;";","")),"")</f>
        <v/>
      </c>
      <c r="CC68" s="25" t="str">
        <f>IFERROR(CONCATENATE(IF(AND($G68&lt;Hta_1,$G68&gt;=Hba_1,Input!AB$21&lt;&gt;""),Input!$B$21&amp;";",""),IF(AND($G68&lt;Hta_2,$G68&gt;=Hba_2,Input!AB$22&lt;&gt;""),Input!$B$22&amp;";",""),IF(AND($G68&lt;Hta_3,$G68&gt;=Hba_3,Input!AB$23&lt;&gt;""),Input!$B$23&amp;";",""),IF(AND($G68&lt;Hta_4,$G68&gt;=Hba_4,Input!AB$24&lt;&gt;""),Input!$B$24&amp;";",""),IF(AND($G68&lt;Hta_5,$G68&gt;=Hba_5,Input!AB$25&lt;&gt;""),Input!$B$25&amp;";",""),IF(AND($G68&lt;Hta_6,$G68&gt;=Hba_6,Input!AB$26&lt;&gt;""),Input!$B$26&amp;";",""),IF(AND($G68&lt;Hta_7,$G68&gt;=Hba_7,Input!AB$27&lt;&gt;""),Input!$B$27&amp;";",""),IF(AND($G68&lt;Hta_8,$G68&gt;=Hba_8,Input!AB$28&lt;&gt;""),Input!$B$28&amp;";",""),IF(AND($G68&lt;Hta_9,$G68&gt;=Hba_9,Input!AB$29&lt;&gt;""),Input!$B$29&amp;";",""),IF(AND($G68&lt;Hta_10,$G68&gt;=Hba_10,Input!AB$30&lt;&gt;""),Input!$B$30&amp;";",""),IF(AND($G68&lt;Hta_11,$G68&gt;=Hba_11,Input!AB$31&lt;&gt;""),Input!$B$31&amp;";",""),IF(AND($G68&lt;Hta_12,$G68&gt;=Hba_12,Input!AB$32&lt;&gt;""),Input!$B$32&amp;";",""),IF(AND($G68&lt;Hta_13,$G68&gt;=Hba_13,Input!AB$33&lt;&gt;""),Input!$B$33&amp;";",""),IF(AND($G68&lt;Hta_14,$G68&gt;=Hba_14,Input!AB$34&lt;&gt;""),Input!$B$34&amp;";",""),IF(AND($G68&lt;Hta_15,$G68&gt;=Hba_15,Input!AB$35&lt;&gt;""),Input!$B$35&amp;";",""),IF(AND($G68&lt;Hta_16,$G68&gt;=Hba_16,Input!AB$36&lt;&gt;""),Input!$B$36&amp;";",""),IF(AND($G68&lt;Hta_17,$G68&gt;=Hba_17,Input!AB$37&lt;&gt;""),Input!$B$37&amp;";",""),IF(AND($G68&lt;Hta_18,$G68&gt;=Hba_18,Input!AB$38&lt;&gt;""),Input!$B$38&amp;";",""),IF(AND($G68&lt;Hta_19,$G68&gt;=Hba_19,Input!AB$39&lt;&gt;""),Input!$B$39&amp;";",""),IF(AND($G68&lt;Hta_20,$G68&gt;=Hba_20,Input!AB$40&lt;&gt;""),Input!$B$40&amp;";",""),IF(AND($G68&lt;Hta_21,$G68&gt;=Hba_21,Input!AB$41&lt;&gt;""),Input!$B$41&amp;";",""),IF(AND($G68&lt;Hta_22,$G68&gt;=Hba_22,Input!AB$42&lt;&gt;""),Input!$B$42&amp;";",""),IF(AND($G68&lt;Hta_23,$G68&gt;=Hba_23,Input!AB$43&lt;&gt;""),Input!$B$43&amp;";",""),IF(AND($G68&lt;Hta_24,$G68&gt;=Hba_24,Input!AB$44&lt;&gt;""),Input!$B$44&amp;";",""),IF(AND($G68&lt;Hta_25,$G68&gt;=Hba_25,Input!AB$45&lt;&gt;""),Input!$B$45&amp;";",""),IF(AND($G68&lt;Hta_26,$G68&gt;=Hba_26,Input!AB$46&lt;&gt;""),Input!$B$46&amp;";",""),IF(AND($G68&lt;Hta_27,$G68&gt;=Hba_27,Input!AB$47&lt;&gt;""),Input!$B$47&amp;";",""),IF(AND($G68&lt;Hta_28,$G68&gt;=Hba_28,Input!AB$48&lt;&gt;""),Input!$B$48&amp;";",""),IF(AND($G68&lt;Hta_29,$G68&gt;=Hba_29,Input!AB$49&lt;&gt;""),Input!$B$49&amp;";",""),IF(AND($G68&lt;Hta_30,$G68&gt;=Hba_30,Input!AB$50&lt;&gt;""),Input!$B$50&amp;";","")),"")</f>
        <v/>
      </c>
      <c r="CD68" s="25" t="str">
        <f>IFERROR(CONCATENATE(IF(AND($G68&lt;Hta_1,$G68&gt;=Hba_1,Input!AC$21&lt;&gt;""),Input!$B$21&amp;";",""),IF(AND($G68&lt;Hta_2,$G68&gt;=Hba_2,Input!AC$22&lt;&gt;""),Input!$B$22&amp;";",""),IF(AND($G68&lt;Hta_3,$G68&gt;=Hba_3,Input!AC$23&lt;&gt;""),Input!$B$23&amp;";",""),IF(AND($G68&lt;Hta_4,$G68&gt;=Hba_4,Input!AC$24&lt;&gt;""),Input!$B$24&amp;";",""),IF(AND($G68&lt;Hta_5,$G68&gt;=Hba_5,Input!AC$25&lt;&gt;""),Input!$B$25&amp;";",""),IF(AND($G68&lt;Hta_6,$G68&gt;=Hba_6,Input!AC$26&lt;&gt;""),Input!$B$26&amp;";",""),IF(AND($G68&lt;Hta_7,$G68&gt;=Hba_7,Input!AC$27&lt;&gt;""),Input!$B$27&amp;";",""),IF(AND($G68&lt;Hta_8,$G68&gt;=Hba_8,Input!AC$28&lt;&gt;""),Input!$B$28&amp;";",""),IF(AND($G68&lt;Hta_9,$G68&gt;=Hba_9,Input!AC$29&lt;&gt;""),Input!$B$29&amp;";",""),IF(AND($G68&lt;Hta_10,$G68&gt;=Hba_10,Input!AC$30&lt;&gt;""),Input!$B$30&amp;";",""),IF(AND($G68&lt;Hta_11,$G68&gt;=Hba_11,Input!AC$31&lt;&gt;""),Input!$B$31&amp;";",""),IF(AND($G68&lt;Hta_12,$G68&gt;=Hba_12,Input!AC$32&lt;&gt;""),Input!$B$32&amp;";",""),IF(AND($G68&lt;Hta_13,$G68&gt;=Hba_13,Input!AC$33&lt;&gt;""),Input!$B$33&amp;";",""),IF(AND($G68&lt;Hta_14,$G68&gt;=Hba_14,Input!AC$34&lt;&gt;""),Input!$B$34&amp;";",""),IF(AND($G68&lt;Hta_15,$G68&gt;=Hba_15,Input!AC$35&lt;&gt;""),Input!$B$35&amp;";",""),IF(AND($G68&lt;Hta_16,$G68&gt;=Hba_16,Input!AC$36&lt;&gt;""),Input!$B$36&amp;";",""),IF(AND($G68&lt;Hta_17,$G68&gt;=Hba_17,Input!AC$37&lt;&gt;""),Input!$B$37&amp;";",""),IF(AND($G68&lt;Hta_18,$G68&gt;=Hba_18,Input!AC$38&lt;&gt;""),Input!$B$38&amp;";",""),IF(AND($G68&lt;Hta_19,$G68&gt;=Hba_19,Input!AC$39&lt;&gt;""),Input!$B$39&amp;";",""),IF(AND($G68&lt;Hta_20,$G68&gt;=Hba_20,Input!AC$40&lt;&gt;""),Input!$B$40&amp;";",""),IF(AND($G68&lt;Hta_21,$G68&gt;=Hba_21,Input!AC$41&lt;&gt;""),Input!$B$41&amp;";",""),IF(AND($G68&lt;Hta_22,$G68&gt;=Hba_22,Input!AC$42&lt;&gt;""),Input!$B$42&amp;";",""),IF(AND($G68&lt;Hta_23,$G68&gt;=Hba_23,Input!AC$43&lt;&gt;""),Input!$B$43&amp;";",""),IF(AND($G68&lt;Hta_24,$G68&gt;=Hba_24,Input!AC$44&lt;&gt;""),Input!$B$44&amp;";",""),IF(AND($G68&lt;Hta_25,$G68&gt;=Hba_25,Input!AC$45&lt;&gt;""),Input!$B$45&amp;";",""),IF(AND($G68&lt;Hta_26,$G68&gt;=Hba_26,Input!AC$46&lt;&gt;""),Input!$B$46&amp;";",""),IF(AND($G68&lt;Hta_27,$G68&gt;=Hba_27,Input!AC$47&lt;&gt;""),Input!$B$47&amp;";",""),IF(AND($G68&lt;Hta_28,$G68&gt;=Hba_28,Input!AC$48&lt;&gt;""),Input!$B$48&amp;";",""),IF(AND($G68&lt;Hta_29,$G68&gt;=Hba_29,Input!AC$49&lt;&gt;""),Input!$B$49&amp;";",""),IF(AND($G68&lt;Hta_30,$G68&gt;=Hba_30,Input!AC$50&lt;&gt;""),Input!$B$50&amp;";","")),"")</f>
        <v/>
      </c>
      <c r="CE68" s="25" t="str">
        <f>IFERROR(CONCATENATE(IF(AND($G68&lt;Hta_1,$G68&gt;=Hba_1,Input!AD$21&lt;&gt;""),Input!$B$21&amp;";",""),IF(AND($G68&lt;Hta_2,$G68&gt;=Hba_2,Input!AD$22&lt;&gt;""),Input!$B$22&amp;";",""),IF(AND($G68&lt;Hta_3,$G68&gt;=Hba_3,Input!AD$23&lt;&gt;""),Input!$B$23&amp;";",""),IF(AND($G68&lt;Hta_4,$G68&gt;=Hba_4,Input!AD$24&lt;&gt;""),Input!$B$24&amp;";",""),IF(AND($G68&lt;Hta_5,$G68&gt;=Hba_5,Input!AD$25&lt;&gt;""),Input!$B$25&amp;";",""),IF(AND($G68&lt;Hta_6,$G68&gt;=Hba_6,Input!AD$26&lt;&gt;""),Input!$B$26&amp;";",""),IF(AND($G68&lt;Hta_7,$G68&gt;=Hba_7,Input!AD$27&lt;&gt;""),Input!$B$27&amp;";",""),IF(AND($G68&lt;Hta_8,$G68&gt;=Hba_8,Input!AD$28&lt;&gt;""),Input!$B$28&amp;";",""),IF(AND($G68&lt;Hta_9,$G68&gt;=Hba_9,Input!AD$29&lt;&gt;""),Input!$B$29&amp;";",""),IF(AND($G68&lt;Hta_10,$G68&gt;=Hba_10,Input!AD$30&lt;&gt;""),Input!$B$30&amp;";",""),IF(AND($G68&lt;Hta_11,$G68&gt;=Hba_11,Input!AD$31&lt;&gt;""),Input!$B$31&amp;";",""),IF(AND($G68&lt;Hta_12,$G68&gt;=Hba_12,Input!AD$32&lt;&gt;""),Input!$B$32&amp;";",""),IF(AND($G68&lt;Hta_13,$G68&gt;=Hba_13,Input!AD$33&lt;&gt;""),Input!$B$33&amp;";",""),IF(AND($G68&lt;Hta_14,$G68&gt;=Hba_14,Input!AD$34&lt;&gt;""),Input!$B$34&amp;";",""),IF(AND($G68&lt;Hta_15,$G68&gt;=Hba_15,Input!AD$35&lt;&gt;""),Input!$B$35&amp;";",""),IF(AND($G68&lt;Hta_16,$G68&gt;=Hba_16,Input!AD$36&lt;&gt;""),Input!$B$36&amp;";",""),IF(AND($G68&lt;Hta_17,$G68&gt;=Hba_17,Input!AD$37&lt;&gt;""),Input!$B$37&amp;";",""),IF(AND($G68&lt;Hta_18,$G68&gt;=Hba_18,Input!AD$38&lt;&gt;""),Input!$B$38&amp;";",""),IF(AND($G68&lt;Hta_19,$G68&gt;=Hba_19,Input!AD$39&lt;&gt;""),Input!$B$39&amp;";",""),IF(AND($G68&lt;Hta_20,$G68&gt;=Hba_20,Input!AD$40&lt;&gt;""),Input!$B$40&amp;";",""),IF(AND($G68&lt;Hta_21,$G68&gt;=Hba_21,Input!AD$41&lt;&gt;""),Input!$B$41&amp;";",""),IF(AND($G68&lt;Hta_22,$G68&gt;=Hba_22,Input!AD$42&lt;&gt;""),Input!$B$42&amp;";",""),IF(AND($G68&lt;Hta_23,$G68&gt;=Hba_23,Input!AD$43&lt;&gt;""),Input!$B$43&amp;";",""),IF(AND($G68&lt;Hta_24,$G68&gt;=Hba_24,Input!AD$44&lt;&gt;""),Input!$B$44&amp;";",""),IF(AND($G68&lt;Hta_25,$G68&gt;=Hba_25,Input!AD$45&lt;&gt;""),Input!$B$45&amp;";",""),IF(AND($G68&lt;Hta_26,$G68&gt;=Hba_26,Input!AD$46&lt;&gt;""),Input!$B$46&amp;";",""),IF(AND($G68&lt;Hta_27,$G68&gt;=Hba_27,Input!AD$47&lt;&gt;""),Input!$B$47&amp;";",""),IF(AND($G68&lt;Hta_28,$G68&gt;=Hba_28,Input!AD$48&lt;&gt;""),Input!$B$48&amp;";",""),IF(AND($G68&lt;Hta_29,$G68&gt;=Hba_29,Input!AD$49&lt;&gt;""),Input!$B$49&amp;";",""),IF(AND($G68&lt;Hta_30,$G68&gt;=Hba_30,Input!AD$50&lt;&gt;""),Input!$B$50&amp;";","")),"")</f>
        <v/>
      </c>
      <c r="CF68" s="25" t="str">
        <f>IFERROR(CONCATENATE(IF(AND($G68&lt;Hta_1,$G68&gt;=Hba_1,Input!AE$21&lt;&gt;""),Input!$B$21&amp;";",""),IF(AND($G68&lt;Hta_2,$G68&gt;=Hba_2,Input!AE$22&lt;&gt;""),Input!$B$22&amp;";",""),IF(AND($G68&lt;Hta_3,$G68&gt;=Hba_3,Input!AE$23&lt;&gt;""),Input!$B$23&amp;";",""),IF(AND($G68&lt;Hta_4,$G68&gt;=Hba_4,Input!AE$24&lt;&gt;""),Input!$B$24&amp;";",""),IF(AND($G68&lt;Hta_5,$G68&gt;=Hba_5,Input!AE$25&lt;&gt;""),Input!$B$25&amp;";",""),IF(AND($G68&lt;Hta_6,$G68&gt;=Hba_6,Input!AE$26&lt;&gt;""),Input!$B$26&amp;";",""),IF(AND($G68&lt;Hta_7,$G68&gt;=Hba_7,Input!AE$27&lt;&gt;""),Input!$B$27&amp;";",""),IF(AND($G68&lt;Hta_8,$G68&gt;=Hba_8,Input!AE$28&lt;&gt;""),Input!$B$28&amp;";",""),IF(AND($G68&lt;Hta_9,$G68&gt;=Hba_9,Input!AE$29&lt;&gt;""),Input!$B$29&amp;";",""),IF(AND($G68&lt;Hta_10,$G68&gt;=Hba_10,Input!AE$30&lt;&gt;""),Input!$B$30&amp;";",""),IF(AND($G68&lt;Hta_11,$G68&gt;=Hba_11,Input!AE$31&lt;&gt;""),Input!$B$31&amp;";",""),IF(AND($G68&lt;Hta_12,$G68&gt;=Hba_12,Input!AE$32&lt;&gt;""),Input!$B$32&amp;";",""),IF(AND($G68&lt;Hta_13,$G68&gt;=Hba_13,Input!AE$33&lt;&gt;""),Input!$B$33&amp;";",""),IF(AND($G68&lt;Hta_14,$G68&gt;=Hba_14,Input!AE$34&lt;&gt;""),Input!$B$34&amp;";",""),IF(AND($G68&lt;Hta_15,$G68&gt;=Hba_15,Input!AE$35&lt;&gt;""),Input!$B$35&amp;";",""),IF(AND($G68&lt;Hta_16,$G68&gt;=Hba_16,Input!AE$36&lt;&gt;""),Input!$B$36&amp;";",""),IF(AND($G68&lt;Hta_17,$G68&gt;=Hba_17,Input!AE$37&lt;&gt;""),Input!$B$37&amp;";",""),IF(AND($G68&lt;Hta_18,$G68&gt;=Hba_18,Input!AE$38&lt;&gt;""),Input!$B$38&amp;";",""),IF(AND($G68&lt;Hta_19,$G68&gt;=Hba_19,Input!AE$39&lt;&gt;""),Input!$B$39&amp;";",""),IF(AND($G68&lt;Hta_20,$G68&gt;=Hba_20,Input!AE$40&lt;&gt;""),Input!$B$40&amp;";",""),IF(AND($G68&lt;Hta_21,$G68&gt;=Hba_21,Input!AE$41&lt;&gt;""),Input!$B$41&amp;";",""),IF(AND($G68&lt;Hta_22,$G68&gt;=Hba_22,Input!AE$42&lt;&gt;""),Input!$B$42&amp;";",""),IF(AND($G68&lt;Hta_23,$G68&gt;=Hba_23,Input!AE$43&lt;&gt;""),Input!$B$43&amp;";",""),IF(AND($G68&lt;Hta_24,$G68&gt;=Hba_24,Input!AE$44&lt;&gt;""),Input!$B$44&amp;";",""),IF(AND($G68&lt;Hta_25,$G68&gt;=Hba_25,Input!AE$45&lt;&gt;""),Input!$B$45&amp;";",""),IF(AND($G68&lt;Hta_26,$G68&gt;=Hba_26,Input!AE$46&lt;&gt;""),Input!$B$46&amp;";",""),IF(AND($G68&lt;Hta_27,$G68&gt;=Hba_27,Input!AE$47&lt;&gt;""),Input!$B$47&amp;";",""),IF(AND($G68&lt;Hta_28,$G68&gt;=Hba_28,Input!AE$48&lt;&gt;""),Input!$B$48&amp;";",""),IF(AND($G68&lt;Hta_29,$G68&gt;=Hba_29,Input!AE$49&lt;&gt;""),Input!$B$49&amp;";",""),IF(AND($G68&lt;Hta_30,$G68&gt;=Hba_30,Input!AE$50&lt;&gt;""),Input!$B$50&amp;";","")),"")</f>
        <v/>
      </c>
      <c r="CG68" s="25" t="str">
        <f>IFERROR(CONCATENATE(IF(AND($G68&lt;Hta_1,$G68&gt;=Hba_1,Input!AF$21&lt;&gt;""),Input!$B$21&amp;";",""),IF(AND($G68&lt;Hta_2,$G68&gt;=Hba_2,Input!AF$22&lt;&gt;""),Input!$B$22&amp;";",""),IF(AND($G68&lt;Hta_3,$G68&gt;=Hba_3,Input!AF$23&lt;&gt;""),Input!$B$23&amp;";",""),IF(AND($G68&lt;Hta_4,$G68&gt;=Hba_4,Input!AF$24&lt;&gt;""),Input!$B$24&amp;";",""),IF(AND($G68&lt;Hta_5,$G68&gt;=Hba_5,Input!AF$25&lt;&gt;""),Input!$B$25&amp;";",""),IF(AND($G68&lt;Hta_6,$G68&gt;=Hba_6,Input!AF$26&lt;&gt;""),Input!$B$26&amp;";",""),IF(AND($G68&lt;Hta_7,$G68&gt;=Hba_7,Input!AF$27&lt;&gt;""),Input!$B$27&amp;";",""),IF(AND($G68&lt;Hta_8,$G68&gt;=Hba_8,Input!AF$28&lt;&gt;""),Input!$B$28&amp;";",""),IF(AND($G68&lt;Hta_9,$G68&gt;=Hba_9,Input!AF$29&lt;&gt;""),Input!$B$29&amp;";",""),IF(AND($G68&lt;Hta_10,$G68&gt;=Hba_10,Input!AF$30&lt;&gt;""),Input!$B$30&amp;";",""),IF(AND($G68&lt;Hta_11,$G68&gt;=Hba_11,Input!AF$31&lt;&gt;""),Input!$B$31&amp;";",""),IF(AND($G68&lt;Hta_12,$G68&gt;=Hba_12,Input!AF$32&lt;&gt;""),Input!$B$32&amp;";",""),IF(AND($G68&lt;Hta_13,$G68&gt;=Hba_13,Input!AF$33&lt;&gt;""),Input!$B$33&amp;";",""),IF(AND($G68&lt;Hta_14,$G68&gt;=Hba_14,Input!AF$34&lt;&gt;""),Input!$B$34&amp;";",""),IF(AND($G68&lt;Hta_15,$G68&gt;=Hba_15,Input!AF$35&lt;&gt;""),Input!$B$35&amp;";",""),IF(AND($G68&lt;Hta_16,$G68&gt;=Hba_16,Input!AF$36&lt;&gt;""),Input!$B$36&amp;";",""),IF(AND($G68&lt;Hta_17,$G68&gt;=Hba_17,Input!AF$37&lt;&gt;""),Input!$B$37&amp;";",""),IF(AND($G68&lt;Hta_18,$G68&gt;=Hba_18,Input!AF$38&lt;&gt;""),Input!$B$38&amp;";",""),IF(AND($G68&lt;Hta_19,$G68&gt;=Hba_19,Input!AF$39&lt;&gt;""),Input!$B$39&amp;";",""),IF(AND($G68&lt;Hta_20,$G68&gt;=Hba_20,Input!AF$40&lt;&gt;""),Input!$B$40&amp;";",""),IF(AND($G68&lt;Hta_21,$G68&gt;=Hba_21,Input!AF$41&lt;&gt;""),Input!$B$41&amp;";",""),IF(AND($G68&lt;Hta_22,$G68&gt;=Hba_22,Input!AF$42&lt;&gt;""),Input!$B$42&amp;";",""),IF(AND($G68&lt;Hta_23,$G68&gt;=Hba_23,Input!AF$43&lt;&gt;""),Input!$B$43&amp;";",""),IF(AND($G68&lt;Hta_24,$G68&gt;=Hba_24,Input!AF$44&lt;&gt;""),Input!$B$44&amp;";",""),IF(AND($G68&lt;Hta_25,$G68&gt;=Hba_25,Input!AF$45&lt;&gt;""),Input!$B$45&amp;";",""),IF(AND($G68&lt;Hta_26,$G68&gt;=Hba_26,Input!AF$46&lt;&gt;""),Input!$B$46&amp;";",""),IF(AND($G68&lt;Hta_27,$G68&gt;=Hba_27,Input!AF$47&lt;&gt;""),Input!$B$47&amp;";",""),IF(AND($G68&lt;Hta_28,$G68&gt;=Hba_28,Input!AF$48&lt;&gt;""),Input!$B$48&amp;";",""),IF(AND($G68&lt;Hta_29,$G68&gt;=Hba_29,Input!AF$49&lt;&gt;""),Input!$B$49&amp;";",""),IF(AND($G68&lt;Hta_30,$G68&gt;=Hba_30,Input!AF$50&lt;&gt;""),Input!$B$50&amp;";","")),"")</f>
        <v/>
      </c>
      <c r="CH68" s="25" t="str">
        <f>IFERROR(CONCATENATE(IF(AND($G68&lt;Hta_1,$G68&gt;=Hba_1,Input!AG$21&lt;&gt;""),Input!$B$21&amp;";",""),IF(AND($G68&lt;Hta_2,$G68&gt;=Hba_2,Input!AG$22&lt;&gt;""),Input!$B$22&amp;";",""),IF(AND($G68&lt;Hta_3,$G68&gt;=Hba_3,Input!AG$23&lt;&gt;""),Input!$B$23&amp;";",""),IF(AND($G68&lt;Hta_4,$G68&gt;=Hba_4,Input!AG$24&lt;&gt;""),Input!$B$24&amp;";",""),IF(AND($G68&lt;Hta_5,$G68&gt;=Hba_5,Input!AG$25&lt;&gt;""),Input!$B$25&amp;";",""),IF(AND($G68&lt;Hta_6,$G68&gt;=Hba_6,Input!AG$26&lt;&gt;""),Input!$B$26&amp;";",""),IF(AND($G68&lt;Hta_7,$G68&gt;=Hba_7,Input!AG$27&lt;&gt;""),Input!$B$27&amp;";",""),IF(AND($G68&lt;Hta_8,$G68&gt;=Hba_8,Input!AG$28&lt;&gt;""),Input!$B$28&amp;";",""),IF(AND($G68&lt;Hta_9,$G68&gt;=Hba_9,Input!AG$29&lt;&gt;""),Input!$B$29&amp;";",""),IF(AND($G68&lt;Hta_10,$G68&gt;=Hba_10,Input!AG$30&lt;&gt;""),Input!$B$30&amp;";",""),IF(AND($G68&lt;Hta_11,$G68&gt;=Hba_11,Input!AG$31&lt;&gt;""),Input!$B$31&amp;";",""),IF(AND($G68&lt;Hta_12,$G68&gt;=Hba_12,Input!AG$32&lt;&gt;""),Input!$B$32&amp;";",""),IF(AND($G68&lt;Hta_13,$G68&gt;=Hba_13,Input!AG$33&lt;&gt;""),Input!$B$33&amp;";",""),IF(AND($G68&lt;Hta_14,$G68&gt;=Hba_14,Input!AG$34&lt;&gt;""),Input!$B$34&amp;";",""),IF(AND($G68&lt;Hta_15,$G68&gt;=Hba_15,Input!AG$35&lt;&gt;""),Input!$B$35&amp;";",""),IF(AND($G68&lt;Hta_16,$G68&gt;=Hba_16,Input!AG$36&lt;&gt;""),Input!$B$36&amp;";",""),IF(AND($G68&lt;Hta_17,$G68&gt;=Hba_17,Input!AG$37&lt;&gt;""),Input!$B$37&amp;";",""),IF(AND($G68&lt;Hta_18,$G68&gt;=Hba_18,Input!AG$38&lt;&gt;""),Input!$B$38&amp;";",""),IF(AND($G68&lt;Hta_19,$G68&gt;=Hba_19,Input!AG$39&lt;&gt;""),Input!$B$39&amp;";",""),IF(AND($G68&lt;Hta_20,$G68&gt;=Hba_20,Input!AG$40&lt;&gt;""),Input!$B$40&amp;";",""),IF(AND($G68&lt;Hta_21,$G68&gt;=Hba_21,Input!AG$41&lt;&gt;""),Input!$B$41&amp;";",""),IF(AND($G68&lt;Hta_22,$G68&gt;=Hba_22,Input!AG$42&lt;&gt;""),Input!$B$42&amp;";",""),IF(AND($G68&lt;Hta_23,$G68&gt;=Hba_23,Input!AG$43&lt;&gt;""),Input!$B$43&amp;";",""),IF(AND($G68&lt;Hta_24,$G68&gt;=Hba_24,Input!AG$44&lt;&gt;""),Input!$B$44&amp;";",""),IF(AND($G68&lt;Hta_25,$G68&gt;=Hba_25,Input!AG$45&lt;&gt;""),Input!$B$45&amp;";",""),IF(AND($G68&lt;Hta_26,$G68&gt;=Hba_26,Input!AG$46&lt;&gt;""),Input!$B$46&amp;";",""),IF(AND($G68&lt;Hta_27,$G68&gt;=Hba_27,Input!AG$47&lt;&gt;""),Input!$B$47&amp;";",""),IF(AND($G68&lt;Hta_28,$G68&gt;=Hba_28,Input!AG$48&lt;&gt;""),Input!$B$48&amp;";",""),IF(AND($G68&lt;Hta_29,$G68&gt;=Hba_29,Input!AG$49&lt;&gt;""),Input!$B$49&amp;";",""),IF(AND($G68&lt;Hta_30,$G68&gt;=Hba_30,Input!AG$50&lt;&gt;""),Input!$B$50&amp;";","")),"")</f>
        <v/>
      </c>
      <c r="CI68" s="25" t="str">
        <f>IFERROR(CONCATENATE(IF(AND($G68&lt;Hta_1,$G68&gt;=Hba_1,Input!AH$21&lt;&gt;""),Input!$B$21&amp;";",""),IF(AND($G68&lt;Hta_2,$G68&gt;=Hba_2,Input!AH$22&lt;&gt;""),Input!$B$22&amp;";",""),IF(AND($G68&lt;Hta_3,$G68&gt;=Hba_3,Input!AH$23&lt;&gt;""),Input!$B$23&amp;";",""),IF(AND($G68&lt;Hta_4,$G68&gt;=Hba_4,Input!AH$24&lt;&gt;""),Input!$B$24&amp;";",""),IF(AND($G68&lt;Hta_5,$G68&gt;=Hba_5,Input!AH$25&lt;&gt;""),Input!$B$25&amp;";",""),IF(AND($G68&lt;Hta_6,$G68&gt;=Hba_6,Input!AH$26&lt;&gt;""),Input!$B$26&amp;";",""),IF(AND($G68&lt;Hta_7,$G68&gt;=Hba_7,Input!AH$27&lt;&gt;""),Input!$B$27&amp;";",""),IF(AND($G68&lt;Hta_8,$G68&gt;=Hba_8,Input!AH$28&lt;&gt;""),Input!$B$28&amp;";",""),IF(AND($G68&lt;Hta_9,$G68&gt;=Hba_9,Input!AH$29&lt;&gt;""),Input!$B$29&amp;";",""),IF(AND($G68&lt;Hta_10,$G68&gt;=Hba_10,Input!AH$30&lt;&gt;""),Input!$B$30&amp;";",""),IF(AND($G68&lt;Hta_11,$G68&gt;=Hba_11,Input!AH$31&lt;&gt;""),Input!$B$31&amp;";",""),IF(AND($G68&lt;Hta_12,$G68&gt;=Hba_12,Input!AH$32&lt;&gt;""),Input!$B$32&amp;";",""),IF(AND($G68&lt;Hta_13,$G68&gt;=Hba_13,Input!AH$33&lt;&gt;""),Input!$B$33&amp;";",""),IF(AND($G68&lt;Hta_14,$G68&gt;=Hba_14,Input!AH$34&lt;&gt;""),Input!$B$34&amp;";",""),IF(AND($G68&lt;Hta_15,$G68&gt;=Hba_15,Input!AH$35&lt;&gt;""),Input!$B$35&amp;";",""),IF(AND($G68&lt;Hta_16,$G68&gt;=Hba_16,Input!AH$36&lt;&gt;""),Input!$B$36&amp;";",""),IF(AND($G68&lt;Hta_17,$G68&gt;=Hba_17,Input!AH$37&lt;&gt;""),Input!$B$37&amp;";",""),IF(AND($G68&lt;Hta_18,$G68&gt;=Hba_18,Input!AH$38&lt;&gt;""),Input!$B$38&amp;";",""),IF(AND($G68&lt;Hta_19,$G68&gt;=Hba_19,Input!AH$39&lt;&gt;""),Input!$B$39&amp;";",""),IF(AND($G68&lt;Hta_20,$G68&gt;=Hba_20,Input!AH$40&lt;&gt;""),Input!$B$40&amp;";",""),IF(AND($G68&lt;Hta_21,$G68&gt;=Hba_21,Input!AH$41&lt;&gt;""),Input!$B$41&amp;";",""),IF(AND($G68&lt;Hta_22,$G68&gt;=Hba_22,Input!AH$42&lt;&gt;""),Input!$B$42&amp;";",""),IF(AND($G68&lt;Hta_23,$G68&gt;=Hba_23,Input!AH$43&lt;&gt;""),Input!$B$43&amp;";",""),IF(AND($G68&lt;Hta_24,$G68&gt;=Hba_24,Input!AH$44&lt;&gt;""),Input!$B$44&amp;";",""),IF(AND($G68&lt;Hta_25,$G68&gt;=Hba_25,Input!AH$45&lt;&gt;""),Input!$B$45&amp;";",""),IF(AND($G68&lt;Hta_26,$G68&gt;=Hba_26,Input!AH$46&lt;&gt;""),Input!$B$46&amp;";",""),IF(AND($G68&lt;Hta_27,$G68&gt;=Hba_27,Input!AH$47&lt;&gt;""),Input!$B$47&amp;";",""),IF(AND($G68&lt;Hta_28,$G68&gt;=Hba_28,Input!AH$48&lt;&gt;""),Input!$B$48&amp;";",""),IF(AND($G68&lt;Hta_29,$G68&gt;=Hba_29,Input!AH$49&lt;&gt;""),Input!$B$49&amp;";",""),IF(AND($G68&lt;Hta_30,$G68&gt;=Hba_30,Input!AH$50&lt;&gt;""),Input!$B$50&amp;";","")),"")</f>
        <v/>
      </c>
      <c r="CJ68" s="25" t="str">
        <f>IFERROR(CONCATENATE(IF(AND($G68&lt;Hta_1,$G68&gt;=Hba_1,Input!AI$21&lt;&gt;""),Input!$B$21&amp;";",""),IF(AND($G68&lt;Hta_2,$G68&gt;=Hba_2,Input!AI$22&lt;&gt;""),Input!$B$22&amp;";",""),IF(AND($G68&lt;Hta_3,$G68&gt;=Hba_3,Input!AI$23&lt;&gt;""),Input!$B$23&amp;";",""),IF(AND($G68&lt;Hta_4,$G68&gt;=Hba_4,Input!AI$24&lt;&gt;""),Input!$B$24&amp;";",""),IF(AND($G68&lt;Hta_5,$G68&gt;=Hba_5,Input!AI$25&lt;&gt;""),Input!$B$25&amp;";",""),IF(AND($G68&lt;Hta_6,$G68&gt;=Hba_6,Input!AI$26&lt;&gt;""),Input!$B$26&amp;";",""),IF(AND($G68&lt;Hta_7,$G68&gt;=Hba_7,Input!AI$27&lt;&gt;""),Input!$B$27&amp;";",""),IF(AND($G68&lt;Hta_8,$G68&gt;=Hba_8,Input!AI$28&lt;&gt;""),Input!$B$28&amp;";",""),IF(AND($G68&lt;Hta_9,$G68&gt;=Hba_9,Input!AI$29&lt;&gt;""),Input!$B$29&amp;";",""),IF(AND($G68&lt;Hta_10,$G68&gt;=Hba_10,Input!AI$30&lt;&gt;""),Input!$B$30&amp;";",""),IF(AND($G68&lt;Hta_11,$G68&gt;=Hba_11,Input!AI$31&lt;&gt;""),Input!$B$31&amp;";",""),IF(AND($G68&lt;Hta_12,$G68&gt;=Hba_12,Input!AI$32&lt;&gt;""),Input!$B$32&amp;";",""),IF(AND($G68&lt;Hta_13,$G68&gt;=Hba_13,Input!AI$33&lt;&gt;""),Input!$B$33&amp;";",""),IF(AND($G68&lt;Hta_14,$G68&gt;=Hba_14,Input!AI$34&lt;&gt;""),Input!$B$34&amp;";",""),IF(AND($G68&lt;Hta_15,$G68&gt;=Hba_15,Input!AI$35&lt;&gt;""),Input!$B$35&amp;";",""),IF(AND($G68&lt;Hta_16,$G68&gt;=Hba_16,Input!AI$36&lt;&gt;""),Input!$B$36&amp;";",""),IF(AND($G68&lt;Hta_17,$G68&gt;=Hba_17,Input!AI$37&lt;&gt;""),Input!$B$37&amp;";",""),IF(AND($G68&lt;Hta_18,$G68&gt;=Hba_18,Input!AI$38&lt;&gt;""),Input!$B$38&amp;";",""),IF(AND($G68&lt;Hta_19,$G68&gt;=Hba_19,Input!AI$39&lt;&gt;""),Input!$B$39&amp;";",""),IF(AND($G68&lt;Hta_20,$G68&gt;=Hba_20,Input!AI$40&lt;&gt;""),Input!$B$40&amp;";",""),IF(AND($G68&lt;Hta_21,$G68&gt;=Hba_21,Input!AI$41&lt;&gt;""),Input!$B$41&amp;";",""),IF(AND($G68&lt;Hta_22,$G68&gt;=Hba_22,Input!AI$42&lt;&gt;""),Input!$B$42&amp;";",""),IF(AND($G68&lt;Hta_23,$G68&gt;=Hba_23,Input!AI$43&lt;&gt;""),Input!$B$43&amp;";",""),IF(AND($G68&lt;Hta_24,$G68&gt;=Hba_24,Input!AI$44&lt;&gt;""),Input!$B$44&amp;";",""),IF(AND($G68&lt;Hta_25,$G68&gt;=Hba_25,Input!AI$45&lt;&gt;""),Input!$B$45&amp;";",""),IF(AND($G68&lt;Hta_26,$G68&gt;=Hba_26,Input!AI$46&lt;&gt;""),Input!$B$46&amp;";",""),IF(AND($G68&lt;Hta_27,$G68&gt;=Hba_27,Input!AI$47&lt;&gt;""),Input!$B$47&amp;";",""),IF(AND($G68&lt;Hta_28,$G68&gt;=Hba_28,Input!AI$48&lt;&gt;""),Input!$B$48&amp;";",""),IF(AND($G68&lt;Hta_29,$G68&gt;=Hba_29,Input!AI$49&lt;&gt;""),Input!$B$49&amp;";",""),IF(AND($G68&lt;Hta_30,$G68&gt;=Hba_30,Input!AI$50&lt;&gt;""),Input!$B$50&amp;";","")),"")</f>
        <v/>
      </c>
      <c r="CK68" s="25" t="str">
        <f>IFERROR(CONCATENATE(IF(AND($G68&lt;Hta_1,$G68&gt;=Hba_1,Input!AJ$21&lt;&gt;""),Input!$B$21&amp;";",""),IF(AND($G68&lt;Hta_2,$G68&gt;=Hba_2,Input!AJ$22&lt;&gt;""),Input!$B$22&amp;";",""),IF(AND($G68&lt;Hta_3,$G68&gt;=Hba_3,Input!AJ$23&lt;&gt;""),Input!$B$23&amp;";",""),IF(AND($G68&lt;Hta_4,$G68&gt;=Hba_4,Input!AJ$24&lt;&gt;""),Input!$B$24&amp;";",""),IF(AND($G68&lt;Hta_5,$G68&gt;=Hba_5,Input!AJ$25&lt;&gt;""),Input!$B$25&amp;";",""),IF(AND($G68&lt;Hta_6,$G68&gt;=Hba_6,Input!AJ$26&lt;&gt;""),Input!$B$26&amp;";",""),IF(AND($G68&lt;Hta_7,$G68&gt;=Hba_7,Input!AJ$27&lt;&gt;""),Input!$B$27&amp;";",""),IF(AND($G68&lt;Hta_8,$G68&gt;=Hba_8,Input!AJ$28&lt;&gt;""),Input!$B$28&amp;";",""),IF(AND($G68&lt;Hta_9,$G68&gt;=Hba_9,Input!AJ$29&lt;&gt;""),Input!$B$29&amp;";",""),IF(AND($G68&lt;Hta_10,$G68&gt;=Hba_10,Input!AJ$30&lt;&gt;""),Input!$B$30&amp;";",""),IF(AND($G68&lt;Hta_11,$G68&gt;=Hba_11,Input!AJ$31&lt;&gt;""),Input!$B$31&amp;";",""),IF(AND($G68&lt;Hta_12,$G68&gt;=Hba_12,Input!AJ$32&lt;&gt;""),Input!$B$32&amp;";",""),IF(AND($G68&lt;Hta_13,$G68&gt;=Hba_13,Input!AJ$33&lt;&gt;""),Input!$B$33&amp;";",""),IF(AND($G68&lt;Hta_14,$G68&gt;=Hba_14,Input!AJ$34&lt;&gt;""),Input!$B$34&amp;";",""),IF(AND($G68&lt;Hta_15,$G68&gt;=Hba_15,Input!AJ$35&lt;&gt;""),Input!$B$35&amp;";",""),IF(AND($G68&lt;Hta_16,$G68&gt;=Hba_16,Input!AJ$36&lt;&gt;""),Input!$B$36&amp;";",""),IF(AND($G68&lt;Hta_17,$G68&gt;=Hba_17,Input!AJ$37&lt;&gt;""),Input!$B$37&amp;";",""),IF(AND($G68&lt;Hta_18,$G68&gt;=Hba_18,Input!AJ$38&lt;&gt;""),Input!$B$38&amp;";",""),IF(AND($G68&lt;Hta_19,$G68&gt;=Hba_19,Input!AJ$39&lt;&gt;""),Input!$B$39&amp;";",""),IF(AND($G68&lt;Hta_20,$G68&gt;=Hba_20,Input!AJ$40&lt;&gt;""),Input!$B$40&amp;";",""),IF(AND($G68&lt;Hta_21,$G68&gt;=Hba_21,Input!AJ$41&lt;&gt;""),Input!$B$41&amp;";",""),IF(AND($G68&lt;Hta_22,$G68&gt;=Hba_22,Input!AJ$42&lt;&gt;""),Input!$B$42&amp;";",""),IF(AND($G68&lt;Hta_23,$G68&gt;=Hba_23,Input!AJ$43&lt;&gt;""),Input!$B$43&amp;";",""),IF(AND($G68&lt;Hta_24,$G68&gt;=Hba_24,Input!AJ$44&lt;&gt;""),Input!$B$44&amp;";",""),IF(AND($G68&lt;Hta_25,$G68&gt;=Hba_25,Input!AJ$45&lt;&gt;""),Input!$B$45&amp;";",""),IF(AND($G68&lt;Hta_26,$G68&gt;=Hba_26,Input!AJ$46&lt;&gt;""),Input!$B$46&amp;";",""),IF(AND($G68&lt;Hta_27,$G68&gt;=Hba_27,Input!AJ$47&lt;&gt;""),Input!$B$47&amp;";",""),IF(AND($G68&lt;Hta_28,$G68&gt;=Hba_28,Input!AJ$48&lt;&gt;""),Input!$B$48&amp;";",""),IF(AND($G68&lt;Hta_29,$G68&gt;=Hba_29,Input!AJ$49&lt;&gt;""),Input!$B$49&amp;";",""),IF(AND($G68&lt;Hta_30,$G68&gt;=Hba_30,Input!AJ$50&lt;&gt;""),Input!$B$50&amp;";","")),"")</f>
        <v/>
      </c>
      <c r="CL68" s="25" t="str">
        <f>IFERROR(CONCATENATE(IF(AND($G68&lt;Hta_1,$G68&gt;=Hba_1,Input!AK$21&lt;&gt;""),Input!$B$21&amp;";",""),IF(AND($G68&lt;Hta_2,$G68&gt;=Hba_2,Input!AK$22&lt;&gt;""),Input!$B$22&amp;";",""),IF(AND($G68&lt;Hta_3,$G68&gt;=Hba_3,Input!AK$23&lt;&gt;""),Input!$B$23&amp;";",""),IF(AND($G68&lt;Hta_4,$G68&gt;=Hba_4,Input!AK$24&lt;&gt;""),Input!$B$24&amp;";",""),IF(AND($G68&lt;Hta_5,$G68&gt;=Hba_5,Input!AK$25&lt;&gt;""),Input!$B$25&amp;";",""),IF(AND($G68&lt;Hta_6,$G68&gt;=Hba_6,Input!AK$26&lt;&gt;""),Input!$B$26&amp;";",""),IF(AND($G68&lt;Hta_7,$G68&gt;=Hba_7,Input!AK$27&lt;&gt;""),Input!$B$27&amp;";",""),IF(AND($G68&lt;Hta_8,$G68&gt;=Hba_8,Input!AK$28&lt;&gt;""),Input!$B$28&amp;";",""),IF(AND($G68&lt;Hta_9,$G68&gt;=Hba_9,Input!AK$29&lt;&gt;""),Input!$B$29&amp;";",""),IF(AND($G68&lt;Hta_10,$G68&gt;=Hba_10,Input!AK$30&lt;&gt;""),Input!$B$30&amp;";",""),IF(AND($G68&lt;Hta_11,$G68&gt;=Hba_11,Input!AK$31&lt;&gt;""),Input!$B$31&amp;";",""),IF(AND($G68&lt;Hta_12,$G68&gt;=Hba_12,Input!AK$32&lt;&gt;""),Input!$B$32&amp;";",""),IF(AND($G68&lt;Hta_13,$G68&gt;=Hba_13,Input!AK$33&lt;&gt;""),Input!$B$33&amp;";",""),IF(AND($G68&lt;Hta_14,$G68&gt;=Hba_14,Input!AK$34&lt;&gt;""),Input!$B$34&amp;";",""),IF(AND($G68&lt;Hta_15,$G68&gt;=Hba_15,Input!AK$35&lt;&gt;""),Input!$B$35&amp;";",""),IF(AND($G68&lt;Hta_16,$G68&gt;=Hba_16,Input!AK$36&lt;&gt;""),Input!$B$36&amp;";",""),IF(AND($G68&lt;Hta_17,$G68&gt;=Hba_17,Input!AK$37&lt;&gt;""),Input!$B$37&amp;";",""),IF(AND($G68&lt;Hta_18,$G68&gt;=Hba_18,Input!AK$38&lt;&gt;""),Input!$B$38&amp;";",""),IF(AND($G68&lt;Hta_19,$G68&gt;=Hba_19,Input!AK$39&lt;&gt;""),Input!$B$39&amp;";",""),IF(AND($G68&lt;Hta_20,$G68&gt;=Hba_20,Input!AK$40&lt;&gt;""),Input!$B$40&amp;";",""),IF(AND($G68&lt;Hta_21,$G68&gt;=Hba_21,Input!AK$41&lt;&gt;""),Input!$B$41&amp;";",""),IF(AND($G68&lt;Hta_22,$G68&gt;=Hba_22,Input!AK$42&lt;&gt;""),Input!$B$42&amp;";",""),IF(AND($G68&lt;Hta_23,$G68&gt;=Hba_23,Input!AK$43&lt;&gt;""),Input!$B$43&amp;";",""),IF(AND($G68&lt;Hta_24,$G68&gt;=Hba_24,Input!AK$44&lt;&gt;""),Input!$B$44&amp;";",""),IF(AND($G68&lt;Hta_25,$G68&gt;=Hba_25,Input!AK$45&lt;&gt;""),Input!$B$45&amp;";",""),IF(AND($G68&lt;Hta_26,$G68&gt;=Hba_26,Input!AK$46&lt;&gt;""),Input!$B$46&amp;";",""),IF(AND($G68&lt;Hta_27,$G68&gt;=Hba_27,Input!AK$47&lt;&gt;""),Input!$B$47&amp;";",""),IF(AND($G68&lt;Hta_28,$G68&gt;=Hba_28,Input!AK$48&lt;&gt;""),Input!$B$48&amp;";",""),IF(AND($G68&lt;Hta_29,$G68&gt;=Hba_29,Input!AK$49&lt;&gt;""),Input!$B$49&amp;";",""),IF(AND($G68&lt;Hta_30,$G68&gt;=Hba_30,Input!AK$50&lt;&gt;""),Input!$B$50&amp;";","")),"")</f>
        <v/>
      </c>
      <c r="CM68" s="25" t="str">
        <f>IFERROR(CONCATENATE(IF(AND($G68&lt;Hta_1,$G68&gt;=Hba_1,Input!AL$21&lt;&gt;""),Input!$B$21&amp;";",""),IF(AND($G68&lt;Hta_2,$G68&gt;=Hba_2,Input!AL$22&lt;&gt;""),Input!$B$22&amp;";",""),IF(AND($G68&lt;Hta_3,$G68&gt;=Hba_3,Input!AL$23&lt;&gt;""),Input!$B$23&amp;";",""),IF(AND($G68&lt;Hta_4,$G68&gt;=Hba_4,Input!AL$24&lt;&gt;""),Input!$B$24&amp;";",""),IF(AND($G68&lt;Hta_5,$G68&gt;=Hba_5,Input!AL$25&lt;&gt;""),Input!$B$25&amp;";",""),IF(AND($G68&lt;Hta_6,$G68&gt;=Hba_6,Input!AL$26&lt;&gt;""),Input!$B$26&amp;";",""),IF(AND($G68&lt;Hta_7,$G68&gt;=Hba_7,Input!AL$27&lt;&gt;""),Input!$B$27&amp;";",""),IF(AND($G68&lt;Hta_8,$G68&gt;=Hba_8,Input!AL$28&lt;&gt;""),Input!$B$28&amp;";",""),IF(AND($G68&lt;Hta_9,$G68&gt;=Hba_9,Input!AL$29&lt;&gt;""),Input!$B$29&amp;";",""),IF(AND($G68&lt;Hta_10,$G68&gt;=Hba_10,Input!AL$30&lt;&gt;""),Input!$B$30&amp;";",""),IF(AND($G68&lt;Hta_11,$G68&gt;=Hba_11,Input!AL$31&lt;&gt;""),Input!$B$31&amp;";",""),IF(AND($G68&lt;Hta_12,$G68&gt;=Hba_12,Input!AL$32&lt;&gt;""),Input!$B$32&amp;";",""),IF(AND($G68&lt;Hta_13,$G68&gt;=Hba_13,Input!AL$33&lt;&gt;""),Input!$B$33&amp;";",""),IF(AND($G68&lt;Hta_14,$G68&gt;=Hba_14,Input!AL$34&lt;&gt;""),Input!$B$34&amp;";",""),IF(AND($G68&lt;Hta_15,$G68&gt;=Hba_15,Input!AL$35&lt;&gt;""),Input!$B$35&amp;";",""),IF(AND($G68&lt;Hta_16,$G68&gt;=Hba_16,Input!AL$36&lt;&gt;""),Input!$B$36&amp;";",""),IF(AND($G68&lt;Hta_17,$G68&gt;=Hba_17,Input!AL$37&lt;&gt;""),Input!$B$37&amp;";",""),IF(AND($G68&lt;Hta_18,$G68&gt;=Hba_18,Input!AL$38&lt;&gt;""),Input!$B$38&amp;";",""),IF(AND($G68&lt;Hta_19,$G68&gt;=Hba_19,Input!AL$39&lt;&gt;""),Input!$B$39&amp;";",""),IF(AND($G68&lt;Hta_20,$G68&gt;=Hba_20,Input!AL$40&lt;&gt;""),Input!$B$40&amp;";",""),IF(AND($G68&lt;Hta_21,$G68&gt;=Hba_21,Input!AL$41&lt;&gt;""),Input!$B$41&amp;";",""),IF(AND($G68&lt;Hta_22,$G68&gt;=Hba_22,Input!AL$42&lt;&gt;""),Input!$B$42&amp;";",""),IF(AND($G68&lt;Hta_23,$G68&gt;=Hba_23,Input!AL$43&lt;&gt;""),Input!$B$43&amp;";",""),IF(AND($G68&lt;Hta_24,$G68&gt;=Hba_24,Input!AL$44&lt;&gt;""),Input!$B$44&amp;";",""),IF(AND($G68&lt;Hta_25,$G68&gt;=Hba_25,Input!AL$45&lt;&gt;""),Input!$B$45&amp;";",""),IF(AND($G68&lt;Hta_26,$G68&gt;=Hba_26,Input!AL$46&lt;&gt;""),Input!$B$46&amp;";",""),IF(AND($G68&lt;Hta_27,$G68&gt;=Hba_27,Input!AL$47&lt;&gt;""),Input!$B$47&amp;";",""),IF(AND($G68&lt;Hta_28,$G68&gt;=Hba_28,Input!AL$48&lt;&gt;""),Input!$B$48&amp;";",""),IF(AND($G68&lt;Hta_29,$G68&gt;=Hba_29,Input!AL$49&lt;&gt;""),Input!$B$49&amp;";",""),IF(AND($G68&lt;Hta_30,$G68&gt;=Hba_30,Input!AL$50&lt;&gt;""),Input!$B$50&amp;";","")),"")</f>
        <v/>
      </c>
      <c r="CN68" s="59" t="str">
        <f t="shared" si="6"/>
        <v/>
      </c>
      <c r="CO68" s="791"/>
      <c r="CP68" s="792"/>
      <c r="CQ68" s="793"/>
      <c r="CR68" s="791"/>
      <c r="CS68" s="792"/>
      <c r="CT68" s="793"/>
      <c r="CU68" s="791" t="str">
        <f t="shared" si="7"/>
        <v/>
      </c>
      <c r="CV68" s="792"/>
      <c r="CW68" s="807"/>
      <c r="CX68" s="808"/>
      <c r="CY68" s="730"/>
      <c r="CZ68" s="809"/>
      <c r="DA68" s="733"/>
      <c r="DB68" s="734"/>
      <c r="DC68" s="735"/>
      <c r="DD68" s="729" t="str">
        <f t="shared" si="8"/>
        <v/>
      </c>
      <c r="DE68" s="730"/>
      <c r="DF68" s="731"/>
      <c r="DG68" s="55"/>
      <c r="DH68" s="56"/>
      <c r="DI68" s="56"/>
      <c r="DJ68" s="56"/>
      <c r="DK68" s="56"/>
      <c r="DL68" s="56"/>
      <c r="DM68" s="56"/>
      <c r="DN68" s="56"/>
      <c r="DO68" s="56"/>
      <c r="DP68" s="56"/>
      <c r="DQ68" s="58"/>
      <c r="DR68" s="58"/>
      <c r="DS68" s="58"/>
      <c r="DT68" s="58"/>
      <c r="DU68" s="58"/>
      <c r="DV68" s="58"/>
      <c r="DW68" s="58"/>
      <c r="DX68" s="58"/>
      <c r="DY68" s="58"/>
      <c r="DZ68" s="58"/>
      <c r="EA68" s="58"/>
      <c r="EB68" s="58"/>
      <c r="EC68" s="58"/>
      <c r="ED68" s="58"/>
      <c r="EE68" s="58"/>
      <c r="EF68" s="58"/>
      <c r="EG68" s="58"/>
      <c r="EH68" s="58"/>
      <c r="EI68" s="58"/>
      <c r="EJ68" s="58"/>
      <c r="EK68" s="58"/>
      <c r="EL68" s="134"/>
      <c r="EM68" s="134"/>
      <c r="EN68" s="134"/>
      <c r="EO68" s="134"/>
      <c r="EP68" s="134"/>
      <c r="EQ68" s="134"/>
      <c r="ER68" s="134"/>
      <c r="ES68" s="134"/>
      <c r="ET68" s="134"/>
      <c r="EU68" s="134"/>
      <c r="EV68" s="134"/>
      <c r="EW68" s="134"/>
      <c r="EX68" s="134"/>
      <c r="EY68" s="134"/>
      <c r="EZ68" s="134"/>
      <c r="FA68" s="134"/>
      <c r="FB68" s="134"/>
      <c r="FC68" s="134"/>
      <c r="FD68" s="134"/>
      <c r="FE68" s="134"/>
      <c r="FF68" s="134"/>
      <c r="FG68" s="134"/>
      <c r="FH68" s="134"/>
      <c r="FI68" s="134"/>
      <c r="FJ68" s="134"/>
      <c r="FK68" s="134"/>
      <c r="FL68" s="134"/>
      <c r="FM68" s="134"/>
      <c r="FN68" s="134"/>
      <c r="FO68" s="134"/>
      <c r="FQ68" s="124"/>
      <c r="FR68" s="122"/>
      <c r="FS68" s="120"/>
      <c r="FT68" s="119"/>
    </row>
    <row r="69" spans="2:176" ht="15.75" hidden="1" thickBot="1" x14ac:dyDescent="0.3">
      <c r="B69" s="62" t="b">
        <f>IF(OR(AND(G69&gt;='Geometry 2'!$AK$5,G69&lt;'Geometry 2'!$AL$5),AND(G69&gt;='Geometry 2'!$AK$6,G69&lt;'Geometry 2'!$AL$6),AND(G69&gt;='Geometry 2'!$AK$7,G69&lt;'Geometry 2'!$AL$7),AND(G69&gt;='Geometry 2'!$AK$8,G69&lt;'Geometry 2'!$AL$8),AND(G69&gt;='Geometry 2'!$AK$9,G69&lt;'Geometry 2'!$AL$9),AND(G69&gt;='Geometry 2'!$AK$10,G69&lt;'Geometry 2'!$AL$10),AND(G69&gt;='Geometry 2'!$AK$11,G69&lt;'Geometry 2'!$AL$11),AND(G69&gt;='Geometry 2'!$AK$12,G69&lt;'Geometry 2'!$AL$12),AND(G69&gt;='Geometry 2'!$AK$13,G69&lt;'Geometry 2'!$AL$13),AND(G69&gt;='Geometry 2'!$AK$14,G69&lt;'Geometry 2'!$AL$14)),TRUE,FALSE)</f>
        <v>0</v>
      </c>
      <c r="C69" s="4" t="str">
        <f t="shared" si="3"/>
        <v/>
      </c>
      <c r="D69" s="766" t="str">
        <f t="shared" si="4"/>
        <v/>
      </c>
      <c r="E69" s="767"/>
      <c r="F69" s="17" t="str">
        <f t="shared" si="2"/>
        <v/>
      </c>
      <c r="G69" s="768" t="str">
        <f>IF(D69="","",MAX(0,G68-IF(inc="n/a",999,inc),MAX(IF(G68&lt;=Hta_1,0,Hta_1),IF(G68&lt;=Hta_2,0,Hta_2),IF(G68&lt;=Hta_3,0,Hta_3),IF(G68&lt;=Hta_4,0,Hta_4),IF(G68&lt;=Hta_5,0,Hta_5),IF(G68&lt;=Hta_6,0,Hta_6),IF(G68&lt;=Hta_7,0,Hta_7),IF(G68&lt;=Hta_8,0,Hta_8),IF(G68&lt;=Hta_9,0,Hta_9),IF(G68&lt;=Hta_10,0,Hta_10),IF(G68&lt;=Hta_11,0,Hta_11),IF(G68&lt;=Hta_12,0,Hta_12),IF(G68&lt;=Hta_13,0,Hta_13),IF(G68&lt;=Hta_14,0,Hta_14),IF(G68&lt;=Hta_15,0,Hta_15),IF(G68&lt;=Hta_16,0,Hta_16),IF(G68&lt;=Hta_17,0,Hta_17),IF(G68&lt;=Hta_18,0,Hta_18),IF(G68&lt;=Hta_19,0,Hta_19),IF(G68&lt;=Hta_20,0,Hta_20),IF(G68&lt;=Hta_21,0,Hta_21),IF(G68&lt;=Hta_22,0,Hta_22),IF(G68&lt;=Hta_23,0,Hta_23),IF(G68&lt;=Hta_24,0,Hta_24),IF(G68&lt;=Hta_25,0,Hta_25),IF(G68&lt;=Hta_26,0,Hta_26),IF(G68&lt;=Hta_27,0,Hta_27),IF(G68&lt;=Hta_28,0,Hta_28),IF(G68&lt;=Hta_29,0,Hta_29),IF(G68&lt;=Hta_30,0,Hta_30)),MAX(IF(G68&lt;=Hta_1-0.25,0,Hta_1-0.25),IF(G68&lt;=Hta_2-0.25,0,Hta_2-0.25),IF(G68&lt;=Hta_3-0.25,0,Hta_3-0.25),IF(G68&lt;=Hta_4-0.25,0,Hta_4-0.25),IF(G68&lt;=Hta_5-0.25,0,Hta_5-0.25),IF(G68&lt;=Hta_6-0.25,0,Hta_6-0.25),IF(G68&lt;=Hta_7-0.25,0,Hta_7-0.25),IF(G68&lt;=Hta_8-0.25,0,Hta_8-0.25),IF(G68&lt;=Hta_9-0.25,0,Hta_9-0.25),IF(G68&lt;=Hta_10-0.25,0,Hta_10-0.25),IF(G68&lt;=Hta_11-0.25,0,Hta_11-0.25),IF(G68&lt;=Hta_12-0.25,0,Hta_12-0.25),IF(G68&lt;=Hta_13-0.25,0,Hta_13-0.25),IF(G68&lt;=Hta_14-0.25,0,Hta_14-0.25),IF(G68&lt;=Hta_15-0.25,0,Hta_15-0.25),IF(G68&lt;=Hta_16-0.25,0,Hta_16-0.25),IF(G68&lt;=Hta_17-0.25,0,Hta_17-0.25),IF(G68&lt;=Hta_18-0.25,0,Hta_18-0.25),IF(G68&lt;=Hta_19-0.25,0,Hta_19-0.25),IF(G68&lt;=Hta_20-0.25,0,Hta_20-0.25),IF(G68&lt;=Hta_21-0.25,0,Hta_21-0.25),IF(G68&lt;=Hta_22-0.25,0,Hta_22-0.25),IF(G68&lt;=Hta_23-0.25,0,Hta_23-0.25),IF(G68&lt;=Hta_24-0.25,0,Hta_24-0.25),IF(G68&lt;=Hta_25-0.25,0,Hta_25-0.25),IF(G68&lt;=Hta_26-0.25,0,Hta_26-0.25),IF(G68&lt;=Hta_27-0.25,0,Hta_27-0.25),IF(G68&lt;=Hta_28-0.25,0,Hta_28-0.25),IF(G68&lt;=Hta_29-0.25,0,Hta_29-0.25),IF(G68&lt;=Hta_30-0.25,0,Hta_30-0.25)),MAX(IF(G68&lt;=Hba_1,0,Hba_1),IF(G68&lt;=Hba_2,0,Hba_2),IF(G68&lt;=Hba_3,0,Hba_3),IF(G68&lt;=Hba_4,0,Hba_4),IF(G68&lt;=Hba_5,0,Hba_5),IF(G68&lt;=Hba_6,0,Hba_6),IF(G68&lt;=Hba_7,0,Hba_7),IF(G68&lt;=Hba_8,0,Hba_8),IF(G68&lt;=Hba_9,0,Hba_9),IF(G68&lt;=Hba_10,0,Hba_10),IF(G68&lt;=Hba_11,0,Hba_11),IF(G68&lt;=Hba_12,0,Hba_12),IF(G68&lt;=Hba_13,0,Hba_13),IF(G68&lt;=Hba_14,0,Hba_14),IF(G68&lt;=Hba_15,0,Hba_15),IF(G68&lt;=Hba_16,0,Hba_16),IF(G68&lt;=Hba_17,0,Hba_17),IF(G68&lt;=Hba_18,0,Hba_18),IF(G68&lt;=Hba_19,0,Hba_19),IF(G68&lt;=Hba_20,0,Hba_20),IF(G68&lt;=Hba_21,0,Hba_21),IF(G68&lt;=Hba_22,0,Hba_22),IF(G68&lt;=Hba_23,0,Hba_23),IF(G68&lt;=Hba_24,0,Hba_24),IF(G68&lt;=Hba_25,0,Hba_25),IF(G68&lt;=Hba_26,0,Hba_26),IF(G68&lt;=Hba_27,0,Hba_27),IF(G68&lt;=Hba_28,0,Hba_28),IF(G68&lt;=Hba_29,0,Hba_29),IF(G68&lt;=Hba_30,0,Hba_30)),MAX(IF(G68&lt;=Input!$C$8,0,Input!$C$8),IF(G68&lt;=Input!$C$9,0,Input!$C$9),IF(G68&lt;=Input!$C$10,0,Input!$C$10),IF(G68&lt;=Input!$C$11,0,Input!$C$11),IF(G68&lt;=Input!$C$12,0,Input!$C$12),IF(G68&lt;=Input!$C$13,0,Input!$C$13),IF(G68&lt;=Input!$C$14,0,Input!$C$14),IF(G68&lt;=Input!$C$15,0,Input!$C$15),IF(G68&lt;=Input!$C$16,0,Input!$C$16)),MAX(IF(G68&lt;=Hba_1-0.25,0,Hba_1-0.25),IF(G68&lt;=Hba_2-0.25,0,Hba_2-0.25),IF(G68&lt;=Hba_3-0.25,0,Hba_3-0.25),IF(G68&lt;=Hba_4-0.25,0,Hba_4-0.25),IF(G68&lt;=Hba_5-0.25,0,Hba_5-0.25),IF(G68&lt;=Hba_6-0.25,0,Hba_6-0.25),IF(G68&lt;=Hba_7-0.25,0,Hba_7-0.25),IF(G68&lt;=Hba_8-0.25,0,Hba_8-0.25),IF(G68&lt;=Hba_9-0.25,0,Hba_9-0.25),IF(G68&lt;=Hba_10-0.25,0,Hba_10-0.25),IF(G68&lt;=Hba_11-0.25,0,Hba_11-0.25),IF(G68&lt;=Hba_12-0.25,0,Hba_12-0.25),IF(G68&lt;=Hba_13-0.25,0,Hba_13-0.25),IF(G68&lt;=Hba_14-0.25,0,Hba_14-0.25),IF(G68&lt;=Hba_15-0.25,0,Hba_15-0.25),IF(G68&lt;=Hba_16-0.25,0,Hba_16-0.25),IF(G68&lt;=Hba_17-0.25,0,Hba_17-0.25),IF(G68&lt;=Hba_18-0.25,0,Hba_18-0.25),IF(G68&lt;=Hba_19-0.25,0,Hba_19-0.25),IF(G68&lt;=Hba_20-0.25,0,Hba_20-0.25),IF(G68&lt;=Hba_21-0.25,0,Hba_21-0.25),IF(G68&lt;=Hba_22-0.25,0,Hba_22-0.25),IF(G68&lt;=Hba_23-0.25,0,Hba_23-0.25),IF(G68&lt;=Hba_24-0.25,0,Hba_24-0.25),IF(G68&lt;=Hba_25-0.25,0,Hba_25-0.25),IF(G68&lt;=Hba_26-0.25,0,Hba_26-0.25),IF(G68&lt;=Hba_27-0.25,0,Hba_27-0.25),IF(G68&lt;=Hba_28-0.25,0,Hba_28-0.25),IF(G68&lt;=Hba_29-0.25,0,Hba_29-0.25),IF(G68&lt;=Hba_30-0.25,0,Hba_30-0.25)),IF(G68&lt;='Macro References'!$A$38,0,'Macro References'!$A$38)))</f>
        <v/>
      </c>
      <c r="H69" s="769"/>
      <c r="I69" s="228"/>
      <c r="J69" s="228"/>
      <c r="K69" s="228"/>
      <c r="L69" s="717" t="str">
        <f t="shared" ref="L69:L104" si="11">IF(D69="","",D69-G69+IF(P69="",0,P69))</f>
        <v/>
      </c>
      <c r="M69" s="717"/>
      <c r="N69" s="717"/>
      <c r="O69" s="717"/>
      <c r="P69" s="717" t="str">
        <f>IF(OR(G69=0,G69=""),"",IF(VLOOKUP(G69,'Geometry 2'!$C$4:$AI$14,1,TRUE)=VLOOKUP(G70,'Geometry 2'!$C$4:$AI$14,1,TRUE),"",IF(VLOOKUP(G69,'Geometry 2'!$C$4:$AI$14,33,TRUE)&lt;&gt;"n/a",MIN(G69,VLOOKUP(G69,'Geometry 2'!$C$4:$AI$14,1,TRUE))-VLOOKUP(G69,'Geometry 2'!$C$4:$AI$14,33,TRUE),"check")))</f>
        <v/>
      </c>
      <c r="Q69" s="717"/>
      <c r="R69" s="717"/>
      <c r="S69" s="717"/>
      <c r="T69" s="717" t="str">
        <f>IF($G69="","",VLOOKUP($G69,'Geometry 2'!$E$4:$AH$14,11,TRUE))</f>
        <v/>
      </c>
      <c r="U69" s="717"/>
      <c r="V69" s="717"/>
      <c r="W69" s="717"/>
      <c r="X69" s="716" t="str">
        <f>IF($G69="","",VLOOKUP($G69,'Geometry 2'!$E$4:$AJ$14,19,TRUE)-12*VLOOKUP($G69,'Geometry 2'!$E$4:$AJ$14,32,TRUE)*($D69-VLOOKUP($G69,'Geometry 2'!$E$5:$AH$14,1,TRUE)))</f>
        <v/>
      </c>
      <c r="Y69" s="716"/>
      <c r="Z69" s="716"/>
      <c r="AA69" s="716"/>
      <c r="AB69" s="757" t="str">
        <f>IF($G69="","",VLOOKUP($G69,'Geometry 2'!$E$4:$AJ$14,19,TRUE)-12*VLOOKUP($G69,'Geometry 2'!$E$4:$AJ$14,32,TRUE)*($G69-VLOOKUP($G69,'Geometry 2'!$E$5:$AH$14,1,TRUE)))</f>
        <v/>
      </c>
      <c r="AC69" s="758"/>
      <c r="AD69" s="758"/>
      <c r="AE69" s="759"/>
      <c r="AF69" s="716" t="str">
        <f>IF($G69="","",VLOOKUP($G69,'Geometry 2'!$E$4:$AJ$14,19,TRUE)-12*VLOOKUP($G69,'Geometry 2'!$E$4:$AJ$14,32,TRUE)*($G69-IF($P69="",0,$P69)-VLOOKUP($G69,'Geometry 2'!$E$5:$AH$14,1,TRUE)))</f>
        <v/>
      </c>
      <c r="AG69" s="716"/>
      <c r="AH69" s="716"/>
      <c r="AI69" s="716"/>
      <c r="AJ69" s="746" t="str">
        <f>IF($G69="","",VLOOKUP($G69,'Geometry 2'!$E$4:$AH$14,23,TRUE))</f>
        <v/>
      </c>
      <c r="AK69" s="747"/>
      <c r="AL69" s="747"/>
      <c r="AM69" s="748"/>
      <c r="AN69" s="717"/>
      <c r="AO69" s="717"/>
      <c r="AP69" s="717"/>
      <c r="AQ69" s="717"/>
      <c r="AR69" s="717" t="str">
        <f>IF($G69="","",VLOOKUP($G69,'Geometry 2'!$E$4:$AH$14,27,TRUE))</f>
        <v/>
      </c>
      <c r="AS69" s="717"/>
      <c r="AT69" s="717"/>
      <c r="AU69" s="718"/>
      <c r="AV69" s="715"/>
      <c r="AW69" s="716"/>
      <c r="AX69" s="716"/>
      <c r="AZ69" s="722" t="str">
        <f t="shared" si="5"/>
        <v/>
      </c>
      <c r="BA69" s="723"/>
      <c r="BB69" s="723"/>
      <c r="BC69" s="724"/>
      <c r="BD69" s="722"/>
      <c r="BE69" s="723"/>
      <c r="BF69" s="723"/>
      <c r="BG69" s="722" t="str">
        <f t="shared" si="9"/>
        <v/>
      </c>
      <c r="BH69" s="723"/>
      <c r="BI69" s="723"/>
      <c r="BJ69" s="723"/>
      <c r="BK69" s="724"/>
      <c r="BL69" s="722"/>
      <c r="BM69" s="723"/>
      <c r="BN69" s="723"/>
      <c r="BO69" s="723"/>
      <c r="BP69" s="725"/>
      <c r="BQ69" s="725"/>
      <c r="BR69" s="722" t="str">
        <f>IF(BP69="","",IF(OR(AND(Rev="H",Calculations!$F$27=TRUE),AND(Rev&lt;&gt;"H",Calculations!$F$30=TRUE)),IF(BP69&lt;=1,"Pass","Fail"),IF(BP69&lt;=1.05,"Pass","Fail")))</f>
        <v/>
      </c>
      <c r="BS69" s="723"/>
      <c r="BT69" s="724"/>
      <c r="BU69" s="49"/>
      <c r="BV69" s="25" t="str">
        <f>IFERROR(CONCATENATE(IF(AND($G69&lt;Hta_1,$G69&gt;=Hba_1,Input!U$21&lt;&gt;""),Input!$B$21&amp;";",""),IF(AND($G69&lt;Hta_2,$G69&gt;=Hba_2,Input!U$22&lt;&gt;""),Input!$B$22&amp;";",""),IF(AND($G69&lt;Hta_3,$G69&gt;=Hba_3,Input!U$23&lt;&gt;""),Input!$B$23&amp;";",""),IF(AND($G69&lt;Hta_4,$G69&gt;=Hba_4,Input!U$24&lt;&gt;""),Input!$B$24&amp;";",""),IF(AND($G69&lt;Hta_5,$G69&gt;=Hba_5,Input!U$25&lt;&gt;""),Input!$B$25&amp;";",""),IF(AND($G69&lt;Hta_6,$G69&gt;=Hba_6,Input!U$26&lt;&gt;""),Input!$B$26&amp;";",""),IF(AND($G69&lt;Hta_7,$G69&gt;=Hba_7,Input!U$27&lt;&gt;""),Input!$B$27&amp;";",""),IF(AND($G69&lt;Hta_8,$G69&gt;=Hba_8,Input!U$28&lt;&gt;""),Input!$B$28&amp;";",""),IF(AND($G69&lt;Hta_9,$G69&gt;=Hba_9,Input!U$29&lt;&gt;""),Input!$B$29&amp;";",""),IF(AND($G69&lt;Hta_10,$G69&gt;=Hba_10,Input!U$30&lt;&gt;""),Input!$B$30&amp;";",""),IF(AND($G69&lt;Hta_11,$G69&gt;=Hba_11,Input!U$31&lt;&gt;""),Input!$B$31&amp;";",""),IF(AND($G69&lt;Hta_12,$G69&gt;=Hba_12,Input!U$32&lt;&gt;""),Input!$B$32&amp;";",""),IF(AND($G69&lt;Hta_13,$G69&gt;=Hba_13,Input!U$33&lt;&gt;""),Input!$B$33&amp;";",""),IF(AND($G69&lt;Hta_14,$G69&gt;=Hba_14,Input!U$34&lt;&gt;""),Input!$B$34&amp;";",""),IF(AND($G69&lt;Hta_15,$G69&gt;=Hba_15,Input!U$35&lt;&gt;""),Input!$B$35&amp;";",""),IF(AND($G69&lt;Hta_16,$G69&gt;=Hba_16,Input!U$36&lt;&gt;""),Input!$B$36&amp;";",""),IF(AND($G69&lt;Hta_17,$G69&gt;=Hba_17,Input!U$37&lt;&gt;""),Input!$B$37&amp;";",""),IF(AND($G69&lt;Hta_18,$G69&gt;=Hba_18,Input!U$38&lt;&gt;""),Input!$B$38&amp;";",""),IF(AND($G69&lt;Hta_19,$G69&gt;=Hba_19,Input!U$39&lt;&gt;""),Input!$B$39&amp;";",""),IF(AND($G69&lt;Hta_20,$G69&gt;=Hba_20,Input!U$40&lt;&gt;""),Input!$B$40&amp;";",""),IF(AND($G69&lt;Hta_21,$G69&gt;=Hba_21,Input!U$41&lt;&gt;""),Input!$B$41&amp;";",""),IF(AND($G69&lt;Hta_22,$G69&gt;=Hba_22,Input!U$42&lt;&gt;""),Input!$B$42&amp;";",""),IF(AND($G69&lt;Hta_23,$G69&gt;=Hba_23,Input!U$43&lt;&gt;""),Input!$B$43&amp;";",""),IF(AND($G69&lt;Hta_24,$G69&gt;=Hba_24,Input!U$44&lt;&gt;""),Input!$B$44&amp;";",""),IF(AND($G69&lt;Hta_25,$G69&gt;=Hba_25,Input!U$45&lt;&gt;""),Input!$B$45&amp;";",""),IF(AND($G69&lt;Hta_26,$G69&gt;=Hba_26,Input!U$46&lt;&gt;""),Input!$B$46&amp;";",""),IF(AND($G69&lt;Hta_27,$G69&gt;=Hba_27,Input!U$47&lt;&gt;""),Input!$B$47&amp;";",""),IF(AND($G69&lt;Hta_28,$G69&gt;=Hba_28,Input!U$48&lt;&gt;""),Input!$B$48&amp;";",""),IF(AND($G69&lt;Hta_29,$G69&gt;=Hba_29,Input!U$49&lt;&gt;""),Input!$B$49&amp;";",""),IF(AND($G69&lt;Hta_30,$G69&gt;=Hba_30,Input!U$50&lt;&gt;""),Input!$B$50&amp;";","")),"")</f>
        <v/>
      </c>
      <c r="BW69" s="25" t="str">
        <f>IFERROR(CONCATENATE(IF(AND($G69&lt;Hta_1,$G69&gt;=Hba_1,Input!V$21&lt;&gt;""),Input!$B$21&amp;";",""),IF(AND($G69&lt;Hta_2,$G69&gt;=Hba_2,Input!V$22&lt;&gt;""),Input!$B$22&amp;";",""),IF(AND($G69&lt;Hta_3,$G69&gt;=Hba_3,Input!V$23&lt;&gt;""),Input!$B$23&amp;";",""),IF(AND($G69&lt;Hta_4,$G69&gt;=Hba_4,Input!V$24&lt;&gt;""),Input!$B$24&amp;";",""),IF(AND($G69&lt;Hta_5,$G69&gt;=Hba_5,Input!V$25&lt;&gt;""),Input!$B$25&amp;";",""),IF(AND($G69&lt;Hta_6,$G69&gt;=Hba_6,Input!V$26&lt;&gt;""),Input!$B$26&amp;";",""),IF(AND($G69&lt;Hta_7,$G69&gt;=Hba_7,Input!V$27&lt;&gt;""),Input!$B$27&amp;";",""),IF(AND($G69&lt;Hta_8,$G69&gt;=Hba_8,Input!V$28&lt;&gt;""),Input!$B$28&amp;";",""),IF(AND($G69&lt;Hta_9,$G69&gt;=Hba_9,Input!V$29&lt;&gt;""),Input!$B$29&amp;";",""),IF(AND($G69&lt;Hta_10,$G69&gt;=Hba_10,Input!V$30&lt;&gt;""),Input!$B$30&amp;";",""),IF(AND($G69&lt;Hta_11,$G69&gt;=Hba_11,Input!V$31&lt;&gt;""),Input!$B$31&amp;";",""),IF(AND($G69&lt;Hta_12,$G69&gt;=Hba_12,Input!V$32&lt;&gt;""),Input!$B$32&amp;";",""),IF(AND($G69&lt;Hta_13,$G69&gt;=Hba_13,Input!V$33&lt;&gt;""),Input!$B$33&amp;";",""),IF(AND($G69&lt;Hta_14,$G69&gt;=Hba_14,Input!V$34&lt;&gt;""),Input!$B$34&amp;";",""),IF(AND($G69&lt;Hta_15,$G69&gt;=Hba_15,Input!V$35&lt;&gt;""),Input!$B$35&amp;";",""),IF(AND($G69&lt;Hta_16,$G69&gt;=Hba_16,Input!V$36&lt;&gt;""),Input!$B$36&amp;";",""),IF(AND($G69&lt;Hta_17,$G69&gt;=Hba_17,Input!V$37&lt;&gt;""),Input!$B$37&amp;";",""),IF(AND($G69&lt;Hta_18,$G69&gt;=Hba_18,Input!V$38&lt;&gt;""),Input!$B$38&amp;";",""),IF(AND($G69&lt;Hta_19,$G69&gt;=Hba_19,Input!V$39&lt;&gt;""),Input!$B$39&amp;";",""),IF(AND($G69&lt;Hta_20,$G69&gt;=Hba_20,Input!V$40&lt;&gt;""),Input!$B$40&amp;";",""),IF(AND($G69&lt;Hta_21,$G69&gt;=Hba_21,Input!V$41&lt;&gt;""),Input!$B$41&amp;";",""),IF(AND($G69&lt;Hta_22,$G69&gt;=Hba_22,Input!V$42&lt;&gt;""),Input!$B$42&amp;";",""),IF(AND($G69&lt;Hta_23,$G69&gt;=Hba_23,Input!V$43&lt;&gt;""),Input!$B$43&amp;";",""),IF(AND($G69&lt;Hta_24,$G69&gt;=Hba_24,Input!V$44&lt;&gt;""),Input!$B$44&amp;";",""),IF(AND($G69&lt;Hta_25,$G69&gt;=Hba_25,Input!V$45&lt;&gt;""),Input!$B$45&amp;";",""),IF(AND($G69&lt;Hta_26,$G69&gt;=Hba_26,Input!V$46&lt;&gt;""),Input!$B$46&amp;";",""),IF(AND($G69&lt;Hta_27,$G69&gt;=Hba_27,Input!V$47&lt;&gt;""),Input!$B$47&amp;";",""),IF(AND($G69&lt;Hta_28,$G69&gt;=Hba_28,Input!V$48&lt;&gt;""),Input!$B$48&amp;";",""),IF(AND($G69&lt;Hta_29,$G69&gt;=Hba_29,Input!V$49&lt;&gt;""),Input!$B$49&amp;";",""),IF(AND($G69&lt;Hta_30,$G69&gt;=Hba_30,Input!V$50&lt;&gt;""),Input!$B$50&amp;";","")),"")</f>
        <v/>
      </c>
      <c r="BX69" s="25" t="str">
        <f>IFERROR(CONCATENATE(IF(AND($G69&lt;Hta_1,$G69&gt;=Hba_1,Input!W$21&lt;&gt;""),Input!$B$21&amp;";",""),IF(AND($G69&lt;Hta_2,$G69&gt;=Hba_2,Input!W$22&lt;&gt;""),Input!$B$22&amp;";",""),IF(AND($G69&lt;Hta_3,$G69&gt;=Hba_3,Input!W$23&lt;&gt;""),Input!$B$23&amp;";",""),IF(AND($G69&lt;Hta_4,$G69&gt;=Hba_4,Input!W$24&lt;&gt;""),Input!$B$24&amp;";",""),IF(AND($G69&lt;Hta_5,$G69&gt;=Hba_5,Input!W$25&lt;&gt;""),Input!$B$25&amp;";",""),IF(AND($G69&lt;Hta_6,$G69&gt;=Hba_6,Input!W$26&lt;&gt;""),Input!$B$26&amp;";",""),IF(AND($G69&lt;Hta_7,$G69&gt;=Hba_7,Input!W$27&lt;&gt;""),Input!$B$27&amp;";",""),IF(AND($G69&lt;Hta_8,$G69&gt;=Hba_8,Input!W$28&lt;&gt;""),Input!$B$28&amp;";",""),IF(AND($G69&lt;Hta_9,$G69&gt;=Hba_9,Input!W$29&lt;&gt;""),Input!$B$29&amp;";",""),IF(AND($G69&lt;Hta_10,$G69&gt;=Hba_10,Input!W$30&lt;&gt;""),Input!$B$30&amp;";",""),IF(AND($G69&lt;Hta_11,$G69&gt;=Hba_11,Input!W$31&lt;&gt;""),Input!$B$31&amp;";",""),IF(AND($G69&lt;Hta_12,$G69&gt;=Hba_12,Input!W$32&lt;&gt;""),Input!$B$32&amp;";",""),IF(AND($G69&lt;Hta_13,$G69&gt;=Hba_13,Input!W$33&lt;&gt;""),Input!$B$33&amp;";",""),IF(AND($G69&lt;Hta_14,$G69&gt;=Hba_14,Input!W$34&lt;&gt;""),Input!$B$34&amp;";",""),IF(AND($G69&lt;Hta_15,$G69&gt;=Hba_15,Input!W$35&lt;&gt;""),Input!$B$35&amp;";",""),IF(AND($G69&lt;Hta_16,$G69&gt;=Hba_16,Input!W$36&lt;&gt;""),Input!$B$36&amp;";",""),IF(AND($G69&lt;Hta_17,$G69&gt;=Hba_17,Input!W$37&lt;&gt;""),Input!$B$37&amp;";",""),IF(AND($G69&lt;Hta_18,$G69&gt;=Hba_18,Input!W$38&lt;&gt;""),Input!$B$38&amp;";",""),IF(AND($G69&lt;Hta_19,$G69&gt;=Hba_19,Input!W$39&lt;&gt;""),Input!$B$39&amp;";",""),IF(AND($G69&lt;Hta_20,$G69&gt;=Hba_20,Input!W$40&lt;&gt;""),Input!$B$40&amp;";",""),IF(AND($G69&lt;Hta_21,$G69&gt;=Hba_21,Input!W$41&lt;&gt;""),Input!$B$41&amp;";",""),IF(AND($G69&lt;Hta_22,$G69&gt;=Hba_22,Input!W$42&lt;&gt;""),Input!$B$42&amp;";",""),IF(AND($G69&lt;Hta_23,$G69&gt;=Hba_23,Input!W$43&lt;&gt;""),Input!$B$43&amp;";",""),IF(AND($G69&lt;Hta_24,$G69&gt;=Hba_24,Input!W$44&lt;&gt;""),Input!$B$44&amp;";",""),IF(AND($G69&lt;Hta_25,$G69&gt;=Hba_25,Input!W$45&lt;&gt;""),Input!$B$45&amp;";",""),IF(AND($G69&lt;Hta_26,$G69&gt;=Hba_26,Input!W$46&lt;&gt;""),Input!$B$46&amp;";",""),IF(AND($G69&lt;Hta_27,$G69&gt;=Hba_27,Input!W$47&lt;&gt;""),Input!$B$47&amp;";",""),IF(AND($G69&lt;Hta_28,$G69&gt;=Hba_28,Input!W$48&lt;&gt;""),Input!$B$48&amp;";",""),IF(AND($G69&lt;Hta_29,$G69&gt;=Hba_29,Input!W$49&lt;&gt;""),Input!$B$49&amp;";",""),IF(AND($G69&lt;Hta_30,$G69&gt;=Hba_30,Input!W$50&lt;&gt;""),Input!$B$50&amp;";","")),"")</f>
        <v/>
      </c>
      <c r="BY69" s="25" t="str">
        <f>IFERROR(CONCATENATE(IF(AND($G69&lt;Hta_1,$G69&gt;=Hba_1,Input!X$21&lt;&gt;""),Input!$B$21&amp;";",""),IF(AND($G69&lt;Hta_2,$G69&gt;=Hba_2,Input!X$22&lt;&gt;""),Input!$B$22&amp;";",""),IF(AND($G69&lt;Hta_3,$G69&gt;=Hba_3,Input!X$23&lt;&gt;""),Input!$B$23&amp;";",""),IF(AND($G69&lt;Hta_4,$G69&gt;=Hba_4,Input!X$24&lt;&gt;""),Input!$B$24&amp;";",""),IF(AND($G69&lt;Hta_5,$G69&gt;=Hba_5,Input!X$25&lt;&gt;""),Input!$B$25&amp;";",""),IF(AND($G69&lt;Hta_6,$G69&gt;=Hba_6,Input!X$26&lt;&gt;""),Input!$B$26&amp;";",""),IF(AND($G69&lt;Hta_7,$G69&gt;=Hba_7,Input!X$27&lt;&gt;""),Input!$B$27&amp;";",""),IF(AND($G69&lt;Hta_8,$G69&gt;=Hba_8,Input!X$28&lt;&gt;""),Input!$B$28&amp;";",""),IF(AND($G69&lt;Hta_9,$G69&gt;=Hba_9,Input!X$29&lt;&gt;""),Input!$B$29&amp;";",""),IF(AND($G69&lt;Hta_10,$G69&gt;=Hba_10,Input!X$30&lt;&gt;""),Input!$B$30&amp;";",""),IF(AND($G69&lt;Hta_11,$G69&gt;=Hba_11,Input!X$31&lt;&gt;""),Input!$B$31&amp;";",""),IF(AND($G69&lt;Hta_12,$G69&gt;=Hba_12,Input!X$32&lt;&gt;""),Input!$B$32&amp;";",""),IF(AND($G69&lt;Hta_13,$G69&gt;=Hba_13,Input!X$33&lt;&gt;""),Input!$B$33&amp;";",""),IF(AND($G69&lt;Hta_14,$G69&gt;=Hba_14,Input!X$34&lt;&gt;""),Input!$B$34&amp;";",""),IF(AND($G69&lt;Hta_15,$G69&gt;=Hba_15,Input!X$35&lt;&gt;""),Input!$B$35&amp;";",""),IF(AND($G69&lt;Hta_16,$G69&gt;=Hba_16,Input!X$36&lt;&gt;""),Input!$B$36&amp;";",""),IF(AND($G69&lt;Hta_17,$G69&gt;=Hba_17,Input!X$37&lt;&gt;""),Input!$B$37&amp;";",""),IF(AND($G69&lt;Hta_18,$G69&gt;=Hba_18,Input!X$38&lt;&gt;""),Input!$B$38&amp;";",""),IF(AND($G69&lt;Hta_19,$G69&gt;=Hba_19,Input!X$39&lt;&gt;""),Input!$B$39&amp;";",""),IF(AND($G69&lt;Hta_20,$G69&gt;=Hba_20,Input!X$40&lt;&gt;""),Input!$B$40&amp;";",""),IF(AND($G69&lt;Hta_21,$G69&gt;=Hba_21,Input!X$41&lt;&gt;""),Input!$B$41&amp;";",""),IF(AND($G69&lt;Hta_22,$G69&gt;=Hba_22,Input!X$42&lt;&gt;""),Input!$B$42&amp;";",""),IF(AND($G69&lt;Hta_23,$G69&gt;=Hba_23,Input!X$43&lt;&gt;""),Input!$B$43&amp;";",""),IF(AND($G69&lt;Hta_24,$G69&gt;=Hba_24,Input!X$44&lt;&gt;""),Input!$B$44&amp;";",""),IF(AND($G69&lt;Hta_25,$G69&gt;=Hba_25,Input!X$45&lt;&gt;""),Input!$B$45&amp;";",""),IF(AND($G69&lt;Hta_26,$G69&gt;=Hba_26,Input!X$46&lt;&gt;""),Input!$B$46&amp;";",""),IF(AND($G69&lt;Hta_27,$G69&gt;=Hba_27,Input!X$47&lt;&gt;""),Input!$B$47&amp;";",""),IF(AND($G69&lt;Hta_28,$G69&gt;=Hba_28,Input!X$48&lt;&gt;""),Input!$B$48&amp;";",""),IF(AND($G69&lt;Hta_29,$G69&gt;=Hba_29,Input!X$49&lt;&gt;""),Input!$B$49&amp;";",""),IF(AND($G69&lt;Hta_30,$G69&gt;=Hba_30,Input!X$50&lt;&gt;""),Input!$B$50&amp;";","")),"")</f>
        <v/>
      </c>
      <c r="BZ69" s="25" t="str">
        <f>IFERROR(CONCATENATE(IF(AND($G69&lt;Hta_1,$G69&gt;=Hba_1,Input!Y$21&lt;&gt;""),Input!$B$21&amp;";",""),IF(AND($G69&lt;Hta_2,$G69&gt;=Hba_2,Input!Y$22&lt;&gt;""),Input!$B$22&amp;";",""),IF(AND($G69&lt;Hta_3,$G69&gt;=Hba_3,Input!Y$23&lt;&gt;""),Input!$B$23&amp;";",""),IF(AND($G69&lt;Hta_4,$G69&gt;=Hba_4,Input!Y$24&lt;&gt;""),Input!$B$24&amp;";",""),IF(AND($G69&lt;Hta_5,$G69&gt;=Hba_5,Input!Y$25&lt;&gt;""),Input!$B$25&amp;";",""),IF(AND($G69&lt;Hta_6,$G69&gt;=Hba_6,Input!Y$26&lt;&gt;""),Input!$B$26&amp;";",""),IF(AND($G69&lt;Hta_7,$G69&gt;=Hba_7,Input!Y$27&lt;&gt;""),Input!$B$27&amp;";",""),IF(AND($G69&lt;Hta_8,$G69&gt;=Hba_8,Input!Y$28&lt;&gt;""),Input!$B$28&amp;";",""),IF(AND($G69&lt;Hta_9,$G69&gt;=Hba_9,Input!Y$29&lt;&gt;""),Input!$B$29&amp;";",""),IF(AND($G69&lt;Hta_10,$G69&gt;=Hba_10,Input!Y$30&lt;&gt;""),Input!$B$30&amp;";",""),IF(AND($G69&lt;Hta_11,$G69&gt;=Hba_11,Input!Y$31&lt;&gt;""),Input!$B$31&amp;";",""),IF(AND($G69&lt;Hta_12,$G69&gt;=Hba_12,Input!Y$32&lt;&gt;""),Input!$B$32&amp;";",""),IF(AND($G69&lt;Hta_13,$G69&gt;=Hba_13,Input!Y$33&lt;&gt;""),Input!$B$33&amp;";",""),IF(AND($G69&lt;Hta_14,$G69&gt;=Hba_14,Input!Y$34&lt;&gt;""),Input!$B$34&amp;";",""),IF(AND($G69&lt;Hta_15,$G69&gt;=Hba_15,Input!Y$35&lt;&gt;""),Input!$B$35&amp;";",""),IF(AND($G69&lt;Hta_16,$G69&gt;=Hba_16,Input!Y$36&lt;&gt;""),Input!$B$36&amp;";",""),IF(AND($G69&lt;Hta_17,$G69&gt;=Hba_17,Input!Y$37&lt;&gt;""),Input!$B$37&amp;";",""),IF(AND($G69&lt;Hta_18,$G69&gt;=Hba_18,Input!Y$38&lt;&gt;""),Input!$B$38&amp;";",""),IF(AND($G69&lt;Hta_19,$G69&gt;=Hba_19,Input!Y$39&lt;&gt;""),Input!$B$39&amp;";",""),IF(AND($G69&lt;Hta_20,$G69&gt;=Hba_20,Input!Y$40&lt;&gt;""),Input!$B$40&amp;";",""),IF(AND($G69&lt;Hta_21,$G69&gt;=Hba_21,Input!Y$41&lt;&gt;""),Input!$B$41&amp;";",""),IF(AND($G69&lt;Hta_22,$G69&gt;=Hba_22,Input!Y$42&lt;&gt;""),Input!$B$42&amp;";",""),IF(AND($G69&lt;Hta_23,$G69&gt;=Hba_23,Input!Y$43&lt;&gt;""),Input!$B$43&amp;";",""),IF(AND($G69&lt;Hta_24,$G69&gt;=Hba_24,Input!Y$44&lt;&gt;""),Input!$B$44&amp;";",""),IF(AND($G69&lt;Hta_25,$G69&gt;=Hba_25,Input!Y$45&lt;&gt;""),Input!$B$45&amp;";",""),IF(AND($G69&lt;Hta_26,$G69&gt;=Hba_26,Input!Y$46&lt;&gt;""),Input!$B$46&amp;";",""),IF(AND($G69&lt;Hta_27,$G69&gt;=Hba_27,Input!Y$47&lt;&gt;""),Input!$B$47&amp;";",""),IF(AND($G69&lt;Hta_28,$G69&gt;=Hba_28,Input!Y$48&lt;&gt;""),Input!$B$48&amp;";",""),IF(AND($G69&lt;Hta_29,$G69&gt;=Hba_29,Input!Y$49&lt;&gt;""),Input!$B$49&amp;";",""),IF(AND($G69&lt;Hta_30,$G69&gt;=Hba_30,Input!Y$50&lt;&gt;""),Input!$B$50&amp;";","")),"")</f>
        <v/>
      </c>
      <c r="CA69" s="25" t="str">
        <f>IFERROR(CONCATENATE(IF(AND($G69&lt;Hta_1,$G69&gt;=Hba_1,Input!Z$21&lt;&gt;""),Input!$B$21&amp;";",""),IF(AND($G69&lt;Hta_2,$G69&gt;=Hba_2,Input!Z$22&lt;&gt;""),Input!$B$22&amp;";",""),IF(AND($G69&lt;Hta_3,$G69&gt;=Hba_3,Input!Z$23&lt;&gt;""),Input!$B$23&amp;";",""),IF(AND($G69&lt;Hta_4,$G69&gt;=Hba_4,Input!Z$24&lt;&gt;""),Input!$B$24&amp;";",""),IF(AND($G69&lt;Hta_5,$G69&gt;=Hba_5,Input!Z$25&lt;&gt;""),Input!$B$25&amp;";",""),IF(AND($G69&lt;Hta_6,$G69&gt;=Hba_6,Input!Z$26&lt;&gt;""),Input!$B$26&amp;";",""),IF(AND($G69&lt;Hta_7,$G69&gt;=Hba_7,Input!Z$27&lt;&gt;""),Input!$B$27&amp;";",""),IF(AND($G69&lt;Hta_8,$G69&gt;=Hba_8,Input!Z$28&lt;&gt;""),Input!$B$28&amp;";",""),IF(AND($G69&lt;Hta_9,$G69&gt;=Hba_9,Input!Z$29&lt;&gt;""),Input!$B$29&amp;";",""),IF(AND($G69&lt;Hta_10,$G69&gt;=Hba_10,Input!Z$30&lt;&gt;""),Input!$B$30&amp;";",""),IF(AND($G69&lt;Hta_11,$G69&gt;=Hba_11,Input!Z$31&lt;&gt;""),Input!$B$31&amp;";",""),IF(AND($G69&lt;Hta_12,$G69&gt;=Hba_12,Input!Z$32&lt;&gt;""),Input!$B$32&amp;";",""),IF(AND($G69&lt;Hta_13,$G69&gt;=Hba_13,Input!Z$33&lt;&gt;""),Input!$B$33&amp;";",""),IF(AND($G69&lt;Hta_14,$G69&gt;=Hba_14,Input!Z$34&lt;&gt;""),Input!$B$34&amp;";",""),IF(AND($G69&lt;Hta_15,$G69&gt;=Hba_15,Input!Z$35&lt;&gt;""),Input!$B$35&amp;";",""),IF(AND($G69&lt;Hta_16,$G69&gt;=Hba_16,Input!Z$36&lt;&gt;""),Input!$B$36&amp;";",""),IF(AND($G69&lt;Hta_17,$G69&gt;=Hba_17,Input!Z$37&lt;&gt;""),Input!$B$37&amp;";",""),IF(AND($G69&lt;Hta_18,$G69&gt;=Hba_18,Input!Z$38&lt;&gt;""),Input!$B$38&amp;";",""),IF(AND($G69&lt;Hta_19,$G69&gt;=Hba_19,Input!Z$39&lt;&gt;""),Input!$B$39&amp;";",""),IF(AND($G69&lt;Hta_20,$G69&gt;=Hba_20,Input!Z$40&lt;&gt;""),Input!$B$40&amp;";",""),IF(AND($G69&lt;Hta_21,$G69&gt;=Hba_21,Input!Z$41&lt;&gt;""),Input!$B$41&amp;";",""),IF(AND($G69&lt;Hta_22,$G69&gt;=Hba_22,Input!Z$42&lt;&gt;""),Input!$B$42&amp;";",""),IF(AND($G69&lt;Hta_23,$G69&gt;=Hba_23,Input!Z$43&lt;&gt;""),Input!$B$43&amp;";",""),IF(AND($G69&lt;Hta_24,$G69&gt;=Hba_24,Input!Z$44&lt;&gt;""),Input!$B$44&amp;";",""),IF(AND($G69&lt;Hta_25,$G69&gt;=Hba_25,Input!Z$45&lt;&gt;""),Input!$B$45&amp;";",""),IF(AND($G69&lt;Hta_26,$G69&gt;=Hba_26,Input!Z$46&lt;&gt;""),Input!$B$46&amp;";",""),IF(AND($G69&lt;Hta_27,$G69&gt;=Hba_27,Input!Z$47&lt;&gt;""),Input!$B$47&amp;";",""),IF(AND($G69&lt;Hta_28,$G69&gt;=Hba_28,Input!Z$48&lt;&gt;""),Input!$B$48&amp;";",""),IF(AND($G69&lt;Hta_29,$G69&gt;=Hba_29,Input!Z$49&lt;&gt;""),Input!$B$49&amp;";",""),IF(AND($G69&lt;Hta_30,$G69&gt;=Hba_30,Input!Z$50&lt;&gt;""),Input!$B$50&amp;";","")),"")</f>
        <v/>
      </c>
      <c r="CB69" s="25" t="str">
        <f>IFERROR(CONCATENATE(IF(AND($G69&lt;Hta_1,$G69&gt;=Hba_1,Input!AA$21&lt;&gt;""),Input!$B$21&amp;";",""),IF(AND($G69&lt;Hta_2,$G69&gt;=Hba_2,Input!AA$22&lt;&gt;""),Input!$B$22&amp;";",""),IF(AND($G69&lt;Hta_3,$G69&gt;=Hba_3,Input!AA$23&lt;&gt;""),Input!$B$23&amp;";",""),IF(AND($G69&lt;Hta_4,$G69&gt;=Hba_4,Input!AA$24&lt;&gt;""),Input!$B$24&amp;";",""),IF(AND($G69&lt;Hta_5,$G69&gt;=Hba_5,Input!AA$25&lt;&gt;""),Input!$B$25&amp;";",""),IF(AND($G69&lt;Hta_6,$G69&gt;=Hba_6,Input!AA$26&lt;&gt;""),Input!$B$26&amp;";",""),IF(AND($G69&lt;Hta_7,$G69&gt;=Hba_7,Input!AA$27&lt;&gt;""),Input!$B$27&amp;";",""),IF(AND($G69&lt;Hta_8,$G69&gt;=Hba_8,Input!AA$28&lt;&gt;""),Input!$B$28&amp;";",""),IF(AND($G69&lt;Hta_9,$G69&gt;=Hba_9,Input!AA$29&lt;&gt;""),Input!$B$29&amp;";",""),IF(AND($G69&lt;Hta_10,$G69&gt;=Hba_10,Input!AA$30&lt;&gt;""),Input!$B$30&amp;";",""),IF(AND($G69&lt;Hta_11,$G69&gt;=Hba_11,Input!AA$31&lt;&gt;""),Input!$B$31&amp;";",""),IF(AND($G69&lt;Hta_12,$G69&gt;=Hba_12,Input!AA$32&lt;&gt;""),Input!$B$32&amp;";",""),IF(AND($G69&lt;Hta_13,$G69&gt;=Hba_13,Input!AA$33&lt;&gt;""),Input!$B$33&amp;";",""),IF(AND($G69&lt;Hta_14,$G69&gt;=Hba_14,Input!AA$34&lt;&gt;""),Input!$B$34&amp;";",""),IF(AND($G69&lt;Hta_15,$G69&gt;=Hba_15,Input!AA$35&lt;&gt;""),Input!$B$35&amp;";",""),IF(AND($G69&lt;Hta_16,$G69&gt;=Hba_16,Input!AA$36&lt;&gt;""),Input!$B$36&amp;";",""),IF(AND($G69&lt;Hta_17,$G69&gt;=Hba_17,Input!AA$37&lt;&gt;""),Input!$B$37&amp;";",""),IF(AND($G69&lt;Hta_18,$G69&gt;=Hba_18,Input!AA$38&lt;&gt;""),Input!$B$38&amp;";",""),IF(AND($G69&lt;Hta_19,$G69&gt;=Hba_19,Input!AA$39&lt;&gt;""),Input!$B$39&amp;";",""),IF(AND($G69&lt;Hta_20,$G69&gt;=Hba_20,Input!AA$40&lt;&gt;""),Input!$B$40&amp;";",""),IF(AND($G69&lt;Hta_21,$G69&gt;=Hba_21,Input!AA$41&lt;&gt;""),Input!$B$41&amp;";",""),IF(AND($G69&lt;Hta_22,$G69&gt;=Hba_22,Input!AA$42&lt;&gt;""),Input!$B$42&amp;";",""),IF(AND($G69&lt;Hta_23,$G69&gt;=Hba_23,Input!AA$43&lt;&gt;""),Input!$B$43&amp;";",""),IF(AND($G69&lt;Hta_24,$G69&gt;=Hba_24,Input!AA$44&lt;&gt;""),Input!$B$44&amp;";",""),IF(AND($G69&lt;Hta_25,$G69&gt;=Hba_25,Input!AA$45&lt;&gt;""),Input!$B$45&amp;";",""),IF(AND($G69&lt;Hta_26,$G69&gt;=Hba_26,Input!AA$46&lt;&gt;""),Input!$B$46&amp;";",""),IF(AND($G69&lt;Hta_27,$G69&gt;=Hba_27,Input!AA$47&lt;&gt;""),Input!$B$47&amp;";",""),IF(AND($G69&lt;Hta_28,$G69&gt;=Hba_28,Input!AA$48&lt;&gt;""),Input!$B$48&amp;";",""),IF(AND($G69&lt;Hta_29,$G69&gt;=Hba_29,Input!AA$49&lt;&gt;""),Input!$B$49&amp;";",""),IF(AND($G69&lt;Hta_30,$G69&gt;=Hba_30,Input!AA$50&lt;&gt;""),Input!$B$50&amp;";","")),"")</f>
        <v/>
      </c>
      <c r="CC69" s="25" t="str">
        <f>IFERROR(CONCATENATE(IF(AND($G69&lt;Hta_1,$G69&gt;=Hba_1,Input!AB$21&lt;&gt;""),Input!$B$21&amp;";",""),IF(AND($G69&lt;Hta_2,$G69&gt;=Hba_2,Input!AB$22&lt;&gt;""),Input!$B$22&amp;";",""),IF(AND($G69&lt;Hta_3,$G69&gt;=Hba_3,Input!AB$23&lt;&gt;""),Input!$B$23&amp;";",""),IF(AND($G69&lt;Hta_4,$G69&gt;=Hba_4,Input!AB$24&lt;&gt;""),Input!$B$24&amp;";",""),IF(AND($G69&lt;Hta_5,$G69&gt;=Hba_5,Input!AB$25&lt;&gt;""),Input!$B$25&amp;";",""),IF(AND($G69&lt;Hta_6,$G69&gt;=Hba_6,Input!AB$26&lt;&gt;""),Input!$B$26&amp;";",""),IF(AND($G69&lt;Hta_7,$G69&gt;=Hba_7,Input!AB$27&lt;&gt;""),Input!$B$27&amp;";",""),IF(AND($G69&lt;Hta_8,$G69&gt;=Hba_8,Input!AB$28&lt;&gt;""),Input!$B$28&amp;";",""),IF(AND($G69&lt;Hta_9,$G69&gt;=Hba_9,Input!AB$29&lt;&gt;""),Input!$B$29&amp;";",""),IF(AND($G69&lt;Hta_10,$G69&gt;=Hba_10,Input!AB$30&lt;&gt;""),Input!$B$30&amp;";",""),IF(AND($G69&lt;Hta_11,$G69&gt;=Hba_11,Input!AB$31&lt;&gt;""),Input!$B$31&amp;";",""),IF(AND($G69&lt;Hta_12,$G69&gt;=Hba_12,Input!AB$32&lt;&gt;""),Input!$B$32&amp;";",""),IF(AND($G69&lt;Hta_13,$G69&gt;=Hba_13,Input!AB$33&lt;&gt;""),Input!$B$33&amp;";",""),IF(AND($G69&lt;Hta_14,$G69&gt;=Hba_14,Input!AB$34&lt;&gt;""),Input!$B$34&amp;";",""),IF(AND($G69&lt;Hta_15,$G69&gt;=Hba_15,Input!AB$35&lt;&gt;""),Input!$B$35&amp;";",""),IF(AND($G69&lt;Hta_16,$G69&gt;=Hba_16,Input!AB$36&lt;&gt;""),Input!$B$36&amp;";",""),IF(AND($G69&lt;Hta_17,$G69&gt;=Hba_17,Input!AB$37&lt;&gt;""),Input!$B$37&amp;";",""),IF(AND($G69&lt;Hta_18,$G69&gt;=Hba_18,Input!AB$38&lt;&gt;""),Input!$B$38&amp;";",""),IF(AND($G69&lt;Hta_19,$G69&gt;=Hba_19,Input!AB$39&lt;&gt;""),Input!$B$39&amp;";",""),IF(AND($G69&lt;Hta_20,$G69&gt;=Hba_20,Input!AB$40&lt;&gt;""),Input!$B$40&amp;";",""),IF(AND($G69&lt;Hta_21,$G69&gt;=Hba_21,Input!AB$41&lt;&gt;""),Input!$B$41&amp;";",""),IF(AND($G69&lt;Hta_22,$G69&gt;=Hba_22,Input!AB$42&lt;&gt;""),Input!$B$42&amp;";",""),IF(AND($G69&lt;Hta_23,$G69&gt;=Hba_23,Input!AB$43&lt;&gt;""),Input!$B$43&amp;";",""),IF(AND($G69&lt;Hta_24,$G69&gt;=Hba_24,Input!AB$44&lt;&gt;""),Input!$B$44&amp;";",""),IF(AND($G69&lt;Hta_25,$G69&gt;=Hba_25,Input!AB$45&lt;&gt;""),Input!$B$45&amp;";",""),IF(AND($G69&lt;Hta_26,$G69&gt;=Hba_26,Input!AB$46&lt;&gt;""),Input!$B$46&amp;";",""),IF(AND($G69&lt;Hta_27,$G69&gt;=Hba_27,Input!AB$47&lt;&gt;""),Input!$B$47&amp;";",""),IF(AND($G69&lt;Hta_28,$G69&gt;=Hba_28,Input!AB$48&lt;&gt;""),Input!$B$48&amp;";",""),IF(AND($G69&lt;Hta_29,$G69&gt;=Hba_29,Input!AB$49&lt;&gt;""),Input!$B$49&amp;";",""),IF(AND($G69&lt;Hta_30,$G69&gt;=Hba_30,Input!AB$50&lt;&gt;""),Input!$B$50&amp;";","")),"")</f>
        <v/>
      </c>
      <c r="CD69" s="25" t="str">
        <f>IFERROR(CONCATENATE(IF(AND($G69&lt;Hta_1,$G69&gt;=Hba_1,Input!AC$21&lt;&gt;""),Input!$B$21&amp;";",""),IF(AND($G69&lt;Hta_2,$G69&gt;=Hba_2,Input!AC$22&lt;&gt;""),Input!$B$22&amp;";",""),IF(AND($G69&lt;Hta_3,$G69&gt;=Hba_3,Input!AC$23&lt;&gt;""),Input!$B$23&amp;";",""),IF(AND($G69&lt;Hta_4,$G69&gt;=Hba_4,Input!AC$24&lt;&gt;""),Input!$B$24&amp;";",""),IF(AND($G69&lt;Hta_5,$G69&gt;=Hba_5,Input!AC$25&lt;&gt;""),Input!$B$25&amp;";",""),IF(AND($G69&lt;Hta_6,$G69&gt;=Hba_6,Input!AC$26&lt;&gt;""),Input!$B$26&amp;";",""),IF(AND($G69&lt;Hta_7,$G69&gt;=Hba_7,Input!AC$27&lt;&gt;""),Input!$B$27&amp;";",""),IF(AND($G69&lt;Hta_8,$G69&gt;=Hba_8,Input!AC$28&lt;&gt;""),Input!$B$28&amp;";",""),IF(AND($G69&lt;Hta_9,$G69&gt;=Hba_9,Input!AC$29&lt;&gt;""),Input!$B$29&amp;";",""),IF(AND($G69&lt;Hta_10,$G69&gt;=Hba_10,Input!AC$30&lt;&gt;""),Input!$B$30&amp;";",""),IF(AND($G69&lt;Hta_11,$G69&gt;=Hba_11,Input!AC$31&lt;&gt;""),Input!$B$31&amp;";",""),IF(AND($G69&lt;Hta_12,$G69&gt;=Hba_12,Input!AC$32&lt;&gt;""),Input!$B$32&amp;";",""),IF(AND($G69&lt;Hta_13,$G69&gt;=Hba_13,Input!AC$33&lt;&gt;""),Input!$B$33&amp;";",""),IF(AND($G69&lt;Hta_14,$G69&gt;=Hba_14,Input!AC$34&lt;&gt;""),Input!$B$34&amp;";",""),IF(AND($G69&lt;Hta_15,$G69&gt;=Hba_15,Input!AC$35&lt;&gt;""),Input!$B$35&amp;";",""),IF(AND($G69&lt;Hta_16,$G69&gt;=Hba_16,Input!AC$36&lt;&gt;""),Input!$B$36&amp;";",""),IF(AND($G69&lt;Hta_17,$G69&gt;=Hba_17,Input!AC$37&lt;&gt;""),Input!$B$37&amp;";",""),IF(AND($G69&lt;Hta_18,$G69&gt;=Hba_18,Input!AC$38&lt;&gt;""),Input!$B$38&amp;";",""),IF(AND($G69&lt;Hta_19,$G69&gt;=Hba_19,Input!AC$39&lt;&gt;""),Input!$B$39&amp;";",""),IF(AND($G69&lt;Hta_20,$G69&gt;=Hba_20,Input!AC$40&lt;&gt;""),Input!$B$40&amp;";",""),IF(AND($G69&lt;Hta_21,$G69&gt;=Hba_21,Input!AC$41&lt;&gt;""),Input!$B$41&amp;";",""),IF(AND($G69&lt;Hta_22,$G69&gt;=Hba_22,Input!AC$42&lt;&gt;""),Input!$B$42&amp;";",""),IF(AND($G69&lt;Hta_23,$G69&gt;=Hba_23,Input!AC$43&lt;&gt;""),Input!$B$43&amp;";",""),IF(AND($G69&lt;Hta_24,$G69&gt;=Hba_24,Input!AC$44&lt;&gt;""),Input!$B$44&amp;";",""),IF(AND($G69&lt;Hta_25,$G69&gt;=Hba_25,Input!AC$45&lt;&gt;""),Input!$B$45&amp;";",""),IF(AND($G69&lt;Hta_26,$G69&gt;=Hba_26,Input!AC$46&lt;&gt;""),Input!$B$46&amp;";",""),IF(AND($G69&lt;Hta_27,$G69&gt;=Hba_27,Input!AC$47&lt;&gt;""),Input!$B$47&amp;";",""),IF(AND($G69&lt;Hta_28,$G69&gt;=Hba_28,Input!AC$48&lt;&gt;""),Input!$B$48&amp;";",""),IF(AND($G69&lt;Hta_29,$G69&gt;=Hba_29,Input!AC$49&lt;&gt;""),Input!$B$49&amp;";",""),IF(AND($G69&lt;Hta_30,$G69&gt;=Hba_30,Input!AC$50&lt;&gt;""),Input!$B$50&amp;";","")),"")</f>
        <v/>
      </c>
      <c r="CE69" s="25" t="str">
        <f>IFERROR(CONCATENATE(IF(AND($G69&lt;Hta_1,$G69&gt;=Hba_1,Input!AD$21&lt;&gt;""),Input!$B$21&amp;";",""),IF(AND($G69&lt;Hta_2,$G69&gt;=Hba_2,Input!AD$22&lt;&gt;""),Input!$B$22&amp;";",""),IF(AND($G69&lt;Hta_3,$G69&gt;=Hba_3,Input!AD$23&lt;&gt;""),Input!$B$23&amp;";",""),IF(AND($G69&lt;Hta_4,$G69&gt;=Hba_4,Input!AD$24&lt;&gt;""),Input!$B$24&amp;";",""),IF(AND($G69&lt;Hta_5,$G69&gt;=Hba_5,Input!AD$25&lt;&gt;""),Input!$B$25&amp;";",""),IF(AND($G69&lt;Hta_6,$G69&gt;=Hba_6,Input!AD$26&lt;&gt;""),Input!$B$26&amp;";",""),IF(AND($G69&lt;Hta_7,$G69&gt;=Hba_7,Input!AD$27&lt;&gt;""),Input!$B$27&amp;";",""),IF(AND($G69&lt;Hta_8,$G69&gt;=Hba_8,Input!AD$28&lt;&gt;""),Input!$B$28&amp;";",""),IF(AND($G69&lt;Hta_9,$G69&gt;=Hba_9,Input!AD$29&lt;&gt;""),Input!$B$29&amp;";",""),IF(AND($G69&lt;Hta_10,$G69&gt;=Hba_10,Input!AD$30&lt;&gt;""),Input!$B$30&amp;";",""),IF(AND($G69&lt;Hta_11,$G69&gt;=Hba_11,Input!AD$31&lt;&gt;""),Input!$B$31&amp;";",""),IF(AND($G69&lt;Hta_12,$G69&gt;=Hba_12,Input!AD$32&lt;&gt;""),Input!$B$32&amp;";",""),IF(AND($G69&lt;Hta_13,$G69&gt;=Hba_13,Input!AD$33&lt;&gt;""),Input!$B$33&amp;";",""),IF(AND($G69&lt;Hta_14,$G69&gt;=Hba_14,Input!AD$34&lt;&gt;""),Input!$B$34&amp;";",""),IF(AND($G69&lt;Hta_15,$G69&gt;=Hba_15,Input!AD$35&lt;&gt;""),Input!$B$35&amp;";",""),IF(AND($G69&lt;Hta_16,$G69&gt;=Hba_16,Input!AD$36&lt;&gt;""),Input!$B$36&amp;";",""),IF(AND($G69&lt;Hta_17,$G69&gt;=Hba_17,Input!AD$37&lt;&gt;""),Input!$B$37&amp;";",""),IF(AND($G69&lt;Hta_18,$G69&gt;=Hba_18,Input!AD$38&lt;&gt;""),Input!$B$38&amp;";",""),IF(AND($G69&lt;Hta_19,$G69&gt;=Hba_19,Input!AD$39&lt;&gt;""),Input!$B$39&amp;";",""),IF(AND($G69&lt;Hta_20,$G69&gt;=Hba_20,Input!AD$40&lt;&gt;""),Input!$B$40&amp;";",""),IF(AND($G69&lt;Hta_21,$G69&gt;=Hba_21,Input!AD$41&lt;&gt;""),Input!$B$41&amp;";",""),IF(AND($G69&lt;Hta_22,$G69&gt;=Hba_22,Input!AD$42&lt;&gt;""),Input!$B$42&amp;";",""),IF(AND($G69&lt;Hta_23,$G69&gt;=Hba_23,Input!AD$43&lt;&gt;""),Input!$B$43&amp;";",""),IF(AND($G69&lt;Hta_24,$G69&gt;=Hba_24,Input!AD$44&lt;&gt;""),Input!$B$44&amp;";",""),IF(AND($G69&lt;Hta_25,$G69&gt;=Hba_25,Input!AD$45&lt;&gt;""),Input!$B$45&amp;";",""),IF(AND($G69&lt;Hta_26,$G69&gt;=Hba_26,Input!AD$46&lt;&gt;""),Input!$B$46&amp;";",""),IF(AND($G69&lt;Hta_27,$G69&gt;=Hba_27,Input!AD$47&lt;&gt;""),Input!$B$47&amp;";",""),IF(AND($G69&lt;Hta_28,$G69&gt;=Hba_28,Input!AD$48&lt;&gt;""),Input!$B$48&amp;";",""),IF(AND($G69&lt;Hta_29,$G69&gt;=Hba_29,Input!AD$49&lt;&gt;""),Input!$B$49&amp;";",""),IF(AND($G69&lt;Hta_30,$G69&gt;=Hba_30,Input!AD$50&lt;&gt;""),Input!$B$50&amp;";","")),"")</f>
        <v/>
      </c>
      <c r="CF69" s="25" t="str">
        <f>IFERROR(CONCATENATE(IF(AND($G69&lt;Hta_1,$G69&gt;=Hba_1,Input!AE$21&lt;&gt;""),Input!$B$21&amp;";",""),IF(AND($G69&lt;Hta_2,$G69&gt;=Hba_2,Input!AE$22&lt;&gt;""),Input!$B$22&amp;";",""),IF(AND($G69&lt;Hta_3,$G69&gt;=Hba_3,Input!AE$23&lt;&gt;""),Input!$B$23&amp;";",""),IF(AND($G69&lt;Hta_4,$G69&gt;=Hba_4,Input!AE$24&lt;&gt;""),Input!$B$24&amp;";",""),IF(AND($G69&lt;Hta_5,$G69&gt;=Hba_5,Input!AE$25&lt;&gt;""),Input!$B$25&amp;";",""),IF(AND($G69&lt;Hta_6,$G69&gt;=Hba_6,Input!AE$26&lt;&gt;""),Input!$B$26&amp;";",""),IF(AND($G69&lt;Hta_7,$G69&gt;=Hba_7,Input!AE$27&lt;&gt;""),Input!$B$27&amp;";",""),IF(AND($G69&lt;Hta_8,$G69&gt;=Hba_8,Input!AE$28&lt;&gt;""),Input!$B$28&amp;";",""),IF(AND($G69&lt;Hta_9,$G69&gt;=Hba_9,Input!AE$29&lt;&gt;""),Input!$B$29&amp;";",""),IF(AND($G69&lt;Hta_10,$G69&gt;=Hba_10,Input!AE$30&lt;&gt;""),Input!$B$30&amp;";",""),IF(AND($G69&lt;Hta_11,$G69&gt;=Hba_11,Input!AE$31&lt;&gt;""),Input!$B$31&amp;";",""),IF(AND($G69&lt;Hta_12,$G69&gt;=Hba_12,Input!AE$32&lt;&gt;""),Input!$B$32&amp;";",""),IF(AND($G69&lt;Hta_13,$G69&gt;=Hba_13,Input!AE$33&lt;&gt;""),Input!$B$33&amp;";",""),IF(AND($G69&lt;Hta_14,$G69&gt;=Hba_14,Input!AE$34&lt;&gt;""),Input!$B$34&amp;";",""),IF(AND($G69&lt;Hta_15,$G69&gt;=Hba_15,Input!AE$35&lt;&gt;""),Input!$B$35&amp;";",""),IF(AND($G69&lt;Hta_16,$G69&gt;=Hba_16,Input!AE$36&lt;&gt;""),Input!$B$36&amp;";",""),IF(AND($G69&lt;Hta_17,$G69&gt;=Hba_17,Input!AE$37&lt;&gt;""),Input!$B$37&amp;";",""),IF(AND($G69&lt;Hta_18,$G69&gt;=Hba_18,Input!AE$38&lt;&gt;""),Input!$B$38&amp;";",""),IF(AND($G69&lt;Hta_19,$G69&gt;=Hba_19,Input!AE$39&lt;&gt;""),Input!$B$39&amp;";",""),IF(AND($G69&lt;Hta_20,$G69&gt;=Hba_20,Input!AE$40&lt;&gt;""),Input!$B$40&amp;";",""),IF(AND($G69&lt;Hta_21,$G69&gt;=Hba_21,Input!AE$41&lt;&gt;""),Input!$B$41&amp;";",""),IF(AND($G69&lt;Hta_22,$G69&gt;=Hba_22,Input!AE$42&lt;&gt;""),Input!$B$42&amp;";",""),IF(AND($G69&lt;Hta_23,$G69&gt;=Hba_23,Input!AE$43&lt;&gt;""),Input!$B$43&amp;";",""),IF(AND($G69&lt;Hta_24,$G69&gt;=Hba_24,Input!AE$44&lt;&gt;""),Input!$B$44&amp;";",""),IF(AND($G69&lt;Hta_25,$G69&gt;=Hba_25,Input!AE$45&lt;&gt;""),Input!$B$45&amp;";",""),IF(AND($G69&lt;Hta_26,$G69&gt;=Hba_26,Input!AE$46&lt;&gt;""),Input!$B$46&amp;";",""),IF(AND($G69&lt;Hta_27,$G69&gt;=Hba_27,Input!AE$47&lt;&gt;""),Input!$B$47&amp;";",""),IF(AND($G69&lt;Hta_28,$G69&gt;=Hba_28,Input!AE$48&lt;&gt;""),Input!$B$48&amp;";",""),IF(AND($G69&lt;Hta_29,$G69&gt;=Hba_29,Input!AE$49&lt;&gt;""),Input!$B$49&amp;";",""),IF(AND($G69&lt;Hta_30,$G69&gt;=Hba_30,Input!AE$50&lt;&gt;""),Input!$B$50&amp;";","")),"")</f>
        <v/>
      </c>
      <c r="CG69" s="25" t="str">
        <f>IFERROR(CONCATENATE(IF(AND($G69&lt;Hta_1,$G69&gt;=Hba_1,Input!AF$21&lt;&gt;""),Input!$B$21&amp;";",""),IF(AND($G69&lt;Hta_2,$G69&gt;=Hba_2,Input!AF$22&lt;&gt;""),Input!$B$22&amp;";",""),IF(AND($G69&lt;Hta_3,$G69&gt;=Hba_3,Input!AF$23&lt;&gt;""),Input!$B$23&amp;";",""),IF(AND($G69&lt;Hta_4,$G69&gt;=Hba_4,Input!AF$24&lt;&gt;""),Input!$B$24&amp;";",""),IF(AND($G69&lt;Hta_5,$G69&gt;=Hba_5,Input!AF$25&lt;&gt;""),Input!$B$25&amp;";",""),IF(AND($G69&lt;Hta_6,$G69&gt;=Hba_6,Input!AF$26&lt;&gt;""),Input!$B$26&amp;";",""),IF(AND($G69&lt;Hta_7,$G69&gt;=Hba_7,Input!AF$27&lt;&gt;""),Input!$B$27&amp;";",""),IF(AND($G69&lt;Hta_8,$G69&gt;=Hba_8,Input!AF$28&lt;&gt;""),Input!$B$28&amp;";",""),IF(AND($G69&lt;Hta_9,$G69&gt;=Hba_9,Input!AF$29&lt;&gt;""),Input!$B$29&amp;";",""),IF(AND($G69&lt;Hta_10,$G69&gt;=Hba_10,Input!AF$30&lt;&gt;""),Input!$B$30&amp;";",""),IF(AND($G69&lt;Hta_11,$G69&gt;=Hba_11,Input!AF$31&lt;&gt;""),Input!$B$31&amp;";",""),IF(AND($G69&lt;Hta_12,$G69&gt;=Hba_12,Input!AF$32&lt;&gt;""),Input!$B$32&amp;";",""),IF(AND($G69&lt;Hta_13,$G69&gt;=Hba_13,Input!AF$33&lt;&gt;""),Input!$B$33&amp;";",""),IF(AND($G69&lt;Hta_14,$G69&gt;=Hba_14,Input!AF$34&lt;&gt;""),Input!$B$34&amp;";",""),IF(AND($G69&lt;Hta_15,$G69&gt;=Hba_15,Input!AF$35&lt;&gt;""),Input!$B$35&amp;";",""),IF(AND($G69&lt;Hta_16,$G69&gt;=Hba_16,Input!AF$36&lt;&gt;""),Input!$B$36&amp;";",""),IF(AND($G69&lt;Hta_17,$G69&gt;=Hba_17,Input!AF$37&lt;&gt;""),Input!$B$37&amp;";",""),IF(AND($G69&lt;Hta_18,$G69&gt;=Hba_18,Input!AF$38&lt;&gt;""),Input!$B$38&amp;";",""),IF(AND($G69&lt;Hta_19,$G69&gt;=Hba_19,Input!AF$39&lt;&gt;""),Input!$B$39&amp;";",""),IF(AND($G69&lt;Hta_20,$G69&gt;=Hba_20,Input!AF$40&lt;&gt;""),Input!$B$40&amp;";",""),IF(AND($G69&lt;Hta_21,$G69&gt;=Hba_21,Input!AF$41&lt;&gt;""),Input!$B$41&amp;";",""),IF(AND($G69&lt;Hta_22,$G69&gt;=Hba_22,Input!AF$42&lt;&gt;""),Input!$B$42&amp;";",""),IF(AND($G69&lt;Hta_23,$G69&gt;=Hba_23,Input!AF$43&lt;&gt;""),Input!$B$43&amp;";",""),IF(AND($G69&lt;Hta_24,$G69&gt;=Hba_24,Input!AF$44&lt;&gt;""),Input!$B$44&amp;";",""),IF(AND($G69&lt;Hta_25,$G69&gt;=Hba_25,Input!AF$45&lt;&gt;""),Input!$B$45&amp;";",""),IF(AND($G69&lt;Hta_26,$G69&gt;=Hba_26,Input!AF$46&lt;&gt;""),Input!$B$46&amp;";",""),IF(AND($G69&lt;Hta_27,$G69&gt;=Hba_27,Input!AF$47&lt;&gt;""),Input!$B$47&amp;";",""),IF(AND($G69&lt;Hta_28,$G69&gt;=Hba_28,Input!AF$48&lt;&gt;""),Input!$B$48&amp;";",""),IF(AND($G69&lt;Hta_29,$G69&gt;=Hba_29,Input!AF$49&lt;&gt;""),Input!$B$49&amp;";",""),IF(AND($G69&lt;Hta_30,$G69&gt;=Hba_30,Input!AF$50&lt;&gt;""),Input!$B$50&amp;";","")),"")</f>
        <v/>
      </c>
      <c r="CH69" s="25" t="str">
        <f>IFERROR(CONCATENATE(IF(AND($G69&lt;Hta_1,$G69&gt;=Hba_1,Input!AG$21&lt;&gt;""),Input!$B$21&amp;";",""),IF(AND($G69&lt;Hta_2,$G69&gt;=Hba_2,Input!AG$22&lt;&gt;""),Input!$B$22&amp;";",""),IF(AND($G69&lt;Hta_3,$G69&gt;=Hba_3,Input!AG$23&lt;&gt;""),Input!$B$23&amp;";",""),IF(AND($G69&lt;Hta_4,$G69&gt;=Hba_4,Input!AG$24&lt;&gt;""),Input!$B$24&amp;";",""),IF(AND($G69&lt;Hta_5,$G69&gt;=Hba_5,Input!AG$25&lt;&gt;""),Input!$B$25&amp;";",""),IF(AND($G69&lt;Hta_6,$G69&gt;=Hba_6,Input!AG$26&lt;&gt;""),Input!$B$26&amp;";",""),IF(AND($G69&lt;Hta_7,$G69&gt;=Hba_7,Input!AG$27&lt;&gt;""),Input!$B$27&amp;";",""),IF(AND($G69&lt;Hta_8,$G69&gt;=Hba_8,Input!AG$28&lt;&gt;""),Input!$B$28&amp;";",""),IF(AND($G69&lt;Hta_9,$G69&gt;=Hba_9,Input!AG$29&lt;&gt;""),Input!$B$29&amp;";",""),IF(AND($G69&lt;Hta_10,$G69&gt;=Hba_10,Input!AG$30&lt;&gt;""),Input!$B$30&amp;";",""),IF(AND($G69&lt;Hta_11,$G69&gt;=Hba_11,Input!AG$31&lt;&gt;""),Input!$B$31&amp;";",""),IF(AND($G69&lt;Hta_12,$G69&gt;=Hba_12,Input!AG$32&lt;&gt;""),Input!$B$32&amp;";",""),IF(AND($G69&lt;Hta_13,$G69&gt;=Hba_13,Input!AG$33&lt;&gt;""),Input!$B$33&amp;";",""),IF(AND($G69&lt;Hta_14,$G69&gt;=Hba_14,Input!AG$34&lt;&gt;""),Input!$B$34&amp;";",""),IF(AND($G69&lt;Hta_15,$G69&gt;=Hba_15,Input!AG$35&lt;&gt;""),Input!$B$35&amp;";",""),IF(AND($G69&lt;Hta_16,$G69&gt;=Hba_16,Input!AG$36&lt;&gt;""),Input!$B$36&amp;";",""),IF(AND($G69&lt;Hta_17,$G69&gt;=Hba_17,Input!AG$37&lt;&gt;""),Input!$B$37&amp;";",""),IF(AND($G69&lt;Hta_18,$G69&gt;=Hba_18,Input!AG$38&lt;&gt;""),Input!$B$38&amp;";",""),IF(AND($G69&lt;Hta_19,$G69&gt;=Hba_19,Input!AG$39&lt;&gt;""),Input!$B$39&amp;";",""),IF(AND($G69&lt;Hta_20,$G69&gt;=Hba_20,Input!AG$40&lt;&gt;""),Input!$B$40&amp;";",""),IF(AND($G69&lt;Hta_21,$G69&gt;=Hba_21,Input!AG$41&lt;&gt;""),Input!$B$41&amp;";",""),IF(AND($G69&lt;Hta_22,$G69&gt;=Hba_22,Input!AG$42&lt;&gt;""),Input!$B$42&amp;";",""),IF(AND($G69&lt;Hta_23,$G69&gt;=Hba_23,Input!AG$43&lt;&gt;""),Input!$B$43&amp;";",""),IF(AND($G69&lt;Hta_24,$G69&gt;=Hba_24,Input!AG$44&lt;&gt;""),Input!$B$44&amp;";",""),IF(AND($G69&lt;Hta_25,$G69&gt;=Hba_25,Input!AG$45&lt;&gt;""),Input!$B$45&amp;";",""),IF(AND($G69&lt;Hta_26,$G69&gt;=Hba_26,Input!AG$46&lt;&gt;""),Input!$B$46&amp;";",""),IF(AND($G69&lt;Hta_27,$G69&gt;=Hba_27,Input!AG$47&lt;&gt;""),Input!$B$47&amp;";",""),IF(AND($G69&lt;Hta_28,$G69&gt;=Hba_28,Input!AG$48&lt;&gt;""),Input!$B$48&amp;";",""),IF(AND($G69&lt;Hta_29,$G69&gt;=Hba_29,Input!AG$49&lt;&gt;""),Input!$B$49&amp;";",""),IF(AND($G69&lt;Hta_30,$G69&gt;=Hba_30,Input!AG$50&lt;&gt;""),Input!$B$50&amp;";","")),"")</f>
        <v/>
      </c>
      <c r="CI69" s="25" t="str">
        <f>IFERROR(CONCATENATE(IF(AND($G69&lt;Hta_1,$G69&gt;=Hba_1,Input!AH$21&lt;&gt;""),Input!$B$21&amp;";",""),IF(AND($G69&lt;Hta_2,$G69&gt;=Hba_2,Input!AH$22&lt;&gt;""),Input!$B$22&amp;";",""),IF(AND($G69&lt;Hta_3,$G69&gt;=Hba_3,Input!AH$23&lt;&gt;""),Input!$B$23&amp;";",""),IF(AND($G69&lt;Hta_4,$G69&gt;=Hba_4,Input!AH$24&lt;&gt;""),Input!$B$24&amp;";",""),IF(AND($G69&lt;Hta_5,$G69&gt;=Hba_5,Input!AH$25&lt;&gt;""),Input!$B$25&amp;";",""),IF(AND($G69&lt;Hta_6,$G69&gt;=Hba_6,Input!AH$26&lt;&gt;""),Input!$B$26&amp;";",""),IF(AND($G69&lt;Hta_7,$G69&gt;=Hba_7,Input!AH$27&lt;&gt;""),Input!$B$27&amp;";",""),IF(AND($G69&lt;Hta_8,$G69&gt;=Hba_8,Input!AH$28&lt;&gt;""),Input!$B$28&amp;";",""),IF(AND($G69&lt;Hta_9,$G69&gt;=Hba_9,Input!AH$29&lt;&gt;""),Input!$B$29&amp;";",""),IF(AND($G69&lt;Hta_10,$G69&gt;=Hba_10,Input!AH$30&lt;&gt;""),Input!$B$30&amp;";",""),IF(AND($G69&lt;Hta_11,$G69&gt;=Hba_11,Input!AH$31&lt;&gt;""),Input!$B$31&amp;";",""),IF(AND($G69&lt;Hta_12,$G69&gt;=Hba_12,Input!AH$32&lt;&gt;""),Input!$B$32&amp;";",""),IF(AND($G69&lt;Hta_13,$G69&gt;=Hba_13,Input!AH$33&lt;&gt;""),Input!$B$33&amp;";",""),IF(AND($G69&lt;Hta_14,$G69&gt;=Hba_14,Input!AH$34&lt;&gt;""),Input!$B$34&amp;";",""),IF(AND($G69&lt;Hta_15,$G69&gt;=Hba_15,Input!AH$35&lt;&gt;""),Input!$B$35&amp;";",""),IF(AND($G69&lt;Hta_16,$G69&gt;=Hba_16,Input!AH$36&lt;&gt;""),Input!$B$36&amp;";",""),IF(AND($G69&lt;Hta_17,$G69&gt;=Hba_17,Input!AH$37&lt;&gt;""),Input!$B$37&amp;";",""),IF(AND($G69&lt;Hta_18,$G69&gt;=Hba_18,Input!AH$38&lt;&gt;""),Input!$B$38&amp;";",""),IF(AND($G69&lt;Hta_19,$G69&gt;=Hba_19,Input!AH$39&lt;&gt;""),Input!$B$39&amp;";",""),IF(AND($G69&lt;Hta_20,$G69&gt;=Hba_20,Input!AH$40&lt;&gt;""),Input!$B$40&amp;";",""),IF(AND($G69&lt;Hta_21,$G69&gt;=Hba_21,Input!AH$41&lt;&gt;""),Input!$B$41&amp;";",""),IF(AND($G69&lt;Hta_22,$G69&gt;=Hba_22,Input!AH$42&lt;&gt;""),Input!$B$42&amp;";",""),IF(AND($G69&lt;Hta_23,$G69&gt;=Hba_23,Input!AH$43&lt;&gt;""),Input!$B$43&amp;";",""),IF(AND($G69&lt;Hta_24,$G69&gt;=Hba_24,Input!AH$44&lt;&gt;""),Input!$B$44&amp;";",""),IF(AND($G69&lt;Hta_25,$G69&gt;=Hba_25,Input!AH$45&lt;&gt;""),Input!$B$45&amp;";",""),IF(AND($G69&lt;Hta_26,$G69&gt;=Hba_26,Input!AH$46&lt;&gt;""),Input!$B$46&amp;";",""),IF(AND($G69&lt;Hta_27,$G69&gt;=Hba_27,Input!AH$47&lt;&gt;""),Input!$B$47&amp;";",""),IF(AND($G69&lt;Hta_28,$G69&gt;=Hba_28,Input!AH$48&lt;&gt;""),Input!$B$48&amp;";",""),IF(AND($G69&lt;Hta_29,$G69&gt;=Hba_29,Input!AH$49&lt;&gt;""),Input!$B$49&amp;";",""),IF(AND($G69&lt;Hta_30,$G69&gt;=Hba_30,Input!AH$50&lt;&gt;""),Input!$B$50&amp;";","")),"")</f>
        <v/>
      </c>
      <c r="CJ69" s="25" t="str">
        <f>IFERROR(CONCATENATE(IF(AND($G69&lt;Hta_1,$G69&gt;=Hba_1,Input!AI$21&lt;&gt;""),Input!$B$21&amp;";",""),IF(AND($G69&lt;Hta_2,$G69&gt;=Hba_2,Input!AI$22&lt;&gt;""),Input!$B$22&amp;";",""),IF(AND($G69&lt;Hta_3,$G69&gt;=Hba_3,Input!AI$23&lt;&gt;""),Input!$B$23&amp;";",""),IF(AND($G69&lt;Hta_4,$G69&gt;=Hba_4,Input!AI$24&lt;&gt;""),Input!$B$24&amp;";",""),IF(AND($G69&lt;Hta_5,$G69&gt;=Hba_5,Input!AI$25&lt;&gt;""),Input!$B$25&amp;";",""),IF(AND($G69&lt;Hta_6,$G69&gt;=Hba_6,Input!AI$26&lt;&gt;""),Input!$B$26&amp;";",""),IF(AND($G69&lt;Hta_7,$G69&gt;=Hba_7,Input!AI$27&lt;&gt;""),Input!$B$27&amp;";",""),IF(AND($G69&lt;Hta_8,$G69&gt;=Hba_8,Input!AI$28&lt;&gt;""),Input!$B$28&amp;";",""),IF(AND($G69&lt;Hta_9,$G69&gt;=Hba_9,Input!AI$29&lt;&gt;""),Input!$B$29&amp;";",""),IF(AND($G69&lt;Hta_10,$G69&gt;=Hba_10,Input!AI$30&lt;&gt;""),Input!$B$30&amp;";",""),IF(AND($G69&lt;Hta_11,$G69&gt;=Hba_11,Input!AI$31&lt;&gt;""),Input!$B$31&amp;";",""),IF(AND($G69&lt;Hta_12,$G69&gt;=Hba_12,Input!AI$32&lt;&gt;""),Input!$B$32&amp;";",""),IF(AND($G69&lt;Hta_13,$G69&gt;=Hba_13,Input!AI$33&lt;&gt;""),Input!$B$33&amp;";",""),IF(AND($G69&lt;Hta_14,$G69&gt;=Hba_14,Input!AI$34&lt;&gt;""),Input!$B$34&amp;";",""),IF(AND($G69&lt;Hta_15,$G69&gt;=Hba_15,Input!AI$35&lt;&gt;""),Input!$B$35&amp;";",""),IF(AND($G69&lt;Hta_16,$G69&gt;=Hba_16,Input!AI$36&lt;&gt;""),Input!$B$36&amp;";",""),IF(AND($G69&lt;Hta_17,$G69&gt;=Hba_17,Input!AI$37&lt;&gt;""),Input!$B$37&amp;";",""),IF(AND($G69&lt;Hta_18,$G69&gt;=Hba_18,Input!AI$38&lt;&gt;""),Input!$B$38&amp;";",""),IF(AND($G69&lt;Hta_19,$G69&gt;=Hba_19,Input!AI$39&lt;&gt;""),Input!$B$39&amp;";",""),IF(AND($G69&lt;Hta_20,$G69&gt;=Hba_20,Input!AI$40&lt;&gt;""),Input!$B$40&amp;";",""),IF(AND($G69&lt;Hta_21,$G69&gt;=Hba_21,Input!AI$41&lt;&gt;""),Input!$B$41&amp;";",""),IF(AND($G69&lt;Hta_22,$G69&gt;=Hba_22,Input!AI$42&lt;&gt;""),Input!$B$42&amp;";",""),IF(AND($G69&lt;Hta_23,$G69&gt;=Hba_23,Input!AI$43&lt;&gt;""),Input!$B$43&amp;";",""),IF(AND($G69&lt;Hta_24,$G69&gt;=Hba_24,Input!AI$44&lt;&gt;""),Input!$B$44&amp;";",""),IF(AND($G69&lt;Hta_25,$G69&gt;=Hba_25,Input!AI$45&lt;&gt;""),Input!$B$45&amp;";",""),IF(AND($G69&lt;Hta_26,$G69&gt;=Hba_26,Input!AI$46&lt;&gt;""),Input!$B$46&amp;";",""),IF(AND($G69&lt;Hta_27,$G69&gt;=Hba_27,Input!AI$47&lt;&gt;""),Input!$B$47&amp;";",""),IF(AND($G69&lt;Hta_28,$G69&gt;=Hba_28,Input!AI$48&lt;&gt;""),Input!$B$48&amp;";",""),IF(AND($G69&lt;Hta_29,$G69&gt;=Hba_29,Input!AI$49&lt;&gt;""),Input!$B$49&amp;";",""),IF(AND($G69&lt;Hta_30,$G69&gt;=Hba_30,Input!AI$50&lt;&gt;""),Input!$B$50&amp;";","")),"")</f>
        <v/>
      </c>
      <c r="CK69" s="25" t="str">
        <f>IFERROR(CONCATENATE(IF(AND($G69&lt;Hta_1,$G69&gt;=Hba_1,Input!AJ$21&lt;&gt;""),Input!$B$21&amp;";",""),IF(AND($G69&lt;Hta_2,$G69&gt;=Hba_2,Input!AJ$22&lt;&gt;""),Input!$B$22&amp;";",""),IF(AND($G69&lt;Hta_3,$G69&gt;=Hba_3,Input!AJ$23&lt;&gt;""),Input!$B$23&amp;";",""),IF(AND($G69&lt;Hta_4,$G69&gt;=Hba_4,Input!AJ$24&lt;&gt;""),Input!$B$24&amp;";",""),IF(AND($G69&lt;Hta_5,$G69&gt;=Hba_5,Input!AJ$25&lt;&gt;""),Input!$B$25&amp;";",""),IF(AND($G69&lt;Hta_6,$G69&gt;=Hba_6,Input!AJ$26&lt;&gt;""),Input!$B$26&amp;";",""),IF(AND($G69&lt;Hta_7,$G69&gt;=Hba_7,Input!AJ$27&lt;&gt;""),Input!$B$27&amp;";",""),IF(AND($G69&lt;Hta_8,$G69&gt;=Hba_8,Input!AJ$28&lt;&gt;""),Input!$B$28&amp;";",""),IF(AND($G69&lt;Hta_9,$G69&gt;=Hba_9,Input!AJ$29&lt;&gt;""),Input!$B$29&amp;";",""),IF(AND($G69&lt;Hta_10,$G69&gt;=Hba_10,Input!AJ$30&lt;&gt;""),Input!$B$30&amp;";",""),IF(AND($G69&lt;Hta_11,$G69&gt;=Hba_11,Input!AJ$31&lt;&gt;""),Input!$B$31&amp;";",""),IF(AND($G69&lt;Hta_12,$G69&gt;=Hba_12,Input!AJ$32&lt;&gt;""),Input!$B$32&amp;";",""),IF(AND($G69&lt;Hta_13,$G69&gt;=Hba_13,Input!AJ$33&lt;&gt;""),Input!$B$33&amp;";",""),IF(AND($G69&lt;Hta_14,$G69&gt;=Hba_14,Input!AJ$34&lt;&gt;""),Input!$B$34&amp;";",""),IF(AND($G69&lt;Hta_15,$G69&gt;=Hba_15,Input!AJ$35&lt;&gt;""),Input!$B$35&amp;";",""),IF(AND($G69&lt;Hta_16,$G69&gt;=Hba_16,Input!AJ$36&lt;&gt;""),Input!$B$36&amp;";",""),IF(AND($G69&lt;Hta_17,$G69&gt;=Hba_17,Input!AJ$37&lt;&gt;""),Input!$B$37&amp;";",""),IF(AND($G69&lt;Hta_18,$G69&gt;=Hba_18,Input!AJ$38&lt;&gt;""),Input!$B$38&amp;";",""),IF(AND($G69&lt;Hta_19,$G69&gt;=Hba_19,Input!AJ$39&lt;&gt;""),Input!$B$39&amp;";",""),IF(AND($G69&lt;Hta_20,$G69&gt;=Hba_20,Input!AJ$40&lt;&gt;""),Input!$B$40&amp;";",""),IF(AND($G69&lt;Hta_21,$G69&gt;=Hba_21,Input!AJ$41&lt;&gt;""),Input!$B$41&amp;";",""),IF(AND($G69&lt;Hta_22,$G69&gt;=Hba_22,Input!AJ$42&lt;&gt;""),Input!$B$42&amp;";",""),IF(AND($G69&lt;Hta_23,$G69&gt;=Hba_23,Input!AJ$43&lt;&gt;""),Input!$B$43&amp;";",""),IF(AND($G69&lt;Hta_24,$G69&gt;=Hba_24,Input!AJ$44&lt;&gt;""),Input!$B$44&amp;";",""),IF(AND($G69&lt;Hta_25,$G69&gt;=Hba_25,Input!AJ$45&lt;&gt;""),Input!$B$45&amp;";",""),IF(AND($G69&lt;Hta_26,$G69&gt;=Hba_26,Input!AJ$46&lt;&gt;""),Input!$B$46&amp;";",""),IF(AND($G69&lt;Hta_27,$G69&gt;=Hba_27,Input!AJ$47&lt;&gt;""),Input!$B$47&amp;";",""),IF(AND($G69&lt;Hta_28,$G69&gt;=Hba_28,Input!AJ$48&lt;&gt;""),Input!$B$48&amp;";",""),IF(AND($G69&lt;Hta_29,$G69&gt;=Hba_29,Input!AJ$49&lt;&gt;""),Input!$B$49&amp;";",""),IF(AND($G69&lt;Hta_30,$G69&gt;=Hba_30,Input!AJ$50&lt;&gt;""),Input!$B$50&amp;";","")),"")</f>
        <v/>
      </c>
      <c r="CL69" s="25" t="str">
        <f>IFERROR(CONCATENATE(IF(AND($G69&lt;Hta_1,$G69&gt;=Hba_1,Input!AK$21&lt;&gt;""),Input!$B$21&amp;";",""),IF(AND($G69&lt;Hta_2,$G69&gt;=Hba_2,Input!AK$22&lt;&gt;""),Input!$B$22&amp;";",""),IF(AND($G69&lt;Hta_3,$G69&gt;=Hba_3,Input!AK$23&lt;&gt;""),Input!$B$23&amp;";",""),IF(AND($G69&lt;Hta_4,$G69&gt;=Hba_4,Input!AK$24&lt;&gt;""),Input!$B$24&amp;";",""),IF(AND($G69&lt;Hta_5,$G69&gt;=Hba_5,Input!AK$25&lt;&gt;""),Input!$B$25&amp;";",""),IF(AND($G69&lt;Hta_6,$G69&gt;=Hba_6,Input!AK$26&lt;&gt;""),Input!$B$26&amp;";",""),IF(AND($G69&lt;Hta_7,$G69&gt;=Hba_7,Input!AK$27&lt;&gt;""),Input!$B$27&amp;";",""),IF(AND($G69&lt;Hta_8,$G69&gt;=Hba_8,Input!AK$28&lt;&gt;""),Input!$B$28&amp;";",""),IF(AND($G69&lt;Hta_9,$G69&gt;=Hba_9,Input!AK$29&lt;&gt;""),Input!$B$29&amp;";",""),IF(AND($G69&lt;Hta_10,$G69&gt;=Hba_10,Input!AK$30&lt;&gt;""),Input!$B$30&amp;";",""),IF(AND($G69&lt;Hta_11,$G69&gt;=Hba_11,Input!AK$31&lt;&gt;""),Input!$B$31&amp;";",""),IF(AND($G69&lt;Hta_12,$G69&gt;=Hba_12,Input!AK$32&lt;&gt;""),Input!$B$32&amp;";",""),IF(AND($G69&lt;Hta_13,$G69&gt;=Hba_13,Input!AK$33&lt;&gt;""),Input!$B$33&amp;";",""),IF(AND($G69&lt;Hta_14,$G69&gt;=Hba_14,Input!AK$34&lt;&gt;""),Input!$B$34&amp;";",""),IF(AND($G69&lt;Hta_15,$G69&gt;=Hba_15,Input!AK$35&lt;&gt;""),Input!$B$35&amp;";",""),IF(AND($G69&lt;Hta_16,$G69&gt;=Hba_16,Input!AK$36&lt;&gt;""),Input!$B$36&amp;";",""),IF(AND($G69&lt;Hta_17,$G69&gt;=Hba_17,Input!AK$37&lt;&gt;""),Input!$B$37&amp;";",""),IF(AND($G69&lt;Hta_18,$G69&gt;=Hba_18,Input!AK$38&lt;&gt;""),Input!$B$38&amp;";",""),IF(AND($G69&lt;Hta_19,$G69&gt;=Hba_19,Input!AK$39&lt;&gt;""),Input!$B$39&amp;";",""),IF(AND($G69&lt;Hta_20,$G69&gt;=Hba_20,Input!AK$40&lt;&gt;""),Input!$B$40&amp;";",""),IF(AND($G69&lt;Hta_21,$G69&gt;=Hba_21,Input!AK$41&lt;&gt;""),Input!$B$41&amp;";",""),IF(AND($G69&lt;Hta_22,$G69&gt;=Hba_22,Input!AK$42&lt;&gt;""),Input!$B$42&amp;";",""),IF(AND($G69&lt;Hta_23,$G69&gt;=Hba_23,Input!AK$43&lt;&gt;""),Input!$B$43&amp;";",""),IF(AND($G69&lt;Hta_24,$G69&gt;=Hba_24,Input!AK$44&lt;&gt;""),Input!$B$44&amp;";",""),IF(AND($G69&lt;Hta_25,$G69&gt;=Hba_25,Input!AK$45&lt;&gt;""),Input!$B$45&amp;";",""),IF(AND($G69&lt;Hta_26,$G69&gt;=Hba_26,Input!AK$46&lt;&gt;""),Input!$B$46&amp;";",""),IF(AND($G69&lt;Hta_27,$G69&gt;=Hba_27,Input!AK$47&lt;&gt;""),Input!$B$47&amp;";",""),IF(AND($G69&lt;Hta_28,$G69&gt;=Hba_28,Input!AK$48&lt;&gt;""),Input!$B$48&amp;";",""),IF(AND($G69&lt;Hta_29,$G69&gt;=Hba_29,Input!AK$49&lt;&gt;""),Input!$B$49&amp;";",""),IF(AND($G69&lt;Hta_30,$G69&gt;=Hba_30,Input!AK$50&lt;&gt;""),Input!$B$50&amp;";","")),"")</f>
        <v/>
      </c>
      <c r="CM69" s="25" t="str">
        <f>IFERROR(CONCATENATE(IF(AND($G69&lt;Hta_1,$G69&gt;=Hba_1,Input!AL$21&lt;&gt;""),Input!$B$21&amp;";",""),IF(AND($G69&lt;Hta_2,$G69&gt;=Hba_2,Input!AL$22&lt;&gt;""),Input!$B$22&amp;";",""),IF(AND($G69&lt;Hta_3,$G69&gt;=Hba_3,Input!AL$23&lt;&gt;""),Input!$B$23&amp;";",""),IF(AND($G69&lt;Hta_4,$G69&gt;=Hba_4,Input!AL$24&lt;&gt;""),Input!$B$24&amp;";",""),IF(AND($G69&lt;Hta_5,$G69&gt;=Hba_5,Input!AL$25&lt;&gt;""),Input!$B$25&amp;";",""),IF(AND($G69&lt;Hta_6,$G69&gt;=Hba_6,Input!AL$26&lt;&gt;""),Input!$B$26&amp;";",""),IF(AND($G69&lt;Hta_7,$G69&gt;=Hba_7,Input!AL$27&lt;&gt;""),Input!$B$27&amp;";",""),IF(AND($G69&lt;Hta_8,$G69&gt;=Hba_8,Input!AL$28&lt;&gt;""),Input!$B$28&amp;";",""),IF(AND($G69&lt;Hta_9,$G69&gt;=Hba_9,Input!AL$29&lt;&gt;""),Input!$B$29&amp;";",""),IF(AND($G69&lt;Hta_10,$G69&gt;=Hba_10,Input!AL$30&lt;&gt;""),Input!$B$30&amp;";",""),IF(AND($G69&lt;Hta_11,$G69&gt;=Hba_11,Input!AL$31&lt;&gt;""),Input!$B$31&amp;";",""),IF(AND($G69&lt;Hta_12,$G69&gt;=Hba_12,Input!AL$32&lt;&gt;""),Input!$B$32&amp;";",""),IF(AND($G69&lt;Hta_13,$G69&gt;=Hba_13,Input!AL$33&lt;&gt;""),Input!$B$33&amp;";",""),IF(AND($G69&lt;Hta_14,$G69&gt;=Hba_14,Input!AL$34&lt;&gt;""),Input!$B$34&amp;";",""),IF(AND($G69&lt;Hta_15,$G69&gt;=Hba_15,Input!AL$35&lt;&gt;""),Input!$B$35&amp;";",""),IF(AND($G69&lt;Hta_16,$G69&gt;=Hba_16,Input!AL$36&lt;&gt;""),Input!$B$36&amp;";",""),IF(AND($G69&lt;Hta_17,$G69&gt;=Hba_17,Input!AL$37&lt;&gt;""),Input!$B$37&amp;";",""),IF(AND($G69&lt;Hta_18,$G69&gt;=Hba_18,Input!AL$38&lt;&gt;""),Input!$B$38&amp;";",""),IF(AND($G69&lt;Hta_19,$G69&gt;=Hba_19,Input!AL$39&lt;&gt;""),Input!$B$39&amp;";",""),IF(AND($G69&lt;Hta_20,$G69&gt;=Hba_20,Input!AL$40&lt;&gt;""),Input!$B$40&amp;";",""),IF(AND($G69&lt;Hta_21,$G69&gt;=Hba_21,Input!AL$41&lt;&gt;""),Input!$B$41&amp;";",""),IF(AND($G69&lt;Hta_22,$G69&gt;=Hba_22,Input!AL$42&lt;&gt;""),Input!$B$42&amp;";",""),IF(AND($G69&lt;Hta_23,$G69&gt;=Hba_23,Input!AL$43&lt;&gt;""),Input!$B$43&amp;";",""),IF(AND($G69&lt;Hta_24,$G69&gt;=Hba_24,Input!AL$44&lt;&gt;""),Input!$B$44&amp;";",""),IF(AND($G69&lt;Hta_25,$G69&gt;=Hba_25,Input!AL$45&lt;&gt;""),Input!$B$45&amp;";",""),IF(AND($G69&lt;Hta_26,$G69&gt;=Hba_26,Input!AL$46&lt;&gt;""),Input!$B$46&amp;";",""),IF(AND($G69&lt;Hta_27,$G69&gt;=Hba_27,Input!AL$47&lt;&gt;""),Input!$B$47&amp;";",""),IF(AND($G69&lt;Hta_28,$G69&gt;=Hba_28,Input!AL$48&lt;&gt;""),Input!$B$48&amp;";",""),IF(AND($G69&lt;Hta_29,$G69&gt;=Hba_29,Input!AL$49&lt;&gt;""),Input!$B$49&amp;";",""),IF(AND($G69&lt;Hta_30,$G69&gt;=Hba_30,Input!AL$50&lt;&gt;""),Input!$B$50&amp;";","")),"")</f>
        <v/>
      </c>
      <c r="CN69" s="60" t="str">
        <f t="shared" si="6"/>
        <v/>
      </c>
      <c r="CO69" s="798"/>
      <c r="CP69" s="799"/>
      <c r="CQ69" s="800"/>
      <c r="CR69" s="798"/>
      <c r="CS69" s="799"/>
      <c r="CT69" s="800"/>
      <c r="CU69" s="798" t="str">
        <f t="shared" si="7"/>
        <v/>
      </c>
      <c r="CV69" s="799"/>
      <c r="CW69" s="806"/>
      <c r="CX69" s="726"/>
      <c r="CY69" s="727"/>
      <c r="CZ69" s="732"/>
      <c r="DA69" s="726"/>
      <c r="DB69" s="727"/>
      <c r="DC69" s="732"/>
      <c r="DD69" s="726" t="str">
        <f t="shared" si="8"/>
        <v/>
      </c>
      <c r="DE69" s="727"/>
      <c r="DF69" s="728"/>
      <c r="DG69" s="53"/>
      <c r="DH69" s="54"/>
      <c r="DI69" s="54"/>
      <c r="DJ69" s="54"/>
      <c r="DK69" s="54"/>
      <c r="DL69" s="54"/>
      <c r="DM69" s="54"/>
      <c r="DN69" s="54"/>
      <c r="DO69" s="54"/>
      <c r="DP69" s="54"/>
      <c r="DQ69" s="57"/>
      <c r="DR69" s="57"/>
      <c r="DS69" s="57"/>
      <c r="DT69" s="57"/>
      <c r="DU69" s="57"/>
      <c r="DV69" s="57"/>
      <c r="DW69" s="57"/>
      <c r="DX69" s="57"/>
      <c r="DY69" s="57"/>
      <c r="DZ69" s="57"/>
      <c r="EA69" s="57"/>
      <c r="EB69" s="57"/>
      <c r="EC69" s="57"/>
      <c r="ED69" s="57"/>
      <c r="EE69" s="57"/>
      <c r="EF69" s="57"/>
      <c r="EG69" s="57"/>
      <c r="EH69" s="57"/>
      <c r="EI69" s="57"/>
      <c r="EJ69" s="57"/>
      <c r="EK69" s="57"/>
      <c r="EL69" s="133"/>
      <c r="EM69" s="133"/>
      <c r="EN69" s="133"/>
      <c r="EO69" s="133"/>
      <c r="EP69" s="133"/>
      <c r="EQ69" s="133"/>
      <c r="ER69" s="133"/>
      <c r="ES69" s="133"/>
      <c r="ET69" s="133"/>
      <c r="EU69" s="133"/>
      <c r="EV69" s="133"/>
      <c r="EW69" s="133"/>
      <c r="EX69" s="133"/>
      <c r="EY69" s="133"/>
      <c r="EZ69" s="133"/>
      <c r="FA69" s="133"/>
      <c r="FB69" s="133"/>
      <c r="FC69" s="133"/>
      <c r="FD69" s="133"/>
      <c r="FE69" s="133"/>
      <c r="FF69" s="133"/>
      <c r="FG69" s="133"/>
      <c r="FH69" s="133"/>
      <c r="FI69" s="133"/>
      <c r="FJ69" s="133"/>
      <c r="FK69" s="133"/>
      <c r="FL69" s="133"/>
      <c r="FM69" s="133"/>
      <c r="FN69" s="133"/>
      <c r="FO69" s="133"/>
      <c r="FQ69" s="125"/>
      <c r="FR69" s="123"/>
      <c r="FS69" s="121"/>
      <c r="FT69" s="119"/>
    </row>
    <row r="70" spans="2:176" ht="15.75" hidden="1" thickBot="1" x14ac:dyDescent="0.3">
      <c r="B70" s="62" t="b">
        <f>IF(OR(AND(G70&gt;='Geometry 2'!$AK$5,G70&lt;'Geometry 2'!$AL$5),AND(G70&gt;='Geometry 2'!$AK$6,G70&lt;'Geometry 2'!$AL$6),AND(G70&gt;='Geometry 2'!$AK$7,G70&lt;'Geometry 2'!$AL$7),AND(G70&gt;='Geometry 2'!$AK$8,G70&lt;'Geometry 2'!$AL$8),AND(G70&gt;='Geometry 2'!$AK$9,G70&lt;'Geometry 2'!$AL$9),AND(G70&gt;='Geometry 2'!$AK$10,G70&lt;'Geometry 2'!$AL$10),AND(G70&gt;='Geometry 2'!$AK$11,G70&lt;'Geometry 2'!$AL$11),AND(G70&gt;='Geometry 2'!$AK$12,G70&lt;'Geometry 2'!$AL$12),AND(G70&gt;='Geometry 2'!$AK$13,G70&lt;'Geometry 2'!$AL$13),AND(G70&gt;='Geometry 2'!$AK$14,G70&lt;'Geometry 2'!$AL$14)),TRUE,FALSE)</f>
        <v>0</v>
      </c>
      <c r="C70" s="4" t="str">
        <f t="shared" si="3"/>
        <v/>
      </c>
      <c r="D70" s="766" t="str">
        <f t="shared" si="4"/>
        <v/>
      </c>
      <c r="E70" s="767"/>
      <c r="F70" s="17" t="str">
        <f t="shared" ref="F70:F104" si="12">IF(D70="","","-")</f>
        <v/>
      </c>
      <c r="G70" s="768" t="str">
        <f>IF(D70="","",MAX(0,G69-IF(inc="n/a",999,inc),MAX(IF(G69&lt;=Hta_1,0,Hta_1),IF(G69&lt;=Hta_2,0,Hta_2),IF(G69&lt;=Hta_3,0,Hta_3),IF(G69&lt;=Hta_4,0,Hta_4),IF(G69&lt;=Hta_5,0,Hta_5),IF(G69&lt;=Hta_6,0,Hta_6),IF(G69&lt;=Hta_7,0,Hta_7),IF(G69&lt;=Hta_8,0,Hta_8),IF(G69&lt;=Hta_9,0,Hta_9),IF(G69&lt;=Hta_10,0,Hta_10),IF(G69&lt;=Hta_11,0,Hta_11),IF(G69&lt;=Hta_12,0,Hta_12),IF(G69&lt;=Hta_13,0,Hta_13),IF(G69&lt;=Hta_14,0,Hta_14),IF(G69&lt;=Hta_15,0,Hta_15),IF(G69&lt;=Hta_16,0,Hta_16),IF(G69&lt;=Hta_17,0,Hta_17),IF(G69&lt;=Hta_18,0,Hta_18),IF(G69&lt;=Hta_19,0,Hta_19),IF(G69&lt;=Hta_20,0,Hta_20),IF(G69&lt;=Hta_21,0,Hta_21),IF(G69&lt;=Hta_22,0,Hta_22),IF(G69&lt;=Hta_23,0,Hta_23),IF(G69&lt;=Hta_24,0,Hta_24),IF(G69&lt;=Hta_25,0,Hta_25),IF(G69&lt;=Hta_26,0,Hta_26),IF(G69&lt;=Hta_27,0,Hta_27),IF(G69&lt;=Hta_28,0,Hta_28),IF(G69&lt;=Hta_29,0,Hta_29),IF(G69&lt;=Hta_30,0,Hta_30)),MAX(IF(G69&lt;=Hta_1-0.25,0,Hta_1-0.25),IF(G69&lt;=Hta_2-0.25,0,Hta_2-0.25),IF(G69&lt;=Hta_3-0.25,0,Hta_3-0.25),IF(G69&lt;=Hta_4-0.25,0,Hta_4-0.25),IF(G69&lt;=Hta_5-0.25,0,Hta_5-0.25),IF(G69&lt;=Hta_6-0.25,0,Hta_6-0.25),IF(G69&lt;=Hta_7-0.25,0,Hta_7-0.25),IF(G69&lt;=Hta_8-0.25,0,Hta_8-0.25),IF(G69&lt;=Hta_9-0.25,0,Hta_9-0.25),IF(G69&lt;=Hta_10-0.25,0,Hta_10-0.25),IF(G69&lt;=Hta_11-0.25,0,Hta_11-0.25),IF(G69&lt;=Hta_12-0.25,0,Hta_12-0.25),IF(G69&lt;=Hta_13-0.25,0,Hta_13-0.25),IF(G69&lt;=Hta_14-0.25,0,Hta_14-0.25),IF(G69&lt;=Hta_15-0.25,0,Hta_15-0.25),IF(G69&lt;=Hta_16-0.25,0,Hta_16-0.25),IF(G69&lt;=Hta_17-0.25,0,Hta_17-0.25),IF(G69&lt;=Hta_18-0.25,0,Hta_18-0.25),IF(G69&lt;=Hta_19-0.25,0,Hta_19-0.25),IF(G69&lt;=Hta_20-0.25,0,Hta_20-0.25),IF(G69&lt;=Hta_21-0.25,0,Hta_21-0.25),IF(G69&lt;=Hta_22-0.25,0,Hta_22-0.25),IF(G69&lt;=Hta_23-0.25,0,Hta_23-0.25),IF(G69&lt;=Hta_24-0.25,0,Hta_24-0.25),IF(G69&lt;=Hta_25-0.25,0,Hta_25-0.25),IF(G69&lt;=Hta_26-0.25,0,Hta_26-0.25),IF(G69&lt;=Hta_27-0.25,0,Hta_27-0.25),IF(G69&lt;=Hta_28-0.25,0,Hta_28-0.25),IF(G69&lt;=Hta_29-0.25,0,Hta_29-0.25),IF(G69&lt;=Hta_30-0.25,0,Hta_30-0.25)),MAX(IF(G69&lt;=Hba_1,0,Hba_1),IF(G69&lt;=Hba_2,0,Hba_2),IF(G69&lt;=Hba_3,0,Hba_3),IF(G69&lt;=Hba_4,0,Hba_4),IF(G69&lt;=Hba_5,0,Hba_5),IF(G69&lt;=Hba_6,0,Hba_6),IF(G69&lt;=Hba_7,0,Hba_7),IF(G69&lt;=Hba_8,0,Hba_8),IF(G69&lt;=Hba_9,0,Hba_9),IF(G69&lt;=Hba_10,0,Hba_10),IF(G69&lt;=Hba_11,0,Hba_11),IF(G69&lt;=Hba_12,0,Hba_12),IF(G69&lt;=Hba_13,0,Hba_13),IF(G69&lt;=Hba_14,0,Hba_14),IF(G69&lt;=Hba_15,0,Hba_15),IF(G69&lt;=Hba_16,0,Hba_16),IF(G69&lt;=Hba_17,0,Hba_17),IF(G69&lt;=Hba_18,0,Hba_18),IF(G69&lt;=Hba_19,0,Hba_19),IF(G69&lt;=Hba_20,0,Hba_20),IF(G69&lt;=Hba_21,0,Hba_21),IF(G69&lt;=Hba_22,0,Hba_22),IF(G69&lt;=Hba_23,0,Hba_23),IF(G69&lt;=Hba_24,0,Hba_24),IF(G69&lt;=Hba_25,0,Hba_25),IF(G69&lt;=Hba_26,0,Hba_26),IF(G69&lt;=Hba_27,0,Hba_27),IF(G69&lt;=Hba_28,0,Hba_28),IF(G69&lt;=Hba_29,0,Hba_29),IF(G69&lt;=Hba_30,0,Hba_30)),MAX(IF(G69&lt;=Input!$C$8,0,Input!$C$8),IF(G69&lt;=Input!$C$9,0,Input!$C$9),IF(G69&lt;=Input!$C$10,0,Input!$C$10),IF(G69&lt;=Input!$C$11,0,Input!$C$11),IF(G69&lt;=Input!$C$12,0,Input!$C$12),IF(G69&lt;=Input!$C$13,0,Input!$C$13),IF(G69&lt;=Input!$C$14,0,Input!$C$14),IF(G69&lt;=Input!$C$15,0,Input!$C$15),IF(G69&lt;=Input!$C$16,0,Input!$C$16)),MAX(IF(G69&lt;=Hba_1-0.25,0,Hba_1-0.25),IF(G69&lt;=Hba_2-0.25,0,Hba_2-0.25),IF(G69&lt;=Hba_3-0.25,0,Hba_3-0.25),IF(G69&lt;=Hba_4-0.25,0,Hba_4-0.25),IF(G69&lt;=Hba_5-0.25,0,Hba_5-0.25),IF(G69&lt;=Hba_6-0.25,0,Hba_6-0.25),IF(G69&lt;=Hba_7-0.25,0,Hba_7-0.25),IF(G69&lt;=Hba_8-0.25,0,Hba_8-0.25),IF(G69&lt;=Hba_9-0.25,0,Hba_9-0.25),IF(G69&lt;=Hba_10-0.25,0,Hba_10-0.25),IF(G69&lt;=Hba_11-0.25,0,Hba_11-0.25),IF(G69&lt;=Hba_12-0.25,0,Hba_12-0.25),IF(G69&lt;=Hba_13-0.25,0,Hba_13-0.25),IF(G69&lt;=Hba_14-0.25,0,Hba_14-0.25),IF(G69&lt;=Hba_15-0.25,0,Hba_15-0.25),IF(G69&lt;=Hba_16-0.25,0,Hba_16-0.25),IF(G69&lt;=Hba_17-0.25,0,Hba_17-0.25),IF(G69&lt;=Hba_18-0.25,0,Hba_18-0.25),IF(G69&lt;=Hba_19-0.25,0,Hba_19-0.25),IF(G69&lt;=Hba_20-0.25,0,Hba_20-0.25),IF(G69&lt;=Hba_21-0.25,0,Hba_21-0.25),IF(G69&lt;=Hba_22-0.25,0,Hba_22-0.25),IF(G69&lt;=Hba_23-0.25,0,Hba_23-0.25),IF(G69&lt;=Hba_24-0.25,0,Hba_24-0.25),IF(G69&lt;=Hba_25-0.25,0,Hba_25-0.25),IF(G69&lt;=Hba_26-0.25,0,Hba_26-0.25),IF(G69&lt;=Hba_27-0.25,0,Hba_27-0.25),IF(G69&lt;=Hba_28-0.25,0,Hba_28-0.25),IF(G69&lt;=Hba_29-0.25,0,Hba_29-0.25),IF(G69&lt;=Hba_30-0.25,0,Hba_30-0.25)),IF(G69&lt;='Macro References'!$A$38,0,'Macro References'!$A$38)))</f>
        <v/>
      </c>
      <c r="H70" s="769"/>
      <c r="I70" s="228"/>
      <c r="J70" s="228"/>
      <c r="K70" s="228"/>
      <c r="L70" s="717" t="str">
        <f t="shared" si="11"/>
        <v/>
      </c>
      <c r="M70" s="717"/>
      <c r="N70" s="717"/>
      <c r="O70" s="717"/>
      <c r="P70" s="717" t="str">
        <f>IF(OR(G70=0,G70=""),"",IF(VLOOKUP(G70,'Geometry 2'!$C$4:$AI$14,1,TRUE)=VLOOKUP(G71,'Geometry 2'!$C$4:$AI$14,1,TRUE),"",IF(VLOOKUP(G70,'Geometry 2'!$C$4:$AI$14,33,TRUE)&lt;&gt;"n/a",MIN(G70,VLOOKUP(G70,'Geometry 2'!$C$4:$AI$14,1,TRUE))-VLOOKUP(G70,'Geometry 2'!$C$4:$AI$14,33,TRUE),"check")))</f>
        <v/>
      </c>
      <c r="Q70" s="717"/>
      <c r="R70" s="717"/>
      <c r="S70" s="717"/>
      <c r="T70" s="717" t="str">
        <f>IF($G70="","",VLOOKUP($G70,'Geometry 2'!$E$4:$AH$14,11,TRUE))</f>
        <v/>
      </c>
      <c r="U70" s="717"/>
      <c r="V70" s="717"/>
      <c r="W70" s="717"/>
      <c r="X70" s="716" t="str">
        <f>IF($G70="","",VLOOKUP($G70,'Geometry 2'!$E$4:$AJ$14,19,TRUE)-12*VLOOKUP($G70,'Geometry 2'!$E$4:$AJ$14,32,TRUE)*($D70-VLOOKUP($G70,'Geometry 2'!$E$5:$AH$14,1,TRUE)))</f>
        <v/>
      </c>
      <c r="Y70" s="716"/>
      <c r="Z70" s="716"/>
      <c r="AA70" s="716"/>
      <c r="AB70" s="757" t="str">
        <f>IF($G70="","",VLOOKUP($G70,'Geometry 2'!$E$4:$AJ$14,19,TRUE)-12*VLOOKUP($G70,'Geometry 2'!$E$4:$AJ$14,32,TRUE)*($G70-VLOOKUP($G70,'Geometry 2'!$E$5:$AH$14,1,TRUE)))</f>
        <v/>
      </c>
      <c r="AC70" s="758"/>
      <c r="AD70" s="758"/>
      <c r="AE70" s="759"/>
      <c r="AF70" s="716" t="str">
        <f>IF($G70="","",VLOOKUP($G70,'Geometry 2'!$E$4:$AJ$14,19,TRUE)-12*VLOOKUP($G70,'Geometry 2'!$E$4:$AJ$14,32,TRUE)*($G70-IF($P70="",0,$P70)-VLOOKUP($G70,'Geometry 2'!$E$5:$AH$14,1,TRUE)))</f>
        <v/>
      </c>
      <c r="AG70" s="716"/>
      <c r="AH70" s="716"/>
      <c r="AI70" s="716"/>
      <c r="AJ70" s="746" t="str">
        <f>IF($G70="","",VLOOKUP($G70,'Geometry 2'!$E$4:$AH$14,23,TRUE))</f>
        <v/>
      </c>
      <c r="AK70" s="747"/>
      <c r="AL70" s="747"/>
      <c r="AM70" s="748"/>
      <c r="AN70" s="717"/>
      <c r="AO70" s="717"/>
      <c r="AP70" s="717"/>
      <c r="AQ70" s="717"/>
      <c r="AR70" s="717" t="str">
        <f>IF($G70="","",VLOOKUP($G70,'Geometry 2'!$E$4:$AH$14,27,TRUE))</f>
        <v/>
      </c>
      <c r="AS70" s="717"/>
      <c r="AT70" s="717"/>
      <c r="AU70" s="718"/>
      <c r="AV70" s="715"/>
      <c r="AW70" s="716"/>
      <c r="AX70" s="716"/>
      <c r="AZ70" s="722" t="str">
        <f t="shared" si="5"/>
        <v/>
      </c>
      <c r="BA70" s="723"/>
      <c r="BB70" s="723"/>
      <c r="BC70" s="724"/>
      <c r="BD70" s="722"/>
      <c r="BE70" s="723"/>
      <c r="BF70" s="723"/>
      <c r="BG70" s="722" t="str">
        <f t="shared" si="9"/>
        <v/>
      </c>
      <c r="BH70" s="723"/>
      <c r="BI70" s="723"/>
      <c r="BJ70" s="723"/>
      <c r="BK70" s="724"/>
      <c r="BL70" s="722"/>
      <c r="BM70" s="723"/>
      <c r="BN70" s="723"/>
      <c r="BO70" s="723"/>
      <c r="BP70" s="725"/>
      <c r="BQ70" s="725"/>
      <c r="BR70" s="722" t="str">
        <f>IF(BP70="","",IF(OR(AND(Rev="H",Calculations!$F$27=TRUE),AND(Rev&lt;&gt;"H",Calculations!$F$30=TRUE)),IF(BP70&lt;=1,"Pass","Fail"),IF(BP70&lt;=1.05,"Pass","Fail")))</f>
        <v/>
      </c>
      <c r="BS70" s="723"/>
      <c r="BT70" s="724"/>
      <c r="BU70" s="49"/>
      <c r="BV70" s="25" t="str">
        <f>IFERROR(CONCATENATE(IF(AND($G70&lt;Hta_1,$G70&gt;=Hba_1,Input!U$21&lt;&gt;""),Input!$B$21&amp;";",""),IF(AND($G70&lt;Hta_2,$G70&gt;=Hba_2,Input!U$22&lt;&gt;""),Input!$B$22&amp;";",""),IF(AND($G70&lt;Hta_3,$G70&gt;=Hba_3,Input!U$23&lt;&gt;""),Input!$B$23&amp;";",""),IF(AND($G70&lt;Hta_4,$G70&gt;=Hba_4,Input!U$24&lt;&gt;""),Input!$B$24&amp;";",""),IF(AND($G70&lt;Hta_5,$G70&gt;=Hba_5,Input!U$25&lt;&gt;""),Input!$B$25&amp;";",""),IF(AND($G70&lt;Hta_6,$G70&gt;=Hba_6,Input!U$26&lt;&gt;""),Input!$B$26&amp;";",""),IF(AND($G70&lt;Hta_7,$G70&gt;=Hba_7,Input!U$27&lt;&gt;""),Input!$B$27&amp;";",""),IF(AND($G70&lt;Hta_8,$G70&gt;=Hba_8,Input!U$28&lt;&gt;""),Input!$B$28&amp;";",""),IF(AND($G70&lt;Hta_9,$G70&gt;=Hba_9,Input!U$29&lt;&gt;""),Input!$B$29&amp;";",""),IF(AND($G70&lt;Hta_10,$G70&gt;=Hba_10,Input!U$30&lt;&gt;""),Input!$B$30&amp;";",""),IF(AND($G70&lt;Hta_11,$G70&gt;=Hba_11,Input!U$31&lt;&gt;""),Input!$B$31&amp;";",""),IF(AND($G70&lt;Hta_12,$G70&gt;=Hba_12,Input!U$32&lt;&gt;""),Input!$B$32&amp;";",""),IF(AND($G70&lt;Hta_13,$G70&gt;=Hba_13,Input!U$33&lt;&gt;""),Input!$B$33&amp;";",""),IF(AND($G70&lt;Hta_14,$G70&gt;=Hba_14,Input!U$34&lt;&gt;""),Input!$B$34&amp;";",""),IF(AND($G70&lt;Hta_15,$G70&gt;=Hba_15,Input!U$35&lt;&gt;""),Input!$B$35&amp;";",""),IF(AND($G70&lt;Hta_16,$G70&gt;=Hba_16,Input!U$36&lt;&gt;""),Input!$B$36&amp;";",""),IF(AND($G70&lt;Hta_17,$G70&gt;=Hba_17,Input!U$37&lt;&gt;""),Input!$B$37&amp;";",""),IF(AND($G70&lt;Hta_18,$G70&gt;=Hba_18,Input!U$38&lt;&gt;""),Input!$B$38&amp;";",""),IF(AND($G70&lt;Hta_19,$G70&gt;=Hba_19,Input!U$39&lt;&gt;""),Input!$B$39&amp;";",""),IF(AND($G70&lt;Hta_20,$G70&gt;=Hba_20,Input!U$40&lt;&gt;""),Input!$B$40&amp;";",""),IF(AND($G70&lt;Hta_21,$G70&gt;=Hba_21,Input!U$41&lt;&gt;""),Input!$B$41&amp;";",""),IF(AND($G70&lt;Hta_22,$G70&gt;=Hba_22,Input!U$42&lt;&gt;""),Input!$B$42&amp;";",""),IF(AND($G70&lt;Hta_23,$G70&gt;=Hba_23,Input!U$43&lt;&gt;""),Input!$B$43&amp;";",""),IF(AND($G70&lt;Hta_24,$G70&gt;=Hba_24,Input!U$44&lt;&gt;""),Input!$B$44&amp;";",""),IF(AND($G70&lt;Hta_25,$G70&gt;=Hba_25,Input!U$45&lt;&gt;""),Input!$B$45&amp;";",""),IF(AND($G70&lt;Hta_26,$G70&gt;=Hba_26,Input!U$46&lt;&gt;""),Input!$B$46&amp;";",""),IF(AND($G70&lt;Hta_27,$G70&gt;=Hba_27,Input!U$47&lt;&gt;""),Input!$B$47&amp;";",""),IF(AND($G70&lt;Hta_28,$G70&gt;=Hba_28,Input!U$48&lt;&gt;""),Input!$B$48&amp;";",""),IF(AND($G70&lt;Hta_29,$G70&gt;=Hba_29,Input!U$49&lt;&gt;""),Input!$B$49&amp;";",""),IF(AND($G70&lt;Hta_30,$G70&gt;=Hba_30,Input!U$50&lt;&gt;""),Input!$B$50&amp;";","")),"")</f>
        <v/>
      </c>
      <c r="BW70" s="25" t="str">
        <f>IFERROR(CONCATENATE(IF(AND($G70&lt;Hta_1,$G70&gt;=Hba_1,Input!V$21&lt;&gt;""),Input!$B$21&amp;";",""),IF(AND($G70&lt;Hta_2,$G70&gt;=Hba_2,Input!V$22&lt;&gt;""),Input!$B$22&amp;";",""),IF(AND($G70&lt;Hta_3,$G70&gt;=Hba_3,Input!V$23&lt;&gt;""),Input!$B$23&amp;";",""),IF(AND($G70&lt;Hta_4,$G70&gt;=Hba_4,Input!V$24&lt;&gt;""),Input!$B$24&amp;";",""),IF(AND($G70&lt;Hta_5,$G70&gt;=Hba_5,Input!V$25&lt;&gt;""),Input!$B$25&amp;";",""),IF(AND($G70&lt;Hta_6,$G70&gt;=Hba_6,Input!V$26&lt;&gt;""),Input!$B$26&amp;";",""),IF(AND($G70&lt;Hta_7,$G70&gt;=Hba_7,Input!V$27&lt;&gt;""),Input!$B$27&amp;";",""),IF(AND($G70&lt;Hta_8,$G70&gt;=Hba_8,Input!V$28&lt;&gt;""),Input!$B$28&amp;";",""),IF(AND($G70&lt;Hta_9,$G70&gt;=Hba_9,Input!V$29&lt;&gt;""),Input!$B$29&amp;";",""),IF(AND($G70&lt;Hta_10,$G70&gt;=Hba_10,Input!V$30&lt;&gt;""),Input!$B$30&amp;";",""),IF(AND($G70&lt;Hta_11,$G70&gt;=Hba_11,Input!V$31&lt;&gt;""),Input!$B$31&amp;";",""),IF(AND($G70&lt;Hta_12,$G70&gt;=Hba_12,Input!V$32&lt;&gt;""),Input!$B$32&amp;";",""),IF(AND($G70&lt;Hta_13,$G70&gt;=Hba_13,Input!V$33&lt;&gt;""),Input!$B$33&amp;";",""),IF(AND($G70&lt;Hta_14,$G70&gt;=Hba_14,Input!V$34&lt;&gt;""),Input!$B$34&amp;";",""),IF(AND($G70&lt;Hta_15,$G70&gt;=Hba_15,Input!V$35&lt;&gt;""),Input!$B$35&amp;";",""),IF(AND($G70&lt;Hta_16,$G70&gt;=Hba_16,Input!V$36&lt;&gt;""),Input!$B$36&amp;";",""),IF(AND($G70&lt;Hta_17,$G70&gt;=Hba_17,Input!V$37&lt;&gt;""),Input!$B$37&amp;";",""),IF(AND($G70&lt;Hta_18,$G70&gt;=Hba_18,Input!V$38&lt;&gt;""),Input!$B$38&amp;";",""),IF(AND($G70&lt;Hta_19,$G70&gt;=Hba_19,Input!V$39&lt;&gt;""),Input!$B$39&amp;";",""),IF(AND($G70&lt;Hta_20,$G70&gt;=Hba_20,Input!V$40&lt;&gt;""),Input!$B$40&amp;";",""),IF(AND($G70&lt;Hta_21,$G70&gt;=Hba_21,Input!V$41&lt;&gt;""),Input!$B$41&amp;";",""),IF(AND($G70&lt;Hta_22,$G70&gt;=Hba_22,Input!V$42&lt;&gt;""),Input!$B$42&amp;";",""),IF(AND($G70&lt;Hta_23,$G70&gt;=Hba_23,Input!V$43&lt;&gt;""),Input!$B$43&amp;";",""),IF(AND($G70&lt;Hta_24,$G70&gt;=Hba_24,Input!V$44&lt;&gt;""),Input!$B$44&amp;";",""),IF(AND($G70&lt;Hta_25,$G70&gt;=Hba_25,Input!V$45&lt;&gt;""),Input!$B$45&amp;";",""),IF(AND($G70&lt;Hta_26,$G70&gt;=Hba_26,Input!V$46&lt;&gt;""),Input!$B$46&amp;";",""),IF(AND($G70&lt;Hta_27,$G70&gt;=Hba_27,Input!V$47&lt;&gt;""),Input!$B$47&amp;";",""),IF(AND($G70&lt;Hta_28,$G70&gt;=Hba_28,Input!V$48&lt;&gt;""),Input!$B$48&amp;";",""),IF(AND($G70&lt;Hta_29,$G70&gt;=Hba_29,Input!V$49&lt;&gt;""),Input!$B$49&amp;";",""),IF(AND($G70&lt;Hta_30,$G70&gt;=Hba_30,Input!V$50&lt;&gt;""),Input!$B$50&amp;";","")),"")</f>
        <v/>
      </c>
      <c r="BX70" s="25" t="str">
        <f>IFERROR(CONCATENATE(IF(AND($G70&lt;Hta_1,$G70&gt;=Hba_1,Input!W$21&lt;&gt;""),Input!$B$21&amp;";",""),IF(AND($G70&lt;Hta_2,$G70&gt;=Hba_2,Input!W$22&lt;&gt;""),Input!$B$22&amp;";",""),IF(AND($G70&lt;Hta_3,$G70&gt;=Hba_3,Input!W$23&lt;&gt;""),Input!$B$23&amp;";",""),IF(AND($G70&lt;Hta_4,$G70&gt;=Hba_4,Input!W$24&lt;&gt;""),Input!$B$24&amp;";",""),IF(AND($G70&lt;Hta_5,$G70&gt;=Hba_5,Input!W$25&lt;&gt;""),Input!$B$25&amp;";",""),IF(AND($G70&lt;Hta_6,$G70&gt;=Hba_6,Input!W$26&lt;&gt;""),Input!$B$26&amp;";",""),IF(AND($G70&lt;Hta_7,$G70&gt;=Hba_7,Input!W$27&lt;&gt;""),Input!$B$27&amp;";",""),IF(AND($G70&lt;Hta_8,$G70&gt;=Hba_8,Input!W$28&lt;&gt;""),Input!$B$28&amp;";",""),IF(AND($G70&lt;Hta_9,$G70&gt;=Hba_9,Input!W$29&lt;&gt;""),Input!$B$29&amp;";",""),IF(AND($G70&lt;Hta_10,$G70&gt;=Hba_10,Input!W$30&lt;&gt;""),Input!$B$30&amp;";",""),IF(AND($G70&lt;Hta_11,$G70&gt;=Hba_11,Input!W$31&lt;&gt;""),Input!$B$31&amp;";",""),IF(AND($G70&lt;Hta_12,$G70&gt;=Hba_12,Input!W$32&lt;&gt;""),Input!$B$32&amp;";",""),IF(AND($G70&lt;Hta_13,$G70&gt;=Hba_13,Input!W$33&lt;&gt;""),Input!$B$33&amp;";",""),IF(AND($G70&lt;Hta_14,$G70&gt;=Hba_14,Input!W$34&lt;&gt;""),Input!$B$34&amp;";",""),IF(AND($G70&lt;Hta_15,$G70&gt;=Hba_15,Input!W$35&lt;&gt;""),Input!$B$35&amp;";",""),IF(AND($G70&lt;Hta_16,$G70&gt;=Hba_16,Input!W$36&lt;&gt;""),Input!$B$36&amp;";",""),IF(AND($G70&lt;Hta_17,$G70&gt;=Hba_17,Input!W$37&lt;&gt;""),Input!$B$37&amp;";",""),IF(AND($G70&lt;Hta_18,$G70&gt;=Hba_18,Input!W$38&lt;&gt;""),Input!$B$38&amp;";",""),IF(AND($G70&lt;Hta_19,$G70&gt;=Hba_19,Input!W$39&lt;&gt;""),Input!$B$39&amp;";",""),IF(AND($G70&lt;Hta_20,$G70&gt;=Hba_20,Input!W$40&lt;&gt;""),Input!$B$40&amp;";",""),IF(AND($G70&lt;Hta_21,$G70&gt;=Hba_21,Input!W$41&lt;&gt;""),Input!$B$41&amp;";",""),IF(AND($G70&lt;Hta_22,$G70&gt;=Hba_22,Input!W$42&lt;&gt;""),Input!$B$42&amp;";",""),IF(AND($G70&lt;Hta_23,$G70&gt;=Hba_23,Input!W$43&lt;&gt;""),Input!$B$43&amp;";",""),IF(AND($G70&lt;Hta_24,$G70&gt;=Hba_24,Input!W$44&lt;&gt;""),Input!$B$44&amp;";",""),IF(AND($G70&lt;Hta_25,$G70&gt;=Hba_25,Input!W$45&lt;&gt;""),Input!$B$45&amp;";",""),IF(AND($G70&lt;Hta_26,$G70&gt;=Hba_26,Input!W$46&lt;&gt;""),Input!$B$46&amp;";",""),IF(AND($G70&lt;Hta_27,$G70&gt;=Hba_27,Input!W$47&lt;&gt;""),Input!$B$47&amp;";",""),IF(AND($G70&lt;Hta_28,$G70&gt;=Hba_28,Input!W$48&lt;&gt;""),Input!$B$48&amp;";",""),IF(AND($G70&lt;Hta_29,$G70&gt;=Hba_29,Input!W$49&lt;&gt;""),Input!$B$49&amp;";",""),IF(AND($G70&lt;Hta_30,$G70&gt;=Hba_30,Input!W$50&lt;&gt;""),Input!$B$50&amp;";","")),"")</f>
        <v/>
      </c>
      <c r="BY70" s="25" t="str">
        <f>IFERROR(CONCATENATE(IF(AND($G70&lt;Hta_1,$G70&gt;=Hba_1,Input!X$21&lt;&gt;""),Input!$B$21&amp;";",""),IF(AND($G70&lt;Hta_2,$G70&gt;=Hba_2,Input!X$22&lt;&gt;""),Input!$B$22&amp;";",""),IF(AND($G70&lt;Hta_3,$G70&gt;=Hba_3,Input!X$23&lt;&gt;""),Input!$B$23&amp;";",""),IF(AND($G70&lt;Hta_4,$G70&gt;=Hba_4,Input!X$24&lt;&gt;""),Input!$B$24&amp;";",""),IF(AND($G70&lt;Hta_5,$G70&gt;=Hba_5,Input!X$25&lt;&gt;""),Input!$B$25&amp;";",""),IF(AND($G70&lt;Hta_6,$G70&gt;=Hba_6,Input!X$26&lt;&gt;""),Input!$B$26&amp;";",""),IF(AND($G70&lt;Hta_7,$G70&gt;=Hba_7,Input!X$27&lt;&gt;""),Input!$B$27&amp;";",""),IF(AND($G70&lt;Hta_8,$G70&gt;=Hba_8,Input!X$28&lt;&gt;""),Input!$B$28&amp;";",""),IF(AND($G70&lt;Hta_9,$G70&gt;=Hba_9,Input!X$29&lt;&gt;""),Input!$B$29&amp;";",""),IF(AND($G70&lt;Hta_10,$G70&gt;=Hba_10,Input!X$30&lt;&gt;""),Input!$B$30&amp;";",""),IF(AND($G70&lt;Hta_11,$G70&gt;=Hba_11,Input!X$31&lt;&gt;""),Input!$B$31&amp;";",""),IF(AND($G70&lt;Hta_12,$G70&gt;=Hba_12,Input!X$32&lt;&gt;""),Input!$B$32&amp;";",""),IF(AND($G70&lt;Hta_13,$G70&gt;=Hba_13,Input!X$33&lt;&gt;""),Input!$B$33&amp;";",""),IF(AND($G70&lt;Hta_14,$G70&gt;=Hba_14,Input!X$34&lt;&gt;""),Input!$B$34&amp;";",""),IF(AND($G70&lt;Hta_15,$G70&gt;=Hba_15,Input!X$35&lt;&gt;""),Input!$B$35&amp;";",""),IF(AND($G70&lt;Hta_16,$G70&gt;=Hba_16,Input!X$36&lt;&gt;""),Input!$B$36&amp;";",""),IF(AND($G70&lt;Hta_17,$G70&gt;=Hba_17,Input!X$37&lt;&gt;""),Input!$B$37&amp;";",""),IF(AND($G70&lt;Hta_18,$G70&gt;=Hba_18,Input!X$38&lt;&gt;""),Input!$B$38&amp;";",""),IF(AND($G70&lt;Hta_19,$G70&gt;=Hba_19,Input!X$39&lt;&gt;""),Input!$B$39&amp;";",""),IF(AND($G70&lt;Hta_20,$G70&gt;=Hba_20,Input!X$40&lt;&gt;""),Input!$B$40&amp;";",""),IF(AND($G70&lt;Hta_21,$G70&gt;=Hba_21,Input!X$41&lt;&gt;""),Input!$B$41&amp;";",""),IF(AND($G70&lt;Hta_22,$G70&gt;=Hba_22,Input!X$42&lt;&gt;""),Input!$B$42&amp;";",""),IF(AND($G70&lt;Hta_23,$G70&gt;=Hba_23,Input!X$43&lt;&gt;""),Input!$B$43&amp;";",""),IF(AND($G70&lt;Hta_24,$G70&gt;=Hba_24,Input!X$44&lt;&gt;""),Input!$B$44&amp;";",""),IF(AND($G70&lt;Hta_25,$G70&gt;=Hba_25,Input!X$45&lt;&gt;""),Input!$B$45&amp;";",""),IF(AND($G70&lt;Hta_26,$G70&gt;=Hba_26,Input!X$46&lt;&gt;""),Input!$B$46&amp;";",""),IF(AND($G70&lt;Hta_27,$G70&gt;=Hba_27,Input!X$47&lt;&gt;""),Input!$B$47&amp;";",""),IF(AND($G70&lt;Hta_28,$G70&gt;=Hba_28,Input!X$48&lt;&gt;""),Input!$B$48&amp;";",""),IF(AND($G70&lt;Hta_29,$G70&gt;=Hba_29,Input!X$49&lt;&gt;""),Input!$B$49&amp;";",""),IF(AND($G70&lt;Hta_30,$G70&gt;=Hba_30,Input!X$50&lt;&gt;""),Input!$B$50&amp;";","")),"")</f>
        <v/>
      </c>
      <c r="BZ70" s="25" t="str">
        <f>IFERROR(CONCATENATE(IF(AND($G70&lt;Hta_1,$G70&gt;=Hba_1,Input!Y$21&lt;&gt;""),Input!$B$21&amp;";",""),IF(AND($G70&lt;Hta_2,$G70&gt;=Hba_2,Input!Y$22&lt;&gt;""),Input!$B$22&amp;";",""),IF(AND($G70&lt;Hta_3,$G70&gt;=Hba_3,Input!Y$23&lt;&gt;""),Input!$B$23&amp;";",""),IF(AND($G70&lt;Hta_4,$G70&gt;=Hba_4,Input!Y$24&lt;&gt;""),Input!$B$24&amp;";",""),IF(AND($G70&lt;Hta_5,$G70&gt;=Hba_5,Input!Y$25&lt;&gt;""),Input!$B$25&amp;";",""),IF(AND($G70&lt;Hta_6,$G70&gt;=Hba_6,Input!Y$26&lt;&gt;""),Input!$B$26&amp;";",""),IF(AND($G70&lt;Hta_7,$G70&gt;=Hba_7,Input!Y$27&lt;&gt;""),Input!$B$27&amp;";",""),IF(AND($G70&lt;Hta_8,$G70&gt;=Hba_8,Input!Y$28&lt;&gt;""),Input!$B$28&amp;";",""),IF(AND($G70&lt;Hta_9,$G70&gt;=Hba_9,Input!Y$29&lt;&gt;""),Input!$B$29&amp;";",""),IF(AND($G70&lt;Hta_10,$G70&gt;=Hba_10,Input!Y$30&lt;&gt;""),Input!$B$30&amp;";",""),IF(AND($G70&lt;Hta_11,$G70&gt;=Hba_11,Input!Y$31&lt;&gt;""),Input!$B$31&amp;";",""),IF(AND($G70&lt;Hta_12,$G70&gt;=Hba_12,Input!Y$32&lt;&gt;""),Input!$B$32&amp;";",""),IF(AND($G70&lt;Hta_13,$G70&gt;=Hba_13,Input!Y$33&lt;&gt;""),Input!$B$33&amp;";",""),IF(AND($G70&lt;Hta_14,$G70&gt;=Hba_14,Input!Y$34&lt;&gt;""),Input!$B$34&amp;";",""),IF(AND($G70&lt;Hta_15,$G70&gt;=Hba_15,Input!Y$35&lt;&gt;""),Input!$B$35&amp;";",""),IF(AND($G70&lt;Hta_16,$G70&gt;=Hba_16,Input!Y$36&lt;&gt;""),Input!$B$36&amp;";",""),IF(AND($G70&lt;Hta_17,$G70&gt;=Hba_17,Input!Y$37&lt;&gt;""),Input!$B$37&amp;";",""),IF(AND($G70&lt;Hta_18,$G70&gt;=Hba_18,Input!Y$38&lt;&gt;""),Input!$B$38&amp;";",""),IF(AND($G70&lt;Hta_19,$G70&gt;=Hba_19,Input!Y$39&lt;&gt;""),Input!$B$39&amp;";",""),IF(AND($G70&lt;Hta_20,$G70&gt;=Hba_20,Input!Y$40&lt;&gt;""),Input!$B$40&amp;";",""),IF(AND($G70&lt;Hta_21,$G70&gt;=Hba_21,Input!Y$41&lt;&gt;""),Input!$B$41&amp;";",""),IF(AND($G70&lt;Hta_22,$G70&gt;=Hba_22,Input!Y$42&lt;&gt;""),Input!$B$42&amp;";",""),IF(AND($G70&lt;Hta_23,$G70&gt;=Hba_23,Input!Y$43&lt;&gt;""),Input!$B$43&amp;";",""),IF(AND($G70&lt;Hta_24,$G70&gt;=Hba_24,Input!Y$44&lt;&gt;""),Input!$B$44&amp;";",""),IF(AND($G70&lt;Hta_25,$G70&gt;=Hba_25,Input!Y$45&lt;&gt;""),Input!$B$45&amp;";",""),IF(AND($G70&lt;Hta_26,$G70&gt;=Hba_26,Input!Y$46&lt;&gt;""),Input!$B$46&amp;";",""),IF(AND($G70&lt;Hta_27,$G70&gt;=Hba_27,Input!Y$47&lt;&gt;""),Input!$B$47&amp;";",""),IF(AND($G70&lt;Hta_28,$G70&gt;=Hba_28,Input!Y$48&lt;&gt;""),Input!$B$48&amp;";",""),IF(AND($G70&lt;Hta_29,$G70&gt;=Hba_29,Input!Y$49&lt;&gt;""),Input!$B$49&amp;";",""),IF(AND($G70&lt;Hta_30,$G70&gt;=Hba_30,Input!Y$50&lt;&gt;""),Input!$B$50&amp;";","")),"")</f>
        <v/>
      </c>
      <c r="CA70" s="25" t="str">
        <f>IFERROR(CONCATENATE(IF(AND($G70&lt;Hta_1,$G70&gt;=Hba_1,Input!Z$21&lt;&gt;""),Input!$B$21&amp;";",""),IF(AND($G70&lt;Hta_2,$G70&gt;=Hba_2,Input!Z$22&lt;&gt;""),Input!$B$22&amp;";",""),IF(AND($G70&lt;Hta_3,$G70&gt;=Hba_3,Input!Z$23&lt;&gt;""),Input!$B$23&amp;";",""),IF(AND($G70&lt;Hta_4,$G70&gt;=Hba_4,Input!Z$24&lt;&gt;""),Input!$B$24&amp;";",""),IF(AND($G70&lt;Hta_5,$G70&gt;=Hba_5,Input!Z$25&lt;&gt;""),Input!$B$25&amp;";",""),IF(AND($G70&lt;Hta_6,$G70&gt;=Hba_6,Input!Z$26&lt;&gt;""),Input!$B$26&amp;";",""),IF(AND($G70&lt;Hta_7,$G70&gt;=Hba_7,Input!Z$27&lt;&gt;""),Input!$B$27&amp;";",""),IF(AND($G70&lt;Hta_8,$G70&gt;=Hba_8,Input!Z$28&lt;&gt;""),Input!$B$28&amp;";",""),IF(AND($G70&lt;Hta_9,$G70&gt;=Hba_9,Input!Z$29&lt;&gt;""),Input!$B$29&amp;";",""),IF(AND($G70&lt;Hta_10,$G70&gt;=Hba_10,Input!Z$30&lt;&gt;""),Input!$B$30&amp;";",""),IF(AND($G70&lt;Hta_11,$G70&gt;=Hba_11,Input!Z$31&lt;&gt;""),Input!$B$31&amp;";",""),IF(AND($G70&lt;Hta_12,$G70&gt;=Hba_12,Input!Z$32&lt;&gt;""),Input!$B$32&amp;";",""),IF(AND($G70&lt;Hta_13,$G70&gt;=Hba_13,Input!Z$33&lt;&gt;""),Input!$B$33&amp;";",""),IF(AND($G70&lt;Hta_14,$G70&gt;=Hba_14,Input!Z$34&lt;&gt;""),Input!$B$34&amp;";",""),IF(AND($G70&lt;Hta_15,$G70&gt;=Hba_15,Input!Z$35&lt;&gt;""),Input!$B$35&amp;";",""),IF(AND($G70&lt;Hta_16,$G70&gt;=Hba_16,Input!Z$36&lt;&gt;""),Input!$B$36&amp;";",""),IF(AND($G70&lt;Hta_17,$G70&gt;=Hba_17,Input!Z$37&lt;&gt;""),Input!$B$37&amp;";",""),IF(AND($G70&lt;Hta_18,$G70&gt;=Hba_18,Input!Z$38&lt;&gt;""),Input!$B$38&amp;";",""),IF(AND($G70&lt;Hta_19,$G70&gt;=Hba_19,Input!Z$39&lt;&gt;""),Input!$B$39&amp;";",""),IF(AND($G70&lt;Hta_20,$G70&gt;=Hba_20,Input!Z$40&lt;&gt;""),Input!$B$40&amp;";",""),IF(AND($G70&lt;Hta_21,$G70&gt;=Hba_21,Input!Z$41&lt;&gt;""),Input!$B$41&amp;";",""),IF(AND($G70&lt;Hta_22,$G70&gt;=Hba_22,Input!Z$42&lt;&gt;""),Input!$B$42&amp;";",""),IF(AND($G70&lt;Hta_23,$G70&gt;=Hba_23,Input!Z$43&lt;&gt;""),Input!$B$43&amp;";",""),IF(AND($G70&lt;Hta_24,$G70&gt;=Hba_24,Input!Z$44&lt;&gt;""),Input!$B$44&amp;";",""),IF(AND($G70&lt;Hta_25,$G70&gt;=Hba_25,Input!Z$45&lt;&gt;""),Input!$B$45&amp;";",""),IF(AND($G70&lt;Hta_26,$G70&gt;=Hba_26,Input!Z$46&lt;&gt;""),Input!$B$46&amp;";",""),IF(AND($G70&lt;Hta_27,$G70&gt;=Hba_27,Input!Z$47&lt;&gt;""),Input!$B$47&amp;";",""),IF(AND($G70&lt;Hta_28,$G70&gt;=Hba_28,Input!Z$48&lt;&gt;""),Input!$B$48&amp;";",""),IF(AND($G70&lt;Hta_29,$G70&gt;=Hba_29,Input!Z$49&lt;&gt;""),Input!$B$49&amp;";",""),IF(AND($G70&lt;Hta_30,$G70&gt;=Hba_30,Input!Z$50&lt;&gt;""),Input!$B$50&amp;";","")),"")</f>
        <v/>
      </c>
      <c r="CB70" s="25" t="str">
        <f>IFERROR(CONCATENATE(IF(AND($G70&lt;Hta_1,$G70&gt;=Hba_1,Input!AA$21&lt;&gt;""),Input!$B$21&amp;";",""),IF(AND($G70&lt;Hta_2,$G70&gt;=Hba_2,Input!AA$22&lt;&gt;""),Input!$B$22&amp;";",""),IF(AND($G70&lt;Hta_3,$G70&gt;=Hba_3,Input!AA$23&lt;&gt;""),Input!$B$23&amp;";",""),IF(AND($G70&lt;Hta_4,$G70&gt;=Hba_4,Input!AA$24&lt;&gt;""),Input!$B$24&amp;";",""),IF(AND($G70&lt;Hta_5,$G70&gt;=Hba_5,Input!AA$25&lt;&gt;""),Input!$B$25&amp;";",""),IF(AND($G70&lt;Hta_6,$G70&gt;=Hba_6,Input!AA$26&lt;&gt;""),Input!$B$26&amp;";",""),IF(AND($G70&lt;Hta_7,$G70&gt;=Hba_7,Input!AA$27&lt;&gt;""),Input!$B$27&amp;";",""),IF(AND($G70&lt;Hta_8,$G70&gt;=Hba_8,Input!AA$28&lt;&gt;""),Input!$B$28&amp;";",""),IF(AND($G70&lt;Hta_9,$G70&gt;=Hba_9,Input!AA$29&lt;&gt;""),Input!$B$29&amp;";",""),IF(AND($G70&lt;Hta_10,$G70&gt;=Hba_10,Input!AA$30&lt;&gt;""),Input!$B$30&amp;";",""),IF(AND($G70&lt;Hta_11,$G70&gt;=Hba_11,Input!AA$31&lt;&gt;""),Input!$B$31&amp;";",""),IF(AND($G70&lt;Hta_12,$G70&gt;=Hba_12,Input!AA$32&lt;&gt;""),Input!$B$32&amp;";",""),IF(AND($G70&lt;Hta_13,$G70&gt;=Hba_13,Input!AA$33&lt;&gt;""),Input!$B$33&amp;";",""),IF(AND($G70&lt;Hta_14,$G70&gt;=Hba_14,Input!AA$34&lt;&gt;""),Input!$B$34&amp;";",""),IF(AND($G70&lt;Hta_15,$G70&gt;=Hba_15,Input!AA$35&lt;&gt;""),Input!$B$35&amp;";",""),IF(AND($G70&lt;Hta_16,$G70&gt;=Hba_16,Input!AA$36&lt;&gt;""),Input!$B$36&amp;";",""),IF(AND($G70&lt;Hta_17,$G70&gt;=Hba_17,Input!AA$37&lt;&gt;""),Input!$B$37&amp;";",""),IF(AND($G70&lt;Hta_18,$G70&gt;=Hba_18,Input!AA$38&lt;&gt;""),Input!$B$38&amp;";",""),IF(AND($G70&lt;Hta_19,$G70&gt;=Hba_19,Input!AA$39&lt;&gt;""),Input!$B$39&amp;";",""),IF(AND($G70&lt;Hta_20,$G70&gt;=Hba_20,Input!AA$40&lt;&gt;""),Input!$B$40&amp;";",""),IF(AND($G70&lt;Hta_21,$G70&gt;=Hba_21,Input!AA$41&lt;&gt;""),Input!$B$41&amp;";",""),IF(AND($G70&lt;Hta_22,$G70&gt;=Hba_22,Input!AA$42&lt;&gt;""),Input!$B$42&amp;";",""),IF(AND($G70&lt;Hta_23,$G70&gt;=Hba_23,Input!AA$43&lt;&gt;""),Input!$B$43&amp;";",""),IF(AND($G70&lt;Hta_24,$G70&gt;=Hba_24,Input!AA$44&lt;&gt;""),Input!$B$44&amp;";",""),IF(AND($G70&lt;Hta_25,$G70&gt;=Hba_25,Input!AA$45&lt;&gt;""),Input!$B$45&amp;";",""),IF(AND($G70&lt;Hta_26,$G70&gt;=Hba_26,Input!AA$46&lt;&gt;""),Input!$B$46&amp;";",""),IF(AND($G70&lt;Hta_27,$G70&gt;=Hba_27,Input!AA$47&lt;&gt;""),Input!$B$47&amp;";",""),IF(AND($G70&lt;Hta_28,$G70&gt;=Hba_28,Input!AA$48&lt;&gt;""),Input!$B$48&amp;";",""),IF(AND($G70&lt;Hta_29,$G70&gt;=Hba_29,Input!AA$49&lt;&gt;""),Input!$B$49&amp;";",""),IF(AND($G70&lt;Hta_30,$G70&gt;=Hba_30,Input!AA$50&lt;&gt;""),Input!$B$50&amp;";","")),"")</f>
        <v/>
      </c>
      <c r="CC70" s="25" t="str">
        <f>IFERROR(CONCATENATE(IF(AND($G70&lt;Hta_1,$G70&gt;=Hba_1,Input!AB$21&lt;&gt;""),Input!$B$21&amp;";",""),IF(AND($G70&lt;Hta_2,$G70&gt;=Hba_2,Input!AB$22&lt;&gt;""),Input!$B$22&amp;";",""),IF(AND($G70&lt;Hta_3,$G70&gt;=Hba_3,Input!AB$23&lt;&gt;""),Input!$B$23&amp;";",""),IF(AND($G70&lt;Hta_4,$G70&gt;=Hba_4,Input!AB$24&lt;&gt;""),Input!$B$24&amp;";",""),IF(AND($G70&lt;Hta_5,$G70&gt;=Hba_5,Input!AB$25&lt;&gt;""),Input!$B$25&amp;";",""),IF(AND($G70&lt;Hta_6,$G70&gt;=Hba_6,Input!AB$26&lt;&gt;""),Input!$B$26&amp;";",""),IF(AND($G70&lt;Hta_7,$G70&gt;=Hba_7,Input!AB$27&lt;&gt;""),Input!$B$27&amp;";",""),IF(AND($G70&lt;Hta_8,$G70&gt;=Hba_8,Input!AB$28&lt;&gt;""),Input!$B$28&amp;";",""),IF(AND($G70&lt;Hta_9,$G70&gt;=Hba_9,Input!AB$29&lt;&gt;""),Input!$B$29&amp;";",""),IF(AND($G70&lt;Hta_10,$G70&gt;=Hba_10,Input!AB$30&lt;&gt;""),Input!$B$30&amp;";",""),IF(AND($G70&lt;Hta_11,$G70&gt;=Hba_11,Input!AB$31&lt;&gt;""),Input!$B$31&amp;";",""),IF(AND($G70&lt;Hta_12,$G70&gt;=Hba_12,Input!AB$32&lt;&gt;""),Input!$B$32&amp;";",""),IF(AND($G70&lt;Hta_13,$G70&gt;=Hba_13,Input!AB$33&lt;&gt;""),Input!$B$33&amp;";",""),IF(AND($G70&lt;Hta_14,$G70&gt;=Hba_14,Input!AB$34&lt;&gt;""),Input!$B$34&amp;";",""),IF(AND($G70&lt;Hta_15,$G70&gt;=Hba_15,Input!AB$35&lt;&gt;""),Input!$B$35&amp;";",""),IF(AND($G70&lt;Hta_16,$G70&gt;=Hba_16,Input!AB$36&lt;&gt;""),Input!$B$36&amp;";",""),IF(AND($G70&lt;Hta_17,$G70&gt;=Hba_17,Input!AB$37&lt;&gt;""),Input!$B$37&amp;";",""),IF(AND($G70&lt;Hta_18,$G70&gt;=Hba_18,Input!AB$38&lt;&gt;""),Input!$B$38&amp;";",""),IF(AND($G70&lt;Hta_19,$G70&gt;=Hba_19,Input!AB$39&lt;&gt;""),Input!$B$39&amp;";",""),IF(AND($G70&lt;Hta_20,$G70&gt;=Hba_20,Input!AB$40&lt;&gt;""),Input!$B$40&amp;";",""),IF(AND($G70&lt;Hta_21,$G70&gt;=Hba_21,Input!AB$41&lt;&gt;""),Input!$B$41&amp;";",""),IF(AND($G70&lt;Hta_22,$G70&gt;=Hba_22,Input!AB$42&lt;&gt;""),Input!$B$42&amp;";",""),IF(AND($G70&lt;Hta_23,$G70&gt;=Hba_23,Input!AB$43&lt;&gt;""),Input!$B$43&amp;";",""),IF(AND($G70&lt;Hta_24,$G70&gt;=Hba_24,Input!AB$44&lt;&gt;""),Input!$B$44&amp;";",""),IF(AND($G70&lt;Hta_25,$G70&gt;=Hba_25,Input!AB$45&lt;&gt;""),Input!$B$45&amp;";",""),IF(AND($G70&lt;Hta_26,$G70&gt;=Hba_26,Input!AB$46&lt;&gt;""),Input!$B$46&amp;";",""),IF(AND($G70&lt;Hta_27,$G70&gt;=Hba_27,Input!AB$47&lt;&gt;""),Input!$B$47&amp;";",""),IF(AND($G70&lt;Hta_28,$G70&gt;=Hba_28,Input!AB$48&lt;&gt;""),Input!$B$48&amp;";",""),IF(AND($G70&lt;Hta_29,$G70&gt;=Hba_29,Input!AB$49&lt;&gt;""),Input!$B$49&amp;";",""),IF(AND($G70&lt;Hta_30,$G70&gt;=Hba_30,Input!AB$50&lt;&gt;""),Input!$B$50&amp;";","")),"")</f>
        <v/>
      </c>
      <c r="CD70" s="25" t="str">
        <f>IFERROR(CONCATENATE(IF(AND($G70&lt;Hta_1,$G70&gt;=Hba_1,Input!AC$21&lt;&gt;""),Input!$B$21&amp;";",""),IF(AND($G70&lt;Hta_2,$G70&gt;=Hba_2,Input!AC$22&lt;&gt;""),Input!$B$22&amp;";",""),IF(AND($G70&lt;Hta_3,$G70&gt;=Hba_3,Input!AC$23&lt;&gt;""),Input!$B$23&amp;";",""),IF(AND($G70&lt;Hta_4,$G70&gt;=Hba_4,Input!AC$24&lt;&gt;""),Input!$B$24&amp;";",""),IF(AND($G70&lt;Hta_5,$G70&gt;=Hba_5,Input!AC$25&lt;&gt;""),Input!$B$25&amp;";",""),IF(AND($G70&lt;Hta_6,$G70&gt;=Hba_6,Input!AC$26&lt;&gt;""),Input!$B$26&amp;";",""),IF(AND($G70&lt;Hta_7,$G70&gt;=Hba_7,Input!AC$27&lt;&gt;""),Input!$B$27&amp;";",""),IF(AND($G70&lt;Hta_8,$G70&gt;=Hba_8,Input!AC$28&lt;&gt;""),Input!$B$28&amp;";",""),IF(AND($G70&lt;Hta_9,$G70&gt;=Hba_9,Input!AC$29&lt;&gt;""),Input!$B$29&amp;";",""),IF(AND($G70&lt;Hta_10,$G70&gt;=Hba_10,Input!AC$30&lt;&gt;""),Input!$B$30&amp;";",""),IF(AND($G70&lt;Hta_11,$G70&gt;=Hba_11,Input!AC$31&lt;&gt;""),Input!$B$31&amp;";",""),IF(AND($G70&lt;Hta_12,$G70&gt;=Hba_12,Input!AC$32&lt;&gt;""),Input!$B$32&amp;";",""),IF(AND($G70&lt;Hta_13,$G70&gt;=Hba_13,Input!AC$33&lt;&gt;""),Input!$B$33&amp;";",""),IF(AND($G70&lt;Hta_14,$G70&gt;=Hba_14,Input!AC$34&lt;&gt;""),Input!$B$34&amp;";",""),IF(AND($G70&lt;Hta_15,$G70&gt;=Hba_15,Input!AC$35&lt;&gt;""),Input!$B$35&amp;";",""),IF(AND($G70&lt;Hta_16,$G70&gt;=Hba_16,Input!AC$36&lt;&gt;""),Input!$B$36&amp;";",""),IF(AND($G70&lt;Hta_17,$G70&gt;=Hba_17,Input!AC$37&lt;&gt;""),Input!$B$37&amp;";",""),IF(AND($G70&lt;Hta_18,$G70&gt;=Hba_18,Input!AC$38&lt;&gt;""),Input!$B$38&amp;";",""),IF(AND($G70&lt;Hta_19,$G70&gt;=Hba_19,Input!AC$39&lt;&gt;""),Input!$B$39&amp;";",""),IF(AND($G70&lt;Hta_20,$G70&gt;=Hba_20,Input!AC$40&lt;&gt;""),Input!$B$40&amp;";",""),IF(AND($G70&lt;Hta_21,$G70&gt;=Hba_21,Input!AC$41&lt;&gt;""),Input!$B$41&amp;";",""),IF(AND($G70&lt;Hta_22,$G70&gt;=Hba_22,Input!AC$42&lt;&gt;""),Input!$B$42&amp;";",""),IF(AND($G70&lt;Hta_23,$G70&gt;=Hba_23,Input!AC$43&lt;&gt;""),Input!$B$43&amp;";",""),IF(AND($G70&lt;Hta_24,$G70&gt;=Hba_24,Input!AC$44&lt;&gt;""),Input!$B$44&amp;";",""),IF(AND($G70&lt;Hta_25,$G70&gt;=Hba_25,Input!AC$45&lt;&gt;""),Input!$B$45&amp;";",""),IF(AND($G70&lt;Hta_26,$G70&gt;=Hba_26,Input!AC$46&lt;&gt;""),Input!$B$46&amp;";",""),IF(AND($G70&lt;Hta_27,$G70&gt;=Hba_27,Input!AC$47&lt;&gt;""),Input!$B$47&amp;";",""),IF(AND($G70&lt;Hta_28,$G70&gt;=Hba_28,Input!AC$48&lt;&gt;""),Input!$B$48&amp;";",""),IF(AND($G70&lt;Hta_29,$G70&gt;=Hba_29,Input!AC$49&lt;&gt;""),Input!$B$49&amp;";",""),IF(AND($G70&lt;Hta_30,$G70&gt;=Hba_30,Input!AC$50&lt;&gt;""),Input!$B$50&amp;";","")),"")</f>
        <v/>
      </c>
      <c r="CE70" s="25" t="str">
        <f>IFERROR(CONCATENATE(IF(AND($G70&lt;Hta_1,$G70&gt;=Hba_1,Input!AD$21&lt;&gt;""),Input!$B$21&amp;";",""),IF(AND($G70&lt;Hta_2,$G70&gt;=Hba_2,Input!AD$22&lt;&gt;""),Input!$B$22&amp;";",""),IF(AND($G70&lt;Hta_3,$G70&gt;=Hba_3,Input!AD$23&lt;&gt;""),Input!$B$23&amp;";",""),IF(AND($G70&lt;Hta_4,$G70&gt;=Hba_4,Input!AD$24&lt;&gt;""),Input!$B$24&amp;";",""),IF(AND($G70&lt;Hta_5,$G70&gt;=Hba_5,Input!AD$25&lt;&gt;""),Input!$B$25&amp;";",""),IF(AND($G70&lt;Hta_6,$G70&gt;=Hba_6,Input!AD$26&lt;&gt;""),Input!$B$26&amp;";",""),IF(AND($G70&lt;Hta_7,$G70&gt;=Hba_7,Input!AD$27&lt;&gt;""),Input!$B$27&amp;";",""),IF(AND($G70&lt;Hta_8,$G70&gt;=Hba_8,Input!AD$28&lt;&gt;""),Input!$B$28&amp;";",""),IF(AND($G70&lt;Hta_9,$G70&gt;=Hba_9,Input!AD$29&lt;&gt;""),Input!$B$29&amp;";",""),IF(AND($G70&lt;Hta_10,$G70&gt;=Hba_10,Input!AD$30&lt;&gt;""),Input!$B$30&amp;";",""),IF(AND($G70&lt;Hta_11,$G70&gt;=Hba_11,Input!AD$31&lt;&gt;""),Input!$B$31&amp;";",""),IF(AND($G70&lt;Hta_12,$G70&gt;=Hba_12,Input!AD$32&lt;&gt;""),Input!$B$32&amp;";",""),IF(AND($G70&lt;Hta_13,$G70&gt;=Hba_13,Input!AD$33&lt;&gt;""),Input!$B$33&amp;";",""),IF(AND($G70&lt;Hta_14,$G70&gt;=Hba_14,Input!AD$34&lt;&gt;""),Input!$B$34&amp;";",""),IF(AND($G70&lt;Hta_15,$G70&gt;=Hba_15,Input!AD$35&lt;&gt;""),Input!$B$35&amp;";",""),IF(AND($G70&lt;Hta_16,$G70&gt;=Hba_16,Input!AD$36&lt;&gt;""),Input!$B$36&amp;";",""),IF(AND($G70&lt;Hta_17,$G70&gt;=Hba_17,Input!AD$37&lt;&gt;""),Input!$B$37&amp;";",""),IF(AND($G70&lt;Hta_18,$G70&gt;=Hba_18,Input!AD$38&lt;&gt;""),Input!$B$38&amp;";",""),IF(AND($G70&lt;Hta_19,$G70&gt;=Hba_19,Input!AD$39&lt;&gt;""),Input!$B$39&amp;";",""),IF(AND($G70&lt;Hta_20,$G70&gt;=Hba_20,Input!AD$40&lt;&gt;""),Input!$B$40&amp;";",""),IF(AND($G70&lt;Hta_21,$G70&gt;=Hba_21,Input!AD$41&lt;&gt;""),Input!$B$41&amp;";",""),IF(AND($G70&lt;Hta_22,$G70&gt;=Hba_22,Input!AD$42&lt;&gt;""),Input!$B$42&amp;";",""),IF(AND($G70&lt;Hta_23,$G70&gt;=Hba_23,Input!AD$43&lt;&gt;""),Input!$B$43&amp;";",""),IF(AND($G70&lt;Hta_24,$G70&gt;=Hba_24,Input!AD$44&lt;&gt;""),Input!$B$44&amp;";",""),IF(AND($G70&lt;Hta_25,$G70&gt;=Hba_25,Input!AD$45&lt;&gt;""),Input!$B$45&amp;";",""),IF(AND($G70&lt;Hta_26,$G70&gt;=Hba_26,Input!AD$46&lt;&gt;""),Input!$B$46&amp;";",""),IF(AND($G70&lt;Hta_27,$G70&gt;=Hba_27,Input!AD$47&lt;&gt;""),Input!$B$47&amp;";",""),IF(AND($G70&lt;Hta_28,$G70&gt;=Hba_28,Input!AD$48&lt;&gt;""),Input!$B$48&amp;";",""),IF(AND($G70&lt;Hta_29,$G70&gt;=Hba_29,Input!AD$49&lt;&gt;""),Input!$B$49&amp;";",""),IF(AND($G70&lt;Hta_30,$G70&gt;=Hba_30,Input!AD$50&lt;&gt;""),Input!$B$50&amp;";","")),"")</f>
        <v/>
      </c>
      <c r="CF70" s="25" t="str">
        <f>IFERROR(CONCATENATE(IF(AND($G70&lt;Hta_1,$G70&gt;=Hba_1,Input!AE$21&lt;&gt;""),Input!$B$21&amp;";",""),IF(AND($G70&lt;Hta_2,$G70&gt;=Hba_2,Input!AE$22&lt;&gt;""),Input!$B$22&amp;";",""),IF(AND($G70&lt;Hta_3,$G70&gt;=Hba_3,Input!AE$23&lt;&gt;""),Input!$B$23&amp;";",""),IF(AND($G70&lt;Hta_4,$G70&gt;=Hba_4,Input!AE$24&lt;&gt;""),Input!$B$24&amp;";",""),IF(AND($G70&lt;Hta_5,$G70&gt;=Hba_5,Input!AE$25&lt;&gt;""),Input!$B$25&amp;";",""),IF(AND($G70&lt;Hta_6,$G70&gt;=Hba_6,Input!AE$26&lt;&gt;""),Input!$B$26&amp;";",""),IF(AND($G70&lt;Hta_7,$G70&gt;=Hba_7,Input!AE$27&lt;&gt;""),Input!$B$27&amp;";",""),IF(AND($G70&lt;Hta_8,$G70&gt;=Hba_8,Input!AE$28&lt;&gt;""),Input!$B$28&amp;";",""),IF(AND($G70&lt;Hta_9,$G70&gt;=Hba_9,Input!AE$29&lt;&gt;""),Input!$B$29&amp;";",""),IF(AND($G70&lt;Hta_10,$G70&gt;=Hba_10,Input!AE$30&lt;&gt;""),Input!$B$30&amp;";",""),IF(AND($G70&lt;Hta_11,$G70&gt;=Hba_11,Input!AE$31&lt;&gt;""),Input!$B$31&amp;";",""),IF(AND($G70&lt;Hta_12,$G70&gt;=Hba_12,Input!AE$32&lt;&gt;""),Input!$B$32&amp;";",""),IF(AND($G70&lt;Hta_13,$G70&gt;=Hba_13,Input!AE$33&lt;&gt;""),Input!$B$33&amp;";",""),IF(AND($G70&lt;Hta_14,$G70&gt;=Hba_14,Input!AE$34&lt;&gt;""),Input!$B$34&amp;";",""),IF(AND($G70&lt;Hta_15,$G70&gt;=Hba_15,Input!AE$35&lt;&gt;""),Input!$B$35&amp;";",""),IF(AND($G70&lt;Hta_16,$G70&gt;=Hba_16,Input!AE$36&lt;&gt;""),Input!$B$36&amp;";",""),IF(AND($G70&lt;Hta_17,$G70&gt;=Hba_17,Input!AE$37&lt;&gt;""),Input!$B$37&amp;";",""),IF(AND($G70&lt;Hta_18,$G70&gt;=Hba_18,Input!AE$38&lt;&gt;""),Input!$B$38&amp;";",""),IF(AND($G70&lt;Hta_19,$G70&gt;=Hba_19,Input!AE$39&lt;&gt;""),Input!$B$39&amp;";",""),IF(AND($G70&lt;Hta_20,$G70&gt;=Hba_20,Input!AE$40&lt;&gt;""),Input!$B$40&amp;";",""),IF(AND($G70&lt;Hta_21,$G70&gt;=Hba_21,Input!AE$41&lt;&gt;""),Input!$B$41&amp;";",""),IF(AND($G70&lt;Hta_22,$G70&gt;=Hba_22,Input!AE$42&lt;&gt;""),Input!$B$42&amp;";",""),IF(AND($G70&lt;Hta_23,$G70&gt;=Hba_23,Input!AE$43&lt;&gt;""),Input!$B$43&amp;";",""),IF(AND($G70&lt;Hta_24,$G70&gt;=Hba_24,Input!AE$44&lt;&gt;""),Input!$B$44&amp;";",""),IF(AND($G70&lt;Hta_25,$G70&gt;=Hba_25,Input!AE$45&lt;&gt;""),Input!$B$45&amp;";",""),IF(AND($G70&lt;Hta_26,$G70&gt;=Hba_26,Input!AE$46&lt;&gt;""),Input!$B$46&amp;";",""),IF(AND($G70&lt;Hta_27,$G70&gt;=Hba_27,Input!AE$47&lt;&gt;""),Input!$B$47&amp;";",""),IF(AND($G70&lt;Hta_28,$G70&gt;=Hba_28,Input!AE$48&lt;&gt;""),Input!$B$48&amp;";",""),IF(AND($G70&lt;Hta_29,$G70&gt;=Hba_29,Input!AE$49&lt;&gt;""),Input!$B$49&amp;";",""),IF(AND($G70&lt;Hta_30,$G70&gt;=Hba_30,Input!AE$50&lt;&gt;""),Input!$B$50&amp;";","")),"")</f>
        <v/>
      </c>
      <c r="CG70" s="25" t="str">
        <f>IFERROR(CONCATENATE(IF(AND($G70&lt;Hta_1,$G70&gt;=Hba_1,Input!AF$21&lt;&gt;""),Input!$B$21&amp;";",""),IF(AND($G70&lt;Hta_2,$G70&gt;=Hba_2,Input!AF$22&lt;&gt;""),Input!$B$22&amp;";",""),IF(AND($G70&lt;Hta_3,$G70&gt;=Hba_3,Input!AF$23&lt;&gt;""),Input!$B$23&amp;";",""),IF(AND($G70&lt;Hta_4,$G70&gt;=Hba_4,Input!AF$24&lt;&gt;""),Input!$B$24&amp;";",""),IF(AND($G70&lt;Hta_5,$G70&gt;=Hba_5,Input!AF$25&lt;&gt;""),Input!$B$25&amp;";",""),IF(AND($G70&lt;Hta_6,$G70&gt;=Hba_6,Input!AF$26&lt;&gt;""),Input!$B$26&amp;";",""),IF(AND($G70&lt;Hta_7,$G70&gt;=Hba_7,Input!AF$27&lt;&gt;""),Input!$B$27&amp;";",""),IF(AND($G70&lt;Hta_8,$G70&gt;=Hba_8,Input!AF$28&lt;&gt;""),Input!$B$28&amp;";",""),IF(AND($G70&lt;Hta_9,$G70&gt;=Hba_9,Input!AF$29&lt;&gt;""),Input!$B$29&amp;";",""),IF(AND($G70&lt;Hta_10,$G70&gt;=Hba_10,Input!AF$30&lt;&gt;""),Input!$B$30&amp;";",""),IF(AND($G70&lt;Hta_11,$G70&gt;=Hba_11,Input!AF$31&lt;&gt;""),Input!$B$31&amp;";",""),IF(AND($G70&lt;Hta_12,$G70&gt;=Hba_12,Input!AF$32&lt;&gt;""),Input!$B$32&amp;";",""),IF(AND($G70&lt;Hta_13,$G70&gt;=Hba_13,Input!AF$33&lt;&gt;""),Input!$B$33&amp;";",""),IF(AND($G70&lt;Hta_14,$G70&gt;=Hba_14,Input!AF$34&lt;&gt;""),Input!$B$34&amp;";",""),IF(AND($G70&lt;Hta_15,$G70&gt;=Hba_15,Input!AF$35&lt;&gt;""),Input!$B$35&amp;";",""),IF(AND($G70&lt;Hta_16,$G70&gt;=Hba_16,Input!AF$36&lt;&gt;""),Input!$B$36&amp;";",""),IF(AND($G70&lt;Hta_17,$G70&gt;=Hba_17,Input!AF$37&lt;&gt;""),Input!$B$37&amp;";",""),IF(AND($G70&lt;Hta_18,$G70&gt;=Hba_18,Input!AF$38&lt;&gt;""),Input!$B$38&amp;";",""),IF(AND($G70&lt;Hta_19,$G70&gt;=Hba_19,Input!AF$39&lt;&gt;""),Input!$B$39&amp;";",""),IF(AND($G70&lt;Hta_20,$G70&gt;=Hba_20,Input!AF$40&lt;&gt;""),Input!$B$40&amp;";",""),IF(AND($G70&lt;Hta_21,$G70&gt;=Hba_21,Input!AF$41&lt;&gt;""),Input!$B$41&amp;";",""),IF(AND($G70&lt;Hta_22,$G70&gt;=Hba_22,Input!AF$42&lt;&gt;""),Input!$B$42&amp;";",""),IF(AND($G70&lt;Hta_23,$G70&gt;=Hba_23,Input!AF$43&lt;&gt;""),Input!$B$43&amp;";",""),IF(AND($G70&lt;Hta_24,$G70&gt;=Hba_24,Input!AF$44&lt;&gt;""),Input!$B$44&amp;";",""),IF(AND($G70&lt;Hta_25,$G70&gt;=Hba_25,Input!AF$45&lt;&gt;""),Input!$B$45&amp;";",""),IF(AND($G70&lt;Hta_26,$G70&gt;=Hba_26,Input!AF$46&lt;&gt;""),Input!$B$46&amp;";",""),IF(AND($G70&lt;Hta_27,$G70&gt;=Hba_27,Input!AF$47&lt;&gt;""),Input!$B$47&amp;";",""),IF(AND($G70&lt;Hta_28,$G70&gt;=Hba_28,Input!AF$48&lt;&gt;""),Input!$B$48&amp;";",""),IF(AND($G70&lt;Hta_29,$G70&gt;=Hba_29,Input!AF$49&lt;&gt;""),Input!$B$49&amp;";",""),IF(AND($G70&lt;Hta_30,$G70&gt;=Hba_30,Input!AF$50&lt;&gt;""),Input!$B$50&amp;";","")),"")</f>
        <v/>
      </c>
      <c r="CH70" s="25" t="str">
        <f>IFERROR(CONCATENATE(IF(AND($G70&lt;Hta_1,$G70&gt;=Hba_1,Input!AG$21&lt;&gt;""),Input!$B$21&amp;";",""),IF(AND($G70&lt;Hta_2,$G70&gt;=Hba_2,Input!AG$22&lt;&gt;""),Input!$B$22&amp;";",""),IF(AND($G70&lt;Hta_3,$G70&gt;=Hba_3,Input!AG$23&lt;&gt;""),Input!$B$23&amp;";",""),IF(AND($G70&lt;Hta_4,$G70&gt;=Hba_4,Input!AG$24&lt;&gt;""),Input!$B$24&amp;";",""),IF(AND($G70&lt;Hta_5,$G70&gt;=Hba_5,Input!AG$25&lt;&gt;""),Input!$B$25&amp;";",""),IF(AND($G70&lt;Hta_6,$G70&gt;=Hba_6,Input!AG$26&lt;&gt;""),Input!$B$26&amp;";",""),IF(AND($G70&lt;Hta_7,$G70&gt;=Hba_7,Input!AG$27&lt;&gt;""),Input!$B$27&amp;";",""),IF(AND($G70&lt;Hta_8,$G70&gt;=Hba_8,Input!AG$28&lt;&gt;""),Input!$B$28&amp;";",""),IF(AND($G70&lt;Hta_9,$G70&gt;=Hba_9,Input!AG$29&lt;&gt;""),Input!$B$29&amp;";",""),IF(AND($G70&lt;Hta_10,$G70&gt;=Hba_10,Input!AG$30&lt;&gt;""),Input!$B$30&amp;";",""),IF(AND($G70&lt;Hta_11,$G70&gt;=Hba_11,Input!AG$31&lt;&gt;""),Input!$B$31&amp;";",""),IF(AND($G70&lt;Hta_12,$G70&gt;=Hba_12,Input!AG$32&lt;&gt;""),Input!$B$32&amp;";",""),IF(AND($G70&lt;Hta_13,$G70&gt;=Hba_13,Input!AG$33&lt;&gt;""),Input!$B$33&amp;";",""),IF(AND($G70&lt;Hta_14,$G70&gt;=Hba_14,Input!AG$34&lt;&gt;""),Input!$B$34&amp;";",""),IF(AND($G70&lt;Hta_15,$G70&gt;=Hba_15,Input!AG$35&lt;&gt;""),Input!$B$35&amp;";",""),IF(AND($G70&lt;Hta_16,$G70&gt;=Hba_16,Input!AG$36&lt;&gt;""),Input!$B$36&amp;";",""),IF(AND($G70&lt;Hta_17,$G70&gt;=Hba_17,Input!AG$37&lt;&gt;""),Input!$B$37&amp;";",""),IF(AND($G70&lt;Hta_18,$G70&gt;=Hba_18,Input!AG$38&lt;&gt;""),Input!$B$38&amp;";",""),IF(AND($G70&lt;Hta_19,$G70&gt;=Hba_19,Input!AG$39&lt;&gt;""),Input!$B$39&amp;";",""),IF(AND($G70&lt;Hta_20,$G70&gt;=Hba_20,Input!AG$40&lt;&gt;""),Input!$B$40&amp;";",""),IF(AND($G70&lt;Hta_21,$G70&gt;=Hba_21,Input!AG$41&lt;&gt;""),Input!$B$41&amp;";",""),IF(AND($G70&lt;Hta_22,$G70&gt;=Hba_22,Input!AG$42&lt;&gt;""),Input!$B$42&amp;";",""),IF(AND($G70&lt;Hta_23,$G70&gt;=Hba_23,Input!AG$43&lt;&gt;""),Input!$B$43&amp;";",""),IF(AND($G70&lt;Hta_24,$G70&gt;=Hba_24,Input!AG$44&lt;&gt;""),Input!$B$44&amp;";",""),IF(AND($G70&lt;Hta_25,$G70&gt;=Hba_25,Input!AG$45&lt;&gt;""),Input!$B$45&amp;";",""),IF(AND($G70&lt;Hta_26,$G70&gt;=Hba_26,Input!AG$46&lt;&gt;""),Input!$B$46&amp;";",""),IF(AND($G70&lt;Hta_27,$G70&gt;=Hba_27,Input!AG$47&lt;&gt;""),Input!$B$47&amp;";",""),IF(AND($G70&lt;Hta_28,$G70&gt;=Hba_28,Input!AG$48&lt;&gt;""),Input!$B$48&amp;";",""),IF(AND($G70&lt;Hta_29,$G70&gt;=Hba_29,Input!AG$49&lt;&gt;""),Input!$B$49&amp;";",""),IF(AND($G70&lt;Hta_30,$G70&gt;=Hba_30,Input!AG$50&lt;&gt;""),Input!$B$50&amp;";","")),"")</f>
        <v/>
      </c>
      <c r="CI70" s="25" t="str">
        <f>IFERROR(CONCATENATE(IF(AND($G70&lt;Hta_1,$G70&gt;=Hba_1,Input!AH$21&lt;&gt;""),Input!$B$21&amp;";",""),IF(AND($G70&lt;Hta_2,$G70&gt;=Hba_2,Input!AH$22&lt;&gt;""),Input!$B$22&amp;";",""),IF(AND($G70&lt;Hta_3,$G70&gt;=Hba_3,Input!AH$23&lt;&gt;""),Input!$B$23&amp;";",""),IF(AND($G70&lt;Hta_4,$G70&gt;=Hba_4,Input!AH$24&lt;&gt;""),Input!$B$24&amp;";",""),IF(AND($G70&lt;Hta_5,$G70&gt;=Hba_5,Input!AH$25&lt;&gt;""),Input!$B$25&amp;";",""),IF(AND($G70&lt;Hta_6,$G70&gt;=Hba_6,Input!AH$26&lt;&gt;""),Input!$B$26&amp;";",""),IF(AND($G70&lt;Hta_7,$G70&gt;=Hba_7,Input!AH$27&lt;&gt;""),Input!$B$27&amp;";",""),IF(AND($G70&lt;Hta_8,$G70&gt;=Hba_8,Input!AH$28&lt;&gt;""),Input!$B$28&amp;";",""),IF(AND($G70&lt;Hta_9,$G70&gt;=Hba_9,Input!AH$29&lt;&gt;""),Input!$B$29&amp;";",""),IF(AND($G70&lt;Hta_10,$G70&gt;=Hba_10,Input!AH$30&lt;&gt;""),Input!$B$30&amp;";",""),IF(AND($G70&lt;Hta_11,$G70&gt;=Hba_11,Input!AH$31&lt;&gt;""),Input!$B$31&amp;";",""),IF(AND($G70&lt;Hta_12,$G70&gt;=Hba_12,Input!AH$32&lt;&gt;""),Input!$B$32&amp;";",""),IF(AND($G70&lt;Hta_13,$G70&gt;=Hba_13,Input!AH$33&lt;&gt;""),Input!$B$33&amp;";",""),IF(AND($G70&lt;Hta_14,$G70&gt;=Hba_14,Input!AH$34&lt;&gt;""),Input!$B$34&amp;";",""),IF(AND($G70&lt;Hta_15,$G70&gt;=Hba_15,Input!AH$35&lt;&gt;""),Input!$B$35&amp;";",""),IF(AND($G70&lt;Hta_16,$G70&gt;=Hba_16,Input!AH$36&lt;&gt;""),Input!$B$36&amp;";",""),IF(AND($G70&lt;Hta_17,$G70&gt;=Hba_17,Input!AH$37&lt;&gt;""),Input!$B$37&amp;";",""),IF(AND($G70&lt;Hta_18,$G70&gt;=Hba_18,Input!AH$38&lt;&gt;""),Input!$B$38&amp;";",""),IF(AND($G70&lt;Hta_19,$G70&gt;=Hba_19,Input!AH$39&lt;&gt;""),Input!$B$39&amp;";",""),IF(AND($G70&lt;Hta_20,$G70&gt;=Hba_20,Input!AH$40&lt;&gt;""),Input!$B$40&amp;";",""),IF(AND($G70&lt;Hta_21,$G70&gt;=Hba_21,Input!AH$41&lt;&gt;""),Input!$B$41&amp;";",""),IF(AND($G70&lt;Hta_22,$G70&gt;=Hba_22,Input!AH$42&lt;&gt;""),Input!$B$42&amp;";",""),IF(AND($G70&lt;Hta_23,$G70&gt;=Hba_23,Input!AH$43&lt;&gt;""),Input!$B$43&amp;";",""),IF(AND($G70&lt;Hta_24,$G70&gt;=Hba_24,Input!AH$44&lt;&gt;""),Input!$B$44&amp;";",""),IF(AND($G70&lt;Hta_25,$G70&gt;=Hba_25,Input!AH$45&lt;&gt;""),Input!$B$45&amp;";",""),IF(AND($G70&lt;Hta_26,$G70&gt;=Hba_26,Input!AH$46&lt;&gt;""),Input!$B$46&amp;";",""),IF(AND($G70&lt;Hta_27,$G70&gt;=Hba_27,Input!AH$47&lt;&gt;""),Input!$B$47&amp;";",""),IF(AND($G70&lt;Hta_28,$G70&gt;=Hba_28,Input!AH$48&lt;&gt;""),Input!$B$48&amp;";",""),IF(AND($G70&lt;Hta_29,$G70&gt;=Hba_29,Input!AH$49&lt;&gt;""),Input!$B$49&amp;";",""),IF(AND($G70&lt;Hta_30,$G70&gt;=Hba_30,Input!AH$50&lt;&gt;""),Input!$B$50&amp;";","")),"")</f>
        <v/>
      </c>
      <c r="CJ70" s="25" t="str">
        <f>IFERROR(CONCATENATE(IF(AND($G70&lt;Hta_1,$G70&gt;=Hba_1,Input!AI$21&lt;&gt;""),Input!$B$21&amp;";",""),IF(AND($G70&lt;Hta_2,$G70&gt;=Hba_2,Input!AI$22&lt;&gt;""),Input!$B$22&amp;";",""),IF(AND($G70&lt;Hta_3,$G70&gt;=Hba_3,Input!AI$23&lt;&gt;""),Input!$B$23&amp;";",""),IF(AND($G70&lt;Hta_4,$G70&gt;=Hba_4,Input!AI$24&lt;&gt;""),Input!$B$24&amp;";",""),IF(AND($G70&lt;Hta_5,$G70&gt;=Hba_5,Input!AI$25&lt;&gt;""),Input!$B$25&amp;";",""),IF(AND($G70&lt;Hta_6,$G70&gt;=Hba_6,Input!AI$26&lt;&gt;""),Input!$B$26&amp;";",""),IF(AND($G70&lt;Hta_7,$G70&gt;=Hba_7,Input!AI$27&lt;&gt;""),Input!$B$27&amp;";",""),IF(AND($G70&lt;Hta_8,$G70&gt;=Hba_8,Input!AI$28&lt;&gt;""),Input!$B$28&amp;";",""),IF(AND($G70&lt;Hta_9,$G70&gt;=Hba_9,Input!AI$29&lt;&gt;""),Input!$B$29&amp;";",""),IF(AND($G70&lt;Hta_10,$G70&gt;=Hba_10,Input!AI$30&lt;&gt;""),Input!$B$30&amp;";",""),IF(AND($G70&lt;Hta_11,$G70&gt;=Hba_11,Input!AI$31&lt;&gt;""),Input!$B$31&amp;";",""),IF(AND($G70&lt;Hta_12,$G70&gt;=Hba_12,Input!AI$32&lt;&gt;""),Input!$B$32&amp;";",""),IF(AND($G70&lt;Hta_13,$G70&gt;=Hba_13,Input!AI$33&lt;&gt;""),Input!$B$33&amp;";",""),IF(AND($G70&lt;Hta_14,$G70&gt;=Hba_14,Input!AI$34&lt;&gt;""),Input!$B$34&amp;";",""),IF(AND($G70&lt;Hta_15,$G70&gt;=Hba_15,Input!AI$35&lt;&gt;""),Input!$B$35&amp;";",""),IF(AND($G70&lt;Hta_16,$G70&gt;=Hba_16,Input!AI$36&lt;&gt;""),Input!$B$36&amp;";",""),IF(AND($G70&lt;Hta_17,$G70&gt;=Hba_17,Input!AI$37&lt;&gt;""),Input!$B$37&amp;";",""),IF(AND($G70&lt;Hta_18,$G70&gt;=Hba_18,Input!AI$38&lt;&gt;""),Input!$B$38&amp;";",""),IF(AND($G70&lt;Hta_19,$G70&gt;=Hba_19,Input!AI$39&lt;&gt;""),Input!$B$39&amp;";",""),IF(AND($G70&lt;Hta_20,$G70&gt;=Hba_20,Input!AI$40&lt;&gt;""),Input!$B$40&amp;";",""),IF(AND($G70&lt;Hta_21,$G70&gt;=Hba_21,Input!AI$41&lt;&gt;""),Input!$B$41&amp;";",""),IF(AND($G70&lt;Hta_22,$G70&gt;=Hba_22,Input!AI$42&lt;&gt;""),Input!$B$42&amp;";",""),IF(AND($G70&lt;Hta_23,$G70&gt;=Hba_23,Input!AI$43&lt;&gt;""),Input!$B$43&amp;";",""),IF(AND($G70&lt;Hta_24,$G70&gt;=Hba_24,Input!AI$44&lt;&gt;""),Input!$B$44&amp;";",""),IF(AND($G70&lt;Hta_25,$G70&gt;=Hba_25,Input!AI$45&lt;&gt;""),Input!$B$45&amp;";",""),IF(AND($G70&lt;Hta_26,$G70&gt;=Hba_26,Input!AI$46&lt;&gt;""),Input!$B$46&amp;";",""),IF(AND($G70&lt;Hta_27,$G70&gt;=Hba_27,Input!AI$47&lt;&gt;""),Input!$B$47&amp;";",""),IF(AND($G70&lt;Hta_28,$G70&gt;=Hba_28,Input!AI$48&lt;&gt;""),Input!$B$48&amp;";",""),IF(AND($G70&lt;Hta_29,$G70&gt;=Hba_29,Input!AI$49&lt;&gt;""),Input!$B$49&amp;";",""),IF(AND($G70&lt;Hta_30,$G70&gt;=Hba_30,Input!AI$50&lt;&gt;""),Input!$B$50&amp;";","")),"")</f>
        <v/>
      </c>
      <c r="CK70" s="25" t="str">
        <f>IFERROR(CONCATENATE(IF(AND($G70&lt;Hta_1,$G70&gt;=Hba_1,Input!AJ$21&lt;&gt;""),Input!$B$21&amp;";",""),IF(AND($G70&lt;Hta_2,$G70&gt;=Hba_2,Input!AJ$22&lt;&gt;""),Input!$B$22&amp;";",""),IF(AND($G70&lt;Hta_3,$G70&gt;=Hba_3,Input!AJ$23&lt;&gt;""),Input!$B$23&amp;";",""),IF(AND($G70&lt;Hta_4,$G70&gt;=Hba_4,Input!AJ$24&lt;&gt;""),Input!$B$24&amp;";",""),IF(AND($G70&lt;Hta_5,$G70&gt;=Hba_5,Input!AJ$25&lt;&gt;""),Input!$B$25&amp;";",""),IF(AND($G70&lt;Hta_6,$G70&gt;=Hba_6,Input!AJ$26&lt;&gt;""),Input!$B$26&amp;";",""),IF(AND($G70&lt;Hta_7,$G70&gt;=Hba_7,Input!AJ$27&lt;&gt;""),Input!$B$27&amp;";",""),IF(AND($G70&lt;Hta_8,$G70&gt;=Hba_8,Input!AJ$28&lt;&gt;""),Input!$B$28&amp;";",""),IF(AND($G70&lt;Hta_9,$G70&gt;=Hba_9,Input!AJ$29&lt;&gt;""),Input!$B$29&amp;";",""),IF(AND($G70&lt;Hta_10,$G70&gt;=Hba_10,Input!AJ$30&lt;&gt;""),Input!$B$30&amp;";",""),IF(AND($G70&lt;Hta_11,$G70&gt;=Hba_11,Input!AJ$31&lt;&gt;""),Input!$B$31&amp;";",""),IF(AND($G70&lt;Hta_12,$G70&gt;=Hba_12,Input!AJ$32&lt;&gt;""),Input!$B$32&amp;";",""),IF(AND($G70&lt;Hta_13,$G70&gt;=Hba_13,Input!AJ$33&lt;&gt;""),Input!$B$33&amp;";",""),IF(AND($G70&lt;Hta_14,$G70&gt;=Hba_14,Input!AJ$34&lt;&gt;""),Input!$B$34&amp;";",""),IF(AND($G70&lt;Hta_15,$G70&gt;=Hba_15,Input!AJ$35&lt;&gt;""),Input!$B$35&amp;";",""),IF(AND($G70&lt;Hta_16,$G70&gt;=Hba_16,Input!AJ$36&lt;&gt;""),Input!$B$36&amp;";",""),IF(AND($G70&lt;Hta_17,$G70&gt;=Hba_17,Input!AJ$37&lt;&gt;""),Input!$B$37&amp;";",""),IF(AND($G70&lt;Hta_18,$G70&gt;=Hba_18,Input!AJ$38&lt;&gt;""),Input!$B$38&amp;";",""),IF(AND($G70&lt;Hta_19,$G70&gt;=Hba_19,Input!AJ$39&lt;&gt;""),Input!$B$39&amp;";",""),IF(AND($G70&lt;Hta_20,$G70&gt;=Hba_20,Input!AJ$40&lt;&gt;""),Input!$B$40&amp;";",""),IF(AND($G70&lt;Hta_21,$G70&gt;=Hba_21,Input!AJ$41&lt;&gt;""),Input!$B$41&amp;";",""),IF(AND($G70&lt;Hta_22,$G70&gt;=Hba_22,Input!AJ$42&lt;&gt;""),Input!$B$42&amp;";",""),IF(AND($G70&lt;Hta_23,$G70&gt;=Hba_23,Input!AJ$43&lt;&gt;""),Input!$B$43&amp;";",""),IF(AND($G70&lt;Hta_24,$G70&gt;=Hba_24,Input!AJ$44&lt;&gt;""),Input!$B$44&amp;";",""),IF(AND($G70&lt;Hta_25,$G70&gt;=Hba_25,Input!AJ$45&lt;&gt;""),Input!$B$45&amp;";",""),IF(AND($G70&lt;Hta_26,$G70&gt;=Hba_26,Input!AJ$46&lt;&gt;""),Input!$B$46&amp;";",""),IF(AND($G70&lt;Hta_27,$G70&gt;=Hba_27,Input!AJ$47&lt;&gt;""),Input!$B$47&amp;";",""),IF(AND($G70&lt;Hta_28,$G70&gt;=Hba_28,Input!AJ$48&lt;&gt;""),Input!$B$48&amp;";",""),IF(AND($G70&lt;Hta_29,$G70&gt;=Hba_29,Input!AJ$49&lt;&gt;""),Input!$B$49&amp;";",""),IF(AND($G70&lt;Hta_30,$G70&gt;=Hba_30,Input!AJ$50&lt;&gt;""),Input!$B$50&amp;";","")),"")</f>
        <v/>
      </c>
      <c r="CL70" s="25" t="str">
        <f>IFERROR(CONCATENATE(IF(AND($G70&lt;Hta_1,$G70&gt;=Hba_1,Input!AK$21&lt;&gt;""),Input!$B$21&amp;";",""),IF(AND($G70&lt;Hta_2,$G70&gt;=Hba_2,Input!AK$22&lt;&gt;""),Input!$B$22&amp;";",""),IF(AND($G70&lt;Hta_3,$G70&gt;=Hba_3,Input!AK$23&lt;&gt;""),Input!$B$23&amp;";",""),IF(AND($G70&lt;Hta_4,$G70&gt;=Hba_4,Input!AK$24&lt;&gt;""),Input!$B$24&amp;";",""),IF(AND($G70&lt;Hta_5,$G70&gt;=Hba_5,Input!AK$25&lt;&gt;""),Input!$B$25&amp;";",""),IF(AND($G70&lt;Hta_6,$G70&gt;=Hba_6,Input!AK$26&lt;&gt;""),Input!$B$26&amp;";",""),IF(AND($G70&lt;Hta_7,$G70&gt;=Hba_7,Input!AK$27&lt;&gt;""),Input!$B$27&amp;";",""),IF(AND($G70&lt;Hta_8,$G70&gt;=Hba_8,Input!AK$28&lt;&gt;""),Input!$B$28&amp;";",""),IF(AND($G70&lt;Hta_9,$G70&gt;=Hba_9,Input!AK$29&lt;&gt;""),Input!$B$29&amp;";",""),IF(AND($G70&lt;Hta_10,$G70&gt;=Hba_10,Input!AK$30&lt;&gt;""),Input!$B$30&amp;";",""),IF(AND($G70&lt;Hta_11,$G70&gt;=Hba_11,Input!AK$31&lt;&gt;""),Input!$B$31&amp;";",""),IF(AND($G70&lt;Hta_12,$G70&gt;=Hba_12,Input!AK$32&lt;&gt;""),Input!$B$32&amp;";",""),IF(AND($G70&lt;Hta_13,$G70&gt;=Hba_13,Input!AK$33&lt;&gt;""),Input!$B$33&amp;";",""),IF(AND($G70&lt;Hta_14,$G70&gt;=Hba_14,Input!AK$34&lt;&gt;""),Input!$B$34&amp;";",""),IF(AND($G70&lt;Hta_15,$G70&gt;=Hba_15,Input!AK$35&lt;&gt;""),Input!$B$35&amp;";",""),IF(AND($G70&lt;Hta_16,$G70&gt;=Hba_16,Input!AK$36&lt;&gt;""),Input!$B$36&amp;";",""),IF(AND($G70&lt;Hta_17,$G70&gt;=Hba_17,Input!AK$37&lt;&gt;""),Input!$B$37&amp;";",""),IF(AND($G70&lt;Hta_18,$G70&gt;=Hba_18,Input!AK$38&lt;&gt;""),Input!$B$38&amp;";",""),IF(AND($G70&lt;Hta_19,$G70&gt;=Hba_19,Input!AK$39&lt;&gt;""),Input!$B$39&amp;";",""),IF(AND($G70&lt;Hta_20,$G70&gt;=Hba_20,Input!AK$40&lt;&gt;""),Input!$B$40&amp;";",""),IF(AND($G70&lt;Hta_21,$G70&gt;=Hba_21,Input!AK$41&lt;&gt;""),Input!$B$41&amp;";",""),IF(AND($G70&lt;Hta_22,$G70&gt;=Hba_22,Input!AK$42&lt;&gt;""),Input!$B$42&amp;";",""),IF(AND($G70&lt;Hta_23,$G70&gt;=Hba_23,Input!AK$43&lt;&gt;""),Input!$B$43&amp;";",""),IF(AND($G70&lt;Hta_24,$G70&gt;=Hba_24,Input!AK$44&lt;&gt;""),Input!$B$44&amp;";",""),IF(AND($G70&lt;Hta_25,$G70&gt;=Hba_25,Input!AK$45&lt;&gt;""),Input!$B$45&amp;";",""),IF(AND($G70&lt;Hta_26,$G70&gt;=Hba_26,Input!AK$46&lt;&gt;""),Input!$B$46&amp;";",""),IF(AND($G70&lt;Hta_27,$G70&gt;=Hba_27,Input!AK$47&lt;&gt;""),Input!$B$47&amp;";",""),IF(AND($G70&lt;Hta_28,$G70&gt;=Hba_28,Input!AK$48&lt;&gt;""),Input!$B$48&amp;";",""),IF(AND($G70&lt;Hta_29,$G70&gt;=Hba_29,Input!AK$49&lt;&gt;""),Input!$B$49&amp;";",""),IF(AND($G70&lt;Hta_30,$G70&gt;=Hba_30,Input!AK$50&lt;&gt;""),Input!$B$50&amp;";","")),"")</f>
        <v/>
      </c>
      <c r="CM70" s="25" t="str">
        <f>IFERROR(CONCATENATE(IF(AND($G70&lt;Hta_1,$G70&gt;=Hba_1,Input!AL$21&lt;&gt;""),Input!$B$21&amp;";",""),IF(AND($G70&lt;Hta_2,$G70&gt;=Hba_2,Input!AL$22&lt;&gt;""),Input!$B$22&amp;";",""),IF(AND($G70&lt;Hta_3,$G70&gt;=Hba_3,Input!AL$23&lt;&gt;""),Input!$B$23&amp;";",""),IF(AND($G70&lt;Hta_4,$G70&gt;=Hba_4,Input!AL$24&lt;&gt;""),Input!$B$24&amp;";",""),IF(AND($G70&lt;Hta_5,$G70&gt;=Hba_5,Input!AL$25&lt;&gt;""),Input!$B$25&amp;";",""),IF(AND($G70&lt;Hta_6,$G70&gt;=Hba_6,Input!AL$26&lt;&gt;""),Input!$B$26&amp;";",""),IF(AND($G70&lt;Hta_7,$G70&gt;=Hba_7,Input!AL$27&lt;&gt;""),Input!$B$27&amp;";",""),IF(AND($G70&lt;Hta_8,$G70&gt;=Hba_8,Input!AL$28&lt;&gt;""),Input!$B$28&amp;";",""),IF(AND($G70&lt;Hta_9,$G70&gt;=Hba_9,Input!AL$29&lt;&gt;""),Input!$B$29&amp;";",""),IF(AND($G70&lt;Hta_10,$G70&gt;=Hba_10,Input!AL$30&lt;&gt;""),Input!$B$30&amp;";",""),IF(AND($G70&lt;Hta_11,$G70&gt;=Hba_11,Input!AL$31&lt;&gt;""),Input!$B$31&amp;";",""),IF(AND($G70&lt;Hta_12,$G70&gt;=Hba_12,Input!AL$32&lt;&gt;""),Input!$B$32&amp;";",""),IF(AND($G70&lt;Hta_13,$G70&gt;=Hba_13,Input!AL$33&lt;&gt;""),Input!$B$33&amp;";",""),IF(AND($G70&lt;Hta_14,$G70&gt;=Hba_14,Input!AL$34&lt;&gt;""),Input!$B$34&amp;";",""),IF(AND($G70&lt;Hta_15,$G70&gt;=Hba_15,Input!AL$35&lt;&gt;""),Input!$B$35&amp;";",""),IF(AND($G70&lt;Hta_16,$G70&gt;=Hba_16,Input!AL$36&lt;&gt;""),Input!$B$36&amp;";",""),IF(AND($G70&lt;Hta_17,$G70&gt;=Hba_17,Input!AL$37&lt;&gt;""),Input!$B$37&amp;";",""),IF(AND($G70&lt;Hta_18,$G70&gt;=Hba_18,Input!AL$38&lt;&gt;""),Input!$B$38&amp;";",""),IF(AND($G70&lt;Hta_19,$G70&gt;=Hba_19,Input!AL$39&lt;&gt;""),Input!$B$39&amp;";",""),IF(AND($G70&lt;Hta_20,$G70&gt;=Hba_20,Input!AL$40&lt;&gt;""),Input!$B$40&amp;";",""),IF(AND($G70&lt;Hta_21,$G70&gt;=Hba_21,Input!AL$41&lt;&gt;""),Input!$B$41&amp;";",""),IF(AND($G70&lt;Hta_22,$G70&gt;=Hba_22,Input!AL$42&lt;&gt;""),Input!$B$42&amp;";",""),IF(AND($G70&lt;Hta_23,$G70&gt;=Hba_23,Input!AL$43&lt;&gt;""),Input!$B$43&amp;";",""),IF(AND($G70&lt;Hta_24,$G70&gt;=Hba_24,Input!AL$44&lt;&gt;""),Input!$B$44&amp;";",""),IF(AND($G70&lt;Hta_25,$G70&gt;=Hba_25,Input!AL$45&lt;&gt;""),Input!$B$45&amp;";",""),IF(AND($G70&lt;Hta_26,$G70&gt;=Hba_26,Input!AL$46&lt;&gt;""),Input!$B$46&amp;";",""),IF(AND($G70&lt;Hta_27,$G70&gt;=Hba_27,Input!AL$47&lt;&gt;""),Input!$B$47&amp;";",""),IF(AND($G70&lt;Hta_28,$G70&gt;=Hba_28,Input!AL$48&lt;&gt;""),Input!$B$48&amp;";",""),IF(AND($G70&lt;Hta_29,$G70&gt;=Hba_29,Input!AL$49&lt;&gt;""),Input!$B$49&amp;";",""),IF(AND($G70&lt;Hta_30,$G70&gt;=Hba_30,Input!AL$50&lt;&gt;""),Input!$B$50&amp;";","")),"")</f>
        <v/>
      </c>
      <c r="CN70" s="59" t="str">
        <f t="shared" si="6"/>
        <v/>
      </c>
      <c r="CO70" s="791"/>
      <c r="CP70" s="792"/>
      <c r="CQ70" s="793"/>
      <c r="CR70" s="791"/>
      <c r="CS70" s="792"/>
      <c r="CT70" s="793"/>
      <c r="CU70" s="791" t="str">
        <f t="shared" si="7"/>
        <v/>
      </c>
      <c r="CV70" s="792"/>
      <c r="CW70" s="807"/>
      <c r="CX70" s="808"/>
      <c r="CY70" s="730"/>
      <c r="CZ70" s="809"/>
      <c r="DA70" s="733"/>
      <c r="DB70" s="734"/>
      <c r="DC70" s="735"/>
      <c r="DD70" s="729" t="str">
        <f t="shared" si="8"/>
        <v/>
      </c>
      <c r="DE70" s="730"/>
      <c r="DF70" s="731"/>
      <c r="DG70" s="55"/>
      <c r="DH70" s="56"/>
      <c r="DI70" s="56"/>
      <c r="DJ70" s="56"/>
      <c r="DK70" s="56"/>
      <c r="DL70" s="56"/>
      <c r="DM70" s="56"/>
      <c r="DN70" s="56"/>
      <c r="DO70" s="56"/>
      <c r="DP70" s="56"/>
      <c r="DQ70" s="58"/>
      <c r="DR70" s="58"/>
      <c r="DS70" s="58"/>
      <c r="DT70" s="58"/>
      <c r="DU70" s="58"/>
      <c r="DV70" s="58"/>
      <c r="DW70" s="58"/>
      <c r="DX70" s="58"/>
      <c r="DY70" s="58"/>
      <c r="DZ70" s="58"/>
      <c r="EA70" s="58"/>
      <c r="EB70" s="58"/>
      <c r="EC70" s="58"/>
      <c r="ED70" s="58"/>
      <c r="EE70" s="58"/>
      <c r="EF70" s="58"/>
      <c r="EG70" s="58"/>
      <c r="EH70" s="58"/>
      <c r="EI70" s="58"/>
      <c r="EJ70" s="58"/>
      <c r="EK70" s="58"/>
      <c r="EL70" s="134"/>
      <c r="EM70" s="134"/>
      <c r="EN70" s="134"/>
      <c r="EO70" s="134"/>
      <c r="EP70" s="134"/>
      <c r="EQ70" s="134"/>
      <c r="ER70" s="134"/>
      <c r="ES70" s="134"/>
      <c r="ET70" s="134"/>
      <c r="EU70" s="134"/>
      <c r="EV70" s="134"/>
      <c r="EW70" s="134"/>
      <c r="EX70" s="134"/>
      <c r="EY70" s="134"/>
      <c r="EZ70" s="134"/>
      <c r="FA70" s="134"/>
      <c r="FB70" s="134"/>
      <c r="FC70" s="134"/>
      <c r="FD70" s="134"/>
      <c r="FE70" s="134"/>
      <c r="FF70" s="134"/>
      <c r="FG70" s="134"/>
      <c r="FH70" s="134"/>
      <c r="FI70" s="134"/>
      <c r="FJ70" s="134"/>
      <c r="FK70" s="134"/>
      <c r="FL70" s="134"/>
      <c r="FM70" s="134"/>
      <c r="FN70" s="134"/>
      <c r="FO70" s="134"/>
      <c r="FQ70" s="124"/>
      <c r="FR70" s="122"/>
      <c r="FS70" s="120"/>
      <c r="FT70" s="119"/>
    </row>
    <row r="71" spans="2:176" ht="15.75" hidden="1" thickBot="1" x14ac:dyDescent="0.3">
      <c r="B71" s="62" t="b">
        <f>IF(OR(AND(G71&gt;='Geometry 2'!$AK$5,G71&lt;'Geometry 2'!$AL$5),AND(G71&gt;='Geometry 2'!$AK$6,G71&lt;'Geometry 2'!$AL$6),AND(G71&gt;='Geometry 2'!$AK$7,G71&lt;'Geometry 2'!$AL$7),AND(G71&gt;='Geometry 2'!$AK$8,G71&lt;'Geometry 2'!$AL$8),AND(G71&gt;='Geometry 2'!$AK$9,G71&lt;'Geometry 2'!$AL$9),AND(G71&gt;='Geometry 2'!$AK$10,G71&lt;'Geometry 2'!$AL$10),AND(G71&gt;='Geometry 2'!$AK$11,G71&lt;'Geometry 2'!$AL$11),AND(G71&gt;='Geometry 2'!$AK$12,G71&lt;'Geometry 2'!$AL$12),AND(G71&gt;='Geometry 2'!$AK$13,G71&lt;'Geometry 2'!$AL$13),AND(G71&gt;='Geometry 2'!$AK$14,G71&lt;'Geometry 2'!$AL$14)),TRUE,FALSE)</f>
        <v>0</v>
      </c>
      <c r="C71" s="4" t="str">
        <f t="shared" ref="C71:C104" si="13">IF(OR(G70=0,C70=""),"",C70+1)</f>
        <v/>
      </c>
      <c r="D71" s="766" t="str">
        <f t="shared" ref="D71:D104" si="14">IF(OR(G70=0,G70=""),"",G70)</f>
        <v/>
      </c>
      <c r="E71" s="767"/>
      <c r="F71" s="17" t="str">
        <f t="shared" si="12"/>
        <v/>
      </c>
      <c r="G71" s="768" t="str">
        <f>IF(D71="","",MAX(0,G70-IF(inc="n/a",999,inc),MAX(IF(G70&lt;=Hta_1,0,Hta_1),IF(G70&lt;=Hta_2,0,Hta_2),IF(G70&lt;=Hta_3,0,Hta_3),IF(G70&lt;=Hta_4,0,Hta_4),IF(G70&lt;=Hta_5,0,Hta_5),IF(G70&lt;=Hta_6,0,Hta_6),IF(G70&lt;=Hta_7,0,Hta_7),IF(G70&lt;=Hta_8,0,Hta_8),IF(G70&lt;=Hta_9,0,Hta_9),IF(G70&lt;=Hta_10,0,Hta_10),IF(G70&lt;=Hta_11,0,Hta_11),IF(G70&lt;=Hta_12,0,Hta_12),IF(G70&lt;=Hta_13,0,Hta_13),IF(G70&lt;=Hta_14,0,Hta_14),IF(G70&lt;=Hta_15,0,Hta_15),IF(G70&lt;=Hta_16,0,Hta_16),IF(G70&lt;=Hta_17,0,Hta_17),IF(G70&lt;=Hta_18,0,Hta_18),IF(G70&lt;=Hta_19,0,Hta_19),IF(G70&lt;=Hta_20,0,Hta_20),IF(G70&lt;=Hta_21,0,Hta_21),IF(G70&lt;=Hta_22,0,Hta_22),IF(G70&lt;=Hta_23,0,Hta_23),IF(G70&lt;=Hta_24,0,Hta_24),IF(G70&lt;=Hta_25,0,Hta_25),IF(G70&lt;=Hta_26,0,Hta_26),IF(G70&lt;=Hta_27,0,Hta_27),IF(G70&lt;=Hta_28,0,Hta_28),IF(G70&lt;=Hta_29,0,Hta_29),IF(G70&lt;=Hta_30,0,Hta_30)),MAX(IF(G70&lt;=Hta_1-0.25,0,Hta_1-0.25),IF(G70&lt;=Hta_2-0.25,0,Hta_2-0.25),IF(G70&lt;=Hta_3-0.25,0,Hta_3-0.25),IF(G70&lt;=Hta_4-0.25,0,Hta_4-0.25),IF(G70&lt;=Hta_5-0.25,0,Hta_5-0.25),IF(G70&lt;=Hta_6-0.25,0,Hta_6-0.25),IF(G70&lt;=Hta_7-0.25,0,Hta_7-0.25),IF(G70&lt;=Hta_8-0.25,0,Hta_8-0.25),IF(G70&lt;=Hta_9-0.25,0,Hta_9-0.25),IF(G70&lt;=Hta_10-0.25,0,Hta_10-0.25),IF(G70&lt;=Hta_11-0.25,0,Hta_11-0.25),IF(G70&lt;=Hta_12-0.25,0,Hta_12-0.25),IF(G70&lt;=Hta_13-0.25,0,Hta_13-0.25),IF(G70&lt;=Hta_14-0.25,0,Hta_14-0.25),IF(G70&lt;=Hta_15-0.25,0,Hta_15-0.25),IF(G70&lt;=Hta_16-0.25,0,Hta_16-0.25),IF(G70&lt;=Hta_17-0.25,0,Hta_17-0.25),IF(G70&lt;=Hta_18-0.25,0,Hta_18-0.25),IF(G70&lt;=Hta_19-0.25,0,Hta_19-0.25),IF(G70&lt;=Hta_20-0.25,0,Hta_20-0.25),IF(G70&lt;=Hta_21-0.25,0,Hta_21-0.25),IF(G70&lt;=Hta_22-0.25,0,Hta_22-0.25),IF(G70&lt;=Hta_23-0.25,0,Hta_23-0.25),IF(G70&lt;=Hta_24-0.25,0,Hta_24-0.25),IF(G70&lt;=Hta_25-0.25,0,Hta_25-0.25),IF(G70&lt;=Hta_26-0.25,0,Hta_26-0.25),IF(G70&lt;=Hta_27-0.25,0,Hta_27-0.25),IF(G70&lt;=Hta_28-0.25,0,Hta_28-0.25),IF(G70&lt;=Hta_29-0.25,0,Hta_29-0.25),IF(G70&lt;=Hta_30-0.25,0,Hta_30-0.25)),MAX(IF(G70&lt;=Hba_1,0,Hba_1),IF(G70&lt;=Hba_2,0,Hba_2),IF(G70&lt;=Hba_3,0,Hba_3),IF(G70&lt;=Hba_4,0,Hba_4),IF(G70&lt;=Hba_5,0,Hba_5),IF(G70&lt;=Hba_6,0,Hba_6),IF(G70&lt;=Hba_7,0,Hba_7),IF(G70&lt;=Hba_8,0,Hba_8),IF(G70&lt;=Hba_9,0,Hba_9),IF(G70&lt;=Hba_10,0,Hba_10),IF(G70&lt;=Hba_11,0,Hba_11),IF(G70&lt;=Hba_12,0,Hba_12),IF(G70&lt;=Hba_13,0,Hba_13),IF(G70&lt;=Hba_14,0,Hba_14),IF(G70&lt;=Hba_15,0,Hba_15),IF(G70&lt;=Hba_16,0,Hba_16),IF(G70&lt;=Hba_17,0,Hba_17),IF(G70&lt;=Hba_18,0,Hba_18),IF(G70&lt;=Hba_19,0,Hba_19),IF(G70&lt;=Hba_20,0,Hba_20),IF(G70&lt;=Hba_21,0,Hba_21),IF(G70&lt;=Hba_22,0,Hba_22),IF(G70&lt;=Hba_23,0,Hba_23),IF(G70&lt;=Hba_24,0,Hba_24),IF(G70&lt;=Hba_25,0,Hba_25),IF(G70&lt;=Hba_26,0,Hba_26),IF(G70&lt;=Hba_27,0,Hba_27),IF(G70&lt;=Hba_28,0,Hba_28),IF(G70&lt;=Hba_29,0,Hba_29),IF(G70&lt;=Hba_30,0,Hba_30)),MAX(IF(G70&lt;=Input!$C$8,0,Input!$C$8),IF(G70&lt;=Input!$C$9,0,Input!$C$9),IF(G70&lt;=Input!$C$10,0,Input!$C$10),IF(G70&lt;=Input!$C$11,0,Input!$C$11),IF(G70&lt;=Input!$C$12,0,Input!$C$12),IF(G70&lt;=Input!$C$13,0,Input!$C$13),IF(G70&lt;=Input!$C$14,0,Input!$C$14),IF(G70&lt;=Input!$C$15,0,Input!$C$15),IF(G70&lt;=Input!$C$16,0,Input!$C$16)),MAX(IF(G70&lt;=Hba_1-0.25,0,Hba_1-0.25),IF(G70&lt;=Hba_2-0.25,0,Hba_2-0.25),IF(G70&lt;=Hba_3-0.25,0,Hba_3-0.25),IF(G70&lt;=Hba_4-0.25,0,Hba_4-0.25),IF(G70&lt;=Hba_5-0.25,0,Hba_5-0.25),IF(G70&lt;=Hba_6-0.25,0,Hba_6-0.25),IF(G70&lt;=Hba_7-0.25,0,Hba_7-0.25),IF(G70&lt;=Hba_8-0.25,0,Hba_8-0.25),IF(G70&lt;=Hba_9-0.25,0,Hba_9-0.25),IF(G70&lt;=Hba_10-0.25,0,Hba_10-0.25),IF(G70&lt;=Hba_11-0.25,0,Hba_11-0.25),IF(G70&lt;=Hba_12-0.25,0,Hba_12-0.25),IF(G70&lt;=Hba_13-0.25,0,Hba_13-0.25),IF(G70&lt;=Hba_14-0.25,0,Hba_14-0.25),IF(G70&lt;=Hba_15-0.25,0,Hba_15-0.25),IF(G70&lt;=Hba_16-0.25,0,Hba_16-0.25),IF(G70&lt;=Hba_17-0.25,0,Hba_17-0.25),IF(G70&lt;=Hba_18-0.25,0,Hba_18-0.25),IF(G70&lt;=Hba_19-0.25,0,Hba_19-0.25),IF(G70&lt;=Hba_20-0.25,0,Hba_20-0.25),IF(G70&lt;=Hba_21-0.25,0,Hba_21-0.25),IF(G70&lt;=Hba_22-0.25,0,Hba_22-0.25),IF(G70&lt;=Hba_23-0.25,0,Hba_23-0.25),IF(G70&lt;=Hba_24-0.25,0,Hba_24-0.25),IF(G70&lt;=Hba_25-0.25,0,Hba_25-0.25),IF(G70&lt;=Hba_26-0.25,0,Hba_26-0.25),IF(G70&lt;=Hba_27-0.25,0,Hba_27-0.25),IF(G70&lt;=Hba_28-0.25,0,Hba_28-0.25),IF(G70&lt;=Hba_29-0.25,0,Hba_29-0.25),IF(G70&lt;=Hba_30-0.25,0,Hba_30-0.25)),IF(G70&lt;='Macro References'!$A$38,0,'Macro References'!$A$38)))</f>
        <v/>
      </c>
      <c r="H71" s="769"/>
      <c r="I71" s="228"/>
      <c r="J71" s="228"/>
      <c r="K71" s="228"/>
      <c r="L71" s="717" t="str">
        <f t="shared" si="11"/>
        <v/>
      </c>
      <c r="M71" s="717"/>
      <c r="N71" s="717"/>
      <c r="O71" s="717"/>
      <c r="P71" s="717" t="str">
        <f>IF(OR(G71=0,G71=""),"",IF(VLOOKUP(G71,'Geometry 2'!$C$4:$AI$14,1,TRUE)=VLOOKUP(G72,'Geometry 2'!$C$4:$AI$14,1,TRUE),"",IF(VLOOKUP(G71,'Geometry 2'!$C$4:$AI$14,33,TRUE)&lt;&gt;"n/a",MIN(G71,VLOOKUP(G71,'Geometry 2'!$C$4:$AI$14,1,TRUE))-VLOOKUP(G71,'Geometry 2'!$C$4:$AI$14,33,TRUE),"check")))</f>
        <v/>
      </c>
      <c r="Q71" s="717"/>
      <c r="R71" s="717"/>
      <c r="S71" s="717"/>
      <c r="T71" s="717" t="str">
        <f>IF($G71="","",VLOOKUP($G71,'Geometry 2'!$E$4:$AH$14,11,TRUE))</f>
        <v/>
      </c>
      <c r="U71" s="717"/>
      <c r="V71" s="717"/>
      <c r="W71" s="717"/>
      <c r="X71" s="716" t="str">
        <f>IF($G71="","",VLOOKUP($G71,'Geometry 2'!$E$4:$AJ$14,19,TRUE)-12*VLOOKUP($G71,'Geometry 2'!$E$4:$AJ$14,32,TRUE)*($D71-VLOOKUP($G71,'Geometry 2'!$E$5:$AH$14,1,TRUE)))</f>
        <v/>
      </c>
      <c r="Y71" s="716"/>
      <c r="Z71" s="716"/>
      <c r="AA71" s="716"/>
      <c r="AB71" s="757" t="str">
        <f>IF($G71="","",VLOOKUP($G71,'Geometry 2'!$E$4:$AJ$14,19,TRUE)-12*VLOOKUP($G71,'Geometry 2'!$E$4:$AJ$14,32,TRUE)*($G71-VLOOKUP($G71,'Geometry 2'!$E$5:$AH$14,1,TRUE)))</f>
        <v/>
      </c>
      <c r="AC71" s="758"/>
      <c r="AD71" s="758"/>
      <c r="AE71" s="759"/>
      <c r="AF71" s="716" t="str">
        <f>IF($G71="","",VLOOKUP($G71,'Geometry 2'!$E$4:$AJ$14,19,TRUE)-12*VLOOKUP($G71,'Geometry 2'!$E$4:$AJ$14,32,TRUE)*($G71-IF($P71="",0,$P71)-VLOOKUP($G71,'Geometry 2'!$E$5:$AH$14,1,TRUE)))</f>
        <v/>
      </c>
      <c r="AG71" s="716"/>
      <c r="AH71" s="716"/>
      <c r="AI71" s="716"/>
      <c r="AJ71" s="746" t="str">
        <f>IF($G71="","",VLOOKUP($G71,'Geometry 2'!$E$4:$AH$14,23,TRUE))</f>
        <v/>
      </c>
      <c r="AK71" s="747"/>
      <c r="AL71" s="747"/>
      <c r="AM71" s="748"/>
      <c r="AN71" s="717"/>
      <c r="AO71" s="717"/>
      <c r="AP71" s="717"/>
      <c r="AQ71" s="717"/>
      <c r="AR71" s="717" t="str">
        <f>IF($G71="","",VLOOKUP($G71,'Geometry 2'!$E$4:$AH$14,27,TRUE))</f>
        <v/>
      </c>
      <c r="AS71" s="717"/>
      <c r="AT71" s="717"/>
      <c r="AU71" s="718"/>
      <c r="AV71" s="715"/>
      <c r="AW71" s="716"/>
      <c r="AX71" s="716"/>
      <c r="AZ71" s="722" t="str">
        <f t="shared" ref="AZ71:AZ104" si="15">IF(G71="","",CONCATENATE(ROUND(D71,2)," ",F71," ",ROUND(G71,2)))</f>
        <v/>
      </c>
      <c r="BA71" s="723"/>
      <c r="BB71" s="723"/>
      <c r="BC71" s="724"/>
      <c r="BD71" s="722"/>
      <c r="BE71" s="723"/>
      <c r="BF71" s="723"/>
      <c r="BG71" s="722" t="str">
        <f t="shared" si="9"/>
        <v/>
      </c>
      <c r="BH71" s="723"/>
      <c r="BI71" s="723"/>
      <c r="BJ71" s="723"/>
      <c r="BK71" s="724"/>
      <c r="BL71" s="722"/>
      <c r="BM71" s="723"/>
      <c r="BN71" s="723"/>
      <c r="BO71" s="723"/>
      <c r="BP71" s="725"/>
      <c r="BQ71" s="725"/>
      <c r="BR71" s="722" t="str">
        <f>IF(BP71="","",IF(OR(AND(Rev="H",Calculations!$F$27=TRUE),AND(Rev&lt;&gt;"H",Calculations!$F$30=TRUE)),IF(BP71&lt;=1,"Pass","Fail"),IF(BP71&lt;=1.05,"Pass","Fail")))</f>
        <v/>
      </c>
      <c r="BS71" s="723"/>
      <c r="BT71" s="724"/>
      <c r="BU71" s="49"/>
      <c r="BV71" s="25" t="str">
        <f>IFERROR(CONCATENATE(IF(AND($G71&lt;Hta_1,$G71&gt;=Hba_1,Input!U$21&lt;&gt;""),Input!$B$21&amp;";",""),IF(AND($G71&lt;Hta_2,$G71&gt;=Hba_2,Input!U$22&lt;&gt;""),Input!$B$22&amp;";",""),IF(AND($G71&lt;Hta_3,$G71&gt;=Hba_3,Input!U$23&lt;&gt;""),Input!$B$23&amp;";",""),IF(AND($G71&lt;Hta_4,$G71&gt;=Hba_4,Input!U$24&lt;&gt;""),Input!$B$24&amp;";",""),IF(AND($G71&lt;Hta_5,$G71&gt;=Hba_5,Input!U$25&lt;&gt;""),Input!$B$25&amp;";",""),IF(AND($G71&lt;Hta_6,$G71&gt;=Hba_6,Input!U$26&lt;&gt;""),Input!$B$26&amp;";",""),IF(AND($G71&lt;Hta_7,$G71&gt;=Hba_7,Input!U$27&lt;&gt;""),Input!$B$27&amp;";",""),IF(AND($G71&lt;Hta_8,$G71&gt;=Hba_8,Input!U$28&lt;&gt;""),Input!$B$28&amp;";",""),IF(AND($G71&lt;Hta_9,$G71&gt;=Hba_9,Input!U$29&lt;&gt;""),Input!$B$29&amp;";",""),IF(AND($G71&lt;Hta_10,$G71&gt;=Hba_10,Input!U$30&lt;&gt;""),Input!$B$30&amp;";",""),IF(AND($G71&lt;Hta_11,$G71&gt;=Hba_11,Input!U$31&lt;&gt;""),Input!$B$31&amp;";",""),IF(AND($G71&lt;Hta_12,$G71&gt;=Hba_12,Input!U$32&lt;&gt;""),Input!$B$32&amp;";",""),IF(AND($G71&lt;Hta_13,$G71&gt;=Hba_13,Input!U$33&lt;&gt;""),Input!$B$33&amp;";",""),IF(AND($G71&lt;Hta_14,$G71&gt;=Hba_14,Input!U$34&lt;&gt;""),Input!$B$34&amp;";",""),IF(AND($G71&lt;Hta_15,$G71&gt;=Hba_15,Input!U$35&lt;&gt;""),Input!$B$35&amp;";",""),IF(AND($G71&lt;Hta_16,$G71&gt;=Hba_16,Input!U$36&lt;&gt;""),Input!$B$36&amp;";",""),IF(AND($G71&lt;Hta_17,$G71&gt;=Hba_17,Input!U$37&lt;&gt;""),Input!$B$37&amp;";",""),IF(AND($G71&lt;Hta_18,$G71&gt;=Hba_18,Input!U$38&lt;&gt;""),Input!$B$38&amp;";",""),IF(AND($G71&lt;Hta_19,$G71&gt;=Hba_19,Input!U$39&lt;&gt;""),Input!$B$39&amp;";",""),IF(AND($G71&lt;Hta_20,$G71&gt;=Hba_20,Input!U$40&lt;&gt;""),Input!$B$40&amp;";",""),IF(AND($G71&lt;Hta_21,$G71&gt;=Hba_21,Input!U$41&lt;&gt;""),Input!$B$41&amp;";",""),IF(AND($G71&lt;Hta_22,$G71&gt;=Hba_22,Input!U$42&lt;&gt;""),Input!$B$42&amp;";",""),IF(AND($G71&lt;Hta_23,$G71&gt;=Hba_23,Input!U$43&lt;&gt;""),Input!$B$43&amp;";",""),IF(AND($G71&lt;Hta_24,$G71&gt;=Hba_24,Input!U$44&lt;&gt;""),Input!$B$44&amp;";",""),IF(AND($G71&lt;Hta_25,$G71&gt;=Hba_25,Input!U$45&lt;&gt;""),Input!$B$45&amp;";",""),IF(AND($G71&lt;Hta_26,$G71&gt;=Hba_26,Input!U$46&lt;&gt;""),Input!$B$46&amp;";",""),IF(AND($G71&lt;Hta_27,$G71&gt;=Hba_27,Input!U$47&lt;&gt;""),Input!$B$47&amp;";",""),IF(AND($G71&lt;Hta_28,$G71&gt;=Hba_28,Input!U$48&lt;&gt;""),Input!$B$48&amp;";",""),IF(AND($G71&lt;Hta_29,$G71&gt;=Hba_29,Input!U$49&lt;&gt;""),Input!$B$49&amp;";",""),IF(AND($G71&lt;Hta_30,$G71&gt;=Hba_30,Input!U$50&lt;&gt;""),Input!$B$50&amp;";","")),"")</f>
        <v/>
      </c>
      <c r="BW71" s="25" t="str">
        <f>IFERROR(CONCATENATE(IF(AND($G71&lt;Hta_1,$G71&gt;=Hba_1,Input!V$21&lt;&gt;""),Input!$B$21&amp;";",""),IF(AND($G71&lt;Hta_2,$G71&gt;=Hba_2,Input!V$22&lt;&gt;""),Input!$B$22&amp;";",""),IF(AND($G71&lt;Hta_3,$G71&gt;=Hba_3,Input!V$23&lt;&gt;""),Input!$B$23&amp;";",""),IF(AND($G71&lt;Hta_4,$G71&gt;=Hba_4,Input!V$24&lt;&gt;""),Input!$B$24&amp;";",""),IF(AND($G71&lt;Hta_5,$G71&gt;=Hba_5,Input!V$25&lt;&gt;""),Input!$B$25&amp;";",""),IF(AND($G71&lt;Hta_6,$G71&gt;=Hba_6,Input!V$26&lt;&gt;""),Input!$B$26&amp;";",""),IF(AND($G71&lt;Hta_7,$G71&gt;=Hba_7,Input!V$27&lt;&gt;""),Input!$B$27&amp;";",""),IF(AND($G71&lt;Hta_8,$G71&gt;=Hba_8,Input!V$28&lt;&gt;""),Input!$B$28&amp;";",""),IF(AND($G71&lt;Hta_9,$G71&gt;=Hba_9,Input!V$29&lt;&gt;""),Input!$B$29&amp;";",""),IF(AND($G71&lt;Hta_10,$G71&gt;=Hba_10,Input!V$30&lt;&gt;""),Input!$B$30&amp;";",""),IF(AND($G71&lt;Hta_11,$G71&gt;=Hba_11,Input!V$31&lt;&gt;""),Input!$B$31&amp;";",""),IF(AND($G71&lt;Hta_12,$G71&gt;=Hba_12,Input!V$32&lt;&gt;""),Input!$B$32&amp;";",""),IF(AND($G71&lt;Hta_13,$G71&gt;=Hba_13,Input!V$33&lt;&gt;""),Input!$B$33&amp;";",""),IF(AND($G71&lt;Hta_14,$G71&gt;=Hba_14,Input!V$34&lt;&gt;""),Input!$B$34&amp;";",""),IF(AND($G71&lt;Hta_15,$G71&gt;=Hba_15,Input!V$35&lt;&gt;""),Input!$B$35&amp;";",""),IF(AND($G71&lt;Hta_16,$G71&gt;=Hba_16,Input!V$36&lt;&gt;""),Input!$B$36&amp;";",""),IF(AND($G71&lt;Hta_17,$G71&gt;=Hba_17,Input!V$37&lt;&gt;""),Input!$B$37&amp;";",""),IF(AND($G71&lt;Hta_18,$G71&gt;=Hba_18,Input!V$38&lt;&gt;""),Input!$B$38&amp;";",""),IF(AND($G71&lt;Hta_19,$G71&gt;=Hba_19,Input!V$39&lt;&gt;""),Input!$B$39&amp;";",""),IF(AND($G71&lt;Hta_20,$G71&gt;=Hba_20,Input!V$40&lt;&gt;""),Input!$B$40&amp;";",""),IF(AND($G71&lt;Hta_21,$G71&gt;=Hba_21,Input!V$41&lt;&gt;""),Input!$B$41&amp;";",""),IF(AND($G71&lt;Hta_22,$G71&gt;=Hba_22,Input!V$42&lt;&gt;""),Input!$B$42&amp;";",""),IF(AND($G71&lt;Hta_23,$G71&gt;=Hba_23,Input!V$43&lt;&gt;""),Input!$B$43&amp;";",""),IF(AND($G71&lt;Hta_24,$G71&gt;=Hba_24,Input!V$44&lt;&gt;""),Input!$B$44&amp;";",""),IF(AND($G71&lt;Hta_25,$G71&gt;=Hba_25,Input!V$45&lt;&gt;""),Input!$B$45&amp;";",""),IF(AND($G71&lt;Hta_26,$G71&gt;=Hba_26,Input!V$46&lt;&gt;""),Input!$B$46&amp;";",""),IF(AND($G71&lt;Hta_27,$G71&gt;=Hba_27,Input!V$47&lt;&gt;""),Input!$B$47&amp;";",""),IF(AND($G71&lt;Hta_28,$G71&gt;=Hba_28,Input!V$48&lt;&gt;""),Input!$B$48&amp;";",""),IF(AND($G71&lt;Hta_29,$G71&gt;=Hba_29,Input!V$49&lt;&gt;""),Input!$B$49&amp;";",""),IF(AND($G71&lt;Hta_30,$G71&gt;=Hba_30,Input!V$50&lt;&gt;""),Input!$B$50&amp;";","")),"")</f>
        <v/>
      </c>
      <c r="BX71" s="25" t="str">
        <f>IFERROR(CONCATENATE(IF(AND($G71&lt;Hta_1,$G71&gt;=Hba_1,Input!W$21&lt;&gt;""),Input!$B$21&amp;";",""),IF(AND($G71&lt;Hta_2,$G71&gt;=Hba_2,Input!W$22&lt;&gt;""),Input!$B$22&amp;";",""),IF(AND($G71&lt;Hta_3,$G71&gt;=Hba_3,Input!W$23&lt;&gt;""),Input!$B$23&amp;";",""),IF(AND($G71&lt;Hta_4,$G71&gt;=Hba_4,Input!W$24&lt;&gt;""),Input!$B$24&amp;";",""),IF(AND($G71&lt;Hta_5,$G71&gt;=Hba_5,Input!W$25&lt;&gt;""),Input!$B$25&amp;";",""),IF(AND($G71&lt;Hta_6,$G71&gt;=Hba_6,Input!W$26&lt;&gt;""),Input!$B$26&amp;";",""),IF(AND($G71&lt;Hta_7,$G71&gt;=Hba_7,Input!W$27&lt;&gt;""),Input!$B$27&amp;";",""),IF(AND($G71&lt;Hta_8,$G71&gt;=Hba_8,Input!W$28&lt;&gt;""),Input!$B$28&amp;";",""),IF(AND($G71&lt;Hta_9,$G71&gt;=Hba_9,Input!W$29&lt;&gt;""),Input!$B$29&amp;";",""),IF(AND($G71&lt;Hta_10,$G71&gt;=Hba_10,Input!W$30&lt;&gt;""),Input!$B$30&amp;";",""),IF(AND($G71&lt;Hta_11,$G71&gt;=Hba_11,Input!W$31&lt;&gt;""),Input!$B$31&amp;";",""),IF(AND($G71&lt;Hta_12,$G71&gt;=Hba_12,Input!W$32&lt;&gt;""),Input!$B$32&amp;";",""),IF(AND($G71&lt;Hta_13,$G71&gt;=Hba_13,Input!W$33&lt;&gt;""),Input!$B$33&amp;";",""),IF(AND($G71&lt;Hta_14,$G71&gt;=Hba_14,Input!W$34&lt;&gt;""),Input!$B$34&amp;";",""),IF(AND($G71&lt;Hta_15,$G71&gt;=Hba_15,Input!W$35&lt;&gt;""),Input!$B$35&amp;";",""),IF(AND($G71&lt;Hta_16,$G71&gt;=Hba_16,Input!W$36&lt;&gt;""),Input!$B$36&amp;";",""),IF(AND($G71&lt;Hta_17,$G71&gt;=Hba_17,Input!W$37&lt;&gt;""),Input!$B$37&amp;";",""),IF(AND($G71&lt;Hta_18,$G71&gt;=Hba_18,Input!W$38&lt;&gt;""),Input!$B$38&amp;";",""),IF(AND($G71&lt;Hta_19,$G71&gt;=Hba_19,Input!W$39&lt;&gt;""),Input!$B$39&amp;";",""),IF(AND($G71&lt;Hta_20,$G71&gt;=Hba_20,Input!W$40&lt;&gt;""),Input!$B$40&amp;";",""),IF(AND($G71&lt;Hta_21,$G71&gt;=Hba_21,Input!W$41&lt;&gt;""),Input!$B$41&amp;";",""),IF(AND($G71&lt;Hta_22,$G71&gt;=Hba_22,Input!W$42&lt;&gt;""),Input!$B$42&amp;";",""),IF(AND($G71&lt;Hta_23,$G71&gt;=Hba_23,Input!W$43&lt;&gt;""),Input!$B$43&amp;";",""),IF(AND($G71&lt;Hta_24,$G71&gt;=Hba_24,Input!W$44&lt;&gt;""),Input!$B$44&amp;";",""),IF(AND($G71&lt;Hta_25,$G71&gt;=Hba_25,Input!W$45&lt;&gt;""),Input!$B$45&amp;";",""),IF(AND($G71&lt;Hta_26,$G71&gt;=Hba_26,Input!W$46&lt;&gt;""),Input!$B$46&amp;";",""),IF(AND($G71&lt;Hta_27,$G71&gt;=Hba_27,Input!W$47&lt;&gt;""),Input!$B$47&amp;";",""),IF(AND($G71&lt;Hta_28,$G71&gt;=Hba_28,Input!W$48&lt;&gt;""),Input!$B$48&amp;";",""),IF(AND($G71&lt;Hta_29,$G71&gt;=Hba_29,Input!W$49&lt;&gt;""),Input!$B$49&amp;";",""),IF(AND($G71&lt;Hta_30,$G71&gt;=Hba_30,Input!W$50&lt;&gt;""),Input!$B$50&amp;";","")),"")</f>
        <v/>
      </c>
      <c r="BY71" s="25" t="str">
        <f>IFERROR(CONCATENATE(IF(AND($G71&lt;Hta_1,$G71&gt;=Hba_1,Input!X$21&lt;&gt;""),Input!$B$21&amp;";",""),IF(AND($G71&lt;Hta_2,$G71&gt;=Hba_2,Input!X$22&lt;&gt;""),Input!$B$22&amp;";",""),IF(AND($G71&lt;Hta_3,$G71&gt;=Hba_3,Input!X$23&lt;&gt;""),Input!$B$23&amp;";",""),IF(AND($G71&lt;Hta_4,$G71&gt;=Hba_4,Input!X$24&lt;&gt;""),Input!$B$24&amp;";",""),IF(AND($G71&lt;Hta_5,$G71&gt;=Hba_5,Input!X$25&lt;&gt;""),Input!$B$25&amp;";",""),IF(AND($G71&lt;Hta_6,$G71&gt;=Hba_6,Input!X$26&lt;&gt;""),Input!$B$26&amp;";",""),IF(AND($G71&lt;Hta_7,$G71&gt;=Hba_7,Input!X$27&lt;&gt;""),Input!$B$27&amp;";",""),IF(AND($G71&lt;Hta_8,$G71&gt;=Hba_8,Input!X$28&lt;&gt;""),Input!$B$28&amp;";",""),IF(AND($G71&lt;Hta_9,$G71&gt;=Hba_9,Input!X$29&lt;&gt;""),Input!$B$29&amp;";",""),IF(AND($G71&lt;Hta_10,$G71&gt;=Hba_10,Input!X$30&lt;&gt;""),Input!$B$30&amp;";",""),IF(AND($G71&lt;Hta_11,$G71&gt;=Hba_11,Input!X$31&lt;&gt;""),Input!$B$31&amp;";",""),IF(AND($G71&lt;Hta_12,$G71&gt;=Hba_12,Input!X$32&lt;&gt;""),Input!$B$32&amp;";",""),IF(AND($G71&lt;Hta_13,$G71&gt;=Hba_13,Input!X$33&lt;&gt;""),Input!$B$33&amp;";",""),IF(AND($G71&lt;Hta_14,$G71&gt;=Hba_14,Input!X$34&lt;&gt;""),Input!$B$34&amp;";",""),IF(AND($G71&lt;Hta_15,$G71&gt;=Hba_15,Input!X$35&lt;&gt;""),Input!$B$35&amp;";",""),IF(AND($G71&lt;Hta_16,$G71&gt;=Hba_16,Input!X$36&lt;&gt;""),Input!$B$36&amp;";",""),IF(AND($G71&lt;Hta_17,$G71&gt;=Hba_17,Input!X$37&lt;&gt;""),Input!$B$37&amp;";",""),IF(AND($G71&lt;Hta_18,$G71&gt;=Hba_18,Input!X$38&lt;&gt;""),Input!$B$38&amp;";",""),IF(AND($G71&lt;Hta_19,$G71&gt;=Hba_19,Input!X$39&lt;&gt;""),Input!$B$39&amp;";",""),IF(AND($G71&lt;Hta_20,$G71&gt;=Hba_20,Input!X$40&lt;&gt;""),Input!$B$40&amp;";",""),IF(AND($G71&lt;Hta_21,$G71&gt;=Hba_21,Input!X$41&lt;&gt;""),Input!$B$41&amp;";",""),IF(AND($G71&lt;Hta_22,$G71&gt;=Hba_22,Input!X$42&lt;&gt;""),Input!$B$42&amp;";",""),IF(AND($G71&lt;Hta_23,$G71&gt;=Hba_23,Input!X$43&lt;&gt;""),Input!$B$43&amp;";",""),IF(AND($G71&lt;Hta_24,$G71&gt;=Hba_24,Input!X$44&lt;&gt;""),Input!$B$44&amp;";",""),IF(AND($G71&lt;Hta_25,$G71&gt;=Hba_25,Input!X$45&lt;&gt;""),Input!$B$45&amp;";",""),IF(AND($G71&lt;Hta_26,$G71&gt;=Hba_26,Input!X$46&lt;&gt;""),Input!$B$46&amp;";",""),IF(AND($G71&lt;Hta_27,$G71&gt;=Hba_27,Input!X$47&lt;&gt;""),Input!$B$47&amp;";",""),IF(AND($G71&lt;Hta_28,$G71&gt;=Hba_28,Input!X$48&lt;&gt;""),Input!$B$48&amp;";",""),IF(AND($G71&lt;Hta_29,$G71&gt;=Hba_29,Input!X$49&lt;&gt;""),Input!$B$49&amp;";",""),IF(AND($G71&lt;Hta_30,$G71&gt;=Hba_30,Input!X$50&lt;&gt;""),Input!$B$50&amp;";","")),"")</f>
        <v/>
      </c>
      <c r="BZ71" s="25" t="str">
        <f>IFERROR(CONCATENATE(IF(AND($G71&lt;Hta_1,$G71&gt;=Hba_1,Input!Y$21&lt;&gt;""),Input!$B$21&amp;";",""),IF(AND($G71&lt;Hta_2,$G71&gt;=Hba_2,Input!Y$22&lt;&gt;""),Input!$B$22&amp;";",""),IF(AND($G71&lt;Hta_3,$G71&gt;=Hba_3,Input!Y$23&lt;&gt;""),Input!$B$23&amp;";",""),IF(AND($G71&lt;Hta_4,$G71&gt;=Hba_4,Input!Y$24&lt;&gt;""),Input!$B$24&amp;";",""),IF(AND($G71&lt;Hta_5,$G71&gt;=Hba_5,Input!Y$25&lt;&gt;""),Input!$B$25&amp;";",""),IF(AND($G71&lt;Hta_6,$G71&gt;=Hba_6,Input!Y$26&lt;&gt;""),Input!$B$26&amp;";",""),IF(AND($G71&lt;Hta_7,$G71&gt;=Hba_7,Input!Y$27&lt;&gt;""),Input!$B$27&amp;";",""),IF(AND($G71&lt;Hta_8,$G71&gt;=Hba_8,Input!Y$28&lt;&gt;""),Input!$B$28&amp;";",""),IF(AND($G71&lt;Hta_9,$G71&gt;=Hba_9,Input!Y$29&lt;&gt;""),Input!$B$29&amp;";",""),IF(AND($G71&lt;Hta_10,$G71&gt;=Hba_10,Input!Y$30&lt;&gt;""),Input!$B$30&amp;";",""),IF(AND($G71&lt;Hta_11,$G71&gt;=Hba_11,Input!Y$31&lt;&gt;""),Input!$B$31&amp;";",""),IF(AND($G71&lt;Hta_12,$G71&gt;=Hba_12,Input!Y$32&lt;&gt;""),Input!$B$32&amp;";",""),IF(AND($G71&lt;Hta_13,$G71&gt;=Hba_13,Input!Y$33&lt;&gt;""),Input!$B$33&amp;";",""),IF(AND($G71&lt;Hta_14,$G71&gt;=Hba_14,Input!Y$34&lt;&gt;""),Input!$B$34&amp;";",""),IF(AND($G71&lt;Hta_15,$G71&gt;=Hba_15,Input!Y$35&lt;&gt;""),Input!$B$35&amp;";",""),IF(AND($G71&lt;Hta_16,$G71&gt;=Hba_16,Input!Y$36&lt;&gt;""),Input!$B$36&amp;";",""),IF(AND($G71&lt;Hta_17,$G71&gt;=Hba_17,Input!Y$37&lt;&gt;""),Input!$B$37&amp;";",""),IF(AND($G71&lt;Hta_18,$G71&gt;=Hba_18,Input!Y$38&lt;&gt;""),Input!$B$38&amp;";",""),IF(AND($G71&lt;Hta_19,$G71&gt;=Hba_19,Input!Y$39&lt;&gt;""),Input!$B$39&amp;";",""),IF(AND($G71&lt;Hta_20,$G71&gt;=Hba_20,Input!Y$40&lt;&gt;""),Input!$B$40&amp;";",""),IF(AND($G71&lt;Hta_21,$G71&gt;=Hba_21,Input!Y$41&lt;&gt;""),Input!$B$41&amp;";",""),IF(AND($G71&lt;Hta_22,$G71&gt;=Hba_22,Input!Y$42&lt;&gt;""),Input!$B$42&amp;";",""),IF(AND($G71&lt;Hta_23,$G71&gt;=Hba_23,Input!Y$43&lt;&gt;""),Input!$B$43&amp;";",""),IF(AND($G71&lt;Hta_24,$G71&gt;=Hba_24,Input!Y$44&lt;&gt;""),Input!$B$44&amp;";",""),IF(AND($G71&lt;Hta_25,$G71&gt;=Hba_25,Input!Y$45&lt;&gt;""),Input!$B$45&amp;";",""),IF(AND($G71&lt;Hta_26,$G71&gt;=Hba_26,Input!Y$46&lt;&gt;""),Input!$B$46&amp;";",""),IF(AND($G71&lt;Hta_27,$G71&gt;=Hba_27,Input!Y$47&lt;&gt;""),Input!$B$47&amp;";",""),IF(AND($G71&lt;Hta_28,$G71&gt;=Hba_28,Input!Y$48&lt;&gt;""),Input!$B$48&amp;";",""),IF(AND($G71&lt;Hta_29,$G71&gt;=Hba_29,Input!Y$49&lt;&gt;""),Input!$B$49&amp;";",""),IF(AND($G71&lt;Hta_30,$G71&gt;=Hba_30,Input!Y$50&lt;&gt;""),Input!$B$50&amp;";","")),"")</f>
        <v/>
      </c>
      <c r="CA71" s="25" t="str">
        <f>IFERROR(CONCATENATE(IF(AND($G71&lt;Hta_1,$G71&gt;=Hba_1,Input!Z$21&lt;&gt;""),Input!$B$21&amp;";",""),IF(AND($G71&lt;Hta_2,$G71&gt;=Hba_2,Input!Z$22&lt;&gt;""),Input!$B$22&amp;";",""),IF(AND($G71&lt;Hta_3,$G71&gt;=Hba_3,Input!Z$23&lt;&gt;""),Input!$B$23&amp;";",""),IF(AND($G71&lt;Hta_4,$G71&gt;=Hba_4,Input!Z$24&lt;&gt;""),Input!$B$24&amp;";",""),IF(AND($G71&lt;Hta_5,$G71&gt;=Hba_5,Input!Z$25&lt;&gt;""),Input!$B$25&amp;";",""),IF(AND($G71&lt;Hta_6,$G71&gt;=Hba_6,Input!Z$26&lt;&gt;""),Input!$B$26&amp;";",""),IF(AND($G71&lt;Hta_7,$G71&gt;=Hba_7,Input!Z$27&lt;&gt;""),Input!$B$27&amp;";",""),IF(AND($G71&lt;Hta_8,$G71&gt;=Hba_8,Input!Z$28&lt;&gt;""),Input!$B$28&amp;";",""),IF(AND($G71&lt;Hta_9,$G71&gt;=Hba_9,Input!Z$29&lt;&gt;""),Input!$B$29&amp;";",""),IF(AND($G71&lt;Hta_10,$G71&gt;=Hba_10,Input!Z$30&lt;&gt;""),Input!$B$30&amp;";",""),IF(AND($G71&lt;Hta_11,$G71&gt;=Hba_11,Input!Z$31&lt;&gt;""),Input!$B$31&amp;";",""),IF(AND($G71&lt;Hta_12,$G71&gt;=Hba_12,Input!Z$32&lt;&gt;""),Input!$B$32&amp;";",""),IF(AND($G71&lt;Hta_13,$G71&gt;=Hba_13,Input!Z$33&lt;&gt;""),Input!$B$33&amp;";",""),IF(AND($G71&lt;Hta_14,$G71&gt;=Hba_14,Input!Z$34&lt;&gt;""),Input!$B$34&amp;";",""),IF(AND($G71&lt;Hta_15,$G71&gt;=Hba_15,Input!Z$35&lt;&gt;""),Input!$B$35&amp;";",""),IF(AND($G71&lt;Hta_16,$G71&gt;=Hba_16,Input!Z$36&lt;&gt;""),Input!$B$36&amp;";",""),IF(AND($G71&lt;Hta_17,$G71&gt;=Hba_17,Input!Z$37&lt;&gt;""),Input!$B$37&amp;";",""),IF(AND($G71&lt;Hta_18,$G71&gt;=Hba_18,Input!Z$38&lt;&gt;""),Input!$B$38&amp;";",""),IF(AND($G71&lt;Hta_19,$G71&gt;=Hba_19,Input!Z$39&lt;&gt;""),Input!$B$39&amp;";",""),IF(AND($G71&lt;Hta_20,$G71&gt;=Hba_20,Input!Z$40&lt;&gt;""),Input!$B$40&amp;";",""),IF(AND($G71&lt;Hta_21,$G71&gt;=Hba_21,Input!Z$41&lt;&gt;""),Input!$B$41&amp;";",""),IF(AND($G71&lt;Hta_22,$G71&gt;=Hba_22,Input!Z$42&lt;&gt;""),Input!$B$42&amp;";",""),IF(AND($G71&lt;Hta_23,$G71&gt;=Hba_23,Input!Z$43&lt;&gt;""),Input!$B$43&amp;";",""),IF(AND($G71&lt;Hta_24,$G71&gt;=Hba_24,Input!Z$44&lt;&gt;""),Input!$B$44&amp;";",""),IF(AND($G71&lt;Hta_25,$G71&gt;=Hba_25,Input!Z$45&lt;&gt;""),Input!$B$45&amp;";",""),IF(AND($G71&lt;Hta_26,$G71&gt;=Hba_26,Input!Z$46&lt;&gt;""),Input!$B$46&amp;";",""),IF(AND($G71&lt;Hta_27,$G71&gt;=Hba_27,Input!Z$47&lt;&gt;""),Input!$B$47&amp;";",""),IF(AND($G71&lt;Hta_28,$G71&gt;=Hba_28,Input!Z$48&lt;&gt;""),Input!$B$48&amp;";",""),IF(AND($G71&lt;Hta_29,$G71&gt;=Hba_29,Input!Z$49&lt;&gt;""),Input!$B$49&amp;";",""),IF(AND($G71&lt;Hta_30,$G71&gt;=Hba_30,Input!Z$50&lt;&gt;""),Input!$B$50&amp;";","")),"")</f>
        <v/>
      </c>
      <c r="CB71" s="25" t="str">
        <f>IFERROR(CONCATENATE(IF(AND($G71&lt;Hta_1,$G71&gt;=Hba_1,Input!AA$21&lt;&gt;""),Input!$B$21&amp;";",""),IF(AND($G71&lt;Hta_2,$G71&gt;=Hba_2,Input!AA$22&lt;&gt;""),Input!$B$22&amp;";",""),IF(AND($G71&lt;Hta_3,$G71&gt;=Hba_3,Input!AA$23&lt;&gt;""),Input!$B$23&amp;";",""),IF(AND($G71&lt;Hta_4,$G71&gt;=Hba_4,Input!AA$24&lt;&gt;""),Input!$B$24&amp;";",""),IF(AND($G71&lt;Hta_5,$G71&gt;=Hba_5,Input!AA$25&lt;&gt;""),Input!$B$25&amp;";",""),IF(AND($G71&lt;Hta_6,$G71&gt;=Hba_6,Input!AA$26&lt;&gt;""),Input!$B$26&amp;";",""),IF(AND($G71&lt;Hta_7,$G71&gt;=Hba_7,Input!AA$27&lt;&gt;""),Input!$B$27&amp;";",""),IF(AND($G71&lt;Hta_8,$G71&gt;=Hba_8,Input!AA$28&lt;&gt;""),Input!$B$28&amp;";",""),IF(AND($G71&lt;Hta_9,$G71&gt;=Hba_9,Input!AA$29&lt;&gt;""),Input!$B$29&amp;";",""),IF(AND($G71&lt;Hta_10,$G71&gt;=Hba_10,Input!AA$30&lt;&gt;""),Input!$B$30&amp;";",""),IF(AND($G71&lt;Hta_11,$G71&gt;=Hba_11,Input!AA$31&lt;&gt;""),Input!$B$31&amp;";",""),IF(AND($G71&lt;Hta_12,$G71&gt;=Hba_12,Input!AA$32&lt;&gt;""),Input!$B$32&amp;";",""),IF(AND($G71&lt;Hta_13,$G71&gt;=Hba_13,Input!AA$33&lt;&gt;""),Input!$B$33&amp;";",""),IF(AND($G71&lt;Hta_14,$G71&gt;=Hba_14,Input!AA$34&lt;&gt;""),Input!$B$34&amp;";",""),IF(AND($G71&lt;Hta_15,$G71&gt;=Hba_15,Input!AA$35&lt;&gt;""),Input!$B$35&amp;";",""),IF(AND($G71&lt;Hta_16,$G71&gt;=Hba_16,Input!AA$36&lt;&gt;""),Input!$B$36&amp;";",""),IF(AND($G71&lt;Hta_17,$G71&gt;=Hba_17,Input!AA$37&lt;&gt;""),Input!$B$37&amp;";",""),IF(AND($G71&lt;Hta_18,$G71&gt;=Hba_18,Input!AA$38&lt;&gt;""),Input!$B$38&amp;";",""),IF(AND($G71&lt;Hta_19,$G71&gt;=Hba_19,Input!AA$39&lt;&gt;""),Input!$B$39&amp;";",""),IF(AND($G71&lt;Hta_20,$G71&gt;=Hba_20,Input!AA$40&lt;&gt;""),Input!$B$40&amp;";",""),IF(AND($G71&lt;Hta_21,$G71&gt;=Hba_21,Input!AA$41&lt;&gt;""),Input!$B$41&amp;";",""),IF(AND($G71&lt;Hta_22,$G71&gt;=Hba_22,Input!AA$42&lt;&gt;""),Input!$B$42&amp;";",""),IF(AND($G71&lt;Hta_23,$G71&gt;=Hba_23,Input!AA$43&lt;&gt;""),Input!$B$43&amp;";",""),IF(AND($G71&lt;Hta_24,$G71&gt;=Hba_24,Input!AA$44&lt;&gt;""),Input!$B$44&amp;";",""),IF(AND($G71&lt;Hta_25,$G71&gt;=Hba_25,Input!AA$45&lt;&gt;""),Input!$B$45&amp;";",""),IF(AND($G71&lt;Hta_26,$G71&gt;=Hba_26,Input!AA$46&lt;&gt;""),Input!$B$46&amp;";",""),IF(AND($G71&lt;Hta_27,$G71&gt;=Hba_27,Input!AA$47&lt;&gt;""),Input!$B$47&amp;";",""),IF(AND($G71&lt;Hta_28,$G71&gt;=Hba_28,Input!AA$48&lt;&gt;""),Input!$B$48&amp;";",""),IF(AND($G71&lt;Hta_29,$G71&gt;=Hba_29,Input!AA$49&lt;&gt;""),Input!$B$49&amp;";",""),IF(AND($G71&lt;Hta_30,$G71&gt;=Hba_30,Input!AA$50&lt;&gt;""),Input!$B$50&amp;";","")),"")</f>
        <v/>
      </c>
      <c r="CC71" s="25" t="str">
        <f>IFERROR(CONCATENATE(IF(AND($G71&lt;Hta_1,$G71&gt;=Hba_1,Input!AB$21&lt;&gt;""),Input!$B$21&amp;";",""),IF(AND($G71&lt;Hta_2,$G71&gt;=Hba_2,Input!AB$22&lt;&gt;""),Input!$B$22&amp;";",""),IF(AND($G71&lt;Hta_3,$G71&gt;=Hba_3,Input!AB$23&lt;&gt;""),Input!$B$23&amp;";",""),IF(AND($G71&lt;Hta_4,$G71&gt;=Hba_4,Input!AB$24&lt;&gt;""),Input!$B$24&amp;";",""),IF(AND($G71&lt;Hta_5,$G71&gt;=Hba_5,Input!AB$25&lt;&gt;""),Input!$B$25&amp;";",""),IF(AND($G71&lt;Hta_6,$G71&gt;=Hba_6,Input!AB$26&lt;&gt;""),Input!$B$26&amp;";",""),IF(AND($G71&lt;Hta_7,$G71&gt;=Hba_7,Input!AB$27&lt;&gt;""),Input!$B$27&amp;";",""),IF(AND($G71&lt;Hta_8,$G71&gt;=Hba_8,Input!AB$28&lt;&gt;""),Input!$B$28&amp;";",""),IF(AND($G71&lt;Hta_9,$G71&gt;=Hba_9,Input!AB$29&lt;&gt;""),Input!$B$29&amp;";",""),IF(AND($G71&lt;Hta_10,$G71&gt;=Hba_10,Input!AB$30&lt;&gt;""),Input!$B$30&amp;";",""),IF(AND($G71&lt;Hta_11,$G71&gt;=Hba_11,Input!AB$31&lt;&gt;""),Input!$B$31&amp;";",""),IF(AND($G71&lt;Hta_12,$G71&gt;=Hba_12,Input!AB$32&lt;&gt;""),Input!$B$32&amp;";",""),IF(AND($G71&lt;Hta_13,$G71&gt;=Hba_13,Input!AB$33&lt;&gt;""),Input!$B$33&amp;";",""),IF(AND($G71&lt;Hta_14,$G71&gt;=Hba_14,Input!AB$34&lt;&gt;""),Input!$B$34&amp;";",""),IF(AND($G71&lt;Hta_15,$G71&gt;=Hba_15,Input!AB$35&lt;&gt;""),Input!$B$35&amp;";",""),IF(AND($G71&lt;Hta_16,$G71&gt;=Hba_16,Input!AB$36&lt;&gt;""),Input!$B$36&amp;";",""),IF(AND($G71&lt;Hta_17,$G71&gt;=Hba_17,Input!AB$37&lt;&gt;""),Input!$B$37&amp;";",""),IF(AND($G71&lt;Hta_18,$G71&gt;=Hba_18,Input!AB$38&lt;&gt;""),Input!$B$38&amp;";",""),IF(AND($G71&lt;Hta_19,$G71&gt;=Hba_19,Input!AB$39&lt;&gt;""),Input!$B$39&amp;";",""),IF(AND($G71&lt;Hta_20,$G71&gt;=Hba_20,Input!AB$40&lt;&gt;""),Input!$B$40&amp;";",""),IF(AND($G71&lt;Hta_21,$G71&gt;=Hba_21,Input!AB$41&lt;&gt;""),Input!$B$41&amp;";",""),IF(AND($G71&lt;Hta_22,$G71&gt;=Hba_22,Input!AB$42&lt;&gt;""),Input!$B$42&amp;";",""),IF(AND($G71&lt;Hta_23,$G71&gt;=Hba_23,Input!AB$43&lt;&gt;""),Input!$B$43&amp;";",""),IF(AND($G71&lt;Hta_24,$G71&gt;=Hba_24,Input!AB$44&lt;&gt;""),Input!$B$44&amp;";",""),IF(AND($G71&lt;Hta_25,$G71&gt;=Hba_25,Input!AB$45&lt;&gt;""),Input!$B$45&amp;";",""),IF(AND($G71&lt;Hta_26,$G71&gt;=Hba_26,Input!AB$46&lt;&gt;""),Input!$B$46&amp;";",""),IF(AND($G71&lt;Hta_27,$G71&gt;=Hba_27,Input!AB$47&lt;&gt;""),Input!$B$47&amp;";",""),IF(AND($G71&lt;Hta_28,$G71&gt;=Hba_28,Input!AB$48&lt;&gt;""),Input!$B$48&amp;";",""),IF(AND($G71&lt;Hta_29,$G71&gt;=Hba_29,Input!AB$49&lt;&gt;""),Input!$B$49&amp;";",""),IF(AND($G71&lt;Hta_30,$G71&gt;=Hba_30,Input!AB$50&lt;&gt;""),Input!$B$50&amp;";","")),"")</f>
        <v/>
      </c>
      <c r="CD71" s="25" t="str">
        <f>IFERROR(CONCATENATE(IF(AND($G71&lt;Hta_1,$G71&gt;=Hba_1,Input!AC$21&lt;&gt;""),Input!$B$21&amp;";",""),IF(AND($G71&lt;Hta_2,$G71&gt;=Hba_2,Input!AC$22&lt;&gt;""),Input!$B$22&amp;";",""),IF(AND($G71&lt;Hta_3,$G71&gt;=Hba_3,Input!AC$23&lt;&gt;""),Input!$B$23&amp;";",""),IF(AND($G71&lt;Hta_4,$G71&gt;=Hba_4,Input!AC$24&lt;&gt;""),Input!$B$24&amp;";",""),IF(AND($G71&lt;Hta_5,$G71&gt;=Hba_5,Input!AC$25&lt;&gt;""),Input!$B$25&amp;";",""),IF(AND($G71&lt;Hta_6,$G71&gt;=Hba_6,Input!AC$26&lt;&gt;""),Input!$B$26&amp;";",""),IF(AND($G71&lt;Hta_7,$G71&gt;=Hba_7,Input!AC$27&lt;&gt;""),Input!$B$27&amp;";",""),IF(AND($G71&lt;Hta_8,$G71&gt;=Hba_8,Input!AC$28&lt;&gt;""),Input!$B$28&amp;";",""),IF(AND($G71&lt;Hta_9,$G71&gt;=Hba_9,Input!AC$29&lt;&gt;""),Input!$B$29&amp;";",""),IF(AND($G71&lt;Hta_10,$G71&gt;=Hba_10,Input!AC$30&lt;&gt;""),Input!$B$30&amp;";",""),IF(AND($G71&lt;Hta_11,$G71&gt;=Hba_11,Input!AC$31&lt;&gt;""),Input!$B$31&amp;";",""),IF(AND($G71&lt;Hta_12,$G71&gt;=Hba_12,Input!AC$32&lt;&gt;""),Input!$B$32&amp;";",""),IF(AND($G71&lt;Hta_13,$G71&gt;=Hba_13,Input!AC$33&lt;&gt;""),Input!$B$33&amp;";",""),IF(AND($G71&lt;Hta_14,$G71&gt;=Hba_14,Input!AC$34&lt;&gt;""),Input!$B$34&amp;";",""),IF(AND($G71&lt;Hta_15,$G71&gt;=Hba_15,Input!AC$35&lt;&gt;""),Input!$B$35&amp;";",""),IF(AND($G71&lt;Hta_16,$G71&gt;=Hba_16,Input!AC$36&lt;&gt;""),Input!$B$36&amp;";",""),IF(AND($G71&lt;Hta_17,$G71&gt;=Hba_17,Input!AC$37&lt;&gt;""),Input!$B$37&amp;";",""),IF(AND($G71&lt;Hta_18,$G71&gt;=Hba_18,Input!AC$38&lt;&gt;""),Input!$B$38&amp;";",""),IF(AND($G71&lt;Hta_19,$G71&gt;=Hba_19,Input!AC$39&lt;&gt;""),Input!$B$39&amp;";",""),IF(AND($G71&lt;Hta_20,$G71&gt;=Hba_20,Input!AC$40&lt;&gt;""),Input!$B$40&amp;";",""),IF(AND($G71&lt;Hta_21,$G71&gt;=Hba_21,Input!AC$41&lt;&gt;""),Input!$B$41&amp;";",""),IF(AND($G71&lt;Hta_22,$G71&gt;=Hba_22,Input!AC$42&lt;&gt;""),Input!$B$42&amp;";",""),IF(AND($G71&lt;Hta_23,$G71&gt;=Hba_23,Input!AC$43&lt;&gt;""),Input!$B$43&amp;";",""),IF(AND($G71&lt;Hta_24,$G71&gt;=Hba_24,Input!AC$44&lt;&gt;""),Input!$B$44&amp;";",""),IF(AND($G71&lt;Hta_25,$G71&gt;=Hba_25,Input!AC$45&lt;&gt;""),Input!$B$45&amp;";",""),IF(AND($G71&lt;Hta_26,$G71&gt;=Hba_26,Input!AC$46&lt;&gt;""),Input!$B$46&amp;";",""),IF(AND($G71&lt;Hta_27,$G71&gt;=Hba_27,Input!AC$47&lt;&gt;""),Input!$B$47&amp;";",""),IF(AND($G71&lt;Hta_28,$G71&gt;=Hba_28,Input!AC$48&lt;&gt;""),Input!$B$48&amp;";",""),IF(AND($G71&lt;Hta_29,$G71&gt;=Hba_29,Input!AC$49&lt;&gt;""),Input!$B$49&amp;";",""),IF(AND($G71&lt;Hta_30,$G71&gt;=Hba_30,Input!AC$50&lt;&gt;""),Input!$B$50&amp;";","")),"")</f>
        <v/>
      </c>
      <c r="CE71" s="25" t="str">
        <f>IFERROR(CONCATENATE(IF(AND($G71&lt;Hta_1,$G71&gt;=Hba_1,Input!AD$21&lt;&gt;""),Input!$B$21&amp;";",""),IF(AND($G71&lt;Hta_2,$G71&gt;=Hba_2,Input!AD$22&lt;&gt;""),Input!$B$22&amp;";",""),IF(AND($G71&lt;Hta_3,$G71&gt;=Hba_3,Input!AD$23&lt;&gt;""),Input!$B$23&amp;";",""),IF(AND($G71&lt;Hta_4,$G71&gt;=Hba_4,Input!AD$24&lt;&gt;""),Input!$B$24&amp;";",""),IF(AND($G71&lt;Hta_5,$G71&gt;=Hba_5,Input!AD$25&lt;&gt;""),Input!$B$25&amp;";",""),IF(AND($G71&lt;Hta_6,$G71&gt;=Hba_6,Input!AD$26&lt;&gt;""),Input!$B$26&amp;";",""),IF(AND($G71&lt;Hta_7,$G71&gt;=Hba_7,Input!AD$27&lt;&gt;""),Input!$B$27&amp;";",""),IF(AND($G71&lt;Hta_8,$G71&gt;=Hba_8,Input!AD$28&lt;&gt;""),Input!$B$28&amp;";",""),IF(AND($G71&lt;Hta_9,$G71&gt;=Hba_9,Input!AD$29&lt;&gt;""),Input!$B$29&amp;";",""),IF(AND($G71&lt;Hta_10,$G71&gt;=Hba_10,Input!AD$30&lt;&gt;""),Input!$B$30&amp;";",""),IF(AND($G71&lt;Hta_11,$G71&gt;=Hba_11,Input!AD$31&lt;&gt;""),Input!$B$31&amp;";",""),IF(AND($G71&lt;Hta_12,$G71&gt;=Hba_12,Input!AD$32&lt;&gt;""),Input!$B$32&amp;";",""),IF(AND($G71&lt;Hta_13,$G71&gt;=Hba_13,Input!AD$33&lt;&gt;""),Input!$B$33&amp;";",""),IF(AND($G71&lt;Hta_14,$G71&gt;=Hba_14,Input!AD$34&lt;&gt;""),Input!$B$34&amp;";",""),IF(AND($G71&lt;Hta_15,$G71&gt;=Hba_15,Input!AD$35&lt;&gt;""),Input!$B$35&amp;";",""),IF(AND($G71&lt;Hta_16,$G71&gt;=Hba_16,Input!AD$36&lt;&gt;""),Input!$B$36&amp;";",""),IF(AND($G71&lt;Hta_17,$G71&gt;=Hba_17,Input!AD$37&lt;&gt;""),Input!$B$37&amp;";",""),IF(AND($G71&lt;Hta_18,$G71&gt;=Hba_18,Input!AD$38&lt;&gt;""),Input!$B$38&amp;";",""),IF(AND($G71&lt;Hta_19,$G71&gt;=Hba_19,Input!AD$39&lt;&gt;""),Input!$B$39&amp;";",""),IF(AND($G71&lt;Hta_20,$G71&gt;=Hba_20,Input!AD$40&lt;&gt;""),Input!$B$40&amp;";",""),IF(AND($G71&lt;Hta_21,$G71&gt;=Hba_21,Input!AD$41&lt;&gt;""),Input!$B$41&amp;";",""),IF(AND($G71&lt;Hta_22,$G71&gt;=Hba_22,Input!AD$42&lt;&gt;""),Input!$B$42&amp;";",""),IF(AND($G71&lt;Hta_23,$G71&gt;=Hba_23,Input!AD$43&lt;&gt;""),Input!$B$43&amp;";",""),IF(AND($G71&lt;Hta_24,$G71&gt;=Hba_24,Input!AD$44&lt;&gt;""),Input!$B$44&amp;";",""),IF(AND($G71&lt;Hta_25,$G71&gt;=Hba_25,Input!AD$45&lt;&gt;""),Input!$B$45&amp;";",""),IF(AND($G71&lt;Hta_26,$G71&gt;=Hba_26,Input!AD$46&lt;&gt;""),Input!$B$46&amp;";",""),IF(AND($G71&lt;Hta_27,$G71&gt;=Hba_27,Input!AD$47&lt;&gt;""),Input!$B$47&amp;";",""),IF(AND($G71&lt;Hta_28,$G71&gt;=Hba_28,Input!AD$48&lt;&gt;""),Input!$B$48&amp;";",""),IF(AND($G71&lt;Hta_29,$G71&gt;=Hba_29,Input!AD$49&lt;&gt;""),Input!$B$49&amp;";",""),IF(AND($G71&lt;Hta_30,$G71&gt;=Hba_30,Input!AD$50&lt;&gt;""),Input!$B$50&amp;";","")),"")</f>
        <v/>
      </c>
      <c r="CF71" s="25" t="str">
        <f>IFERROR(CONCATENATE(IF(AND($G71&lt;Hta_1,$G71&gt;=Hba_1,Input!AE$21&lt;&gt;""),Input!$B$21&amp;";",""),IF(AND($G71&lt;Hta_2,$G71&gt;=Hba_2,Input!AE$22&lt;&gt;""),Input!$B$22&amp;";",""),IF(AND($G71&lt;Hta_3,$G71&gt;=Hba_3,Input!AE$23&lt;&gt;""),Input!$B$23&amp;";",""),IF(AND($G71&lt;Hta_4,$G71&gt;=Hba_4,Input!AE$24&lt;&gt;""),Input!$B$24&amp;";",""),IF(AND($G71&lt;Hta_5,$G71&gt;=Hba_5,Input!AE$25&lt;&gt;""),Input!$B$25&amp;";",""),IF(AND($G71&lt;Hta_6,$G71&gt;=Hba_6,Input!AE$26&lt;&gt;""),Input!$B$26&amp;";",""),IF(AND($G71&lt;Hta_7,$G71&gt;=Hba_7,Input!AE$27&lt;&gt;""),Input!$B$27&amp;";",""),IF(AND($G71&lt;Hta_8,$G71&gt;=Hba_8,Input!AE$28&lt;&gt;""),Input!$B$28&amp;";",""),IF(AND($G71&lt;Hta_9,$G71&gt;=Hba_9,Input!AE$29&lt;&gt;""),Input!$B$29&amp;";",""),IF(AND($G71&lt;Hta_10,$G71&gt;=Hba_10,Input!AE$30&lt;&gt;""),Input!$B$30&amp;";",""),IF(AND($G71&lt;Hta_11,$G71&gt;=Hba_11,Input!AE$31&lt;&gt;""),Input!$B$31&amp;";",""),IF(AND($G71&lt;Hta_12,$G71&gt;=Hba_12,Input!AE$32&lt;&gt;""),Input!$B$32&amp;";",""),IF(AND($G71&lt;Hta_13,$G71&gt;=Hba_13,Input!AE$33&lt;&gt;""),Input!$B$33&amp;";",""),IF(AND($G71&lt;Hta_14,$G71&gt;=Hba_14,Input!AE$34&lt;&gt;""),Input!$B$34&amp;";",""),IF(AND($G71&lt;Hta_15,$G71&gt;=Hba_15,Input!AE$35&lt;&gt;""),Input!$B$35&amp;";",""),IF(AND($G71&lt;Hta_16,$G71&gt;=Hba_16,Input!AE$36&lt;&gt;""),Input!$B$36&amp;";",""),IF(AND($G71&lt;Hta_17,$G71&gt;=Hba_17,Input!AE$37&lt;&gt;""),Input!$B$37&amp;";",""),IF(AND($G71&lt;Hta_18,$G71&gt;=Hba_18,Input!AE$38&lt;&gt;""),Input!$B$38&amp;";",""),IF(AND($G71&lt;Hta_19,$G71&gt;=Hba_19,Input!AE$39&lt;&gt;""),Input!$B$39&amp;";",""),IF(AND($G71&lt;Hta_20,$G71&gt;=Hba_20,Input!AE$40&lt;&gt;""),Input!$B$40&amp;";",""),IF(AND($G71&lt;Hta_21,$G71&gt;=Hba_21,Input!AE$41&lt;&gt;""),Input!$B$41&amp;";",""),IF(AND($G71&lt;Hta_22,$G71&gt;=Hba_22,Input!AE$42&lt;&gt;""),Input!$B$42&amp;";",""),IF(AND($G71&lt;Hta_23,$G71&gt;=Hba_23,Input!AE$43&lt;&gt;""),Input!$B$43&amp;";",""),IF(AND($G71&lt;Hta_24,$G71&gt;=Hba_24,Input!AE$44&lt;&gt;""),Input!$B$44&amp;";",""),IF(AND($G71&lt;Hta_25,$G71&gt;=Hba_25,Input!AE$45&lt;&gt;""),Input!$B$45&amp;";",""),IF(AND($G71&lt;Hta_26,$G71&gt;=Hba_26,Input!AE$46&lt;&gt;""),Input!$B$46&amp;";",""),IF(AND($G71&lt;Hta_27,$G71&gt;=Hba_27,Input!AE$47&lt;&gt;""),Input!$B$47&amp;";",""),IF(AND($G71&lt;Hta_28,$G71&gt;=Hba_28,Input!AE$48&lt;&gt;""),Input!$B$48&amp;";",""),IF(AND($G71&lt;Hta_29,$G71&gt;=Hba_29,Input!AE$49&lt;&gt;""),Input!$B$49&amp;";",""),IF(AND($G71&lt;Hta_30,$G71&gt;=Hba_30,Input!AE$50&lt;&gt;""),Input!$B$50&amp;";","")),"")</f>
        <v/>
      </c>
      <c r="CG71" s="25" t="str">
        <f>IFERROR(CONCATENATE(IF(AND($G71&lt;Hta_1,$G71&gt;=Hba_1,Input!AF$21&lt;&gt;""),Input!$B$21&amp;";",""),IF(AND($G71&lt;Hta_2,$G71&gt;=Hba_2,Input!AF$22&lt;&gt;""),Input!$B$22&amp;";",""),IF(AND($G71&lt;Hta_3,$G71&gt;=Hba_3,Input!AF$23&lt;&gt;""),Input!$B$23&amp;";",""),IF(AND($G71&lt;Hta_4,$G71&gt;=Hba_4,Input!AF$24&lt;&gt;""),Input!$B$24&amp;";",""),IF(AND($G71&lt;Hta_5,$G71&gt;=Hba_5,Input!AF$25&lt;&gt;""),Input!$B$25&amp;";",""),IF(AND($G71&lt;Hta_6,$G71&gt;=Hba_6,Input!AF$26&lt;&gt;""),Input!$B$26&amp;";",""),IF(AND($G71&lt;Hta_7,$G71&gt;=Hba_7,Input!AF$27&lt;&gt;""),Input!$B$27&amp;";",""),IF(AND($G71&lt;Hta_8,$G71&gt;=Hba_8,Input!AF$28&lt;&gt;""),Input!$B$28&amp;";",""),IF(AND($G71&lt;Hta_9,$G71&gt;=Hba_9,Input!AF$29&lt;&gt;""),Input!$B$29&amp;";",""),IF(AND($G71&lt;Hta_10,$G71&gt;=Hba_10,Input!AF$30&lt;&gt;""),Input!$B$30&amp;";",""),IF(AND($G71&lt;Hta_11,$G71&gt;=Hba_11,Input!AF$31&lt;&gt;""),Input!$B$31&amp;";",""),IF(AND($G71&lt;Hta_12,$G71&gt;=Hba_12,Input!AF$32&lt;&gt;""),Input!$B$32&amp;";",""),IF(AND($G71&lt;Hta_13,$G71&gt;=Hba_13,Input!AF$33&lt;&gt;""),Input!$B$33&amp;";",""),IF(AND($G71&lt;Hta_14,$G71&gt;=Hba_14,Input!AF$34&lt;&gt;""),Input!$B$34&amp;";",""),IF(AND($G71&lt;Hta_15,$G71&gt;=Hba_15,Input!AF$35&lt;&gt;""),Input!$B$35&amp;";",""),IF(AND($G71&lt;Hta_16,$G71&gt;=Hba_16,Input!AF$36&lt;&gt;""),Input!$B$36&amp;";",""),IF(AND($G71&lt;Hta_17,$G71&gt;=Hba_17,Input!AF$37&lt;&gt;""),Input!$B$37&amp;";",""),IF(AND($G71&lt;Hta_18,$G71&gt;=Hba_18,Input!AF$38&lt;&gt;""),Input!$B$38&amp;";",""),IF(AND($G71&lt;Hta_19,$G71&gt;=Hba_19,Input!AF$39&lt;&gt;""),Input!$B$39&amp;";",""),IF(AND($G71&lt;Hta_20,$G71&gt;=Hba_20,Input!AF$40&lt;&gt;""),Input!$B$40&amp;";",""),IF(AND($G71&lt;Hta_21,$G71&gt;=Hba_21,Input!AF$41&lt;&gt;""),Input!$B$41&amp;";",""),IF(AND($G71&lt;Hta_22,$G71&gt;=Hba_22,Input!AF$42&lt;&gt;""),Input!$B$42&amp;";",""),IF(AND($G71&lt;Hta_23,$G71&gt;=Hba_23,Input!AF$43&lt;&gt;""),Input!$B$43&amp;";",""),IF(AND($G71&lt;Hta_24,$G71&gt;=Hba_24,Input!AF$44&lt;&gt;""),Input!$B$44&amp;";",""),IF(AND($G71&lt;Hta_25,$G71&gt;=Hba_25,Input!AF$45&lt;&gt;""),Input!$B$45&amp;";",""),IF(AND($G71&lt;Hta_26,$G71&gt;=Hba_26,Input!AF$46&lt;&gt;""),Input!$B$46&amp;";",""),IF(AND($G71&lt;Hta_27,$G71&gt;=Hba_27,Input!AF$47&lt;&gt;""),Input!$B$47&amp;";",""),IF(AND($G71&lt;Hta_28,$G71&gt;=Hba_28,Input!AF$48&lt;&gt;""),Input!$B$48&amp;";",""),IF(AND($G71&lt;Hta_29,$G71&gt;=Hba_29,Input!AF$49&lt;&gt;""),Input!$B$49&amp;";",""),IF(AND($G71&lt;Hta_30,$G71&gt;=Hba_30,Input!AF$50&lt;&gt;""),Input!$B$50&amp;";","")),"")</f>
        <v/>
      </c>
      <c r="CH71" s="25" t="str">
        <f>IFERROR(CONCATENATE(IF(AND($G71&lt;Hta_1,$G71&gt;=Hba_1,Input!AG$21&lt;&gt;""),Input!$B$21&amp;";",""),IF(AND($G71&lt;Hta_2,$G71&gt;=Hba_2,Input!AG$22&lt;&gt;""),Input!$B$22&amp;";",""),IF(AND($G71&lt;Hta_3,$G71&gt;=Hba_3,Input!AG$23&lt;&gt;""),Input!$B$23&amp;";",""),IF(AND($G71&lt;Hta_4,$G71&gt;=Hba_4,Input!AG$24&lt;&gt;""),Input!$B$24&amp;";",""),IF(AND($G71&lt;Hta_5,$G71&gt;=Hba_5,Input!AG$25&lt;&gt;""),Input!$B$25&amp;";",""),IF(AND($G71&lt;Hta_6,$G71&gt;=Hba_6,Input!AG$26&lt;&gt;""),Input!$B$26&amp;";",""),IF(AND($G71&lt;Hta_7,$G71&gt;=Hba_7,Input!AG$27&lt;&gt;""),Input!$B$27&amp;";",""),IF(AND($G71&lt;Hta_8,$G71&gt;=Hba_8,Input!AG$28&lt;&gt;""),Input!$B$28&amp;";",""),IF(AND($G71&lt;Hta_9,$G71&gt;=Hba_9,Input!AG$29&lt;&gt;""),Input!$B$29&amp;";",""),IF(AND($G71&lt;Hta_10,$G71&gt;=Hba_10,Input!AG$30&lt;&gt;""),Input!$B$30&amp;";",""),IF(AND($G71&lt;Hta_11,$G71&gt;=Hba_11,Input!AG$31&lt;&gt;""),Input!$B$31&amp;";",""),IF(AND($G71&lt;Hta_12,$G71&gt;=Hba_12,Input!AG$32&lt;&gt;""),Input!$B$32&amp;";",""),IF(AND($G71&lt;Hta_13,$G71&gt;=Hba_13,Input!AG$33&lt;&gt;""),Input!$B$33&amp;";",""),IF(AND($G71&lt;Hta_14,$G71&gt;=Hba_14,Input!AG$34&lt;&gt;""),Input!$B$34&amp;";",""),IF(AND($G71&lt;Hta_15,$G71&gt;=Hba_15,Input!AG$35&lt;&gt;""),Input!$B$35&amp;";",""),IF(AND($G71&lt;Hta_16,$G71&gt;=Hba_16,Input!AG$36&lt;&gt;""),Input!$B$36&amp;";",""),IF(AND($G71&lt;Hta_17,$G71&gt;=Hba_17,Input!AG$37&lt;&gt;""),Input!$B$37&amp;";",""),IF(AND($G71&lt;Hta_18,$G71&gt;=Hba_18,Input!AG$38&lt;&gt;""),Input!$B$38&amp;";",""),IF(AND($G71&lt;Hta_19,$G71&gt;=Hba_19,Input!AG$39&lt;&gt;""),Input!$B$39&amp;";",""),IF(AND($G71&lt;Hta_20,$G71&gt;=Hba_20,Input!AG$40&lt;&gt;""),Input!$B$40&amp;";",""),IF(AND($G71&lt;Hta_21,$G71&gt;=Hba_21,Input!AG$41&lt;&gt;""),Input!$B$41&amp;";",""),IF(AND($G71&lt;Hta_22,$G71&gt;=Hba_22,Input!AG$42&lt;&gt;""),Input!$B$42&amp;";",""),IF(AND($G71&lt;Hta_23,$G71&gt;=Hba_23,Input!AG$43&lt;&gt;""),Input!$B$43&amp;";",""),IF(AND($G71&lt;Hta_24,$G71&gt;=Hba_24,Input!AG$44&lt;&gt;""),Input!$B$44&amp;";",""),IF(AND($G71&lt;Hta_25,$G71&gt;=Hba_25,Input!AG$45&lt;&gt;""),Input!$B$45&amp;";",""),IF(AND($G71&lt;Hta_26,$G71&gt;=Hba_26,Input!AG$46&lt;&gt;""),Input!$B$46&amp;";",""),IF(AND($G71&lt;Hta_27,$G71&gt;=Hba_27,Input!AG$47&lt;&gt;""),Input!$B$47&amp;";",""),IF(AND($G71&lt;Hta_28,$G71&gt;=Hba_28,Input!AG$48&lt;&gt;""),Input!$B$48&amp;";",""),IF(AND($G71&lt;Hta_29,$G71&gt;=Hba_29,Input!AG$49&lt;&gt;""),Input!$B$49&amp;";",""),IF(AND($G71&lt;Hta_30,$G71&gt;=Hba_30,Input!AG$50&lt;&gt;""),Input!$B$50&amp;";","")),"")</f>
        <v/>
      </c>
      <c r="CI71" s="25" t="str">
        <f>IFERROR(CONCATENATE(IF(AND($G71&lt;Hta_1,$G71&gt;=Hba_1,Input!AH$21&lt;&gt;""),Input!$B$21&amp;";",""),IF(AND($G71&lt;Hta_2,$G71&gt;=Hba_2,Input!AH$22&lt;&gt;""),Input!$B$22&amp;";",""),IF(AND($G71&lt;Hta_3,$G71&gt;=Hba_3,Input!AH$23&lt;&gt;""),Input!$B$23&amp;";",""),IF(AND($G71&lt;Hta_4,$G71&gt;=Hba_4,Input!AH$24&lt;&gt;""),Input!$B$24&amp;";",""),IF(AND($G71&lt;Hta_5,$G71&gt;=Hba_5,Input!AH$25&lt;&gt;""),Input!$B$25&amp;";",""),IF(AND($G71&lt;Hta_6,$G71&gt;=Hba_6,Input!AH$26&lt;&gt;""),Input!$B$26&amp;";",""),IF(AND($G71&lt;Hta_7,$G71&gt;=Hba_7,Input!AH$27&lt;&gt;""),Input!$B$27&amp;";",""),IF(AND($G71&lt;Hta_8,$G71&gt;=Hba_8,Input!AH$28&lt;&gt;""),Input!$B$28&amp;";",""),IF(AND($G71&lt;Hta_9,$G71&gt;=Hba_9,Input!AH$29&lt;&gt;""),Input!$B$29&amp;";",""),IF(AND($G71&lt;Hta_10,$G71&gt;=Hba_10,Input!AH$30&lt;&gt;""),Input!$B$30&amp;";",""),IF(AND($G71&lt;Hta_11,$G71&gt;=Hba_11,Input!AH$31&lt;&gt;""),Input!$B$31&amp;";",""),IF(AND($G71&lt;Hta_12,$G71&gt;=Hba_12,Input!AH$32&lt;&gt;""),Input!$B$32&amp;";",""),IF(AND($G71&lt;Hta_13,$G71&gt;=Hba_13,Input!AH$33&lt;&gt;""),Input!$B$33&amp;";",""),IF(AND($G71&lt;Hta_14,$G71&gt;=Hba_14,Input!AH$34&lt;&gt;""),Input!$B$34&amp;";",""),IF(AND($G71&lt;Hta_15,$G71&gt;=Hba_15,Input!AH$35&lt;&gt;""),Input!$B$35&amp;";",""),IF(AND($G71&lt;Hta_16,$G71&gt;=Hba_16,Input!AH$36&lt;&gt;""),Input!$B$36&amp;";",""),IF(AND($G71&lt;Hta_17,$G71&gt;=Hba_17,Input!AH$37&lt;&gt;""),Input!$B$37&amp;";",""),IF(AND($G71&lt;Hta_18,$G71&gt;=Hba_18,Input!AH$38&lt;&gt;""),Input!$B$38&amp;";",""),IF(AND($G71&lt;Hta_19,$G71&gt;=Hba_19,Input!AH$39&lt;&gt;""),Input!$B$39&amp;";",""),IF(AND($G71&lt;Hta_20,$G71&gt;=Hba_20,Input!AH$40&lt;&gt;""),Input!$B$40&amp;";",""),IF(AND($G71&lt;Hta_21,$G71&gt;=Hba_21,Input!AH$41&lt;&gt;""),Input!$B$41&amp;";",""),IF(AND($G71&lt;Hta_22,$G71&gt;=Hba_22,Input!AH$42&lt;&gt;""),Input!$B$42&amp;";",""),IF(AND($G71&lt;Hta_23,$G71&gt;=Hba_23,Input!AH$43&lt;&gt;""),Input!$B$43&amp;";",""),IF(AND($G71&lt;Hta_24,$G71&gt;=Hba_24,Input!AH$44&lt;&gt;""),Input!$B$44&amp;";",""),IF(AND($G71&lt;Hta_25,$G71&gt;=Hba_25,Input!AH$45&lt;&gt;""),Input!$B$45&amp;";",""),IF(AND($G71&lt;Hta_26,$G71&gt;=Hba_26,Input!AH$46&lt;&gt;""),Input!$B$46&amp;";",""),IF(AND($G71&lt;Hta_27,$G71&gt;=Hba_27,Input!AH$47&lt;&gt;""),Input!$B$47&amp;";",""),IF(AND($G71&lt;Hta_28,$G71&gt;=Hba_28,Input!AH$48&lt;&gt;""),Input!$B$48&amp;";",""),IF(AND($G71&lt;Hta_29,$G71&gt;=Hba_29,Input!AH$49&lt;&gt;""),Input!$B$49&amp;";",""),IF(AND($G71&lt;Hta_30,$G71&gt;=Hba_30,Input!AH$50&lt;&gt;""),Input!$B$50&amp;";","")),"")</f>
        <v/>
      </c>
      <c r="CJ71" s="25" t="str">
        <f>IFERROR(CONCATENATE(IF(AND($G71&lt;Hta_1,$G71&gt;=Hba_1,Input!AI$21&lt;&gt;""),Input!$B$21&amp;";",""),IF(AND($G71&lt;Hta_2,$G71&gt;=Hba_2,Input!AI$22&lt;&gt;""),Input!$B$22&amp;";",""),IF(AND($G71&lt;Hta_3,$G71&gt;=Hba_3,Input!AI$23&lt;&gt;""),Input!$B$23&amp;";",""),IF(AND($G71&lt;Hta_4,$G71&gt;=Hba_4,Input!AI$24&lt;&gt;""),Input!$B$24&amp;";",""),IF(AND($G71&lt;Hta_5,$G71&gt;=Hba_5,Input!AI$25&lt;&gt;""),Input!$B$25&amp;";",""),IF(AND($G71&lt;Hta_6,$G71&gt;=Hba_6,Input!AI$26&lt;&gt;""),Input!$B$26&amp;";",""),IF(AND($G71&lt;Hta_7,$G71&gt;=Hba_7,Input!AI$27&lt;&gt;""),Input!$B$27&amp;";",""),IF(AND($G71&lt;Hta_8,$G71&gt;=Hba_8,Input!AI$28&lt;&gt;""),Input!$B$28&amp;";",""),IF(AND($G71&lt;Hta_9,$G71&gt;=Hba_9,Input!AI$29&lt;&gt;""),Input!$B$29&amp;";",""),IF(AND($G71&lt;Hta_10,$G71&gt;=Hba_10,Input!AI$30&lt;&gt;""),Input!$B$30&amp;";",""),IF(AND($G71&lt;Hta_11,$G71&gt;=Hba_11,Input!AI$31&lt;&gt;""),Input!$B$31&amp;";",""),IF(AND($G71&lt;Hta_12,$G71&gt;=Hba_12,Input!AI$32&lt;&gt;""),Input!$B$32&amp;";",""),IF(AND($G71&lt;Hta_13,$G71&gt;=Hba_13,Input!AI$33&lt;&gt;""),Input!$B$33&amp;";",""),IF(AND($G71&lt;Hta_14,$G71&gt;=Hba_14,Input!AI$34&lt;&gt;""),Input!$B$34&amp;";",""),IF(AND($G71&lt;Hta_15,$G71&gt;=Hba_15,Input!AI$35&lt;&gt;""),Input!$B$35&amp;";",""),IF(AND($G71&lt;Hta_16,$G71&gt;=Hba_16,Input!AI$36&lt;&gt;""),Input!$B$36&amp;";",""),IF(AND($G71&lt;Hta_17,$G71&gt;=Hba_17,Input!AI$37&lt;&gt;""),Input!$B$37&amp;";",""),IF(AND($G71&lt;Hta_18,$G71&gt;=Hba_18,Input!AI$38&lt;&gt;""),Input!$B$38&amp;";",""),IF(AND($G71&lt;Hta_19,$G71&gt;=Hba_19,Input!AI$39&lt;&gt;""),Input!$B$39&amp;";",""),IF(AND($G71&lt;Hta_20,$G71&gt;=Hba_20,Input!AI$40&lt;&gt;""),Input!$B$40&amp;";",""),IF(AND($G71&lt;Hta_21,$G71&gt;=Hba_21,Input!AI$41&lt;&gt;""),Input!$B$41&amp;";",""),IF(AND($G71&lt;Hta_22,$G71&gt;=Hba_22,Input!AI$42&lt;&gt;""),Input!$B$42&amp;";",""),IF(AND($G71&lt;Hta_23,$G71&gt;=Hba_23,Input!AI$43&lt;&gt;""),Input!$B$43&amp;";",""),IF(AND($G71&lt;Hta_24,$G71&gt;=Hba_24,Input!AI$44&lt;&gt;""),Input!$B$44&amp;";",""),IF(AND($G71&lt;Hta_25,$G71&gt;=Hba_25,Input!AI$45&lt;&gt;""),Input!$B$45&amp;";",""),IF(AND($G71&lt;Hta_26,$G71&gt;=Hba_26,Input!AI$46&lt;&gt;""),Input!$B$46&amp;";",""),IF(AND($G71&lt;Hta_27,$G71&gt;=Hba_27,Input!AI$47&lt;&gt;""),Input!$B$47&amp;";",""),IF(AND($G71&lt;Hta_28,$G71&gt;=Hba_28,Input!AI$48&lt;&gt;""),Input!$B$48&amp;";",""),IF(AND($G71&lt;Hta_29,$G71&gt;=Hba_29,Input!AI$49&lt;&gt;""),Input!$B$49&amp;";",""),IF(AND($G71&lt;Hta_30,$G71&gt;=Hba_30,Input!AI$50&lt;&gt;""),Input!$B$50&amp;";","")),"")</f>
        <v/>
      </c>
      <c r="CK71" s="25" t="str">
        <f>IFERROR(CONCATENATE(IF(AND($G71&lt;Hta_1,$G71&gt;=Hba_1,Input!AJ$21&lt;&gt;""),Input!$B$21&amp;";",""),IF(AND($G71&lt;Hta_2,$G71&gt;=Hba_2,Input!AJ$22&lt;&gt;""),Input!$B$22&amp;";",""),IF(AND($G71&lt;Hta_3,$G71&gt;=Hba_3,Input!AJ$23&lt;&gt;""),Input!$B$23&amp;";",""),IF(AND($G71&lt;Hta_4,$G71&gt;=Hba_4,Input!AJ$24&lt;&gt;""),Input!$B$24&amp;";",""),IF(AND($G71&lt;Hta_5,$G71&gt;=Hba_5,Input!AJ$25&lt;&gt;""),Input!$B$25&amp;";",""),IF(AND($G71&lt;Hta_6,$G71&gt;=Hba_6,Input!AJ$26&lt;&gt;""),Input!$B$26&amp;";",""),IF(AND($G71&lt;Hta_7,$G71&gt;=Hba_7,Input!AJ$27&lt;&gt;""),Input!$B$27&amp;";",""),IF(AND($G71&lt;Hta_8,$G71&gt;=Hba_8,Input!AJ$28&lt;&gt;""),Input!$B$28&amp;";",""),IF(AND($G71&lt;Hta_9,$G71&gt;=Hba_9,Input!AJ$29&lt;&gt;""),Input!$B$29&amp;";",""),IF(AND($G71&lt;Hta_10,$G71&gt;=Hba_10,Input!AJ$30&lt;&gt;""),Input!$B$30&amp;";",""),IF(AND($G71&lt;Hta_11,$G71&gt;=Hba_11,Input!AJ$31&lt;&gt;""),Input!$B$31&amp;";",""),IF(AND($G71&lt;Hta_12,$G71&gt;=Hba_12,Input!AJ$32&lt;&gt;""),Input!$B$32&amp;";",""),IF(AND($G71&lt;Hta_13,$G71&gt;=Hba_13,Input!AJ$33&lt;&gt;""),Input!$B$33&amp;";",""),IF(AND($G71&lt;Hta_14,$G71&gt;=Hba_14,Input!AJ$34&lt;&gt;""),Input!$B$34&amp;";",""),IF(AND($G71&lt;Hta_15,$G71&gt;=Hba_15,Input!AJ$35&lt;&gt;""),Input!$B$35&amp;";",""),IF(AND($G71&lt;Hta_16,$G71&gt;=Hba_16,Input!AJ$36&lt;&gt;""),Input!$B$36&amp;";",""),IF(AND($G71&lt;Hta_17,$G71&gt;=Hba_17,Input!AJ$37&lt;&gt;""),Input!$B$37&amp;";",""),IF(AND($G71&lt;Hta_18,$G71&gt;=Hba_18,Input!AJ$38&lt;&gt;""),Input!$B$38&amp;";",""),IF(AND($G71&lt;Hta_19,$G71&gt;=Hba_19,Input!AJ$39&lt;&gt;""),Input!$B$39&amp;";",""),IF(AND($G71&lt;Hta_20,$G71&gt;=Hba_20,Input!AJ$40&lt;&gt;""),Input!$B$40&amp;";",""),IF(AND($G71&lt;Hta_21,$G71&gt;=Hba_21,Input!AJ$41&lt;&gt;""),Input!$B$41&amp;";",""),IF(AND($G71&lt;Hta_22,$G71&gt;=Hba_22,Input!AJ$42&lt;&gt;""),Input!$B$42&amp;";",""),IF(AND($G71&lt;Hta_23,$G71&gt;=Hba_23,Input!AJ$43&lt;&gt;""),Input!$B$43&amp;";",""),IF(AND($G71&lt;Hta_24,$G71&gt;=Hba_24,Input!AJ$44&lt;&gt;""),Input!$B$44&amp;";",""),IF(AND($G71&lt;Hta_25,$G71&gt;=Hba_25,Input!AJ$45&lt;&gt;""),Input!$B$45&amp;";",""),IF(AND($G71&lt;Hta_26,$G71&gt;=Hba_26,Input!AJ$46&lt;&gt;""),Input!$B$46&amp;";",""),IF(AND($G71&lt;Hta_27,$G71&gt;=Hba_27,Input!AJ$47&lt;&gt;""),Input!$B$47&amp;";",""),IF(AND($G71&lt;Hta_28,$G71&gt;=Hba_28,Input!AJ$48&lt;&gt;""),Input!$B$48&amp;";",""),IF(AND($G71&lt;Hta_29,$G71&gt;=Hba_29,Input!AJ$49&lt;&gt;""),Input!$B$49&amp;";",""),IF(AND($G71&lt;Hta_30,$G71&gt;=Hba_30,Input!AJ$50&lt;&gt;""),Input!$B$50&amp;";","")),"")</f>
        <v/>
      </c>
      <c r="CL71" s="25" t="str">
        <f>IFERROR(CONCATENATE(IF(AND($G71&lt;Hta_1,$G71&gt;=Hba_1,Input!AK$21&lt;&gt;""),Input!$B$21&amp;";",""),IF(AND($G71&lt;Hta_2,$G71&gt;=Hba_2,Input!AK$22&lt;&gt;""),Input!$B$22&amp;";",""),IF(AND($G71&lt;Hta_3,$G71&gt;=Hba_3,Input!AK$23&lt;&gt;""),Input!$B$23&amp;";",""),IF(AND($G71&lt;Hta_4,$G71&gt;=Hba_4,Input!AK$24&lt;&gt;""),Input!$B$24&amp;";",""),IF(AND($G71&lt;Hta_5,$G71&gt;=Hba_5,Input!AK$25&lt;&gt;""),Input!$B$25&amp;";",""),IF(AND($G71&lt;Hta_6,$G71&gt;=Hba_6,Input!AK$26&lt;&gt;""),Input!$B$26&amp;";",""),IF(AND($G71&lt;Hta_7,$G71&gt;=Hba_7,Input!AK$27&lt;&gt;""),Input!$B$27&amp;";",""),IF(AND($G71&lt;Hta_8,$G71&gt;=Hba_8,Input!AK$28&lt;&gt;""),Input!$B$28&amp;";",""),IF(AND($G71&lt;Hta_9,$G71&gt;=Hba_9,Input!AK$29&lt;&gt;""),Input!$B$29&amp;";",""),IF(AND($G71&lt;Hta_10,$G71&gt;=Hba_10,Input!AK$30&lt;&gt;""),Input!$B$30&amp;";",""),IF(AND($G71&lt;Hta_11,$G71&gt;=Hba_11,Input!AK$31&lt;&gt;""),Input!$B$31&amp;";",""),IF(AND($G71&lt;Hta_12,$G71&gt;=Hba_12,Input!AK$32&lt;&gt;""),Input!$B$32&amp;";",""),IF(AND($G71&lt;Hta_13,$G71&gt;=Hba_13,Input!AK$33&lt;&gt;""),Input!$B$33&amp;";",""),IF(AND($G71&lt;Hta_14,$G71&gt;=Hba_14,Input!AK$34&lt;&gt;""),Input!$B$34&amp;";",""),IF(AND($G71&lt;Hta_15,$G71&gt;=Hba_15,Input!AK$35&lt;&gt;""),Input!$B$35&amp;";",""),IF(AND($G71&lt;Hta_16,$G71&gt;=Hba_16,Input!AK$36&lt;&gt;""),Input!$B$36&amp;";",""),IF(AND($G71&lt;Hta_17,$G71&gt;=Hba_17,Input!AK$37&lt;&gt;""),Input!$B$37&amp;";",""),IF(AND($G71&lt;Hta_18,$G71&gt;=Hba_18,Input!AK$38&lt;&gt;""),Input!$B$38&amp;";",""),IF(AND($G71&lt;Hta_19,$G71&gt;=Hba_19,Input!AK$39&lt;&gt;""),Input!$B$39&amp;";",""),IF(AND($G71&lt;Hta_20,$G71&gt;=Hba_20,Input!AK$40&lt;&gt;""),Input!$B$40&amp;";",""),IF(AND($G71&lt;Hta_21,$G71&gt;=Hba_21,Input!AK$41&lt;&gt;""),Input!$B$41&amp;";",""),IF(AND($G71&lt;Hta_22,$G71&gt;=Hba_22,Input!AK$42&lt;&gt;""),Input!$B$42&amp;";",""),IF(AND($G71&lt;Hta_23,$G71&gt;=Hba_23,Input!AK$43&lt;&gt;""),Input!$B$43&amp;";",""),IF(AND($G71&lt;Hta_24,$G71&gt;=Hba_24,Input!AK$44&lt;&gt;""),Input!$B$44&amp;";",""),IF(AND($G71&lt;Hta_25,$G71&gt;=Hba_25,Input!AK$45&lt;&gt;""),Input!$B$45&amp;";",""),IF(AND($G71&lt;Hta_26,$G71&gt;=Hba_26,Input!AK$46&lt;&gt;""),Input!$B$46&amp;";",""),IF(AND($G71&lt;Hta_27,$G71&gt;=Hba_27,Input!AK$47&lt;&gt;""),Input!$B$47&amp;";",""),IF(AND($G71&lt;Hta_28,$G71&gt;=Hba_28,Input!AK$48&lt;&gt;""),Input!$B$48&amp;";",""),IF(AND($G71&lt;Hta_29,$G71&gt;=Hba_29,Input!AK$49&lt;&gt;""),Input!$B$49&amp;";",""),IF(AND($G71&lt;Hta_30,$G71&gt;=Hba_30,Input!AK$50&lt;&gt;""),Input!$B$50&amp;";","")),"")</f>
        <v/>
      </c>
      <c r="CM71" s="25" t="str">
        <f>IFERROR(CONCATENATE(IF(AND($G71&lt;Hta_1,$G71&gt;=Hba_1,Input!AL$21&lt;&gt;""),Input!$B$21&amp;";",""),IF(AND($G71&lt;Hta_2,$G71&gt;=Hba_2,Input!AL$22&lt;&gt;""),Input!$B$22&amp;";",""),IF(AND($G71&lt;Hta_3,$G71&gt;=Hba_3,Input!AL$23&lt;&gt;""),Input!$B$23&amp;";",""),IF(AND($G71&lt;Hta_4,$G71&gt;=Hba_4,Input!AL$24&lt;&gt;""),Input!$B$24&amp;";",""),IF(AND($G71&lt;Hta_5,$G71&gt;=Hba_5,Input!AL$25&lt;&gt;""),Input!$B$25&amp;";",""),IF(AND($G71&lt;Hta_6,$G71&gt;=Hba_6,Input!AL$26&lt;&gt;""),Input!$B$26&amp;";",""),IF(AND($G71&lt;Hta_7,$G71&gt;=Hba_7,Input!AL$27&lt;&gt;""),Input!$B$27&amp;";",""),IF(AND($G71&lt;Hta_8,$G71&gt;=Hba_8,Input!AL$28&lt;&gt;""),Input!$B$28&amp;";",""),IF(AND($G71&lt;Hta_9,$G71&gt;=Hba_9,Input!AL$29&lt;&gt;""),Input!$B$29&amp;";",""),IF(AND($G71&lt;Hta_10,$G71&gt;=Hba_10,Input!AL$30&lt;&gt;""),Input!$B$30&amp;";",""),IF(AND($G71&lt;Hta_11,$G71&gt;=Hba_11,Input!AL$31&lt;&gt;""),Input!$B$31&amp;";",""),IF(AND($G71&lt;Hta_12,$G71&gt;=Hba_12,Input!AL$32&lt;&gt;""),Input!$B$32&amp;";",""),IF(AND($G71&lt;Hta_13,$G71&gt;=Hba_13,Input!AL$33&lt;&gt;""),Input!$B$33&amp;";",""),IF(AND($G71&lt;Hta_14,$G71&gt;=Hba_14,Input!AL$34&lt;&gt;""),Input!$B$34&amp;";",""),IF(AND($G71&lt;Hta_15,$G71&gt;=Hba_15,Input!AL$35&lt;&gt;""),Input!$B$35&amp;";",""),IF(AND($G71&lt;Hta_16,$G71&gt;=Hba_16,Input!AL$36&lt;&gt;""),Input!$B$36&amp;";",""),IF(AND($G71&lt;Hta_17,$G71&gt;=Hba_17,Input!AL$37&lt;&gt;""),Input!$B$37&amp;";",""),IF(AND($G71&lt;Hta_18,$G71&gt;=Hba_18,Input!AL$38&lt;&gt;""),Input!$B$38&amp;";",""),IF(AND($G71&lt;Hta_19,$G71&gt;=Hba_19,Input!AL$39&lt;&gt;""),Input!$B$39&amp;";",""),IF(AND($G71&lt;Hta_20,$G71&gt;=Hba_20,Input!AL$40&lt;&gt;""),Input!$B$40&amp;";",""),IF(AND($G71&lt;Hta_21,$G71&gt;=Hba_21,Input!AL$41&lt;&gt;""),Input!$B$41&amp;";",""),IF(AND($G71&lt;Hta_22,$G71&gt;=Hba_22,Input!AL$42&lt;&gt;""),Input!$B$42&amp;";",""),IF(AND($G71&lt;Hta_23,$G71&gt;=Hba_23,Input!AL$43&lt;&gt;""),Input!$B$43&amp;";",""),IF(AND($G71&lt;Hta_24,$G71&gt;=Hba_24,Input!AL$44&lt;&gt;""),Input!$B$44&amp;";",""),IF(AND($G71&lt;Hta_25,$G71&gt;=Hba_25,Input!AL$45&lt;&gt;""),Input!$B$45&amp;";",""),IF(AND($G71&lt;Hta_26,$G71&gt;=Hba_26,Input!AL$46&lt;&gt;""),Input!$B$46&amp;";",""),IF(AND($G71&lt;Hta_27,$G71&gt;=Hba_27,Input!AL$47&lt;&gt;""),Input!$B$47&amp;";",""),IF(AND($G71&lt;Hta_28,$G71&gt;=Hba_28,Input!AL$48&lt;&gt;""),Input!$B$48&amp;";",""),IF(AND($G71&lt;Hta_29,$G71&gt;=Hba_29,Input!AL$49&lt;&gt;""),Input!$B$49&amp;";",""),IF(AND($G71&lt;Hta_30,$G71&gt;=Hba_30,Input!AL$50&lt;&gt;""),Input!$B$50&amp;";","")),"")</f>
        <v/>
      </c>
      <c r="CN71" s="60" t="str">
        <f t="shared" ref="CN71:CN104" si="16">AZ71</f>
        <v/>
      </c>
      <c r="CO71" s="798"/>
      <c r="CP71" s="799"/>
      <c r="CQ71" s="800"/>
      <c r="CR71" s="798"/>
      <c r="CS71" s="799"/>
      <c r="CT71" s="800"/>
      <c r="CU71" s="798" t="str">
        <f t="shared" ref="CU71:CU104" si="17">IF(CO71="","",IF(CR71="n/a",CO71,CO71+CR71))</f>
        <v/>
      </c>
      <c r="CV71" s="799"/>
      <c r="CW71" s="806"/>
      <c r="CX71" s="726"/>
      <c r="CY71" s="727"/>
      <c r="CZ71" s="732"/>
      <c r="DA71" s="726"/>
      <c r="DB71" s="727"/>
      <c r="DC71" s="732"/>
      <c r="DD71" s="726" t="str">
        <f t="shared" ref="DD71:DD104" si="18">IF(CX71="","",IF(DA71="n/a",CX71,CX71+DA71))</f>
        <v/>
      </c>
      <c r="DE71" s="727"/>
      <c r="DF71" s="728"/>
      <c r="DG71" s="53"/>
      <c r="DH71" s="54"/>
      <c r="DI71" s="54"/>
      <c r="DJ71" s="54"/>
      <c r="DK71" s="54"/>
      <c r="DL71" s="54"/>
      <c r="DM71" s="54"/>
      <c r="DN71" s="54"/>
      <c r="DO71" s="54"/>
      <c r="DP71" s="54"/>
      <c r="DQ71" s="57"/>
      <c r="DR71" s="57"/>
      <c r="DS71" s="57"/>
      <c r="DT71" s="57"/>
      <c r="DU71" s="57"/>
      <c r="DV71" s="57"/>
      <c r="DW71" s="57"/>
      <c r="DX71" s="57"/>
      <c r="DY71" s="57"/>
      <c r="DZ71" s="57"/>
      <c r="EA71" s="57"/>
      <c r="EB71" s="57"/>
      <c r="EC71" s="57"/>
      <c r="ED71" s="57"/>
      <c r="EE71" s="57"/>
      <c r="EF71" s="57"/>
      <c r="EG71" s="57"/>
      <c r="EH71" s="57"/>
      <c r="EI71" s="57"/>
      <c r="EJ71" s="57"/>
      <c r="EK71" s="57"/>
      <c r="EL71" s="133"/>
      <c r="EM71" s="133"/>
      <c r="EN71" s="133"/>
      <c r="EO71" s="133"/>
      <c r="EP71" s="133"/>
      <c r="EQ71" s="133"/>
      <c r="ER71" s="133"/>
      <c r="ES71" s="133"/>
      <c r="ET71" s="133"/>
      <c r="EU71" s="133"/>
      <c r="EV71" s="133"/>
      <c r="EW71" s="133"/>
      <c r="EX71" s="133"/>
      <c r="EY71" s="133"/>
      <c r="EZ71" s="133"/>
      <c r="FA71" s="133"/>
      <c r="FB71" s="133"/>
      <c r="FC71" s="133"/>
      <c r="FD71" s="133"/>
      <c r="FE71" s="133"/>
      <c r="FF71" s="133"/>
      <c r="FG71" s="133"/>
      <c r="FH71" s="133"/>
      <c r="FI71" s="133"/>
      <c r="FJ71" s="133"/>
      <c r="FK71" s="133"/>
      <c r="FL71" s="133"/>
      <c r="FM71" s="133"/>
      <c r="FN71" s="133"/>
      <c r="FO71" s="133"/>
      <c r="FQ71" s="125"/>
      <c r="FR71" s="123"/>
      <c r="FS71" s="121"/>
      <c r="FT71" s="119"/>
    </row>
    <row r="72" spans="2:176" ht="15.75" hidden="1" thickBot="1" x14ac:dyDescent="0.3">
      <c r="B72" s="62" t="b">
        <f>IF(OR(AND(G72&gt;='Geometry 2'!$AK$5,G72&lt;'Geometry 2'!$AL$5),AND(G72&gt;='Geometry 2'!$AK$6,G72&lt;'Geometry 2'!$AL$6),AND(G72&gt;='Geometry 2'!$AK$7,G72&lt;'Geometry 2'!$AL$7),AND(G72&gt;='Geometry 2'!$AK$8,G72&lt;'Geometry 2'!$AL$8),AND(G72&gt;='Geometry 2'!$AK$9,G72&lt;'Geometry 2'!$AL$9),AND(G72&gt;='Geometry 2'!$AK$10,G72&lt;'Geometry 2'!$AL$10),AND(G72&gt;='Geometry 2'!$AK$11,G72&lt;'Geometry 2'!$AL$11),AND(G72&gt;='Geometry 2'!$AK$12,G72&lt;'Geometry 2'!$AL$12),AND(G72&gt;='Geometry 2'!$AK$13,G72&lt;'Geometry 2'!$AL$13),AND(G72&gt;='Geometry 2'!$AK$14,G72&lt;'Geometry 2'!$AL$14)),TRUE,FALSE)</f>
        <v>0</v>
      </c>
      <c r="C72" s="4" t="str">
        <f t="shared" si="13"/>
        <v/>
      </c>
      <c r="D72" s="766" t="str">
        <f t="shared" si="14"/>
        <v/>
      </c>
      <c r="E72" s="767"/>
      <c r="F72" s="17" t="str">
        <f t="shared" si="12"/>
        <v/>
      </c>
      <c r="G72" s="768" t="str">
        <f>IF(D72="","",MAX(0,G71-IF(inc="n/a",999,inc),MAX(IF(G71&lt;=Hta_1,0,Hta_1),IF(G71&lt;=Hta_2,0,Hta_2),IF(G71&lt;=Hta_3,0,Hta_3),IF(G71&lt;=Hta_4,0,Hta_4),IF(G71&lt;=Hta_5,0,Hta_5),IF(G71&lt;=Hta_6,0,Hta_6),IF(G71&lt;=Hta_7,0,Hta_7),IF(G71&lt;=Hta_8,0,Hta_8),IF(G71&lt;=Hta_9,0,Hta_9),IF(G71&lt;=Hta_10,0,Hta_10),IF(G71&lt;=Hta_11,0,Hta_11),IF(G71&lt;=Hta_12,0,Hta_12),IF(G71&lt;=Hta_13,0,Hta_13),IF(G71&lt;=Hta_14,0,Hta_14),IF(G71&lt;=Hta_15,0,Hta_15),IF(G71&lt;=Hta_16,0,Hta_16),IF(G71&lt;=Hta_17,0,Hta_17),IF(G71&lt;=Hta_18,0,Hta_18),IF(G71&lt;=Hta_19,0,Hta_19),IF(G71&lt;=Hta_20,0,Hta_20),IF(G71&lt;=Hta_21,0,Hta_21),IF(G71&lt;=Hta_22,0,Hta_22),IF(G71&lt;=Hta_23,0,Hta_23),IF(G71&lt;=Hta_24,0,Hta_24),IF(G71&lt;=Hta_25,0,Hta_25),IF(G71&lt;=Hta_26,0,Hta_26),IF(G71&lt;=Hta_27,0,Hta_27),IF(G71&lt;=Hta_28,0,Hta_28),IF(G71&lt;=Hta_29,0,Hta_29),IF(G71&lt;=Hta_30,0,Hta_30)),MAX(IF(G71&lt;=Hta_1-0.25,0,Hta_1-0.25),IF(G71&lt;=Hta_2-0.25,0,Hta_2-0.25),IF(G71&lt;=Hta_3-0.25,0,Hta_3-0.25),IF(G71&lt;=Hta_4-0.25,0,Hta_4-0.25),IF(G71&lt;=Hta_5-0.25,0,Hta_5-0.25),IF(G71&lt;=Hta_6-0.25,0,Hta_6-0.25),IF(G71&lt;=Hta_7-0.25,0,Hta_7-0.25),IF(G71&lt;=Hta_8-0.25,0,Hta_8-0.25),IF(G71&lt;=Hta_9-0.25,0,Hta_9-0.25),IF(G71&lt;=Hta_10-0.25,0,Hta_10-0.25),IF(G71&lt;=Hta_11-0.25,0,Hta_11-0.25),IF(G71&lt;=Hta_12-0.25,0,Hta_12-0.25),IF(G71&lt;=Hta_13-0.25,0,Hta_13-0.25),IF(G71&lt;=Hta_14-0.25,0,Hta_14-0.25),IF(G71&lt;=Hta_15-0.25,0,Hta_15-0.25),IF(G71&lt;=Hta_16-0.25,0,Hta_16-0.25),IF(G71&lt;=Hta_17-0.25,0,Hta_17-0.25),IF(G71&lt;=Hta_18-0.25,0,Hta_18-0.25),IF(G71&lt;=Hta_19-0.25,0,Hta_19-0.25),IF(G71&lt;=Hta_20-0.25,0,Hta_20-0.25),IF(G71&lt;=Hta_21-0.25,0,Hta_21-0.25),IF(G71&lt;=Hta_22-0.25,0,Hta_22-0.25),IF(G71&lt;=Hta_23-0.25,0,Hta_23-0.25),IF(G71&lt;=Hta_24-0.25,0,Hta_24-0.25),IF(G71&lt;=Hta_25-0.25,0,Hta_25-0.25),IF(G71&lt;=Hta_26-0.25,0,Hta_26-0.25),IF(G71&lt;=Hta_27-0.25,0,Hta_27-0.25),IF(G71&lt;=Hta_28-0.25,0,Hta_28-0.25),IF(G71&lt;=Hta_29-0.25,0,Hta_29-0.25),IF(G71&lt;=Hta_30-0.25,0,Hta_30-0.25)),MAX(IF(G71&lt;=Hba_1,0,Hba_1),IF(G71&lt;=Hba_2,0,Hba_2),IF(G71&lt;=Hba_3,0,Hba_3),IF(G71&lt;=Hba_4,0,Hba_4),IF(G71&lt;=Hba_5,0,Hba_5),IF(G71&lt;=Hba_6,0,Hba_6),IF(G71&lt;=Hba_7,0,Hba_7),IF(G71&lt;=Hba_8,0,Hba_8),IF(G71&lt;=Hba_9,0,Hba_9),IF(G71&lt;=Hba_10,0,Hba_10),IF(G71&lt;=Hba_11,0,Hba_11),IF(G71&lt;=Hba_12,0,Hba_12),IF(G71&lt;=Hba_13,0,Hba_13),IF(G71&lt;=Hba_14,0,Hba_14),IF(G71&lt;=Hba_15,0,Hba_15),IF(G71&lt;=Hba_16,0,Hba_16),IF(G71&lt;=Hba_17,0,Hba_17),IF(G71&lt;=Hba_18,0,Hba_18),IF(G71&lt;=Hba_19,0,Hba_19),IF(G71&lt;=Hba_20,0,Hba_20),IF(G71&lt;=Hba_21,0,Hba_21),IF(G71&lt;=Hba_22,0,Hba_22),IF(G71&lt;=Hba_23,0,Hba_23),IF(G71&lt;=Hba_24,0,Hba_24),IF(G71&lt;=Hba_25,0,Hba_25),IF(G71&lt;=Hba_26,0,Hba_26),IF(G71&lt;=Hba_27,0,Hba_27),IF(G71&lt;=Hba_28,0,Hba_28),IF(G71&lt;=Hba_29,0,Hba_29),IF(G71&lt;=Hba_30,0,Hba_30)),MAX(IF(G71&lt;=Input!$C$8,0,Input!$C$8),IF(G71&lt;=Input!$C$9,0,Input!$C$9),IF(G71&lt;=Input!$C$10,0,Input!$C$10),IF(G71&lt;=Input!$C$11,0,Input!$C$11),IF(G71&lt;=Input!$C$12,0,Input!$C$12),IF(G71&lt;=Input!$C$13,0,Input!$C$13),IF(G71&lt;=Input!$C$14,0,Input!$C$14),IF(G71&lt;=Input!$C$15,0,Input!$C$15),IF(G71&lt;=Input!$C$16,0,Input!$C$16)),MAX(IF(G71&lt;=Hba_1-0.25,0,Hba_1-0.25),IF(G71&lt;=Hba_2-0.25,0,Hba_2-0.25),IF(G71&lt;=Hba_3-0.25,0,Hba_3-0.25),IF(G71&lt;=Hba_4-0.25,0,Hba_4-0.25),IF(G71&lt;=Hba_5-0.25,0,Hba_5-0.25),IF(G71&lt;=Hba_6-0.25,0,Hba_6-0.25),IF(G71&lt;=Hba_7-0.25,0,Hba_7-0.25),IF(G71&lt;=Hba_8-0.25,0,Hba_8-0.25),IF(G71&lt;=Hba_9-0.25,0,Hba_9-0.25),IF(G71&lt;=Hba_10-0.25,0,Hba_10-0.25),IF(G71&lt;=Hba_11-0.25,0,Hba_11-0.25),IF(G71&lt;=Hba_12-0.25,0,Hba_12-0.25),IF(G71&lt;=Hba_13-0.25,0,Hba_13-0.25),IF(G71&lt;=Hba_14-0.25,0,Hba_14-0.25),IF(G71&lt;=Hba_15-0.25,0,Hba_15-0.25),IF(G71&lt;=Hba_16-0.25,0,Hba_16-0.25),IF(G71&lt;=Hba_17-0.25,0,Hba_17-0.25),IF(G71&lt;=Hba_18-0.25,0,Hba_18-0.25),IF(G71&lt;=Hba_19-0.25,0,Hba_19-0.25),IF(G71&lt;=Hba_20-0.25,0,Hba_20-0.25),IF(G71&lt;=Hba_21-0.25,0,Hba_21-0.25),IF(G71&lt;=Hba_22-0.25,0,Hba_22-0.25),IF(G71&lt;=Hba_23-0.25,0,Hba_23-0.25),IF(G71&lt;=Hba_24-0.25,0,Hba_24-0.25),IF(G71&lt;=Hba_25-0.25,0,Hba_25-0.25),IF(G71&lt;=Hba_26-0.25,0,Hba_26-0.25),IF(G71&lt;=Hba_27-0.25,0,Hba_27-0.25),IF(G71&lt;=Hba_28-0.25,0,Hba_28-0.25),IF(G71&lt;=Hba_29-0.25,0,Hba_29-0.25),IF(G71&lt;=Hba_30-0.25,0,Hba_30-0.25)),IF(G71&lt;='Macro References'!$A$38,0,'Macro References'!$A$38)))</f>
        <v/>
      </c>
      <c r="H72" s="769"/>
      <c r="I72" s="228"/>
      <c r="J72" s="228"/>
      <c r="K72" s="228"/>
      <c r="L72" s="717" t="str">
        <f t="shared" si="11"/>
        <v/>
      </c>
      <c r="M72" s="717"/>
      <c r="N72" s="717"/>
      <c r="O72" s="717"/>
      <c r="P72" s="717" t="str">
        <f>IF(OR(G72=0,G72=""),"",IF(VLOOKUP(G72,'Geometry 2'!$C$4:$AI$14,1,TRUE)=VLOOKUP(G73,'Geometry 2'!$C$4:$AI$14,1,TRUE),"",IF(VLOOKUP(G72,'Geometry 2'!$C$4:$AI$14,33,TRUE)&lt;&gt;"n/a",MIN(G72,VLOOKUP(G72,'Geometry 2'!$C$4:$AI$14,1,TRUE))-VLOOKUP(G72,'Geometry 2'!$C$4:$AI$14,33,TRUE),"check")))</f>
        <v/>
      </c>
      <c r="Q72" s="717"/>
      <c r="R72" s="717"/>
      <c r="S72" s="717"/>
      <c r="T72" s="717" t="str">
        <f>IF($G72="","",VLOOKUP($G72,'Geometry 2'!$E$4:$AH$14,11,TRUE))</f>
        <v/>
      </c>
      <c r="U72" s="717"/>
      <c r="V72" s="717"/>
      <c r="W72" s="717"/>
      <c r="X72" s="716" t="str">
        <f>IF($G72="","",VLOOKUP($G72,'Geometry 2'!$E$4:$AJ$14,19,TRUE)-12*VLOOKUP($G72,'Geometry 2'!$E$4:$AJ$14,32,TRUE)*($D72-VLOOKUP($G72,'Geometry 2'!$E$5:$AH$14,1,TRUE)))</f>
        <v/>
      </c>
      <c r="Y72" s="716"/>
      <c r="Z72" s="716"/>
      <c r="AA72" s="716"/>
      <c r="AB72" s="757" t="str">
        <f>IF($G72="","",VLOOKUP($G72,'Geometry 2'!$E$4:$AJ$14,19,TRUE)-12*VLOOKUP($G72,'Geometry 2'!$E$4:$AJ$14,32,TRUE)*($G72-VLOOKUP($G72,'Geometry 2'!$E$5:$AH$14,1,TRUE)))</f>
        <v/>
      </c>
      <c r="AC72" s="758"/>
      <c r="AD72" s="758"/>
      <c r="AE72" s="759"/>
      <c r="AF72" s="716" t="str">
        <f>IF($G72="","",VLOOKUP($G72,'Geometry 2'!$E$4:$AJ$14,19,TRUE)-12*VLOOKUP($G72,'Geometry 2'!$E$4:$AJ$14,32,TRUE)*($G72-IF($P72="",0,$P72)-VLOOKUP($G72,'Geometry 2'!$E$5:$AH$14,1,TRUE)))</f>
        <v/>
      </c>
      <c r="AG72" s="716"/>
      <c r="AH72" s="716"/>
      <c r="AI72" s="716"/>
      <c r="AJ72" s="746" t="str">
        <f>IF($G72="","",VLOOKUP($G72,'Geometry 2'!$E$4:$AH$14,23,TRUE))</f>
        <v/>
      </c>
      <c r="AK72" s="747"/>
      <c r="AL72" s="747"/>
      <c r="AM72" s="748"/>
      <c r="AN72" s="717"/>
      <c r="AO72" s="717"/>
      <c r="AP72" s="717"/>
      <c r="AQ72" s="717"/>
      <c r="AR72" s="717" t="str">
        <f>IF($G72="","",VLOOKUP($G72,'Geometry 2'!$E$4:$AH$14,27,TRUE))</f>
        <v/>
      </c>
      <c r="AS72" s="717"/>
      <c r="AT72" s="717"/>
      <c r="AU72" s="718"/>
      <c r="AV72" s="715"/>
      <c r="AW72" s="716"/>
      <c r="AX72" s="716"/>
      <c r="AZ72" s="722" t="str">
        <f t="shared" si="15"/>
        <v/>
      </c>
      <c r="BA72" s="723"/>
      <c r="BB72" s="723"/>
      <c r="BC72" s="724"/>
      <c r="BD72" s="722"/>
      <c r="BE72" s="723"/>
      <c r="BF72" s="723"/>
      <c r="BG72" s="722" t="str">
        <f t="shared" si="9"/>
        <v/>
      </c>
      <c r="BH72" s="723"/>
      <c r="BI72" s="723"/>
      <c r="BJ72" s="723"/>
      <c r="BK72" s="724"/>
      <c r="BL72" s="722"/>
      <c r="BM72" s="723"/>
      <c r="BN72" s="723"/>
      <c r="BO72" s="723"/>
      <c r="BP72" s="725"/>
      <c r="BQ72" s="725"/>
      <c r="BR72" s="722" t="str">
        <f>IF(BP72="","",IF(OR(AND(Rev="H",Calculations!$F$27=TRUE),AND(Rev&lt;&gt;"H",Calculations!$F$30=TRUE)),IF(BP72&lt;=1,"Pass","Fail"),IF(BP72&lt;=1.05,"Pass","Fail")))</f>
        <v/>
      </c>
      <c r="BS72" s="723"/>
      <c r="BT72" s="724"/>
      <c r="BU72" s="49"/>
      <c r="BV72" s="25" t="str">
        <f>IFERROR(CONCATENATE(IF(AND($G72&lt;Hta_1,$G72&gt;=Hba_1,Input!U$21&lt;&gt;""),Input!$B$21&amp;";",""),IF(AND($G72&lt;Hta_2,$G72&gt;=Hba_2,Input!U$22&lt;&gt;""),Input!$B$22&amp;";",""),IF(AND($G72&lt;Hta_3,$G72&gt;=Hba_3,Input!U$23&lt;&gt;""),Input!$B$23&amp;";",""),IF(AND($G72&lt;Hta_4,$G72&gt;=Hba_4,Input!U$24&lt;&gt;""),Input!$B$24&amp;";",""),IF(AND($G72&lt;Hta_5,$G72&gt;=Hba_5,Input!U$25&lt;&gt;""),Input!$B$25&amp;";",""),IF(AND($G72&lt;Hta_6,$G72&gt;=Hba_6,Input!U$26&lt;&gt;""),Input!$B$26&amp;";",""),IF(AND($G72&lt;Hta_7,$G72&gt;=Hba_7,Input!U$27&lt;&gt;""),Input!$B$27&amp;";",""),IF(AND($G72&lt;Hta_8,$G72&gt;=Hba_8,Input!U$28&lt;&gt;""),Input!$B$28&amp;";",""),IF(AND($G72&lt;Hta_9,$G72&gt;=Hba_9,Input!U$29&lt;&gt;""),Input!$B$29&amp;";",""),IF(AND($G72&lt;Hta_10,$G72&gt;=Hba_10,Input!U$30&lt;&gt;""),Input!$B$30&amp;";",""),IF(AND($G72&lt;Hta_11,$G72&gt;=Hba_11,Input!U$31&lt;&gt;""),Input!$B$31&amp;";",""),IF(AND($G72&lt;Hta_12,$G72&gt;=Hba_12,Input!U$32&lt;&gt;""),Input!$B$32&amp;";",""),IF(AND($G72&lt;Hta_13,$G72&gt;=Hba_13,Input!U$33&lt;&gt;""),Input!$B$33&amp;";",""),IF(AND($G72&lt;Hta_14,$G72&gt;=Hba_14,Input!U$34&lt;&gt;""),Input!$B$34&amp;";",""),IF(AND($G72&lt;Hta_15,$G72&gt;=Hba_15,Input!U$35&lt;&gt;""),Input!$B$35&amp;";",""),IF(AND($G72&lt;Hta_16,$G72&gt;=Hba_16,Input!U$36&lt;&gt;""),Input!$B$36&amp;";",""),IF(AND($G72&lt;Hta_17,$G72&gt;=Hba_17,Input!U$37&lt;&gt;""),Input!$B$37&amp;";",""),IF(AND($G72&lt;Hta_18,$G72&gt;=Hba_18,Input!U$38&lt;&gt;""),Input!$B$38&amp;";",""),IF(AND($G72&lt;Hta_19,$G72&gt;=Hba_19,Input!U$39&lt;&gt;""),Input!$B$39&amp;";",""),IF(AND($G72&lt;Hta_20,$G72&gt;=Hba_20,Input!U$40&lt;&gt;""),Input!$B$40&amp;";",""),IF(AND($G72&lt;Hta_21,$G72&gt;=Hba_21,Input!U$41&lt;&gt;""),Input!$B$41&amp;";",""),IF(AND($G72&lt;Hta_22,$G72&gt;=Hba_22,Input!U$42&lt;&gt;""),Input!$B$42&amp;";",""),IF(AND($G72&lt;Hta_23,$G72&gt;=Hba_23,Input!U$43&lt;&gt;""),Input!$B$43&amp;";",""),IF(AND($G72&lt;Hta_24,$G72&gt;=Hba_24,Input!U$44&lt;&gt;""),Input!$B$44&amp;";",""),IF(AND($G72&lt;Hta_25,$G72&gt;=Hba_25,Input!U$45&lt;&gt;""),Input!$B$45&amp;";",""),IF(AND($G72&lt;Hta_26,$G72&gt;=Hba_26,Input!U$46&lt;&gt;""),Input!$B$46&amp;";",""),IF(AND($G72&lt;Hta_27,$G72&gt;=Hba_27,Input!U$47&lt;&gt;""),Input!$B$47&amp;";",""),IF(AND($G72&lt;Hta_28,$G72&gt;=Hba_28,Input!U$48&lt;&gt;""),Input!$B$48&amp;";",""),IF(AND($G72&lt;Hta_29,$G72&gt;=Hba_29,Input!U$49&lt;&gt;""),Input!$B$49&amp;";",""),IF(AND($G72&lt;Hta_30,$G72&gt;=Hba_30,Input!U$50&lt;&gt;""),Input!$B$50&amp;";","")),"")</f>
        <v/>
      </c>
      <c r="BW72" s="25" t="str">
        <f>IFERROR(CONCATENATE(IF(AND($G72&lt;Hta_1,$G72&gt;=Hba_1,Input!V$21&lt;&gt;""),Input!$B$21&amp;";",""),IF(AND($G72&lt;Hta_2,$G72&gt;=Hba_2,Input!V$22&lt;&gt;""),Input!$B$22&amp;";",""),IF(AND($G72&lt;Hta_3,$G72&gt;=Hba_3,Input!V$23&lt;&gt;""),Input!$B$23&amp;";",""),IF(AND($G72&lt;Hta_4,$G72&gt;=Hba_4,Input!V$24&lt;&gt;""),Input!$B$24&amp;";",""),IF(AND($G72&lt;Hta_5,$G72&gt;=Hba_5,Input!V$25&lt;&gt;""),Input!$B$25&amp;";",""),IF(AND($G72&lt;Hta_6,$G72&gt;=Hba_6,Input!V$26&lt;&gt;""),Input!$B$26&amp;";",""),IF(AND($G72&lt;Hta_7,$G72&gt;=Hba_7,Input!V$27&lt;&gt;""),Input!$B$27&amp;";",""),IF(AND($G72&lt;Hta_8,$G72&gt;=Hba_8,Input!V$28&lt;&gt;""),Input!$B$28&amp;";",""),IF(AND($G72&lt;Hta_9,$G72&gt;=Hba_9,Input!V$29&lt;&gt;""),Input!$B$29&amp;";",""),IF(AND($G72&lt;Hta_10,$G72&gt;=Hba_10,Input!V$30&lt;&gt;""),Input!$B$30&amp;";",""),IF(AND($G72&lt;Hta_11,$G72&gt;=Hba_11,Input!V$31&lt;&gt;""),Input!$B$31&amp;";",""),IF(AND($G72&lt;Hta_12,$G72&gt;=Hba_12,Input!V$32&lt;&gt;""),Input!$B$32&amp;";",""),IF(AND($G72&lt;Hta_13,$G72&gt;=Hba_13,Input!V$33&lt;&gt;""),Input!$B$33&amp;";",""),IF(AND($G72&lt;Hta_14,$G72&gt;=Hba_14,Input!V$34&lt;&gt;""),Input!$B$34&amp;";",""),IF(AND($G72&lt;Hta_15,$G72&gt;=Hba_15,Input!V$35&lt;&gt;""),Input!$B$35&amp;";",""),IF(AND($G72&lt;Hta_16,$G72&gt;=Hba_16,Input!V$36&lt;&gt;""),Input!$B$36&amp;";",""),IF(AND($G72&lt;Hta_17,$G72&gt;=Hba_17,Input!V$37&lt;&gt;""),Input!$B$37&amp;";",""),IF(AND($G72&lt;Hta_18,$G72&gt;=Hba_18,Input!V$38&lt;&gt;""),Input!$B$38&amp;";",""),IF(AND($G72&lt;Hta_19,$G72&gt;=Hba_19,Input!V$39&lt;&gt;""),Input!$B$39&amp;";",""),IF(AND($G72&lt;Hta_20,$G72&gt;=Hba_20,Input!V$40&lt;&gt;""),Input!$B$40&amp;";",""),IF(AND($G72&lt;Hta_21,$G72&gt;=Hba_21,Input!V$41&lt;&gt;""),Input!$B$41&amp;";",""),IF(AND($G72&lt;Hta_22,$G72&gt;=Hba_22,Input!V$42&lt;&gt;""),Input!$B$42&amp;";",""),IF(AND($G72&lt;Hta_23,$G72&gt;=Hba_23,Input!V$43&lt;&gt;""),Input!$B$43&amp;";",""),IF(AND($G72&lt;Hta_24,$G72&gt;=Hba_24,Input!V$44&lt;&gt;""),Input!$B$44&amp;";",""),IF(AND($G72&lt;Hta_25,$G72&gt;=Hba_25,Input!V$45&lt;&gt;""),Input!$B$45&amp;";",""),IF(AND($G72&lt;Hta_26,$G72&gt;=Hba_26,Input!V$46&lt;&gt;""),Input!$B$46&amp;";",""),IF(AND($G72&lt;Hta_27,$G72&gt;=Hba_27,Input!V$47&lt;&gt;""),Input!$B$47&amp;";",""),IF(AND($G72&lt;Hta_28,$G72&gt;=Hba_28,Input!V$48&lt;&gt;""),Input!$B$48&amp;";",""),IF(AND($G72&lt;Hta_29,$G72&gt;=Hba_29,Input!V$49&lt;&gt;""),Input!$B$49&amp;";",""),IF(AND($G72&lt;Hta_30,$G72&gt;=Hba_30,Input!V$50&lt;&gt;""),Input!$B$50&amp;";","")),"")</f>
        <v/>
      </c>
      <c r="BX72" s="25" t="str">
        <f>IFERROR(CONCATENATE(IF(AND($G72&lt;Hta_1,$G72&gt;=Hba_1,Input!W$21&lt;&gt;""),Input!$B$21&amp;";",""),IF(AND($G72&lt;Hta_2,$G72&gt;=Hba_2,Input!W$22&lt;&gt;""),Input!$B$22&amp;";",""),IF(AND($G72&lt;Hta_3,$G72&gt;=Hba_3,Input!W$23&lt;&gt;""),Input!$B$23&amp;";",""),IF(AND($G72&lt;Hta_4,$G72&gt;=Hba_4,Input!W$24&lt;&gt;""),Input!$B$24&amp;";",""),IF(AND($G72&lt;Hta_5,$G72&gt;=Hba_5,Input!W$25&lt;&gt;""),Input!$B$25&amp;";",""),IF(AND($G72&lt;Hta_6,$G72&gt;=Hba_6,Input!W$26&lt;&gt;""),Input!$B$26&amp;";",""),IF(AND($G72&lt;Hta_7,$G72&gt;=Hba_7,Input!W$27&lt;&gt;""),Input!$B$27&amp;";",""),IF(AND($G72&lt;Hta_8,$G72&gt;=Hba_8,Input!W$28&lt;&gt;""),Input!$B$28&amp;";",""),IF(AND($G72&lt;Hta_9,$G72&gt;=Hba_9,Input!W$29&lt;&gt;""),Input!$B$29&amp;";",""),IF(AND($G72&lt;Hta_10,$G72&gt;=Hba_10,Input!W$30&lt;&gt;""),Input!$B$30&amp;";",""),IF(AND($G72&lt;Hta_11,$G72&gt;=Hba_11,Input!W$31&lt;&gt;""),Input!$B$31&amp;";",""),IF(AND($G72&lt;Hta_12,$G72&gt;=Hba_12,Input!W$32&lt;&gt;""),Input!$B$32&amp;";",""),IF(AND($G72&lt;Hta_13,$G72&gt;=Hba_13,Input!W$33&lt;&gt;""),Input!$B$33&amp;";",""),IF(AND($G72&lt;Hta_14,$G72&gt;=Hba_14,Input!W$34&lt;&gt;""),Input!$B$34&amp;";",""),IF(AND($G72&lt;Hta_15,$G72&gt;=Hba_15,Input!W$35&lt;&gt;""),Input!$B$35&amp;";",""),IF(AND($G72&lt;Hta_16,$G72&gt;=Hba_16,Input!W$36&lt;&gt;""),Input!$B$36&amp;";",""),IF(AND($G72&lt;Hta_17,$G72&gt;=Hba_17,Input!W$37&lt;&gt;""),Input!$B$37&amp;";",""),IF(AND($G72&lt;Hta_18,$G72&gt;=Hba_18,Input!W$38&lt;&gt;""),Input!$B$38&amp;";",""),IF(AND($G72&lt;Hta_19,$G72&gt;=Hba_19,Input!W$39&lt;&gt;""),Input!$B$39&amp;";",""),IF(AND($G72&lt;Hta_20,$G72&gt;=Hba_20,Input!W$40&lt;&gt;""),Input!$B$40&amp;";",""),IF(AND($G72&lt;Hta_21,$G72&gt;=Hba_21,Input!W$41&lt;&gt;""),Input!$B$41&amp;";",""),IF(AND($G72&lt;Hta_22,$G72&gt;=Hba_22,Input!W$42&lt;&gt;""),Input!$B$42&amp;";",""),IF(AND($G72&lt;Hta_23,$G72&gt;=Hba_23,Input!W$43&lt;&gt;""),Input!$B$43&amp;";",""),IF(AND($G72&lt;Hta_24,$G72&gt;=Hba_24,Input!W$44&lt;&gt;""),Input!$B$44&amp;";",""),IF(AND($G72&lt;Hta_25,$G72&gt;=Hba_25,Input!W$45&lt;&gt;""),Input!$B$45&amp;";",""),IF(AND($G72&lt;Hta_26,$G72&gt;=Hba_26,Input!W$46&lt;&gt;""),Input!$B$46&amp;";",""),IF(AND($G72&lt;Hta_27,$G72&gt;=Hba_27,Input!W$47&lt;&gt;""),Input!$B$47&amp;";",""),IF(AND($G72&lt;Hta_28,$G72&gt;=Hba_28,Input!W$48&lt;&gt;""),Input!$B$48&amp;";",""),IF(AND($G72&lt;Hta_29,$G72&gt;=Hba_29,Input!W$49&lt;&gt;""),Input!$B$49&amp;";",""),IF(AND($G72&lt;Hta_30,$G72&gt;=Hba_30,Input!W$50&lt;&gt;""),Input!$B$50&amp;";","")),"")</f>
        <v/>
      </c>
      <c r="BY72" s="25" t="str">
        <f>IFERROR(CONCATENATE(IF(AND($G72&lt;Hta_1,$G72&gt;=Hba_1,Input!X$21&lt;&gt;""),Input!$B$21&amp;";",""),IF(AND($G72&lt;Hta_2,$G72&gt;=Hba_2,Input!X$22&lt;&gt;""),Input!$B$22&amp;";",""),IF(AND($G72&lt;Hta_3,$G72&gt;=Hba_3,Input!X$23&lt;&gt;""),Input!$B$23&amp;";",""),IF(AND($G72&lt;Hta_4,$G72&gt;=Hba_4,Input!X$24&lt;&gt;""),Input!$B$24&amp;";",""),IF(AND($G72&lt;Hta_5,$G72&gt;=Hba_5,Input!X$25&lt;&gt;""),Input!$B$25&amp;";",""),IF(AND($G72&lt;Hta_6,$G72&gt;=Hba_6,Input!X$26&lt;&gt;""),Input!$B$26&amp;";",""),IF(AND($G72&lt;Hta_7,$G72&gt;=Hba_7,Input!X$27&lt;&gt;""),Input!$B$27&amp;";",""),IF(AND($G72&lt;Hta_8,$G72&gt;=Hba_8,Input!X$28&lt;&gt;""),Input!$B$28&amp;";",""),IF(AND($G72&lt;Hta_9,$G72&gt;=Hba_9,Input!X$29&lt;&gt;""),Input!$B$29&amp;";",""),IF(AND($G72&lt;Hta_10,$G72&gt;=Hba_10,Input!X$30&lt;&gt;""),Input!$B$30&amp;";",""),IF(AND($G72&lt;Hta_11,$G72&gt;=Hba_11,Input!X$31&lt;&gt;""),Input!$B$31&amp;";",""),IF(AND($G72&lt;Hta_12,$G72&gt;=Hba_12,Input!X$32&lt;&gt;""),Input!$B$32&amp;";",""),IF(AND($G72&lt;Hta_13,$G72&gt;=Hba_13,Input!X$33&lt;&gt;""),Input!$B$33&amp;";",""),IF(AND($G72&lt;Hta_14,$G72&gt;=Hba_14,Input!X$34&lt;&gt;""),Input!$B$34&amp;";",""),IF(AND($G72&lt;Hta_15,$G72&gt;=Hba_15,Input!X$35&lt;&gt;""),Input!$B$35&amp;";",""),IF(AND($G72&lt;Hta_16,$G72&gt;=Hba_16,Input!X$36&lt;&gt;""),Input!$B$36&amp;";",""),IF(AND($G72&lt;Hta_17,$G72&gt;=Hba_17,Input!X$37&lt;&gt;""),Input!$B$37&amp;";",""),IF(AND($G72&lt;Hta_18,$G72&gt;=Hba_18,Input!X$38&lt;&gt;""),Input!$B$38&amp;";",""),IF(AND($G72&lt;Hta_19,$G72&gt;=Hba_19,Input!X$39&lt;&gt;""),Input!$B$39&amp;";",""),IF(AND($G72&lt;Hta_20,$G72&gt;=Hba_20,Input!X$40&lt;&gt;""),Input!$B$40&amp;";",""),IF(AND($G72&lt;Hta_21,$G72&gt;=Hba_21,Input!X$41&lt;&gt;""),Input!$B$41&amp;";",""),IF(AND($G72&lt;Hta_22,$G72&gt;=Hba_22,Input!X$42&lt;&gt;""),Input!$B$42&amp;";",""),IF(AND($G72&lt;Hta_23,$G72&gt;=Hba_23,Input!X$43&lt;&gt;""),Input!$B$43&amp;";",""),IF(AND($G72&lt;Hta_24,$G72&gt;=Hba_24,Input!X$44&lt;&gt;""),Input!$B$44&amp;";",""),IF(AND($G72&lt;Hta_25,$G72&gt;=Hba_25,Input!X$45&lt;&gt;""),Input!$B$45&amp;";",""),IF(AND($G72&lt;Hta_26,$G72&gt;=Hba_26,Input!X$46&lt;&gt;""),Input!$B$46&amp;";",""),IF(AND($G72&lt;Hta_27,$G72&gt;=Hba_27,Input!X$47&lt;&gt;""),Input!$B$47&amp;";",""),IF(AND($G72&lt;Hta_28,$G72&gt;=Hba_28,Input!X$48&lt;&gt;""),Input!$B$48&amp;";",""),IF(AND($G72&lt;Hta_29,$G72&gt;=Hba_29,Input!X$49&lt;&gt;""),Input!$B$49&amp;";",""),IF(AND($G72&lt;Hta_30,$G72&gt;=Hba_30,Input!X$50&lt;&gt;""),Input!$B$50&amp;";","")),"")</f>
        <v/>
      </c>
      <c r="BZ72" s="25" t="str">
        <f>IFERROR(CONCATENATE(IF(AND($G72&lt;Hta_1,$G72&gt;=Hba_1,Input!Y$21&lt;&gt;""),Input!$B$21&amp;";",""),IF(AND($G72&lt;Hta_2,$G72&gt;=Hba_2,Input!Y$22&lt;&gt;""),Input!$B$22&amp;";",""),IF(AND($G72&lt;Hta_3,$G72&gt;=Hba_3,Input!Y$23&lt;&gt;""),Input!$B$23&amp;";",""),IF(AND($G72&lt;Hta_4,$G72&gt;=Hba_4,Input!Y$24&lt;&gt;""),Input!$B$24&amp;";",""),IF(AND($G72&lt;Hta_5,$G72&gt;=Hba_5,Input!Y$25&lt;&gt;""),Input!$B$25&amp;";",""),IF(AND($G72&lt;Hta_6,$G72&gt;=Hba_6,Input!Y$26&lt;&gt;""),Input!$B$26&amp;";",""),IF(AND($G72&lt;Hta_7,$G72&gt;=Hba_7,Input!Y$27&lt;&gt;""),Input!$B$27&amp;";",""),IF(AND($G72&lt;Hta_8,$G72&gt;=Hba_8,Input!Y$28&lt;&gt;""),Input!$B$28&amp;";",""),IF(AND($G72&lt;Hta_9,$G72&gt;=Hba_9,Input!Y$29&lt;&gt;""),Input!$B$29&amp;";",""),IF(AND($G72&lt;Hta_10,$G72&gt;=Hba_10,Input!Y$30&lt;&gt;""),Input!$B$30&amp;";",""),IF(AND($G72&lt;Hta_11,$G72&gt;=Hba_11,Input!Y$31&lt;&gt;""),Input!$B$31&amp;";",""),IF(AND($G72&lt;Hta_12,$G72&gt;=Hba_12,Input!Y$32&lt;&gt;""),Input!$B$32&amp;";",""),IF(AND($G72&lt;Hta_13,$G72&gt;=Hba_13,Input!Y$33&lt;&gt;""),Input!$B$33&amp;";",""),IF(AND($G72&lt;Hta_14,$G72&gt;=Hba_14,Input!Y$34&lt;&gt;""),Input!$B$34&amp;";",""),IF(AND($G72&lt;Hta_15,$G72&gt;=Hba_15,Input!Y$35&lt;&gt;""),Input!$B$35&amp;";",""),IF(AND($G72&lt;Hta_16,$G72&gt;=Hba_16,Input!Y$36&lt;&gt;""),Input!$B$36&amp;";",""),IF(AND($G72&lt;Hta_17,$G72&gt;=Hba_17,Input!Y$37&lt;&gt;""),Input!$B$37&amp;";",""),IF(AND($G72&lt;Hta_18,$G72&gt;=Hba_18,Input!Y$38&lt;&gt;""),Input!$B$38&amp;";",""),IF(AND($G72&lt;Hta_19,$G72&gt;=Hba_19,Input!Y$39&lt;&gt;""),Input!$B$39&amp;";",""),IF(AND($G72&lt;Hta_20,$G72&gt;=Hba_20,Input!Y$40&lt;&gt;""),Input!$B$40&amp;";",""),IF(AND($G72&lt;Hta_21,$G72&gt;=Hba_21,Input!Y$41&lt;&gt;""),Input!$B$41&amp;";",""),IF(AND($G72&lt;Hta_22,$G72&gt;=Hba_22,Input!Y$42&lt;&gt;""),Input!$B$42&amp;";",""),IF(AND($G72&lt;Hta_23,$G72&gt;=Hba_23,Input!Y$43&lt;&gt;""),Input!$B$43&amp;";",""),IF(AND($G72&lt;Hta_24,$G72&gt;=Hba_24,Input!Y$44&lt;&gt;""),Input!$B$44&amp;";",""),IF(AND($G72&lt;Hta_25,$G72&gt;=Hba_25,Input!Y$45&lt;&gt;""),Input!$B$45&amp;";",""),IF(AND($G72&lt;Hta_26,$G72&gt;=Hba_26,Input!Y$46&lt;&gt;""),Input!$B$46&amp;";",""),IF(AND($G72&lt;Hta_27,$G72&gt;=Hba_27,Input!Y$47&lt;&gt;""),Input!$B$47&amp;";",""),IF(AND($G72&lt;Hta_28,$G72&gt;=Hba_28,Input!Y$48&lt;&gt;""),Input!$B$48&amp;";",""),IF(AND($G72&lt;Hta_29,$G72&gt;=Hba_29,Input!Y$49&lt;&gt;""),Input!$B$49&amp;";",""),IF(AND($G72&lt;Hta_30,$G72&gt;=Hba_30,Input!Y$50&lt;&gt;""),Input!$B$50&amp;";","")),"")</f>
        <v/>
      </c>
      <c r="CA72" s="25" t="str">
        <f>IFERROR(CONCATENATE(IF(AND($G72&lt;Hta_1,$G72&gt;=Hba_1,Input!Z$21&lt;&gt;""),Input!$B$21&amp;";",""),IF(AND($G72&lt;Hta_2,$G72&gt;=Hba_2,Input!Z$22&lt;&gt;""),Input!$B$22&amp;";",""),IF(AND($G72&lt;Hta_3,$G72&gt;=Hba_3,Input!Z$23&lt;&gt;""),Input!$B$23&amp;";",""),IF(AND($G72&lt;Hta_4,$G72&gt;=Hba_4,Input!Z$24&lt;&gt;""),Input!$B$24&amp;";",""),IF(AND($G72&lt;Hta_5,$G72&gt;=Hba_5,Input!Z$25&lt;&gt;""),Input!$B$25&amp;";",""),IF(AND($G72&lt;Hta_6,$G72&gt;=Hba_6,Input!Z$26&lt;&gt;""),Input!$B$26&amp;";",""),IF(AND($G72&lt;Hta_7,$G72&gt;=Hba_7,Input!Z$27&lt;&gt;""),Input!$B$27&amp;";",""),IF(AND($G72&lt;Hta_8,$G72&gt;=Hba_8,Input!Z$28&lt;&gt;""),Input!$B$28&amp;";",""),IF(AND($G72&lt;Hta_9,$G72&gt;=Hba_9,Input!Z$29&lt;&gt;""),Input!$B$29&amp;";",""),IF(AND($G72&lt;Hta_10,$G72&gt;=Hba_10,Input!Z$30&lt;&gt;""),Input!$B$30&amp;";",""),IF(AND($G72&lt;Hta_11,$G72&gt;=Hba_11,Input!Z$31&lt;&gt;""),Input!$B$31&amp;";",""),IF(AND($G72&lt;Hta_12,$G72&gt;=Hba_12,Input!Z$32&lt;&gt;""),Input!$B$32&amp;";",""),IF(AND($G72&lt;Hta_13,$G72&gt;=Hba_13,Input!Z$33&lt;&gt;""),Input!$B$33&amp;";",""),IF(AND($G72&lt;Hta_14,$G72&gt;=Hba_14,Input!Z$34&lt;&gt;""),Input!$B$34&amp;";",""),IF(AND($G72&lt;Hta_15,$G72&gt;=Hba_15,Input!Z$35&lt;&gt;""),Input!$B$35&amp;";",""),IF(AND($G72&lt;Hta_16,$G72&gt;=Hba_16,Input!Z$36&lt;&gt;""),Input!$B$36&amp;";",""),IF(AND($G72&lt;Hta_17,$G72&gt;=Hba_17,Input!Z$37&lt;&gt;""),Input!$B$37&amp;";",""),IF(AND($G72&lt;Hta_18,$G72&gt;=Hba_18,Input!Z$38&lt;&gt;""),Input!$B$38&amp;";",""),IF(AND($G72&lt;Hta_19,$G72&gt;=Hba_19,Input!Z$39&lt;&gt;""),Input!$B$39&amp;";",""),IF(AND($G72&lt;Hta_20,$G72&gt;=Hba_20,Input!Z$40&lt;&gt;""),Input!$B$40&amp;";",""),IF(AND($G72&lt;Hta_21,$G72&gt;=Hba_21,Input!Z$41&lt;&gt;""),Input!$B$41&amp;";",""),IF(AND($G72&lt;Hta_22,$G72&gt;=Hba_22,Input!Z$42&lt;&gt;""),Input!$B$42&amp;";",""),IF(AND($G72&lt;Hta_23,$G72&gt;=Hba_23,Input!Z$43&lt;&gt;""),Input!$B$43&amp;";",""),IF(AND($G72&lt;Hta_24,$G72&gt;=Hba_24,Input!Z$44&lt;&gt;""),Input!$B$44&amp;";",""),IF(AND($G72&lt;Hta_25,$G72&gt;=Hba_25,Input!Z$45&lt;&gt;""),Input!$B$45&amp;";",""),IF(AND($G72&lt;Hta_26,$G72&gt;=Hba_26,Input!Z$46&lt;&gt;""),Input!$B$46&amp;";",""),IF(AND($G72&lt;Hta_27,$G72&gt;=Hba_27,Input!Z$47&lt;&gt;""),Input!$B$47&amp;";",""),IF(AND($G72&lt;Hta_28,$G72&gt;=Hba_28,Input!Z$48&lt;&gt;""),Input!$B$48&amp;";",""),IF(AND($G72&lt;Hta_29,$G72&gt;=Hba_29,Input!Z$49&lt;&gt;""),Input!$B$49&amp;";",""),IF(AND($G72&lt;Hta_30,$G72&gt;=Hba_30,Input!Z$50&lt;&gt;""),Input!$B$50&amp;";","")),"")</f>
        <v/>
      </c>
      <c r="CB72" s="25" t="str">
        <f>IFERROR(CONCATENATE(IF(AND($G72&lt;Hta_1,$G72&gt;=Hba_1,Input!AA$21&lt;&gt;""),Input!$B$21&amp;";",""),IF(AND($G72&lt;Hta_2,$G72&gt;=Hba_2,Input!AA$22&lt;&gt;""),Input!$B$22&amp;";",""),IF(AND($G72&lt;Hta_3,$G72&gt;=Hba_3,Input!AA$23&lt;&gt;""),Input!$B$23&amp;";",""),IF(AND($G72&lt;Hta_4,$G72&gt;=Hba_4,Input!AA$24&lt;&gt;""),Input!$B$24&amp;";",""),IF(AND($G72&lt;Hta_5,$G72&gt;=Hba_5,Input!AA$25&lt;&gt;""),Input!$B$25&amp;";",""),IF(AND($G72&lt;Hta_6,$G72&gt;=Hba_6,Input!AA$26&lt;&gt;""),Input!$B$26&amp;";",""),IF(AND($G72&lt;Hta_7,$G72&gt;=Hba_7,Input!AA$27&lt;&gt;""),Input!$B$27&amp;";",""),IF(AND($G72&lt;Hta_8,$G72&gt;=Hba_8,Input!AA$28&lt;&gt;""),Input!$B$28&amp;";",""),IF(AND($G72&lt;Hta_9,$G72&gt;=Hba_9,Input!AA$29&lt;&gt;""),Input!$B$29&amp;";",""),IF(AND($G72&lt;Hta_10,$G72&gt;=Hba_10,Input!AA$30&lt;&gt;""),Input!$B$30&amp;";",""),IF(AND($G72&lt;Hta_11,$G72&gt;=Hba_11,Input!AA$31&lt;&gt;""),Input!$B$31&amp;";",""),IF(AND($G72&lt;Hta_12,$G72&gt;=Hba_12,Input!AA$32&lt;&gt;""),Input!$B$32&amp;";",""),IF(AND($G72&lt;Hta_13,$G72&gt;=Hba_13,Input!AA$33&lt;&gt;""),Input!$B$33&amp;";",""),IF(AND($G72&lt;Hta_14,$G72&gt;=Hba_14,Input!AA$34&lt;&gt;""),Input!$B$34&amp;";",""),IF(AND($G72&lt;Hta_15,$G72&gt;=Hba_15,Input!AA$35&lt;&gt;""),Input!$B$35&amp;";",""),IF(AND($G72&lt;Hta_16,$G72&gt;=Hba_16,Input!AA$36&lt;&gt;""),Input!$B$36&amp;";",""),IF(AND($G72&lt;Hta_17,$G72&gt;=Hba_17,Input!AA$37&lt;&gt;""),Input!$B$37&amp;";",""),IF(AND($G72&lt;Hta_18,$G72&gt;=Hba_18,Input!AA$38&lt;&gt;""),Input!$B$38&amp;";",""),IF(AND($G72&lt;Hta_19,$G72&gt;=Hba_19,Input!AA$39&lt;&gt;""),Input!$B$39&amp;";",""),IF(AND($G72&lt;Hta_20,$G72&gt;=Hba_20,Input!AA$40&lt;&gt;""),Input!$B$40&amp;";",""),IF(AND($G72&lt;Hta_21,$G72&gt;=Hba_21,Input!AA$41&lt;&gt;""),Input!$B$41&amp;";",""),IF(AND($G72&lt;Hta_22,$G72&gt;=Hba_22,Input!AA$42&lt;&gt;""),Input!$B$42&amp;";",""),IF(AND($G72&lt;Hta_23,$G72&gt;=Hba_23,Input!AA$43&lt;&gt;""),Input!$B$43&amp;";",""),IF(AND($G72&lt;Hta_24,$G72&gt;=Hba_24,Input!AA$44&lt;&gt;""),Input!$B$44&amp;";",""),IF(AND($G72&lt;Hta_25,$G72&gt;=Hba_25,Input!AA$45&lt;&gt;""),Input!$B$45&amp;";",""),IF(AND($G72&lt;Hta_26,$G72&gt;=Hba_26,Input!AA$46&lt;&gt;""),Input!$B$46&amp;";",""),IF(AND($G72&lt;Hta_27,$G72&gt;=Hba_27,Input!AA$47&lt;&gt;""),Input!$B$47&amp;";",""),IF(AND($G72&lt;Hta_28,$G72&gt;=Hba_28,Input!AA$48&lt;&gt;""),Input!$B$48&amp;";",""),IF(AND($G72&lt;Hta_29,$G72&gt;=Hba_29,Input!AA$49&lt;&gt;""),Input!$B$49&amp;";",""),IF(AND($G72&lt;Hta_30,$G72&gt;=Hba_30,Input!AA$50&lt;&gt;""),Input!$B$50&amp;";","")),"")</f>
        <v/>
      </c>
      <c r="CC72" s="25" t="str">
        <f>IFERROR(CONCATENATE(IF(AND($G72&lt;Hta_1,$G72&gt;=Hba_1,Input!AB$21&lt;&gt;""),Input!$B$21&amp;";",""),IF(AND($G72&lt;Hta_2,$G72&gt;=Hba_2,Input!AB$22&lt;&gt;""),Input!$B$22&amp;";",""),IF(AND($G72&lt;Hta_3,$G72&gt;=Hba_3,Input!AB$23&lt;&gt;""),Input!$B$23&amp;";",""),IF(AND($G72&lt;Hta_4,$G72&gt;=Hba_4,Input!AB$24&lt;&gt;""),Input!$B$24&amp;";",""),IF(AND($G72&lt;Hta_5,$G72&gt;=Hba_5,Input!AB$25&lt;&gt;""),Input!$B$25&amp;";",""),IF(AND($G72&lt;Hta_6,$G72&gt;=Hba_6,Input!AB$26&lt;&gt;""),Input!$B$26&amp;";",""),IF(AND($G72&lt;Hta_7,$G72&gt;=Hba_7,Input!AB$27&lt;&gt;""),Input!$B$27&amp;";",""),IF(AND($G72&lt;Hta_8,$G72&gt;=Hba_8,Input!AB$28&lt;&gt;""),Input!$B$28&amp;";",""),IF(AND($G72&lt;Hta_9,$G72&gt;=Hba_9,Input!AB$29&lt;&gt;""),Input!$B$29&amp;";",""),IF(AND($G72&lt;Hta_10,$G72&gt;=Hba_10,Input!AB$30&lt;&gt;""),Input!$B$30&amp;";",""),IF(AND($G72&lt;Hta_11,$G72&gt;=Hba_11,Input!AB$31&lt;&gt;""),Input!$B$31&amp;";",""),IF(AND($G72&lt;Hta_12,$G72&gt;=Hba_12,Input!AB$32&lt;&gt;""),Input!$B$32&amp;";",""),IF(AND($G72&lt;Hta_13,$G72&gt;=Hba_13,Input!AB$33&lt;&gt;""),Input!$B$33&amp;";",""),IF(AND($G72&lt;Hta_14,$G72&gt;=Hba_14,Input!AB$34&lt;&gt;""),Input!$B$34&amp;";",""),IF(AND($G72&lt;Hta_15,$G72&gt;=Hba_15,Input!AB$35&lt;&gt;""),Input!$B$35&amp;";",""),IF(AND($G72&lt;Hta_16,$G72&gt;=Hba_16,Input!AB$36&lt;&gt;""),Input!$B$36&amp;";",""),IF(AND($G72&lt;Hta_17,$G72&gt;=Hba_17,Input!AB$37&lt;&gt;""),Input!$B$37&amp;";",""),IF(AND($G72&lt;Hta_18,$G72&gt;=Hba_18,Input!AB$38&lt;&gt;""),Input!$B$38&amp;";",""),IF(AND($G72&lt;Hta_19,$G72&gt;=Hba_19,Input!AB$39&lt;&gt;""),Input!$B$39&amp;";",""),IF(AND($G72&lt;Hta_20,$G72&gt;=Hba_20,Input!AB$40&lt;&gt;""),Input!$B$40&amp;";",""),IF(AND($G72&lt;Hta_21,$G72&gt;=Hba_21,Input!AB$41&lt;&gt;""),Input!$B$41&amp;";",""),IF(AND($G72&lt;Hta_22,$G72&gt;=Hba_22,Input!AB$42&lt;&gt;""),Input!$B$42&amp;";",""),IF(AND($G72&lt;Hta_23,$G72&gt;=Hba_23,Input!AB$43&lt;&gt;""),Input!$B$43&amp;";",""),IF(AND($G72&lt;Hta_24,$G72&gt;=Hba_24,Input!AB$44&lt;&gt;""),Input!$B$44&amp;";",""),IF(AND($G72&lt;Hta_25,$G72&gt;=Hba_25,Input!AB$45&lt;&gt;""),Input!$B$45&amp;";",""),IF(AND($G72&lt;Hta_26,$G72&gt;=Hba_26,Input!AB$46&lt;&gt;""),Input!$B$46&amp;";",""),IF(AND($G72&lt;Hta_27,$G72&gt;=Hba_27,Input!AB$47&lt;&gt;""),Input!$B$47&amp;";",""),IF(AND($G72&lt;Hta_28,$G72&gt;=Hba_28,Input!AB$48&lt;&gt;""),Input!$B$48&amp;";",""),IF(AND($G72&lt;Hta_29,$G72&gt;=Hba_29,Input!AB$49&lt;&gt;""),Input!$B$49&amp;";",""),IF(AND($G72&lt;Hta_30,$G72&gt;=Hba_30,Input!AB$50&lt;&gt;""),Input!$B$50&amp;";","")),"")</f>
        <v/>
      </c>
      <c r="CD72" s="25" t="str">
        <f>IFERROR(CONCATENATE(IF(AND($G72&lt;Hta_1,$G72&gt;=Hba_1,Input!AC$21&lt;&gt;""),Input!$B$21&amp;";",""),IF(AND($G72&lt;Hta_2,$G72&gt;=Hba_2,Input!AC$22&lt;&gt;""),Input!$B$22&amp;";",""),IF(AND($G72&lt;Hta_3,$G72&gt;=Hba_3,Input!AC$23&lt;&gt;""),Input!$B$23&amp;";",""),IF(AND($G72&lt;Hta_4,$G72&gt;=Hba_4,Input!AC$24&lt;&gt;""),Input!$B$24&amp;";",""),IF(AND($G72&lt;Hta_5,$G72&gt;=Hba_5,Input!AC$25&lt;&gt;""),Input!$B$25&amp;";",""),IF(AND($G72&lt;Hta_6,$G72&gt;=Hba_6,Input!AC$26&lt;&gt;""),Input!$B$26&amp;";",""),IF(AND($G72&lt;Hta_7,$G72&gt;=Hba_7,Input!AC$27&lt;&gt;""),Input!$B$27&amp;";",""),IF(AND($G72&lt;Hta_8,$G72&gt;=Hba_8,Input!AC$28&lt;&gt;""),Input!$B$28&amp;";",""),IF(AND($G72&lt;Hta_9,$G72&gt;=Hba_9,Input!AC$29&lt;&gt;""),Input!$B$29&amp;";",""),IF(AND($G72&lt;Hta_10,$G72&gt;=Hba_10,Input!AC$30&lt;&gt;""),Input!$B$30&amp;";",""),IF(AND($G72&lt;Hta_11,$G72&gt;=Hba_11,Input!AC$31&lt;&gt;""),Input!$B$31&amp;";",""),IF(AND($G72&lt;Hta_12,$G72&gt;=Hba_12,Input!AC$32&lt;&gt;""),Input!$B$32&amp;";",""),IF(AND($G72&lt;Hta_13,$G72&gt;=Hba_13,Input!AC$33&lt;&gt;""),Input!$B$33&amp;";",""),IF(AND($G72&lt;Hta_14,$G72&gt;=Hba_14,Input!AC$34&lt;&gt;""),Input!$B$34&amp;";",""),IF(AND($G72&lt;Hta_15,$G72&gt;=Hba_15,Input!AC$35&lt;&gt;""),Input!$B$35&amp;";",""),IF(AND($G72&lt;Hta_16,$G72&gt;=Hba_16,Input!AC$36&lt;&gt;""),Input!$B$36&amp;";",""),IF(AND($G72&lt;Hta_17,$G72&gt;=Hba_17,Input!AC$37&lt;&gt;""),Input!$B$37&amp;";",""),IF(AND($G72&lt;Hta_18,$G72&gt;=Hba_18,Input!AC$38&lt;&gt;""),Input!$B$38&amp;";",""),IF(AND($G72&lt;Hta_19,$G72&gt;=Hba_19,Input!AC$39&lt;&gt;""),Input!$B$39&amp;";",""),IF(AND($G72&lt;Hta_20,$G72&gt;=Hba_20,Input!AC$40&lt;&gt;""),Input!$B$40&amp;";",""),IF(AND($G72&lt;Hta_21,$G72&gt;=Hba_21,Input!AC$41&lt;&gt;""),Input!$B$41&amp;";",""),IF(AND($G72&lt;Hta_22,$G72&gt;=Hba_22,Input!AC$42&lt;&gt;""),Input!$B$42&amp;";",""),IF(AND($G72&lt;Hta_23,$G72&gt;=Hba_23,Input!AC$43&lt;&gt;""),Input!$B$43&amp;";",""),IF(AND($G72&lt;Hta_24,$G72&gt;=Hba_24,Input!AC$44&lt;&gt;""),Input!$B$44&amp;";",""),IF(AND($G72&lt;Hta_25,$G72&gt;=Hba_25,Input!AC$45&lt;&gt;""),Input!$B$45&amp;";",""),IF(AND($G72&lt;Hta_26,$G72&gt;=Hba_26,Input!AC$46&lt;&gt;""),Input!$B$46&amp;";",""),IF(AND($G72&lt;Hta_27,$G72&gt;=Hba_27,Input!AC$47&lt;&gt;""),Input!$B$47&amp;";",""),IF(AND($G72&lt;Hta_28,$G72&gt;=Hba_28,Input!AC$48&lt;&gt;""),Input!$B$48&amp;";",""),IF(AND($G72&lt;Hta_29,$G72&gt;=Hba_29,Input!AC$49&lt;&gt;""),Input!$B$49&amp;";",""),IF(AND($G72&lt;Hta_30,$G72&gt;=Hba_30,Input!AC$50&lt;&gt;""),Input!$B$50&amp;";","")),"")</f>
        <v/>
      </c>
      <c r="CE72" s="25" t="str">
        <f>IFERROR(CONCATENATE(IF(AND($G72&lt;Hta_1,$G72&gt;=Hba_1,Input!AD$21&lt;&gt;""),Input!$B$21&amp;";",""),IF(AND($G72&lt;Hta_2,$G72&gt;=Hba_2,Input!AD$22&lt;&gt;""),Input!$B$22&amp;";",""),IF(AND($G72&lt;Hta_3,$G72&gt;=Hba_3,Input!AD$23&lt;&gt;""),Input!$B$23&amp;";",""),IF(AND($G72&lt;Hta_4,$G72&gt;=Hba_4,Input!AD$24&lt;&gt;""),Input!$B$24&amp;";",""),IF(AND($G72&lt;Hta_5,$G72&gt;=Hba_5,Input!AD$25&lt;&gt;""),Input!$B$25&amp;";",""),IF(AND($G72&lt;Hta_6,$G72&gt;=Hba_6,Input!AD$26&lt;&gt;""),Input!$B$26&amp;";",""),IF(AND($G72&lt;Hta_7,$G72&gt;=Hba_7,Input!AD$27&lt;&gt;""),Input!$B$27&amp;";",""),IF(AND($G72&lt;Hta_8,$G72&gt;=Hba_8,Input!AD$28&lt;&gt;""),Input!$B$28&amp;";",""),IF(AND($G72&lt;Hta_9,$G72&gt;=Hba_9,Input!AD$29&lt;&gt;""),Input!$B$29&amp;";",""),IF(AND($G72&lt;Hta_10,$G72&gt;=Hba_10,Input!AD$30&lt;&gt;""),Input!$B$30&amp;";",""),IF(AND($G72&lt;Hta_11,$G72&gt;=Hba_11,Input!AD$31&lt;&gt;""),Input!$B$31&amp;";",""),IF(AND($G72&lt;Hta_12,$G72&gt;=Hba_12,Input!AD$32&lt;&gt;""),Input!$B$32&amp;";",""),IF(AND($G72&lt;Hta_13,$G72&gt;=Hba_13,Input!AD$33&lt;&gt;""),Input!$B$33&amp;";",""),IF(AND($G72&lt;Hta_14,$G72&gt;=Hba_14,Input!AD$34&lt;&gt;""),Input!$B$34&amp;";",""),IF(AND($G72&lt;Hta_15,$G72&gt;=Hba_15,Input!AD$35&lt;&gt;""),Input!$B$35&amp;";",""),IF(AND($G72&lt;Hta_16,$G72&gt;=Hba_16,Input!AD$36&lt;&gt;""),Input!$B$36&amp;";",""),IF(AND($G72&lt;Hta_17,$G72&gt;=Hba_17,Input!AD$37&lt;&gt;""),Input!$B$37&amp;";",""),IF(AND($G72&lt;Hta_18,$G72&gt;=Hba_18,Input!AD$38&lt;&gt;""),Input!$B$38&amp;";",""),IF(AND($G72&lt;Hta_19,$G72&gt;=Hba_19,Input!AD$39&lt;&gt;""),Input!$B$39&amp;";",""),IF(AND($G72&lt;Hta_20,$G72&gt;=Hba_20,Input!AD$40&lt;&gt;""),Input!$B$40&amp;";",""),IF(AND($G72&lt;Hta_21,$G72&gt;=Hba_21,Input!AD$41&lt;&gt;""),Input!$B$41&amp;";",""),IF(AND($G72&lt;Hta_22,$G72&gt;=Hba_22,Input!AD$42&lt;&gt;""),Input!$B$42&amp;";",""),IF(AND($G72&lt;Hta_23,$G72&gt;=Hba_23,Input!AD$43&lt;&gt;""),Input!$B$43&amp;";",""),IF(AND($G72&lt;Hta_24,$G72&gt;=Hba_24,Input!AD$44&lt;&gt;""),Input!$B$44&amp;";",""),IF(AND($G72&lt;Hta_25,$G72&gt;=Hba_25,Input!AD$45&lt;&gt;""),Input!$B$45&amp;";",""),IF(AND($G72&lt;Hta_26,$G72&gt;=Hba_26,Input!AD$46&lt;&gt;""),Input!$B$46&amp;";",""),IF(AND($G72&lt;Hta_27,$G72&gt;=Hba_27,Input!AD$47&lt;&gt;""),Input!$B$47&amp;";",""),IF(AND($G72&lt;Hta_28,$G72&gt;=Hba_28,Input!AD$48&lt;&gt;""),Input!$B$48&amp;";",""),IF(AND($G72&lt;Hta_29,$G72&gt;=Hba_29,Input!AD$49&lt;&gt;""),Input!$B$49&amp;";",""),IF(AND($G72&lt;Hta_30,$G72&gt;=Hba_30,Input!AD$50&lt;&gt;""),Input!$B$50&amp;";","")),"")</f>
        <v/>
      </c>
      <c r="CF72" s="25" t="str">
        <f>IFERROR(CONCATENATE(IF(AND($G72&lt;Hta_1,$G72&gt;=Hba_1,Input!AE$21&lt;&gt;""),Input!$B$21&amp;";",""),IF(AND($G72&lt;Hta_2,$G72&gt;=Hba_2,Input!AE$22&lt;&gt;""),Input!$B$22&amp;";",""),IF(AND($G72&lt;Hta_3,$G72&gt;=Hba_3,Input!AE$23&lt;&gt;""),Input!$B$23&amp;";",""),IF(AND($G72&lt;Hta_4,$G72&gt;=Hba_4,Input!AE$24&lt;&gt;""),Input!$B$24&amp;";",""),IF(AND($G72&lt;Hta_5,$G72&gt;=Hba_5,Input!AE$25&lt;&gt;""),Input!$B$25&amp;";",""),IF(AND($G72&lt;Hta_6,$G72&gt;=Hba_6,Input!AE$26&lt;&gt;""),Input!$B$26&amp;";",""),IF(AND($G72&lt;Hta_7,$G72&gt;=Hba_7,Input!AE$27&lt;&gt;""),Input!$B$27&amp;";",""),IF(AND($G72&lt;Hta_8,$G72&gt;=Hba_8,Input!AE$28&lt;&gt;""),Input!$B$28&amp;";",""),IF(AND($G72&lt;Hta_9,$G72&gt;=Hba_9,Input!AE$29&lt;&gt;""),Input!$B$29&amp;";",""),IF(AND($G72&lt;Hta_10,$G72&gt;=Hba_10,Input!AE$30&lt;&gt;""),Input!$B$30&amp;";",""),IF(AND($G72&lt;Hta_11,$G72&gt;=Hba_11,Input!AE$31&lt;&gt;""),Input!$B$31&amp;";",""),IF(AND($G72&lt;Hta_12,$G72&gt;=Hba_12,Input!AE$32&lt;&gt;""),Input!$B$32&amp;";",""),IF(AND($G72&lt;Hta_13,$G72&gt;=Hba_13,Input!AE$33&lt;&gt;""),Input!$B$33&amp;";",""),IF(AND($G72&lt;Hta_14,$G72&gt;=Hba_14,Input!AE$34&lt;&gt;""),Input!$B$34&amp;";",""),IF(AND($G72&lt;Hta_15,$G72&gt;=Hba_15,Input!AE$35&lt;&gt;""),Input!$B$35&amp;";",""),IF(AND($G72&lt;Hta_16,$G72&gt;=Hba_16,Input!AE$36&lt;&gt;""),Input!$B$36&amp;";",""),IF(AND($G72&lt;Hta_17,$G72&gt;=Hba_17,Input!AE$37&lt;&gt;""),Input!$B$37&amp;";",""),IF(AND($G72&lt;Hta_18,$G72&gt;=Hba_18,Input!AE$38&lt;&gt;""),Input!$B$38&amp;";",""),IF(AND($G72&lt;Hta_19,$G72&gt;=Hba_19,Input!AE$39&lt;&gt;""),Input!$B$39&amp;";",""),IF(AND($G72&lt;Hta_20,$G72&gt;=Hba_20,Input!AE$40&lt;&gt;""),Input!$B$40&amp;";",""),IF(AND($G72&lt;Hta_21,$G72&gt;=Hba_21,Input!AE$41&lt;&gt;""),Input!$B$41&amp;";",""),IF(AND($G72&lt;Hta_22,$G72&gt;=Hba_22,Input!AE$42&lt;&gt;""),Input!$B$42&amp;";",""),IF(AND($G72&lt;Hta_23,$G72&gt;=Hba_23,Input!AE$43&lt;&gt;""),Input!$B$43&amp;";",""),IF(AND($G72&lt;Hta_24,$G72&gt;=Hba_24,Input!AE$44&lt;&gt;""),Input!$B$44&amp;";",""),IF(AND($G72&lt;Hta_25,$G72&gt;=Hba_25,Input!AE$45&lt;&gt;""),Input!$B$45&amp;";",""),IF(AND($G72&lt;Hta_26,$G72&gt;=Hba_26,Input!AE$46&lt;&gt;""),Input!$B$46&amp;";",""),IF(AND($G72&lt;Hta_27,$G72&gt;=Hba_27,Input!AE$47&lt;&gt;""),Input!$B$47&amp;";",""),IF(AND($G72&lt;Hta_28,$G72&gt;=Hba_28,Input!AE$48&lt;&gt;""),Input!$B$48&amp;";",""),IF(AND($G72&lt;Hta_29,$G72&gt;=Hba_29,Input!AE$49&lt;&gt;""),Input!$B$49&amp;";",""),IF(AND($G72&lt;Hta_30,$G72&gt;=Hba_30,Input!AE$50&lt;&gt;""),Input!$B$50&amp;";","")),"")</f>
        <v/>
      </c>
      <c r="CG72" s="25" t="str">
        <f>IFERROR(CONCATENATE(IF(AND($G72&lt;Hta_1,$G72&gt;=Hba_1,Input!AF$21&lt;&gt;""),Input!$B$21&amp;";",""),IF(AND($G72&lt;Hta_2,$G72&gt;=Hba_2,Input!AF$22&lt;&gt;""),Input!$B$22&amp;";",""),IF(AND($G72&lt;Hta_3,$G72&gt;=Hba_3,Input!AF$23&lt;&gt;""),Input!$B$23&amp;";",""),IF(AND($G72&lt;Hta_4,$G72&gt;=Hba_4,Input!AF$24&lt;&gt;""),Input!$B$24&amp;";",""),IF(AND($G72&lt;Hta_5,$G72&gt;=Hba_5,Input!AF$25&lt;&gt;""),Input!$B$25&amp;";",""),IF(AND($G72&lt;Hta_6,$G72&gt;=Hba_6,Input!AF$26&lt;&gt;""),Input!$B$26&amp;";",""),IF(AND($G72&lt;Hta_7,$G72&gt;=Hba_7,Input!AF$27&lt;&gt;""),Input!$B$27&amp;";",""),IF(AND($G72&lt;Hta_8,$G72&gt;=Hba_8,Input!AF$28&lt;&gt;""),Input!$B$28&amp;";",""),IF(AND($G72&lt;Hta_9,$G72&gt;=Hba_9,Input!AF$29&lt;&gt;""),Input!$B$29&amp;";",""),IF(AND($G72&lt;Hta_10,$G72&gt;=Hba_10,Input!AF$30&lt;&gt;""),Input!$B$30&amp;";",""),IF(AND($G72&lt;Hta_11,$G72&gt;=Hba_11,Input!AF$31&lt;&gt;""),Input!$B$31&amp;";",""),IF(AND($G72&lt;Hta_12,$G72&gt;=Hba_12,Input!AF$32&lt;&gt;""),Input!$B$32&amp;";",""),IF(AND($G72&lt;Hta_13,$G72&gt;=Hba_13,Input!AF$33&lt;&gt;""),Input!$B$33&amp;";",""),IF(AND($G72&lt;Hta_14,$G72&gt;=Hba_14,Input!AF$34&lt;&gt;""),Input!$B$34&amp;";",""),IF(AND($G72&lt;Hta_15,$G72&gt;=Hba_15,Input!AF$35&lt;&gt;""),Input!$B$35&amp;";",""),IF(AND($G72&lt;Hta_16,$G72&gt;=Hba_16,Input!AF$36&lt;&gt;""),Input!$B$36&amp;";",""),IF(AND($G72&lt;Hta_17,$G72&gt;=Hba_17,Input!AF$37&lt;&gt;""),Input!$B$37&amp;";",""),IF(AND($G72&lt;Hta_18,$G72&gt;=Hba_18,Input!AF$38&lt;&gt;""),Input!$B$38&amp;";",""),IF(AND($G72&lt;Hta_19,$G72&gt;=Hba_19,Input!AF$39&lt;&gt;""),Input!$B$39&amp;";",""),IF(AND($G72&lt;Hta_20,$G72&gt;=Hba_20,Input!AF$40&lt;&gt;""),Input!$B$40&amp;";",""),IF(AND($G72&lt;Hta_21,$G72&gt;=Hba_21,Input!AF$41&lt;&gt;""),Input!$B$41&amp;";",""),IF(AND($G72&lt;Hta_22,$G72&gt;=Hba_22,Input!AF$42&lt;&gt;""),Input!$B$42&amp;";",""),IF(AND($G72&lt;Hta_23,$G72&gt;=Hba_23,Input!AF$43&lt;&gt;""),Input!$B$43&amp;";",""),IF(AND($G72&lt;Hta_24,$G72&gt;=Hba_24,Input!AF$44&lt;&gt;""),Input!$B$44&amp;";",""),IF(AND($G72&lt;Hta_25,$G72&gt;=Hba_25,Input!AF$45&lt;&gt;""),Input!$B$45&amp;";",""),IF(AND($G72&lt;Hta_26,$G72&gt;=Hba_26,Input!AF$46&lt;&gt;""),Input!$B$46&amp;";",""),IF(AND($G72&lt;Hta_27,$G72&gt;=Hba_27,Input!AF$47&lt;&gt;""),Input!$B$47&amp;";",""),IF(AND($G72&lt;Hta_28,$G72&gt;=Hba_28,Input!AF$48&lt;&gt;""),Input!$B$48&amp;";",""),IF(AND($G72&lt;Hta_29,$G72&gt;=Hba_29,Input!AF$49&lt;&gt;""),Input!$B$49&amp;";",""),IF(AND($G72&lt;Hta_30,$G72&gt;=Hba_30,Input!AF$50&lt;&gt;""),Input!$B$50&amp;";","")),"")</f>
        <v/>
      </c>
      <c r="CH72" s="25" t="str">
        <f>IFERROR(CONCATENATE(IF(AND($G72&lt;Hta_1,$G72&gt;=Hba_1,Input!AG$21&lt;&gt;""),Input!$B$21&amp;";",""),IF(AND($G72&lt;Hta_2,$G72&gt;=Hba_2,Input!AG$22&lt;&gt;""),Input!$B$22&amp;";",""),IF(AND($G72&lt;Hta_3,$G72&gt;=Hba_3,Input!AG$23&lt;&gt;""),Input!$B$23&amp;";",""),IF(AND($G72&lt;Hta_4,$G72&gt;=Hba_4,Input!AG$24&lt;&gt;""),Input!$B$24&amp;";",""),IF(AND($G72&lt;Hta_5,$G72&gt;=Hba_5,Input!AG$25&lt;&gt;""),Input!$B$25&amp;";",""),IF(AND($G72&lt;Hta_6,$G72&gt;=Hba_6,Input!AG$26&lt;&gt;""),Input!$B$26&amp;";",""),IF(AND($G72&lt;Hta_7,$G72&gt;=Hba_7,Input!AG$27&lt;&gt;""),Input!$B$27&amp;";",""),IF(AND($G72&lt;Hta_8,$G72&gt;=Hba_8,Input!AG$28&lt;&gt;""),Input!$B$28&amp;";",""),IF(AND($G72&lt;Hta_9,$G72&gt;=Hba_9,Input!AG$29&lt;&gt;""),Input!$B$29&amp;";",""),IF(AND($G72&lt;Hta_10,$G72&gt;=Hba_10,Input!AG$30&lt;&gt;""),Input!$B$30&amp;";",""),IF(AND($G72&lt;Hta_11,$G72&gt;=Hba_11,Input!AG$31&lt;&gt;""),Input!$B$31&amp;";",""),IF(AND($G72&lt;Hta_12,$G72&gt;=Hba_12,Input!AG$32&lt;&gt;""),Input!$B$32&amp;";",""),IF(AND($G72&lt;Hta_13,$G72&gt;=Hba_13,Input!AG$33&lt;&gt;""),Input!$B$33&amp;";",""),IF(AND($G72&lt;Hta_14,$G72&gt;=Hba_14,Input!AG$34&lt;&gt;""),Input!$B$34&amp;";",""),IF(AND($G72&lt;Hta_15,$G72&gt;=Hba_15,Input!AG$35&lt;&gt;""),Input!$B$35&amp;";",""),IF(AND($G72&lt;Hta_16,$G72&gt;=Hba_16,Input!AG$36&lt;&gt;""),Input!$B$36&amp;";",""),IF(AND($G72&lt;Hta_17,$G72&gt;=Hba_17,Input!AG$37&lt;&gt;""),Input!$B$37&amp;";",""),IF(AND($G72&lt;Hta_18,$G72&gt;=Hba_18,Input!AG$38&lt;&gt;""),Input!$B$38&amp;";",""),IF(AND($G72&lt;Hta_19,$G72&gt;=Hba_19,Input!AG$39&lt;&gt;""),Input!$B$39&amp;";",""),IF(AND($G72&lt;Hta_20,$G72&gt;=Hba_20,Input!AG$40&lt;&gt;""),Input!$B$40&amp;";",""),IF(AND($G72&lt;Hta_21,$G72&gt;=Hba_21,Input!AG$41&lt;&gt;""),Input!$B$41&amp;";",""),IF(AND($G72&lt;Hta_22,$G72&gt;=Hba_22,Input!AG$42&lt;&gt;""),Input!$B$42&amp;";",""),IF(AND($G72&lt;Hta_23,$G72&gt;=Hba_23,Input!AG$43&lt;&gt;""),Input!$B$43&amp;";",""),IF(AND($G72&lt;Hta_24,$G72&gt;=Hba_24,Input!AG$44&lt;&gt;""),Input!$B$44&amp;";",""),IF(AND($G72&lt;Hta_25,$G72&gt;=Hba_25,Input!AG$45&lt;&gt;""),Input!$B$45&amp;";",""),IF(AND($G72&lt;Hta_26,$G72&gt;=Hba_26,Input!AG$46&lt;&gt;""),Input!$B$46&amp;";",""),IF(AND($G72&lt;Hta_27,$G72&gt;=Hba_27,Input!AG$47&lt;&gt;""),Input!$B$47&amp;";",""),IF(AND($G72&lt;Hta_28,$G72&gt;=Hba_28,Input!AG$48&lt;&gt;""),Input!$B$48&amp;";",""),IF(AND($G72&lt;Hta_29,$G72&gt;=Hba_29,Input!AG$49&lt;&gt;""),Input!$B$49&amp;";",""),IF(AND($G72&lt;Hta_30,$G72&gt;=Hba_30,Input!AG$50&lt;&gt;""),Input!$B$50&amp;";","")),"")</f>
        <v/>
      </c>
      <c r="CI72" s="25" t="str">
        <f>IFERROR(CONCATENATE(IF(AND($G72&lt;Hta_1,$G72&gt;=Hba_1,Input!AH$21&lt;&gt;""),Input!$B$21&amp;";",""),IF(AND($G72&lt;Hta_2,$G72&gt;=Hba_2,Input!AH$22&lt;&gt;""),Input!$B$22&amp;";",""),IF(AND($G72&lt;Hta_3,$G72&gt;=Hba_3,Input!AH$23&lt;&gt;""),Input!$B$23&amp;";",""),IF(AND($G72&lt;Hta_4,$G72&gt;=Hba_4,Input!AH$24&lt;&gt;""),Input!$B$24&amp;";",""),IF(AND($G72&lt;Hta_5,$G72&gt;=Hba_5,Input!AH$25&lt;&gt;""),Input!$B$25&amp;";",""),IF(AND($G72&lt;Hta_6,$G72&gt;=Hba_6,Input!AH$26&lt;&gt;""),Input!$B$26&amp;";",""),IF(AND($G72&lt;Hta_7,$G72&gt;=Hba_7,Input!AH$27&lt;&gt;""),Input!$B$27&amp;";",""),IF(AND($G72&lt;Hta_8,$G72&gt;=Hba_8,Input!AH$28&lt;&gt;""),Input!$B$28&amp;";",""),IF(AND($G72&lt;Hta_9,$G72&gt;=Hba_9,Input!AH$29&lt;&gt;""),Input!$B$29&amp;";",""),IF(AND($G72&lt;Hta_10,$G72&gt;=Hba_10,Input!AH$30&lt;&gt;""),Input!$B$30&amp;";",""),IF(AND($G72&lt;Hta_11,$G72&gt;=Hba_11,Input!AH$31&lt;&gt;""),Input!$B$31&amp;";",""),IF(AND($G72&lt;Hta_12,$G72&gt;=Hba_12,Input!AH$32&lt;&gt;""),Input!$B$32&amp;";",""),IF(AND($G72&lt;Hta_13,$G72&gt;=Hba_13,Input!AH$33&lt;&gt;""),Input!$B$33&amp;";",""),IF(AND($G72&lt;Hta_14,$G72&gt;=Hba_14,Input!AH$34&lt;&gt;""),Input!$B$34&amp;";",""),IF(AND($G72&lt;Hta_15,$G72&gt;=Hba_15,Input!AH$35&lt;&gt;""),Input!$B$35&amp;";",""),IF(AND($G72&lt;Hta_16,$G72&gt;=Hba_16,Input!AH$36&lt;&gt;""),Input!$B$36&amp;";",""),IF(AND($G72&lt;Hta_17,$G72&gt;=Hba_17,Input!AH$37&lt;&gt;""),Input!$B$37&amp;";",""),IF(AND($G72&lt;Hta_18,$G72&gt;=Hba_18,Input!AH$38&lt;&gt;""),Input!$B$38&amp;";",""),IF(AND($G72&lt;Hta_19,$G72&gt;=Hba_19,Input!AH$39&lt;&gt;""),Input!$B$39&amp;";",""),IF(AND($G72&lt;Hta_20,$G72&gt;=Hba_20,Input!AH$40&lt;&gt;""),Input!$B$40&amp;";",""),IF(AND($G72&lt;Hta_21,$G72&gt;=Hba_21,Input!AH$41&lt;&gt;""),Input!$B$41&amp;";",""),IF(AND($G72&lt;Hta_22,$G72&gt;=Hba_22,Input!AH$42&lt;&gt;""),Input!$B$42&amp;";",""),IF(AND($G72&lt;Hta_23,$G72&gt;=Hba_23,Input!AH$43&lt;&gt;""),Input!$B$43&amp;";",""),IF(AND($G72&lt;Hta_24,$G72&gt;=Hba_24,Input!AH$44&lt;&gt;""),Input!$B$44&amp;";",""),IF(AND($G72&lt;Hta_25,$G72&gt;=Hba_25,Input!AH$45&lt;&gt;""),Input!$B$45&amp;";",""),IF(AND($G72&lt;Hta_26,$G72&gt;=Hba_26,Input!AH$46&lt;&gt;""),Input!$B$46&amp;";",""),IF(AND($G72&lt;Hta_27,$G72&gt;=Hba_27,Input!AH$47&lt;&gt;""),Input!$B$47&amp;";",""),IF(AND($G72&lt;Hta_28,$G72&gt;=Hba_28,Input!AH$48&lt;&gt;""),Input!$B$48&amp;";",""),IF(AND($G72&lt;Hta_29,$G72&gt;=Hba_29,Input!AH$49&lt;&gt;""),Input!$B$49&amp;";",""),IF(AND($G72&lt;Hta_30,$G72&gt;=Hba_30,Input!AH$50&lt;&gt;""),Input!$B$50&amp;";","")),"")</f>
        <v/>
      </c>
      <c r="CJ72" s="25" t="str">
        <f>IFERROR(CONCATENATE(IF(AND($G72&lt;Hta_1,$G72&gt;=Hba_1,Input!AI$21&lt;&gt;""),Input!$B$21&amp;";",""),IF(AND($G72&lt;Hta_2,$G72&gt;=Hba_2,Input!AI$22&lt;&gt;""),Input!$B$22&amp;";",""),IF(AND($G72&lt;Hta_3,$G72&gt;=Hba_3,Input!AI$23&lt;&gt;""),Input!$B$23&amp;";",""),IF(AND($G72&lt;Hta_4,$G72&gt;=Hba_4,Input!AI$24&lt;&gt;""),Input!$B$24&amp;";",""),IF(AND($G72&lt;Hta_5,$G72&gt;=Hba_5,Input!AI$25&lt;&gt;""),Input!$B$25&amp;";",""),IF(AND($G72&lt;Hta_6,$G72&gt;=Hba_6,Input!AI$26&lt;&gt;""),Input!$B$26&amp;";",""),IF(AND($G72&lt;Hta_7,$G72&gt;=Hba_7,Input!AI$27&lt;&gt;""),Input!$B$27&amp;";",""),IF(AND($G72&lt;Hta_8,$G72&gt;=Hba_8,Input!AI$28&lt;&gt;""),Input!$B$28&amp;";",""),IF(AND($G72&lt;Hta_9,$G72&gt;=Hba_9,Input!AI$29&lt;&gt;""),Input!$B$29&amp;";",""),IF(AND($G72&lt;Hta_10,$G72&gt;=Hba_10,Input!AI$30&lt;&gt;""),Input!$B$30&amp;";",""),IF(AND($G72&lt;Hta_11,$G72&gt;=Hba_11,Input!AI$31&lt;&gt;""),Input!$B$31&amp;";",""),IF(AND($G72&lt;Hta_12,$G72&gt;=Hba_12,Input!AI$32&lt;&gt;""),Input!$B$32&amp;";",""),IF(AND($G72&lt;Hta_13,$G72&gt;=Hba_13,Input!AI$33&lt;&gt;""),Input!$B$33&amp;";",""),IF(AND($G72&lt;Hta_14,$G72&gt;=Hba_14,Input!AI$34&lt;&gt;""),Input!$B$34&amp;";",""),IF(AND($G72&lt;Hta_15,$G72&gt;=Hba_15,Input!AI$35&lt;&gt;""),Input!$B$35&amp;";",""),IF(AND($G72&lt;Hta_16,$G72&gt;=Hba_16,Input!AI$36&lt;&gt;""),Input!$B$36&amp;";",""),IF(AND($G72&lt;Hta_17,$G72&gt;=Hba_17,Input!AI$37&lt;&gt;""),Input!$B$37&amp;";",""),IF(AND($G72&lt;Hta_18,$G72&gt;=Hba_18,Input!AI$38&lt;&gt;""),Input!$B$38&amp;";",""),IF(AND($G72&lt;Hta_19,$G72&gt;=Hba_19,Input!AI$39&lt;&gt;""),Input!$B$39&amp;";",""),IF(AND($G72&lt;Hta_20,$G72&gt;=Hba_20,Input!AI$40&lt;&gt;""),Input!$B$40&amp;";",""),IF(AND($G72&lt;Hta_21,$G72&gt;=Hba_21,Input!AI$41&lt;&gt;""),Input!$B$41&amp;";",""),IF(AND($G72&lt;Hta_22,$G72&gt;=Hba_22,Input!AI$42&lt;&gt;""),Input!$B$42&amp;";",""),IF(AND($G72&lt;Hta_23,$G72&gt;=Hba_23,Input!AI$43&lt;&gt;""),Input!$B$43&amp;";",""),IF(AND($G72&lt;Hta_24,$G72&gt;=Hba_24,Input!AI$44&lt;&gt;""),Input!$B$44&amp;";",""),IF(AND($G72&lt;Hta_25,$G72&gt;=Hba_25,Input!AI$45&lt;&gt;""),Input!$B$45&amp;";",""),IF(AND($G72&lt;Hta_26,$G72&gt;=Hba_26,Input!AI$46&lt;&gt;""),Input!$B$46&amp;";",""),IF(AND($G72&lt;Hta_27,$G72&gt;=Hba_27,Input!AI$47&lt;&gt;""),Input!$B$47&amp;";",""),IF(AND($G72&lt;Hta_28,$G72&gt;=Hba_28,Input!AI$48&lt;&gt;""),Input!$B$48&amp;";",""),IF(AND($G72&lt;Hta_29,$G72&gt;=Hba_29,Input!AI$49&lt;&gt;""),Input!$B$49&amp;";",""),IF(AND($G72&lt;Hta_30,$G72&gt;=Hba_30,Input!AI$50&lt;&gt;""),Input!$B$50&amp;";","")),"")</f>
        <v/>
      </c>
      <c r="CK72" s="25" t="str">
        <f>IFERROR(CONCATENATE(IF(AND($G72&lt;Hta_1,$G72&gt;=Hba_1,Input!AJ$21&lt;&gt;""),Input!$B$21&amp;";",""),IF(AND($G72&lt;Hta_2,$G72&gt;=Hba_2,Input!AJ$22&lt;&gt;""),Input!$B$22&amp;";",""),IF(AND($G72&lt;Hta_3,$G72&gt;=Hba_3,Input!AJ$23&lt;&gt;""),Input!$B$23&amp;";",""),IF(AND($G72&lt;Hta_4,$G72&gt;=Hba_4,Input!AJ$24&lt;&gt;""),Input!$B$24&amp;";",""),IF(AND($G72&lt;Hta_5,$G72&gt;=Hba_5,Input!AJ$25&lt;&gt;""),Input!$B$25&amp;";",""),IF(AND($G72&lt;Hta_6,$G72&gt;=Hba_6,Input!AJ$26&lt;&gt;""),Input!$B$26&amp;";",""),IF(AND($G72&lt;Hta_7,$G72&gt;=Hba_7,Input!AJ$27&lt;&gt;""),Input!$B$27&amp;";",""),IF(AND($G72&lt;Hta_8,$G72&gt;=Hba_8,Input!AJ$28&lt;&gt;""),Input!$B$28&amp;";",""),IF(AND($G72&lt;Hta_9,$G72&gt;=Hba_9,Input!AJ$29&lt;&gt;""),Input!$B$29&amp;";",""),IF(AND($G72&lt;Hta_10,$G72&gt;=Hba_10,Input!AJ$30&lt;&gt;""),Input!$B$30&amp;";",""),IF(AND($G72&lt;Hta_11,$G72&gt;=Hba_11,Input!AJ$31&lt;&gt;""),Input!$B$31&amp;";",""),IF(AND($G72&lt;Hta_12,$G72&gt;=Hba_12,Input!AJ$32&lt;&gt;""),Input!$B$32&amp;";",""),IF(AND($G72&lt;Hta_13,$G72&gt;=Hba_13,Input!AJ$33&lt;&gt;""),Input!$B$33&amp;";",""),IF(AND($G72&lt;Hta_14,$G72&gt;=Hba_14,Input!AJ$34&lt;&gt;""),Input!$B$34&amp;";",""),IF(AND($G72&lt;Hta_15,$G72&gt;=Hba_15,Input!AJ$35&lt;&gt;""),Input!$B$35&amp;";",""),IF(AND($G72&lt;Hta_16,$G72&gt;=Hba_16,Input!AJ$36&lt;&gt;""),Input!$B$36&amp;";",""),IF(AND($G72&lt;Hta_17,$G72&gt;=Hba_17,Input!AJ$37&lt;&gt;""),Input!$B$37&amp;";",""),IF(AND($G72&lt;Hta_18,$G72&gt;=Hba_18,Input!AJ$38&lt;&gt;""),Input!$B$38&amp;";",""),IF(AND($G72&lt;Hta_19,$G72&gt;=Hba_19,Input!AJ$39&lt;&gt;""),Input!$B$39&amp;";",""),IF(AND($G72&lt;Hta_20,$G72&gt;=Hba_20,Input!AJ$40&lt;&gt;""),Input!$B$40&amp;";",""),IF(AND($G72&lt;Hta_21,$G72&gt;=Hba_21,Input!AJ$41&lt;&gt;""),Input!$B$41&amp;";",""),IF(AND($G72&lt;Hta_22,$G72&gt;=Hba_22,Input!AJ$42&lt;&gt;""),Input!$B$42&amp;";",""),IF(AND($G72&lt;Hta_23,$G72&gt;=Hba_23,Input!AJ$43&lt;&gt;""),Input!$B$43&amp;";",""),IF(AND($G72&lt;Hta_24,$G72&gt;=Hba_24,Input!AJ$44&lt;&gt;""),Input!$B$44&amp;";",""),IF(AND($G72&lt;Hta_25,$G72&gt;=Hba_25,Input!AJ$45&lt;&gt;""),Input!$B$45&amp;";",""),IF(AND($G72&lt;Hta_26,$G72&gt;=Hba_26,Input!AJ$46&lt;&gt;""),Input!$B$46&amp;";",""),IF(AND($G72&lt;Hta_27,$G72&gt;=Hba_27,Input!AJ$47&lt;&gt;""),Input!$B$47&amp;";",""),IF(AND($G72&lt;Hta_28,$G72&gt;=Hba_28,Input!AJ$48&lt;&gt;""),Input!$B$48&amp;";",""),IF(AND($G72&lt;Hta_29,$G72&gt;=Hba_29,Input!AJ$49&lt;&gt;""),Input!$B$49&amp;";",""),IF(AND($G72&lt;Hta_30,$G72&gt;=Hba_30,Input!AJ$50&lt;&gt;""),Input!$B$50&amp;";","")),"")</f>
        <v/>
      </c>
      <c r="CL72" s="25" t="str">
        <f>IFERROR(CONCATENATE(IF(AND($G72&lt;Hta_1,$G72&gt;=Hba_1,Input!AK$21&lt;&gt;""),Input!$B$21&amp;";",""),IF(AND($G72&lt;Hta_2,$G72&gt;=Hba_2,Input!AK$22&lt;&gt;""),Input!$B$22&amp;";",""),IF(AND($G72&lt;Hta_3,$G72&gt;=Hba_3,Input!AK$23&lt;&gt;""),Input!$B$23&amp;";",""),IF(AND($G72&lt;Hta_4,$G72&gt;=Hba_4,Input!AK$24&lt;&gt;""),Input!$B$24&amp;";",""),IF(AND($G72&lt;Hta_5,$G72&gt;=Hba_5,Input!AK$25&lt;&gt;""),Input!$B$25&amp;";",""),IF(AND($G72&lt;Hta_6,$G72&gt;=Hba_6,Input!AK$26&lt;&gt;""),Input!$B$26&amp;";",""),IF(AND($G72&lt;Hta_7,$G72&gt;=Hba_7,Input!AK$27&lt;&gt;""),Input!$B$27&amp;";",""),IF(AND($G72&lt;Hta_8,$G72&gt;=Hba_8,Input!AK$28&lt;&gt;""),Input!$B$28&amp;";",""),IF(AND($G72&lt;Hta_9,$G72&gt;=Hba_9,Input!AK$29&lt;&gt;""),Input!$B$29&amp;";",""),IF(AND($G72&lt;Hta_10,$G72&gt;=Hba_10,Input!AK$30&lt;&gt;""),Input!$B$30&amp;";",""),IF(AND($G72&lt;Hta_11,$G72&gt;=Hba_11,Input!AK$31&lt;&gt;""),Input!$B$31&amp;";",""),IF(AND($G72&lt;Hta_12,$G72&gt;=Hba_12,Input!AK$32&lt;&gt;""),Input!$B$32&amp;";",""),IF(AND($G72&lt;Hta_13,$G72&gt;=Hba_13,Input!AK$33&lt;&gt;""),Input!$B$33&amp;";",""),IF(AND($G72&lt;Hta_14,$G72&gt;=Hba_14,Input!AK$34&lt;&gt;""),Input!$B$34&amp;";",""),IF(AND($G72&lt;Hta_15,$G72&gt;=Hba_15,Input!AK$35&lt;&gt;""),Input!$B$35&amp;";",""),IF(AND($G72&lt;Hta_16,$G72&gt;=Hba_16,Input!AK$36&lt;&gt;""),Input!$B$36&amp;";",""),IF(AND($G72&lt;Hta_17,$G72&gt;=Hba_17,Input!AK$37&lt;&gt;""),Input!$B$37&amp;";",""),IF(AND($G72&lt;Hta_18,$G72&gt;=Hba_18,Input!AK$38&lt;&gt;""),Input!$B$38&amp;";",""),IF(AND($G72&lt;Hta_19,$G72&gt;=Hba_19,Input!AK$39&lt;&gt;""),Input!$B$39&amp;";",""),IF(AND($G72&lt;Hta_20,$G72&gt;=Hba_20,Input!AK$40&lt;&gt;""),Input!$B$40&amp;";",""),IF(AND($G72&lt;Hta_21,$G72&gt;=Hba_21,Input!AK$41&lt;&gt;""),Input!$B$41&amp;";",""),IF(AND($G72&lt;Hta_22,$G72&gt;=Hba_22,Input!AK$42&lt;&gt;""),Input!$B$42&amp;";",""),IF(AND($G72&lt;Hta_23,$G72&gt;=Hba_23,Input!AK$43&lt;&gt;""),Input!$B$43&amp;";",""),IF(AND($G72&lt;Hta_24,$G72&gt;=Hba_24,Input!AK$44&lt;&gt;""),Input!$B$44&amp;";",""),IF(AND($G72&lt;Hta_25,$G72&gt;=Hba_25,Input!AK$45&lt;&gt;""),Input!$B$45&amp;";",""),IF(AND($G72&lt;Hta_26,$G72&gt;=Hba_26,Input!AK$46&lt;&gt;""),Input!$B$46&amp;";",""),IF(AND($G72&lt;Hta_27,$G72&gt;=Hba_27,Input!AK$47&lt;&gt;""),Input!$B$47&amp;";",""),IF(AND($G72&lt;Hta_28,$G72&gt;=Hba_28,Input!AK$48&lt;&gt;""),Input!$B$48&amp;";",""),IF(AND($G72&lt;Hta_29,$G72&gt;=Hba_29,Input!AK$49&lt;&gt;""),Input!$B$49&amp;";",""),IF(AND($G72&lt;Hta_30,$G72&gt;=Hba_30,Input!AK$50&lt;&gt;""),Input!$B$50&amp;";","")),"")</f>
        <v/>
      </c>
      <c r="CM72" s="25" t="str">
        <f>IFERROR(CONCATENATE(IF(AND($G72&lt;Hta_1,$G72&gt;=Hba_1,Input!AL$21&lt;&gt;""),Input!$B$21&amp;";",""),IF(AND($G72&lt;Hta_2,$G72&gt;=Hba_2,Input!AL$22&lt;&gt;""),Input!$B$22&amp;";",""),IF(AND($G72&lt;Hta_3,$G72&gt;=Hba_3,Input!AL$23&lt;&gt;""),Input!$B$23&amp;";",""),IF(AND($G72&lt;Hta_4,$G72&gt;=Hba_4,Input!AL$24&lt;&gt;""),Input!$B$24&amp;";",""),IF(AND($G72&lt;Hta_5,$G72&gt;=Hba_5,Input!AL$25&lt;&gt;""),Input!$B$25&amp;";",""),IF(AND($G72&lt;Hta_6,$G72&gt;=Hba_6,Input!AL$26&lt;&gt;""),Input!$B$26&amp;";",""),IF(AND($G72&lt;Hta_7,$G72&gt;=Hba_7,Input!AL$27&lt;&gt;""),Input!$B$27&amp;";",""),IF(AND($G72&lt;Hta_8,$G72&gt;=Hba_8,Input!AL$28&lt;&gt;""),Input!$B$28&amp;";",""),IF(AND($G72&lt;Hta_9,$G72&gt;=Hba_9,Input!AL$29&lt;&gt;""),Input!$B$29&amp;";",""),IF(AND($G72&lt;Hta_10,$G72&gt;=Hba_10,Input!AL$30&lt;&gt;""),Input!$B$30&amp;";",""),IF(AND($G72&lt;Hta_11,$G72&gt;=Hba_11,Input!AL$31&lt;&gt;""),Input!$B$31&amp;";",""),IF(AND($G72&lt;Hta_12,$G72&gt;=Hba_12,Input!AL$32&lt;&gt;""),Input!$B$32&amp;";",""),IF(AND($G72&lt;Hta_13,$G72&gt;=Hba_13,Input!AL$33&lt;&gt;""),Input!$B$33&amp;";",""),IF(AND($G72&lt;Hta_14,$G72&gt;=Hba_14,Input!AL$34&lt;&gt;""),Input!$B$34&amp;";",""),IF(AND($G72&lt;Hta_15,$G72&gt;=Hba_15,Input!AL$35&lt;&gt;""),Input!$B$35&amp;";",""),IF(AND($G72&lt;Hta_16,$G72&gt;=Hba_16,Input!AL$36&lt;&gt;""),Input!$B$36&amp;";",""),IF(AND($G72&lt;Hta_17,$G72&gt;=Hba_17,Input!AL$37&lt;&gt;""),Input!$B$37&amp;";",""),IF(AND($G72&lt;Hta_18,$G72&gt;=Hba_18,Input!AL$38&lt;&gt;""),Input!$B$38&amp;";",""),IF(AND($G72&lt;Hta_19,$G72&gt;=Hba_19,Input!AL$39&lt;&gt;""),Input!$B$39&amp;";",""),IF(AND($G72&lt;Hta_20,$G72&gt;=Hba_20,Input!AL$40&lt;&gt;""),Input!$B$40&amp;";",""),IF(AND($G72&lt;Hta_21,$G72&gt;=Hba_21,Input!AL$41&lt;&gt;""),Input!$B$41&amp;";",""),IF(AND($G72&lt;Hta_22,$G72&gt;=Hba_22,Input!AL$42&lt;&gt;""),Input!$B$42&amp;";",""),IF(AND($G72&lt;Hta_23,$G72&gt;=Hba_23,Input!AL$43&lt;&gt;""),Input!$B$43&amp;";",""),IF(AND($G72&lt;Hta_24,$G72&gt;=Hba_24,Input!AL$44&lt;&gt;""),Input!$B$44&amp;";",""),IF(AND($G72&lt;Hta_25,$G72&gt;=Hba_25,Input!AL$45&lt;&gt;""),Input!$B$45&amp;";",""),IF(AND($G72&lt;Hta_26,$G72&gt;=Hba_26,Input!AL$46&lt;&gt;""),Input!$B$46&amp;";",""),IF(AND($G72&lt;Hta_27,$G72&gt;=Hba_27,Input!AL$47&lt;&gt;""),Input!$B$47&amp;";",""),IF(AND($G72&lt;Hta_28,$G72&gt;=Hba_28,Input!AL$48&lt;&gt;""),Input!$B$48&amp;";",""),IF(AND($G72&lt;Hta_29,$G72&gt;=Hba_29,Input!AL$49&lt;&gt;""),Input!$B$49&amp;";",""),IF(AND($G72&lt;Hta_30,$G72&gt;=Hba_30,Input!AL$50&lt;&gt;""),Input!$B$50&amp;";","")),"")</f>
        <v/>
      </c>
      <c r="CN72" s="59" t="str">
        <f t="shared" si="16"/>
        <v/>
      </c>
      <c r="CO72" s="791"/>
      <c r="CP72" s="792"/>
      <c r="CQ72" s="793"/>
      <c r="CR72" s="791"/>
      <c r="CS72" s="792"/>
      <c r="CT72" s="793"/>
      <c r="CU72" s="791" t="str">
        <f t="shared" si="17"/>
        <v/>
      </c>
      <c r="CV72" s="792"/>
      <c r="CW72" s="807"/>
      <c r="CX72" s="808"/>
      <c r="CY72" s="730"/>
      <c r="CZ72" s="809"/>
      <c r="DA72" s="733"/>
      <c r="DB72" s="734"/>
      <c r="DC72" s="735"/>
      <c r="DD72" s="729" t="str">
        <f t="shared" si="18"/>
        <v/>
      </c>
      <c r="DE72" s="730"/>
      <c r="DF72" s="731"/>
      <c r="DG72" s="55"/>
      <c r="DH72" s="56"/>
      <c r="DI72" s="56"/>
      <c r="DJ72" s="56"/>
      <c r="DK72" s="56"/>
      <c r="DL72" s="56"/>
      <c r="DM72" s="56"/>
      <c r="DN72" s="56"/>
      <c r="DO72" s="56"/>
      <c r="DP72" s="56"/>
      <c r="DQ72" s="58"/>
      <c r="DR72" s="58"/>
      <c r="DS72" s="58"/>
      <c r="DT72" s="58"/>
      <c r="DU72" s="58"/>
      <c r="DV72" s="58"/>
      <c r="DW72" s="58"/>
      <c r="DX72" s="58"/>
      <c r="DY72" s="58"/>
      <c r="DZ72" s="58"/>
      <c r="EA72" s="58"/>
      <c r="EB72" s="58"/>
      <c r="EC72" s="58"/>
      <c r="ED72" s="58"/>
      <c r="EE72" s="58"/>
      <c r="EF72" s="58"/>
      <c r="EG72" s="58"/>
      <c r="EH72" s="58"/>
      <c r="EI72" s="58"/>
      <c r="EJ72" s="58"/>
      <c r="EK72" s="58"/>
      <c r="EL72" s="134"/>
      <c r="EM72" s="134"/>
      <c r="EN72" s="134"/>
      <c r="EO72" s="134"/>
      <c r="EP72" s="134"/>
      <c r="EQ72" s="134"/>
      <c r="ER72" s="134"/>
      <c r="ES72" s="134"/>
      <c r="ET72" s="134"/>
      <c r="EU72" s="134"/>
      <c r="EV72" s="134"/>
      <c r="EW72" s="134"/>
      <c r="EX72" s="134"/>
      <c r="EY72" s="134"/>
      <c r="EZ72" s="134"/>
      <c r="FA72" s="134"/>
      <c r="FB72" s="134"/>
      <c r="FC72" s="134"/>
      <c r="FD72" s="134"/>
      <c r="FE72" s="134"/>
      <c r="FF72" s="134"/>
      <c r="FG72" s="134"/>
      <c r="FH72" s="134"/>
      <c r="FI72" s="134"/>
      <c r="FJ72" s="134"/>
      <c r="FK72" s="134"/>
      <c r="FL72" s="134"/>
      <c r="FM72" s="134"/>
      <c r="FN72" s="134"/>
      <c r="FO72" s="134"/>
      <c r="FQ72" s="124"/>
      <c r="FR72" s="122"/>
      <c r="FS72" s="120"/>
      <c r="FT72" s="119"/>
    </row>
    <row r="73" spans="2:176" ht="15.75" hidden="1" thickBot="1" x14ac:dyDescent="0.3">
      <c r="B73" s="62" t="b">
        <f>IF(OR(AND(G73&gt;='Geometry 2'!$AK$5,G73&lt;'Geometry 2'!$AL$5),AND(G73&gt;='Geometry 2'!$AK$6,G73&lt;'Geometry 2'!$AL$6),AND(G73&gt;='Geometry 2'!$AK$7,G73&lt;'Geometry 2'!$AL$7),AND(G73&gt;='Geometry 2'!$AK$8,G73&lt;'Geometry 2'!$AL$8),AND(G73&gt;='Geometry 2'!$AK$9,G73&lt;'Geometry 2'!$AL$9),AND(G73&gt;='Geometry 2'!$AK$10,G73&lt;'Geometry 2'!$AL$10),AND(G73&gt;='Geometry 2'!$AK$11,G73&lt;'Geometry 2'!$AL$11),AND(G73&gt;='Geometry 2'!$AK$12,G73&lt;'Geometry 2'!$AL$12),AND(G73&gt;='Geometry 2'!$AK$13,G73&lt;'Geometry 2'!$AL$13),AND(G73&gt;='Geometry 2'!$AK$14,G73&lt;'Geometry 2'!$AL$14)),TRUE,FALSE)</f>
        <v>0</v>
      </c>
      <c r="C73" s="4" t="str">
        <f t="shared" si="13"/>
        <v/>
      </c>
      <c r="D73" s="766" t="str">
        <f t="shared" si="14"/>
        <v/>
      </c>
      <c r="E73" s="767"/>
      <c r="F73" s="17" t="str">
        <f t="shared" si="12"/>
        <v/>
      </c>
      <c r="G73" s="768" t="str">
        <f>IF(D73="","",MAX(0,G72-IF(inc="n/a",999,inc),MAX(IF(G72&lt;=Hta_1,0,Hta_1),IF(G72&lt;=Hta_2,0,Hta_2),IF(G72&lt;=Hta_3,0,Hta_3),IF(G72&lt;=Hta_4,0,Hta_4),IF(G72&lt;=Hta_5,0,Hta_5),IF(G72&lt;=Hta_6,0,Hta_6),IF(G72&lt;=Hta_7,0,Hta_7),IF(G72&lt;=Hta_8,0,Hta_8),IF(G72&lt;=Hta_9,0,Hta_9),IF(G72&lt;=Hta_10,0,Hta_10),IF(G72&lt;=Hta_11,0,Hta_11),IF(G72&lt;=Hta_12,0,Hta_12),IF(G72&lt;=Hta_13,0,Hta_13),IF(G72&lt;=Hta_14,0,Hta_14),IF(G72&lt;=Hta_15,0,Hta_15),IF(G72&lt;=Hta_16,0,Hta_16),IF(G72&lt;=Hta_17,0,Hta_17),IF(G72&lt;=Hta_18,0,Hta_18),IF(G72&lt;=Hta_19,0,Hta_19),IF(G72&lt;=Hta_20,0,Hta_20),IF(G72&lt;=Hta_21,0,Hta_21),IF(G72&lt;=Hta_22,0,Hta_22),IF(G72&lt;=Hta_23,0,Hta_23),IF(G72&lt;=Hta_24,0,Hta_24),IF(G72&lt;=Hta_25,0,Hta_25),IF(G72&lt;=Hta_26,0,Hta_26),IF(G72&lt;=Hta_27,0,Hta_27),IF(G72&lt;=Hta_28,0,Hta_28),IF(G72&lt;=Hta_29,0,Hta_29),IF(G72&lt;=Hta_30,0,Hta_30)),MAX(IF(G72&lt;=Hta_1-0.25,0,Hta_1-0.25),IF(G72&lt;=Hta_2-0.25,0,Hta_2-0.25),IF(G72&lt;=Hta_3-0.25,0,Hta_3-0.25),IF(G72&lt;=Hta_4-0.25,0,Hta_4-0.25),IF(G72&lt;=Hta_5-0.25,0,Hta_5-0.25),IF(G72&lt;=Hta_6-0.25,0,Hta_6-0.25),IF(G72&lt;=Hta_7-0.25,0,Hta_7-0.25),IF(G72&lt;=Hta_8-0.25,0,Hta_8-0.25),IF(G72&lt;=Hta_9-0.25,0,Hta_9-0.25),IF(G72&lt;=Hta_10-0.25,0,Hta_10-0.25),IF(G72&lt;=Hta_11-0.25,0,Hta_11-0.25),IF(G72&lt;=Hta_12-0.25,0,Hta_12-0.25),IF(G72&lt;=Hta_13-0.25,0,Hta_13-0.25),IF(G72&lt;=Hta_14-0.25,0,Hta_14-0.25),IF(G72&lt;=Hta_15-0.25,0,Hta_15-0.25),IF(G72&lt;=Hta_16-0.25,0,Hta_16-0.25),IF(G72&lt;=Hta_17-0.25,0,Hta_17-0.25),IF(G72&lt;=Hta_18-0.25,0,Hta_18-0.25),IF(G72&lt;=Hta_19-0.25,0,Hta_19-0.25),IF(G72&lt;=Hta_20-0.25,0,Hta_20-0.25),IF(G72&lt;=Hta_21-0.25,0,Hta_21-0.25),IF(G72&lt;=Hta_22-0.25,0,Hta_22-0.25),IF(G72&lt;=Hta_23-0.25,0,Hta_23-0.25),IF(G72&lt;=Hta_24-0.25,0,Hta_24-0.25),IF(G72&lt;=Hta_25-0.25,0,Hta_25-0.25),IF(G72&lt;=Hta_26-0.25,0,Hta_26-0.25),IF(G72&lt;=Hta_27-0.25,0,Hta_27-0.25),IF(G72&lt;=Hta_28-0.25,0,Hta_28-0.25),IF(G72&lt;=Hta_29-0.25,0,Hta_29-0.25),IF(G72&lt;=Hta_30-0.25,0,Hta_30-0.25)),MAX(IF(G72&lt;=Hba_1,0,Hba_1),IF(G72&lt;=Hba_2,0,Hba_2),IF(G72&lt;=Hba_3,0,Hba_3),IF(G72&lt;=Hba_4,0,Hba_4),IF(G72&lt;=Hba_5,0,Hba_5),IF(G72&lt;=Hba_6,0,Hba_6),IF(G72&lt;=Hba_7,0,Hba_7),IF(G72&lt;=Hba_8,0,Hba_8),IF(G72&lt;=Hba_9,0,Hba_9),IF(G72&lt;=Hba_10,0,Hba_10),IF(G72&lt;=Hba_11,0,Hba_11),IF(G72&lt;=Hba_12,0,Hba_12),IF(G72&lt;=Hba_13,0,Hba_13),IF(G72&lt;=Hba_14,0,Hba_14),IF(G72&lt;=Hba_15,0,Hba_15),IF(G72&lt;=Hba_16,0,Hba_16),IF(G72&lt;=Hba_17,0,Hba_17),IF(G72&lt;=Hba_18,0,Hba_18),IF(G72&lt;=Hba_19,0,Hba_19),IF(G72&lt;=Hba_20,0,Hba_20),IF(G72&lt;=Hba_21,0,Hba_21),IF(G72&lt;=Hba_22,0,Hba_22),IF(G72&lt;=Hba_23,0,Hba_23),IF(G72&lt;=Hba_24,0,Hba_24),IF(G72&lt;=Hba_25,0,Hba_25),IF(G72&lt;=Hba_26,0,Hba_26),IF(G72&lt;=Hba_27,0,Hba_27),IF(G72&lt;=Hba_28,0,Hba_28),IF(G72&lt;=Hba_29,0,Hba_29),IF(G72&lt;=Hba_30,0,Hba_30)),MAX(IF(G72&lt;=Input!$C$8,0,Input!$C$8),IF(G72&lt;=Input!$C$9,0,Input!$C$9),IF(G72&lt;=Input!$C$10,0,Input!$C$10),IF(G72&lt;=Input!$C$11,0,Input!$C$11),IF(G72&lt;=Input!$C$12,0,Input!$C$12),IF(G72&lt;=Input!$C$13,0,Input!$C$13),IF(G72&lt;=Input!$C$14,0,Input!$C$14),IF(G72&lt;=Input!$C$15,0,Input!$C$15),IF(G72&lt;=Input!$C$16,0,Input!$C$16)),MAX(IF(G72&lt;=Hba_1-0.25,0,Hba_1-0.25),IF(G72&lt;=Hba_2-0.25,0,Hba_2-0.25),IF(G72&lt;=Hba_3-0.25,0,Hba_3-0.25),IF(G72&lt;=Hba_4-0.25,0,Hba_4-0.25),IF(G72&lt;=Hba_5-0.25,0,Hba_5-0.25),IF(G72&lt;=Hba_6-0.25,0,Hba_6-0.25),IF(G72&lt;=Hba_7-0.25,0,Hba_7-0.25),IF(G72&lt;=Hba_8-0.25,0,Hba_8-0.25),IF(G72&lt;=Hba_9-0.25,0,Hba_9-0.25),IF(G72&lt;=Hba_10-0.25,0,Hba_10-0.25),IF(G72&lt;=Hba_11-0.25,0,Hba_11-0.25),IF(G72&lt;=Hba_12-0.25,0,Hba_12-0.25),IF(G72&lt;=Hba_13-0.25,0,Hba_13-0.25),IF(G72&lt;=Hba_14-0.25,0,Hba_14-0.25),IF(G72&lt;=Hba_15-0.25,0,Hba_15-0.25),IF(G72&lt;=Hba_16-0.25,0,Hba_16-0.25),IF(G72&lt;=Hba_17-0.25,0,Hba_17-0.25),IF(G72&lt;=Hba_18-0.25,0,Hba_18-0.25),IF(G72&lt;=Hba_19-0.25,0,Hba_19-0.25),IF(G72&lt;=Hba_20-0.25,0,Hba_20-0.25),IF(G72&lt;=Hba_21-0.25,0,Hba_21-0.25),IF(G72&lt;=Hba_22-0.25,0,Hba_22-0.25),IF(G72&lt;=Hba_23-0.25,0,Hba_23-0.25),IF(G72&lt;=Hba_24-0.25,0,Hba_24-0.25),IF(G72&lt;=Hba_25-0.25,0,Hba_25-0.25),IF(G72&lt;=Hba_26-0.25,0,Hba_26-0.25),IF(G72&lt;=Hba_27-0.25,0,Hba_27-0.25),IF(G72&lt;=Hba_28-0.25,0,Hba_28-0.25),IF(G72&lt;=Hba_29-0.25,0,Hba_29-0.25),IF(G72&lt;=Hba_30-0.25,0,Hba_30-0.25)),IF(G72&lt;='Macro References'!$A$38,0,'Macro References'!$A$38)))</f>
        <v/>
      </c>
      <c r="H73" s="769"/>
      <c r="I73" s="228"/>
      <c r="J73" s="228"/>
      <c r="K73" s="228"/>
      <c r="L73" s="717" t="str">
        <f t="shared" si="11"/>
        <v/>
      </c>
      <c r="M73" s="717"/>
      <c r="N73" s="717"/>
      <c r="O73" s="717"/>
      <c r="P73" s="717" t="str">
        <f>IF(OR(G73=0,G73=""),"",IF(VLOOKUP(G73,'Geometry 2'!$C$4:$AI$14,1,TRUE)=VLOOKUP(G74,'Geometry 2'!$C$4:$AI$14,1,TRUE),"",IF(VLOOKUP(G73,'Geometry 2'!$C$4:$AI$14,33,TRUE)&lt;&gt;"n/a",MIN(G73,VLOOKUP(G73,'Geometry 2'!$C$4:$AI$14,1,TRUE))-VLOOKUP(G73,'Geometry 2'!$C$4:$AI$14,33,TRUE),"check")))</f>
        <v/>
      </c>
      <c r="Q73" s="717"/>
      <c r="R73" s="717"/>
      <c r="S73" s="717"/>
      <c r="T73" s="717" t="str">
        <f>IF($G73="","",VLOOKUP($G73,'Geometry 2'!$E$4:$AH$14,11,TRUE))</f>
        <v/>
      </c>
      <c r="U73" s="717"/>
      <c r="V73" s="717"/>
      <c r="W73" s="717"/>
      <c r="X73" s="716" t="str">
        <f>IF($G73="","",VLOOKUP($G73,'Geometry 2'!$E$4:$AJ$14,19,TRUE)-12*VLOOKUP($G73,'Geometry 2'!$E$4:$AJ$14,32,TRUE)*($D73-VLOOKUP($G73,'Geometry 2'!$E$5:$AH$14,1,TRUE)))</f>
        <v/>
      </c>
      <c r="Y73" s="716"/>
      <c r="Z73" s="716"/>
      <c r="AA73" s="716"/>
      <c r="AB73" s="757" t="str">
        <f>IF($G73="","",VLOOKUP($G73,'Geometry 2'!$E$4:$AJ$14,19,TRUE)-12*VLOOKUP($G73,'Geometry 2'!$E$4:$AJ$14,32,TRUE)*($G73-VLOOKUP($G73,'Geometry 2'!$E$5:$AH$14,1,TRUE)))</f>
        <v/>
      </c>
      <c r="AC73" s="758"/>
      <c r="AD73" s="758"/>
      <c r="AE73" s="759"/>
      <c r="AF73" s="716" t="str">
        <f>IF($G73="","",VLOOKUP($G73,'Geometry 2'!$E$4:$AJ$14,19,TRUE)-12*VLOOKUP($G73,'Geometry 2'!$E$4:$AJ$14,32,TRUE)*($G73-IF($P73="",0,$P73)-VLOOKUP($G73,'Geometry 2'!$E$5:$AH$14,1,TRUE)))</f>
        <v/>
      </c>
      <c r="AG73" s="716"/>
      <c r="AH73" s="716"/>
      <c r="AI73" s="716"/>
      <c r="AJ73" s="746" t="str">
        <f>IF($G73="","",VLOOKUP($G73,'Geometry 2'!$E$4:$AH$14,23,TRUE))</f>
        <v/>
      </c>
      <c r="AK73" s="747"/>
      <c r="AL73" s="747"/>
      <c r="AM73" s="748"/>
      <c r="AN73" s="717"/>
      <c r="AO73" s="717"/>
      <c r="AP73" s="717"/>
      <c r="AQ73" s="717"/>
      <c r="AR73" s="717" t="str">
        <f>IF($G73="","",VLOOKUP($G73,'Geometry 2'!$E$4:$AH$14,27,TRUE))</f>
        <v/>
      </c>
      <c r="AS73" s="717"/>
      <c r="AT73" s="717"/>
      <c r="AU73" s="718"/>
      <c r="AV73" s="715"/>
      <c r="AW73" s="716"/>
      <c r="AX73" s="716"/>
      <c r="AZ73" s="722" t="str">
        <f t="shared" si="15"/>
        <v/>
      </c>
      <c r="BA73" s="723"/>
      <c r="BB73" s="723"/>
      <c r="BC73" s="724"/>
      <c r="BD73" s="722"/>
      <c r="BE73" s="723"/>
      <c r="BF73" s="723"/>
      <c r="BG73" s="722" t="str">
        <f t="shared" si="9"/>
        <v/>
      </c>
      <c r="BH73" s="723"/>
      <c r="BI73" s="723"/>
      <c r="BJ73" s="723"/>
      <c r="BK73" s="724"/>
      <c r="BL73" s="722"/>
      <c r="BM73" s="723"/>
      <c r="BN73" s="723"/>
      <c r="BO73" s="723"/>
      <c r="BP73" s="725"/>
      <c r="BQ73" s="725"/>
      <c r="BR73" s="722" t="str">
        <f>IF(BP73="","",IF(OR(AND(Rev="H",Calculations!$F$27=TRUE),AND(Rev&lt;&gt;"H",Calculations!$F$30=TRUE)),IF(BP73&lt;=1,"Pass","Fail"),IF(BP73&lt;=1.05,"Pass","Fail")))</f>
        <v/>
      </c>
      <c r="BS73" s="723"/>
      <c r="BT73" s="724"/>
      <c r="BU73" s="49"/>
      <c r="BV73" s="25" t="str">
        <f>IFERROR(CONCATENATE(IF(AND($G73&lt;Hta_1,$G73&gt;=Hba_1,Input!U$21&lt;&gt;""),Input!$B$21&amp;";",""),IF(AND($G73&lt;Hta_2,$G73&gt;=Hba_2,Input!U$22&lt;&gt;""),Input!$B$22&amp;";",""),IF(AND($G73&lt;Hta_3,$G73&gt;=Hba_3,Input!U$23&lt;&gt;""),Input!$B$23&amp;";",""),IF(AND($G73&lt;Hta_4,$G73&gt;=Hba_4,Input!U$24&lt;&gt;""),Input!$B$24&amp;";",""),IF(AND($G73&lt;Hta_5,$G73&gt;=Hba_5,Input!U$25&lt;&gt;""),Input!$B$25&amp;";",""),IF(AND($G73&lt;Hta_6,$G73&gt;=Hba_6,Input!U$26&lt;&gt;""),Input!$B$26&amp;";",""),IF(AND($G73&lt;Hta_7,$G73&gt;=Hba_7,Input!U$27&lt;&gt;""),Input!$B$27&amp;";",""),IF(AND($G73&lt;Hta_8,$G73&gt;=Hba_8,Input!U$28&lt;&gt;""),Input!$B$28&amp;";",""),IF(AND($G73&lt;Hta_9,$G73&gt;=Hba_9,Input!U$29&lt;&gt;""),Input!$B$29&amp;";",""),IF(AND($G73&lt;Hta_10,$G73&gt;=Hba_10,Input!U$30&lt;&gt;""),Input!$B$30&amp;";",""),IF(AND($G73&lt;Hta_11,$G73&gt;=Hba_11,Input!U$31&lt;&gt;""),Input!$B$31&amp;";",""),IF(AND($G73&lt;Hta_12,$G73&gt;=Hba_12,Input!U$32&lt;&gt;""),Input!$B$32&amp;";",""),IF(AND($G73&lt;Hta_13,$G73&gt;=Hba_13,Input!U$33&lt;&gt;""),Input!$B$33&amp;";",""),IF(AND($G73&lt;Hta_14,$G73&gt;=Hba_14,Input!U$34&lt;&gt;""),Input!$B$34&amp;";",""),IF(AND($G73&lt;Hta_15,$G73&gt;=Hba_15,Input!U$35&lt;&gt;""),Input!$B$35&amp;";",""),IF(AND($G73&lt;Hta_16,$G73&gt;=Hba_16,Input!U$36&lt;&gt;""),Input!$B$36&amp;";",""),IF(AND($G73&lt;Hta_17,$G73&gt;=Hba_17,Input!U$37&lt;&gt;""),Input!$B$37&amp;";",""),IF(AND($G73&lt;Hta_18,$G73&gt;=Hba_18,Input!U$38&lt;&gt;""),Input!$B$38&amp;";",""),IF(AND($G73&lt;Hta_19,$G73&gt;=Hba_19,Input!U$39&lt;&gt;""),Input!$B$39&amp;";",""),IF(AND($G73&lt;Hta_20,$G73&gt;=Hba_20,Input!U$40&lt;&gt;""),Input!$B$40&amp;";",""),IF(AND($G73&lt;Hta_21,$G73&gt;=Hba_21,Input!U$41&lt;&gt;""),Input!$B$41&amp;";",""),IF(AND($G73&lt;Hta_22,$G73&gt;=Hba_22,Input!U$42&lt;&gt;""),Input!$B$42&amp;";",""),IF(AND($G73&lt;Hta_23,$G73&gt;=Hba_23,Input!U$43&lt;&gt;""),Input!$B$43&amp;";",""),IF(AND($G73&lt;Hta_24,$G73&gt;=Hba_24,Input!U$44&lt;&gt;""),Input!$B$44&amp;";",""),IF(AND($G73&lt;Hta_25,$G73&gt;=Hba_25,Input!U$45&lt;&gt;""),Input!$B$45&amp;";",""),IF(AND($G73&lt;Hta_26,$G73&gt;=Hba_26,Input!U$46&lt;&gt;""),Input!$B$46&amp;";",""),IF(AND($G73&lt;Hta_27,$G73&gt;=Hba_27,Input!U$47&lt;&gt;""),Input!$B$47&amp;";",""),IF(AND($G73&lt;Hta_28,$G73&gt;=Hba_28,Input!U$48&lt;&gt;""),Input!$B$48&amp;";",""),IF(AND($G73&lt;Hta_29,$G73&gt;=Hba_29,Input!U$49&lt;&gt;""),Input!$B$49&amp;";",""),IF(AND($G73&lt;Hta_30,$G73&gt;=Hba_30,Input!U$50&lt;&gt;""),Input!$B$50&amp;";","")),"")</f>
        <v/>
      </c>
      <c r="BW73" s="25" t="str">
        <f>IFERROR(CONCATENATE(IF(AND($G73&lt;Hta_1,$G73&gt;=Hba_1,Input!V$21&lt;&gt;""),Input!$B$21&amp;";",""),IF(AND($G73&lt;Hta_2,$G73&gt;=Hba_2,Input!V$22&lt;&gt;""),Input!$B$22&amp;";",""),IF(AND($G73&lt;Hta_3,$G73&gt;=Hba_3,Input!V$23&lt;&gt;""),Input!$B$23&amp;";",""),IF(AND($G73&lt;Hta_4,$G73&gt;=Hba_4,Input!V$24&lt;&gt;""),Input!$B$24&amp;";",""),IF(AND($G73&lt;Hta_5,$G73&gt;=Hba_5,Input!V$25&lt;&gt;""),Input!$B$25&amp;";",""),IF(AND($G73&lt;Hta_6,$G73&gt;=Hba_6,Input!V$26&lt;&gt;""),Input!$B$26&amp;";",""),IF(AND($G73&lt;Hta_7,$G73&gt;=Hba_7,Input!V$27&lt;&gt;""),Input!$B$27&amp;";",""),IF(AND($G73&lt;Hta_8,$G73&gt;=Hba_8,Input!V$28&lt;&gt;""),Input!$B$28&amp;";",""),IF(AND($G73&lt;Hta_9,$G73&gt;=Hba_9,Input!V$29&lt;&gt;""),Input!$B$29&amp;";",""),IF(AND($G73&lt;Hta_10,$G73&gt;=Hba_10,Input!V$30&lt;&gt;""),Input!$B$30&amp;";",""),IF(AND($G73&lt;Hta_11,$G73&gt;=Hba_11,Input!V$31&lt;&gt;""),Input!$B$31&amp;";",""),IF(AND($G73&lt;Hta_12,$G73&gt;=Hba_12,Input!V$32&lt;&gt;""),Input!$B$32&amp;";",""),IF(AND($G73&lt;Hta_13,$G73&gt;=Hba_13,Input!V$33&lt;&gt;""),Input!$B$33&amp;";",""),IF(AND($G73&lt;Hta_14,$G73&gt;=Hba_14,Input!V$34&lt;&gt;""),Input!$B$34&amp;";",""),IF(AND($G73&lt;Hta_15,$G73&gt;=Hba_15,Input!V$35&lt;&gt;""),Input!$B$35&amp;";",""),IF(AND($G73&lt;Hta_16,$G73&gt;=Hba_16,Input!V$36&lt;&gt;""),Input!$B$36&amp;";",""),IF(AND($G73&lt;Hta_17,$G73&gt;=Hba_17,Input!V$37&lt;&gt;""),Input!$B$37&amp;";",""),IF(AND($G73&lt;Hta_18,$G73&gt;=Hba_18,Input!V$38&lt;&gt;""),Input!$B$38&amp;";",""),IF(AND($G73&lt;Hta_19,$G73&gt;=Hba_19,Input!V$39&lt;&gt;""),Input!$B$39&amp;";",""),IF(AND($G73&lt;Hta_20,$G73&gt;=Hba_20,Input!V$40&lt;&gt;""),Input!$B$40&amp;";",""),IF(AND($G73&lt;Hta_21,$G73&gt;=Hba_21,Input!V$41&lt;&gt;""),Input!$B$41&amp;";",""),IF(AND($G73&lt;Hta_22,$G73&gt;=Hba_22,Input!V$42&lt;&gt;""),Input!$B$42&amp;";",""),IF(AND($G73&lt;Hta_23,$G73&gt;=Hba_23,Input!V$43&lt;&gt;""),Input!$B$43&amp;";",""),IF(AND($G73&lt;Hta_24,$G73&gt;=Hba_24,Input!V$44&lt;&gt;""),Input!$B$44&amp;";",""),IF(AND($G73&lt;Hta_25,$G73&gt;=Hba_25,Input!V$45&lt;&gt;""),Input!$B$45&amp;";",""),IF(AND($G73&lt;Hta_26,$G73&gt;=Hba_26,Input!V$46&lt;&gt;""),Input!$B$46&amp;";",""),IF(AND($G73&lt;Hta_27,$G73&gt;=Hba_27,Input!V$47&lt;&gt;""),Input!$B$47&amp;";",""),IF(AND($G73&lt;Hta_28,$G73&gt;=Hba_28,Input!V$48&lt;&gt;""),Input!$B$48&amp;";",""),IF(AND($G73&lt;Hta_29,$G73&gt;=Hba_29,Input!V$49&lt;&gt;""),Input!$B$49&amp;";",""),IF(AND($G73&lt;Hta_30,$G73&gt;=Hba_30,Input!V$50&lt;&gt;""),Input!$B$50&amp;";","")),"")</f>
        <v/>
      </c>
      <c r="BX73" s="25" t="str">
        <f>IFERROR(CONCATENATE(IF(AND($G73&lt;Hta_1,$G73&gt;=Hba_1,Input!W$21&lt;&gt;""),Input!$B$21&amp;";",""),IF(AND($G73&lt;Hta_2,$G73&gt;=Hba_2,Input!W$22&lt;&gt;""),Input!$B$22&amp;";",""),IF(AND($G73&lt;Hta_3,$G73&gt;=Hba_3,Input!W$23&lt;&gt;""),Input!$B$23&amp;";",""),IF(AND($G73&lt;Hta_4,$G73&gt;=Hba_4,Input!W$24&lt;&gt;""),Input!$B$24&amp;";",""),IF(AND($G73&lt;Hta_5,$G73&gt;=Hba_5,Input!W$25&lt;&gt;""),Input!$B$25&amp;";",""),IF(AND($G73&lt;Hta_6,$G73&gt;=Hba_6,Input!W$26&lt;&gt;""),Input!$B$26&amp;";",""),IF(AND($G73&lt;Hta_7,$G73&gt;=Hba_7,Input!W$27&lt;&gt;""),Input!$B$27&amp;";",""),IF(AND($G73&lt;Hta_8,$G73&gt;=Hba_8,Input!W$28&lt;&gt;""),Input!$B$28&amp;";",""),IF(AND($G73&lt;Hta_9,$G73&gt;=Hba_9,Input!W$29&lt;&gt;""),Input!$B$29&amp;";",""),IF(AND($G73&lt;Hta_10,$G73&gt;=Hba_10,Input!W$30&lt;&gt;""),Input!$B$30&amp;";",""),IF(AND($G73&lt;Hta_11,$G73&gt;=Hba_11,Input!W$31&lt;&gt;""),Input!$B$31&amp;";",""),IF(AND($G73&lt;Hta_12,$G73&gt;=Hba_12,Input!W$32&lt;&gt;""),Input!$B$32&amp;";",""),IF(AND($G73&lt;Hta_13,$G73&gt;=Hba_13,Input!W$33&lt;&gt;""),Input!$B$33&amp;";",""),IF(AND($G73&lt;Hta_14,$G73&gt;=Hba_14,Input!W$34&lt;&gt;""),Input!$B$34&amp;";",""),IF(AND($G73&lt;Hta_15,$G73&gt;=Hba_15,Input!W$35&lt;&gt;""),Input!$B$35&amp;";",""),IF(AND($G73&lt;Hta_16,$G73&gt;=Hba_16,Input!W$36&lt;&gt;""),Input!$B$36&amp;";",""),IF(AND($G73&lt;Hta_17,$G73&gt;=Hba_17,Input!W$37&lt;&gt;""),Input!$B$37&amp;";",""),IF(AND($G73&lt;Hta_18,$G73&gt;=Hba_18,Input!W$38&lt;&gt;""),Input!$B$38&amp;";",""),IF(AND($G73&lt;Hta_19,$G73&gt;=Hba_19,Input!W$39&lt;&gt;""),Input!$B$39&amp;";",""),IF(AND($G73&lt;Hta_20,$G73&gt;=Hba_20,Input!W$40&lt;&gt;""),Input!$B$40&amp;";",""),IF(AND($G73&lt;Hta_21,$G73&gt;=Hba_21,Input!W$41&lt;&gt;""),Input!$B$41&amp;";",""),IF(AND($G73&lt;Hta_22,$G73&gt;=Hba_22,Input!W$42&lt;&gt;""),Input!$B$42&amp;";",""),IF(AND($G73&lt;Hta_23,$G73&gt;=Hba_23,Input!W$43&lt;&gt;""),Input!$B$43&amp;";",""),IF(AND($G73&lt;Hta_24,$G73&gt;=Hba_24,Input!W$44&lt;&gt;""),Input!$B$44&amp;";",""),IF(AND($G73&lt;Hta_25,$G73&gt;=Hba_25,Input!W$45&lt;&gt;""),Input!$B$45&amp;";",""),IF(AND($G73&lt;Hta_26,$G73&gt;=Hba_26,Input!W$46&lt;&gt;""),Input!$B$46&amp;";",""),IF(AND($G73&lt;Hta_27,$G73&gt;=Hba_27,Input!W$47&lt;&gt;""),Input!$B$47&amp;";",""),IF(AND($G73&lt;Hta_28,$G73&gt;=Hba_28,Input!W$48&lt;&gt;""),Input!$B$48&amp;";",""),IF(AND($G73&lt;Hta_29,$G73&gt;=Hba_29,Input!W$49&lt;&gt;""),Input!$B$49&amp;";",""),IF(AND($G73&lt;Hta_30,$G73&gt;=Hba_30,Input!W$50&lt;&gt;""),Input!$B$50&amp;";","")),"")</f>
        <v/>
      </c>
      <c r="BY73" s="25" t="str">
        <f>IFERROR(CONCATENATE(IF(AND($G73&lt;Hta_1,$G73&gt;=Hba_1,Input!X$21&lt;&gt;""),Input!$B$21&amp;";",""),IF(AND($G73&lt;Hta_2,$G73&gt;=Hba_2,Input!X$22&lt;&gt;""),Input!$B$22&amp;";",""),IF(AND($G73&lt;Hta_3,$G73&gt;=Hba_3,Input!X$23&lt;&gt;""),Input!$B$23&amp;";",""),IF(AND($G73&lt;Hta_4,$G73&gt;=Hba_4,Input!X$24&lt;&gt;""),Input!$B$24&amp;";",""),IF(AND($G73&lt;Hta_5,$G73&gt;=Hba_5,Input!X$25&lt;&gt;""),Input!$B$25&amp;";",""),IF(AND($G73&lt;Hta_6,$G73&gt;=Hba_6,Input!X$26&lt;&gt;""),Input!$B$26&amp;";",""),IF(AND($G73&lt;Hta_7,$G73&gt;=Hba_7,Input!X$27&lt;&gt;""),Input!$B$27&amp;";",""),IF(AND($G73&lt;Hta_8,$G73&gt;=Hba_8,Input!X$28&lt;&gt;""),Input!$B$28&amp;";",""),IF(AND($G73&lt;Hta_9,$G73&gt;=Hba_9,Input!X$29&lt;&gt;""),Input!$B$29&amp;";",""),IF(AND($G73&lt;Hta_10,$G73&gt;=Hba_10,Input!X$30&lt;&gt;""),Input!$B$30&amp;";",""),IF(AND($G73&lt;Hta_11,$G73&gt;=Hba_11,Input!X$31&lt;&gt;""),Input!$B$31&amp;";",""),IF(AND($G73&lt;Hta_12,$G73&gt;=Hba_12,Input!X$32&lt;&gt;""),Input!$B$32&amp;";",""),IF(AND($G73&lt;Hta_13,$G73&gt;=Hba_13,Input!X$33&lt;&gt;""),Input!$B$33&amp;";",""),IF(AND($G73&lt;Hta_14,$G73&gt;=Hba_14,Input!X$34&lt;&gt;""),Input!$B$34&amp;";",""),IF(AND($G73&lt;Hta_15,$G73&gt;=Hba_15,Input!X$35&lt;&gt;""),Input!$B$35&amp;";",""),IF(AND($G73&lt;Hta_16,$G73&gt;=Hba_16,Input!X$36&lt;&gt;""),Input!$B$36&amp;";",""),IF(AND($G73&lt;Hta_17,$G73&gt;=Hba_17,Input!X$37&lt;&gt;""),Input!$B$37&amp;";",""),IF(AND($G73&lt;Hta_18,$G73&gt;=Hba_18,Input!X$38&lt;&gt;""),Input!$B$38&amp;";",""),IF(AND($G73&lt;Hta_19,$G73&gt;=Hba_19,Input!X$39&lt;&gt;""),Input!$B$39&amp;";",""),IF(AND($G73&lt;Hta_20,$G73&gt;=Hba_20,Input!X$40&lt;&gt;""),Input!$B$40&amp;";",""),IF(AND($G73&lt;Hta_21,$G73&gt;=Hba_21,Input!X$41&lt;&gt;""),Input!$B$41&amp;";",""),IF(AND($G73&lt;Hta_22,$G73&gt;=Hba_22,Input!X$42&lt;&gt;""),Input!$B$42&amp;";",""),IF(AND($G73&lt;Hta_23,$G73&gt;=Hba_23,Input!X$43&lt;&gt;""),Input!$B$43&amp;";",""),IF(AND($G73&lt;Hta_24,$G73&gt;=Hba_24,Input!X$44&lt;&gt;""),Input!$B$44&amp;";",""),IF(AND($G73&lt;Hta_25,$G73&gt;=Hba_25,Input!X$45&lt;&gt;""),Input!$B$45&amp;";",""),IF(AND($G73&lt;Hta_26,$G73&gt;=Hba_26,Input!X$46&lt;&gt;""),Input!$B$46&amp;";",""),IF(AND($G73&lt;Hta_27,$G73&gt;=Hba_27,Input!X$47&lt;&gt;""),Input!$B$47&amp;";",""),IF(AND($G73&lt;Hta_28,$G73&gt;=Hba_28,Input!X$48&lt;&gt;""),Input!$B$48&amp;";",""),IF(AND($G73&lt;Hta_29,$G73&gt;=Hba_29,Input!X$49&lt;&gt;""),Input!$B$49&amp;";",""),IF(AND($G73&lt;Hta_30,$G73&gt;=Hba_30,Input!X$50&lt;&gt;""),Input!$B$50&amp;";","")),"")</f>
        <v/>
      </c>
      <c r="BZ73" s="25" t="str">
        <f>IFERROR(CONCATENATE(IF(AND($G73&lt;Hta_1,$G73&gt;=Hba_1,Input!Y$21&lt;&gt;""),Input!$B$21&amp;";",""),IF(AND($G73&lt;Hta_2,$G73&gt;=Hba_2,Input!Y$22&lt;&gt;""),Input!$B$22&amp;";",""),IF(AND($G73&lt;Hta_3,$G73&gt;=Hba_3,Input!Y$23&lt;&gt;""),Input!$B$23&amp;";",""),IF(AND($G73&lt;Hta_4,$G73&gt;=Hba_4,Input!Y$24&lt;&gt;""),Input!$B$24&amp;";",""),IF(AND($G73&lt;Hta_5,$G73&gt;=Hba_5,Input!Y$25&lt;&gt;""),Input!$B$25&amp;";",""),IF(AND($G73&lt;Hta_6,$G73&gt;=Hba_6,Input!Y$26&lt;&gt;""),Input!$B$26&amp;";",""),IF(AND($G73&lt;Hta_7,$G73&gt;=Hba_7,Input!Y$27&lt;&gt;""),Input!$B$27&amp;";",""),IF(AND($G73&lt;Hta_8,$G73&gt;=Hba_8,Input!Y$28&lt;&gt;""),Input!$B$28&amp;";",""),IF(AND($G73&lt;Hta_9,$G73&gt;=Hba_9,Input!Y$29&lt;&gt;""),Input!$B$29&amp;";",""),IF(AND($G73&lt;Hta_10,$G73&gt;=Hba_10,Input!Y$30&lt;&gt;""),Input!$B$30&amp;";",""),IF(AND($G73&lt;Hta_11,$G73&gt;=Hba_11,Input!Y$31&lt;&gt;""),Input!$B$31&amp;";",""),IF(AND($G73&lt;Hta_12,$G73&gt;=Hba_12,Input!Y$32&lt;&gt;""),Input!$B$32&amp;";",""),IF(AND($G73&lt;Hta_13,$G73&gt;=Hba_13,Input!Y$33&lt;&gt;""),Input!$B$33&amp;";",""),IF(AND($G73&lt;Hta_14,$G73&gt;=Hba_14,Input!Y$34&lt;&gt;""),Input!$B$34&amp;";",""),IF(AND($G73&lt;Hta_15,$G73&gt;=Hba_15,Input!Y$35&lt;&gt;""),Input!$B$35&amp;";",""),IF(AND($G73&lt;Hta_16,$G73&gt;=Hba_16,Input!Y$36&lt;&gt;""),Input!$B$36&amp;";",""),IF(AND($G73&lt;Hta_17,$G73&gt;=Hba_17,Input!Y$37&lt;&gt;""),Input!$B$37&amp;";",""),IF(AND($G73&lt;Hta_18,$G73&gt;=Hba_18,Input!Y$38&lt;&gt;""),Input!$B$38&amp;";",""),IF(AND($G73&lt;Hta_19,$G73&gt;=Hba_19,Input!Y$39&lt;&gt;""),Input!$B$39&amp;";",""),IF(AND($G73&lt;Hta_20,$G73&gt;=Hba_20,Input!Y$40&lt;&gt;""),Input!$B$40&amp;";",""),IF(AND($G73&lt;Hta_21,$G73&gt;=Hba_21,Input!Y$41&lt;&gt;""),Input!$B$41&amp;";",""),IF(AND($G73&lt;Hta_22,$G73&gt;=Hba_22,Input!Y$42&lt;&gt;""),Input!$B$42&amp;";",""),IF(AND($G73&lt;Hta_23,$G73&gt;=Hba_23,Input!Y$43&lt;&gt;""),Input!$B$43&amp;";",""),IF(AND($G73&lt;Hta_24,$G73&gt;=Hba_24,Input!Y$44&lt;&gt;""),Input!$B$44&amp;";",""),IF(AND($G73&lt;Hta_25,$G73&gt;=Hba_25,Input!Y$45&lt;&gt;""),Input!$B$45&amp;";",""),IF(AND($G73&lt;Hta_26,$G73&gt;=Hba_26,Input!Y$46&lt;&gt;""),Input!$B$46&amp;";",""),IF(AND($G73&lt;Hta_27,$G73&gt;=Hba_27,Input!Y$47&lt;&gt;""),Input!$B$47&amp;";",""),IF(AND($G73&lt;Hta_28,$G73&gt;=Hba_28,Input!Y$48&lt;&gt;""),Input!$B$48&amp;";",""),IF(AND($G73&lt;Hta_29,$G73&gt;=Hba_29,Input!Y$49&lt;&gt;""),Input!$B$49&amp;";",""),IF(AND($G73&lt;Hta_30,$G73&gt;=Hba_30,Input!Y$50&lt;&gt;""),Input!$B$50&amp;";","")),"")</f>
        <v/>
      </c>
      <c r="CA73" s="25" t="str">
        <f>IFERROR(CONCATENATE(IF(AND($G73&lt;Hta_1,$G73&gt;=Hba_1,Input!Z$21&lt;&gt;""),Input!$B$21&amp;";",""),IF(AND($G73&lt;Hta_2,$G73&gt;=Hba_2,Input!Z$22&lt;&gt;""),Input!$B$22&amp;";",""),IF(AND($G73&lt;Hta_3,$G73&gt;=Hba_3,Input!Z$23&lt;&gt;""),Input!$B$23&amp;";",""),IF(AND($G73&lt;Hta_4,$G73&gt;=Hba_4,Input!Z$24&lt;&gt;""),Input!$B$24&amp;";",""),IF(AND($G73&lt;Hta_5,$G73&gt;=Hba_5,Input!Z$25&lt;&gt;""),Input!$B$25&amp;";",""),IF(AND($G73&lt;Hta_6,$G73&gt;=Hba_6,Input!Z$26&lt;&gt;""),Input!$B$26&amp;";",""),IF(AND($G73&lt;Hta_7,$G73&gt;=Hba_7,Input!Z$27&lt;&gt;""),Input!$B$27&amp;";",""),IF(AND($G73&lt;Hta_8,$G73&gt;=Hba_8,Input!Z$28&lt;&gt;""),Input!$B$28&amp;";",""),IF(AND($G73&lt;Hta_9,$G73&gt;=Hba_9,Input!Z$29&lt;&gt;""),Input!$B$29&amp;";",""),IF(AND($G73&lt;Hta_10,$G73&gt;=Hba_10,Input!Z$30&lt;&gt;""),Input!$B$30&amp;";",""),IF(AND($G73&lt;Hta_11,$G73&gt;=Hba_11,Input!Z$31&lt;&gt;""),Input!$B$31&amp;";",""),IF(AND($G73&lt;Hta_12,$G73&gt;=Hba_12,Input!Z$32&lt;&gt;""),Input!$B$32&amp;";",""),IF(AND($G73&lt;Hta_13,$G73&gt;=Hba_13,Input!Z$33&lt;&gt;""),Input!$B$33&amp;";",""),IF(AND($G73&lt;Hta_14,$G73&gt;=Hba_14,Input!Z$34&lt;&gt;""),Input!$B$34&amp;";",""),IF(AND($G73&lt;Hta_15,$G73&gt;=Hba_15,Input!Z$35&lt;&gt;""),Input!$B$35&amp;";",""),IF(AND($G73&lt;Hta_16,$G73&gt;=Hba_16,Input!Z$36&lt;&gt;""),Input!$B$36&amp;";",""),IF(AND($G73&lt;Hta_17,$G73&gt;=Hba_17,Input!Z$37&lt;&gt;""),Input!$B$37&amp;";",""),IF(AND($G73&lt;Hta_18,$G73&gt;=Hba_18,Input!Z$38&lt;&gt;""),Input!$B$38&amp;";",""),IF(AND($G73&lt;Hta_19,$G73&gt;=Hba_19,Input!Z$39&lt;&gt;""),Input!$B$39&amp;";",""),IF(AND($G73&lt;Hta_20,$G73&gt;=Hba_20,Input!Z$40&lt;&gt;""),Input!$B$40&amp;";",""),IF(AND($G73&lt;Hta_21,$G73&gt;=Hba_21,Input!Z$41&lt;&gt;""),Input!$B$41&amp;";",""),IF(AND($G73&lt;Hta_22,$G73&gt;=Hba_22,Input!Z$42&lt;&gt;""),Input!$B$42&amp;";",""),IF(AND($G73&lt;Hta_23,$G73&gt;=Hba_23,Input!Z$43&lt;&gt;""),Input!$B$43&amp;";",""),IF(AND($G73&lt;Hta_24,$G73&gt;=Hba_24,Input!Z$44&lt;&gt;""),Input!$B$44&amp;";",""),IF(AND($G73&lt;Hta_25,$G73&gt;=Hba_25,Input!Z$45&lt;&gt;""),Input!$B$45&amp;";",""),IF(AND($G73&lt;Hta_26,$G73&gt;=Hba_26,Input!Z$46&lt;&gt;""),Input!$B$46&amp;";",""),IF(AND($G73&lt;Hta_27,$G73&gt;=Hba_27,Input!Z$47&lt;&gt;""),Input!$B$47&amp;";",""),IF(AND($G73&lt;Hta_28,$G73&gt;=Hba_28,Input!Z$48&lt;&gt;""),Input!$B$48&amp;";",""),IF(AND($G73&lt;Hta_29,$G73&gt;=Hba_29,Input!Z$49&lt;&gt;""),Input!$B$49&amp;";",""),IF(AND($G73&lt;Hta_30,$G73&gt;=Hba_30,Input!Z$50&lt;&gt;""),Input!$B$50&amp;";","")),"")</f>
        <v/>
      </c>
      <c r="CB73" s="25" t="str">
        <f>IFERROR(CONCATENATE(IF(AND($G73&lt;Hta_1,$G73&gt;=Hba_1,Input!AA$21&lt;&gt;""),Input!$B$21&amp;";",""),IF(AND($G73&lt;Hta_2,$G73&gt;=Hba_2,Input!AA$22&lt;&gt;""),Input!$B$22&amp;";",""),IF(AND($G73&lt;Hta_3,$G73&gt;=Hba_3,Input!AA$23&lt;&gt;""),Input!$B$23&amp;";",""),IF(AND($G73&lt;Hta_4,$G73&gt;=Hba_4,Input!AA$24&lt;&gt;""),Input!$B$24&amp;";",""),IF(AND($G73&lt;Hta_5,$G73&gt;=Hba_5,Input!AA$25&lt;&gt;""),Input!$B$25&amp;";",""),IF(AND($G73&lt;Hta_6,$G73&gt;=Hba_6,Input!AA$26&lt;&gt;""),Input!$B$26&amp;";",""),IF(AND($G73&lt;Hta_7,$G73&gt;=Hba_7,Input!AA$27&lt;&gt;""),Input!$B$27&amp;";",""),IF(AND($G73&lt;Hta_8,$G73&gt;=Hba_8,Input!AA$28&lt;&gt;""),Input!$B$28&amp;";",""),IF(AND($G73&lt;Hta_9,$G73&gt;=Hba_9,Input!AA$29&lt;&gt;""),Input!$B$29&amp;";",""),IF(AND($G73&lt;Hta_10,$G73&gt;=Hba_10,Input!AA$30&lt;&gt;""),Input!$B$30&amp;";",""),IF(AND($G73&lt;Hta_11,$G73&gt;=Hba_11,Input!AA$31&lt;&gt;""),Input!$B$31&amp;";",""),IF(AND($G73&lt;Hta_12,$G73&gt;=Hba_12,Input!AA$32&lt;&gt;""),Input!$B$32&amp;";",""),IF(AND($G73&lt;Hta_13,$G73&gt;=Hba_13,Input!AA$33&lt;&gt;""),Input!$B$33&amp;";",""),IF(AND($G73&lt;Hta_14,$G73&gt;=Hba_14,Input!AA$34&lt;&gt;""),Input!$B$34&amp;";",""),IF(AND($G73&lt;Hta_15,$G73&gt;=Hba_15,Input!AA$35&lt;&gt;""),Input!$B$35&amp;";",""),IF(AND($G73&lt;Hta_16,$G73&gt;=Hba_16,Input!AA$36&lt;&gt;""),Input!$B$36&amp;";",""),IF(AND($G73&lt;Hta_17,$G73&gt;=Hba_17,Input!AA$37&lt;&gt;""),Input!$B$37&amp;";",""),IF(AND($G73&lt;Hta_18,$G73&gt;=Hba_18,Input!AA$38&lt;&gt;""),Input!$B$38&amp;";",""),IF(AND($G73&lt;Hta_19,$G73&gt;=Hba_19,Input!AA$39&lt;&gt;""),Input!$B$39&amp;";",""),IF(AND($G73&lt;Hta_20,$G73&gt;=Hba_20,Input!AA$40&lt;&gt;""),Input!$B$40&amp;";",""),IF(AND($G73&lt;Hta_21,$G73&gt;=Hba_21,Input!AA$41&lt;&gt;""),Input!$B$41&amp;";",""),IF(AND($G73&lt;Hta_22,$G73&gt;=Hba_22,Input!AA$42&lt;&gt;""),Input!$B$42&amp;";",""),IF(AND($G73&lt;Hta_23,$G73&gt;=Hba_23,Input!AA$43&lt;&gt;""),Input!$B$43&amp;";",""),IF(AND($G73&lt;Hta_24,$G73&gt;=Hba_24,Input!AA$44&lt;&gt;""),Input!$B$44&amp;";",""),IF(AND($G73&lt;Hta_25,$G73&gt;=Hba_25,Input!AA$45&lt;&gt;""),Input!$B$45&amp;";",""),IF(AND($G73&lt;Hta_26,$G73&gt;=Hba_26,Input!AA$46&lt;&gt;""),Input!$B$46&amp;";",""),IF(AND($G73&lt;Hta_27,$G73&gt;=Hba_27,Input!AA$47&lt;&gt;""),Input!$B$47&amp;";",""),IF(AND($G73&lt;Hta_28,$G73&gt;=Hba_28,Input!AA$48&lt;&gt;""),Input!$B$48&amp;";",""),IF(AND($G73&lt;Hta_29,$G73&gt;=Hba_29,Input!AA$49&lt;&gt;""),Input!$B$49&amp;";",""),IF(AND($G73&lt;Hta_30,$G73&gt;=Hba_30,Input!AA$50&lt;&gt;""),Input!$B$50&amp;";","")),"")</f>
        <v/>
      </c>
      <c r="CC73" s="25" t="str">
        <f>IFERROR(CONCATENATE(IF(AND($G73&lt;Hta_1,$G73&gt;=Hba_1,Input!AB$21&lt;&gt;""),Input!$B$21&amp;";",""),IF(AND($G73&lt;Hta_2,$G73&gt;=Hba_2,Input!AB$22&lt;&gt;""),Input!$B$22&amp;";",""),IF(AND($G73&lt;Hta_3,$G73&gt;=Hba_3,Input!AB$23&lt;&gt;""),Input!$B$23&amp;";",""),IF(AND($G73&lt;Hta_4,$G73&gt;=Hba_4,Input!AB$24&lt;&gt;""),Input!$B$24&amp;";",""),IF(AND($G73&lt;Hta_5,$G73&gt;=Hba_5,Input!AB$25&lt;&gt;""),Input!$B$25&amp;";",""),IF(AND($G73&lt;Hta_6,$G73&gt;=Hba_6,Input!AB$26&lt;&gt;""),Input!$B$26&amp;";",""),IF(AND($G73&lt;Hta_7,$G73&gt;=Hba_7,Input!AB$27&lt;&gt;""),Input!$B$27&amp;";",""),IF(AND($G73&lt;Hta_8,$G73&gt;=Hba_8,Input!AB$28&lt;&gt;""),Input!$B$28&amp;";",""),IF(AND($G73&lt;Hta_9,$G73&gt;=Hba_9,Input!AB$29&lt;&gt;""),Input!$B$29&amp;";",""),IF(AND($G73&lt;Hta_10,$G73&gt;=Hba_10,Input!AB$30&lt;&gt;""),Input!$B$30&amp;";",""),IF(AND($G73&lt;Hta_11,$G73&gt;=Hba_11,Input!AB$31&lt;&gt;""),Input!$B$31&amp;";",""),IF(AND($G73&lt;Hta_12,$G73&gt;=Hba_12,Input!AB$32&lt;&gt;""),Input!$B$32&amp;";",""),IF(AND($G73&lt;Hta_13,$G73&gt;=Hba_13,Input!AB$33&lt;&gt;""),Input!$B$33&amp;";",""),IF(AND($G73&lt;Hta_14,$G73&gt;=Hba_14,Input!AB$34&lt;&gt;""),Input!$B$34&amp;";",""),IF(AND($G73&lt;Hta_15,$G73&gt;=Hba_15,Input!AB$35&lt;&gt;""),Input!$B$35&amp;";",""),IF(AND($G73&lt;Hta_16,$G73&gt;=Hba_16,Input!AB$36&lt;&gt;""),Input!$B$36&amp;";",""),IF(AND($G73&lt;Hta_17,$G73&gt;=Hba_17,Input!AB$37&lt;&gt;""),Input!$B$37&amp;";",""),IF(AND($G73&lt;Hta_18,$G73&gt;=Hba_18,Input!AB$38&lt;&gt;""),Input!$B$38&amp;";",""),IF(AND($G73&lt;Hta_19,$G73&gt;=Hba_19,Input!AB$39&lt;&gt;""),Input!$B$39&amp;";",""),IF(AND($G73&lt;Hta_20,$G73&gt;=Hba_20,Input!AB$40&lt;&gt;""),Input!$B$40&amp;";",""),IF(AND($G73&lt;Hta_21,$G73&gt;=Hba_21,Input!AB$41&lt;&gt;""),Input!$B$41&amp;";",""),IF(AND($G73&lt;Hta_22,$G73&gt;=Hba_22,Input!AB$42&lt;&gt;""),Input!$B$42&amp;";",""),IF(AND($G73&lt;Hta_23,$G73&gt;=Hba_23,Input!AB$43&lt;&gt;""),Input!$B$43&amp;";",""),IF(AND($G73&lt;Hta_24,$G73&gt;=Hba_24,Input!AB$44&lt;&gt;""),Input!$B$44&amp;";",""),IF(AND($G73&lt;Hta_25,$G73&gt;=Hba_25,Input!AB$45&lt;&gt;""),Input!$B$45&amp;";",""),IF(AND($G73&lt;Hta_26,$G73&gt;=Hba_26,Input!AB$46&lt;&gt;""),Input!$B$46&amp;";",""),IF(AND($G73&lt;Hta_27,$G73&gt;=Hba_27,Input!AB$47&lt;&gt;""),Input!$B$47&amp;";",""),IF(AND($G73&lt;Hta_28,$G73&gt;=Hba_28,Input!AB$48&lt;&gt;""),Input!$B$48&amp;";",""),IF(AND($G73&lt;Hta_29,$G73&gt;=Hba_29,Input!AB$49&lt;&gt;""),Input!$B$49&amp;";",""),IF(AND($G73&lt;Hta_30,$G73&gt;=Hba_30,Input!AB$50&lt;&gt;""),Input!$B$50&amp;";","")),"")</f>
        <v/>
      </c>
      <c r="CD73" s="25" t="str">
        <f>IFERROR(CONCATENATE(IF(AND($G73&lt;Hta_1,$G73&gt;=Hba_1,Input!AC$21&lt;&gt;""),Input!$B$21&amp;";",""),IF(AND($G73&lt;Hta_2,$G73&gt;=Hba_2,Input!AC$22&lt;&gt;""),Input!$B$22&amp;";",""),IF(AND($G73&lt;Hta_3,$G73&gt;=Hba_3,Input!AC$23&lt;&gt;""),Input!$B$23&amp;";",""),IF(AND($G73&lt;Hta_4,$G73&gt;=Hba_4,Input!AC$24&lt;&gt;""),Input!$B$24&amp;";",""),IF(AND($G73&lt;Hta_5,$G73&gt;=Hba_5,Input!AC$25&lt;&gt;""),Input!$B$25&amp;";",""),IF(AND($G73&lt;Hta_6,$G73&gt;=Hba_6,Input!AC$26&lt;&gt;""),Input!$B$26&amp;";",""),IF(AND($G73&lt;Hta_7,$G73&gt;=Hba_7,Input!AC$27&lt;&gt;""),Input!$B$27&amp;";",""),IF(AND($G73&lt;Hta_8,$G73&gt;=Hba_8,Input!AC$28&lt;&gt;""),Input!$B$28&amp;";",""),IF(AND($G73&lt;Hta_9,$G73&gt;=Hba_9,Input!AC$29&lt;&gt;""),Input!$B$29&amp;";",""),IF(AND($G73&lt;Hta_10,$G73&gt;=Hba_10,Input!AC$30&lt;&gt;""),Input!$B$30&amp;";",""),IF(AND($G73&lt;Hta_11,$G73&gt;=Hba_11,Input!AC$31&lt;&gt;""),Input!$B$31&amp;";",""),IF(AND($G73&lt;Hta_12,$G73&gt;=Hba_12,Input!AC$32&lt;&gt;""),Input!$B$32&amp;";",""),IF(AND($G73&lt;Hta_13,$G73&gt;=Hba_13,Input!AC$33&lt;&gt;""),Input!$B$33&amp;";",""),IF(AND($G73&lt;Hta_14,$G73&gt;=Hba_14,Input!AC$34&lt;&gt;""),Input!$B$34&amp;";",""),IF(AND($G73&lt;Hta_15,$G73&gt;=Hba_15,Input!AC$35&lt;&gt;""),Input!$B$35&amp;";",""),IF(AND($G73&lt;Hta_16,$G73&gt;=Hba_16,Input!AC$36&lt;&gt;""),Input!$B$36&amp;";",""),IF(AND($G73&lt;Hta_17,$G73&gt;=Hba_17,Input!AC$37&lt;&gt;""),Input!$B$37&amp;";",""),IF(AND($G73&lt;Hta_18,$G73&gt;=Hba_18,Input!AC$38&lt;&gt;""),Input!$B$38&amp;";",""),IF(AND($G73&lt;Hta_19,$G73&gt;=Hba_19,Input!AC$39&lt;&gt;""),Input!$B$39&amp;";",""),IF(AND($G73&lt;Hta_20,$G73&gt;=Hba_20,Input!AC$40&lt;&gt;""),Input!$B$40&amp;";",""),IF(AND($G73&lt;Hta_21,$G73&gt;=Hba_21,Input!AC$41&lt;&gt;""),Input!$B$41&amp;";",""),IF(AND($G73&lt;Hta_22,$G73&gt;=Hba_22,Input!AC$42&lt;&gt;""),Input!$B$42&amp;";",""),IF(AND($G73&lt;Hta_23,$G73&gt;=Hba_23,Input!AC$43&lt;&gt;""),Input!$B$43&amp;";",""),IF(AND($G73&lt;Hta_24,$G73&gt;=Hba_24,Input!AC$44&lt;&gt;""),Input!$B$44&amp;";",""),IF(AND($G73&lt;Hta_25,$G73&gt;=Hba_25,Input!AC$45&lt;&gt;""),Input!$B$45&amp;";",""),IF(AND($G73&lt;Hta_26,$G73&gt;=Hba_26,Input!AC$46&lt;&gt;""),Input!$B$46&amp;";",""),IF(AND($G73&lt;Hta_27,$G73&gt;=Hba_27,Input!AC$47&lt;&gt;""),Input!$B$47&amp;";",""),IF(AND($G73&lt;Hta_28,$G73&gt;=Hba_28,Input!AC$48&lt;&gt;""),Input!$B$48&amp;";",""),IF(AND($G73&lt;Hta_29,$G73&gt;=Hba_29,Input!AC$49&lt;&gt;""),Input!$B$49&amp;";",""),IF(AND($G73&lt;Hta_30,$G73&gt;=Hba_30,Input!AC$50&lt;&gt;""),Input!$B$50&amp;";","")),"")</f>
        <v/>
      </c>
      <c r="CE73" s="25" t="str">
        <f>IFERROR(CONCATENATE(IF(AND($G73&lt;Hta_1,$G73&gt;=Hba_1,Input!AD$21&lt;&gt;""),Input!$B$21&amp;";",""),IF(AND($G73&lt;Hta_2,$G73&gt;=Hba_2,Input!AD$22&lt;&gt;""),Input!$B$22&amp;";",""),IF(AND($G73&lt;Hta_3,$G73&gt;=Hba_3,Input!AD$23&lt;&gt;""),Input!$B$23&amp;";",""),IF(AND($G73&lt;Hta_4,$G73&gt;=Hba_4,Input!AD$24&lt;&gt;""),Input!$B$24&amp;";",""),IF(AND($G73&lt;Hta_5,$G73&gt;=Hba_5,Input!AD$25&lt;&gt;""),Input!$B$25&amp;";",""),IF(AND($G73&lt;Hta_6,$G73&gt;=Hba_6,Input!AD$26&lt;&gt;""),Input!$B$26&amp;";",""),IF(AND($G73&lt;Hta_7,$G73&gt;=Hba_7,Input!AD$27&lt;&gt;""),Input!$B$27&amp;";",""),IF(AND($G73&lt;Hta_8,$G73&gt;=Hba_8,Input!AD$28&lt;&gt;""),Input!$B$28&amp;";",""),IF(AND($G73&lt;Hta_9,$G73&gt;=Hba_9,Input!AD$29&lt;&gt;""),Input!$B$29&amp;";",""),IF(AND($G73&lt;Hta_10,$G73&gt;=Hba_10,Input!AD$30&lt;&gt;""),Input!$B$30&amp;";",""),IF(AND($G73&lt;Hta_11,$G73&gt;=Hba_11,Input!AD$31&lt;&gt;""),Input!$B$31&amp;";",""),IF(AND($G73&lt;Hta_12,$G73&gt;=Hba_12,Input!AD$32&lt;&gt;""),Input!$B$32&amp;";",""),IF(AND($G73&lt;Hta_13,$G73&gt;=Hba_13,Input!AD$33&lt;&gt;""),Input!$B$33&amp;";",""),IF(AND($G73&lt;Hta_14,$G73&gt;=Hba_14,Input!AD$34&lt;&gt;""),Input!$B$34&amp;";",""),IF(AND($G73&lt;Hta_15,$G73&gt;=Hba_15,Input!AD$35&lt;&gt;""),Input!$B$35&amp;";",""),IF(AND($G73&lt;Hta_16,$G73&gt;=Hba_16,Input!AD$36&lt;&gt;""),Input!$B$36&amp;";",""),IF(AND($G73&lt;Hta_17,$G73&gt;=Hba_17,Input!AD$37&lt;&gt;""),Input!$B$37&amp;";",""),IF(AND($G73&lt;Hta_18,$G73&gt;=Hba_18,Input!AD$38&lt;&gt;""),Input!$B$38&amp;";",""),IF(AND($G73&lt;Hta_19,$G73&gt;=Hba_19,Input!AD$39&lt;&gt;""),Input!$B$39&amp;";",""),IF(AND($G73&lt;Hta_20,$G73&gt;=Hba_20,Input!AD$40&lt;&gt;""),Input!$B$40&amp;";",""),IF(AND($G73&lt;Hta_21,$G73&gt;=Hba_21,Input!AD$41&lt;&gt;""),Input!$B$41&amp;";",""),IF(AND($G73&lt;Hta_22,$G73&gt;=Hba_22,Input!AD$42&lt;&gt;""),Input!$B$42&amp;";",""),IF(AND($G73&lt;Hta_23,$G73&gt;=Hba_23,Input!AD$43&lt;&gt;""),Input!$B$43&amp;";",""),IF(AND($G73&lt;Hta_24,$G73&gt;=Hba_24,Input!AD$44&lt;&gt;""),Input!$B$44&amp;";",""),IF(AND($G73&lt;Hta_25,$G73&gt;=Hba_25,Input!AD$45&lt;&gt;""),Input!$B$45&amp;";",""),IF(AND($G73&lt;Hta_26,$G73&gt;=Hba_26,Input!AD$46&lt;&gt;""),Input!$B$46&amp;";",""),IF(AND($G73&lt;Hta_27,$G73&gt;=Hba_27,Input!AD$47&lt;&gt;""),Input!$B$47&amp;";",""),IF(AND($G73&lt;Hta_28,$G73&gt;=Hba_28,Input!AD$48&lt;&gt;""),Input!$B$48&amp;";",""),IF(AND($G73&lt;Hta_29,$G73&gt;=Hba_29,Input!AD$49&lt;&gt;""),Input!$B$49&amp;";",""),IF(AND($G73&lt;Hta_30,$G73&gt;=Hba_30,Input!AD$50&lt;&gt;""),Input!$B$50&amp;";","")),"")</f>
        <v/>
      </c>
      <c r="CF73" s="25" t="str">
        <f>IFERROR(CONCATENATE(IF(AND($G73&lt;Hta_1,$G73&gt;=Hba_1,Input!AE$21&lt;&gt;""),Input!$B$21&amp;";",""),IF(AND($G73&lt;Hta_2,$G73&gt;=Hba_2,Input!AE$22&lt;&gt;""),Input!$B$22&amp;";",""),IF(AND($G73&lt;Hta_3,$G73&gt;=Hba_3,Input!AE$23&lt;&gt;""),Input!$B$23&amp;";",""),IF(AND($G73&lt;Hta_4,$G73&gt;=Hba_4,Input!AE$24&lt;&gt;""),Input!$B$24&amp;";",""),IF(AND($G73&lt;Hta_5,$G73&gt;=Hba_5,Input!AE$25&lt;&gt;""),Input!$B$25&amp;";",""),IF(AND($G73&lt;Hta_6,$G73&gt;=Hba_6,Input!AE$26&lt;&gt;""),Input!$B$26&amp;";",""),IF(AND($G73&lt;Hta_7,$G73&gt;=Hba_7,Input!AE$27&lt;&gt;""),Input!$B$27&amp;";",""),IF(AND($G73&lt;Hta_8,$G73&gt;=Hba_8,Input!AE$28&lt;&gt;""),Input!$B$28&amp;";",""),IF(AND($G73&lt;Hta_9,$G73&gt;=Hba_9,Input!AE$29&lt;&gt;""),Input!$B$29&amp;";",""),IF(AND($G73&lt;Hta_10,$G73&gt;=Hba_10,Input!AE$30&lt;&gt;""),Input!$B$30&amp;";",""),IF(AND($G73&lt;Hta_11,$G73&gt;=Hba_11,Input!AE$31&lt;&gt;""),Input!$B$31&amp;";",""),IF(AND($G73&lt;Hta_12,$G73&gt;=Hba_12,Input!AE$32&lt;&gt;""),Input!$B$32&amp;";",""),IF(AND($G73&lt;Hta_13,$G73&gt;=Hba_13,Input!AE$33&lt;&gt;""),Input!$B$33&amp;";",""),IF(AND($G73&lt;Hta_14,$G73&gt;=Hba_14,Input!AE$34&lt;&gt;""),Input!$B$34&amp;";",""),IF(AND($G73&lt;Hta_15,$G73&gt;=Hba_15,Input!AE$35&lt;&gt;""),Input!$B$35&amp;";",""),IF(AND($G73&lt;Hta_16,$G73&gt;=Hba_16,Input!AE$36&lt;&gt;""),Input!$B$36&amp;";",""),IF(AND($G73&lt;Hta_17,$G73&gt;=Hba_17,Input!AE$37&lt;&gt;""),Input!$B$37&amp;";",""),IF(AND($G73&lt;Hta_18,$G73&gt;=Hba_18,Input!AE$38&lt;&gt;""),Input!$B$38&amp;";",""),IF(AND($G73&lt;Hta_19,$G73&gt;=Hba_19,Input!AE$39&lt;&gt;""),Input!$B$39&amp;";",""),IF(AND($G73&lt;Hta_20,$G73&gt;=Hba_20,Input!AE$40&lt;&gt;""),Input!$B$40&amp;";",""),IF(AND($G73&lt;Hta_21,$G73&gt;=Hba_21,Input!AE$41&lt;&gt;""),Input!$B$41&amp;";",""),IF(AND($G73&lt;Hta_22,$G73&gt;=Hba_22,Input!AE$42&lt;&gt;""),Input!$B$42&amp;";",""),IF(AND($G73&lt;Hta_23,$G73&gt;=Hba_23,Input!AE$43&lt;&gt;""),Input!$B$43&amp;";",""),IF(AND($G73&lt;Hta_24,$G73&gt;=Hba_24,Input!AE$44&lt;&gt;""),Input!$B$44&amp;";",""),IF(AND($G73&lt;Hta_25,$G73&gt;=Hba_25,Input!AE$45&lt;&gt;""),Input!$B$45&amp;";",""),IF(AND($G73&lt;Hta_26,$G73&gt;=Hba_26,Input!AE$46&lt;&gt;""),Input!$B$46&amp;";",""),IF(AND($G73&lt;Hta_27,$G73&gt;=Hba_27,Input!AE$47&lt;&gt;""),Input!$B$47&amp;";",""),IF(AND($G73&lt;Hta_28,$G73&gt;=Hba_28,Input!AE$48&lt;&gt;""),Input!$B$48&amp;";",""),IF(AND($G73&lt;Hta_29,$G73&gt;=Hba_29,Input!AE$49&lt;&gt;""),Input!$B$49&amp;";",""),IF(AND($G73&lt;Hta_30,$G73&gt;=Hba_30,Input!AE$50&lt;&gt;""),Input!$B$50&amp;";","")),"")</f>
        <v/>
      </c>
      <c r="CG73" s="25" t="str">
        <f>IFERROR(CONCATENATE(IF(AND($G73&lt;Hta_1,$G73&gt;=Hba_1,Input!AF$21&lt;&gt;""),Input!$B$21&amp;";",""),IF(AND($G73&lt;Hta_2,$G73&gt;=Hba_2,Input!AF$22&lt;&gt;""),Input!$B$22&amp;";",""),IF(AND($G73&lt;Hta_3,$G73&gt;=Hba_3,Input!AF$23&lt;&gt;""),Input!$B$23&amp;";",""),IF(AND($G73&lt;Hta_4,$G73&gt;=Hba_4,Input!AF$24&lt;&gt;""),Input!$B$24&amp;";",""),IF(AND($G73&lt;Hta_5,$G73&gt;=Hba_5,Input!AF$25&lt;&gt;""),Input!$B$25&amp;";",""),IF(AND($G73&lt;Hta_6,$G73&gt;=Hba_6,Input!AF$26&lt;&gt;""),Input!$B$26&amp;";",""),IF(AND($G73&lt;Hta_7,$G73&gt;=Hba_7,Input!AF$27&lt;&gt;""),Input!$B$27&amp;";",""),IF(AND($G73&lt;Hta_8,$G73&gt;=Hba_8,Input!AF$28&lt;&gt;""),Input!$B$28&amp;";",""),IF(AND($G73&lt;Hta_9,$G73&gt;=Hba_9,Input!AF$29&lt;&gt;""),Input!$B$29&amp;";",""),IF(AND($G73&lt;Hta_10,$G73&gt;=Hba_10,Input!AF$30&lt;&gt;""),Input!$B$30&amp;";",""),IF(AND($G73&lt;Hta_11,$G73&gt;=Hba_11,Input!AF$31&lt;&gt;""),Input!$B$31&amp;";",""),IF(AND($G73&lt;Hta_12,$G73&gt;=Hba_12,Input!AF$32&lt;&gt;""),Input!$B$32&amp;";",""),IF(AND($G73&lt;Hta_13,$G73&gt;=Hba_13,Input!AF$33&lt;&gt;""),Input!$B$33&amp;";",""),IF(AND($G73&lt;Hta_14,$G73&gt;=Hba_14,Input!AF$34&lt;&gt;""),Input!$B$34&amp;";",""),IF(AND($G73&lt;Hta_15,$G73&gt;=Hba_15,Input!AF$35&lt;&gt;""),Input!$B$35&amp;";",""),IF(AND($G73&lt;Hta_16,$G73&gt;=Hba_16,Input!AF$36&lt;&gt;""),Input!$B$36&amp;";",""),IF(AND($G73&lt;Hta_17,$G73&gt;=Hba_17,Input!AF$37&lt;&gt;""),Input!$B$37&amp;";",""),IF(AND($G73&lt;Hta_18,$G73&gt;=Hba_18,Input!AF$38&lt;&gt;""),Input!$B$38&amp;";",""),IF(AND($G73&lt;Hta_19,$G73&gt;=Hba_19,Input!AF$39&lt;&gt;""),Input!$B$39&amp;";",""),IF(AND($G73&lt;Hta_20,$G73&gt;=Hba_20,Input!AF$40&lt;&gt;""),Input!$B$40&amp;";",""),IF(AND($G73&lt;Hta_21,$G73&gt;=Hba_21,Input!AF$41&lt;&gt;""),Input!$B$41&amp;";",""),IF(AND($G73&lt;Hta_22,$G73&gt;=Hba_22,Input!AF$42&lt;&gt;""),Input!$B$42&amp;";",""),IF(AND($G73&lt;Hta_23,$G73&gt;=Hba_23,Input!AF$43&lt;&gt;""),Input!$B$43&amp;";",""),IF(AND($G73&lt;Hta_24,$G73&gt;=Hba_24,Input!AF$44&lt;&gt;""),Input!$B$44&amp;";",""),IF(AND($G73&lt;Hta_25,$G73&gt;=Hba_25,Input!AF$45&lt;&gt;""),Input!$B$45&amp;";",""),IF(AND($G73&lt;Hta_26,$G73&gt;=Hba_26,Input!AF$46&lt;&gt;""),Input!$B$46&amp;";",""),IF(AND($G73&lt;Hta_27,$G73&gt;=Hba_27,Input!AF$47&lt;&gt;""),Input!$B$47&amp;";",""),IF(AND($G73&lt;Hta_28,$G73&gt;=Hba_28,Input!AF$48&lt;&gt;""),Input!$B$48&amp;";",""),IF(AND($G73&lt;Hta_29,$G73&gt;=Hba_29,Input!AF$49&lt;&gt;""),Input!$B$49&amp;";",""),IF(AND($G73&lt;Hta_30,$G73&gt;=Hba_30,Input!AF$50&lt;&gt;""),Input!$B$50&amp;";","")),"")</f>
        <v/>
      </c>
      <c r="CH73" s="25" t="str">
        <f>IFERROR(CONCATENATE(IF(AND($G73&lt;Hta_1,$G73&gt;=Hba_1,Input!AG$21&lt;&gt;""),Input!$B$21&amp;";",""),IF(AND($G73&lt;Hta_2,$G73&gt;=Hba_2,Input!AG$22&lt;&gt;""),Input!$B$22&amp;";",""),IF(AND($G73&lt;Hta_3,$G73&gt;=Hba_3,Input!AG$23&lt;&gt;""),Input!$B$23&amp;";",""),IF(AND($G73&lt;Hta_4,$G73&gt;=Hba_4,Input!AG$24&lt;&gt;""),Input!$B$24&amp;";",""),IF(AND($G73&lt;Hta_5,$G73&gt;=Hba_5,Input!AG$25&lt;&gt;""),Input!$B$25&amp;";",""),IF(AND($G73&lt;Hta_6,$G73&gt;=Hba_6,Input!AG$26&lt;&gt;""),Input!$B$26&amp;";",""),IF(AND($G73&lt;Hta_7,$G73&gt;=Hba_7,Input!AG$27&lt;&gt;""),Input!$B$27&amp;";",""),IF(AND($G73&lt;Hta_8,$G73&gt;=Hba_8,Input!AG$28&lt;&gt;""),Input!$B$28&amp;";",""),IF(AND($G73&lt;Hta_9,$G73&gt;=Hba_9,Input!AG$29&lt;&gt;""),Input!$B$29&amp;";",""),IF(AND($G73&lt;Hta_10,$G73&gt;=Hba_10,Input!AG$30&lt;&gt;""),Input!$B$30&amp;";",""),IF(AND($G73&lt;Hta_11,$G73&gt;=Hba_11,Input!AG$31&lt;&gt;""),Input!$B$31&amp;";",""),IF(AND($G73&lt;Hta_12,$G73&gt;=Hba_12,Input!AG$32&lt;&gt;""),Input!$B$32&amp;";",""),IF(AND($G73&lt;Hta_13,$G73&gt;=Hba_13,Input!AG$33&lt;&gt;""),Input!$B$33&amp;";",""),IF(AND($G73&lt;Hta_14,$G73&gt;=Hba_14,Input!AG$34&lt;&gt;""),Input!$B$34&amp;";",""),IF(AND($G73&lt;Hta_15,$G73&gt;=Hba_15,Input!AG$35&lt;&gt;""),Input!$B$35&amp;";",""),IF(AND($G73&lt;Hta_16,$G73&gt;=Hba_16,Input!AG$36&lt;&gt;""),Input!$B$36&amp;";",""),IF(AND($G73&lt;Hta_17,$G73&gt;=Hba_17,Input!AG$37&lt;&gt;""),Input!$B$37&amp;";",""),IF(AND($G73&lt;Hta_18,$G73&gt;=Hba_18,Input!AG$38&lt;&gt;""),Input!$B$38&amp;";",""),IF(AND($G73&lt;Hta_19,$G73&gt;=Hba_19,Input!AG$39&lt;&gt;""),Input!$B$39&amp;";",""),IF(AND($G73&lt;Hta_20,$G73&gt;=Hba_20,Input!AG$40&lt;&gt;""),Input!$B$40&amp;";",""),IF(AND($G73&lt;Hta_21,$G73&gt;=Hba_21,Input!AG$41&lt;&gt;""),Input!$B$41&amp;";",""),IF(AND($G73&lt;Hta_22,$G73&gt;=Hba_22,Input!AG$42&lt;&gt;""),Input!$B$42&amp;";",""),IF(AND($G73&lt;Hta_23,$G73&gt;=Hba_23,Input!AG$43&lt;&gt;""),Input!$B$43&amp;";",""),IF(AND($G73&lt;Hta_24,$G73&gt;=Hba_24,Input!AG$44&lt;&gt;""),Input!$B$44&amp;";",""),IF(AND($G73&lt;Hta_25,$G73&gt;=Hba_25,Input!AG$45&lt;&gt;""),Input!$B$45&amp;";",""),IF(AND($G73&lt;Hta_26,$G73&gt;=Hba_26,Input!AG$46&lt;&gt;""),Input!$B$46&amp;";",""),IF(AND($G73&lt;Hta_27,$G73&gt;=Hba_27,Input!AG$47&lt;&gt;""),Input!$B$47&amp;";",""),IF(AND($G73&lt;Hta_28,$G73&gt;=Hba_28,Input!AG$48&lt;&gt;""),Input!$B$48&amp;";",""),IF(AND($G73&lt;Hta_29,$G73&gt;=Hba_29,Input!AG$49&lt;&gt;""),Input!$B$49&amp;";",""),IF(AND($G73&lt;Hta_30,$G73&gt;=Hba_30,Input!AG$50&lt;&gt;""),Input!$B$50&amp;";","")),"")</f>
        <v/>
      </c>
      <c r="CI73" s="25" t="str">
        <f>IFERROR(CONCATENATE(IF(AND($G73&lt;Hta_1,$G73&gt;=Hba_1,Input!AH$21&lt;&gt;""),Input!$B$21&amp;";",""),IF(AND($G73&lt;Hta_2,$G73&gt;=Hba_2,Input!AH$22&lt;&gt;""),Input!$B$22&amp;";",""),IF(AND($G73&lt;Hta_3,$G73&gt;=Hba_3,Input!AH$23&lt;&gt;""),Input!$B$23&amp;";",""),IF(AND($G73&lt;Hta_4,$G73&gt;=Hba_4,Input!AH$24&lt;&gt;""),Input!$B$24&amp;";",""),IF(AND($G73&lt;Hta_5,$G73&gt;=Hba_5,Input!AH$25&lt;&gt;""),Input!$B$25&amp;";",""),IF(AND($G73&lt;Hta_6,$G73&gt;=Hba_6,Input!AH$26&lt;&gt;""),Input!$B$26&amp;";",""),IF(AND($G73&lt;Hta_7,$G73&gt;=Hba_7,Input!AH$27&lt;&gt;""),Input!$B$27&amp;";",""),IF(AND($G73&lt;Hta_8,$G73&gt;=Hba_8,Input!AH$28&lt;&gt;""),Input!$B$28&amp;";",""),IF(AND($G73&lt;Hta_9,$G73&gt;=Hba_9,Input!AH$29&lt;&gt;""),Input!$B$29&amp;";",""),IF(AND($G73&lt;Hta_10,$G73&gt;=Hba_10,Input!AH$30&lt;&gt;""),Input!$B$30&amp;";",""),IF(AND($G73&lt;Hta_11,$G73&gt;=Hba_11,Input!AH$31&lt;&gt;""),Input!$B$31&amp;";",""),IF(AND($G73&lt;Hta_12,$G73&gt;=Hba_12,Input!AH$32&lt;&gt;""),Input!$B$32&amp;";",""),IF(AND($G73&lt;Hta_13,$G73&gt;=Hba_13,Input!AH$33&lt;&gt;""),Input!$B$33&amp;";",""),IF(AND($G73&lt;Hta_14,$G73&gt;=Hba_14,Input!AH$34&lt;&gt;""),Input!$B$34&amp;";",""),IF(AND($G73&lt;Hta_15,$G73&gt;=Hba_15,Input!AH$35&lt;&gt;""),Input!$B$35&amp;";",""),IF(AND($G73&lt;Hta_16,$G73&gt;=Hba_16,Input!AH$36&lt;&gt;""),Input!$B$36&amp;";",""),IF(AND($G73&lt;Hta_17,$G73&gt;=Hba_17,Input!AH$37&lt;&gt;""),Input!$B$37&amp;";",""),IF(AND($G73&lt;Hta_18,$G73&gt;=Hba_18,Input!AH$38&lt;&gt;""),Input!$B$38&amp;";",""),IF(AND($G73&lt;Hta_19,$G73&gt;=Hba_19,Input!AH$39&lt;&gt;""),Input!$B$39&amp;";",""),IF(AND($G73&lt;Hta_20,$G73&gt;=Hba_20,Input!AH$40&lt;&gt;""),Input!$B$40&amp;";",""),IF(AND($G73&lt;Hta_21,$G73&gt;=Hba_21,Input!AH$41&lt;&gt;""),Input!$B$41&amp;";",""),IF(AND($G73&lt;Hta_22,$G73&gt;=Hba_22,Input!AH$42&lt;&gt;""),Input!$B$42&amp;";",""),IF(AND($G73&lt;Hta_23,$G73&gt;=Hba_23,Input!AH$43&lt;&gt;""),Input!$B$43&amp;";",""),IF(AND($G73&lt;Hta_24,$G73&gt;=Hba_24,Input!AH$44&lt;&gt;""),Input!$B$44&amp;";",""),IF(AND($G73&lt;Hta_25,$G73&gt;=Hba_25,Input!AH$45&lt;&gt;""),Input!$B$45&amp;";",""),IF(AND($G73&lt;Hta_26,$G73&gt;=Hba_26,Input!AH$46&lt;&gt;""),Input!$B$46&amp;";",""),IF(AND($G73&lt;Hta_27,$G73&gt;=Hba_27,Input!AH$47&lt;&gt;""),Input!$B$47&amp;";",""),IF(AND($G73&lt;Hta_28,$G73&gt;=Hba_28,Input!AH$48&lt;&gt;""),Input!$B$48&amp;";",""),IF(AND($G73&lt;Hta_29,$G73&gt;=Hba_29,Input!AH$49&lt;&gt;""),Input!$B$49&amp;";",""),IF(AND($G73&lt;Hta_30,$G73&gt;=Hba_30,Input!AH$50&lt;&gt;""),Input!$B$50&amp;";","")),"")</f>
        <v/>
      </c>
      <c r="CJ73" s="25" t="str">
        <f>IFERROR(CONCATENATE(IF(AND($G73&lt;Hta_1,$G73&gt;=Hba_1,Input!AI$21&lt;&gt;""),Input!$B$21&amp;";",""),IF(AND($G73&lt;Hta_2,$G73&gt;=Hba_2,Input!AI$22&lt;&gt;""),Input!$B$22&amp;";",""),IF(AND($G73&lt;Hta_3,$G73&gt;=Hba_3,Input!AI$23&lt;&gt;""),Input!$B$23&amp;";",""),IF(AND($G73&lt;Hta_4,$G73&gt;=Hba_4,Input!AI$24&lt;&gt;""),Input!$B$24&amp;";",""),IF(AND($G73&lt;Hta_5,$G73&gt;=Hba_5,Input!AI$25&lt;&gt;""),Input!$B$25&amp;";",""),IF(AND($G73&lt;Hta_6,$G73&gt;=Hba_6,Input!AI$26&lt;&gt;""),Input!$B$26&amp;";",""),IF(AND($G73&lt;Hta_7,$G73&gt;=Hba_7,Input!AI$27&lt;&gt;""),Input!$B$27&amp;";",""),IF(AND($G73&lt;Hta_8,$G73&gt;=Hba_8,Input!AI$28&lt;&gt;""),Input!$B$28&amp;";",""),IF(AND($G73&lt;Hta_9,$G73&gt;=Hba_9,Input!AI$29&lt;&gt;""),Input!$B$29&amp;";",""),IF(AND($G73&lt;Hta_10,$G73&gt;=Hba_10,Input!AI$30&lt;&gt;""),Input!$B$30&amp;";",""),IF(AND($G73&lt;Hta_11,$G73&gt;=Hba_11,Input!AI$31&lt;&gt;""),Input!$B$31&amp;";",""),IF(AND($G73&lt;Hta_12,$G73&gt;=Hba_12,Input!AI$32&lt;&gt;""),Input!$B$32&amp;";",""),IF(AND($G73&lt;Hta_13,$G73&gt;=Hba_13,Input!AI$33&lt;&gt;""),Input!$B$33&amp;";",""),IF(AND($G73&lt;Hta_14,$G73&gt;=Hba_14,Input!AI$34&lt;&gt;""),Input!$B$34&amp;";",""),IF(AND($G73&lt;Hta_15,$G73&gt;=Hba_15,Input!AI$35&lt;&gt;""),Input!$B$35&amp;";",""),IF(AND($G73&lt;Hta_16,$G73&gt;=Hba_16,Input!AI$36&lt;&gt;""),Input!$B$36&amp;";",""),IF(AND($G73&lt;Hta_17,$G73&gt;=Hba_17,Input!AI$37&lt;&gt;""),Input!$B$37&amp;";",""),IF(AND($G73&lt;Hta_18,$G73&gt;=Hba_18,Input!AI$38&lt;&gt;""),Input!$B$38&amp;";",""),IF(AND($G73&lt;Hta_19,$G73&gt;=Hba_19,Input!AI$39&lt;&gt;""),Input!$B$39&amp;";",""),IF(AND($G73&lt;Hta_20,$G73&gt;=Hba_20,Input!AI$40&lt;&gt;""),Input!$B$40&amp;";",""),IF(AND($G73&lt;Hta_21,$G73&gt;=Hba_21,Input!AI$41&lt;&gt;""),Input!$B$41&amp;";",""),IF(AND($G73&lt;Hta_22,$G73&gt;=Hba_22,Input!AI$42&lt;&gt;""),Input!$B$42&amp;";",""),IF(AND($G73&lt;Hta_23,$G73&gt;=Hba_23,Input!AI$43&lt;&gt;""),Input!$B$43&amp;";",""),IF(AND($G73&lt;Hta_24,$G73&gt;=Hba_24,Input!AI$44&lt;&gt;""),Input!$B$44&amp;";",""),IF(AND($G73&lt;Hta_25,$G73&gt;=Hba_25,Input!AI$45&lt;&gt;""),Input!$B$45&amp;";",""),IF(AND($G73&lt;Hta_26,$G73&gt;=Hba_26,Input!AI$46&lt;&gt;""),Input!$B$46&amp;";",""),IF(AND($G73&lt;Hta_27,$G73&gt;=Hba_27,Input!AI$47&lt;&gt;""),Input!$B$47&amp;";",""),IF(AND($G73&lt;Hta_28,$G73&gt;=Hba_28,Input!AI$48&lt;&gt;""),Input!$B$48&amp;";",""),IF(AND($G73&lt;Hta_29,$G73&gt;=Hba_29,Input!AI$49&lt;&gt;""),Input!$B$49&amp;";",""),IF(AND($G73&lt;Hta_30,$G73&gt;=Hba_30,Input!AI$50&lt;&gt;""),Input!$B$50&amp;";","")),"")</f>
        <v/>
      </c>
      <c r="CK73" s="25" t="str">
        <f>IFERROR(CONCATENATE(IF(AND($G73&lt;Hta_1,$G73&gt;=Hba_1,Input!AJ$21&lt;&gt;""),Input!$B$21&amp;";",""),IF(AND($G73&lt;Hta_2,$G73&gt;=Hba_2,Input!AJ$22&lt;&gt;""),Input!$B$22&amp;";",""),IF(AND($G73&lt;Hta_3,$G73&gt;=Hba_3,Input!AJ$23&lt;&gt;""),Input!$B$23&amp;";",""),IF(AND($G73&lt;Hta_4,$G73&gt;=Hba_4,Input!AJ$24&lt;&gt;""),Input!$B$24&amp;";",""),IF(AND($G73&lt;Hta_5,$G73&gt;=Hba_5,Input!AJ$25&lt;&gt;""),Input!$B$25&amp;";",""),IF(AND($G73&lt;Hta_6,$G73&gt;=Hba_6,Input!AJ$26&lt;&gt;""),Input!$B$26&amp;";",""),IF(AND($G73&lt;Hta_7,$G73&gt;=Hba_7,Input!AJ$27&lt;&gt;""),Input!$B$27&amp;";",""),IF(AND($G73&lt;Hta_8,$G73&gt;=Hba_8,Input!AJ$28&lt;&gt;""),Input!$B$28&amp;";",""),IF(AND($G73&lt;Hta_9,$G73&gt;=Hba_9,Input!AJ$29&lt;&gt;""),Input!$B$29&amp;";",""),IF(AND($G73&lt;Hta_10,$G73&gt;=Hba_10,Input!AJ$30&lt;&gt;""),Input!$B$30&amp;";",""),IF(AND($G73&lt;Hta_11,$G73&gt;=Hba_11,Input!AJ$31&lt;&gt;""),Input!$B$31&amp;";",""),IF(AND($G73&lt;Hta_12,$G73&gt;=Hba_12,Input!AJ$32&lt;&gt;""),Input!$B$32&amp;";",""),IF(AND($G73&lt;Hta_13,$G73&gt;=Hba_13,Input!AJ$33&lt;&gt;""),Input!$B$33&amp;";",""),IF(AND($G73&lt;Hta_14,$G73&gt;=Hba_14,Input!AJ$34&lt;&gt;""),Input!$B$34&amp;";",""),IF(AND($G73&lt;Hta_15,$G73&gt;=Hba_15,Input!AJ$35&lt;&gt;""),Input!$B$35&amp;";",""),IF(AND($G73&lt;Hta_16,$G73&gt;=Hba_16,Input!AJ$36&lt;&gt;""),Input!$B$36&amp;";",""),IF(AND($G73&lt;Hta_17,$G73&gt;=Hba_17,Input!AJ$37&lt;&gt;""),Input!$B$37&amp;";",""),IF(AND($G73&lt;Hta_18,$G73&gt;=Hba_18,Input!AJ$38&lt;&gt;""),Input!$B$38&amp;";",""),IF(AND($G73&lt;Hta_19,$G73&gt;=Hba_19,Input!AJ$39&lt;&gt;""),Input!$B$39&amp;";",""),IF(AND($G73&lt;Hta_20,$G73&gt;=Hba_20,Input!AJ$40&lt;&gt;""),Input!$B$40&amp;";",""),IF(AND($G73&lt;Hta_21,$G73&gt;=Hba_21,Input!AJ$41&lt;&gt;""),Input!$B$41&amp;";",""),IF(AND($G73&lt;Hta_22,$G73&gt;=Hba_22,Input!AJ$42&lt;&gt;""),Input!$B$42&amp;";",""),IF(AND($G73&lt;Hta_23,$G73&gt;=Hba_23,Input!AJ$43&lt;&gt;""),Input!$B$43&amp;";",""),IF(AND($G73&lt;Hta_24,$G73&gt;=Hba_24,Input!AJ$44&lt;&gt;""),Input!$B$44&amp;";",""),IF(AND($G73&lt;Hta_25,$G73&gt;=Hba_25,Input!AJ$45&lt;&gt;""),Input!$B$45&amp;";",""),IF(AND($G73&lt;Hta_26,$G73&gt;=Hba_26,Input!AJ$46&lt;&gt;""),Input!$B$46&amp;";",""),IF(AND($G73&lt;Hta_27,$G73&gt;=Hba_27,Input!AJ$47&lt;&gt;""),Input!$B$47&amp;";",""),IF(AND($G73&lt;Hta_28,$G73&gt;=Hba_28,Input!AJ$48&lt;&gt;""),Input!$B$48&amp;";",""),IF(AND($G73&lt;Hta_29,$G73&gt;=Hba_29,Input!AJ$49&lt;&gt;""),Input!$B$49&amp;";",""),IF(AND($G73&lt;Hta_30,$G73&gt;=Hba_30,Input!AJ$50&lt;&gt;""),Input!$B$50&amp;";","")),"")</f>
        <v/>
      </c>
      <c r="CL73" s="25" t="str">
        <f>IFERROR(CONCATENATE(IF(AND($G73&lt;Hta_1,$G73&gt;=Hba_1,Input!AK$21&lt;&gt;""),Input!$B$21&amp;";",""),IF(AND($G73&lt;Hta_2,$G73&gt;=Hba_2,Input!AK$22&lt;&gt;""),Input!$B$22&amp;";",""),IF(AND($G73&lt;Hta_3,$G73&gt;=Hba_3,Input!AK$23&lt;&gt;""),Input!$B$23&amp;";",""),IF(AND($G73&lt;Hta_4,$G73&gt;=Hba_4,Input!AK$24&lt;&gt;""),Input!$B$24&amp;";",""),IF(AND($G73&lt;Hta_5,$G73&gt;=Hba_5,Input!AK$25&lt;&gt;""),Input!$B$25&amp;";",""),IF(AND($G73&lt;Hta_6,$G73&gt;=Hba_6,Input!AK$26&lt;&gt;""),Input!$B$26&amp;";",""),IF(AND($G73&lt;Hta_7,$G73&gt;=Hba_7,Input!AK$27&lt;&gt;""),Input!$B$27&amp;";",""),IF(AND($G73&lt;Hta_8,$G73&gt;=Hba_8,Input!AK$28&lt;&gt;""),Input!$B$28&amp;";",""),IF(AND($G73&lt;Hta_9,$G73&gt;=Hba_9,Input!AK$29&lt;&gt;""),Input!$B$29&amp;";",""),IF(AND($G73&lt;Hta_10,$G73&gt;=Hba_10,Input!AK$30&lt;&gt;""),Input!$B$30&amp;";",""),IF(AND($G73&lt;Hta_11,$G73&gt;=Hba_11,Input!AK$31&lt;&gt;""),Input!$B$31&amp;";",""),IF(AND($G73&lt;Hta_12,$G73&gt;=Hba_12,Input!AK$32&lt;&gt;""),Input!$B$32&amp;";",""),IF(AND($G73&lt;Hta_13,$G73&gt;=Hba_13,Input!AK$33&lt;&gt;""),Input!$B$33&amp;";",""),IF(AND($G73&lt;Hta_14,$G73&gt;=Hba_14,Input!AK$34&lt;&gt;""),Input!$B$34&amp;";",""),IF(AND($G73&lt;Hta_15,$G73&gt;=Hba_15,Input!AK$35&lt;&gt;""),Input!$B$35&amp;";",""),IF(AND($G73&lt;Hta_16,$G73&gt;=Hba_16,Input!AK$36&lt;&gt;""),Input!$B$36&amp;";",""),IF(AND($G73&lt;Hta_17,$G73&gt;=Hba_17,Input!AK$37&lt;&gt;""),Input!$B$37&amp;";",""),IF(AND($G73&lt;Hta_18,$G73&gt;=Hba_18,Input!AK$38&lt;&gt;""),Input!$B$38&amp;";",""),IF(AND($G73&lt;Hta_19,$G73&gt;=Hba_19,Input!AK$39&lt;&gt;""),Input!$B$39&amp;";",""),IF(AND($G73&lt;Hta_20,$G73&gt;=Hba_20,Input!AK$40&lt;&gt;""),Input!$B$40&amp;";",""),IF(AND($G73&lt;Hta_21,$G73&gt;=Hba_21,Input!AK$41&lt;&gt;""),Input!$B$41&amp;";",""),IF(AND($G73&lt;Hta_22,$G73&gt;=Hba_22,Input!AK$42&lt;&gt;""),Input!$B$42&amp;";",""),IF(AND($G73&lt;Hta_23,$G73&gt;=Hba_23,Input!AK$43&lt;&gt;""),Input!$B$43&amp;";",""),IF(AND($G73&lt;Hta_24,$G73&gt;=Hba_24,Input!AK$44&lt;&gt;""),Input!$B$44&amp;";",""),IF(AND($G73&lt;Hta_25,$G73&gt;=Hba_25,Input!AK$45&lt;&gt;""),Input!$B$45&amp;";",""),IF(AND($G73&lt;Hta_26,$G73&gt;=Hba_26,Input!AK$46&lt;&gt;""),Input!$B$46&amp;";",""),IF(AND($G73&lt;Hta_27,$G73&gt;=Hba_27,Input!AK$47&lt;&gt;""),Input!$B$47&amp;";",""),IF(AND($G73&lt;Hta_28,$G73&gt;=Hba_28,Input!AK$48&lt;&gt;""),Input!$B$48&amp;";",""),IF(AND($G73&lt;Hta_29,$G73&gt;=Hba_29,Input!AK$49&lt;&gt;""),Input!$B$49&amp;";",""),IF(AND($G73&lt;Hta_30,$G73&gt;=Hba_30,Input!AK$50&lt;&gt;""),Input!$B$50&amp;";","")),"")</f>
        <v/>
      </c>
      <c r="CM73" s="25" t="str">
        <f>IFERROR(CONCATENATE(IF(AND($G73&lt;Hta_1,$G73&gt;=Hba_1,Input!AL$21&lt;&gt;""),Input!$B$21&amp;";",""),IF(AND($G73&lt;Hta_2,$G73&gt;=Hba_2,Input!AL$22&lt;&gt;""),Input!$B$22&amp;";",""),IF(AND($G73&lt;Hta_3,$G73&gt;=Hba_3,Input!AL$23&lt;&gt;""),Input!$B$23&amp;";",""),IF(AND($G73&lt;Hta_4,$G73&gt;=Hba_4,Input!AL$24&lt;&gt;""),Input!$B$24&amp;";",""),IF(AND($G73&lt;Hta_5,$G73&gt;=Hba_5,Input!AL$25&lt;&gt;""),Input!$B$25&amp;";",""),IF(AND($G73&lt;Hta_6,$G73&gt;=Hba_6,Input!AL$26&lt;&gt;""),Input!$B$26&amp;";",""),IF(AND($G73&lt;Hta_7,$G73&gt;=Hba_7,Input!AL$27&lt;&gt;""),Input!$B$27&amp;";",""),IF(AND($G73&lt;Hta_8,$G73&gt;=Hba_8,Input!AL$28&lt;&gt;""),Input!$B$28&amp;";",""),IF(AND($G73&lt;Hta_9,$G73&gt;=Hba_9,Input!AL$29&lt;&gt;""),Input!$B$29&amp;";",""),IF(AND($G73&lt;Hta_10,$G73&gt;=Hba_10,Input!AL$30&lt;&gt;""),Input!$B$30&amp;";",""),IF(AND($G73&lt;Hta_11,$G73&gt;=Hba_11,Input!AL$31&lt;&gt;""),Input!$B$31&amp;";",""),IF(AND($G73&lt;Hta_12,$G73&gt;=Hba_12,Input!AL$32&lt;&gt;""),Input!$B$32&amp;";",""),IF(AND($G73&lt;Hta_13,$G73&gt;=Hba_13,Input!AL$33&lt;&gt;""),Input!$B$33&amp;";",""),IF(AND($G73&lt;Hta_14,$G73&gt;=Hba_14,Input!AL$34&lt;&gt;""),Input!$B$34&amp;";",""),IF(AND($G73&lt;Hta_15,$G73&gt;=Hba_15,Input!AL$35&lt;&gt;""),Input!$B$35&amp;";",""),IF(AND($G73&lt;Hta_16,$G73&gt;=Hba_16,Input!AL$36&lt;&gt;""),Input!$B$36&amp;";",""),IF(AND($G73&lt;Hta_17,$G73&gt;=Hba_17,Input!AL$37&lt;&gt;""),Input!$B$37&amp;";",""),IF(AND($G73&lt;Hta_18,$G73&gt;=Hba_18,Input!AL$38&lt;&gt;""),Input!$B$38&amp;";",""),IF(AND($G73&lt;Hta_19,$G73&gt;=Hba_19,Input!AL$39&lt;&gt;""),Input!$B$39&amp;";",""),IF(AND($G73&lt;Hta_20,$G73&gt;=Hba_20,Input!AL$40&lt;&gt;""),Input!$B$40&amp;";",""),IF(AND($G73&lt;Hta_21,$G73&gt;=Hba_21,Input!AL$41&lt;&gt;""),Input!$B$41&amp;";",""),IF(AND($G73&lt;Hta_22,$G73&gt;=Hba_22,Input!AL$42&lt;&gt;""),Input!$B$42&amp;";",""),IF(AND($G73&lt;Hta_23,$G73&gt;=Hba_23,Input!AL$43&lt;&gt;""),Input!$B$43&amp;";",""),IF(AND($G73&lt;Hta_24,$G73&gt;=Hba_24,Input!AL$44&lt;&gt;""),Input!$B$44&amp;";",""),IF(AND($G73&lt;Hta_25,$G73&gt;=Hba_25,Input!AL$45&lt;&gt;""),Input!$B$45&amp;";",""),IF(AND($G73&lt;Hta_26,$G73&gt;=Hba_26,Input!AL$46&lt;&gt;""),Input!$B$46&amp;";",""),IF(AND($G73&lt;Hta_27,$G73&gt;=Hba_27,Input!AL$47&lt;&gt;""),Input!$B$47&amp;";",""),IF(AND($G73&lt;Hta_28,$G73&gt;=Hba_28,Input!AL$48&lt;&gt;""),Input!$B$48&amp;";",""),IF(AND($G73&lt;Hta_29,$G73&gt;=Hba_29,Input!AL$49&lt;&gt;""),Input!$B$49&amp;";",""),IF(AND($G73&lt;Hta_30,$G73&gt;=Hba_30,Input!AL$50&lt;&gt;""),Input!$B$50&amp;";","")),"")</f>
        <v/>
      </c>
      <c r="CN73" s="60" t="str">
        <f t="shared" si="16"/>
        <v/>
      </c>
      <c r="CO73" s="798"/>
      <c r="CP73" s="799"/>
      <c r="CQ73" s="800"/>
      <c r="CR73" s="798"/>
      <c r="CS73" s="799"/>
      <c r="CT73" s="800"/>
      <c r="CU73" s="798" t="str">
        <f t="shared" si="17"/>
        <v/>
      </c>
      <c r="CV73" s="799"/>
      <c r="CW73" s="806"/>
      <c r="CX73" s="726"/>
      <c r="CY73" s="727"/>
      <c r="CZ73" s="732"/>
      <c r="DA73" s="726"/>
      <c r="DB73" s="727"/>
      <c r="DC73" s="732"/>
      <c r="DD73" s="726" t="str">
        <f t="shared" si="18"/>
        <v/>
      </c>
      <c r="DE73" s="727"/>
      <c r="DF73" s="728"/>
      <c r="DG73" s="53"/>
      <c r="DH73" s="54"/>
      <c r="DI73" s="54"/>
      <c r="DJ73" s="54"/>
      <c r="DK73" s="54"/>
      <c r="DL73" s="54"/>
      <c r="DM73" s="54"/>
      <c r="DN73" s="54"/>
      <c r="DO73" s="54"/>
      <c r="DP73" s="54"/>
      <c r="DQ73" s="57"/>
      <c r="DR73" s="57"/>
      <c r="DS73" s="57"/>
      <c r="DT73" s="57"/>
      <c r="DU73" s="57"/>
      <c r="DV73" s="57"/>
      <c r="DW73" s="57"/>
      <c r="DX73" s="57"/>
      <c r="DY73" s="57"/>
      <c r="DZ73" s="57"/>
      <c r="EA73" s="57"/>
      <c r="EB73" s="57"/>
      <c r="EC73" s="57"/>
      <c r="ED73" s="57"/>
      <c r="EE73" s="57"/>
      <c r="EF73" s="57"/>
      <c r="EG73" s="57"/>
      <c r="EH73" s="57"/>
      <c r="EI73" s="57"/>
      <c r="EJ73" s="57"/>
      <c r="EK73" s="57"/>
      <c r="EL73" s="133"/>
      <c r="EM73" s="133"/>
      <c r="EN73" s="133"/>
      <c r="EO73" s="133"/>
      <c r="EP73" s="133"/>
      <c r="EQ73" s="133"/>
      <c r="ER73" s="133"/>
      <c r="ES73" s="133"/>
      <c r="ET73" s="133"/>
      <c r="EU73" s="133"/>
      <c r="EV73" s="133"/>
      <c r="EW73" s="133"/>
      <c r="EX73" s="133"/>
      <c r="EY73" s="133"/>
      <c r="EZ73" s="133"/>
      <c r="FA73" s="133"/>
      <c r="FB73" s="133"/>
      <c r="FC73" s="133"/>
      <c r="FD73" s="133"/>
      <c r="FE73" s="133"/>
      <c r="FF73" s="133"/>
      <c r="FG73" s="133"/>
      <c r="FH73" s="133"/>
      <c r="FI73" s="133"/>
      <c r="FJ73" s="133"/>
      <c r="FK73" s="133"/>
      <c r="FL73" s="133"/>
      <c r="FM73" s="133"/>
      <c r="FN73" s="133"/>
      <c r="FO73" s="133"/>
      <c r="FQ73" s="125"/>
      <c r="FR73" s="123"/>
      <c r="FS73" s="121"/>
      <c r="FT73" s="119"/>
    </row>
    <row r="74" spans="2:176" ht="15.75" hidden="1" thickBot="1" x14ac:dyDescent="0.3">
      <c r="B74" s="62" t="b">
        <f>IF(OR(AND(G74&gt;='Geometry 2'!$AK$5,G74&lt;'Geometry 2'!$AL$5),AND(G74&gt;='Geometry 2'!$AK$6,G74&lt;'Geometry 2'!$AL$6),AND(G74&gt;='Geometry 2'!$AK$7,G74&lt;'Geometry 2'!$AL$7),AND(G74&gt;='Geometry 2'!$AK$8,G74&lt;'Geometry 2'!$AL$8),AND(G74&gt;='Geometry 2'!$AK$9,G74&lt;'Geometry 2'!$AL$9),AND(G74&gt;='Geometry 2'!$AK$10,G74&lt;'Geometry 2'!$AL$10),AND(G74&gt;='Geometry 2'!$AK$11,G74&lt;'Geometry 2'!$AL$11),AND(G74&gt;='Geometry 2'!$AK$12,G74&lt;'Geometry 2'!$AL$12),AND(G74&gt;='Geometry 2'!$AK$13,G74&lt;'Geometry 2'!$AL$13),AND(G74&gt;='Geometry 2'!$AK$14,G74&lt;'Geometry 2'!$AL$14)),TRUE,FALSE)</f>
        <v>0</v>
      </c>
      <c r="C74" s="4" t="str">
        <f t="shared" si="13"/>
        <v/>
      </c>
      <c r="D74" s="766" t="str">
        <f t="shared" si="14"/>
        <v/>
      </c>
      <c r="E74" s="767"/>
      <c r="F74" s="17" t="str">
        <f t="shared" si="12"/>
        <v/>
      </c>
      <c r="G74" s="768" t="str">
        <f>IF(D74="","",MAX(0,G73-IF(inc="n/a",999,inc),MAX(IF(G73&lt;=Hta_1,0,Hta_1),IF(G73&lt;=Hta_2,0,Hta_2),IF(G73&lt;=Hta_3,0,Hta_3),IF(G73&lt;=Hta_4,0,Hta_4),IF(G73&lt;=Hta_5,0,Hta_5),IF(G73&lt;=Hta_6,0,Hta_6),IF(G73&lt;=Hta_7,0,Hta_7),IF(G73&lt;=Hta_8,0,Hta_8),IF(G73&lt;=Hta_9,0,Hta_9),IF(G73&lt;=Hta_10,0,Hta_10),IF(G73&lt;=Hta_11,0,Hta_11),IF(G73&lt;=Hta_12,0,Hta_12),IF(G73&lt;=Hta_13,0,Hta_13),IF(G73&lt;=Hta_14,0,Hta_14),IF(G73&lt;=Hta_15,0,Hta_15),IF(G73&lt;=Hta_16,0,Hta_16),IF(G73&lt;=Hta_17,0,Hta_17),IF(G73&lt;=Hta_18,0,Hta_18),IF(G73&lt;=Hta_19,0,Hta_19),IF(G73&lt;=Hta_20,0,Hta_20),IF(G73&lt;=Hta_21,0,Hta_21),IF(G73&lt;=Hta_22,0,Hta_22),IF(G73&lt;=Hta_23,0,Hta_23),IF(G73&lt;=Hta_24,0,Hta_24),IF(G73&lt;=Hta_25,0,Hta_25),IF(G73&lt;=Hta_26,0,Hta_26),IF(G73&lt;=Hta_27,0,Hta_27),IF(G73&lt;=Hta_28,0,Hta_28),IF(G73&lt;=Hta_29,0,Hta_29),IF(G73&lt;=Hta_30,0,Hta_30)),MAX(IF(G73&lt;=Hta_1-0.25,0,Hta_1-0.25),IF(G73&lt;=Hta_2-0.25,0,Hta_2-0.25),IF(G73&lt;=Hta_3-0.25,0,Hta_3-0.25),IF(G73&lt;=Hta_4-0.25,0,Hta_4-0.25),IF(G73&lt;=Hta_5-0.25,0,Hta_5-0.25),IF(G73&lt;=Hta_6-0.25,0,Hta_6-0.25),IF(G73&lt;=Hta_7-0.25,0,Hta_7-0.25),IF(G73&lt;=Hta_8-0.25,0,Hta_8-0.25),IF(G73&lt;=Hta_9-0.25,0,Hta_9-0.25),IF(G73&lt;=Hta_10-0.25,0,Hta_10-0.25),IF(G73&lt;=Hta_11-0.25,0,Hta_11-0.25),IF(G73&lt;=Hta_12-0.25,0,Hta_12-0.25),IF(G73&lt;=Hta_13-0.25,0,Hta_13-0.25),IF(G73&lt;=Hta_14-0.25,0,Hta_14-0.25),IF(G73&lt;=Hta_15-0.25,0,Hta_15-0.25),IF(G73&lt;=Hta_16-0.25,0,Hta_16-0.25),IF(G73&lt;=Hta_17-0.25,0,Hta_17-0.25),IF(G73&lt;=Hta_18-0.25,0,Hta_18-0.25),IF(G73&lt;=Hta_19-0.25,0,Hta_19-0.25),IF(G73&lt;=Hta_20-0.25,0,Hta_20-0.25),IF(G73&lt;=Hta_21-0.25,0,Hta_21-0.25),IF(G73&lt;=Hta_22-0.25,0,Hta_22-0.25),IF(G73&lt;=Hta_23-0.25,0,Hta_23-0.25),IF(G73&lt;=Hta_24-0.25,0,Hta_24-0.25),IF(G73&lt;=Hta_25-0.25,0,Hta_25-0.25),IF(G73&lt;=Hta_26-0.25,0,Hta_26-0.25),IF(G73&lt;=Hta_27-0.25,0,Hta_27-0.25),IF(G73&lt;=Hta_28-0.25,0,Hta_28-0.25),IF(G73&lt;=Hta_29-0.25,0,Hta_29-0.25),IF(G73&lt;=Hta_30-0.25,0,Hta_30-0.25)),MAX(IF(G73&lt;=Hba_1,0,Hba_1),IF(G73&lt;=Hba_2,0,Hba_2),IF(G73&lt;=Hba_3,0,Hba_3),IF(G73&lt;=Hba_4,0,Hba_4),IF(G73&lt;=Hba_5,0,Hba_5),IF(G73&lt;=Hba_6,0,Hba_6),IF(G73&lt;=Hba_7,0,Hba_7),IF(G73&lt;=Hba_8,0,Hba_8),IF(G73&lt;=Hba_9,0,Hba_9),IF(G73&lt;=Hba_10,0,Hba_10),IF(G73&lt;=Hba_11,0,Hba_11),IF(G73&lt;=Hba_12,0,Hba_12),IF(G73&lt;=Hba_13,0,Hba_13),IF(G73&lt;=Hba_14,0,Hba_14),IF(G73&lt;=Hba_15,0,Hba_15),IF(G73&lt;=Hba_16,0,Hba_16),IF(G73&lt;=Hba_17,0,Hba_17),IF(G73&lt;=Hba_18,0,Hba_18),IF(G73&lt;=Hba_19,0,Hba_19),IF(G73&lt;=Hba_20,0,Hba_20),IF(G73&lt;=Hba_21,0,Hba_21),IF(G73&lt;=Hba_22,0,Hba_22),IF(G73&lt;=Hba_23,0,Hba_23),IF(G73&lt;=Hba_24,0,Hba_24),IF(G73&lt;=Hba_25,0,Hba_25),IF(G73&lt;=Hba_26,0,Hba_26),IF(G73&lt;=Hba_27,0,Hba_27),IF(G73&lt;=Hba_28,0,Hba_28),IF(G73&lt;=Hba_29,0,Hba_29),IF(G73&lt;=Hba_30,0,Hba_30)),MAX(IF(G73&lt;=Input!$C$8,0,Input!$C$8),IF(G73&lt;=Input!$C$9,0,Input!$C$9),IF(G73&lt;=Input!$C$10,0,Input!$C$10),IF(G73&lt;=Input!$C$11,0,Input!$C$11),IF(G73&lt;=Input!$C$12,0,Input!$C$12),IF(G73&lt;=Input!$C$13,0,Input!$C$13),IF(G73&lt;=Input!$C$14,0,Input!$C$14),IF(G73&lt;=Input!$C$15,0,Input!$C$15),IF(G73&lt;=Input!$C$16,0,Input!$C$16)),MAX(IF(G73&lt;=Hba_1-0.25,0,Hba_1-0.25),IF(G73&lt;=Hba_2-0.25,0,Hba_2-0.25),IF(G73&lt;=Hba_3-0.25,0,Hba_3-0.25),IF(G73&lt;=Hba_4-0.25,0,Hba_4-0.25),IF(G73&lt;=Hba_5-0.25,0,Hba_5-0.25),IF(G73&lt;=Hba_6-0.25,0,Hba_6-0.25),IF(G73&lt;=Hba_7-0.25,0,Hba_7-0.25),IF(G73&lt;=Hba_8-0.25,0,Hba_8-0.25),IF(G73&lt;=Hba_9-0.25,0,Hba_9-0.25),IF(G73&lt;=Hba_10-0.25,0,Hba_10-0.25),IF(G73&lt;=Hba_11-0.25,0,Hba_11-0.25),IF(G73&lt;=Hba_12-0.25,0,Hba_12-0.25),IF(G73&lt;=Hba_13-0.25,0,Hba_13-0.25),IF(G73&lt;=Hba_14-0.25,0,Hba_14-0.25),IF(G73&lt;=Hba_15-0.25,0,Hba_15-0.25),IF(G73&lt;=Hba_16-0.25,0,Hba_16-0.25),IF(G73&lt;=Hba_17-0.25,0,Hba_17-0.25),IF(G73&lt;=Hba_18-0.25,0,Hba_18-0.25),IF(G73&lt;=Hba_19-0.25,0,Hba_19-0.25),IF(G73&lt;=Hba_20-0.25,0,Hba_20-0.25),IF(G73&lt;=Hba_21-0.25,0,Hba_21-0.25),IF(G73&lt;=Hba_22-0.25,0,Hba_22-0.25),IF(G73&lt;=Hba_23-0.25,0,Hba_23-0.25),IF(G73&lt;=Hba_24-0.25,0,Hba_24-0.25),IF(G73&lt;=Hba_25-0.25,0,Hba_25-0.25),IF(G73&lt;=Hba_26-0.25,0,Hba_26-0.25),IF(G73&lt;=Hba_27-0.25,0,Hba_27-0.25),IF(G73&lt;=Hba_28-0.25,0,Hba_28-0.25),IF(G73&lt;=Hba_29-0.25,0,Hba_29-0.25),IF(G73&lt;=Hba_30-0.25,0,Hba_30-0.25)),IF(G73&lt;='Macro References'!$A$38,0,'Macro References'!$A$38)))</f>
        <v/>
      </c>
      <c r="H74" s="769"/>
      <c r="I74" s="228"/>
      <c r="J74" s="228"/>
      <c r="K74" s="228"/>
      <c r="L74" s="717" t="str">
        <f t="shared" si="11"/>
        <v/>
      </c>
      <c r="M74" s="717"/>
      <c r="N74" s="717"/>
      <c r="O74" s="717"/>
      <c r="P74" s="717" t="str">
        <f>IF(OR(G74=0,G74=""),"",IF(VLOOKUP(G74,'Geometry 2'!$C$4:$AI$14,1,TRUE)=VLOOKUP(G75,'Geometry 2'!$C$4:$AI$14,1,TRUE),"",IF(VLOOKUP(G74,'Geometry 2'!$C$4:$AI$14,33,TRUE)&lt;&gt;"n/a",MIN(G74,VLOOKUP(G74,'Geometry 2'!$C$4:$AI$14,1,TRUE))-VLOOKUP(G74,'Geometry 2'!$C$4:$AI$14,33,TRUE),"check")))</f>
        <v/>
      </c>
      <c r="Q74" s="717"/>
      <c r="R74" s="717"/>
      <c r="S74" s="717"/>
      <c r="T74" s="717" t="str">
        <f>IF($G74="","",VLOOKUP($G74,'Geometry 2'!$E$4:$AH$14,11,TRUE))</f>
        <v/>
      </c>
      <c r="U74" s="717"/>
      <c r="V74" s="717"/>
      <c r="W74" s="717"/>
      <c r="X74" s="716" t="str">
        <f>IF($G74="","",VLOOKUP($G74,'Geometry 2'!$E$4:$AJ$14,19,TRUE)-12*VLOOKUP($G74,'Geometry 2'!$E$4:$AJ$14,32,TRUE)*($D74-VLOOKUP($G74,'Geometry 2'!$E$5:$AH$14,1,TRUE)))</f>
        <v/>
      </c>
      <c r="Y74" s="716"/>
      <c r="Z74" s="716"/>
      <c r="AA74" s="716"/>
      <c r="AB74" s="757" t="str">
        <f>IF($G74="","",VLOOKUP($G74,'Geometry 2'!$E$4:$AJ$14,19,TRUE)-12*VLOOKUP($G74,'Geometry 2'!$E$4:$AJ$14,32,TRUE)*($G74-VLOOKUP($G74,'Geometry 2'!$E$5:$AH$14,1,TRUE)))</f>
        <v/>
      </c>
      <c r="AC74" s="758"/>
      <c r="AD74" s="758"/>
      <c r="AE74" s="759"/>
      <c r="AF74" s="716" t="str">
        <f>IF($G74="","",VLOOKUP($G74,'Geometry 2'!$E$4:$AJ$14,19,TRUE)-12*VLOOKUP($G74,'Geometry 2'!$E$4:$AJ$14,32,TRUE)*($G74-IF($P74="",0,$P74)-VLOOKUP($G74,'Geometry 2'!$E$5:$AH$14,1,TRUE)))</f>
        <v/>
      </c>
      <c r="AG74" s="716"/>
      <c r="AH74" s="716"/>
      <c r="AI74" s="716"/>
      <c r="AJ74" s="746" t="str">
        <f>IF($G74="","",VLOOKUP($G74,'Geometry 2'!$E$4:$AH$14,23,TRUE))</f>
        <v/>
      </c>
      <c r="AK74" s="747"/>
      <c r="AL74" s="747"/>
      <c r="AM74" s="748"/>
      <c r="AN74" s="717"/>
      <c r="AO74" s="717"/>
      <c r="AP74" s="717"/>
      <c r="AQ74" s="717"/>
      <c r="AR74" s="717" t="str">
        <f>IF($G74="","",VLOOKUP($G74,'Geometry 2'!$E$4:$AH$14,27,TRUE))</f>
        <v/>
      </c>
      <c r="AS74" s="717"/>
      <c r="AT74" s="717"/>
      <c r="AU74" s="718"/>
      <c r="AV74" s="715"/>
      <c r="AW74" s="716"/>
      <c r="AX74" s="716"/>
      <c r="AZ74" s="722" t="str">
        <f t="shared" si="15"/>
        <v/>
      </c>
      <c r="BA74" s="723"/>
      <c r="BB74" s="723"/>
      <c r="BC74" s="724"/>
      <c r="BD74" s="722"/>
      <c r="BE74" s="723"/>
      <c r="BF74" s="723"/>
      <c r="BG74" s="722" t="str">
        <f t="shared" si="9"/>
        <v/>
      </c>
      <c r="BH74" s="723"/>
      <c r="BI74" s="723"/>
      <c r="BJ74" s="723"/>
      <c r="BK74" s="724"/>
      <c r="BL74" s="722"/>
      <c r="BM74" s="723"/>
      <c r="BN74" s="723"/>
      <c r="BO74" s="723"/>
      <c r="BP74" s="725"/>
      <c r="BQ74" s="725"/>
      <c r="BR74" s="722" t="str">
        <f>IF(BP74="","",IF(OR(AND(Rev="H",Calculations!$F$27=TRUE),AND(Rev&lt;&gt;"H",Calculations!$F$30=TRUE)),IF(BP74&lt;=1,"Pass","Fail"),IF(BP74&lt;=1.05,"Pass","Fail")))</f>
        <v/>
      </c>
      <c r="BS74" s="723"/>
      <c r="BT74" s="724"/>
      <c r="BU74" s="49"/>
      <c r="BV74" s="25" t="str">
        <f>IFERROR(CONCATENATE(IF(AND($G74&lt;Hta_1,$G74&gt;=Hba_1,Input!U$21&lt;&gt;""),Input!$B$21&amp;";",""),IF(AND($G74&lt;Hta_2,$G74&gt;=Hba_2,Input!U$22&lt;&gt;""),Input!$B$22&amp;";",""),IF(AND($G74&lt;Hta_3,$G74&gt;=Hba_3,Input!U$23&lt;&gt;""),Input!$B$23&amp;";",""),IF(AND($G74&lt;Hta_4,$G74&gt;=Hba_4,Input!U$24&lt;&gt;""),Input!$B$24&amp;";",""),IF(AND($G74&lt;Hta_5,$G74&gt;=Hba_5,Input!U$25&lt;&gt;""),Input!$B$25&amp;";",""),IF(AND($G74&lt;Hta_6,$G74&gt;=Hba_6,Input!U$26&lt;&gt;""),Input!$B$26&amp;";",""),IF(AND($G74&lt;Hta_7,$G74&gt;=Hba_7,Input!U$27&lt;&gt;""),Input!$B$27&amp;";",""),IF(AND($G74&lt;Hta_8,$G74&gt;=Hba_8,Input!U$28&lt;&gt;""),Input!$B$28&amp;";",""),IF(AND($G74&lt;Hta_9,$G74&gt;=Hba_9,Input!U$29&lt;&gt;""),Input!$B$29&amp;";",""),IF(AND($G74&lt;Hta_10,$G74&gt;=Hba_10,Input!U$30&lt;&gt;""),Input!$B$30&amp;";",""),IF(AND($G74&lt;Hta_11,$G74&gt;=Hba_11,Input!U$31&lt;&gt;""),Input!$B$31&amp;";",""),IF(AND($G74&lt;Hta_12,$G74&gt;=Hba_12,Input!U$32&lt;&gt;""),Input!$B$32&amp;";",""),IF(AND($G74&lt;Hta_13,$G74&gt;=Hba_13,Input!U$33&lt;&gt;""),Input!$B$33&amp;";",""),IF(AND($G74&lt;Hta_14,$G74&gt;=Hba_14,Input!U$34&lt;&gt;""),Input!$B$34&amp;";",""),IF(AND($G74&lt;Hta_15,$G74&gt;=Hba_15,Input!U$35&lt;&gt;""),Input!$B$35&amp;";",""),IF(AND($G74&lt;Hta_16,$G74&gt;=Hba_16,Input!U$36&lt;&gt;""),Input!$B$36&amp;";",""),IF(AND($G74&lt;Hta_17,$G74&gt;=Hba_17,Input!U$37&lt;&gt;""),Input!$B$37&amp;";",""),IF(AND($G74&lt;Hta_18,$G74&gt;=Hba_18,Input!U$38&lt;&gt;""),Input!$B$38&amp;";",""),IF(AND($G74&lt;Hta_19,$G74&gt;=Hba_19,Input!U$39&lt;&gt;""),Input!$B$39&amp;";",""),IF(AND($G74&lt;Hta_20,$G74&gt;=Hba_20,Input!U$40&lt;&gt;""),Input!$B$40&amp;";",""),IF(AND($G74&lt;Hta_21,$G74&gt;=Hba_21,Input!U$41&lt;&gt;""),Input!$B$41&amp;";",""),IF(AND($G74&lt;Hta_22,$G74&gt;=Hba_22,Input!U$42&lt;&gt;""),Input!$B$42&amp;";",""),IF(AND($G74&lt;Hta_23,$G74&gt;=Hba_23,Input!U$43&lt;&gt;""),Input!$B$43&amp;";",""),IF(AND($G74&lt;Hta_24,$G74&gt;=Hba_24,Input!U$44&lt;&gt;""),Input!$B$44&amp;";",""),IF(AND($G74&lt;Hta_25,$G74&gt;=Hba_25,Input!U$45&lt;&gt;""),Input!$B$45&amp;";",""),IF(AND($G74&lt;Hta_26,$G74&gt;=Hba_26,Input!U$46&lt;&gt;""),Input!$B$46&amp;";",""),IF(AND($G74&lt;Hta_27,$G74&gt;=Hba_27,Input!U$47&lt;&gt;""),Input!$B$47&amp;";",""),IF(AND($G74&lt;Hta_28,$G74&gt;=Hba_28,Input!U$48&lt;&gt;""),Input!$B$48&amp;";",""),IF(AND($G74&lt;Hta_29,$G74&gt;=Hba_29,Input!U$49&lt;&gt;""),Input!$B$49&amp;";",""),IF(AND($G74&lt;Hta_30,$G74&gt;=Hba_30,Input!U$50&lt;&gt;""),Input!$B$50&amp;";","")),"")</f>
        <v/>
      </c>
      <c r="BW74" s="25" t="str">
        <f>IFERROR(CONCATENATE(IF(AND($G74&lt;Hta_1,$G74&gt;=Hba_1,Input!V$21&lt;&gt;""),Input!$B$21&amp;";",""),IF(AND($G74&lt;Hta_2,$G74&gt;=Hba_2,Input!V$22&lt;&gt;""),Input!$B$22&amp;";",""),IF(AND($G74&lt;Hta_3,$G74&gt;=Hba_3,Input!V$23&lt;&gt;""),Input!$B$23&amp;";",""),IF(AND($G74&lt;Hta_4,$G74&gt;=Hba_4,Input!V$24&lt;&gt;""),Input!$B$24&amp;";",""),IF(AND($G74&lt;Hta_5,$G74&gt;=Hba_5,Input!V$25&lt;&gt;""),Input!$B$25&amp;";",""),IF(AND($G74&lt;Hta_6,$G74&gt;=Hba_6,Input!V$26&lt;&gt;""),Input!$B$26&amp;";",""),IF(AND($G74&lt;Hta_7,$G74&gt;=Hba_7,Input!V$27&lt;&gt;""),Input!$B$27&amp;";",""),IF(AND($G74&lt;Hta_8,$G74&gt;=Hba_8,Input!V$28&lt;&gt;""),Input!$B$28&amp;";",""),IF(AND($G74&lt;Hta_9,$G74&gt;=Hba_9,Input!V$29&lt;&gt;""),Input!$B$29&amp;";",""),IF(AND($G74&lt;Hta_10,$G74&gt;=Hba_10,Input!V$30&lt;&gt;""),Input!$B$30&amp;";",""),IF(AND($G74&lt;Hta_11,$G74&gt;=Hba_11,Input!V$31&lt;&gt;""),Input!$B$31&amp;";",""),IF(AND($G74&lt;Hta_12,$G74&gt;=Hba_12,Input!V$32&lt;&gt;""),Input!$B$32&amp;";",""),IF(AND($G74&lt;Hta_13,$G74&gt;=Hba_13,Input!V$33&lt;&gt;""),Input!$B$33&amp;";",""),IF(AND($G74&lt;Hta_14,$G74&gt;=Hba_14,Input!V$34&lt;&gt;""),Input!$B$34&amp;";",""),IF(AND($G74&lt;Hta_15,$G74&gt;=Hba_15,Input!V$35&lt;&gt;""),Input!$B$35&amp;";",""),IF(AND($G74&lt;Hta_16,$G74&gt;=Hba_16,Input!V$36&lt;&gt;""),Input!$B$36&amp;";",""),IF(AND($G74&lt;Hta_17,$G74&gt;=Hba_17,Input!V$37&lt;&gt;""),Input!$B$37&amp;";",""),IF(AND($G74&lt;Hta_18,$G74&gt;=Hba_18,Input!V$38&lt;&gt;""),Input!$B$38&amp;";",""),IF(AND($G74&lt;Hta_19,$G74&gt;=Hba_19,Input!V$39&lt;&gt;""),Input!$B$39&amp;";",""),IF(AND($G74&lt;Hta_20,$G74&gt;=Hba_20,Input!V$40&lt;&gt;""),Input!$B$40&amp;";",""),IF(AND($G74&lt;Hta_21,$G74&gt;=Hba_21,Input!V$41&lt;&gt;""),Input!$B$41&amp;";",""),IF(AND($G74&lt;Hta_22,$G74&gt;=Hba_22,Input!V$42&lt;&gt;""),Input!$B$42&amp;";",""),IF(AND($G74&lt;Hta_23,$G74&gt;=Hba_23,Input!V$43&lt;&gt;""),Input!$B$43&amp;";",""),IF(AND($G74&lt;Hta_24,$G74&gt;=Hba_24,Input!V$44&lt;&gt;""),Input!$B$44&amp;";",""),IF(AND($G74&lt;Hta_25,$G74&gt;=Hba_25,Input!V$45&lt;&gt;""),Input!$B$45&amp;";",""),IF(AND($G74&lt;Hta_26,$G74&gt;=Hba_26,Input!V$46&lt;&gt;""),Input!$B$46&amp;";",""),IF(AND($G74&lt;Hta_27,$G74&gt;=Hba_27,Input!V$47&lt;&gt;""),Input!$B$47&amp;";",""),IF(AND($G74&lt;Hta_28,$G74&gt;=Hba_28,Input!V$48&lt;&gt;""),Input!$B$48&amp;";",""),IF(AND($G74&lt;Hta_29,$G74&gt;=Hba_29,Input!V$49&lt;&gt;""),Input!$B$49&amp;";",""),IF(AND($G74&lt;Hta_30,$G74&gt;=Hba_30,Input!V$50&lt;&gt;""),Input!$B$50&amp;";","")),"")</f>
        <v/>
      </c>
      <c r="BX74" s="25" t="str">
        <f>IFERROR(CONCATENATE(IF(AND($G74&lt;Hta_1,$G74&gt;=Hba_1,Input!W$21&lt;&gt;""),Input!$B$21&amp;";",""),IF(AND($G74&lt;Hta_2,$G74&gt;=Hba_2,Input!W$22&lt;&gt;""),Input!$B$22&amp;";",""),IF(AND($G74&lt;Hta_3,$G74&gt;=Hba_3,Input!W$23&lt;&gt;""),Input!$B$23&amp;";",""),IF(AND($G74&lt;Hta_4,$G74&gt;=Hba_4,Input!W$24&lt;&gt;""),Input!$B$24&amp;";",""),IF(AND($G74&lt;Hta_5,$G74&gt;=Hba_5,Input!W$25&lt;&gt;""),Input!$B$25&amp;";",""),IF(AND($G74&lt;Hta_6,$G74&gt;=Hba_6,Input!W$26&lt;&gt;""),Input!$B$26&amp;";",""),IF(AND($G74&lt;Hta_7,$G74&gt;=Hba_7,Input!W$27&lt;&gt;""),Input!$B$27&amp;";",""),IF(AND($G74&lt;Hta_8,$G74&gt;=Hba_8,Input!W$28&lt;&gt;""),Input!$B$28&amp;";",""),IF(AND($G74&lt;Hta_9,$G74&gt;=Hba_9,Input!W$29&lt;&gt;""),Input!$B$29&amp;";",""),IF(AND($G74&lt;Hta_10,$G74&gt;=Hba_10,Input!W$30&lt;&gt;""),Input!$B$30&amp;";",""),IF(AND($G74&lt;Hta_11,$G74&gt;=Hba_11,Input!W$31&lt;&gt;""),Input!$B$31&amp;";",""),IF(AND($G74&lt;Hta_12,$G74&gt;=Hba_12,Input!W$32&lt;&gt;""),Input!$B$32&amp;";",""),IF(AND($G74&lt;Hta_13,$G74&gt;=Hba_13,Input!W$33&lt;&gt;""),Input!$B$33&amp;";",""),IF(AND($G74&lt;Hta_14,$G74&gt;=Hba_14,Input!W$34&lt;&gt;""),Input!$B$34&amp;";",""),IF(AND($G74&lt;Hta_15,$G74&gt;=Hba_15,Input!W$35&lt;&gt;""),Input!$B$35&amp;";",""),IF(AND($G74&lt;Hta_16,$G74&gt;=Hba_16,Input!W$36&lt;&gt;""),Input!$B$36&amp;";",""),IF(AND($G74&lt;Hta_17,$G74&gt;=Hba_17,Input!W$37&lt;&gt;""),Input!$B$37&amp;";",""),IF(AND($G74&lt;Hta_18,$G74&gt;=Hba_18,Input!W$38&lt;&gt;""),Input!$B$38&amp;";",""),IF(AND($G74&lt;Hta_19,$G74&gt;=Hba_19,Input!W$39&lt;&gt;""),Input!$B$39&amp;";",""),IF(AND($G74&lt;Hta_20,$G74&gt;=Hba_20,Input!W$40&lt;&gt;""),Input!$B$40&amp;";",""),IF(AND($G74&lt;Hta_21,$G74&gt;=Hba_21,Input!W$41&lt;&gt;""),Input!$B$41&amp;";",""),IF(AND($G74&lt;Hta_22,$G74&gt;=Hba_22,Input!W$42&lt;&gt;""),Input!$B$42&amp;";",""),IF(AND($G74&lt;Hta_23,$G74&gt;=Hba_23,Input!W$43&lt;&gt;""),Input!$B$43&amp;";",""),IF(AND($G74&lt;Hta_24,$G74&gt;=Hba_24,Input!W$44&lt;&gt;""),Input!$B$44&amp;";",""),IF(AND($G74&lt;Hta_25,$G74&gt;=Hba_25,Input!W$45&lt;&gt;""),Input!$B$45&amp;";",""),IF(AND($G74&lt;Hta_26,$G74&gt;=Hba_26,Input!W$46&lt;&gt;""),Input!$B$46&amp;";",""),IF(AND($G74&lt;Hta_27,$G74&gt;=Hba_27,Input!W$47&lt;&gt;""),Input!$B$47&amp;";",""),IF(AND($G74&lt;Hta_28,$G74&gt;=Hba_28,Input!W$48&lt;&gt;""),Input!$B$48&amp;";",""),IF(AND($G74&lt;Hta_29,$G74&gt;=Hba_29,Input!W$49&lt;&gt;""),Input!$B$49&amp;";",""),IF(AND($G74&lt;Hta_30,$G74&gt;=Hba_30,Input!W$50&lt;&gt;""),Input!$B$50&amp;";","")),"")</f>
        <v/>
      </c>
      <c r="BY74" s="25" t="str">
        <f>IFERROR(CONCATENATE(IF(AND($G74&lt;Hta_1,$G74&gt;=Hba_1,Input!X$21&lt;&gt;""),Input!$B$21&amp;";",""),IF(AND($G74&lt;Hta_2,$G74&gt;=Hba_2,Input!X$22&lt;&gt;""),Input!$B$22&amp;";",""),IF(AND($G74&lt;Hta_3,$G74&gt;=Hba_3,Input!X$23&lt;&gt;""),Input!$B$23&amp;";",""),IF(AND($G74&lt;Hta_4,$G74&gt;=Hba_4,Input!X$24&lt;&gt;""),Input!$B$24&amp;";",""),IF(AND($G74&lt;Hta_5,$G74&gt;=Hba_5,Input!X$25&lt;&gt;""),Input!$B$25&amp;";",""),IF(AND($G74&lt;Hta_6,$G74&gt;=Hba_6,Input!X$26&lt;&gt;""),Input!$B$26&amp;";",""),IF(AND($G74&lt;Hta_7,$G74&gt;=Hba_7,Input!X$27&lt;&gt;""),Input!$B$27&amp;";",""),IF(AND($G74&lt;Hta_8,$G74&gt;=Hba_8,Input!X$28&lt;&gt;""),Input!$B$28&amp;";",""),IF(AND($G74&lt;Hta_9,$G74&gt;=Hba_9,Input!X$29&lt;&gt;""),Input!$B$29&amp;";",""),IF(AND($G74&lt;Hta_10,$G74&gt;=Hba_10,Input!X$30&lt;&gt;""),Input!$B$30&amp;";",""),IF(AND($G74&lt;Hta_11,$G74&gt;=Hba_11,Input!X$31&lt;&gt;""),Input!$B$31&amp;";",""),IF(AND($G74&lt;Hta_12,$G74&gt;=Hba_12,Input!X$32&lt;&gt;""),Input!$B$32&amp;";",""),IF(AND($G74&lt;Hta_13,$G74&gt;=Hba_13,Input!X$33&lt;&gt;""),Input!$B$33&amp;";",""),IF(AND($G74&lt;Hta_14,$G74&gt;=Hba_14,Input!X$34&lt;&gt;""),Input!$B$34&amp;";",""),IF(AND($G74&lt;Hta_15,$G74&gt;=Hba_15,Input!X$35&lt;&gt;""),Input!$B$35&amp;";",""),IF(AND($G74&lt;Hta_16,$G74&gt;=Hba_16,Input!X$36&lt;&gt;""),Input!$B$36&amp;";",""),IF(AND($G74&lt;Hta_17,$G74&gt;=Hba_17,Input!X$37&lt;&gt;""),Input!$B$37&amp;";",""),IF(AND($G74&lt;Hta_18,$G74&gt;=Hba_18,Input!X$38&lt;&gt;""),Input!$B$38&amp;";",""),IF(AND($G74&lt;Hta_19,$G74&gt;=Hba_19,Input!X$39&lt;&gt;""),Input!$B$39&amp;";",""),IF(AND($G74&lt;Hta_20,$G74&gt;=Hba_20,Input!X$40&lt;&gt;""),Input!$B$40&amp;";",""),IF(AND($G74&lt;Hta_21,$G74&gt;=Hba_21,Input!X$41&lt;&gt;""),Input!$B$41&amp;";",""),IF(AND($G74&lt;Hta_22,$G74&gt;=Hba_22,Input!X$42&lt;&gt;""),Input!$B$42&amp;";",""),IF(AND($G74&lt;Hta_23,$G74&gt;=Hba_23,Input!X$43&lt;&gt;""),Input!$B$43&amp;";",""),IF(AND($G74&lt;Hta_24,$G74&gt;=Hba_24,Input!X$44&lt;&gt;""),Input!$B$44&amp;";",""),IF(AND($G74&lt;Hta_25,$G74&gt;=Hba_25,Input!X$45&lt;&gt;""),Input!$B$45&amp;";",""),IF(AND($G74&lt;Hta_26,$G74&gt;=Hba_26,Input!X$46&lt;&gt;""),Input!$B$46&amp;";",""),IF(AND($G74&lt;Hta_27,$G74&gt;=Hba_27,Input!X$47&lt;&gt;""),Input!$B$47&amp;";",""),IF(AND($G74&lt;Hta_28,$G74&gt;=Hba_28,Input!X$48&lt;&gt;""),Input!$B$48&amp;";",""),IF(AND($G74&lt;Hta_29,$G74&gt;=Hba_29,Input!X$49&lt;&gt;""),Input!$B$49&amp;";",""),IF(AND($G74&lt;Hta_30,$G74&gt;=Hba_30,Input!X$50&lt;&gt;""),Input!$B$50&amp;";","")),"")</f>
        <v/>
      </c>
      <c r="BZ74" s="25" t="str">
        <f>IFERROR(CONCATENATE(IF(AND($G74&lt;Hta_1,$G74&gt;=Hba_1,Input!Y$21&lt;&gt;""),Input!$B$21&amp;";",""),IF(AND($G74&lt;Hta_2,$G74&gt;=Hba_2,Input!Y$22&lt;&gt;""),Input!$B$22&amp;";",""),IF(AND($G74&lt;Hta_3,$G74&gt;=Hba_3,Input!Y$23&lt;&gt;""),Input!$B$23&amp;";",""),IF(AND($G74&lt;Hta_4,$G74&gt;=Hba_4,Input!Y$24&lt;&gt;""),Input!$B$24&amp;";",""),IF(AND($G74&lt;Hta_5,$G74&gt;=Hba_5,Input!Y$25&lt;&gt;""),Input!$B$25&amp;";",""),IF(AND($G74&lt;Hta_6,$G74&gt;=Hba_6,Input!Y$26&lt;&gt;""),Input!$B$26&amp;";",""),IF(AND($G74&lt;Hta_7,$G74&gt;=Hba_7,Input!Y$27&lt;&gt;""),Input!$B$27&amp;";",""),IF(AND($G74&lt;Hta_8,$G74&gt;=Hba_8,Input!Y$28&lt;&gt;""),Input!$B$28&amp;";",""),IF(AND($G74&lt;Hta_9,$G74&gt;=Hba_9,Input!Y$29&lt;&gt;""),Input!$B$29&amp;";",""),IF(AND($G74&lt;Hta_10,$G74&gt;=Hba_10,Input!Y$30&lt;&gt;""),Input!$B$30&amp;";",""),IF(AND($G74&lt;Hta_11,$G74&gt;=Hba_11,Input!Y$31&lt;&gt;""),Input!$B$31&amp;";",""),IF(AND($G74&lt;Hta_12,$G74&gt;=Hba_12,Input!Y$32&lt;&gt;""),Input!$B$32&amp;";",""),IF(AND($G74&lt;Hta_13,$G74&gt;=Hba_13,Input!Y$33&lt;&gt;""),Input!$B$33&amp;";",""),IF(AND($G74&lt;Hta_14,$G74&gt;=Hba_14,Input!Y$34&lt;&gt;""),Input!$B$34&amp;";",""),IF(AND($G74&lt;Hta_15,$G74&gt;=Hba_15,Input!Y$35&lt;&gt;""),Input!$B$35&amp;";",""),IF(AND($G74&lt;Hta_16,$G74&gt;=Hba_16,Input!Y$36&lt;&gt;""),Input!$B$36&amp;";",""),IF(AND($G74&lt;Hta_17,$G74&gt;=Hba_17,Input!Y$37&lt;&gt;""),Input!$B$37&amp;";",""),IF(AND($G74&lt;Hta_18,$G74&gt;=Hba_18,Input!Y$38&lt;&gt;""),Input!$B$38&amp;";",""),IF(AND($G74&lt;Hta_19,$G74&gt;=Hba_19,Input!Y$39&lt;&gt;""),Input!$B$39&amp;";",""),IF(AND($G74&lt;Hta_20,$G74&gt;=Hba_20,Input!Y$40&lt;&gt;""),Input!$B$40&amp;";",""),IF(AND($G74&lt;Hta_21,$G74&gt;=Hba_21,Input!Y$41&lt;&gt;""),Input!$B$41&amp;";",""),IF(AND($G74&lt;Hta_22,$G74&gt;=Hba_22,Input!Y$42&lt;&gt;""),Input!$B$42&amp;";",""),IF(AND($G74&lt;Hta_23,$G74&gt;=Hba_23,Input!Y$43&lt;&gt;""),Input!$B$43&amp;";",""),IF(AND($G74&lt;Hta_24,$G74&gt;=Hba_24,Input!Y$44&lt;&gt;""),Input!$B$44&amp;";",""),IF(AND($G74&lt;Hta_25,$G74&gt;=Hba_25,Input!Y$45&lt;&gt;""),Input!$B$45&amp;";",""),IF(AND($G74&lt;Hta_26,$G74&gt;=Hba_26,Input!Y$46&lt;&gt;""),Input!$B$46&amp;";",""),IF(AND($G74&lt;Hta_27,$G74&gt;=Hba_27,Input!Y$47&lt;&gt;""),Input!$B$47&amp;";",""),IF(AND($G74&lt;Hta_28,$G74&gt;=Hba_28,Input!Y$48&lt;&gt;""),Input!$B$48&amp;";",""),IF(AND($G74&lt;Hta_29,$G74&gt;=Hba_29,Input!Y$49&lt;&gt;""),Input!$B$49&amp;";",""),IF(AND($G74&lt;Hta_30,$G74&gt;=Hba_30,Input!Y$50&lt;&gt;""),Input!$B$50&amp;";","")),"")</f>
        <v/>
      </c>
      <c r="CA74" s="25" t="str">
        <f>IFERROR(CONCATENATE(IF(AND($G74&lt;Hta_1,$G74&gt;=Hba_1,Input!Z$21&lt;&gt;""),Input!$B$21&amp;";",""),IF(AND($G74&lt;Hta_2,$G74&gt;=Hba_2,Input!Z$22&lt;&gt;""),Input!$B$22&amp;";",""),IF(AND($G74&lt;Hta_3,$G74&gt;=Hba_3,Input!Z$23&lt;&gt;""),Input!$B$23&amp;";",""),IF(AND($G74&lt;Hta_4,$G74&gt;=Hba_4,Input!Z$24&lt;&gt;""),Input!$B$24&amp;";",""),IF(AND($G74&lt;Hta_5,$G74&gt;=Hba_5,Input!Z$25&lt;&gt;""),Input!$B$25&amp;";",""),IF(AND($G74&lt;Hta_6,$G74&gt;=Hba_6,Input!Z$26&lt;&gt;""),Input!$B$26&amp;";",""),IF(AND($G74&lt;Hta_7,$G74&gt;=Hba_7,Input!Z$27&lt;&gt;""),Input!$B$27&amp;";",""),IF(AND($G74&lt;Hta_8,$G74&gt;=Hba_8,Input!Z$28&lt;&gt;""),Input!$B$28&amp;";",""),IF(AND($G74&lt;Hta_9,$G74&gt;=Hba_9,Input!Z$29&lt;&gt;""),Input!$B$29&amp;";",""),IF(AND($G74&lt;Hta_10,$G74&gt;=Hba_10,Input!Z$30&lt;&gt;""),Input!$B$30&amp;";",""),IF(AND($G74&lt;Hta_11,$G74&gt;=Hba_11,Input!Z$31&lt;&gt;""),Input!$B$31&amp;";",""),IF(AND($G74&lt;Hta_12,$G74&gt;=Hba_12,Input!Z$32&lt;&gt;""),Input!$B$32&amp;";",""),IF(AND($G74&lt;Hta_13,$G74&gt;=Hba_13,Input!Z$33&lt;&gt;""),Input!$B$33&amp;";",""),IF(AND($G74&lt;Hta_14,$G74&gt;=Hba_14,Input!Z$34&lt;&gt;""),Input!$B$34&amp;";",""),IF(AND($G74&lt;Hta_15,$G74&gt;=Hba_15,Input!Z$35&lt;&gt;""),Input!$B$35&amp;";",""),IF(AND($G74&lt;Hta_16,$G74&gt;=Hba_16,Input!Z$36&lt;&gt;""),Input!$B$36&amp;";",""),IF(AND($G74&lt;Hta_17,$G74&gt;=Hba_17,Input!Z$37&lt;&gt;""),Input!$B$37&amp;";",""),IF(AND($G74&lt;Hta_18,$G74&gt;=Hba_18,Input!Z$38&lt;&gt;""),Input!$B$38&amp;";",""),IF(AND($G74&lt;Hta_19,$G74&gt;=Hba_19,Input!Z$39&lt;&gt;""),Input!$B$39&amp;";",""),IF(AND($G74&lt;Hta_20,$G74&gt;=Hba_20,Input!Z$40&lt;&gt;""),Input!$B$40&amp;";",""),IF(AND($G74&lt;Hta_21,$G74&gt;=Hba_21,Input!Z$41&lt;&gt;""),Input!$B$41&amp;";",""),IF(AND($G74&lt;Hta_22,$G74&gt;=Hba_22,Input!Z$42&lt;&gt;""),Input!$B$42&amp;";",""),IF(AND($G74&lt;Hta_23,$G74&gt;=Hba_23,Input!Z$43&lt;&gt;""),Input!$B$43&amp;";",""),IF(AND($G74&lt;Hta_24,$G74&gt;=Hba_24,Input!Z$44&lt;&gt;""),Input!$B$44&amp;";",""),IF(AND($G74&lt;Hta_25,$G74&gt;=Hba_25,Input!Z$45&lt;&gt;""),Input!$B$45&amp;";",""),IF(AND($G74&lt;Hta_26,$G74&gt;=Hba_26,Input!Z$46&lt;&gt;""),Input!$B$46&amp;";",""),IF(AND($G74&lt;Hta_27,$G74&gt;=Hba_27,Input!Z$47&lt;&gt;""),Input!$B$47&amp;";",""),IF(AND($G74&lt;Hta_28,$G74&gt;=Hba_28,Input!Z$48&lt;&gt;""),Input!$B$48&amp;";",""),IF(AND($G74&lt;Hta_29,$G74&gt;=Hba_29,Input!Z$49&lt;&gt;""),Input!$B$49&amp;";",""),IF(AND($G74&lt;Hta_30,$G74&gt;=Hba_30,Input!Z$50&lt;&gt;""),Input!$B$50&amp;";","")),"")</f>
        <v/>
      </c>
      <c r="CB74" s="25" t="str">
        <f>IFERROR(CONCATENATE(IF(AND($G74&lt;Hta_1,$G74&gt;=Hba_1,Input!AA$21&lt;&gt;""),Input!$B$21&amp;";",""),IF(AND($G74&lt;Hta_2,$G74&gt;=Hba_2,Input!AA$22&lt;&gt;""),Input!$B$22&amp;";",""),IF(AND($G74&lt;Hta_3,$G74&gt;=Hba_3,Input!AA$23&lt;&gt;""),Input!$B$23&amp;";",""),IF(AND($G74&lt;Hta_4,$G74&gt;=Hba_4,Input!AA$24&lt;&gt;""),Input!$B$24&amp;";",""),IF(AND($G74&lt;Hta_5,$G74&gt;=Hba_5,Input!AA$25&lt;&gt;""),Input!$B$25&amp;";",""),IF(AND($G74&lt;Hta_6,$G74&gt;=Hba_6,Input!AA$26&lt;&gt;""),Input!$B$26&amp;";",""),IF(AND($G74&lt;Hta_7,$G74&gt;=Hba_7,Input!AA$27&lt;&gt;""),Input!$B$27&amp;";",""),IF(AND($G74&lt;Hta_8,$G74&gt;=Hba_8,Input!AA$28&lt;&gt;""),Input!$B$28&amp;";",""),IF(AND($G74&lt;Hta_9,$G74&gt;=Hba_9,Input!AA$29&lt;&gt;""),Input!$B$29&amp;";",""),IF(AND($G74&lt;Hta_10,$G74&gt;=Hba_10,Input!AA$30&lt;&gt;""),Input!$B$30&amp;";",""),IF(AND($G74&lt;Hta_11,$G74&gt;=Hba_11,Input!AA$31&lt;&gt;""),Input!$B$31&amp;";",""),IF(AND($G74&lt;Hta_12,$G74&gt;=Hba_12,Input!AA$32&lt;&gt;""),Input!$B$32&amp;";",""),IF(AND($G74&lt;Hta_13,$G74&gt;=Hba_13,Input!AA$33&lt;&gt;""),Input!$B$33&amp;";",""),IF(AND($G74&lt;Hta_14,$G74&gt;=Hba_14,Input!AA$34&lt;&gt;""),Input!$B$34&amp;";",""),IF(AND($G74&lt;Hta_15,$G74&gt;=Hba_15,Input!AA$35&lt;&gt;""),Input!$B$35&amp;";",""),IF(AND($G74&lt;Hta_16,$G74&gt;=Hba_16,Input!AA$36&lt;&gt;""),Input!$B$36&amp;";",""),IF(AND($G74&lt;Hta_17,$G74&gt;=Hba_17,Input!AA$37&lt;&gt;""),Input!$B$37&amp;";",""),IF(AND($G74&lt;Hta_18,$G74&gt;=Hba_18,Input!AA$38&lt;&gt;""),Input!$B$38&amp;";",""),IF(AND($G74&lt;Hta_19,$G74&gt;=Hba_19,Input!AA$39&lt;&gt;""),Input!$B$39&amp;";",""),IF(AND($G74&lt;Hta_20,$G74&gt;=Hba_20,Input!AA$40&lt;&gt;""),Input!$B$40&amp;";",""),IF(AND($G74&lt;Hta_21,$G74&gt;=Hba_21,Input!AA$41&lt;&gt;""),Input!$B$41&amp;";",""),IF(AND($G74&lt;Hta_22,$G74&gt;=Hba_22,Input!AA$42&lt;&gt;""),Input!$B$42&amp;";",""),IF(AND($G74&lt;Hta_23,$G74&gt;=Hba_23,Input!AA$43&lt;&gt;""),Input!$B$43&amp;";",""),IF(AND($G74&lt;Hta_24,$G74&gt;=Hba_24,Input!AA$44&lt;&gt;""),Input!$B$44&amp;";",""),IF(AND($G74&lt;Hta_25,$G74&gt;=Hba_25,Input!AA$45&lt;&gt;""),Input!$B$45&amp;";",""),IF(AND($G74&lt;Hta_26,$G74&gt;=Hba_26,Input!AA$46&lt;&gt;""),Input!$B$46&amp;";",""),IF(AND($G74&lt;Hta_27,$G74&gt;=Hba_27,Input!AA$47&lt;&gt;""),Input!$B$47&amp;";",""),IF(AND($G74&lt;Hta_28,$G74&gt;=Hba_28,Input!AA$48&lt;&gt;""),Input!$B$48&amp;";",""),IF(AND($G74&lt;Hta_29,$G74&gt;=Hba_29,Input!AA$49&lt;&gt;""),Input!$B$49&amp;";",""),IF(AND($G74&lt;Hta_30,$G74&gt;=Hba_30,Input!AA$50&lt;&gt;""),Input!$B$50&amp;";","")),"")</f>
        <v/>
      </c>
      <c r="CC74" s="25" t="str">
        <f>IFERROR(CONCATENATE(IF(AND($G74&lt;Hta_1,$G74&gt;=Hba_1,Input!AB$21&lt;&gt;""),Input!$B$21&amp;";",""),IF(AND($G74&lt;Hta_2,$G74&gt;=Hba_2,Input!AB$22&lt;&gt;""),Input!$B$22&amp;";",""),IF(AND($G74&lt;Hta_3,$G74&gt;=Hba_3,Input!AB$23&lt;&gt;""),Input!$B$23&amp;";",""),IF(AND($G74&lt;Hta_4,$G74&gt;=Hba_4,Input!AB$24&lt;&gt;""),Input!$B$24&amp;";",""),IF(AND($G74&lt;Hta_5,$G74&gt;=Hba_5,Input!AB$25&lt;&gt;""),Input!$B$25&amp;";",""),IF(AND($G74&lt;Hta_6,$G74&gt;=Hba_6,Input!AB$26&lt;&gt;""),Input!$B$26&amp;";",""),IF(AND($G74&lt;Hta_7,$G74&gt;=Hba_7,Input!AB$27&lt;&gt;""),Input!$B$27&amp;";",""),IF(AND($G74&lt;Hta_8,$G74&gt;=Hba_8,Input!AB$28&lt;&gt;""),Input!$B$28&amp;";",""),IF(AND($G74&lt;Hta_9,$G74&gt;=Hba_9,Input!AB$29&lt;&gt;""),Input!$B$29&amp;";",""),IF(AND($G74&lt;Hta_10,$G74&gt;=Hba_10,Input!AB$30&lt;&gt;""),Input!$B$30&amp;";",""),IF(AND($G74&lt;Hta_11,$G74&gt;=Hba_11,Input!AB$31&lt;&gt;""),Input!$B$31&amp;";",""),IF(AND($G74&lt;Hta_12,$G74&gt;=Hba_12,Input!AB$32&lt;&gt;""),Input!$B$32&amp;";",""),IF(AND($G74&lt;Hta_13,$G74&gt;=Hba_13,Input!AB$33&lt;&gt;""),Input!$B$33&amp;";",""),IF(AND($G74&lt;Hta_14,$G74&gt;=Hba_14,Input!AB$34&lt;&gt;""),Input!$B$34&amp;";",""),IF(AND($G74&lt;Hta_15,$G74&gt;=Hba_15,Input!AB$35&lt;&gt;""),Input!$B$35&amp;";",""),IF(AND($G74&lt;Hta_16,$G74&gt;=Hba_16,Input!AB$36&lt;&gt;""),Input!$B$36&amp;";",""),IF(AND($G74&lt;Hta_17,$G74&gt;=Hba_17,Input!AB$37&lt;&gt;""),Input!$B$37&amp;";",""),IF(AND($G74&lt;Hta_18,$G74&gt;=Hba_18,Input!AB$38&lt;&gt;""),Input!$B$38&amp;";",""),IF(AND($G74&lt;Hta_19,$G74&gt;=Hba_19,Input!AB$39&lt;&gt;""),Input!$B$39&amp;";",""),IF(AND($G74&lt;Hta_20,$G74&gt;=Hba_20,Input!AB$40&lt;&gt;""),Input!$B$40&amp;";",""),IF(AND($G74&lt;Hta_21,$G74&gt;=Hba_21,Input!AB$41&lt;&gt;""),Input!$B$41&amp;";",""),IF(AND($G74&lt;Hta_22,$G74&gt;=Hba_22,Input!AB$42&lt;&gt;""),Input!$B$42&amp;";",""),IF(AND($G74&lt;Hta_23,$G74&gt;=Hba_23,Input!AB$43&lt;&gt;""),Input!$B$43&amp;";",""),IF(AND($G74&lt;Hta_24,$G74&gt;=Hba_24,Input!AB$44&lt;&gt;""),Input!$B$44&amp;";",""),IF(AND($G74&lt;Hta_25,$G74&gt;=Hba_25,Input!AB$45&lt;&gt;""),Input!$B$45&amp;";",""),IF(AND($G74&lt;Hta_26,$G74&gt;=Hba_26,Input!AB$46&lt;&gt;""),Input!$B$46&amp;";",""),IF(AND($G74&lt;Hta_27,$G74&gt;=Hba_27,Input!AB$47&lt;&gt;""),Input!$B$47&amp;";",""),IF(AND($G74&lt;Hta_28,$G74&gt;=Hba_28,Input!AB$48&lt;&gt;""),Input!$B$48&amp;";",""),IF(AND($G74&lt;Hta_29,$G74&gt;=Hba_29,Input!AB$49&lt;&gt;""),Input!$B$49&amp;";",""),IF(AND($G74&lt;Hta_30,$G74&gt;=Hba_30,Input!AB$50&lt;&gt;""),Input!$B$50&amp;";","")),"")</f>
        <v/>
      </c>
      <c r="CD74" s="25" t="str">
        <f>IFERROR(CONCATENATE(IF(AND($G74&lt;Hta_1,$G74&gt;=Hba_1,Input!AC$21&lt;&gt;""),Input!$B$21&amp;";",""),IF(AND($G74&lt;Hta_2,$G74&gt;=Hba_2,Input!AC$22&lt;&gt;""),Input!$B$22&amp;";",""),IF(AND($G74&lt;Hta_3,$G74&gt;=Hba_3,Input!AC$23&lt;&gt;""),Input!$B$23&amp;";",""),IF(AND($G74&lt;Hta_4,$G74&gt;=Hba_4,Input!AC$24&lt;&gt;""),Input!$B$24&amp;";",""),IF(AND($G74&lt;Hta_5,$G74&gt;=Hba_5,Input!AC$25&lt;&gt;""),Input!$B$25&amp;";",""),IF(AND($G74&lt;Hta_6,$G74&gt;=Hba_6,Input!AC$26&lt;&gt;""),Input!$B$26&amp;";",""),IF(AND($G74&lt;Hta_7,$G74&gt;=Hba_7,Input!AC$27&lt;&gt;""),Input!$B$27&amp;";",""),IF(AND($G74&lt;Hta_8,$G74&gt;=Hba_8,Input!AC$28&lt;&gt;""),Input!$B$28&amp;";",""),IF(AND($G74&lt;Hta_9,$G74&gt;=Hba_9,Input!AC$29&lt;&gt;""),Input!$B$29&amp;";",""),IF(AND($G74&lt;Hta_10,$G74&gt;=Hba_10,Input!AC$30&lt;&gt;""),Input!$B$30&amp;";",""),IF(AND($G74&lt;Hta_11,$G74&gt;=Hba_11,Input!AC$31&lt;&gt;""),Input!$B$31&amp;";",""),IF(AND($G74&lt;Hta_12,$G74&gt;=Hba_12,Input!AC$32&lt;&gt;""),Input!$B$32&amp;";",""),IF(AND($G74&lt;Hta_13,$G74&gt;=Hba_13,Input!AC$33&lt;&gt;""),Input!$B$33&amp;";",""),IF(AND($G74&lt;Hta_14,$G74&gt;=Hba_14,Input!AC$34&lt;&gt;""),Input!$B$34&amp;";",""),IF(AND($G74&lt;Hta_15,$G74&gt;=Hba_15,Input!AC$35&lt;&gt;""),Input!$B$35&amp;";",""),IF(AND($G74&lt;Hta_16,$G74&gt;=Hba_16,Input!AC$36&lt;&gt;""),Input!$B$36&amp;";",""),IF(AND($G74&lt;Hta_17,$G74&gt;=Hba_17,Input!AC$37&lt;&gt;""),Input!$B$37&amp;";",""),IF(AND($G74&lt;Hta_18,$G74&gt;=Hba_18,Input!AC$38&lt;&gt;""),Input!$B$38&amp;";",""),IF(AND($G74&lt;Hta_19,$G74&gt;=Hba_19,Input!AC$39&lt;&gt;""),Input!$B$39&amp;";",""),IF(AND($G74&lt;Hta_20,$G74&gt;=Hba_20,Input!AC$40&lt;&gt;""),Input!$B$40&amp;";",""),IF(AND($G74&lt;Hta_21,$G74&gt;=Hba_21,Input!AC$41&lt;&gt;""),Input!$B$41&amp;";",""),IF(AND($G74&lt;Hta_22,$G74&gt;=Hba_22,Input!AC$42&lt;&gt;""),Input!$B$42&amp;";",""),IF(AND($G74&lt;Hta_23,$G74&gt;=Hba_23,Input!AC$43&lt;&gt;""),Input!$B$43&amp;";",""),IF(AND($G74&lt;Hta_24,$G74&gt;=Hba_24,Input!AC$44&lt;&gt;""),Input!$B$44&amp;";",""),IF(AND($G74&lt;Hta_25,$G74&gt;=Hba_25,Input!AC$45&lt;&gt;""),Input!$B$45&amp;";",""),IF(AND($G74&lt;Hta_26,$G74&gt;=Hba_26,Input!AC$46&lt;&gt;""),Input!$B$46&amp;";",""),IF(AND($G74&lt;Hta_27,$G74&gt;=Hba_27,Input!AC$47&lt;&gt;""),Input!$B$47&amp;";",""),IF(AND($G74&lt;Hta_28,$G74&gt;=Hba_28,Input!AC$48&lt;&gt;""),Input!$B$48&amp;";",""),IF(AND($G74&lt;Hta_29,$G74&gt;=Hba_29,Input!AC$49&lt;&gt;""),Input!$B$49&amp;";",""),IF(AND($G74&lt;Hta_30,$G74&gt;=Hba_30,Input!AC$50&lt;&gt;""),Input!$B$50&amp;";","")),"")</f>
        <v/>
      </c>
      <c r="CE74" s="25" t="str">
        <f>IFERROR(CONCATENATE(IF(AND($G74&lt;Hta_1,$G74&gt;=Hba_1,Input!AD$21&lt;&gt;""),Input!$B$21&amp;";",""),IF(AND($G74&lt;Hta_2,$G74&gt;=Hba_2,Input!AD$22&lt;&gt;""),Input!$B$22&amp;";",""),IF(AND($G74&lt;Hta_3,$G74&gt;=Hba_3,Input!AD$23&lt;&gt;""),Input!$B$23&amp;";",""),IF(AND($G74&lt;Hta_4,$G74&gt;=Hba_4,Input!AD$24&lt;&gt;""),Input!$B$24&amp;";",""),IF(AND($G74&lt;Hta_5,$G74&gt;=Hba_5,Input!AD$25&lt;&gt;""),Input!$B$25&amp;";",""),IF(AND($G74&lt;Hta_6,$G74&gt;=Hba_6,Input!AD$26&lt;&gt;""),Input!$B$26&amp;";",""),IF(AND($G74&lt;Hta_7,$G74&gt;=Hba_7,Input!AD$27&lt;&gt;""),Input!$B$27&amp;";",""),IF(AND($G74&lt;Hta_8,$G74&gt;=Hba_8,Input!AD$28&lt;&gt;""),Input!$B$28&amp;";",""),IF(AND($G74&lt;Hta_9,$G74&gt;=Hba_9,Input!AD$29&lt;&gt;""),Input!$B$29&amp;";",""),IF(AND($G74&lt;Hta_10,$G74&gt;=Hba_10,Input!AD$30&lt;&gt;""),Input!$B$30&amp;";",""),IF(AND($G74&lt;Hta_11,$G74&gt;=Hba_11,Input!AD$31&lt;&gt;""),Input!$B$31&amp;";",""),IF(AND($G74&lt;Hta_12,$G74&gt;=Hba_12,Input!AD$32&lt;&gt;""),Input!$B$32&amp;";",""),IF(AND($G74&lt;Hta_13,$G74&gt;=Hba_13,Input!AD$33&lt;&gt;""),Input!$B$33&amp;";",""),IF(AND($G74&lt;Hta_14,$G74&gt;=Hba_14,Input!AD$34&lt;&gt;""),Input!$B$34&amp;";",""),IF(AND($G74&lt;Hta_15,$G74&gt;=Hba_15,Input!AD$35&lt;&gt;""),Input!$B$35&amp;";",""),IF(AND($G74&lt;Hta_16,$G74&gt;=Hba_16,Input!AD$36&lt;&gt;""),Input!$B$36&amp;";",""),IF(AND($G74&lt;Hta_17,$G74&gt;=Hba_17,Input!AD$37&lt;&gt;""),Input!$B$37&amp;";",""),IF(AND($G74&lt;Hta_18,$G74&gt;=Hba_18,Input!AD$38&lt;&gt;""),Input!$B$38&amp;";",""),IF(AND($G74&lt;Hta_19,$G74&gt;=Hba_19,Input!AD$39&lt;&gt;""),Input!$B$39&amp;";",""),IF(AND($G74&lt;Hta_20,$G74&gt;=Hba_20,Input!AD$40&lt;&gt;""),Input!$B$40&amp;";",""),IF(AND($G74&lt;Hta_21,$G74&gt;=Hba_21,Input!AD$41&lt;&gt;""),Input!$B$41&amp;";",""),IF(AND($G74&lt;Hta_22,$G74&gt;=Hba_22,Input!AD$42&lt;&gt;""),Input!$B$42&amp;";",""),IF(AND($G74&lt;Hta_23,$G74&gt;=Hba_23,Input!AD$43&lt;&gt;""),Input!$B$43&amp;";",""),IF(AND($G74&lt;Hta_24,$G74&gt;=Hba_24,Input!AD$44&lt;&gt;""),Input!$B$44&amp;";",""),IF(AND($G74&lt;Hta_25,$G74&gt;=Hba_25,Input!AD$45&lt;&gt;""),Input!$B$45&amp;";",""),IF(AND($G74&lt;Hta_26,$G74&gt;=Hba_26,Input!AD$46&lt;&gt;""),Input!$B$46&amp;";",""),IF(AND($G74&lt;Hta_27,$G74&gt;=Hba_27,Input!AD$47&lt;&gt;""),Input!$B$47&amp;";",""),IF(AND($G74&lt;Hta_28,$G74&gt;=Hba_28,Input!AD$48&lt;&gt;""),Input!$B$48&amp;";",""),IF(AND($G74&lt;Hta_29,$G74&gt;=Hba_29,Input!AD$49&lt;&gt;""),Input!$B$49&amp;";",""),IF(AND($G74&lt;Hta_30,$G74&gt;=Hba_30,Input!AD$50&lt;&gt;""),Input!$B$50&amp;";","")),"")</f>
        <v/>
      </c>
      <c r="CF74" s="25" t="str">
        <f>IFERROR(CONCATENATE(IF(AND($G74&lt;Hta_1,$G74&gt;=Hba_1,Input!AE$21&lt;&gt;""),Input!$B$21&amp;";",""),IF(AND($G74&lt;Hta_2,$G74&gt;=Hba_2,Input!AE$22&lt;&gt;""),Input!$B$22&amp;";",""),IF(AND($G74&lt;Hta_3,$G74&gt;=Hba_3,Input!AE$23&lt;&gt;""),Input!$B$23&amp;";",""),IF(AND($G74&lt;Hta_4,$G74&gt;=Hba_4,Input!AE$24&lt;&gt;""),Input!$B$24&amp;";",""),IF(AND($G74&lt;Hta_5,$G74&gt;=Hba_5,Input!AE$25&lt;&gt;""),Input!$B$25&amp;";",""),IF(AND($G74&lt;Hta_6,$G74&gt;=Hba_6,Input!AE$26&lt;&gt;""),Input!$B$26&amp;";",""),IF(AND($G74&lt;Hta_7,$G74&gt;=Hba_7,Input!AE$27&lt;&gt;""),Input!$B$27&amp;";",""),IF(AND($G74&lt;Hta_8,$G74&gt;=Hba_8,Input!AE$28&lt;&gt;""),Input!$B$28&amp;";",""),IF(AND($G74&lt;Hta_9,$G74&gt;=Hba_9,Input!AE$29&lt;&gt;""),Input!$B$29&amp;";",""),IF(AND($G74&lt;Hta_10,$G74&gt;=Hba_10,Input!AE$30&lt;&gt;""),Input!$B$30&amp;";",""),IF(AND($G74&lt;Hta_11,$G74&gt;=Hba_11,Input!AE$31&lt;&gt;""),Input!$B$31&amp;";",""),IF(AND($G74&lt;Hta_12,$G74&gt;=Hba_12,Input!AE$32&lt;&gt;""),Input!$B$32&amp;";",""),IF(AND($G74&lt;Hta_13,$G74&gt;=Hba_13,Input!AE$33&lt;&gt;""),Input!$B$33&amp;";",""),IF(AND($G74&lt;Hta_14,$G74&gt;=Hba_14,Input!AE$34&lt;&gt;""),Input!$B$34&amp;";",""),IF(AND($G74&lt;Hta_15,$G74&gt;=Hba_15,Input!AE$35&lt;&gt;""),Input!$B$35&amp;";",""),IF(AND($G74&lt;Hta_16,$G74&gt;=Hba_16,Input!AE$36&lt;&gt;""),Input!$B$36&amp;";",""),IF(AND($G74&lt;Hta_17,$G74&gt;=Hba_17,Input!AE$37&lt;&gt;""),Input!$B$37&amp;";",""),IF(AND($G74&lt;Hta_18,$G74&gt;=Hba_18,Input!AE$38&lt;&gt;""),Input!$B$38&amp;";",""),IF(AND($G74&lt;Hta_19,$G74&gt;=Hba_19,Input!AE$39&lt;&gt;""),Input!$B$39&amp;";",""),IF(AND($G74&lt;Hta_20,$G74&gt;=Hba_20,Input!AE$40&lt;&gt;""),Input!$B$40&amp;";",""),IF(AND($G74&lt;Hta_21,$G74&gt;=Hba_21,Input!AE$41&lt;&gt;""),Input!$B$41&amp;";",""),IF(AND($G74&lt;Hta_22,$G74&gt;=Hba_22,Input!AE$42&lt;&gt;""),Input!$B$42&amp;";",""),IF(AND($G74&lt;Hta_23,$G74&gt;=Hba_23,Input!AE$43&lt;&gt;""),Input!$B$43&amp;";",""),IF(AND($G74&lt;Hta_24,$G74&gt;=Hba_24,Input!AE$44&lt;&gt;""),Input!$B$44&amp;";",""),IF(AND($G74&lt;Hta_25,$G74&gt;=Hba_25,Input!AE$45&lt;&gt;""),Input!$B$45&amp;";",""),IF(AND($G74&lt;Hta_26,$G74&gt;=Hba_26,Input!AE$46&lt;&gt;""),Input!$B$46&amp;";",""),IF(AND($G74&lt;Hta_27,$G74&gt;=Hba_27,Input!AE$47&lt;&gt;""),Input!$B$47&amp;";",""),IF(AND($G74&lt;Hta_28,$G74&gt;=Hba_28,Input!AE$48&lt;&gt;""),Input!$B$48&amp;";",""),IF(AND($G74&lt;Hta_29,$G74&gt;=Hba_29,Input!AE$49&lt;&gt;""),Input!$B$49&amp;";",""),IF(AND($G74&lt;Hta_30,$G74&gt;=Hba_30,Input!AE$50&lt;&gt;""),Input!$B$50&amp;";","")),"")</f>
        <v/>
      </c>
      <c r="CG74" s="25" t="str">
        <f>IFERROR(CONCATENATE(IF(AND($G74&lt;Hta_1,$G74&gt;=Hba_1,Input!AF$21&lt;&gt;""),Input!$B$21&amp;";",""),IF(AND($G74&lt;Hta_2,$G74&gt;=Hba_2,Input!AF$22&lt;&gt;""),Input!$B$22&amp;";",""),IF(AND($G74&lt;Hta_3,$G74&gt;=Hba_3,Input!AF$23&lt;&gt;""),Input!$B$23&amp;";",""),IF(AND($G74&lt;Hta_4,$G74&gt;=Hba_4,Input!AF$24&lt;&gt;""),Input!$B$24&amp;";",""),IF(AND($G74&lt;Hta_5,$G74&gt;=Hba_5,Input!AF$25&lt;&gt;""),Input!$B$25&amp;";",""),IF(AND($G74&lt;Hta_6,$G74&gt;=Hba_6,Input!AF$26&lt;&gt;""),Input!$B$26&amp;";",""),IF(AND($G74&lt;Hta_7,$G74&gt;=Hba_7,Input!AF$27&lt;&gt;""),Input!$B$27&amp;";",""),IF(AND($G74&lt;Hta_8,$G74&gt;=Hba_8,Input!AF$28&lt;&gt;""),Input!$B$28&amp;";",""),IF(AND($G74&lt;Hta_9,$G74&gt;=Hba_9,Input!AF$29&lt;&gt;""),Input!$B$29&amp;";",""),IF(AND($G74&lt;Hta_10,$G74&gt;=Hba_10,Input!AF$30&lt;&gt;""),Input!$B$30&amp;";",""),IF(AND($G74&lt;Hta_11,$G74&gt;=Hba_11,Input!AF$31&lt;&gt;""),Input!$B$31&amp;";",""),IF(AND($G74&lt;Hta_12,$G74&gt;=Hba_12,Input!AF$32&lt;&gt;""),Input!$B$32&amp;";",""),IF(AND($G74&lt;Hta_13,$G74&gt;=Hba_13,Input!AF$33&lt;&gt;""),Input!$B$33&amp;";",""),IF(AND($G74&lt;Hta_14,$G74&gt;=Hba_14,Input!AF$34&lt;&gt;""),Input!$B$34&amp;";",""),IF(AND($G74&lt;Hta_15,$G74&gt;=Hba_15,Input!AF$35&lt;&gt;""),Input!$B$35&amp;";",""),IF(AND($G74&lt;Hta_16,$G74&gt;=Hba_16,Input!AF$36&lt;&gt;""),Input!$B$36&amp;";",""),IF(AND($G74&lt;Hta_17,$G74&gt;=Hba_17,Input!AF$37&lt;&gt;""),Input!$B$37&amp;";",""),IF(AND($G74&lt;Hta_18,$G74&gt;=Hba_18,Input!AF$38&lt;&gt;""),Input!$B$38&amp;";",""),IF(AND($G74&lt;Hta_19,$G74&gt;=Hba_19,Input!AF$39&lt;&gt;""),Input!$B$39&amp;";",""),IF(AND($G74&lt;Hta_20,$G74&gt;=Hba_20,Input!AF$40&lt;&gt;""),Input!$B$40&amp;";",""),IF(AND($G74&lt;Hta_21,$G74&gt;=Hba_21,Input!AF$41&lt;&gt;""),Input!$B$41&amp;";",""),IF(AND($G74&lt;Hta_22,$G74&gt;=Hba_22,Input!AF$42&lt;&gt;""),Input!$B$42&amp;";",""),IF(AND($G74&lt;Hta_23,$G74&gt;=Hba_23,Input!AF$43&lt;&gt;""),Input!$B$43&amp;";",""),IF(AND($G74&lt;Hta_24,$G74&gt;=Hba_24,Input!AF$44&lt;&gt;""),Input!$B$44&amp;";",""),IF(AND($G74&lt;Hta_25,$G74&gt;=Hba_25,Input!AF$45&lt;&gt;""),Input!$B$45&amp;";",""),IF(AND($G74&lt;Hta_26,$G74&gt;=Hba_26,Input!AF$46&lt;&gt;""),Input!$B$46&amp;";",""),IF(AND($G74&lt;Hta_27,$G74&gt;=Hba_27,Input!AF$47&lt;&gt;""),Input!$B$47&amp;";",""),IF(AND($G74&lt;Hta_28,$G74&gt;=Hba_28,Input!AF$48&lt;&gt;""),Input!$B$48&amp;";",""),IF(AND($G74&lt;Hta_29,$G74&gt;=Hba_29,Input!AF$49&lt;&gt;""),Input!$B$49&amp;";",""),IF(AND($G74&lt;Hta_30,$G74&gt;=Hba_30,Input!AF$50&lt;&gt;""),Input!$B$50&amp;";","")),"")</f>
        <v/>
      </c>
      <c r="CH74" s="25" t="str">
        <f>IFERROR(CONCATENATE(IF(AND($G74&lt;Hta_1,$G74&gt;=Hba_1,Input!AG$21&lt;&gt;""),Input!$B$21&amp;";",""),IF(AND($G74&lt;Hta_2,$G74&gt;=Hba_2,Input!AG$22&lt;&gt;""),Input!$B$22&amp;";",""),IF(AND($G74&lt;Hta_3,$G74&gt;=Hba_3,Input!AG$23&lt;&gt;""),Input!$B$23&amp;";",""),IF(AND($G74&lt;Hta_4,$G74&gt;=Hba_4,Input!AG$24&lt;&gt;""),Input!$B$24&amp;";",""),IF(AND($G74&lt;Hta_5,$G74&gt;=Hba_5,Input!AG$25&lt;&gt;""),Input!$B$25&amp;";",""),IF(AND($G74&lt;Hta_6,$G74&gt;=Hba_6,Input!AG$26&lt;&gt;""),Input!$B$26&amp;";",""),IF(AND($G74&lt;Hta_7,$G74&gt;=Hba_7,Input!AG$27&lt;&gt;""),Input!$B$27&amp;";",""),IF(AND($G74&lt;Hta_8,$G74&gt;=Hba_8,Input!AG$28&lt;&gt;""),Input!$B$28&amp;";",""),IF(AND($G74&lt;Hta_9,$G74&gt;=Hba_9,Input!AG$29&lt;&gt;""),Input!$B$29&amp;";",""),IF(AND($G74&lt;Hta_10,$G74&gt;=Hba_10,Input!AG$30&lt;&gt;""),Input!$B$30&amp;";",""),IF(AND($G74&lt;Hta_11,$G74&gt;=Hba_11,Input!AG$31&lt;&gt;""),Input!$B$31&amp;";",""),IF(AND($G74&lt;Hta_12,$G74&gt;=Hba_12,Input!AG$32&lt;&gt;""),Input!$B$32&amp;";",""),IF(AND($G74&lt;Hta_13,$G74&gt;=Hba_13,Input!AG$33&lt;&gt;""),Input!$B$33&amp;";",""),IF(AND($G74&lt;Hta_14,$G74&gt;=Hba_14,Input!AG$34&lt;&gt;""),Input!$B$34&amp;";",""),IF(AND($G74&lt;Hta_15,$G74&gt;=Hba_15,Input!AG$35&lt;&gt;""),Input!$B$35&amp;";",""),IF(AND($G74&lt;Hta_16,$G74&gt;=Hba_16,Input!AG$36&lt;&gt;""),Input!$B$36&amp;";",""),IF(AND($G74&lt;Hta_17,$G74&gt;=Hba_17,Input!AG$37&lt;&gt;""),Input!$B$37&amp;";",""),IF(AND($G74&lt;Hta_18,$G74&gt;=Hba_18,Input!AG$38&lt;&gt;""),Input!$B$38&amp;";",""),IF(AND($G74&lt;Hta_19,$G74&gt;=Hba_19,Input!AG$39&lt;&gt;""),Input!$B$39&amp;";",""),IF(AND($G74&lt;Hta_20,$G74&gt;=Hba_20,Input!AG$40&lt;&gt;""),Input!$B$40&amp;";",""),IF(AND($G74&lt;Hta_21,$G74&gt;=Hba_21,Input!AG$41&lt;&gt;""),Input!$B$41&amp;";",""),IF(AND($G74&lt;Hta_22,$G74&gt;=Hba_22,Input!AG$42&lt;&gt;""),Input!$B$42&amp;";",""),IF(AND($G74&lt;Hta_23,$G74&gt;=Hba_23,Input!AG$43&lt;&gt;""),Input!$B$43&amp;";",""),IF(AND($G74&lt;Hta_24,$G74&gt;=Hba_24,Input!AG$44&lt;&gt;""),Input!$B$44&amp;";",""),IF(AND($G74&lt;Hta_25,$G74&gt;=Hba_25,Input!AG$45&lt;&gt;""),Input!$B$45&amp;";",""),IF(AND($G74&lt;Hta_26,$G74&gt;=Hba_26,Input!AG$46&lt;&gt;""),Input!$B$46&amp;";",""),IF(AND($G74&lt;Hta_27,$G74&gt;=Hba_27,Input!AG$47&lt;&gt;""),Input!$B$47&amp;";",""),IF(AND($G74&lt;Hta_28,$G74&gt;=Hba_28,Input!AG$48&lt;&gt;""),Input!$B$48&amp;";",""),IF(AND($G74&lt;Hta_29,$G74&gt;=Hba_29,Input!AG$49&lt;&gt;""),Input!$B$49&amp;";",""),IF(AND($G74&lt;Hta_30,$G74&gt;=Hba_30,Input!AG$50&lt;&gt;""),Input!$B$50&amp;";","")),"")</f>
        <v/>
      </c>
      <c r="CI74" s="25" t="str">
        <f>IFERROR(CONCATENATE(IF(AND($G74&lt;Hta_1,$G74&gt;=Hba_1,Input!AH$21&lt;&gt;""),Input!$B$21&amp;";",""),IF(AND($G74&lt;Hta_2,$G74&gt;=Hba_2,Input!AH$22&lt;&gt;""),Input!$B$22&amp;";",""),IF(AND($G74&lt;Hta_3,$G74&gt;=Hba_3,Input!AH$23&lt;&gt;""),Input!$B$23&amp;";",""),IF(AND($G74&lt;Hta_4,$G74&gt;=Hba_4,Input!AH$24&lt;&gt;""),Input!$B$24&amp;";",""),IF(AND($G74&lt;Hta_5,$G74&gt;=Hba_5,Input!AH$25&lt;&gt;""),Input!$B$25&amp;";",""),IF(AND($G74&lt;Hta_6,$G74&gt;=Hba_6,Input!AH$26&lt;&gt;""),Input!$B$26&amp;";",""),IF(AND($G74&lt;Hta_7,$G74&gt;=Hba_7,Input!AH$27&lt;&gt;""),Input!$B$27&amp;";",""),IF(AND($G74&lt;Hta_8,$G74&gt;=Hba_8,Input!AH$28&lt;&gt;""),Input!$B$28&amp;";",""),IF(AND($G74&lt;Hta_9,$G74&gt;=Hba_9,Input!AH$29&lt;&gt;""),Input!$B$29&amp;";",""),IF(AND($G74&lt;Hta_10,$G74&gt;=Hba_10,Input!AH$30&lt;&gt;""),Input!$B$30&amp;";",""),IF(AND($G74&lt;Hta_11,$G74&gt;=Hba_11,Input!AH$31&lt;&gt;""),Input!$B$31&amp;";",""),IF(AND($G74&lt;Hta_12,$G74&gt;=Hba_12,Input!AH$32&lt;&gt;""),Input!$B$32&amp;";",""),IF(AND($G74&lt;Hta_13,$G74&gt;=Hba_13,Input!AH$33&lt;&gt;""),Input!$B$33&amp;";",""),IF(AND($G74&lt;Hta_14,$G74&gt;=Hba_14,Input!AH$34&lt;&gt;""),Input!$B$34&amp;";",""),IF(AND($G74&lt;Hta_15,$G74&gt;=Hba_15,Input!AH$35&lt;&gt;""),Input!$B$35&amp;";",""),IF(AND($G74&lt;Hta_16,$G74&gt;=Hba_16,Input!AH$36&lt;&gt;""),Input!$B$36&amp;";",""),IF(AND($G74&lt;Hta_17,$G74&gt;=Hba_17,Input!AH$37&lt;&gt;""),Input!$B$37&amp;";",""),IF(AND($G74&lt;Hta_18,$G74&gt;=Hba_18,Input!AH$38&lt;&gt;""),Input!$B$38&amp;";",""),IF(AND($G74&lt;Hta_19,$G74&gt;=Hba_19,Input!AH$39&lt;&gt;""),Input!$B$39&amp;";",""),IF(AND($G74&lt;Hta_20,$G74&gt;=Hba_20,Input!AH$40&lt;&gt;""),Input!$B$40&amp;";",""),IF(AND($G74&lt;Hta_21,$G74&gt;=Hba_21,Input!AH$41&lt;&gt;""),Input!$B$41&amp;";",""),IF(AND($G74&lt;Hta_22,$G74&gt;=Hba_22,Input!AH$42&lt;&gt;""),Input!$B$42&amp;";",""),IF(AND($G74&lt;Hta_23,$G74&gt;=Hba_23,Input!AH$43&lt;&gt;""),Input!$B$43&amp;";",""),IF(AND($G74&lt;Hta_24,$G74&gt;=Hba_24,Input!AH$44&lt;&gt;""),Input!$B$44&amp;";",""),IF(AND($G74&lt;Hta_25,$G74&gt;=Hba_25,Input!AH$45&lt;&gt;""),Input!$B$45&amp;";",""),IF(AND($G74&lt;Hta_26,$G74&gt;=Hba_26,Input!AH$46&lt;&gt;""),Input!$B$46&amp;";",""),IF(AND($G74&lt;Hta_27,$G74&gt;=Hba_27,Input!AH$47&lt;&gt;""),Input!$B$47&amp;";",""),IF(AND($G74&lt;Hta_28,$G74&gt;=Hba_28,Input!AH$48&lt;&gt;""),Input!$B$48&amp;";",""),IF(AND($G74&lt;Hta_29,$G74&gt;=Hba_29,Input!AH$49&lt;&gt;""),Input!$B$49&amp;";",""),IF(AND($G74&lt;Hta_30,$G74&gt;=Hba_30,Input!AH$50&lt;&gt;""),Input!$B$50&amp;";","")),"")</f>
        <v/>
      </c>
      <c r="CJ74" s="25" t="str">
        <f>IFERROR(CONCATENATE(IF(AND($G74&lt;Hta_1,$G74&gt;=Hba_1,Input!AI$21&lt;&gt;""),Input!$B$21&amp;";",""),IF(AND($G74&lt;Hta_2,$G74&gt;=Hba_2,Input!AI$22&lt;&gt;""),Input!$B$22&amp;";",""),IF(AND($G74&lt;Hta_3,$G74&gt;=Hba_3,Input!AI$23&lt;&gt;""),Input!$B$23&amp;";",""),IF(AND($G74&lt;Hta_4,$G74&gt;=Hba_4,Input!AI$24&lt;&gt;""),Input!$B$24&amp;";",""),IF(AND($G74&lt;Hta_5,$G74&gt;=Hba_5,Input!AI$25&lt;&gt;""),Input!$B$25&amp;";",""),IF(AND($G74&lt;Hta_6,$G74&gt;=Hba_6,Input!AI$26&lt;&gt;""),Input!$B$26&amp;";",""),IF(AND($G74&lt;Hta_7,$G74&gt;=Hba_7,Input!AI$27&lt;&gt;""),Input!$B$27&amp;";",""),IF(AND($G74&lt;Hta_8,$G74&gt;=Hba_8,Input!AI$28&lt;&gt;""),Input!$B$28&amp;";",""),IF(AND($G74&lt;Hta_9,$G74&gt;=Hba_9,Input!AI$29&lt;&gt;""),Input!$B$29&amp;";",""),IF(AND($G74&lt;Hta_10,$G74&gt;=Hba_10,Input!AI$30&lt;&gt;""),Input!$B$30&amp;";",""),IF(AND($G74&lt;Hta_11,$G74&gt;=Hba_11,Input!AI$31&lt;&gt;""),Input!$B$31&amp;";",""),IF(AND($G74&lt;Hta_12,$G74&gt;=Hba_12,Input!AI$32&lt;&gt;""),Input!$B$32&amp;";",""),IF(AND($G74&lt;Hta_13,$G74&gt;=Hba_13,Input!AI$33&lt;&gt;""),Input!$B$33&amp;";",""),IF(AND($G74&lt;Hta_14,$G74&gt;=Hba_14,Input!AI$34&lt;&gt;""),Input!$B$34&amp;";",""),IF(AND($G74&lt;Hta_15,$G74&gt;=Hba_15,Input!AI$35&lt;&gt;""),Input!$B$35&amp;";",""),IF(AND($G74&lt;Hta_16,$G74&gt;=Hba_16,Input!AI$36&lt;&gt;""),Input!$B$36&amp;";",""),IF(AND($G74&lt;Hta_17,$G74&gt;=Hba_17,Input!AI$37&lt;&gt;""),Input!$B$37&amp;";",""),IF(AND($G74&lt;Hta_18,$G74&gt;=Hba_18,Input!AI$38&lt;&gt;""),Input!$B$38&amp;";",""),IF(AND($G74&lt;Hta_19,$G74&gt;=Hba_19,Input!AI$39&lt;&gt;""),Input!$B$39&amp;";",""),IF(AND($G74&lt;Hta_20,$G74&gt;=Hba_20,Input!AI$40&lt;&gt;""),Input!$B$40&amp;";",""),IF(AND($G74&lt;Hta_21,$G74&gt;=Hba_21,Input!AI$41&lt;&gt;""),Input!$B$41&amp;";",""),IF(AND($G74&lt;Hta_22,$G74&gt;=Hba_22,Input!AI$42&lt;&gt;""),Input!$B$42&amp;";",""),IF(AND($G74&lt;Hta_23,$G74&gt;=Hba_23,Input!AI$43&lt;&gt;""),Input!$B$43&amp;";",""),IF(AND($G74&lt;Hta_24,$G74&gt;=Hba_24,Input!AI$44&lt;&gt;""),Input!$B$44&amp;";",""),IF(AND($G74&lt;Hta_25,$G74&gt;=Hba_25,Input!AI$45&lt;&gt;""),Input!$B$45&amp;";",""),IF(AND($G74&lt;Hta_26,$G74&gt;=Hba_26,Input!AI$46&lt;&gt;""),Input!$B$46&amp;";",""),IF(AND($G74&lt;Hta_27,$G74&gt;=Hba_27,Input!AI$47&lt;&gt;""),Input!$B$47&amp;";",""),IF(AND($G74&lt;Hta_28,$G74&gt;=Hba_28,Input!AI$48&lt;&gt;""),Input!$B$48&amp;";",""),IF(AND($G74&lt;Hta_29,$G74&gt;=Hba_29,Input!AI$49&lt;&gt;""),Input!$B$49&amp;";",""),IF(AND($G74&lt;Hta_30,$G74&gt;=Hba_30,Input!AI$50&lt;&gt;""),Input!$B$50&amp;";","")),"")</f>
        <v/>
      </c>
      <c r="CK74" s="25" t="str">
        <f>IFERROR(CONCATENATE(IF(AND($G74&lt;Hta_1,$G74&gt;=Hba_1,Input!AJ$21&lt;&gt;""),Input!$B$21&amp;";",""),IF(AND($G74&lt;Hta_2,$G74&gt;=Hba_2,Input!AJ$22&lt;&gt;""),Input!$B$22&amp;";",""),IF(AND($G74&lt;Hta_3,$G74&gt;=Hba_3,Input!AJ$23&lt;&gt;""),Input!$B$23&amp;";",""),IF(AND($G74&lt;Hta_4,$G74&gt;=Hba_4,Input!AJ$24&lt;&gt;""),Input!$B$24&amp;";",""),IF(AND($G74&lt;Hta_5,$G74&gt;=Hba_5,Input!AJ$25&lt;&gt;""),Input!$B$25&amp;";",""),IF(AND($G74&lt;Hta_6,$G74&gt;=Hba_6,Input!AJ$26&lt;&gt;""),Input!$B$26&amp;";",""),IF(AND($G74&lt;Hta_7,$G74&gt;=Hba_7,Input!AJ$27&lt;&gt;""),Input!$B$27&amp;";",""),IF(AND($G74&lt;Hta_8,$G74&gt;=Hba_8,Input!AJ$28&lt;&gt;""),Input!$B$28&amp;";",""),IF(AND($G74&lt;Hta_9,$G74&gt;=Hba_9,Input!AJ$29&lt;&gt;""),Input!$B$29&amp;";",""),IF(AND($G74&lt;Hta_10,$G74&gt;=Hba_10,Input!AJ$30&lt;&gt;""),Input!$B$30&amp;";",""),IF(AND($G74&lt;Hta_11,$G74&gt;=Hba_11,Input!AJ$31&lt;&gt;""),Input!$B$31&amp;";",""),IF(AND($G74&lt;Hta_12,$G74&gt;=Hba_12,Input!AJ$32&lt;&gt;""),Input!$B$32&amp;";",""),IF(AND($G74&lt;Hta_13,$G74&gt;=Hba_13,Input!AJ$33&lt;&gt;""),Input!$B$33&amp;";",""),IF(AND($G74&lt;Hta_14,$G74&gt;=Hba_14,Input!AJ$34&lt;&gt;""),Input!$B$34&amp;";",""),IF(AND($G74&lt;Hta_15,$G74&gt;=Hba_15,Input!AJ$35&lt;&gt;""),Input!$B$35&amp;";",""),IF(AND($G74&lt;Hta_16,$G74&gt;=Hba_16,Input!AJ$36&lt;&gt;""),Input!$B$36&amp;";",""),IF(AND($G74&lt;Hta_17,$G74&gt;=Hba_17,Input!AJ$37&lt;&gt;""),Input!$B$37&amp;";",""),IF(AND($G74&lt;Hta_18,$G74&gt;=Hba_18,Input!AJ$38&lt;&gt;""),Input!$B$38&amp;";",""),IF(AND($G74&lt;Hta_19,$G74&gt;=Hba_19,Input!AJ$39&lt;&gt;""),Input!$B$39&amp;";",""),IF(AND($G74&lt;Hta_20,$G74&gt;=Hba_20,Input!AJ$40&lt;&gt;""),Input!$B$40&amp;";",""),IF(AND($G74&lt;Hta_21,$G74&gt;=Hba_21,Input!AJ$41&lt;&gt;""),Input!$B$41&amp;";",""),IF(AND($G74&lt;Hta_22,$G74&gt;=Hba_22,Input!AJ$42&lt;&gt;""),Input!$B$42&amp;";",""),IF(AND($G74&lt;Hta_23,$G74&gt;=Hba_23,Input!AJ$43&lt;&gt;""),Input!$B$43&amp;";",""),IF(AND($G74&lt;Hta_24,$G74&gt;=Hba_24,Input!AJ$44&lt;&gt;""),Input!$B$44&amp;";",""),IF(AND($G74&lt;Hta_25,$G74&gt;=Hba_25,Input!AJ$45&lt;&gt;""),Input!$B$45&amp;";",""),IF(AND($G74&lt;Hta_26,$G74&gt;=Hba_26,Input!AJ$46&lt;&gt;""),Input!$B$46&amp;";",""),IF(AND($G74&lt;Hta_27,$G74&gt;=Hba_27,Input!AJ$47&lt;&gt;""),Input!$B$47&amp;";",""),IF(AND($G74&lt;Hta_28,$G74&gt;=Hba_28,Input!AJ$48&lt;&gt;""),Input!$B$48&amp;";",""),IF(AND($G74&lt;Hta_29,$G74&gt;=Hba_29,Input!AJ$49&lt;&gt;""),Input!$B$49&amp;";",""),IF(AND($G74&lt;Hta_30,$G74&gt;=Hba_30,Input!AJ$50&lt;&gt;""),Input!$B$50&amp;";","")),"")</f>
        <v/>
      </c>
      <c r="CL74" s="25" t="str">
        <f>IFERROR(CONCATENATE(IF(AND($G74&lt;Hta_1,$G74&gt;=Hba_1,Input!AK$21&lt;&gt;""),Input!$B$21&amp;";",""),IF(AND($G74&lt;Hta_2,$G74&gt;=Hba_2,Input!AK$22&lt;&gt;""),Input!$B$22&amp;";",""),IF(AND($G74&lt;Hta_3,$G74&gt;=Hba_3,Input!AK$23&lt;&gt;""),Input!$B$23&amp;";",""),IF(AND($G74&lt;Hta_4,$G74&gt;=Hba_4,Input!AK$24&lt;&gt;""),Input!$B$24&amp;";",""),IF(AND($G74&lt;Hta_5,$G74&gt;=Hba_5,Input!AK$25&lt;&gt;""),Input!$B$25&amp;";",""),IF(AND($G74&lt;Hta_6,$G74&gt;=Hba_6,Input!AK$26&lt;&gt;""),Input!$B$26&amp;";",""),IF(AND($G74&lt;Hta_7,$G74&gt;=Hba_7,Input!AK$27&lt;&gt;""),Input!$B$27&amp;";",""),IF(AND($G74&lt;Hta_8,$G74&gt;=Hba_8,Input!AK$28&lt;&gt;""),Input!$B$28&amp;";",""),IF(AND($G74&lt;Hta_9,$G74&gt;=Hba_9,Input!AK$29&lt;&gt;""),Input!$B$29&amp;";",""),IF(AND($G74&lt;Hta_10,$G74&gt;=Hba_10,Input!AK$30&lt;&gt;""),Input!$B$30&amp;";",""),IF(AND($G74&lt;Hta_11,$G74&gt;=Hba_11,Input!AK$31&lt;&gt;""),Input!$B$31&amp;";",""),IF(AND($G74&lt;Hta_12,$G74&gt;=Hba_12,Input!AK$32&lt;&gt;""),Input!$B$32&amp;";",""),IF(AND($G74&lt;Hta_13,$G74&gt;=Hba_13,Input!AK$33&lt;&gt;""),Input!$B$33&amp;";",""),IF(AND($G74&lt;Hta_14,$G74&gt;=Hba_14,Input!AK$34&lt;&gt;""),Input!$B$34&amp;";",""),IF(AND($G74&lt;Hta_15,$G74&gt;=Hba_15,Input!AK$35&lt;&gt;""),Input!$B$35&amp;";",""),IF(AND($G74&lt;Hta_16,$G74&gt;=Hba_16,Input!AK$36&lt;&gt;""),Input!$B$36&amp;";",""),IF(AND($G74&lt;Hta_17,$G74&gt;=Hba_17,Input!AK$37&lt;&gt;""),Input!$B$37&amp;";",""),IF(AND($G74&lt;Hta_18,$G74&gt;=Hba_18,Input!AK$38&lt;&gt;""),Input!$B$38&amp;";",""),IF(AND($G74&lt;Hta_19,$G74&gt;=Hba_19,Input!AK$39&lt;&gt;""),Input!$B$39&amp;";",""),IF(AND($G74&lt;Hta_20,$G74&gt;=Hba_20,Input!AK$40&lt;&gt;""),Input!$B$40&amp;";",""),IF(AND($G74&lt;Hta_21,$G74&gt;=Hba_21,Input!AK$41&lt;&gt;""),Input!$B$41&amp;";",""),IF(AND($G74&lt;Hta_22,$G74&gt;=Hba_22,Input!AK$42&lt;&gt;""),Input!$B$42&amp;";",""),IF(AND($G74&lt;Hta_23,$G74&gt;=Hba_23,Input!AK$43&lt;&gt;""),Input!$B$43&amp;";",""),IF(AND($G74&lt;Hta_24,$G74&gt;=Hba_24,Input!AK$44&lt;&gt;""),Input!$B$44&amp;";",""),IF(AND($G74&lt;Hta_25,$G74&gt;=Hba_25,Input!AK$45&lt;&gt;""),Input!$B$45&amp;";",""),IF(AND($G74&lt;Hta_26,$G74&gt;=Hba_26,Input!AK$46&lt;&gt;""),Input!$B$46&amp;";",""),IF(AND($G74&lt;Hta_27,$G74&gt;=Hba_27,Input!AK$47&lt;&gt;""),Input!$B$47&amp;";",""),IF(AND($G74&lt;Hta_28,$G74&gt;=Hba_28,Input!AK$48&lt;&gt;""),Input!$B$48&amp;";",""),IF(AND($G74&lt;Hta_29,$G74&gt;=Hba_29,Input!AK$49&lt;&gt;""),Input!$B$49&amp;";",""),IF(AND($G74&lt;Hta_30,$G74&gt;=Hba_30,Input!AK$50&lt;&gt;""),Input!$B$50&amp;";","")),"")</f>
        <v/>
      </c>
      <c r="CM74" s="25" t="str">
        <f>IFERROR(CONCATENATE(IF(AND($G74&lt;Hta_1,$G74&gt;=Hba_1,Input!AL$21&lt;&gt;""),Input!$B$21&amp;";",""),IF(AND($G74&lt;Hta_2,$G74&gt;=Hba_2,Input!AL$22&lt;&gt;""),Input!$B$22&amp;";",""),IF(AND($G74&lt;Hta_3,$G74&gt;=Hba_3,Input!AL$23&lt;&gt;""),Input!$B$23&amp;";",""),IF(AND($G74&lt;Hta_4,$G74&gt;=Hba_4,Input!AL$24&lt;&gt;""),Input!$B$24&amp;";",""),IF(AND($G74&lt;Hta_5,$G74&gt;=Hba_5,Input!AL$25&lt;&gt;""),Input!$B$25&amp;";",""),IF(AND($G74&lt;Hta_6,$G74&gt;=Hba_6,Input!AL$26&lt;&gt;""),Input!$B$26&amp;";",""),IF(AND($G74&lt;Hta_7,$G74&gt;=Hba_7,Input!AL$27&lt;&gt;""),Input!$B$27&amp;";",""),IF(AND($G74&lt;Hta_8,$G74&gt;=Hba_8,Input!AL$28&lt;&gt;""),Input!$B$28&amp;";",""),IF(AND($G74&lt;Hta_9,$G74&gt;=Hba_9,Input!AL$29&lt;&gt;""),Input!$B$29&amp;";",""),IF(AND($G74&lt;Hta_10,$G74&gt;=Hba_10,Input!AL$30&lt;&gt;""),Input!$B$30&amp;";",""),IF(AND($G74&lt;Hta_11,$G74&gt;=Hba_11,Input!AL$31&lt;&gt;""),Input!$B$31&amp;";",""),IF(AND($G74&lt;Hta_12,$G74&gt;=Hba_12,Input!AL$32&lt;&gt;""),Input!$B$32&amp;";",""),IF(AND($G74&lt;Hta_13,$G74&gt;=Hba_13,Input!AL$33&lt;&gt;""),Input!$B$33&amp;";",""),IF(AND($G74&lt;Hta_14,$G74&gt;=Hba_14,Input!AL$34&lt;&gt;""),Input!$B$34&amp;";",""),IF(AND($G74&lt;Hta_15,$G74&gt;=Hba_15,Input!AL$35&lt;&gt;""),Input!$B$35&amp;";",""),IF(AND($G74&lt;Hta_16,$G74&gt;=Hba_16,Input!AL$36&lt;&gt;""),Input!$B$36&amp;";",""),IF(AND($G74&lt;Hta_17,$G74&gt;=Hba_17,Input!AL$37&lt;&gt;""),Input!$B$37&amp;";",""),IF(AND($G74&lt;Hta_18,$G74&gt;=Hba_18,Input!AL$38&lt;&gt;""),Input!$B$38&amp;";",""),IF(AND($G74&lt;Hta_19,$G74&gt;=Hba_19,Input!AL$39&lt;&gt;""),Input!$B$39&amp;";",""),IF(AND($G74&lt;Hta_20,$G74&gt;=Hba_20,Input!AL$40&lt;&gt;""),Input!$B$40&amp;";",""),IF(AND($G74&lt;Hta_21,$G74&gt;=Hba_21,Input!AL$41&lt;&gt;""),Input!$B$41&amp;";",""),IF(AND($G74&lt;Hta_22,$G74&gt;=Hba_22,Input!AL$42&lt;&gt;""),Input!$B$42&amp;";",""),IF(AND($G74&lt;Hta_23,$G74&gt;=Hba_23,Input!AL$43&lt;&gt;""),Input!$B$43&amp;";",""),IF(AND($G74&lt;Hta_24,$G74&gt;=Hba_24,Input!AL$44&lt;&gt;""),Input!$B$44&amp;";",""),IF(AND($G74&lt;Hta_25,$G74&gt;=Hba_25,Input!AL$45&lt;&gt;""),Input!$B$45&amp;";",""),IF(AND($G74&lt;Hta_26,$G74&gt;=Hba_26,Input!AL$46&lt;&gt;""),Input!$B$46&amp;";",""),IF(AND($G74&lt;Hta_27,$G74&gt;=Hba_27,Input!AL$47&lt;&gt;""),Input!$B$47&amp;";",""),IF(AND($G74&lt;Hta_28,$G74&gt;=Hba_28,Input!AL$48&lt;&gt;""),Input!$B$48&amp;";",""),IF(AND($G74&lt;Hta_29,$G74&gt;=Hba_29,Input!AL$49&lt;&gt;""),Input!$B$49&amp;";",""),IF(AND($G74&lt;Hta_30,$G74&gt;=Hba_30,Input!AL$50&lt;&gt;""),Input!$B$50&amp;";","")),"")</f>
        <v/>
      </c>
      <c r="CN74" s="59" t="str">
        <f t="shared" si="16"/>
        <v/>
      </c>
      <c r="CO74" s="791"/>
      <c r="CP74" s="792"/>
      <c r="CQ74" s="793"/>
      <c r="CR74" s="791"/>
      <c r="CS74" s="792"/>
      <c r="CT74" s="793"/>
      <c r="CU74" s="791" t="str">
        <f t="shared" si="17"/>
        <v/>
      </c>
      <c r="CV74" s="792"/>
      <c r="CW74" s="807"/>
      <c r="CX74" s="808"/>
      <c r="CY74" s="730"/>
      <c r="CZ74" s="809"/>
      <c r="DA74" s="733"/>
      <c r="DB74" s="734"/>
      <c r="DC74" s="735"/>
      <c r="DD74" s="729" t="str">
        <f t="shared" si="18"/>
        <v/>
      </c>
      <c r="DE74" s="730"/>
      <c r="DF74" s="731"/>
      <c r="DG74" s="55"/>
      <c r="DH74" s="56"/>
      <c r="DI74" s="56"/>
      <c r="DJ74" s="56"/>
      <c r="DK74" s="56"/>
      <c r="DL74" s="56"/>
      <c r="DM74" s="56"/>
      <c r="DN74" s="56"/>
      <c r="DO74" s="56"/>
      <c r="DP74" s="56"/>
      <c r="DQ74" s="58"/>
      <c r="DR74" s="58"/>
      <c r="DS74" s="58"/>
      <c r="DT74" s="58"/>
      <c r="DU74" s="58"/>
      <c r="DV74" s="58"/>
      <c r="DW74" s="58"/>
      <c r="DX74" s="58"/>
      <c r="DY74" s="58"/>
      <c r="DZ74" s="58"/>
      <c r="EA74" s="58"/>
      <c r="EB74" s="58"/>
      <c r="EC74" s="58"/>
      <c r="ED74" s="58"/>
      <c r="EE74" s="58"/>
      <c r="EF74" s="58"/>
      <c r="EG74" s="58"/>
      <c r="EH74" s="58"/>
      <c r="EI74" s="58"/>
      <c r="EJ74" s="58"/>
      <c r="EK74" s="58"/>
      <c r="EL74" s="134"/>
      <c r="EM74" s="134"/>
      <c r="EN74" s="134"/>
      <c r="EO74" s="134"/>
      <c r="EP74" s="134"/>
      <c r="EQ74" s="134"/>
      <c r="ER74" s="134"/>
      <c r="ES74" s="134"/>
      <c r="ET74" s="134"/>
      <c r="EU74" s="134"/>
      <c r="EV74" s="134"/>
      <c r="EW74" s="134"/>
      <c r="EX74" s="134"/>
      <c r="EY74" s="134"/>
      <c r="EZ74" s="134"/>
      <c r="FA74" s="134"/>
      <c r="FB74" s="134"/>
      <c r="FC74" s="134"/>
      <c r="FD74" s="134"/>
      <c r="FE74" s="134"/>
      <c r="FF74" s="134"/>
      <c r="FG74" s="134"/>
      <c r="FH74" s="134"/>
      <c r="FI74" s="134"/>
      <c r="FJ74" s="134"/>
      <c r="FK74" s="134"/>
      <c r="FL74" s="134"/>
      <c r="FM74" s="134"/>
      <c r="FN74" s="134"/>
      <c r="FO74" s="134"/>
      <c r="FQ74" s="124"/>
      <c r="FR74" s="122"/>
      <c r="FS74" s="120"/>
      <c r="FT74" s="119"/>
    </row>
    <row r="75" spans="2:176" ht="15.75" hidden="1" thickBot="1" x14ac:dyDescent="0.3">
      <c r="B75" s="62" t="b">
        <f>IF(OR(AND(G75&gt;='Geometry 2'!$AK$5,G75&lt;'Geometry 2'!$AL$5),AND(G75&gt;='Geometry 2'!$AK$6,G75&lt;'Geometry 2'!$AL$6),AND(G75&gt;='Geometry 2'!$AK$7,G75&lt;'Geometry 2'!$AL$7),AND(G75&gt;='Geometry 2'!$AK$8,G75&lt;'Geometry 2'!$AL$8),AND(G75&gt;='Geometry 2'!$AK$9,G75&lt;'Geometry 2'!$AL$9),AND(G75&gt;='Geometry 2'!$AK$10,G75&lt;'Geometry 2'!$AL$10),AND(G75&gt;='Geometry 2'!$AK$11,G75&lt;'Geometry 2'!$AL$11),AND(G75&gt;='Geometry 2'!$AK$12,G75&lt;'Geometry 2'!$AL$12),AND(G75&gt;='Geometry 2'!$AK$13,G75&lt;'Geometry 2'!$AL$13),AND(G75&gt;='Geometry 2'!$AK$14,G75&lt;'Geometry 2'!$AL$14)),TRUE,FALSE)</f>
        <v>0</v>
      </c>
      <c r="C75" s="4" t="str">
        <f t="shared" si="13"/>
        <v/>
      </c>
      <c r="D75" s="766" t="str">
        <f t="shared" si="14"/>
        <v/>
      </c>
      <c r="E75" s="767"/>
      <c r="F75" s="17" t="str">
        <f t="shared" si="12"/>
        <v/>
      </c>
      <c r="G75" s="768" t="str">
        <f>IF(D75="","",MAX(0,G74-IF(inc="n/a",999,inc),MAX(IF(G74&lt;=Hta_1,0,Hta_1),IF(G74&lt;=Hta_2,0,Hta_2),IF(G74&lt;=Hta_3,0,Hta_3),IF(G74&lt;=Hta_4,0,Hta_4),IF(G74&lt;=Hta_5,0,Hta_5),IF(G74&lt;=Hta_6,0,Hta_6),IF(G74&lt;=Hta_7,0,Hta_7),IF(G74&lt;=Hta_8,0,Hta_8),IF(G74&lt;=Hta_9,0,Hta_9),IF(G74&lt;=Hta_10,0,Hta_10),IF(G74&lt;=Hta_11,0,Hta_11),IF(G74&lt;=Hta_12,0,Hta_12),IF(G74&lt;=Hta_13,0,Hta_13),IF(G74&lt;=Hta_14,0,Hta_14),IF(G74&lt;=Hta_15,0,Hta_15),IF(G74&lt;=Hta_16,0,Hta_16),IF(G74&lt;=Hta_17,0,Hta_17),IF(G74&lt;=Hta_18,0,Hta_18),IF(G74&lt;=Hta_19,0,Hta_19),IF(G74&lt;=Hta_20,0,Hta_20),IF(G74&lt;=Hta_21,0,Hta_21),IF(G74&lt;=Hta_22,0,Hta_22),IF(G74&lt;=Hta_23,0,Hta_23),IF(G74&lt;=Hta_24,0,Hta_24),IF(G74&lt;=Hta_25,0,Hta_25),IF(G74&lt;=Hta_26,0,Hta_26),IF(G74&lt;=Hta_27,0,Hta_27),IF(G74&lt;=Hta_28,0,Hta_28),IF(G74&lt;=Hta_29,0,Hta_29),IF(G74&lt;=Hta_30,0,Hta_30)),MAX(IF(G74&lt;=Hta_1-0.25,0,Hta_1-0.25),IF(G74&lt;=Hta_2-0.25,0,Hta_2-0.25),IF(G74&lt;=Hta_3-0.25,0,Hta_3-0.25),IF(G74&lt;=Hta_4-0.25,0,Hta_4-0.25),IF(G74&lt;=Hta_5-0.25,0,Hta_5-0.25),IF(G74&lt;=Hta_6-0.25,0,Hta_6-0.25),IF(G74&lt;=Hta_7-0.25,0,Hta_7-0.25),IF(G74&lt;=Hta_8-0.25,0,Hta_8-0.25),IF(G74&lt;=Hta_9-0.25,0,Hta_9-0.25),IF(G74&lt;=Hta_10-0.25,0,Hta_10-0.25),IF(G74&lt;=Hta_11-0.25,0,Hta_11-0.25),IF(G74&lt;=Hta_12-0.25,0,Hta_12-0.25),IF(G74&lt;=Hta_13-0.25,0,Hta_13-0.25),IF(G74&lt;=Hta_14-0.25,0,Hta_14-0.25),IF(G74&lt;=Hta_15-0.25,0,Hta_15-0.25),IF(G74&lt;=Hta_16-0.25,0,Hta_16-0.25),IF(G74&lt;=Hta_17-0.25,0,Hta_17-0.25),IF(G74&lt;=Hta_18-0.25,0,Hta_18-0.25),IF(G74&lt;=Hta_19-0.25,0,Hta_19-0.25),IF(G74&lt;=Hta_20-0.25,0,Hta_20-0.25),IF(G74&lt;=Hta_21-0.25,0,Hta_21-0.25),IF(G74&lt;=Hta_22-0.25,0,Hta_22-0.25),IF(G74&lt;=Hta_23-0.25,0,Hta_23-0.25),IF(G74&lt;=Hta_24-0.25,0,Hta_24-0.25),IF(G74&lt;=Hta_25-0.25,0,Hta_25-0.25),IF(G74&lt;=Hta_26-0.25,0,Hta_26-0.25),IF(G74&lt;=Hta_27-0.25,0,Hta_27-0.25),IF(G74&lt;=Hta_28-0.25,0,Hta_28-0.25),IF(G74&lt;=Hta_29-0.25,0,Hta_29-0.25),IF(G74&lt;=Hta_30-0.25,0,Hta_30-0.25)),MAX(IF(G74&lt;=Hba_1,0,Hba_1),IF(G74&lt;=Hba_2,0,Hba_2),IF(G74&lt;=Hba_3,0,Hba_3),IF(G74&lt;=Hba_4,0,Hba_4),IF(G74&lt;=Hba_5,0,Hba_5),IF(G74&lt;=Hba_6,0,Hba_6),IF(G74&lt;=Hba_7,0,Hba_7),IF(G74&lt;=Hba_8,0,Hba_8),IF(G74&lt;=Hba_9,0,Hba_9),IF(G74&lt;=Hba_10,0,Hba_10),IF(G74&lt;=Hba_11,0,Hba_11),IF(G74&lt;=Hba_12,0,Hba_12),IF(G74&lt;=Hba_13,0,Hba_13),IF(G74&lt;=Hba_14,0,Hba_14),IF(G74&lt;=Hba_15,0,Hba_15),IF(G74&lt;=Hba_16,0,Hba_16),IF(G74&lt;=Hba_17,0,Hba_17),IF(G74&lt;=Hba_18,0,Hba_18),IF(G74&lt;=Hba_19,0,Hba_19),IF(G74&lt;=Hba_20,0,Hba_20),IF(G74&lt;=Hba_21,0,Hba_21),IF(G74&lt;=Hba_22,0,Hba_22),IF(G74&lt;=Hba_23,0,Hba_23),IF(G74&lt;=Hba_24,0,Hba_24),IF(G74&lt;=Hba_25,0,Hba_25),IF(G74&lt;=Hba_26,0,Hba_26),IF(G74&lt;=Hba_27,0,Hba_27),IF(G74&lt;=Hba_28,0,Hba_28),IF(G74&lt;=Hba_29,0,Hba_29),IF(G74&lt;=Hba_30,0,Hba_30)),MAX(IF(G74&lt;=Input!$C$8,0,Input!$C$8),IF(G74&lt;=Input!$C$9,0,Input!$C$9),IF(G74&lt;=Input!$C$10,0,Input!$C$10),IF(G74&lt;=Input!$C$11,0,Input!$C$11),IF(G74&lt;=Input!$C$12,0,Input!$C$12),IF(G74&lt;=Input!$C$13,0,Input!$C$13),IF(G74&lt;=Input!$C$14,0,Input!$C$14),IF(G74&lt;=Input!$C$15,0,Input!$C$15),IF(G74&lt;=Input!$C$16,0,Input!$C$16)),MAX(IF(G74&lt;=Hba_1-0.25,0,Hba_1-0.25),IF(G74&lt;=Hba_2-0.25,0,Hba_2-0.25),IF(G74&lt;=Hba_3-0.25,0,Hba_3-0.25),IF(G74&lt;=Hba_4-0.25,0,Hba_4-0.25),IF(G74&lt;=Hba_5-0.25,0,Hba_5-0.25),IF(G74&lt;=Hba_6-0.25,0,Hba_6-0.25),IF(G74&lt;=Hba_7-0.25,0,Hba_7-0.25),IF(G74&lt;=Hba_8-0.25,0,Hba_8-0.25),IF(G74&lt;=Hba_9-0.25,0,Hba_9-0.25),IF(G74&lt;=Hba_10-0.25,0,Hba_10-0.25),IF(G74&lt;=Hba_11-0.25,0,Hba_11-0.25),IF(G74&lt;=Hba_12-0.25,0,Hba_12-0.25),IF(G74&lt;=Hba_13-0.25,0,Hba_13-0.25),IF(G74&lt;=Hba_14-0.25,0,Hba_14-0.25),IF(G74&lt;=Hba_15-0.25,0,Hba_15-0.25),IF(G74&lt;=Hba_16-0.25,0,Hba_16-0.25),IF(G74&lt;=Hba_17-0.25,0,Hba_17-0.25),IF(G74&lt;=Hba_18-0.25,0,Hba_18-0.25),IF(G74&lt;=Hba_19-0.25,0,Hba_19-0.25),IF(G74&lt;=Hba_20-0.25,0,Hba_20-0.25),IF(G74&lt;=Hba_21-0.25,0,Hba_21-0.25),IF(G74&lt;=Hba_22-0.25,0,Hba_22-0.25),IF(G74&lt;=Hba_23-0.25,0,Hba_23-0.25),IF(G74&lt;=Hba_24-0.25,0,Hba_24-0.25),IF(G74&lt;=Hba_25-0.25,0,Hba_25-0.25),IF(G74&lt;=Hba_26-0.25,0,Hba_26-0.25),IF(G74&lt;=Hba_27-0.25,0,Hba_27-0.25),IF(G74&lt;=Hba_28-0.25,0,Hba_28-0.25),IF(G74&lt;=Hba_29-0.25,0,Hba_29-0.25),IF(G74&lt;=Hba_30-0.25,0,Hba_30-0.25)),IF(G74&lt;='Macro References'!$A$38,0,'Macro References'!$A$38)))</f>
        <v/>
      </c>
      <c r="H75" s="769"/>
      <c r="I75" s="228"/>
      <c r="J75" s="228"/>
      <c r="K75" s="228"/>
      <c r="L75" s="717" t="str">
        <f t="shared" si="11"/>
        <v/>
      </c>
      <c r="M75" s="717"/>
      <c r="N75" s="717"/>
      <c r="O75" s="717"/>
      <c r="P75" s="717" t="str">
        <f>IF(OR(G75=0,G75=""),"",IF(VLOOKUP(G75,'Geometry 2'!$C$4:$AI$14,1,TRUE)=VLOOKUP(G76,'Geometry 2'!$C$4:$AI$14,1,TRUE),"",IF(VLOOKUP(G75,'Geometry 2'!$C$4:$AI$14,33,TRUE)&lt;&gt;"n/a",MIN(G75,VLOOKUP(G75,'Geometry 2'!$C$4:$AI$14,1,TRUE))-VLOOKUP(G75,'Geometry 2'!$C$4:$AI$14,33,TRUE),"check")))</f>
        <v/>
      </c>
      <c r="Q75" s="717"/>
      <c r="R75" s="717"/>
      <c r="S75" s="717"/>
      <c r="T75" s="717" t="str">
        <f>IF($G75="","",VLOOKUP($G75,'Geometry 2'!$E$4:$AH$14,11,TRUE))</f>
        <v/>
      </c>
      <c r="U75" s="717"/>
      <c r="V75" s="717"/>
      <c r="W75" s="717"/>
      <c r="X75" s="716" t="str">
        <f>IF($G75="","",VLOOKUP($G75,'Geometry 2'!$E$4:$AJ$14,19,TRUE)-12*VLOOKUP($G75,'Geometry 2'!$E$4:$AJ$14,32,TRUE)*($D75-VLOOKUP($G75,'Geometry 2'!$E$5:$AH$14,1,TRUE)))</f>
        <v/>
      </c>
      <c r="Y75" s="716"/>
      <c r="Z75" s="716"/>
      <c r="AA75" s="716"/>
      <c r="AB75" s="757" t="str">
        <f>IF($G75="","",VLOOKUP($G75,'Geometry 2'!$E$4:$AJ$14,19,TRUE)-12*VLOOKUP($G75,'Geometry 2'!$E$4:$AJ$14,32,TRUE)*($G75-VLOOKUP($G75,'Geometry 2'!$E$5:$AH$14,1,TRUE)))</f>
        <v/>
      </c>
      <c r="AC75" s="758"/>
      <c r="AD75" s="758"/>
      <c r="AE75" s="759"/>
      <c r="AF75" s="716" t="str">
        <f>IF($G75="","",VLOOKUP($G75,'Geometry 2'!$E$4:$AJ$14,19,TRUE)-12*VLOOKUP($G75,'Geometry 2'!$E$4:$AJ$14,32,TRUE)*($G75-IF($P75="",0,$P75)-VLOOKUP($G75,'Geometry 2'!$E$5:$AH$14,1,TRUE)))</f>
        <v/>
      </c>
      <c r="AG75" s="716"/>
      <c r="AH75" s="716"/>
      <c r="AI75" s="716"/>
      <c r="AJ75" s="746" t="str">
        <f>IF($G75="","",VLOOKUP($G75,'Geometry 2'!$E$4:$AH$14,23,TRUE))</f>
        <v/>
      </c>
      <c r="AK75" s="747"/>
      <c r="AL75" s="747"/>
      <c r="AM75" s="748"/>
      <c r="AN75" s="717"/>
      <c r="AO75" s="717"/>
      <c r="AP75" s="717"/>
      <c r="AQ75" s="717"/>
      <c r="AR75" s="717" t="str">
        <f>IF($G75="","",VLOOKUP($G75,'Geometry 2'!$E$4:$AH$14,27,TRUE))</f>
        <v/>
      </c>
      <c r="AS75" s="717"/>
      <c r="AT75" s="717"/>
      <c r="AU75" s="718"/>
      <c r="AV75" s="715"/>
      <c r="AW75" s="716"/>
      <c r="AX75" s="716"/>
      <c r="AZ75" s="722" t="str">
        <f t="shared" si="15"/>
        <v/>
      </c>
      <c r="BA75" s="723"/>
      <c r="BB75" s="723"/>
      <c r="BC75" s="724"/>
      <c r="BD75" s="722"/>
      <c r="BE75" s="723"/>
      <c r="BF75" s="723"/>
      <c r="BG75" s="722" t="str">
        <f t="shared" si="9"/>
        <v/>
      </c>
      <c r="BH75" s="723"/>
      <c r="BI75" s="723"/>
      <c r="BJ75" s="723"/>
      <c r="BK75" s="724"/>
      <c r="BL75" s="722"/>
      <c r="BM75" s="723"/>
      <c r="BN75" s="723"/>
      <c r="BO75" s="723"/>
      <c r="BP75" s="725"/>
      <c r="BQ75" s="725"/>
      <c r="BR75" s="722" t="str">
        <f>IF(BP75="","",IF(OR(AND(Rev="H",Calculations!$F$27=TRUE),AND(Rev&lt;&gt;"H",Calculations!$F$30=TRUE)),IF(BP75&lt;=1,"Pass","Fail"),IF(BP75&lt;=1.05,"Pass","Fail")))</f>
        <v/>
      </c>
      <c r="BS75" s="723"/>
      <c r="BT75" s="724"/>
      <c r="BU75" s="49"/>
      <c r="BV75" s="25" t="str">
        <f>IFERROR(CONCATENATE(IF(AND($G75&lt;Hta_1,$G75&gt;=Hba_1,Input!U$21&lt;&gt;""),Input!$B$21&amp;";",""),IF(AND($G75&lt;Hta_2,$G75&gt;=Hba_2,Input!U$22&lt;&gt;""),Input!$B$22&amp;";",""),IF(AND($G75&lt;Hta_3,$G75&gt;=Hba_3,Input!U$23&lt;&gt;""),Input!$B$23&amp;";",""),IF(AND($G75&lt;Hta_4,$G75&gt;=Hba_4,Input!U$24&lt;&gt;""),Input!$B$24&amp;";",""),IF(AND($G75&lt;Hta_5,$G75&gt;=Hba_5,Input!U$25&lt;&gt;""),Input!$B$25&amp;";",""),IF(AND($G75&lt;Hta_6,$G75&gt;=Hba_6,Input!U$26&lt;&gt;""),Input!$B$26&amp;";",""),IF(AND($G75&lt;Hta_7,$G75&gt;=Hba_7,Input!U$27&lt;&gt;""),Input!$B$27&amp;";",""),IF(AND($G75&lt;Hta_8,$G75&gt;=Hba_8,Input!U$28&lt;&gt;""),Input!$B$28&amp;";",""),IF(AND($G75&lt;Hta_9,$G75&gt;=Hba_9,Input!U$29&lt;&gt;""),Input!$B$29&amp;";",""),IF(AND($G75&lt;Hta_10,$G75&gt;=Hba_10,Input!U$30&lt;&gt;""),Input!$B$30&amp;";",""),IF(AND($G75&lt;Hta_11,$G75&gt;=Hba_11,Input!U$31&lt;&gt;""),Input!$B$31&amp;";",""),IF(AND($G75&lt;Hta_12,$G75&gt;=Hba_12,Input!U$32&lt;&gt;""),Input!$B$32&amp;";",""),IF(AND($G75&lt;Hta_13,$G75&gt;=Hba_13,Input!U$33&lt;&gt;""),Input!$B$33&amp;";",""),IF(AND($G75&lt;Hta_14,$G75&gt;=Hba_14,Input!U$34&lt;&gt;""),Input!$B$34&amp;";",""),IF(AND($G75&lt;Hta_15,$G75&gt;=Hba_15,Input!U$35&lt;&gt;""),Input!$B$35&amp;";",""),IF(AND($G75&lt;Hta_16,$G75&gt;=Hba_16,Input!U$36&lt;&gt;""),Input!$B$36&amp;";",""),IF(AND($G75&lt;Hta_17,$G75&gt;=Hba_17,Input!U$37&lt;&gt;""),Input!$B$37&amp;";",""),IF(AND($G75&lt;Hta_18,$G75&gt;=Hba_18,Input!U$38&lt;&gt;""),Input!$B$38&amp;";",""),IF(AND($G75&lt;Hta_19,$G75&gt;=Hba_19,Input!U$39&lt;&gt;""),Input!$B$39&amp;";",""),IF(AND($G75&lt;Hta_20,$G75&gt;=Hba_20,Input!U$40&lt;&gt;""),Input!$B$40&amp;";",""),IF(AND($G75&lt;Hta_21,$G75&gt;=Hba_21,Input!U$41&lt;&gt;""),Input!$B$41&amp;";",""),IF(AND($G75&lt;Hta_22,$G75&gt;=Hba_22,Input!U$42&lt;&gt;""),Input!$B$42&amp;";",""),IF(AND($G75&lt;Hta_23,$G75&gt;=Hba_23,Input!U$43&lt;&gt;""),Input!$B$43&amp;";",""),IF(AND($G75&lt;Hta_24,$G75&gt;=Hba_24,Input!U$44&lt;&gt;""),Input!$B$44&amp;";",""),IF(AND($G75&lt;Hta_25,$G75&gt;=Hba_25,Input!U$45&lt;&gt;""),Input!$B$45&amp;";",""),IF(AND($G75&lt;Hta_26,$G75&gt;=Hba_26,Input!U$46&lt;&gt;""),Input!$B$46&amp;";",""),IF(AND($G75&lt;Hta_27,$G75&gt;=Hba_27,Input!U$47&lt;&gt;""),Input!$B$47&amp;";",""),IF(AND($G75&lt;Hta_28,$G75&gt;=Hba_28,Input!U$48&lt;&gt;""),Input!$B$48&amp;";",""),IF(AND($G75&lt;Hta_29,$G75&gt;=Hba_29,Input!U$49&lt;&gt;""),Input!$B$49&amp;";",""),IF(AND($G75&lt;Hta_30,$G75&gt;=Hba_30,Input!U$50&lt;&gt;""),Input!$B$50&amp;";","")),"")</f>
        <v/>
      </c>
      <c r="BW75" s="25" t="str">
        <f>IFERROR(CONCATENATE(IF(AND($G75&lt;Hta_1,$G75&gt;=Hba_1,Input!V$21&lt;&gt;""),Input!$B$21&amp;";",""),IF(AND($G75&lt;Hta_2,$G75&gt;=Hba_2,Input!V$22&lt;&gt;""),Input!$B$22&amp;";",""),IF(AND($G75&lt;Hta_3,$G75&gt;=Hba_3,Input!V$23&lt;&gt;""),Input!$B$23&amp;";",""),IF(AND($G75&lt;Hta_4,$G75&gt;=Hba_4,Input!V$24&lt;&gt;""),Input!$B$24&amp;";",""),IF(AND($G75&lt;Hta_5,$G75&gt;=Hba_5,Input!V$25&lt;&gt;""),Input!$B$25&amp;";",""),IF(AND($G75&lt;Hta_6,$G75&gt;=Hba_6,Input!V$26&lt;&gt;""),Input!$B$26&amp;";",""),IF(AND($G75&lt;Hta_7,$G75&gt;=Hba_7,Input!V$27&lt;&gt;""),Input!$B$27&amp;";",""),IF(AND($G75&lt;Hta_8,$G75&gt;=Hba_8,Input!V$28&lt;&gt;""),Input!$B$28&amp;";",""),IF(AND($G75&lt;Hta_9,$G75&gt;=Hba_9,Input!V$29&lt;&gt;""),Input!$B$29&amp;";",""),IF(AND($G75&lt;Hta_10,$G75&gt;=Hba_10,Input!V$30&lt;&gt;""),Input!$B$30&amp;";",""),IF(AND($G75&lt;Hta_11,$G75&gt;=Hba_11,Input!V$31&lt;&gt;""),Input!$B$31&amp;";",""),IF(AND($G75&lt;Hta_12,$G75&gt;=Hba_12,Input!V$32&lt;&gt;""),Input!$B$32&amp;";",""),IF(AND($G75&lt;Hta_13,$G75&gt;=Hba_13,Input!V$33&lt;&gt;""),Input!$B$33&amp;";",""),IF(AND($G75&lt;Hta_14,$G75&gt;=Hba_14,Input!V$34&lt;&gt;""),Input!$B$34&amp;";",""),IF(AND($G75&lt;Hta_15,$G75&gt;=Hba_15,Input!V$35&lt;&gt;""),Input!$B$35&amp;";",""),IF(AND($G75&lt;Hta_16,$G75&gt;=Hba_16,Input!V$36&lt;&gt;""),Input!$B$36&amp;";",""),IF(AND($G75&lt;Hta_17,$G75&gt;=Hba_17,Input!V$37&lt;&gt;""),Input!$B$37&amp;";",""),IF(AND($G75&lt;Hta_18,$G75&gt;=Hba_18,Input!V$38&lt;&gt;""),Input!$B$38&amp;";",""),IF(AND($G75&lt;Hta_19,$G75&gt;=Hba_19,Input!V$39&lt;&gt;""),Input!$B$39&amp;";",""),IF(AND($G75&lt;Hta_20,$G75&gt;=Hba_20,Input!V$40&lt;&gt;""),Input!$B$40&amp;";",""),IF(AND($G75&lt;Hta_21,$G75&gt;=Hba_21,Input!V$41&lt;&gt;""),Input!$B$41&amp;";",""),IF(AND($G75&lt;Hta_22,$G75&gt;=Hba_22,Input!V$42&lt;&gt;""),Input!$B$42&amp;";",""),IF(AND($G75&lt;Hta_23,$G75&gt;=Hba_23,Input!V$43&lt;&gt;""),Input!$B$43&amp;";",""),IF(AND($G75&lt;Hta_24,$G75&gt;=Hba_24,Input!V$44&lt;&gt;""),Input!$B$44&amp;";",""),IF(AND($G75&lt;Hta_25,$G75&gt;=Hba_25,Input!V$45&lt;&gt;""),Input!$B$45&amp;";",""),IF(AND($G75&lt;Hta_26,$G75&gt;=Hba_26,Input!V$46&lt;&gt;""),Input!$B$46&amp;";",""),IF(AND($G75&lt;Hta_27,$G75&gt;=Hba_27,Input!V$47&lt;&gt;""),Input!$B$47&amp;";",""),IF(AND($G75&lt;Hta_28,$G75&gt;=Hba_28,Input!V$48&lt;&gt;""),Input!$B$48&amp;";",""),IF(AND($G75&lt;Hta_29,$G75&gt;=Hba_29,Input!V$49&lt;&gt;""),Input!$B$49&amp;";",""),IF(AND($G75&lt;Hta_30,$G75&gt;=Hba_30,Input!V$50&lt;&gt;""),Input!$B$50&amp;";","")),"")</f>
        <v/>
      </c>
      <c r="BX75" s="25" t="str">
        <f>IFERROR(CONCATENATE(IF(AND($G75&lt;Hta_1,$G75&gt;=Hba_1,Input!W$21&lt;&gt;""),Input!$B$21&amp;";",""),IF(AND($G75&lt;Hta_2,$G75&gt;=Hba_2,Input!W$22&lt;&gt;""),Input!$B$22&amp;";",""),IF(AND($G75&lt;Hta_3,$G75&gt;=Hba_3,Input!W$23&lt;&gt;""),Input!$B$23&amp;";",""),IF(AND($G75&lt;Hta_4,$G75&gt;=Hba_4,Input!W$24&lt;&gt;""),Input!$B$24&amp;";",""),IF(AND($G75&lt;Hta_5,$G75&gt;=Hba_5,Input!W$25&lt;&gt;""),Input!$B$25&amp;";",""),IF(AND($G75&lt;Hta_6,$G75&gt;=Hba_6,Input!W$26&lt;&gt;""),Input!$B$26&amp;";",""),IF(AND($G75&lt;Hta_7,$G75&gt;=Hba_7,Input!W$27&lt;&gt;""),Input!$B$27&amp;";",""),IF(AND($G75&lt;Hta_8,$G75&gt;=Hba_8,Input!W$28&lt;&gt;""),Input!$B$28&amp;";",""),IF(AND($G75&lt;Hta_9,$G75&gt;=Hba_9,Input!W$29&lt;&gt;""),Input!$B$29&amp;";",""),IF(AND($G75&lt;Hta_10,$G75&gt;=Hba_10,Input!W$30&lt;&gt;""),Input!$B$30&amp;";",""),IF(AND($G75&lt;Hta_11,$G75&gt;=Hba_11,Input!W$31&lt;&gt;""),Input!$B$31&amp;";",""),IF(AND($G75&lt;Hta_12,$G75&gt;=Hba_12,Input!W$32&lt;&gt;""),Input!$B$32&amp;";",""),IF(AND($G75&lt;Hta_13,$G75&gt;=Hba_13,Input!W$33&lt;&gt;""),Input!$B$33&amp;";",""),IF(AND($G75&lt;Hta_14,$G75&gt;=Hba_14,Input!W$34&lt;&gt;""),Input!$B$34&amp;";",""),IF(AND($G75&lt;Hta_15,$G75&gt;=Hba_15,Input!W$35&lt;&gt;""),Input!$B$35&amp;";",""),IF(AND($G75&lt;Hta_16,$G75&gt;=Hba_16,Input!W$36&lt;&gt;""),Input!$B$36&amp;";",""),IF(AND($G75&lt;Hta_17,$G75&gt;=Hba_17,Input!W$37&lt;&gt;""),Input!$B$37&amp;";",""),IF(AND($G75&lt;Hta_18,$G75&gt;=Hba_18,Input!W$38&lt;&gt;""),Input!$B$38&amp;";",""),IF(AND($G75&lt;Hta_19,$G75&gt;=Hba_19,Input!W$39&lt;&gt;""),Input!$B$39&amp;";",""),IF(AND($G75&lt;Hta_20,$G75&gt;=Hba_20,Input!W$40&lt;&gt;""),Input!$B$40&amp;";",""),IF(AND($G75&lt;Hta_21,$G75&gt;=Hba_21,Input!W$41&lt;&gt;""),Input!$B$41&amp;";",""),IF(AND($G75&lt;Hta_22,$G75&gt;=Hba_22,Input!W$42&lt;&gt;""),Input!$B$42&amp;";",""),IF(AND($G75&lt;Hta_23,$G75&gt;=Hba_23,Input!W$43&lt;&gt;""),Input!$B$43&amp;";",""),IF(AND($G75&lt;Hta_24,$G75&gt;=Hba_24,Input!W$44&lt;&gt;""),Input!$B$44&amp;";",""),IF(AND($G75&lt;Hta_25,$G75&gt;=Hba_25,Input!W$45&lt;&gt;""),Input!$B$45&amp;";",""),IF(AND($G75&lt;Hta_26,$G75&gt;=Hba_26,Input!W$46&lt;&gt;""),Input!$B$46&amp;";",""),IF(AND($G75&lt;Hta_27,$G75&gt;=Hba_27,Input!W$47&lt;&gt;""),Input!$B$47&amp;";",""),IF(AND($G75&lt;Hta_28,$G75&gt;=Hba_28,Input!W$48&lt;&gt;""),Input!$B$48&amp;";",""),IF(AND($G75&lt;Hta_29,$G75&gt;=Hba_29,Input!W$49&lt;&gt;""),Input!$B$49&amp;";",""),IF(AND($G75&lt;Hta_30,$G75&gt;=Hba_30,Input!W$50&lt;&gt;""),Input!$B$50&amp;";","")),"")</f>
        <v/>
      </c>
      <c r="BY75" s="25" t="str">
        <f>IFERROR(CONCATENATE(IF(AND($G75&lt;Hta_1,$G75&gt;=Hba_1,Input!X$21&lt;&gt;""),Input!$B$21&amp;";",""),IF(AND($G75&lt;Hta_2,$G75&gt;=Hba_2,Input!X$22&lt;&gt;""),Input!$B$22&amp;";",""),IF(AND($G75&lt;Hta_3,$G75&gt;=Hba_3,Input!X$23&lt;&gt;""),Input!$B$23&amp;";",""),IF(AND($G75&lt;Hta_4,$G75&gt;=Hba_4,Input!X$24&lt;&gt;""),Input!$B$24&amp;";",""),IF(AND($G75&lt;Hta_5,$G75&gt;=Hba_5,Input!X$25&lt;&gt;""),Input!$B$25&amp;";",""),IF(AND($G75&lt;Hta_6,$G75&gt;=Hba_6,Input!X$26&lt;&gt;""),Input!$B$26&amp;";",""),IF(AND($G75&lt;Hta_7,$G75&gt;=Hba_7,Input!X$27&lt;&gt;""),Input!$B$27&amp;";",""),IF(AND($G75&lt;Hta_8,$G75&gt;=Hba_8,Input!X$28&lt;&gt;""),Input!$B$28&amp;";",""),IF(AND($G75&lt;Hta_9,$G75&gt;=Hba_9,Input!X$29&lt;&gt;""),Input!$B$29&amp;";",""),IF(AND($G75&lt;Hta_10,$G75&gt;=Hba_10,Input!X$30&lt;&gt;""),Input!$B$30&amp;";",""),IF(AND($G75&lt;Hta_11,$G75&gt;=Hba_11,Input!X$31&lt;&gt;""),Input!$B$31&amp;";",""),IF(AND($G75&lt;Hta_12,$G75&gt;=Hba_12,Input!X$32&lt;&gt;""),Input!$B$32&amp;";",""),IF(AND($G75&lt;Hta_13,$G75&gt;=Hba_13,Input!X$33&lt;&gt;""),Input!$B$33&amp;";",""),IF(AND($G75&lt;Hta_14,$G75&gt;=Hba_14,Input!X$34&lt;&gt;""),Input!$B$34&amp;";",""),IF(AND($G75&lt;Hta_15,$G75&gt;=Hba_15,Input!X$35&lt;&gt;""),Input!$B$35&amp;";",""),IF(AND($G75&lt;Hta_16,$G75&gt;=Hba_16,Input!X$36&lt;&gt;""),Input!$B$36&amp;";",""),IF(AND($G75&lt;Hta_17,$G75&gt;=Hba_17,Input!X$37&lt;&gt;""),Input!$B$37&amp;";",""),IF(AND($G75&lt;Hta_18,$G75&gt;=Hba_18,Input!X$38&lt;&gt;""),Input!$B$38&amp;";",""),IF(AND($G75&lt;Hta_19,$G75&gt;=Hba_19,Input!X$39&lt;&gt;""),Input!$B$39&amp;";",""),IF(AND($G75&lt;Hta_20,$G75&gt;=Hba_20,Input!X$40&lt;&gt;""),Input!$B$40&amp;";",""),IF(AND($G75&lt;Hta_21,$G75&gt;=Hba_21,Input!X$41&lt;&gt;""),Input!$B$41&amp;";",""),IF(AND($G75&lt;Hta_22,$G75&gt;=Hba_22,Input!X$42&lt;&gt;""),Input!$B$42&amp;";",""),IF(AND($G75&lt;Hta_23,$G75&gt;=Hba_23,Input!X$43&lt;&gt;""),Input!$B$43&amp;";",""),IF(AND($G75&lt;Hta_24,$G75&gt;=Hba_24,Input!X$44&lt;&gt;""),Input!$B$44&amp;";",""),IF(AND($G75&lt;Hta_25,$G75&gt;=Hba_25,Input!X$45&lt;&gt;""),Input!$B$45&amp;";",""),IF(AND($G75&lt;Hta_26,$G75&gt;=Hba_26,Input!X$46&lt;&gt;""),Input!$B$46&amp;";",""),IF(AND($G75&lt;Hta_27,$G75&gt;=Hba_27,Input!X$47&lt;&gt;""),Input!$B$47&amp;";",""),IF(AND($G75&lt;Hta_28,$G75&gt;=Hba_28,Input!X$48&lt;&gt;""),Input!$B$48&amp;";",""),IF(AND($G75&lt;Hta_29,$G75&gt;=Hba_29,Input!X$49&lt;&gt;""),Input!$B$49&amp;";",""),IF(AND($G75&lt;Hta_30,$G75&gt;=Hba_30,Input!X$50&lt;&gt;""),Input!$B$50&amp;";","")),"")</f>
        <v/>
      </c>
      <c r="BZ75" s="25" t="str">
        <f>IFERROR(CONCATENATE(IF(AND($G75&lt;Hta_1,$G75&gt;=Hba_1,Input!Y$21&lt;&gt;""),Input!$B$21&amp;";",""),IF(AND($G75&lt;Hta_2,$G75&gt;=Hba_2,Input!Y$22&lt;&gt;""),Input!$B$22&amp;";",""),IF(AND($G75&lt;Hta_3,$G75&gt;=Hba_3,Input!Y$23&lt;&gt;""),Input!$B$23&amp;";",""),IF(AND($G75&lt;Hta_4,$G75&gt;=Hba_4,Input!Y$24&lt;&gt;""),Input!$B$24&amp;";",""),IF(AND($G75&lt;Hta_5,$G75&gt;=Hba_5,Input!Y$25&lt;&gt;""),Input!$B$25&amp;";",""),IF(AND($G75&lt;Hta_6,$G75&gt;=Hba_6,Input!Y$26&lt;&gt;""),Input!$B$26&amp;";",""),IF(AND($G75&lt;Hta_7,$G75&gt;=Hba_7,Input!Y$27&lt;&gt;""),Input!$B$27&amp;";",""),IF(AND($G75&lt;Hta_8,$G75&gt;=Hba_8,Input!Y$28&lt;&gt;""),Input!$B$28&amp;";",""),IF(AND($G75&lt;Hta_9,$G75&gt;=Hba_9,Input!Y$29&lt;&gt;""),Input!$B$29&amp;";",""),IF(AND($G75&lt;Hta_10,$G75&gt;=Hba_10,Input!Y$30&lt;&gt;""),Input!$B$30&amp;";",""),IF(AND($G75&lt;Hta_11,$G75&gt;=Hba_11,Input!Y$31&lt;&gt;""),Input!$B$31&amp;";",""),IF(AND($G75&lt;Hta_12,$G75&gt;=Hba_12,Input!Y$32&lt;&gt;""),Input!$B$32&amp;";",""),IF(AND($G75&lt;Hta_13,$G75&gt;=Hba_13,Input!Y$33&lt;&gt;""),Input!$B$33&amp;";",""),IF(AND($G75&lt;Hta_14,$G75&gt;=Hba_14,Input!Y$34&lt;&gt;""),Input!$B$34&amp;";",""),IF(AND($G75&lt;Hta_15,$G75&gt;=Hba_15,Input!Y$35&lt;&gt;""),Input!$B$35&amp;";",""),IF(AND($G75&lt;Hta_16,$G75&gt;=Hba_16,Input!Y$36&lt;&gt;""),Input!$B$36&amp;";",""),IF(AND($G75&lt;Hta_17,$G75&gt;=Hba_17,Input!Y$37&lt;&gt;""),Input!$B$37&amp;";",""),IF(AND($G75&lt;Hta_18,$G75&gt;=Hba_18,Input!Y$38&lt;&gt;""),Input!$B$38&amp;";",""),IF(AND($G75&lt;Hta_19,$G75&gt;=Hba_19,Input!Y$39&lt;&gt;""),Input!$B$39&amp;";",""),IF(AND($G75&lt;Hta_20,$G75&gt;=Hba_20,Input!Y$40&lt;&gt;""),Input!$B$40&amp;";",""),IF(AND($G75&lt;Hta_21,$G75&gt;=Hba_21,Input!Y$41&lt;&gt;""),Input!$B$41&amp;";",""),IF(AND($G75&lt;Hta_22,$G75&gt;=Hba_22,Input!Y$42&lt;&gt;""),Input!$B$42&amp;";",""),IF(AND($G75&lt;Hta_23,$G75&gt;=Hba_23,Input!Y$43&lt;&gt;""),Input!$B$43&amp;";",""),IF(AND($G75&lt;Hta_24,$G75&gt;=Hba_24,Input!Y$44&lt;&gt;""),Input!$B$44&amp;";",""),IF(AND($G75&lt;Hta_25,$G75&gt;=Hba_25,Input!Y$45&lt;&gt;""),Input!$B$45&amp;";",""),IF(AND($G75&lt;Hta_26,$G75&gt;=Hba_26,Input!Y$46&lt;&gt;""),Input!$B$46&amp;";",""),IF(AND($G75&lt;Hta_27,$G75&gt;=Hba_27,Input!Y$47&lt;&gt;""),Input!$B$47&amp;";",""),IF(AND($G75&lt;Hta_28,$G75&gt;=Hba_28,Input!Y$48&lt;&gt;""),Input!$B$48&amp;";",""),IF(AND($G75&lt;Hta_29,$G75&gt;=Hba_29,Input!Y$49&lt;&gt;""),Input!$B$49&amp;";",""),IF(AND($G75&lt;Hta_30,$G75&gt;=Hba_30,Input!Y$50&lt;&gt;""),Input!$B$50&amp;";","")),"")</f>
        <v/>
      </c>
      <c r="CA75" s="25" t="str">
        <f>IFERROR(CONCATENATE(IF(AND($G75&lt;Hta_1,$G75&gt;=Hba_1,Input!Z$21&lt;&gt;""),Input!$B$21&amp;";",""),IF(AND($G75&lt;Hta_2,$G75&gt;=Hba_2,Input!Z$22&lt;&gt;""),Input!$B$22&amp;";",""),IF(AND($G75&lt;Hta_3,$G75&gt;=Hba_3,Input!Z$23&lt;&gt;""),Input!$B$23&amp;";",""),IF(AND($G75&lt;Hta_4,$G75&gt;=Hba_4,Input!Z$24&lt;&gt;""),Input!$B$24&amp;";",""),IF(AND($G75&lt;Hta_5,$G75&gt;=Hba_5,Input!Z$25&lt;&gt;""),Input!$B$25&amp;";",""),IF(AND($G75&lt;Hta_6,$G75&gt;=Hba_6,Input!Z$26&lt;&gt;""),Input!$B$26&amp;";",""),IF(AND($G75&lt;Hta_7,$G75&gt;=Hba_7,Input!Z$27&lt;&gt;""),Input!$B$27&amp;";",""),IF(AND($G75&lt;Hta_8,$G75&gt;=Hba_8,Input!Z$28&lt;&gt;""),Input!$B$28&amp;";",""),IF(AND($G75&lt;Hta_9,$G75&gt;=Hba_9,Input!Z$29&lt;&gt;""),Input!$B$29&amp;";",""),IF(AND($G75&lt;Hta_10,$G75&gt;=Hba_10,Input!Z$30&lt;&gt;""),Input!$B$30&amp;";",""),IF(AND($G75&lt;Hta_11,$G75&gt;=Hba_11,Input!Z$31&lt;&gt;""),Input!$B$31&amp;";",""),IF(AND($G75&lt;Hta_12,$G75&gt;=Hba_12,Input!Z$32&lt;&gt;""),Input!$B$32&amp;";",""),IF(AND($G75&lt;Hta_13,$G75&gt;=Hba_13,Input!Z$33&lt;&gt;""),Input!$B$33&amp;";",""),IF(AND($G75&lt;Hta_14,$G75&gt;=Hba_14,Input!Z$34&lt;&gt;""),Input!$B$34&amp;";",""),IF(AND($G75&lt;Hta_15,$G75&gt;=Hba_15,Input!Z$35&lt;&gt;""),Input!$B$35&amp;";",""),IF(AND($G75&lt;Hta_16,$G75&gt;=Hba_16,Input!Z$36&lt;&gt;""),Input!$B$36&amp;";",""),IF(AND($G75&lt;Hta_17,$G75&gt;=Hba_17,Input!Z$37&lt;&gt;""),Input!$B$37&amp;";",""),IF(AND($G75&lt;Hta_18,$G75&gt;=Hba_18,Input!Z$38&lt;&gt;""),Input!$B$38&amp;";",""),IF(AND($G75&lt;Hta_19,$G75&gt;=Hba_19,Input!Z$39&lt;&gt;""),Input!$B$39&amp;";",""),IF(AND($G75&lt;Hta_20,$G75&gt;=Hba_20,Input!Z$40&lt;&gt;""),Input!$B$40&amp;";",""),IF(AND($G75&lt;Hta_21,$G75&gt;=Hba_21,Input!Z$41&lt;&gt;""),Input!$B$41&amp;";",""),IF(AND($G75&lt;Hta_22,$G75&gt;=Hba_22,Input!Z$42&lt;&gt;""),Input!$B$42&amp;";",""),IF(AND($G75&lt;Hta_23,$G75&gt;=Hba_23,Input!Z$43&lt;&gt;""),Input!$B$43&amp;";",""),IF(AND($G75&lt;Hta_24,$G75&gt;=Hba_24,Input!Z$44&lt;&gt;""),Input!$B$44&amp;";",""),IF(AND($G75&lt;Hta_25,$G75&gt;=Hba_25,Input!Z$45&lt;&gt;""),Input!$B$45&amp;";",""),IF(AND($G75&lt;Hta_26,$G75&gt;=Hba_26,Input!Z$46&lt;&gt;""),Input!$B$46&amp;";",""),IF(AND($G75&lt;Hta_27,$G75&gt;=Hba_27,Input!Z$47&lt;&gt;""),Input!$B$47&amp;";",""),IF(AND($G75&lt;Hta_28,$G75&gt;=Hba_28,Input!Z$48&lt;&gt;""),Input!$B$48&amp;";",""),IF(AND($G75&lt;Hta_29,$G75&gt;=Hba_29,Input!Z$49&lt;&gt;""),Input!$B$49&amp;";",""),IF(AND($G75&lt;Hta_30,$G75&gt;=Hba_30,Input!Z$50&lt;&gt;""),Input!$B$50&amp;";","")),"")</f>
        <v/>
      </c>
      <c r="CB75" s="25" t="str">
        <f>IFERROR(CONCATENATE(IF(AND($G75&lt;Hta_1,$G75&gt;=Hba_1,Input!AA$21&lt;&gt;""),Input!$B$21&amp;";",""),IF(AND($G75&lt;Hta_2,$G75&gt;=Hba_2,Input!AA$22&lt;&gt;""),Input!$B$22&amp;";",""),IF(AND($G75&lt;Hta_3,$G75&gt;=Hba_3,Input!AA$23&lt;&gt;""),Input!$B$23&amp;";",""),IF(AND($G75&lt;Hta_4,$G75&gt;=Hba_4,Input!AA$24&lt;&gt;""),Input!$B$24&amp;";",""),IF(AND($G75&lt;Hta_5,$G75&gt;=Hba_5,Input!AA$25&lt;&gt;""),Input!$B$25&amp;";",""),IF(AND($G75&lt;Hta_6,$G75&gt;=Hba_6,Input!AA$26&lt;&gt;""),Input!$B$26&amp;";",""),IF(AND($G75&lt;Hta_7,$G75&gt;=Hba_7,Input!AA$27&lt;&gt;""),Input!$B$27&amp;";",""),IF(AND($G75&lt;Hta_8,$G75&gt;=Hba_8,Input!AA$28&lt;&gt;""),Input!$B$28&amp;";",""),IF(AND($G75&lt;Hta_9,$G75&gt;=Hba_9,Input!AA$29&lt;&gt;""),Input!$B$29&amp;";",""),IF(AND($G75&lt;Hta_10,$G75&gt;=Hba_10,Input!AA$30&lt;&gt;""),Input!$B$30&amp;";",""),IF(AND($G75&lt;Hta_11,$G75&gt;=Hba_11,Input!AA$31&lt;&gt;""),Input!$B$31&amp;";",""),IF(AND($G75&lt;Hta_12,$G75&gt;=Hba_12,Input!AA$32&lt;&gt;""),Input!$B$32&amp;";",""),IF(AND($G75&lt;Hta_13,$G75&gt;=Hba_13,Input!AA$33&lt;&gt;""),Input!$B$33&amp;";",""),IF(AND($G75&lt;Hta_14,$G75&gt;=Hba_14,Input!AA$34&lt;&gt;""),Input!$B$34&amp;";",""),IF(AND($G75&lt;Hta_15,$G75&gt;=Hba_15,Input!AA$35&lt;&gt;""),Input!$B$35&amp;";",""),IF(AND($G75&lt;Hta_16,$G75&gt;=Hba_16,Input!AA$36&lt;&gt;""),Input!$B$36&amp;";",""),IF(AND($G75&lt;Hta_17,$G75&gt;=Hba_17,Input!AA$37&lt;&gt;""),Input!$B$37&amp;";",""),IF(AND($G75&lt;Hta_18,$G75&gt;=Hba_18,Input!AA$38&lt;&gt;""),Input!$B$38&amp;";",""),IF(AND($G75&lt;Hta_19,$G75&gt;=Hba_19,Input!AA$39&lt;&gt;""),Input!$B$39&amp;";",""),IF(AND($G75&lt;Hta_20,$G75&gt;=Hba_20,Input!AA$40&lt;&gt;""),Input!$B$40&amp;";",""),IF(AND($G75&lt;Hta_21,$G75&gt;=Hba_21,Input!AA$41&lt;&gt;""),Input!$B$41&amp;";",""),IF(AND($G75&lt;Hta_22,$G75&gt;=Hba_22,Input!AA$42&lt;&gt;""),Input!$B$42&amp;";",""),IF(AND($G75&lt;Hta_23,$G75&gt;=Hba_23,Input!AA$43&lt;&gt;""),Input!$B$43&amp;";",""),IF(AND($G75&lt;Hta_24,$G75&gt;=Hba_24,Input!AA$44&lt;&gt;""),Input!$B$44&amp;";",""),IF(AND($G75&lt;Hta_25,$G75&gt;=Hba_25,Input!AA$45&lt;&gt;""),Input!$B$45&amp;";",""),IF(AND($G75&lt;Hta_26,$G75&gt;=Hba_26,Input!AA$46&lt;&gt;""),Input!$B$46&amp;";",""),IF(AND($G75&lt;Hta_27,$G75&gt;=Hba_27,Input!AA$47&lt;&gt;""),Input!$B$47&amp;";",""),IF(AND($G75&lt;Hta_28,$G75&gt;=Hba_28,Input!AA$48&lt;&gt;""),Input!$B$48&amp;";",""),IF(AND($G75&lt;Hta_29,$G75&gt;=Hba_29,Input!AA$49&lt;&gt;""),Input!$B$49&amp;";",""),IF(AND($G75&lt;Hta_30,$G75&gt;=Hba_30,Input!AA$50&lt;&gt;""),Input!$B$50&amp;";","")),"")</f>
        <v/>
      </c>
      <c r="CC75" s="25" t="str">
        <f>IFERROR(CONCATENATE(IF(AND($G75&lt;Hta_1,$G75&gt;=Hba_1,Input!AB$21&lt;&gt;""),Input!$B$21&amp;";",""),IF(AND($G75&lt;Hta_2,$G75&gt;=Hba_2,Input!AB$22&lt;&gt;""),Input!$B$22&amp;";",""),IF(AND($G75&lt;Hta_3,$G75&gt;=Hba_3,Input!AB$23&lt;&gt;""),Input!$B$23&amp;";",""),IF(AND($G75&lt;Hta_4,$G75&gt;=Hba_4,Input!AB$24&lt;&gt;""),Input!$B$24&amp;";",""),IF(AND($G75&lt;Hta_5,$G75&gt;=Hba_5,Input!AB$25&lt;&gt;""),Input!$B$25&amp;";",""),IF(AND($G75&lt;Hta_6,$G75&gt;=Hba_6,Input!AB$26&lt;&gt;""),Input!$B$26&amp;";",""),IF(AND($G75&lt;Hta_7,$G75&gt;=Hba_7,Input!AB$27&lt;&gt;""),Input!$B$27&amp;";",""),IF(AND($G75&lt;Hta_8,$G75&gt;=Hba_8,Input!AB$28&lt;&gt;""),Input!$B$28&amp;";",""),IF(AND($G75&lt;Hta_9,$G75&gt;=Hba_9,Input!AB$29&lt;&gt;""),Input!$B$29&amp;";",""),IF(AND($G75&lt;Hta_10,$G75&gt;=Hba_10,Input!AB$30&lt;&gt;""),Input!$B$30&amp;";",""),IF(AND($G75&lt;Hta_11,$G75&gt;=Hba_11,Input!AB$31&lt;&gt;""),Input!$B$31&amp;";",""),IF(AND($G75&lt;Hta_12,$G75&gt;=Hba_12,Input!AB$32&lt;&gt;""),Input!$B$32&amp;";",""),IF(AND($G75&lt;Hta_13,$G75&gt;=Hba_13,Input!AB$33&lt;&gt;""),Input!$B$33&amp;";",""),IF(AND($G75&lt;Hta_14,$G75&gt;=Hba_14,Input!AB$34&lt;&gt;""),Input!$B$34&amp;";",""),IF(AND($G75&lt;Hta_15,$G75&gt;=Hba_15,Input!AB$35&lt;&gt;""),Input!$B$35&amp;";",""),IF(AND($G75&lt;Hta_16,$G75&gt;=Hba_16,Input!AB$36&lt;&gt;""),Input!$B$36&amp;";",""),IF(AND($G75&lt;Hta_17,$G75&gt;=Hba_17,Input!AB$37&lt;&gt;""),Input!$B$37&amp;";",""),IF(AND($G75&lt;Hta_18,$G75&gt;=Hba_18,Input!AB$38&lt;&gt;""),Input!$B$38&amp;";",""),IF(AND($G75&lt;Hta_19,$G75&gt;=Hba_19,Input!AB$39&lt;&gt;""),Input!$B$39&amp;";",""),IF(AND($G75&lt;Hta_20,$G75&gt;=Hba_20,Input!AB$40&lt;&gt;""),Input!$B$40&amp;";",""),IF(AND($G75&lt;Hta_21,$G75&gt;=Hba_21,Input!AB$41&lt;&gt;""),Input!$B$41&amp;";",""),IF(AND($G75&lt;Hta_22,$G75&gt;=Hba_22,Input!AB$42&lt;&gt;""),Input!$B$42&amp;";",""),IF(AND($G75&lt;Hta_23,$G75&gt;=Hba_23,Input!AB$43&lt;&gt;""),Input!$B$43&amp;";",""),IF(AND($G75&lt;Hta_24,$G75&gt;=Hba_24,Input!AB$44&lt;&gt;""),Input!$B$44&amp;";",""),IF(AND($G75&lt;Hta_25,$G75&gt;=Hba_25,Input!AB$45&lt;&gt;""),Input!$B$45&amp;";",""),IF(AND($G75&lt;Hta_26,$G75&gt;=Hba_26,Input!AB$46&lt;&gt;""),Input!$B$46&amp;";",""),IF(AND($G75&lt;Hta_27,$G75&gt;=Hba_27,Input!AB$47&lt;&gt;""),Input!$B$47&amp;";",""),IF(AND($G75&lt;Hta_28,$G75&gt;=Hba_28,Input!AB$48&lt;&gt;""),Input!$B$48&amp;";",""),IF(AND($G75&lt;Hta_29,$G75&gt;=Hba_29,Input!AB$49&lt;&gt;""),Input!$B$49&amp;";",""),IF(AND($G75&lt;Hta_30,$G75&gt;=Hba_30,Input!AB$50&lt;&gt;""),Input!$B$50&amp;";","")),"")</f>
        <v/>
      </c>
      <c r="CD75" s="25" t="str">
        <f>IFERROR(CONCATENATE(IF(AND($G75&lt;Hta_1,$G75&gt;=Hba_1,Input!AC$21&lt;&gt;""),Input!$B$21&amp;";",""),IF(AND($G75&lt;Hta_2,$G75&gt;=Hba_2,Input!AC$22&lt;&gt;""),Input!$B$22&amp;";",""),IF(AND($G75&lt;Hta_3,$G75&gt;=Hba_3,Input!AC$23&lt;&gt;""),Input!$B$23&amp;";",""),IF(AND($G75&lt;Hta_4,$G75&gt;=Hba_4,Input!AC$24&lt;&gt;""),Input!$B$24&amp;";",""),IF(AND($G75&lt;Hta_5,$G75&gt;=Hba_5,Input!AC$25&lt;&gt;""),Input!$B$25&amp;";",""),IF(AND($G75&lt;Hta_6,$G75&gt;=Hba_6,Input!AC$26&lt;&gt;""),Input!$B$26&amp;";",""),IF(AND($G75&lt;Hta_7,$G75&gt;=Hba_7,Input!AC$27&lt;&gt;""),Input!$B$27&amp;";",""),IF(AND($G75&lt;Hta_8,$G75&gt;=Hba_8,Input!AC$28&lt;&gt;""),Input!$B$28&amp;";",""),IF(AND($G75&lt;Hta_9,$G75&gt;=Hba_9,Input!AC$29&lt;&gt;""),Input!$B$29&amp;";",""),IF(AND($G75&lt;Hta_10,$G75&gt;=Hba_10,Input!AC$30&lt;&gt;""),Input!$B$30&amp;";",""),IF(AND($G75&lt;Hta_11,$G75&gt;=Hba_11,Input!AC$31&lt;&gt;""),Input!$B$31&amp;";",""),IF(AND($G75&lt;Hta_12,$G75&gt;=Hba_12,Input!AC$32&lt;&gt;""),Input!$B$32&amp;";",""),IF(AND($G75&lt;Hta_13,$G75&gt;=Hba_13,Input!AC$33&lt;&gt;""),Input!$B$33&amp;";",""),IF(AND($G75&lt;Hta_14,$G75&gt;=Hba_14,Input!AC$34&lt;&gt;""),Input!$B$34&amp;";",""),IF(AND($G75&lt;Hta_15,$G75&gt;=Hba_15,Input!AC$35&lt;&gt;""),Input!$B$35&amp;";",""),IF(AND($G75&lt;Hta_16,$G75&gt;=Hba_16,Input!AC$36&lt;&gt;""),Input!$B$36&amp;";",""),IF(AND($G75&lt;Hta_17,$G75&gt;=Hba_17,Input!AC$37&lt;&gt;""),Input!$B$37&amp;";",""),IF(AND($G75&lt;Hta_18,$G75&gt;=Hba_18,Input!AC$38&lt;&gt;""),Input!$B$38&amp;";",""),IF(AND($G75&lt;Hta_19,$G75&gt;=Hba_19,Input!AC$39&lt;&gt;""),Input!$B$39&amp;";",""),IF(AND($G75&lt;Hta_20,$G75&gt;=Hba_20,Input!AC$40&lt;&gt;""),Input!$B$40&amp;";",""),IF(AND($G75&lt;Hta_21,$G75&gt;=Hba_21,Input!AC$41&lt;&gt;""),Input!$B$41&amp;";",""),IF(AND($G75&lt;Hta_22,$G75&gt;=Hba_22,Input!AC$42&lt;&gt;""),Input!$B$42&amp;";",""),IF(AND($G75&lt;Hta_23,$G75&gt;=Hba_23,Input!AC$43&lt;&gt;""),Input!$B$43&amp;";",""),IF(AND($G75&lt;Hta_24,$G75&gt;=Hba_24,Input!AC$44&lt;&gt;""),Input!$B$44&amp;";",""),IF(AND($G75&lt;Hta_25,$G75&gt;=Hba_25,Input!AC$45&lt;&gt;""),Input!$B$45&amp;";",""),IF(AND($G75&lt;Hta_26,$G75&gt;=Hba_26,Input!AC$46&lt;&gt;""),Input!$B$46&amp;";",""),IF(AND($G75&lt;Hta_27,$G75&gt;=Hba_27,Input!AC$47&lt;&gt;""),Input!$B$47&amp;";",""),IF(AND($G75&lt;Hta_28,$G75&gt;=Hba_28,Input!AC$48&lt;&gt;""),Input!$B$48&amp;";",""),IF(AND($G75&lt;Hta_29,$G75&gt;=Hba_29,Input!AC$49&lt;&gt;""),Input!$B$49&amp;";",""),IF(AND($G75&lt;Hta_30,$G75&gt;=Hba_30,Input!AC$50&lt;&gt;""),Input!$B$50&amp;";","")),"")</f>
        <v/>
      </c>
      <c r="CE75" s="25" t="str">
        <f>IFERROR(CONCATENATE(IF(AND($G75&lt;Hta_1,$G75&gt;=Hba_1,Input!AD$21&lt;&gt;""),Input!$B$21&amp;";",""),IF(AND($G75&lt;Hta_2,$G75&gt;=Hba_2,Input!AD$22&lt;&gt;""),Input!$B$22&amp;";",""),IF(AND($G75&lt;Hta_3,$G75&gt;=Hba_3,Input!AD$23&lt;&gt;""),Input!$B$23&amp;";",""),IF(AND($G75&lt;Hta_4,$G75&gt;=Hba_4,Input!AD$24&lt;&gt;""),Input!$B$24&amp;";",""),IF(AND($G75&lt;Hta_5,$G75&gt;=Hba_5,Input!AD$25&lt;&gt;""),Input!$B$25&amp;";",""),IF(AND($G75&lt;Hta_6,$G75&gt;=Hba_6,Input!AD$26&lt;&gt;""),Input!$B$26&amp;";",""),IF(AND($G75&lt;Hta_7,$G75&gt;=Hba_7,Input!AD$27&lt;&gt;""),Input!$B$27&amp;";",""),IF(AND($G75&lt;Hta_8,$G75&gt;=Hba_8,Input!AD$28&lt;&gt;""),Input!$B$28&amp;";",""),IF(AND($G75&lt;Hta_9,$G75&gt;=Hba_9,Input!AD$29&lt;&gt;""),Input!$B$29&amp;";",""),IF(AND($G75&lt;Hta_10,$G75&gt;=Hba_10,Input!AD$30&lt;&gt;""),Input!$B$30&amp;";",""),IF(AND($G75&lt;Hta_11,$G75&gt;=Hba_11,Input!AD$31&lt;&gt;""),Input!$B$31&amp;";",""),IF(AND($G75&lt;Hta_12,$G75&gt;=Hba_12,Input!AD$32&lt;&gt;""),Input!$B$32&amp;";",""),IF(AND($G75&lt;Hta_13,$G75&gt;=Hba_13,Input!AD$33&lt;&gt;""),Input!$B$33&amp;";",""),IF(AND($G75&lt;Hta_14,$G75&gt;=Hba_14,Input!AD$34&lt;&gt;""),Input!$B$34&amp;";",""),IF(AND($G75&lt;Hta_15,$G75&gt;=Hba_15,Input!AD$35&lt;&gt;""),Input!$B$35&amp;";",""),IF(AND($G75&lt;Hta_16,$G75&gt;=Hba_16,Input!AD$36&lt;&gt;""),Input!$B$36&amp;";",""),IF(AND($G75&lt;Hta_17,$G75&gt;=Hba_17,Input!AD$37&lt;&gt;""),Input!$B$37&amp;";",""),IF(AND($G75&lt;Hta_18,$G75&gt;=Hba_18,Input!AD$38&lt;&gt;""),Input!$B$38&amp;";",""),IF(AND($G75&lt;Hta_19,$G75&gt;=Hba_19,Input!AD$39&lt;&gt;""),Input!$B$39&amp;";",""),IF(AND($G75&lt;Hta_20,$G75&gt;=Hba_20,Input!AD$40&lt;&gt;""),Input!$B$40&amp;";",""),IF(AND($G75&lt;Hta_21,$G75&gt;=Hba_21,Input!AD$41&lt;&gt;""),Input!$B$41&amp;";",""),IF(AND($G75&lt;Hta_22,$G75&gt;=Hba_22,Input!AD$42&lt;&gt;""),Input!$B$42&amp;";",""),IF(AND($G75&lt;Hta_23,$G75&gt;=Hba_23,Input!AD$43&lt;&gt;""),Input!$B$43&amp;";",""),IF(AND($G75&lt;Hta_24,$G75&gt;=Hba_24,Input!AD$44&lt;&gt;""),Input!$B$44&amp;";",""),IF(AND($G75&lt;Hta_25,$G75&gt;=Hba_25,Input!AD$45&lt;&gt;""),Input!$B$45&amp;";",""),IF(AND($G75&lt;Hta_26,$G75&gt;=Hba_26,Input!AD$46&lt;&gt;""),Input!$B$46&amp;";",""),IF(AND($G75&lt;Hta_27,$G75&gt;=Hba_27,Input!AD$47&lt;&gt;""),Input!$B$47&amp;";",""),IF(AND($G75&lt;Hta_28,$G75&gt;=Hba_28,Input!AD$48&lt;&gt;""),Input!$B$48&amp;";",""),IF(AND($G75&lt;Hta_29,$G75&gt;=Hba_29,Input!AD$49&lt;&gt;""),Input!$B$49&amp;";",""),IF(AND($G75&lt;Hta_30,$G75&gt;=Hba_30,Input!AD$50&lt;&gt;""),Input!$B$50&amp;";","")),"")</f>
        <v/>
      </c>
      <c r="CF75" s="25" t="str">
        <f>IFERROR(CONCATENATE(IF(AND($G75&lt;Hta_1,$G75&gt;=Hba_1,Input!AE$21&lt;&gt;""),Input!$B$21&amp;";",""),IF(AND($G75&lt;Hta_2,$G75&gt;=Hba_2,Input!AE$22&lt;&gt;""),Input!$B$22&amp;";",""),IF(AND($G75&lt;Hta_3,$G75&gt;=Hba_3,Input!AE$23&lt;&gt;""),Input!$B$23&amp;";",""),IF(AND($G75&lt;Hta_4,$G75&gt;=Hba_4,Input!AE$24&lt;&gt;""),Input!$B$24&amp;";",""),IF(AND($G75&lt;Hta_5,$G75&gt;=Hba_5,Input!AE$25&lt;&gt;""),Input!$B$25&amp;";",""),IF(AND($G75&lt;Hta_6,$G75&gt;=Hba_6,Input!AE$26&lt;&gt;""),Input!$B$26&amp;";",""),IF(AND($G75&lt;Hta_7,$G75&gt;=Hba_7,Input!AE$27&lt;&gt;""),Input!$B$27&amp;";",""),IF(AND($G75&lt;Hta_8,$G75&gt;=Hba_8,Input!AE$28&lt;&gt;""),Input!$B$28&amp;";",""),IF(AND($G75&lt;Hta_9,$G75&gt;=Hba_9,Input!AE$29&lt;&gt;""),Input!$B$29&amp;";",""),IF(AND($G75&lt;Hta_10,$G75&gt;=Hba_10,Input!AE$30&lt;&gt;""),Input!$B$30&amp;";",""),IF(AND($G75&lt;Hta_11,$G75&gt;=Hba_11,Input!AE$31&lt;&gt;""),Input!$B$31&amp;";",""),IF(AND($G75&lt;Hta_12,$G75&gt;=Hba_12,Input!AE$32&lt;&gt;""),Input!$B$32&amp;";",""),IF(AND($G75&lt;Hta_13,$G75&gt;=Hba_13,Input!AE$33&lt;&gt;""),Input!$B$33&amp;";",""),IF(AND($G75&lt;Hta_14,$G75&gt;=Hba_14,Input!AE$34&lt;&gt;""),Input!$B$34&amp;";",""),IF(AND($G75&lt;Hta_15,$G75&gt;=Hba_15,Input!AE$35&lt;&gt;""),Input!$B$35&amp;";",""),IF(AND($G75&lt;Hta_16,$G75&gt;=Hba_16,Input!AE$36&lt;&gt;""),Input!$B$36&amp;";",""),IF(AND($G75&lt;Hta_17,$G75&gt;=Hba_17,Input!AE$37&lt;&gt;""),Input!$B$37&amp;";",""),IF(AND($G75&lt;Hta_18,$G75&gt;=Hba_18,Input!AE$38&lt;&gt;""),Input!$B$38&amp;";",""),IF(AND($G75&lt;Hta_19,$G75&gt;=Hba_19,Input!AE$39&lt;&gt;""),Input!$B$39&amp;";",""),IF(AND($G75&lt;Hta_20,$G75&gt;=Hba_20,Input!AE$40&lt;&gt;""),Input!$B$40&amp;";",""),IF(AND($G75&lt;Hta_21,$G75&gt;=Hba_21,Input!AE$41&lt;&gt;""),Input!$B$41&amp;";",""),IF(AND($G75&lt;Hta_22,$G75&gt;=Hba_22,Input!AE$42&lt;&gt;""),Input!$B$42&amp;";",""),IF(AND($G75&lt;Hta_23,$G75&gt;=Hba_23,Input!AE$43&lt;&gt;""),Input!$B$43&amp;";",""),IF(AND($G75&lt;Hta_24,$G75&gt;=Hba_24,Input!AE$44&lt;&gt;""),Input!$B$44&amp;";",""),IF(AND($G75&lt;Hta_25,$G75&gt;=Hba_25,Input!AE$45&lt;&gt;""),Input!$B$45&amp;";",""),IF(AND($G75&lt;Hta_26,$G75&gt;=Hba_26,Input!AE$46&lt;&gt;""),Input!$B$46&amp;";",""),IF(AND($G75&lt;Hta_27,$G75&gt;=Hba_27,Input!AE$47&lt;&gt;""),Input!$B$47&amp;";",""),IF(AND($G75&lt;Hta_28,$G75&gt;=Hba_28,Input!AE$48&lt;&gt;""),Input!$B$48&amp;";",""),IF(AND($G75&lt;Hta_29,$G75&gt;=Hba_29,Input!AE$49&lt;&gt;""),Input!$B$49&amp;";",""),IF(AND($G75&lt;Hta_30,$G75&gt;=Hba_30,Input!AE$50&lt;&gt;""),Input!$B$50&amp;";","")),"")</f>
        <v/>
      </c>
      <c r="CG75" s="25" t="str">
        <f>IFERROR(CONCATENATE(IF(AND($G75&lt;Hta_1,$G75&gt;=Hba_1,Input!AF$21&lt;&gt;""),Input!$B$21&amp;";",""),IF(AND($G75&lt;Hta_2,$G75&gt;=Hba_2,Input!AF$22&lt;&gt;""),Input!$B$22&amp;";",""),IF(AND($G75&lt;Hta_3,$G75&gt;=Hba_3,Input!AF$23&lt;&gt;""),Input!$B$23&amp;";",""),IF(AND($G75&lt;Hta_4,$G75&gt;=Hba_4,Input!AF$24&lt;&gt;""),Input!$B$24&amp;";",""),IF(AND($G75&lt;Hta_5,$G75&gt;=Hba_5,Input!AF$25&lt;&gt;""),Input!$B$25&amp;";",""),IF(AND($G75&lt;Hta_6,$G75&gt;=Hba_6,Input!AF$26&lt;&gt;""),Input!$B$26&amp;";",""),IF(AND($G75&lt;Hta_7,$G75&gt;=Hba_7,Input!AF$27&lt;&gt;""),Input!$B$27&amp;";",""),IF(AND($G75&lt;Hta_8,$G75&gt;=Hba_8,Input!AF$28&lt;&gt;""),Input!$B$28&amp;";",""),IF(AND($G75&lt;Hta_9,$G75&gt;=Hba_9,Input!AF$29&lt;&gt;""),Input!$B$29&amp;";",""),IF(AND($G75&lt;Hta_10,$G75&gt;=Hba_10,Input!AF$30&lt;&gt;""),Input!$B$30&amp;";",""),IF(AND($G75&lt;Hta_11,$G75&gt;=Hba_11,Input!AF$31&lt;&gt;""),Input!$B$31&amp;";",""),IF(AND($G75&lt;Hta_12,$G75&gt;=Hba_12,Input!AF$32&lt;&gt;""),Input!$B$32&amp;";",""),IF(AND($G75&lt;Hta_13,$G75&gt;=Hba_13,Input!AF$33&lt;&gt;""),Input!$B$33&amp;";",""),IF(AND($G75&lt;Hta_14,$G75&gt;=Hba_14,Input!AF$34&lt;&gt;""),Input!$B$34&amp;";",""),IF(AND($G75&lt;Hta_15,$G75&gt;=Hba_15,Input!AF$35&lt;&gt;""),Input!$B$35&amp;";",""),IF(AND($G75&lt;Hta_16,$G75&gt;=Hba_16,Input!AF$36&lt;&gt;""),Input!$B$36&amp;";",""),IF(AND($G75&lt;Hta_17,$G75&gt;=Hba_17,Input!AF$37&lt;&gt;""),Input!$B$37&amp;";",""),IF(AND($G75&lt;Hta_18,$G75&gt;=Hba_18,Input!AF$38&lt;&gt;""),Input!$B$38&amp;";",""),IF(AND($G75&lt;Hta_19,$G75&gt;=Hba_19,Input!AF$39&lt;&gt;""),Input!$B$39&amp;";",""),IF(AND($G75&lt;Hta_20,$G75&gt;=Hba_20,Input!AF$40&lt;&gt;""),Input!$B$40&amp;";",""),IF(AND($G75&lt;Hta_21,$G75&gt;=Hba_21,Input!AF$41&lt;&gt;""),Input!$B$41&amp;";",""),IF(AND($G75&lt;Hta_22,$G75&gt;=Hba_22,Input!AF$42&lt;&gt;""),Input!$B$42&amp;";",""),IF(AND($G75&lt;Hta_23,$G75&gt;=Hba_23,Input!AF$43&lt;&gt;""),Input!$B$43&amp;";",""),IF(AND($G75&lt;Hta_24,$G75&gt;=Hba_24,Input!AF$44&lt;&gt;""),Input!$B$44&amp;";",""),IF(AND($G75&lt;Hta_25,$G75&gt;=Hba_25,Input!AF$45&lt;&gt;""),Input!$B$45&amp;";",""),IF(AND($G75&lt;Hta_26,$G75&gt;=Hba_26,Input!AF$46&lt;&gt;""),Input!$B$46&amp;";",""),IF(AND($G75&lt;Hta_27,$G75&gt;=Hba_27,Input!AF$47&lt;&gt;""),Input!$B$47&amp;";",""),IF(AND($G75&lt;Hta_28,$G75&gt;=Hba_28,Input!AF$48&lt;&gt;""),Input!$B$48&amp;";",""),IF(AND($G75&lt;Hta_29,$G75&gt;=Hba_29,Input!AF$49&lt;&gt;""),Input!$B$49&amp;";",""),IF(AND($G75&lt;Hta_30,$G75&gt;=Hba_30,Input!AF$50&lt;&gt;""),Input!$B$50&amp;";","")),"")</f>
        <v/>
      </c>
      <c r="CH75" s="25" t="str">
        <f>IFERROR(CONCATENATE(IF(AND($G75&lt;Hta_1,$G75&gt;=Hba_1,Input!AG$21&lt;&gt;""),Input!$B$21&amp;";",""),IF(AND($G75&lt;Hta_2,$G75&gt;=Hba_2,Input!AG$22&lt;&gt;""),Input!$B$22&amp;";",""),IF(AND($G75&lt;Hta_3,$G75&gt;=Hba_3,Input!AG$23&lt;&gt;""),Input!$B$23&amp;";",""),IF(AND($G75&lt;Hta_4,$G75&gt;=Hba_4,Input!AG$24&lt;&gt;""),Input!$B$24&amp;";",""),IF(AND($G75&lt;Hta_5,$G75&gt;=Hba_5,Input!AG$25&lt;&gt;""),Input!$B$25&amp;";",""),IF(AND($G75&lt;Hta_6,$G75&gt;=Hba_6,Input!AG$26&lt;&gt;""),Input!$B$26&amp;";",""),IF(AND($G75&lt;Hta_7,$G75&gt;=Hba_7,Input!AG$27&lt;&gt;""),Input!$B$27&amp;";",""),IF(AND($G75&lt;Hta_8,$G75&gt;=Hba_8,Input!AG$28&lt;&gt;""),Input!$B$28&amp;";",""),IF(AND($G75&lt;Hta_9,$G75&gt;=Hba_9,Input!AG$29&lt;&gt;""),Input!$B$29&amp;";",""),IF(AND($G75&lt;Hta_10,$G75&gt;=Hba_10,Input!AG$30&lt;&gt;""),Input!$B$30&amp;";",""),IF(AND($G75&lt;Hta_11,$G75&gt;=Hba_11,Input!AG$31&lt;&gt;""),Input!$B$31&amp;";",""),IF(AND($G75&lt;Hta_12,$G75&gt;=Hba_12,Input!AG$32&lt;&gt;""),Input!$B$32&amp;";",""),IF(AND($G75&lt;Hta_13,$G75&gt;=Hba_13,Input!AG$33&lt;&gt;""),Input!$B$33&amp;";",""),IF(AND($G75&lt;Hta_14,$G75&gt;=Hba_14,Input!AG$34&lt;&gt;""),Input!$B$34&amp;";",""),IF(AND($G75&lt;Hta_15,$G75&gt;=Hba_15,Input!AG$35&lt;&gt;""),Input!$B$35&amp;";",""),IF(AND($G75&lt;Hta_16,$G75&gt;=Hba_16,Input!AG$36&lt;&gt;""),Input!$B$36&amp;";",""),IF(AND($G75&lt;Hta_17,$G75&gt;=Hba_17,Input!AG$37&lt;&gt;""),Input!$B$37&amp;";",""),IF(AND($G75&lt;Hta_18,$G75&gt;=Hba_18,Input!AG$38&lt;&gt;""),Input!$B$38&amp;";",""),IF(AND($G75&lt;Hta_19,$G75&gt;=Hba_19,Input!AG$39&lt;&gt;""),Input!$B$39&amp;";",""),IF(AND($G75&lt;Hta_20,$G75&gt;=Hba_20,Input!AG$40&lt;&gt;""),Input!$B$40&amp;";",""),IF(AND($G75&lt;Hta_21,$G75&gt;=Hba_21,Input!AG$41&lt;&gt;""),Input!$B$41&amp;";",""),IF(AND($G75&lt;Hta_22,$G75&gt;=Hba_22,Input!AG$42&lt;&gt;""),Input!$B$42&amp;";",""),IF(AND($G75&lt;Hta_23,$G75&gt;=Hba_23,Input!AG$43&lt;&gt;""),Input!$B$43&amp;";",""),IF(AND($G75&lt;Hta_24,$G75&gt;=Hba_24,Input!AG$44&lt;&gt;""),Input!$B$44&amp;";",""),IF(AND($G75&lt;Hta_25,$G75&gt;=Hba_25,Input!AG$45&lt;&gt;""),Input!$B$45&amp;";",""),IF(AND($G75&lt;Hta_26,$G75&gt;=Hba_26,Input!AG$46&lt;&gt;""),Input!$B$46&amp;";",""),IF(AND($G75&lt;Hta_27,$G75&gt;=Hba_27,Input!AG$47&lt;&gt;""),Input!$B$47&amp;";",""),IF(AND($G75&lt;Hta_28,$G75&gt;=Hba_28,Input!AG$48&lt;&gt;""),Input!$B$48&amp;";",""),IF(AND($G75&lt;Hta_29,$G75&gt;=Hba_29,Input!AG$49&lt;&gt;""),Input!$B$49&amp;";",""),IF(AND($G75&lt;Hta_30,$G75&gt;=Hba_30,Input!AG$50&lt;&gt;""),Input!$B$50&amp;";","")),"")</f>
        <v/>
      </c>
      <c r="CI75" s="25" t="str">
        <f>IFERROR(CONCATENATE(IF(AND($G75&lt;Hta_1,$G75&gt;=Hba_1,Input!AH$21&lt;&gt;""),Input!$B$21&amp;";",""),IF(AND($G75&lt;Hta_2,$G75&gt;=Hba_2,Input!AH$22&lt;&gt;""),Input!$B$22&amp;";",""),IF(AND($G75&lt;Hta_3,$G75&gt;=Hba_3,Input!AH$23&lt;&gt;""),Input!$B$23&amp;";",""),IF(AND($G75&lt;Hta_4,$G75&gt;=Hba_4,Input!AH$24&lt;&gt;""),Input!$B$24&amp;";",""),IF(AND($G75&lt;Hta_5,$G75&gt;=Hba_5,Input!AH$25&lt;&gt;""),Input!$B$25&amp;";",""),IF(AND($G75&lt;Hta_6,$G75&gt;=Hba_6,Input!AH$26&lt;&gt;""),Input!$B$26&amp;";",""),IF(AND($G75&lt;Hta_7,$G75&gt;=Hba_7,Input!AH$27&lt;&gt;""),Input!$B$27&amp;";",""),IF(AND($G75&lt;Hta_8,$G75&gt;=Hba_8,Input!AH$28&lt;&gt;""),Input!$B$28&amp;";",""),IF(AND($G75&lt;Hta_9,$G75&gt;=Hba_9,Input!AH$29&lt;&gt;""),Input!$B$29&amp;";",""),IF(AND($G75&lt;Hta_10,$G75&gt;=Hba_10,Input!AH$30&lt;&gt;""),Input!$B$30&amp;";",""),IF(AND($G75&lt;Hta_11,$G75&gt;=Hba_11,Input!AH$31&lt;&gt;""),Input!$B$31&amp;";",""),IF(AND($G75&lt;Hta_12,$G75&gt;=Hba_12,Input!AH$32&lt;&gt;""),Input!$B$32&amp;";",""),IF(AND($G75&lt;Hta_13,$G75&gt;=Hba_13,Input!AH$33&lt;&gt;""),Input!$B$33&amp;";",""),IF(AND($G75&lt;Hta_14,$G75&gt;=Hba_14,Input!AH$34&lt;&gt;""),Input!$B$34&amp;";",""),IF(AND($G75&lt;Hta_15,$G75&gt;=Hba_15,Input!AH$35&lt;&gt;""),Input!$B$35&amp;";",""),IF(AND($G75&lt;Hta_16,$G75&gt;=Hba_16,Input!AH$36&lt;&gt;""),Input!$B$36&amp;";",""),IF(AND($G75&lt;Hta_17,$G75&gt;=Hba_17,Input!AH$37&lt;&gt;""),Input!$B$37&amp;";",""),IF(AND($G75&lt;Hta_18,$G75&gt;=Hba_18,Input!AH$38&lt;&gt;""),Input!$B$38&amp;";",""),IF(AND($G75&lt;Hta_19,$G75&gt;=Hba_19,Input!AH$39&lt;&gt;""),Input!$B$39&amp;";",""),IF(AND($G75&lt;Hta_20,$G75&gt;=Hba_20,Input!AH$40&lt;&gt;""),Input!$B$40&amp;";",""),IF(AND($G75&lt;Hta_21,$G75&gt;=Hba_21,Input!AH$41&lt;&gt;""),Input!$B$41&amp;";",""),IF(AND($G75&lt;Hta_22,$G75&gt;=Hba_22,Input!AH$42&lt;&gt;""),Input!$B$42&amp;";",""),IF(AND($G75&lt;Hta_23,$G75&gt;=Hba_23,Input!AH$43&lt;&gt;""),Input!$B$43&amp;";",""),IF(AND($G75&lt;Hta_24,$G75&gt;=Hba_24,Input!AH$44&lt;&gt;""),Input!$B$44&amp;";",""),IF(AND($G75&lt;Hta_25,$G75&gt;=Hba_25,Input!AH$45&lt;&gt;""),Input!$B$45&amp;";",""),IF(AND($G75&lt;Hta_26,$G75&gt;=Hba_26,Input!AH$46&lt;&gt;""),Input!$B$46&amp;";",""),IF(AND($G75&lt;Hta_27,$G75&gt;=Hba_27,Input!AH$47&lt;&gt;""),Input!$B$47&amp;";",""),IF(AND($G75&lt;Hta_28,$G75&gt;=Hba_28,Input!AH$48&lt;&gt;""),Input!$B$48&amp;";",""),IF(AND($G75&lt;Hta_29,$G75&gt;=Hba_29,Input!AH$49&lt;&gt;""),Input!$B$49&amp;";",""),IF(AND($G75&lt;Hta_30,$G75&gt;=Hba_30,Input!AH$50&lt;&gt;""),Input!$B$50&amp;";","")),"")</f>
        <v/>
      </c>
      <c r="CJ75" s="25" t="str">
        <f>IFERROR(CONCATENATE(IF(AND($G75&lt;Hta_1,$G75&gt;=Hba_1,Input!AI$21&lt;&gt;""),Input!$B$21&amp;";",""),IF(AND($G75&lt;Hta_2,$G75&gt;=Hba_2,Input!AI$22&lt;&gt;""),Input!$B$22&amp;";",""),IF(AND($G75&lt;Hta_3,$G75&gt;=Hba_3,Input!AI$23&lt;&gt;""),Input!$B$23&amp;";",""),IF(AND($G75&lt;Hta_4,$G75&gt;=Hba_4,Input!AI$24&lt;&gt;""),Input!$B$24&amp;";",""),IF(AND($G75&lt;Hta_5,$G75&gt;=Hba_5,Input!AI$25&lt;&gt;""),Input!$B$25&amp;";",""),IF(AND($G75&lt;Hta_6,$G75&gt;=Hba_6,Input!AI$26&lt;&gt;""),Input!$B$26&amp;";",""),IF(AND($G75&lt;Hta_7,$G75&gt;=Hba_7,Input!AI$27&lt;&gt;""),Input!$B$27&amp;";",""),IF(AND($G75&lt;Hta_8,$G75&gt;=Hba_8,Input!AI$28&lt;&gt;""),Input!$B$28&amp;";",""),IF(AND($G75&lt;Hta_9,$G75&gt;=Hba_9,Input!AI$29&lt;&gt;""),Input!$B$29&amp;";",""),IF(AND($G75&lt;Hta_10,$G75&gt;=Hba_10,Input!AI$30&lt;&gt;""),Input!$B$30&amp;";",""),IF(AND($G75&lt;Hta_11,$G75&gt;=Hba_11,Input!AI$31&lt;&gt;""),Input!$B$31&amp;";",""),IF(AND($G75&lt;Hta_12,$G75&gt;=Hba_12,Input!AI$32&lt;&gt;""),Input!$B$32&amp;";",""),IF(AND($G75&lt;Hta_13,$G75&gt;=Hba_13,Input!AI$33&lt;&gt;""),Input!$B$33&amp;";",""),IF(AND($G75&lt;Hta_14,$G75&gt;=Hba_14,Input!AI$34&lt;&gt;""),Input!$B$34&amp;";",""),IF(AND($G75&lt;Hta_15,$G75&gt;=Hba_15,Input!AI$35&lt;&gt;""),Input!$B$35&amp;";",""),IF(AND($G75&lt;Hta_16,$G75&gt;=Hba_16,Input!AI$36&lt;&gt;""),Input!$B$36&amp;";",""),IF(AND($G75&lt;Hta_17,$G75&gt;=Hba_17,Input!AI$37&lt;&gt;""),Input!$B$37&amp;";",""),IF(AND($G75&lt;Hta_18,$G75&gt;=Hba_18,Input!AI$38&lt;&gt;""),Input!$B$38&amp;";",""),IF(AND($G75&lt;Hta_19,$G75&gt;=Hba_19,Input!AI$39&lt;&gt;""),Input!$B$39&amp;";",""),IF(AND($G75&lt;Hta_20,$G75&gt;=Hba_20,Input!AI$40&lt;&gt;""),Input!$B$40&amp;";",""),IF(AND($G75&lt;Hta_21,$G75&gt;=Hba_21,Input!AI$41&lt;&gt;""),Input!$B$41&amp;";",""),IF(AND($G75&lt;Hta_22,$G75&gt;=Hba_22,Input!AI$42&lt;&gt;""),Input!$B$42&amp;";",""),IF(AND($G75&lt;Hta_23,$G75&gt;=Hba_23,Input!AI$43&lt;&gt;""),Input!$B$43&amp;";",""),IF(AND($G75&lt;Hta_24,$G75&gt;=Hba_24,Input!AI$44&lt;&gt;""),Input!$B$44&amp;";",""),IF(AND($G75&lt;Hta_25,$G75&gt;=Hba_25,Input!AI$45&lt;&gt;""),Input!$B$45&amp;";",""),IF(AND($G75&lt;Hta_26,$G75&gt;=Hba_26,Input!AI$46&lt;&gt;""),Input!$B$46&amp;";",""),IF(AND($G75&lt;Hta_27,$G75&gt;=Hba_27,Input!AI$47&lt;&gt;""),Input!$B$47&amp;";",""),IF(AND($G75&lt;Hta_28,$G75&gt;=Hba_28,Input!AI$48&lt;&gt;""),Input!$B$48&amp;";",""),IF(AND($G75&lt;Hta_29,$G75&gt;=Hba_29,Input!AI$49&lt;&gt;""),Input!$B$49&amp;";",""),IF(AND($G75&lt;Hta_30,$G75&gt;=Hba_30,Input!AI$50&lt;&gt;""),Input!$B$50&amp;";","")),"")</f>
        <v/>
      </c>
      <c r="CK75" s="25" t="str">
        <f>IFERROR(CONCATENATE(IF(AND($G75&lt;Hta_1,$G75&gt;=Hba_1,Input!AJ$21&lt;&gt;""),Input!$B$21&amp;";",""),IF(AND($G75&lt;Hta_2,$G75&gt;=Hba_2,Input!AJ$22&lt;&gt;""),Input!$B$22&amp;";",""),IF(AND($G75&lt;Hta_3,$G75&gt;=Hba_3,Input!AJ$23&lt;&gt;""),Input!$B$23&amp;";",""),IF(AND($G75&lt;Hta_4,$G75&gt;=Hba_4,Input!AJ$24&lt;&gt;""),Input!$B$24&amp;";",""),IF(AND($G75&lt;Hta_5,$G75&gt;=Hba_5,Input!AJ$25&lt;&gt;""),Input!$B$25&amp;";",""),IF(AND($G75&lt;Hta_6,$G75&gt;=Hba_6,Input!AJ$26&lt;&gt;""),Input!$B$26&amp;";",""),IF(AND($G75&lt;Hta_7,$G75&gt;=Hba_7,Input!AJ$27&lt;&gt;""),Input!$B$27&amp;";",""),IF(AND($G75&lt;Hta_8,$G75&gt;=Hba_8,Input!AJ$28&lt;&gt;""),Input!$B$28&amp;";",""),IF(AND($G75&lt;Hta_9,$G75&gt;=Hba_9,Input!AJ$29&lt;&gt;""),Input!$B$29&amp;";",""),IF(AND($G75&lt;Hta_10,$G75&gt;=Hba_10,Input!AJ$30&lt;&gt;""),Input!$B$30&amp;";",""),IF(AND($G75&lt;Hta_11,$G75&gt;=Hba_11,Input!AJ$31&lt;&gt;""),Input!$B$31&amp;";",""),IF(AND($G75&lt;Hta_12,$G75&gt;=Hba_12,Input!AJ$32&lt;&gt;""),Input!$B$32&amp;";",""),IF(AND($G75&lt;Hta_13,$G75&gt;=Hba_13,Input!AJ$33&lt;&gt;""),Input!$B$33&amp;";",""),IF(AND($G75&lt;Hta_14,$G75&gt;=Hba_14,Input!AJ$34&lt;&gt;""),Input!$B$34&amp;";",""),IF(AND($G75&lt;Hta_15,$G75&gt;=Hba_15,Input!AJ$35&lt;&gt;""),Input!$B$35&amp;";",""),IF(AND($G75&lt;Hta_16,$G75&gt;=Hba_16,Input!AJ$36&lt;&gt;""),Input!$B$36&amp;";",""),IF(AND($G75&lt;Hta_17,$G75&gt;=Hba_17,Input!AJ$37&lt;&gt;""),Input!$B$37&amp;";",""),IF(AND($G75&lt;Hta_18,$G75&gt;=Hba_18,Input!AJ$38&lt;&gt;""),Input!$B$38&amp;";",""),IF(AND($G75&lt;Hta_19,$G75&gt;=Hba_19,Input!AJ$39&lt;&gt;""),Input!$B$39&amp;";",""),IF(AND($G75&lt;Hta_20,$G75&gt;=Hba_20,Input!AJ$40&lt;&gt;""),Input!$B$40&amp;";",""),IF(AND($G75&lt;Hta_21,$G75&gt;=Hba_21,Input!AJ$41&lt;&gt;""),Input!$B$41&amp;";",""),IF(AND($G75&lt;Hta_22,$G75&gt;=Hba_22,Input!AJ$42&lt;&gt;""),Input!$B$42&amp;";",""),IF(AND($G75&lt;Hta_23,$G75&gt;=Hba_23,Input!AJ$43&lt;&gt;""),Input!$B$43&amp;";",""),IF(AND($G75&lt;Hta_24,$G75&gt;=Hba_24,Input!AJ$44&lt;&gt;""),Input!$B$44&amp;";",""),IF(AND($G75&lt;Hta_25,$G75&gt;=Hba_25,Input!AJ$45&lt;&gt;""),Input!$B$45&amp;";",""),IF(AND($G75&lt;Hta_26,$G75&gt;=Hba_26,Input!AJ$46&lt;&gt;""),Input!$B$46&amp;";",""),IF(AND($G75&lt;Hta_27,$G75&gt;=Hba_27,Input!AJ$47&lt;&gt;""),Input!$B$47&amp;";",""),IF(AND($G75&lt;Hta_28,$G75&gt;=Hba_28,Input!AJ$48&lt;&gt;""),Input!$B$48&amp;";",""),IF(AND($G75&lt;Hta_29,$G75&gt;=Hba_29,Input!AJ$49&lt;&gt;""),Input!$B$49&amp;";",""),IF(AND($G75&lt;Hta_30,$G75&gt;=Hba_30,Input!AJ$50&lt;&gt;""),Input!$B$50&amp;";","")),"")</f>
        <v/>
      </c>
      <c r="CL75" s="25" t="str">
        <f>IFERROR(CONCATENATE(IF(AND($G75&lt;Hta_1,$G75&gt;=Hba_1,Input!AK$21&lt;&gt;""),Input!$B$21&amp;";",""),IF(AND($G75&lt;Hta_2,$G75&gt;=Hba_2,Input!AK$22&lt;&gt;""),Input!$B$22&amp;";",""),IF(AND($G75&lt;Hta_3,$G75&gt;=Hba_3,Input!AK$23&lt;&gt;""),Input!$B$23&amp;";",""),IF(AND($G75&lt;Hta_4,$G75&gt;=Hba_4,Input!AK$24&lt;&gt;""),Input!$B$24&amp;";",""),IF(AND($G75&lt;Hta_5,$G75&gt;=Hba_5,Input!AK$25&lt;&gt;""),Input!$B$25&amp;";",""),IF(AND($G75&lt;Hta_6,$G75&gt;=Hba_6,Input!AK$26&lt;&gt;""),Input!$B$26&amp;";",""),IF(AND($G75&lt;Hta_7,$G75&gt;=Hba_7,Input!AK$27&lt;&gt;""),Input!$B$27&amp;";",""),IF(AND($G75&lt;Hta_8,$G75&gt;=Hba_8,Input!AK$28&lt;&gt;""),Input!$B$28&amp;";",""),IF(AND($G75&lt;Hta_9,$G75&gt;=Hba_9,Input!AK$29&lt;&gt;""),Input!$B$29&amp;";",""),IF(AND($G75&lt;Hta_10,$G75&gt;=Hba_10,Input!AK$30&lt;&gt;""),Input!$B$30&amp;";",""),IF(AND($G75&lt;Hta_11,$G75&gt;=Hba_11,Input!AK$31&lt;&gt;""),Input!$B$31&amp;";",""),IF(AND($G75&lt;Hta_12,$G75&gt;=Hba_12,Input!AK$32&lt;&gt;""),Input!$B$32&amp;";",""),IF(AND($G75&lt;Hta_13,$G75&gt;=Hba_13,Input!AK$33&lt;&gt;""),Input!$B$33&amp;";",""),IF(AND($G75&lt;Hta_14,$G75&gt;=Hba_14,Input!AK$34&lt;&gt;""),Input!$B$34&amp;";",""),IF(AND($G75&lt;Hta_15,$G75&gt;=Hba_15,Input!AK$35&lt;&gt;""),Input!$B$35&amp;";",""),IF(AND($G75&lt;Hta_16,$G75&gt;=Hba_16,Input!AK$36&lt;&gt;""),Input!$B$36&amp;";",""),IF(AND($G75&lt;Hta_17,$G75&gt;=Hba_17,Input!AK$37&lt;&gt;""),Input!$B$37&amp;";",""),IF(AND($G75&lt;Hta_18,$G75&gt;=Hba_18,Input!AK$38&lt;&gt;""),Input!$B$38&amp;";",""),IF(AND($G75&lt;Hta_19,$G75&gt;=Hba_19,Input!AK$39&lt;&gt;""),Input!$B$39&amp;";",""),IF(AND($G75&lt;Hta_20,$G75&gt;=Hba_20,Input!AK$40&lt;&gt;""),Input!$B$40&amp;";",""),IF(AND($G75&lt;Hta_21,$G75&gt;=Hba_21,Input!AK$41&lt;&gt;""),Input!$B$41&amp;";",""),IF(AND($G75&lt;Hta_22,$G75&gt;=Hba_22,Input!AK$42&lt;&gt;""),Input!$B$42&amp;";",""),IF(AND($G75&lt;Hta_23,$G75&gt;=Hba_23,Input!AK$43&lt;&gt;""),Input!$B$43&amp;";",""),IF(AND($G75&lt;Hta_24,$G75&gt;=Hba_24,Input!AK$44&lt;&gt;""),Input!$B$44&amp;";",""),IF(AND($G75&lt;Hta_25,$G75&gt;=Hba_25,Input!AK$45&lt;&gt;""),Input!$B$45&amp;";",""),IF(AND($G75&lt;Hta_26,$G75&gt;=Hba_26,Input!AK$46&lt;&gt;""),Input!$B$46&amp;";",""),IF(AND($G75&lt;Hta_27,$G75&gt;=Hba_27,Input!AK$47&lt;&gt;""),Input!$B$47&amp;";",""),IF(AND($G75&lt;Hta_28,$G75&gt;=Hba_28,Input!AK$48&lt;&gt;""),Input!$B$48&amp;";",""),IF(AND($G75&lt;Hta_29,$G75&gt;=Hba_29,Input!AK$49&lt;&gt;""),Input!$B$49&amp;";",""),IF(AND($G75&lt;Hta_30,$G75&gt;=Hba_30,Input!AK$50&lt;&gt;""),Input!$B$50&amp;";","")),"")</f>
        <v/>
      </c>
      <c r="CM75" s="25" t="str">
        <f>IFERROR(CONCATENATE(IF(AND($G75&lt;Hta_1,$G75&gt;=Hba_1,Input!AL$21&lt;&gt;""),Input!$B$21&amp;";",""),IF(AND($G75&lt;Hta_2,$G75&gt;=Hba_2,Input!AL$22&lt;&gt;""),Input!$B$22&amp;";",""),IF(AND($G75&lt;Hta_3,$G75&gt;=Hba_3,Input!AL$23&lt;&gt;""),Input!$B$23&amp;";",""),IF(AND($G75&lt;Hta_4,$G75&gt;=Hba_4,Input!AL$24&lt;&gt;""),Input!$B$24&amp;";",""),IF(AND($G75&lt;Hta_5,$G75&gt;=Hba_5,Input!AL$25&lt;&gt;""),Input!$B$25&amp;";",""),IF(AND($G75&lt;Hta_6,$G75&gt;=Hba_6,Input!AL$26&lt;&gt;""),Input!$B$26&amp;";",""),IF(AND($G75&lt;Hta_7,$G75&gt;=Hba_7,Input!AL$27&lt;&gt;""),Input!$B$27&amp;";",""),IF(AND($G75&lt;Hta_8,$G75&gt;=Hba_8,Input!AL$28&lt;&gt;""),Input!$B$28&amp;";",""),IF(AND($G75&lt;Hta_9,$G75&gt;=Hba_9,Input!AL$29&lt;&gt;""),Input!$B$29&amp;";",""),IF(AND($G75&lt;Hta_10,$G75&gt;=Hba_10,Input!AL$30&lt;&gt;""),Input!$B$30&amp;";",""),IF(AND($G75&lt;Hta_11,$G75&gt;=Hba_11,Input!AL$31&lt;&gt;""),Input!$B$31&amp;";",""),IF(AND($G75&lt;Hta_12,$G75&gt;=Hba_12,Input!AL$32&lt;&gt;""),Input!$B$32&amp;";",""),IF(AND($G75&lt;Hta_13,$G75&gt;=Hba_13,Input!AL$33&lt;&gt;""),Input!$B$33&amp;";",""),IF(AND($G75&lt;Hta_14,$G75&gt;=Hba_14,Input!AL$34&lt;&gt;""),Input!$B$34&amp;";",""),IF(AND($G75&lt;Hta_15,$G75&gt;=Hba_15,Input!AL$35&lt;&gt;""),Input!$B$35&amp;";",""),IF(AND($G75&lt;Hta_16,$G75&gt;=Hba_16,Input!AL$36&lt;&gt;""),Input!$B$36&amp;";",""),IF(AND($G75&lt;Hta_17,$G75&gt;=Hba_17,Input!AL$37&lt;&gt;""),Input!$B$37&amp;";",""),IF(AND($G75&lt;Hta_18,$G75&gt;=Hba_18,Input!AL$38&lt;&gt;""),Input!$B$38&amp;";",""),IF(AND($G75&lt;Hta_19,$G75&gt;=Hba_19,Input!AL$39&lt;&gt;""),Input!$B$39&amp;";",""),IF(AND($G75&lt;Hta_20,$G75&gt;=Hba_20,Input!AL$40&lt;&gt;""),Input!$B$40&amp;";",""),IF(AND($G75&lt;Hta_21,$G75&gt;=Hba_21,Input!AL$41&lt;&gt;""),Input!$B$41&amp;";",""),IF(AND($G75&lt;Hta_22,$G75&gt;=Hba_22,Input!AL$42&lt;&gt;""),Input!$B$42&amp;";",""),IF(AND($G75&lt;Hta_23,$G75&gt;=Hba_23,Input!AL$43&lt;&gt;""),Input!$B$43&amp;";",""),IF(AND($G75&lt;Hta_24,$G75&gt;=Hba_24,Input!AL$44&lt;&gt;""),Input!$B$44&amp;";",""),IF(AND($G75&lt;Hta_25,$G75&gt;=Hba_25,Input!AL$45&lt;&gt;""),Input!$B$45&amp;";",""),IF(AND($G75&lt;Hta_26,$G75&gt;=Hba_26,Input!AL$46&lt;&gt;""),Input!$B$46&amp;";",""),IF(AND($G75&lt;Hta_27,$G75&gt;=Hba_27,Input!AL$47&lt;&gt;""),Input!$B$47&amp;";",""),IF(AND($G75&lt;Hta_28,$G75&gt;=Hba_28,Input!AL$48&lt;&gt;""),Input!$B$48&amp;";",""),IF(AND($G75&lt;Hta_29,$G75&gt;=Hba_29,Input!AL$49&lt;&gt;""),Input!$B$49&amp;";",""),IF(AND($G75&lt;Hta_30,$G75&gt;=Hba_30,Input!AL$50&lt;&gt;""),Input!$B$50&amp;";","")),"")</f>
        <v/>
      </c>
      <c r="CN75" s="60" t="str">
        <f t="shared" si="16"/>
        <v/>
      </c>
      <c r="CO75" s="798"/>
      <c r="CP75" s="799"/>
      <c r="CQ75" s="800"/>
      <c r="CR75" s="798"/>
      <c r="CS75" s="799"/>
      <c r="CT75" s="800"/>
      <c r="CU75" s="798" t="str">
        <f t="shared" si="17"/>
        <v/>
      </c>
      <c r="CV75" s="799"/>
      <c r="CW75" s="806"/>
      <c r="CX75" s="726"/>
      <c r="CY75" s="727"/>
      <c r="CZ75" s="732"/>
      <c r="DA75" s="726"/>
      <c r="DB75" s="727"/>
      <c r="DC75" s="732"/>
      <c r="DD75" s="726" t="str">
        <f t="shared" si="18"/>
        <v/>
      </c>
      <c r="DE75" s="727"/>
      <c r="DF75" s="728"/>
      <c r="DG75" s="53"/>
      <c r="DH75" s="54"/>
      <c r="DI75" s="54"/>
      <c r="DJ75" s="54"/>
      <c r="DK75" s="54"/>
      <c r="DL75" s="54"/>
      <c r="DM75" s="54"/>
      <c r="DN75" s="54"/>
      <c r="DO75" s="54"/>
      <c r="DP75" s="54"/>
      <c r="DQ75" s="57"/>
      <c r="DR75" s="57"/>
      <c r="DS75" s="57"/>
      <c r="DT75" s="57"/>
      <c r="DU75" s="57"/>
      <c r="DV75" s="57"/>
      <c r="DW75" s="57"/>
      <c r="DX75" s="57"/>
      <c r="DY75" s="57"/>
      <c r="DZ75" s="57"/>
      <c r="EA75" s="57"/>
      <c r="EB75" s="57"/>
      <c r="EC75" s="57"/>
      <c r="ED75" s="57"/>
      <c r="EE75" s="57"/>
      <c r="EF75" s="57"/>
      <c r="EG75" s="57"/>
      <c r="EH75" s="57"/>
      <c r="EI75" s="57"/>
      <c r="EJ75" s="57"/>
      <c r="EK75" s="57"/>
      <c r="EL75" s="133"/>
      <c r="EM75" s="133"/>
      <c r="EN75" s="133"/>
      <c r="EO75" s="133"/>
      <c r="EP75" s="133"/>
      <c r="EQ75" s="133"/>
      <c r="ER75" s="133"/>
      <c r="ES75" s="133"/>
      <c r="ET75" s="133"/>
      <c r="EU75" s="133"/>
      <c r="EV75" s="133"/>
      <c r="EW75" s="133"/>
      <c r="EX75" s="133"/>
      <c r="EY75" s="133"/>
      <c r="EZ75" s="133"/>
      <c r="FA75" s="133"/>
      <c r="FB75" s="133"/>
      <c r="FC75" s="133"/>
      <c r="FD75" s="133"/>
      <c r="FE75" s="133"/>
      <c r="FF75" s="133"/>
      <c r="FG75" s="133"/>
      <c r="FH75" s="133"/>
      <c r="FI75" s="133"/>
      <c r="FJ75" s="133"/>
      <c r="FK75" s="133"/>
      <c r="FL75" s="133"/>
      <c r="FM75" s="133"/>
      <c r="FN75" s="133"/>
      <c r="FO75" s="133"/>
      <c r="FQ75" s="125"/>
      <c r="FR75" s="123"/>
      <c r="FS75" s="121"/>
      <c r="FT75" s="119"/>
    </row>
    <row r="76" spans="2:176" ht="15.75" hidden="1" thickBot="1" x14ac:dyDescent="0.3">
      <c r="B76" s="62" t="b">
        <f>IF(OR(AND(G76&gt;='Geometry 2'!$AK$5,G76&lt;'Geometry 2'!$AL$5),AND(G76&gt;='Geometry 2'!$AK$6,G76&lt;'Geometry 2'!$AL$6),AND(G76&gt;='Geometry 2'!$AK$7,G76&lt;'Geometry 2'!$AL$7),AND(G76&gt;='Geometry 2'!$AK$8,G76&lt;'Geometry 2'!$AL$8),AND(G76&gt;='Geometry 2'!$AK$9,G76&lt;'Geometry 2'!$AL$9),AND(G76&gt;='Geometry 2'!$AK$10,G76&lt;'Geometry 2'!$AL$10),AND(G76&gt;='Geometry 2'!$AK$11,G76&lt;'Geometry 2'!$AL$11),AND(G76&gt;='Geometry 2'!$AK$12,G76&lt;'Geometry 2'!$AL$12),AND(G76&gt;='Geometry 2'!$AK$13,G76&lt;'Geometry 2'!$AL$13),AND(G76&gt;='Geometry 2'!$AK$14,G76&lt;'Geometry 2'!$AL$14)),TRUE,FALSE)</f>
        <v>0</v>
      </c>
      <c r="C76" s="4" t="str">
        <f t="shared" si="13"/>
        <v/>
      </c>
      <c r="D76" s="766" t="str">
        <f t="shared" si="14"/>
        <v/>
      </c>
      <c r="E76" s="767"/>
      <c r="F76" s="17" t="str">
        <f t="shared" si="12"/>
        <v/>
      </c>
      <c r="G76" s="768" t="str">
        <f>IF(D76="","",MAX(0,G75-IF(inc="n/a",999,inc),MAX(IF(G75&lt;=Hta_1,0,Hta_1),IF(G75&lt;=Hta_2,0,Hta_2),IF(G75&lt;=Hta_3,0,Hta_3),IF(G75&lt;=Hta_4,0,Hta_4),IF(G75&lt;=Hta_5,0,Hta_5),IF(G75&lt;=Hta_6,0,Hta_6),IF(G75&lt;=Hta_7,0,Hta_7),IF(G75&lt;=Hta_8,0,Hta_8),IF(G75&lt;=Hta_9,0,Hta_9),IF(G75&lt;=Hta_10,0,Hta_10),IF(G75&lt;=Hta_11,0,Hta_11),IF(G75&lt;=Hta_12,0,Hta_12),IF(G75&lt;=Hta_13,0,Hta_13),IF(G75&lt;=Hta_14,0,Hta_14),IF(G75&lt;=Hta_15,0,Hta_15),IF(G75&lt;=Hta_16,0,Hta_16),IF(G75&lt;=Hta_17,0,Hta_17),IF(G75&lt;=Hta_18,0,Hta_18),IF(G75&lt;=Hta_19,0,Hta_19),IF(G75&lt;=Hta_20,0,Hta_20),IF(G75&lt;=Hta_21,0,Hta_21),IF(G75&lt;=Hta_22,0,Hta_22),IF(G75&lt;=Hta_23,0,Hta_23),IF(G75&lt;=Hta_24,0,Hta_24),IF(G75&lt;=Hta_25,0,Hta_25),IF(G75&lt;=Hta_26,0,Hta_26),IF(G75&lt;=Hta_27,0,Hta_27),IF(G75&lt;=Hta_28,0,Hta_28),IF(G75&lt;=Hta_29,0,Hta_29),IF(G75&lt;=Hta_30,0,Hta_30)),MAX(IF(G75&lt;=Hta_1-0.25,0,Hta_1-0.25),IF(G75&lt;=Hta_2-0.25,0,Hta_2-0.25),IF(G75&lt;=Hta_3-0.25,0,Hta_3-0.25),IF(G75&lt;=Hta_4-0.25,0,Hta_4-0.25),IF(G75&lt;=Hta_5-0.25,0,Hta_5-0.25),IF(G75&lt;=Hta_6-0.25,0,Hta_6-0.25),IF(G75&lt;=Hta_7-0.25,0,Hta_7-0.25),IF(G75&lt;=Hta_8-0.25,0,Hta_8-0.25),IF(G75&lt;=Hta_9-0.25,0,Hta_9-0.25),IF(G75&lt;=Hta_10-0.25,0,Hta_10-0.25),IF(G75&lt;=Hta_11-0.25,0,Hta_11-0.25),IF(G75&lt;=Hta_12-0.25,0,Hta_12-0.25),IF(G75&lt;=Hta_13-0.25,0,Hta_13-0.25),IF(G75&lt;=Hta_14-0.25,0,Hta_14-0.25),IF(G75&lt;=Hta_15-0.25,0,Hta_15-0.25),IF(G75&lt;=Hta_16-0.25,0,Hta_16-0.25),IF(G75&lt;=Hta_17-0.25,0,Hta_17-0.25),IF(G75&lt;=Hta_18-0.25,0,Hta_18-0.25),IF(G75&lt;=Hta_19-0.25,0,Hta_19-0.25),IF(G75&lt;=Hta_20-0.25,0,Hta_20-0.25),IF(G75&lt;=Hta_21-0.25,0,Hta_21-0.25),IF(G75&lt;=Hta_22-0.25,0,Hta_22-0.25),IF(G75&lt;=Hta_23-0.25,0,Hta_23-0.25),IF(G75&lt;=Hta_24-0.25,0,Hta_24-0.25),IF(G75&lt;=Hta_25-0.25,0,Hta_25-0.25),IF(G75&lt;=Hta_26-0.25,0,Hta_26-0.25),IF(G75&lt;=Hta_27-0.25,0,Hta_27-0.25),IF(G75&lt;=Hta_28-0.25,0,Hta_28-0.25),IF(G75&lt;=Hta_29-0.25,0,Hta_29-0.25),IF(G75&lt;=Hta_30-0.25,0,Hta_30-0.25)),MAX(IF(G75&lt;=Hba_1,0,Hba_1),IF(G75&lt;=Hba_2,0,Hba_2),IF(G75&lt;=Hba_3,0,Hba_3),IF(G75&lt;=Hba_4,0,Hba_4),IF(G75&lt;=Hba_5,0,Hba_5),IF(G75&lt;=Hba_6,0,Hba_6),IF(G75&lt;=Hba_7,0,Hba_7),IF(G75&lt;=Hba_8,0,Hba_8),IF(G75&lt;=Hba_9,0,Hba_9),IF(G75&lt;=Hba_10,0,Hba_10),IF(G75&lt;=Hba_11,0,Hba_11),IF(G75&lt;=Hba_12,0,Hba_12),IF(G75&lt;=Hba_13,0,Hba_13),IF(G75&lt;=Hba_14,0,Hba_14),IF(G75&lt;=Hba_15,0,Hba_15),IF(G75&lt;=Hba_16,0,Hba_16),IF(G75&lt;=Hba_17,0,Hba_17),IF(G75&lt;=Hba_18,0,Hba_18),IF(G75&lt;=Hba_19,0,Hba_19),IF(G75&lt;=Hba_20,0,Hba_20),IF(G75&lt;=Hba_21,0,Hba_21),IF(G75&lt;=Hba_22,0,Hba_22),IF(G75&lt;=Hba_23,0,Hba_23),IF(G75&lt;=Hba_24,0,Hba_24),IF(G75&lt;=Hba_25,0,Hba_25),IF(G75&lt;=Hba_26,0,Hba_26),IF(G75&lt;=Hba_27,0,Hba_27),IF(G75&lt;=Hba_28,0,Hba_28),IF(G75&lt;=Hba_29,0,Hba_29),IF(G75&lt;=Hba_30,0,Hba_30)),MAX(IF(G75&lt;=Input!$C$8,0,Input!$C$8),IF(G75&lt;=Input!$C$9,0,Input!$C$9),IF(G75&lt;=Input!$C$10,0,Input!$C$10),IF(G75&lt;=Input!$C$11,0,Input!$C$11),IF(G75&lt;=Input!$C$12,0,Input!$C$12),IF(G75&lt;=Input!$C$13,0,Input!$C$13),IF(G75&lt;=Input!$C$14,0,Input!$C$14),IF(G75&lt;=Input!$C$15,0,Input!$C$15),IF(G75&lt;=Input!$C$16,0,Input!$C$16)),MAX(IF(G75&lt;=Hba_1-0.25,0,Hba_1-0.25),IF(G75&lt;=Hba_2-0.25,0,Hba_2-0.25),IF(G75&lt;=Hba_3-0.25,0,Hba_3-0.25),IF(G75&lt;=Hba_4-0.25,0,Hba_4-0.25),IF(G75&lt;=Hba_5-0.25,0,Hba_5-0.25),IF(G75&lt;=Hba_6-0.25,0,Hba_6-0.25),IF(G75&lt;=Hba_7-0.25,0,Hba_7-0.25),IF(G75&lt;=Hba_8-0.25,0,Hba_8-0.25),IF(G75&lt;=Hba_9-0.25,0,Hba_9-0.25),IF(G75&lt;=Hba_10-0.25,0,Hba_10-0.25),IF(G75&lt;=Hba_11-0.25,0,Hba_11-0.25),IF(G75&lt;=Hba_12-0.25,0,Hba_12-0.25),IF(G75&lt;=Hba_13-0.25,0,Hba_13-0.25),IF(G75&lt;=Hba_14-0.25,0,Hba_14-0.25),IF(G75&lt;=Hba_15-0.25,0,Hba_15-0.25),IF(G75&lt;=Hba_16-0.25,0,Hba_16-0.25),IF(G75&lt;=Hba_17-0.25,0,Hba_17-0.25),IF(G75&lt;=Hba_18-0.25,0,Hba_18-0.25),IF(G75&lt;=Hba_19-0.25,0,Hba_19-0.25),IF(G75&lt;=Hba_20-0.25,0,Hba_20-0.25),IF(G75&lt;=Hba_21-0.25,0,Hba_21-0.25),IF(G75&lt;=Hba_22-0.25,0,Hba_22-0.25),IF(G75&lt;=Hba_23-0.25,0,Hba_23-0.25),IF(G75&lt;=Hba_24-0.25,0,Hba_24-0.25),IF(G75&lt;=Hba_25-0.25,0,Hba_25-0.25),IF(G75&lt;=Hba_26-0.25,0,Hba_26-0.25),IF(G75&lt;=Hba_27-0.25,0,Hba_27-0.25),IF(G75&lt;=Hba_28-0.25,0,Hba_28-0.25),IF(G75&lt;=Hba_29-0.25,0,Hba_29-0.25),IF(G75&lt;=Hba_30-0.25,0,Hba_30-0.25)),IF(G75&lt;='Macro References'!$A$38,0,'Macro References'!$A$38)))</f>
        <v/>
      </c>
      <c r="H76" s="769"/>
      <c r="I76" s="228"/>
      <c r="J76" s="228"/>
      <c r="K76" s="228"/>
      <c r="L76" s="717" t="str">
        <f t="shared" si="11"/>
        <v/>
      </c>
      <c r="M76" s="717"/>
      <c r="N76" s="717"/>
      <c r="O76" s="717"/>
      <c r="P76" s="717" t="str">
        <f>IF(OR(G76=0,G76=""),"",IF(VLOOKUP(G76,'Geometry 2'!$C$4:$AI$14,1,TRUE)=VLOOKUP(G77,'Geometry 2'!$C$4:$AI$14,1,TRUE),"",IF(VLOOKUP(G76,'Geometry 2'!$C$4:$AI$14,33,TRUE)&lt;&gt;"n/a",MIN(G76,VLOOKUP(G76,'Geometry 2'!$C$4:$AI$14,1,TRUE))-VLOOKUP(G76,'Geometry 2'!$C$4:$AI$14,33,TRUE),"check")))</f>
        <v/>
      </c>
      <c r="Q76" s="717"/>
      <c r="R76" s="717"/>
      <c r="S76" s="717"/>
      <c r="T76" s="717" t="str">
        <f>IF($G76="","",VLOOKUP($G76,'Geometry 2'!$E$4:$AH$14,11,TRUE))</f>
        <v/>
      </c>
      <c r="U76" s="717"/>
      <c r="V76" s="717"/>
      <c r="W76" s="717"/>
      <c r="X76" s="716" t="str">
        <f>IF($G76="","",VLOOKUP($G76,'Geometry 2'!$E$4:$AJ$14,19,TRUE)-12*VLOOKUP($G76,'Geometry 2'!$E$4:$AJ$14,32,TRUE)*($D76-VLOOKUP($G76,'Geometry 2'!$E$5:$AH$14,1,TRUE)))</f>
        <v/>
      </c>
      <c r="Y76" s="716"/>
      <c r="Z76" s="716"/>
      <c r="AA76" s="716"/>
      <c r="AB76" s="757" t="str">
        <f>IF($G76="","",VLOOKUP($G76,'Geometry 2'!$E$4:$AJ$14,19,TRUE)-12*VLOOKUP($G76,'Geometry 2'!$E$4:$AJ$14,32,TRUE)*($G76-VLOOKUP($G76,'Geometry 2'!$E$5:$AH$14,1,TRUE)))</f>
        <v/>
      </c>
      <c r="AC76" s="758"/>
      <c r="AD76" s="758"/>
      <c r="AE76" s="759"/>
      <c r="AF76" s="716" t="str">
        <f>IF($G76="","",VLOOKUP($G76,'Geometry 2'!$E$4:$AJ$14,19,TRUE)-12*VLOOKUP($G76,'Geometry 2'!$E$4:$AJ$14,32,TRUE)*($G76-IF($P76="",0,$P76)-VLOOKUP($G76,'Geometry 2'!$E$5:$AH$14,1,TRUE)))</f>
        <v/>
      </c>
      <c r="AG76" s="716"/>
      <c r="AH76" s="716"/>
      <c r="AI76" s="716"/>
      <c r="AJ76" s="746" t="str">
        <f>IF($G76="","",VLOOKUP($G76,'Geometry 2'!$E$4:$AH$14,23,TRUE))</f>
        <v/>
      </c>
      <c r="AK76" s="747"/>
      <c r="AL76" s="747"/>
      <c r="AM76" s="748"/>
      <c r="AN76" s="717"/>
      <c r="AO76" s="717"/>
      <c r="AP76" s="717"/>
      <c r="AQ76" s="717"/>
      <c r="AR76" s="717" t="str">
        <f>IF($G76="","",VLOOKUP($G76,'Geometry 2'!$E$4:$AH$14,27,TRUE))</f>
        <v/>
      </c>
      <c r="AS76" s="717"/>
      <c r="AT76" s="717"/>
      <c r="AU76" s="718"/>
      <c r="AV76" s="715"/>
      <c r="AW76" s="716"/>
      <c r="AX76" s="716"/>
      <c r="AZ76" s="722" t="str">
        <f t="shared" si="15"/>
        <v/>
      </c>
      <c r="BA76" s="723"/>
      <c r="BB76" s="723"/>
      <c r="BC76" s="724"/>
      <c r="BD76" s="722"/>
      <c r="BE76" s="723"/>
      <c r="BF76" s="723"/>
      <c r="BG76" s="722" t="str">
        <f t="shared" si="9"/>
        <v/>
      </c>
      <c r="BH76" s="723"/>
      <c r="BI76" s="723"/>
      <c r="BJ76" s="723"/>
      <c r="BK76" s="724"/>
      <c r="BL76" s="722"/>
      <c r="BM76" s="723"/>
      <c r="BN76" s="723"/>
      <c r="BO76" s="723"/>
      <c r="BP76" s="725"/>
      <c r="BQ76" s="725"/>
      <c r="BR76" s="722" t="str">
        <f>IF(BP76="","",IF(OR(AND(Rev="H",Calculations!$F$27=TRUE),AND(Rev&lt;&gt;"H",Calculations!$F$30=TRUE)),IF(BP76&lt;=1,"Pass","Fail"),IF(BP76&lt;=1.05,"Pass","Fail")))</f>
        <v/>
      </c>
      <c r="BS76" s="723"/>
      <c r="BT76" s="724"/>
      <c r="BU76" s="49"/>
      <c r="BV76" s="25" t="str">
        <f>IFERROR(CONCATENATE(IF(AND($G76&lt;Hta_1,$G76&gt;=Hba_1,Input!U$21&lt;&gt;""),Input!$B$21&amp;";",""),IF(AND($G76&lt;Hta_2,$G76&gt;=Hba_2,Input!U$22&lt;&gt;""),Input!$B$22&amp;";",""),IF(AND($G76&lt;Hta_3,$G76&gt;=Hba_3,Input!U$23&lt;&gt;""),Input!$B$23&amp;";",""),IF(AND($G76&lt;Hta_4,$G76&gt;=Hba_4,Input!U$24&lt;&gt;""),Input!$B$24&amp;";",""),IF(AND($G76&lt;Hta_5,$G76&gt;=Hba_5,Input!U$25&lt;&gt;""),Input!$B$25&amp;";",""),IF(AND($G76&lt;Hta_6,$G76&gt;=Hba_6,Input!U$26&lt;&gt;""),Input!$B$26&amp;";",""),IF(AND($G76&lt;Hta_7,$G76&gt;=Hba_7,Input!U$27&lt;&gt;""),Input!$B$27&amp;";",""),IF(AND($G76&lt;Hta_8,$G76&gt;=Hba_8,Input!U$28&lt;&gt;""),Input!$B$28&amp;";",""),IF(AND($G76&lt;Hta_9,$G76&gt;=Hba_9,Input!U$29&lt;&gt;""),Input!$B$29&amp;";",""),IF(AND($G76&lt;Hta_10,$G76&gt;=Hba_10,Input!U$30&lt;&gt;""),Input!$B$30&amp;";",""),IF(AND($G76&lt;Hta_11,$G76&gt;=Hba_11,Input!U$31&lt;&gt;""),Input!$B$31&amp;";",""),IF(AND($G76&lt;Hta_12,$G76&gt;=Hba_12,Input!U$32&lt;&gt;""),Input!$B$32&amp;";",""),IF(AND($G76&lt;Hta_13,$G76&gt;=Hba_13,Input!U$33&lt;&gt;""),Input!$B$33&amp;";",""),IF(AND($G76&lt;Hta_14,$G76&gt;=Hba_14,Input!U$34&lt;&gt;""),Input!$B$34&amp;";",""),IF(AND($G76&lt;Hta_15,$G76&gt;=Hba_15,Input!U$35&lt;&gt;""),Input!$B$35&amp;";",""),IF(AND($G76&lt;Hta_16,$G76&gt;=Hba_16,Input!U$36&lt;&gt;""),Input!$B$36&amp;";",""),IF(AND($G76&lt;Hta_17,$G76&gt;=Hba_17,Input!U$37&lt;&gt;""),Input!$B$37&amp;";",""),IF(AND($G76&lt;Hta_18,$G76&gt;=Hba_18,Input!U$38&lt;&gt;""),Input!$B$38&amp;";",""),IF(AND($G76&lt;Hta_19,$G76&gt;=Hba_19,Input!U$39&lt;&gt;""),Input!$B$39&amp;";",""),IF(AND($G76&lt;Hta_20,$G76&gt;=Hba_20,Input!U$40&lt;&gt;""),Input!$B$40&amp;";",""),IF(AND($G76&lt;Hta_21,$G76&gt;=Hba_21,Input!U$41&lt;&gt;""),Input!$B$41&amp;";",""),IF(AND($G76&lt;Hta_22,$G76&gt;=Hba_22,Input!U$42&lt;&gt;""),Input!$B$42&amp;";",""),IF(AND($G76&lt;Hta_23,$G76&gt;=Hba_23,Input!U$43&lt;&gt;""),Input!$B$43&amp;";",""),IF(AND($G76&lt;Hta_24,$G76&gt;=Hba_24,Input!U$44&lt;&gt;""),Input!$B$44&amp;";",""),IF(AND($G76&lt;Hta_25,$G76&gt;=Hba_25,Input!U$45&lt;&gt;""),Input!$B$45&amp;";",""),IF(AND($G76&lt;Hta_26,$G76&gt;=Hba_26,Input!U$46&lt;&gt;""),Input!$B$46&amp;";",""),IF(AND($G76&lt;Hta_27,$G76&gt;=Hba_27,Input!U$47&lt;&gt;""),Input!$B$47&amp;";",""),IF(AND($G76&lt;Hta_28,$G76&gt;=Hba_28,Input!U$48&lt;&gt;""),Input!$B$48&amp;";",""),IF(AND($G76&lt;Hta_29,$G76&gt;=Hba_29,Input!U$49&lt;&gt;""),Input!$B$49&amp;";",""),IF(AND($G76&lt;Hta_30,$G76&gt;=Hba_30,Input!U$50&lt;&gt;""),Input!$B$50&amp;";","")),"")</f>
        <v/>
      </c>
      <c r="BW76" s="25" t="str">
        <f>IFERROR(CONCATENATE(IF(AND($G76&lt;Hta_1,$G76&gt;=Hba_1,Input!V$21&lt;&gt;""),Input!$B$21&amp;";",""),IF(AND($G76&lt;Hta_2,$G76&gt;=Hba_2,Input!V$22&lt;&gt;""),Input!$B$22&amp;";",""),IF(AND($G76&lt;Hta_3,$G76&gt;=Hba_3,Input!V$23&lt;&gt;""),Input!$B$23&amp;";",""),IF(AND($G76&lt;Hta_4,$G76&gt;=Hba_4,Input!V$24&lt;&gt;""),Input!$B$24&amp;";",""),IF(AND($G76&lt;Hta_5,$G76&gt;=Hba_5,Input!V$25&lt;&gt;""),Input!$B$25&amp;";",""),IF(AND($G76&lt;Hta_6,$G76&gt;=Hba_6,Input!V$26&lt;&gt;""),Input!$B$26&amp;";",""),IF(AND($G76&lt;Hta_7,$G76&gt;=Hba_7,Input!V$27&lt;&gt;""),Input!$B$27&amp;";",""),IF(AND($G76&lt;Hta_8,$G76&gt;=Hba_8,Input!V$28&lt;&gt;""),Input!$B$28&amp;";",""),IF(AND($G76&lt;Hta_9,$G76&gt;=Hba_9,Input!V$29&lt;&gt;""),Input!$B$29&amp;";",""),IF(AND($G76&lt;Hta_10,$G76&gt;=Hba_10,Input!V$30&lt;&gt;""),Input!$B$30&amp;";",""),IF(AND($G76&lt;Hta_11,$G76&gt;=Hba_11,Input!V$31&lt;&gt;""),Input!$B$31&amp;";",""),IF(AND($G76&lt;Hta_12,$G76&gt;=Hba_12,Input!V$32&lt;&gt;""),Input!$B$32&amp;";",""),IF(AND($G76&lt;Hta_13,$G76&gt;=Hba_13,Input!V$33&lt;&gt;""),Input!$B$33&amp;";",""),IF(AND($G76&lt;Hta_14,$G76&gt;=Hba_14,Input!V$34&lt;&gt;""),Input!$B$34&amp;";",""),IF(AND($G76&lt;Hta_15,$G76&gt;=Hba_15,Input!V$35&lt;&gt;""),Input!$B$35&amp;";",""),IF(AND($G76&lt;Hta_16,$G76&gt;=Hba_16,Input!V$36&lt;&gt;""),Input!$B$36&amp;";",""),IF(AND($G76&lt;Hta_17,$G76&gt;=Hba_17,Input!V$37&lt;&gt;""),Input!$B$37&amp;";",""),IF(AND($G76&lt;Hta_18,$G76&gt;=Hba_18,Input!V$38&lt;&gt;""),Input!$B$38&amp;";",""),IF(AND($G76&lt;Hta_19,$G76&gt;=Hba_19,Input!V$39&lt;&gt;""),Input!$B$39&amp;";",""),IF(AND($G76&lt;Hta_20,$G76&gt;=Hba_20,Input!V$40&lt;&gt;""),Input!$B$40&amp;";",""),IF(AND($G76&lt;Hta_21,$G76&gt;=Hba_21,Input!V$41&lt;&gt;""),Input!$B$41&amp;";",""),IF(AND($G76&lt;Hta_22,$G76&gt;=Hba_22,Input!V$42&lt;&gt;""),Input!$B$42&amp;";",""),IF(AND($G76&lt;Hta_23,$G76&gt;=Hba_23,Input!V$43&lt;&gt;""),Input!$B$43&amp;";",""),IF(AND($G76&lt;Hta_24,$G76&gt;=Hba_24,Input!V$44&lt;&gt;""),Input!$B$44&amp;";",""),IF(AND($G76&lt;Hta_25,$G76&gt;=Hba_25,Input!V$45&lt;&gt;""),Input!$B$45&amp;";",""),IF(AND($G76&lt;Hta_26,$G76&gt;=Hba_26,Input!V$46&lt;&gt;""),Input!$B$46&amp;";",""),IF(AND($G76&lt;Hta_27,$G76&gt;=Hba_27,Input!V$47&lt;&gt;""),Input!$B$47&amp;";",""),IF(AND($G76&lt;Hta_28,$G76&gt;=Hba_28,Input!V$48&lt;&gt;""),Input!$B$48&amp;";",""),IF(AND($G76&lt;Hta_29,$G76&gt;=Hba_29,Input!V$49&lt;&gt;""),Input!$B$49&amp;";",""),IF(AND($G76&lt;Hta_30,$G76&gt;=Hba_30,Input!V$50&lt;&gt;""),Input!$B$50&amp;";","")),"")</f>
        <v/>
      </c>
      <c r="BX76" s="25" t="str">
        <f>IFERROR(CONCATENATE(IF(AND($G76&lt;Hta_1,$G76&gt;=Hba_1,Input!W$21&lt;&gt;""),Input!$B$21&amp;";",""),IF(AND($G76&lt;Hta_2,$G76&gt;=Hba_2,Input!W$22&lt;&gt;""),Input!$B$22&amp;";",""),IF(AND($G76&lt;Hta_3,$G76&gt;=Hba_3,Input!W$23&lt;&gt;""),Input!$B$23&amp;";",""),IF(AND($G76&lt;Hta_4,$G76&gt;=Hba_4,Input!W$24&lt;&gt;""),Input!$B$24&amp;";",""),IF(AND($G76&lt;Hta_5,$G76&gt;=Hba_5,Input!W$25&lt;&gt;""),Input!$B$25&amp;";",""),IF(AND($G76&lt;Hta_6,$G76&gt;=Hba_6,Input!W$26&lt;&gt;""),Input!$B$26&amp;";",""),IF(AND($G76&lt;Hta_7,$G76&gt;=Hba_7,Input!W$27&lt;&gt;""),Input!$B$27&amp;";",""),IF(AND($G76&lt;Hta_8,$G76&gt;=Hba_8,Input!W$28&lt;&gt;""),Input!$B$28&amp;";",""),IF(AND($G76&lt;Hta_9,$G76&gt;=Hba_9,Input!W$29&lt;&gt;""),Input!$B$29&amp;";",""),IF(AND($G76&lt;Hta_10,$G76&gt;=Hba_10,Input!W$30&lt;&gt;""),Input!$B$30&amp;";",""),IF(AND($G76&lt;Hta_11,$G76&gt;=Hba_11,Input!W$31&lt;&gt;""),Input!$B$31&amp;";",""),IF(AND($G76&lt;Hta_12,$G76&gt;=Hba_12,Input!W$32&lt;&gt;""),Input!$B$32&amp;";",""),IF(AND($G76&lt;Hta_13,$G76&gt;=Hba_13,Input!W$33&lt;&gt;""),Input!$B$33&amp;";",""),IF(AND($G76&lt;Hta_14,$G76&gt;=Hba_14,Input!W$34&lt;&gt;""),Input!$B$34&amp;";",""),IF(AND($G76&lt;Hta_15,$G76&gt;=Hba_15,Input!W$35&lt;&gt;""),Input!$B$35&amp;";",""),IF(AND($G76&lt;Hta_16,$G76&gt;=Hba_16,Input!W$36&lt;&gt;""),Input!$B$36&amp;";",""),IF(AND($G76&lt;Hta_17,$G76&gt;=Hba_17,Input!W$37&lt;&gt;""),Input!$B$37&amp;";",""),IF(AND($G76&lt;Hta_18,$G76&gt;=Hba_18,Input!W$38&lt;&gt;""),Input!$B$38&amp;";",""),IF(AND($G76&lt;Hta_19,$G76&gt;=Hba_19,Input!W$39&lt;&gt;""),Input!$B$39&amp;";",""),IF(AND($G76&lt;Hta_20,$G76&gt;=Hba_20,Input!W$40&lt;&gt;""),Input!$B$40&amp;";",""),IF(AND($G76&lt;Hta_21,$G76&gt;=Hba_21,Input!W$41&lt;&gt;""),Input!$B$41&amp;";",""),IF(AND($G76&lt;Hta_22,$G76&gt;=Hba_22,Input!W$42&lt;&gt;""),Input!$B$42&amp;";",""),IF(AND($G76&lt;Hta_23,$G76&gt;=Hba_23,Input!W$43&lt;&gt;""),Input!$B$43&amp;";",""),IF(AND($G76&lt;Hta_24,$G76&gt;=Hba_24,Input!W$44&lt;&gt;""),Input!$B$44&amp;";",""),IF(AND($G76&lt;Hta_25,$G76&gt;=Hba_25,Input!W$45&lt;&gt;""),Input!$B$45&amp;";",""),IF(AND($G76&lt;Hta_26,$G76&gt;=Hba_26,Input!W$46&lt;&gt;""),Input!$B$46&amp;";",""),IF(AND($G76&lt;Hta_27,$G76&gt;=Hba_27,Input!W$47&lt;&gt;""),Input!$B$47&amp;";",""),IF(AND($G76&lt;Hta_28,$G76&gt;=Hba_28,Input!W$48&lt;&gt;""),Input!$B$48&amp;";",""),IF(AND($G76&lt;Hta_29,$G76&gt;=Hba_29,Input!W$49&lt;&gt;""),Input!$B$49&amp;";",""),IF(AND($G76&lt;Hta_30,$G76&gt;=Hba_30,Input!W$50&lt;&gt;""),Input!$B$50&amp;";","")),"")</f>
        <v/>
      </c>
      <c r="BY76" s="25" t="str">
        <f>IFERROR(CONCATENATE(IF(AND($G76&lt;Hta_1,$G76&gt;=Hba_1,Input!X$21&lt;&gt;""),Input!$B$21&amp;";",""),IF(AND($G76&lt;Hta_2,$G76&gt;=Hba_2,Input!X$22&lt;&gt;""),Input!$B$22&amp;";",""),IF(AND($G76&lt;Hta_3,$G76&gt;=Hba_3,Input!X$23&lt;&gt;""),Input!$B$23&amp;";",""),IF(AND($G76&lt;Hta_4,$G76&gt;=Hba_4,Input!X$24&lt;&gt;""),Input!$B$24&amp;";",""),IF(AND($G76&lt;Hta_5,$G76&gt;=Hba_5,Input!X$25&lt;&gt;""),Input!$B$25&amp;";",""),IF(AND($G76&lt;Hta_6,$G76&gt;=Hba_6,Input!X$26&lt;&gt;""),Input!$B$26&amp;";",""),IF(AND($G76&lt;Hta_7,$G76&gt;=Hba_7,Input!X$27&lt;&gt;""),Input!$B$27&amp;";",""),IF(AND($G76&lt;Hta_8,$G76&gt;=Hba_8,Input!X$28&lt;&gt;""),Input!$B$28&amp;";",""),IF(AND($G76&lt;Hta_9,$G76&gt;=Hba_9,Input!X$29&lt;&gt;""),Input!$B$29&amp;";",""),IF(AND($G76&lt;Hta_10,$G76&gt;=Hba_10,Input!X$30&lt;&gt;""),Input!$B$30&amp;";",""),IF(AND($G76&lt;Hta_11,$G76&gt;=Hba_11,Input!X$31&lt;&gt;""),Input!$B$31&amp;";",""),IF(AND($G76&lt;Hta_12,$G76&gt;=Hba_12,Input!X$32&lt;&gt;""),Input!$B$32&amp;";",""),IF(AND($G76&lt;Hta_13,$G76&gt;=Hba_13,Input!X$33&lt;&gt;""),Input!$B$33&amp;";",""),IF(AND($G76&lt;Hta_14,$G76&gt;=Hba_14,Input!X$34&lt;&gt;""),Input!$B$34&amp;";",""),IF(AND($G76&lt;Hta_15,$G76&gt;=Hba_15,Input!X$35&lt;&gt;""),Input!$B$35&amp;";",""),IF(AND($G76&lt;Hta_16,$G76&gt;=Hba_16,Input!X$36&lt;&gt;""),Input!$B$36&amp;";",""),IF(AND($G76&lt;Hta_17,$G76&gt;=Hba_17,Input!X$37&lt;&gt;""),Input!$B$37&amp;";",""),IF(AND($G76&lt;Hta_18,$G76&gt;=Hba_18,Input!X$38&lt;&gt;""),Input!$B$38&amp;";",""),IF(AND($G76&lt;Hta_19,$G76&gt;=Hba_19,Input!X$39&lt;&gt;""),Input!$B$39&amp;";",""),IF(AND($G76&lt;Hta_20,$G76&gt;=Hba_20,Input!X$40&lt;&gt;""),Input!$B$40&amp;";",""),IF(AND($G76&lt;Hta_21,$G76&gt;=Hba_21,Input!X$41&lt;&gt;""),Input!$B$41&amp;";",""),IF(AND($G76&lt;Hta_22,$G76&gt;=Hba_22,Input!X$42&lt;&gt;""),Input!$B$42&amp;";",""),IF(AND($G76&lt;Hta_23,$G76&gt;=Hba_23,Input!X$43&lt;&gt;""),Input!$B$43&amp;";",""),IF(AND($G76&lt;Hta_24,$G76&gt;=Hba_24,Input!X$44&lt;&gt;""),Input!$B$44&amp;";",""),IF(AND($G76&lt;Hta_25,$G76&gt;=Hba_25,Input!X$45&lt;&gt;""),Input!$B$45&amp;";",""),IF(AND($G76&lt;Hta_26,$G76&gt;=Hba_26,Input!X$46&lt;&gt;""),Input!$B$46&amp;";",""),IF(AND($G76&lt;Hta_27,$G76&gt;=Hba_27,Input!X$47&lt;&gt;""),Input!$B$47&amp;";",""),IF(AND($G76&lt;Hta_28,$G76&gt;=Hba_28,Input!X$48&lt;&gt;""),Input!$B$48&amp;";",""),IF(AND($G76&lt;Hta_29,$G76&gt;=Hba_29,Input!X$49&lt;&gt;""),Input!$B$49&amp;";",""),IF(AND($G76&lt;Hta_30,$G76&gt;=Hba_30,Input!X$50&lt;&gt;""),Input!$B$50&amp;";","")),"")</f>
        <v/>
      </c>
      <c r="BZ76" s="25" t="str">
        <f>IFERROR(CONCATENATE(IF(AND($G76&lt;Hta_1,$G76&gt;=Hba_1,Input!Y$21&lt;&gt;""),Input!$B$21&amp;";",""),IF(AND($G76&lt;Hta_2,$G76&gt;=Hba_2,Input!Y$22&lt;&gt;""),Input!$B$22&amp;";",""),IF(AND($G76&lt;Hta_3,$G76&gt;=Hba_3,Input!Y$23&lt;&gt;""),Input!$B$23&amp;";",""),IF(AND($G76&lt;Hta_4,$G76&gt;=Hba_4,Input!Y$24&lt;&gt;""),Input!$B$24&amp;";",""),IF(AND($G76&lt;Hta_5,$G76&gt;=Hba_5,Input!Y$25&lt;&gt;""),Input!$B$25&amp;";",""),IF(AND($G76&lt;Hta_6,$G76&gt;=Hba_6,Input!Y$26&lt;&gt;""),Input!$B$26&amp;";",""),IF(AND($G76&lt;Hta_7,$G76&gt;=Hba_7,Input!Y$27&lt;&gt;""),Input!$B$27&amp;";",""),IF(AND($G76&lt;Hta_8,$G76&gt;=Hba_8,Input!Y$28&lt;&gt;""),Input!$B$28&amp;";",""),IF(AND($G76&lt;Hta_9,$G76&gt;=Hba_9,Input!Y$29&lt;&gt;""),Input!$B$29&amp;";",""),IF(AND($G76&lt;Hta_10,$G76&gt;=Hba_10,Input!Y$30&lt;&gt;""),Input!$B$30&amp;";",""),IF(AND($G76&lt;Hta_11,$G76&gt;=Hba_11,Input!Y$31&lt;&gt;""),Input!$B$31&amp;";",""),IF(AND($G76&lt;Hta_12,$G76&gt;=Hba_12,Input!Y$32&lt;&gt;""),Input!$B$32&amp;";",""),IF(AND($G76&lt;Hta_13,$G76&gt;=Hba_13,Input!Y$33&lt;&gt;""),Input!$B$33&amp;";",""),IF(AND($G76&lt;Hta_14,$G76&gt;=Hba_14,Input!Y$34&lt;&gt;""),Input!$B$34&amp;";",""),IF(AND($G76&lt;Hta_15,$G76&gt;=Hba_15,Input!Y$35&lt;&gt;""),Input!$B$35&amp;";",""),IF(AND($G76&lt;Hta_16,$G76&gt;=Hba_16,Input!Y$36&lt;&gt;""),Input!$B$36&amp;";",""),IF(AND($G76&lt;Hta_17,$G76&gt;=Hba_17,Input!Y$37&lt;&gt;""),Input!$B$37&amp;";",""),IF(AND($G76&lt;Hta_18,$G76&gt;=Hba_18,Input!Y$38&lt;&gt;""),Input!$B$38&amp;";",""),IF(AND($G76&lt;Hta_19,$G76&gt;=Hba_19,Input!Y$39&lt;&gt;""),Input!$B$39&amp;";",""),IF(AND($G76&lt;Hta_20,$G76&gt;=Hba_20,Input!Y$40&lt;&gt;""),Input!$B$40&amp;";",""),IF(AND($G76&lt;Hta_21,$G76&gt;=Hba_21,Input!Y$41&lt;&gt;""),Input!$B$41&amp;";",""),IF(AND($G76&lt;Hta_22,$G76&gt;=Hba_22,Input!Y$42&lt;&gt;""),Input!$B$42&amp;";",""),IF(AND($G76&lt;Hta_23,$G76&gt;=Hba_23,Input!Y$43&lt;&gt;""),Input!$B$43&amp;";",""),IF(AND($G76&lt;Hta_24,$G76&gt;=Hba_24,Input!Y$44&lt;&gt;""),Input!$B$44&amp;";",""),IF(AND($G76&lt;Hta_25,$G76&gt;=Hba_25,Input!Y$45&lt;&gt;""),Input!$B$45&amp;";",""),IF(AND($G76&lt;Hta_26,$G76&gt;=Hba_26,Input!Y$46&lt;&gt;""),Input!$B$46&amp;";",""),IF(AND($G76&lt;Hta_27,$G76&gt;=Hba_27,Input!Y$47&lt;&gt;""),Input!$B$47&amp;";",""),IF(AND($G76&lt;Hta_28,$G76&gt;=Hba_28,Input!Y$48&lt;&gt;""),Input!$B$48&amp;";",""),IF(AND($G76&lt;Hta_29,$G76&gt;=Hba_29,Input!Y$49&lt;&gt;""),Input!$B$49&amp;";",""),IF(AND($G76&lt;Hta_30,$G76&gt;=Hba_30,Input!Y$50&lt;&gt;""),Input!$B$50&amp;";","")),"")</f>
        <v/>
      </c>
      <c r="CA76" s="25" t="str">
        <f>IFERROR(CONCATENATE(IF(AND($G76&lt;Hta_1,$G76&gt;=Hba_1,Input!Z$21&lt;&gt;""),Input!$B$21&amp;";",""),IF(AND($G76&lt;Hta_2,$G76&gt;=Hba_2,Input!Z$22&lt;&gt;""),Input!$B$22&amp;";",""),IF(AND($G76&lt;Hta_3,$G76&gt;=Hba_3,Input!Z$23&lt;&gt;""),Input!$B$23&amp;";",""),IF(AND($G76&lt;Hta_4,$G76&gt;=Hba_4,Input!Z$24&lt;&gt;""),Input!$B$24&amp;";",""),IF(AND($G76&lt;Hta_5,$G76&gt;=Hba_5,Input!Z$25&lt;&gt;""),Input!$B$25&amp;";",""),IF(AND($G76&lt;Hta_6,$G76&gt;=Hba_6,Input!Z$26&lt;&gt;""),Input!$B$26&amp;";",""),IF(AND($G76&lt;Hta_7,$G76&gt;=Hba_7,Input!Z$27&lt;&gt;""),Input!$B$27&amp;";",""),IF(AND($G76&lt;Hta_8,$G76&gt;=Hba_8,Input!Z$28&lt;&gt;""),Input!$B$28&amp;";",""),IF(AND($G76&lt;Hta_9,$G76&gt;=Hba_9,Input!Z$29&lt;&gt;""),Input!$B$29&amp;";",""),IF(AND($G76&lt;Hta_10,$G76&gt;=Hba_10,Input!Z$30&lt;&gt;""),Input!$B$30&amp;";",""),IF(AND($G76&lt;Hta_11,$G76&gt;=Hba_11,Input!Z$31&lt;&gt;""),Input!$B$31&amp;";",""),IF(AND($G76&lt;Hta_12,$G76&gt;=Hba_12,Input!Z$32&lt;&gt;""),Input!$B$32&amp;";",""),IF(AND($G76&lt;Hta_13,$G76&gt;=Hba_13,Input!Z$33&lt;&gt;""),Input!$B$33&amp;";",""),IF(AND($G76&lt;Hta_14,$G76&gt;=Hba_14,Input!Z$34&lt;&gt;""),Input!$B$34&amp;";",""),IF(AND($G76&lt;Hta_15,$G76&gt;=Hba_15,Input!Z$35&lt;&gt;""),Input!$B$35&amp;";",""),IF(AND($G76&lt;Hta_16,$G76&gt;=Hba_16,Input!Z$36&lt;&gt;""),Input!$B$36&amp;";",""),IF(AND($G76&lt;Hta_17,$G76&gt;=Hba_17,Input!Z$37&lt;&gt;""),Input!$B$37&amp;";",""),IF(AND($G76&lt;Hta_18,$G76&gt;=Hba_18,Input!Z$38&lt;&gt;""),Input!$B$38&amp;";",""),IF(AND($G76&lt;Hta_19,$G76&gt;=Hba_19,Input!Z$39&lt;&gt;""),Input!$B$39&amp;";",""),IF(AND($G76&lt;Hta_20,$G76&gt;=Hba_20,Input!Z$40&lt;&gt;""),Input!$B$40&amp;";",""),IF(AND($G76&lt;Hta_21,$G76&gt;=Hba_21,Input!Z$41&lt;&gt;""),Input!$B$41&amp;";",""),IF(AND($G76&lt;Hta_22,$G76&gt;=Hba_22,Input!Z$42&lt;&gt;""),Input!$B$42&amp;";",""),IF(AND($G76&lt;Hta_23,$G76&gt;=Hba_23,Input!Z$43&lt;&gt;""),Input!$B$43&amp;";",""),IF(AND($G76&lt;Hta_24,$G76&gt;=Hba_24,Input!Z$44&lt;&gt;""),Input!$B$44&amp;";",""),IF(AND($G76&lt;Hta_25,$G76&gt;=Hba_25,Input!Z$45&lt;&gt;""),Input!$B$45&amp;";",""),IF(AND($G76&lt;Hta_26,$G76&gt;=Hba_26,Input!Z$46&lt;&gt;""),Input!$B$46&amp;";",""),IF(AND($G76&lt;Hta_27,$G76&gt;=Hba_27,Input!Z$47&lt;&gt;""),Input!$B$47&amp;";",""),IF(AND($G76&lt;Hta_28,$G76&gt;=Hba_28,Input!Z$48&lt;&gt;""),Input!$B$48&amp;";",""),IF(AND($G76&lt;Hta_29,$G76&gt;=Hba_29,Input!Z$49&lt;&gt;""),Input!$B$49&amp;";",""),IF(AND($G76&lt;Hta_30,$G76&gt;=Hba_30,Input!Z$50&lt;&gt;""),Input!$B$50&amp;";","")),"")</f>
        <v/>
      </c>
      <c r="CB76" s="25" t="str">
        <f>IFERROR(CONCATENATE(IF(AND($G76&lt;Hta_1,$G76&gt;=Hba_1,Input!AA$21&lt;&gt;""),Input!$B$21&amp;";",""),IF(AND($G76&lt;Hta_2,$G76&gt;=Hba_2,Input!AA$22&lt;&gt;""),Input!$B$22&amp;";",""),IF(AND($G76&lt;Hta_3,$G76&gt;=Hba_3,Input!AA$23&lt;&gt;""),Input!$B$23&amp;";",""),IF(AND($G76&lt;Hta_4,$G76&gt;=Hba_4,Input!AA$24&lt;&gt;""),Input!$B$24&amp;";",""),IF(AND($G76&lt;Hta_5,$G76&gt;=Hba_5,Input!AA$25&lt;&gt;""),Input!$B$25&amp;";",""),IF(AND($G76&lt;Hta_6,$G76&gt;=Hba_6,Input!AA$26&lt;&gt;""),Input!$B$26&amp;";",""),IF(AND($G76&lt;Hta_7,$G76&gt;=Hba_7,Input!AA$27&lt;&gt;""),Input!$B$27&amp;";",""),IF(AND($G76&lt;Hta_8,$G76&gt;=Hba_8,Input!AA$28&lt;&gt;""),Input!$B$28&amp;";",""),IF(AND($G76&lt;Hta_9,$G76&gt;=Hba_9,Input!AA$29&lt;&gt;""),Input!$B$29&amp;";",""),IF(AND($G76&lt;Hta_10,$G76&gt;=Hba_10,Input!AA$30&lt;&gt;""),Input!$B$30&amp;";",""),IF(AND($G76&lt;Hta_11,$G76&gt;=Hba_11,Input!AA$31&lt;&gt;""),Input!$B$31&amp;";",""),IF(AND($G76&lt;Hta_12,$G76&gt;=Hba_12,Input!AA$32&lt;&gt;""),Input!$B$32&amp;";",""),IF(AND($G76&lt;Hta_13,$G76&gt;=Hba_13,Input!AA$33&lt;&gt;""),Input!$B$33&amp;";",""),IF(AND($G76&lt;Hta_14,$G76&gt;=Hba_14,Input!AA$34&lt;&gt;""),Input!$B$34&amp;";",""),IF(AND($G76&lt;Hta_15,$G76&gt;=Hba_15,Input!AA$35&lt;&gt;""),Input!$B$35&amp;";",""),IF(AND($G76&lt;Hta_16,$G76&gt;=Hba_16,Input!AA$36&lt;&gt;""),Input!$B$36&amp;";",""),IF(AND($G76&lt;Hta_17,$G76&gt;=Hba_17,Input!AA$37&lt;&gt;""),Input!$B$37&amp;";",""),IF(AND($G76&lt;Hta_18,$G76&gt;=Hba_18,Input!AA$38&lt;&gt;""),Input!$B$38&amp;";",""),IF(AND($G76&lt;Hta_19,$G76&gt;=Hba_19,Input!AA$39&lt;&gt;""),Input!$B$39&amp;";",""),IF(AND($G76&lt;Hta_20,$G76&gt;=Hba_20,Input!AA$40&lt;&gt;""),Input!$B$40&amp;";",""),IF(AND($G76&lt;Hta_21,$G76&gt;=Hba_21,Input!AA$41&lt;&gt;""),Input!$B$41&amp;";",""),IF(AND($G76&lt;Hta_22,$G76&gt;=Hba_22,Input!AA$42&lt;&gt;""),Input!$B$42&amp;";",""),IF(AND($G76&lt;Hta_23,$G76&gt;=Hba_23,Input!AA$43&lt;&gt;""),Input!$B$43&amp;";",""),IF(AND($G76&lt;Hta_24,$G76&gt;=Hba_24,Input!AA$44&lt;&gt;""),Input!$B$44&amp;";",""),IF(AND($G76&lt;Hta_25,$G76&gt;=Hba_25,Input!AA$45&lt;&gt;""),Input!$B$45&amp;";",""),IF(AND($G76&lt;Hta_26,$G76&gt;=Hba_26,Input!AA$46&lt;&gt;""),Input!$B$46&amp;";",""),IF(AND($G76&lt;Hta_27,$G76&gt;=Hba_27,Input!AA$47&lt;&gt;""),Input!$B$47&amp;";",""),IF(AND($G76&lt;Hta_28,$G76&gt;=Hba_28,Input!AA$48&lt;&gt;""),Input!$B$48&amp;";",""),IF(AND($G76&lt;Hta_29,$G76&gt;=Hba_29,Input!AA$49&lt;&gt;""),Input!$B$49&amp;";",""),IF(AND($G76&lt;Hta_30,$G76&gt;=Hba_30,Input!AA$50&lt;&gt;""),Input!$B$50&amp;";","")),"")</f>
        <v/>
      </c>
      <c r="CC76" s="25" t="str">
        <f>IFERROR(CONCATENATE(IF(AND($G76&lt;Hta_1,$G76&gt;=Hba_1,Input!AB$21&lt;&gt;""),Input!$B$21&amp;";",""),IF(AND($G76&lt;Hta_2,$G76&gt;=Hba_2,Input!AB$22&lt;&gt;""),Input!$B$22&amp;";",""),IF(AND($G76&lt;Hta_3,$G76&gt;=Hba_3,Input!AB$23&lt;&gt;""),Input!$B$23&amp;";",""),IF(AND($G76&lt;Hta_4,$G76&gt;=Hba_4,Input!AB$24&lt;&gt;""),Input!$B$24&amp;";",""),IF(AND($G76&lt;Hta_5,$G76&gt;=Hba_5,Input!AB$25&lt;&gt;""),Input!$B$25&amp;";",""),IF(AND($G76&lt;Hta_6,$G76&gt;=Hba_6,Input!AB$26&lt;&gt;""),Input!$B$26&amp;";",""),IF(AND($G76&lt;Hta_7,$G76&gt;=Hba_7,Input!AB$27&lt;&gt;""),Input!$B$27&amp;";",""),IF(AND($G76&lt;Hta_8,$G76&gt;=Hba_8,Input!AB$28&lt;&gt;""),Input!$B$28&amp;";",""),IF(AND($G76&lt;Hta_9,$G76&gt;=Hba_9,Input!AB$29&lt;&gt;""),Input!$B$29&amp;";",""),IF(AND($G76&lt;Hta_10,$G76&gt;=Hba_10,Input!AB$30&lt;&gt;""),Input!$B$30&amp;";",""),IF(AND($G76&lt;Hta_11,$G76&gt;=Hba_11,Input!AB$31&lt;&gt;""),Input!$B$31&amp;";",""),IF(AND($G76&lt;Hta_12,$G76&gt;=Hba_12,Input!AB$32&lt;&gt;""),Input!$B$32&amp;";",""),IF(AND($G76&lt;Hta_13,$G76&gt;=Hba_13,Input!AB$33&lt;&gt;""),Input!$B$33&amp;";",""),IF(AND($G76&lt;Hta_14,$G76&gt;=Hba_14,Input!AB$34&lt;&gt;""),Input!$B$34&amp;";",""),IF(AND($G76&lt;Hta_15,$G76&gt;=Hba_15,Input!AB$35&lt;&gt;""),Input!$B$35&amp;";",""),IF(AND($G76&lt;Hta_16,$G76&gt;=Hba_16,Input!AB$36&lt;&gt;""),Input!$B$36&amp;";",""),IF(AND($G76&lt;Hta_17,$G76&gt;=Hba_17,Input!AB$37&lt;&gt;""),Input!$B$37&amp;";",""),IF(AND($G76&lt;Hta_18,$G76&gt;=Hba_18,Input!AB$38&lt;&gt;""),Input!$B$38&amp;";",""),IF(AND($G76&lt;Hta_19,$G76&gt;=Hba_19,Input!AB$39&lt;&gt;""),Input!$B$39&amp;";",""),IF(AND($G76&lt;Hta_20,$G76&gt;=Hba_20,Input!AB$40&lt;&gt;""),Input!$B$40&amp;";",""),IF(AND($G76&lt;Hta_21,$G76&gt;=Hba_21,Input!AB$41&lt;&gt;""),Input!$B$41&amp;";",""),IF(AND($G76&lt;Hta_22,$G76&gt;=Hba_22,Input!AB$42&lt;&gt;""),Input!$B$42&amp;";",""),IF(AND($G76&lt;Hta_23,$G76&gt;=Hba_23,Input!AB$43&lt;&gt;""),Input!$B$43&amp;";",""),IF(AND($G76&lt;Hta_24,$G76&gt;=Hba_24,Input!AB$44&lt;&gt;""),Input!$B$44&amp;";",""),IF(AND($G76&lt;Hta_25,$G76&gt;=Hba_25,Input!AB$45&lt;&gt;""),Input!$B$45&amp;";",""),IF(AND($G76&lt;Hta_26,$G76&gt;=Hba_26,Input!AB$46&lt;&gt;""),Input!$B$46&amp;";",""),IF(AND($G76&lt;Hta_27,$G76&gt;=Hba_27,Input!AB$47&lt;&gt;""),Input!$B$47&amp;";",""),IF(AND($G76&lt;Hta_28,$G76&gt;=Hba_28,Input!AB$48&lt;&gt;""),Input!$B$48&amp;";",""),IF(AND($G76&lt;Hta_29,$G76&gt;=Hba_29,Input!AB$49&lt;&gt;""),Input!$B$49&amp;";",""),IF(AND($G76&lt;Hta_30,$G76&gt;=Hba_30,Input!AB$50&lt;&gt;""),Input!$B$50&amp;";","")),"")</f>
        <v/>
      </c>
      <c r="CD76" s="25" t="str">
        <f>IFERROR(CONCATENATE(IF(AND($G76&lt;Hta_1,$G76&gt;=Hba_1,Input!AC$21&lt;&gt;""),Input!$B$21&amp;";",""),IF(AND($G76&lt;Hta_2,$G76&gt;=Hba_2,Input!AC$22&lt;&gt;""),Input!$B$22&amp;";",""),IF(AND($G76&lt;Hta_3,$G76&gt;=Hba_3,Input!AC$23&lt;&gt;""),Input!$B$23&amp;";",""),IF(AND($G76&lt;Hta_4,$G76&gt;=Hba_4,Input!AC$24&lt;&gt;""),Input!$B$24&amp;";",""),IF(AND($G76&lt;Hta_5,$G76&gt;=Hba_5,Input!AC$25&lt;&gt;""),Input!$B$25&amp;";",""),IF(AND($G76&lt;Hta_6,$G76&gt;=Hba_6,Input!AC$26&lt;&gt;""),Input!$B$26&amp;";",""),IF(AND($G76&lt;Hta_7,$G76&gt;=Hba_7,Input!AC$27&lt;&gt;""),Input!$B$27&amp;";",""),IF(AND($G76&lt;Hta_8,$G76&gt;=Hba_8,Input!AC$28&lt;&gt;""),Input!$B$28&amp;";",""),IF(AND($G76&lt;Hta_9,$G76&gt;=Hba_9,Input!AC$29&lt;&gt;""),Input!$B$29&amp;";",""),IF(AND($G76&lt;Hta_10,$G76&gt;=Hba_10,Input!AC$30&lt;&gt;""),Input!$B$30&amp;";",""),IF(AND($G76&lt;Hta_11,$G76&gt;=Hba_11,Input!AC$31&lt;&gt;""),Input!$B$31&amp;";",""),IF(AND($G76&lt;Hta_12,$G76&gt;=Hba_12,Input!AC$32&lt;&gt;""),Input!$B$32&amp;";",""),IF(AND($G76&lt;Hta_13,$G76&gt;=Hba_13,Input!AC$33&lt;&gt;""),Input!$B$33&amp;";",""),IF(AND($G76&lt;Hta_14,$G76&gt;=Hba_14,Input!AC$34&lt;&gt;""),Input!$B$34&amp;";",""),IF(AND($G76&lt;Hta_15,$G76&gt;=Hba_15,Input!AC$35&lt;&gt;""),Input!$B$35&amp;";",""),IF(AND($G76&lt;Hta_16,$G76&gt;=Hba_16,Input!AC$36&lt;&gt;""),Input!$B$36&amp;";",""),IF(AND($G76&lt;Hta_17,$G76&gt;=Hba_17,Input!AC$37&lt;&gt;""),Input!$B$37&amp;";",""),IF(AND($G76&lt;Hta_18,$G76&gt;=Hba_18,Input!AC$38&lt;&gt;""),Input!$B$38&amp;";",""),IF(AND($G76&lt;Hta_19,$G76&gt;=Hba_19,Input!AC$39&lt;&gt;""),Input!$B$39&amp;";",""),IF(AND($G76&lt;Hta_20,$G76&gt;=Hba_20,Input!AC$40&lt;&gt;""),Input!$B$40&amp;";",""),IF(AND($G76&lt;Hta_21,$G76&gt;=Hba_21,Input!AC$41&lt;&gt;""),Input!$B$41&amp;";",""),IF(AND($G76&lt;Hta_22,$G76&gt;=Hba_22,Input!AC$42&lt;&gt;""),Input!$B$42&amp;";",""),IF(AND($G76&lt;Hta_23,$G76&gt;=Hba_23,Input!AC$43&lt;&gt;""),Input!$B$43&amp;";",""),IF(AND($G76&lt;Hta_24,$G76&gt;=Hba_24,Input!AC$44&lt;&gt;""),Input!$B$44&amp;";",""),IF(AND($G76&lt;Hta_25,$G76&gt;=Hba_25,Input!AC$45&lt;&gt;""),Input!$B$45&amp;";",""),IF(AND($G76&lt;Hta_26,$G76&gt;=Hba_26,Input!AC$46&lt;&gt;""),Input!$B$46&amp;";",""),IF(AND($G76&lt;Hta_27,$G76&gt;=Hba_27,Input!AC$47&lt;&gt;""),Input!$B$47&amp;";",""),IF(AND($G76&lt;Hta_28,$G76&gt;=Hba_28,Input!AC$48&lt;&gt;""),Input!$B$48&amp;";",""),IF(AND($G76&lt;Hta_29,$G76&gt;=Hba_29,Input!AC$49&lt;&gt;""),Input!$B$49&amp;";",""),IF(AND($G76&lt;Hta_30,$G76&gt;=Hba_30,Input!AC$50&lt;&gt;""),Input!$B$50&amp;";","")),"")</f>
        <v/>
      </c>
      <c r="CE76" s="25" t="str">
        <f>IFERROR(CONCATENATE(IF(AND($G76&lt;Hta_1,$G76&gt;=Hba_1,Input!AD$21&lt;&gt;""),Input!$B$21&amp;";",""),IF(AND($G76&lt;Hta_2,$G76&gt;=Hba_2,Input!AD$22&lt;&gt;""),Input!$B$22&amp;";",""),IF(AND($G76&lt;Hta_3,$G76&gt;=Hba_3,Input!AD$23&lt;&gt;""),Input!$B$23&amp;";",""),IF(AND($G76&lt;Hta_4,$G76&gt;=Hba_4,Input!AD$24&lt;&gt;""),Input!$B$24&amp;";",""),IF(AND($G76&lt;Hta_5,$G76&gt;=Hba_5,Input!AD$25&lt;&gt;""),Input!$B$25&amp;";",""),IF(AND($G76&lt;Hta_6,$G76&gt;=Hba_6,Input!AD$26&lt;&gt;""),Input!$B$26&amp;";",""),IF(AND($G76&lt;Hta_7,$G76&gt;=Hba_7,Input!AD$27&lt;&gt;""),Input!$B$27&amp;";",""),IF(AND($G76&lt;Hta_8,$G76&gt;=Hba_8,Input!AD$28&lt;&gt;""),Input!$B$28&amp;";",""),IF(AND($G76&lt;Hta_9,$G76&gt;=Hba_9,Input!AD$29&lt;&gt;""),Input!$B$29&amp;";",""),IF(AND($G76&lt;Hta_10,$G76&gt;=Hba_10,Input!AD$30&lt;&gt;""),Input!$B$30&amp;";",""),IF(AND($G76&lt;Hta_11,$G76&gt;=Hba_11,Input!AD$31&lt;&gt;""),Input!$B$31&amp;";",""),IF(AND($G76&lt;Hta_12,$G76&gt;=Hba_12,Input!AD$32&lt;&gt;""),Input!$B$32&amp;";",""),IF(AND($G76&lt;Hta_13,$G76&gt;=Hba_13,Input!AD$33&lt;&gt;""),Input!$B$33&amp;";",""),IF(AND($G76&lt;Hta_14,$G76&gt;=Hba_14,Input!AD$34&lt;&gt;""),Input!$B$34&amp;";",""),IF(AND($G76&lt;Hta_15,$G76&gt;=Hba_15,Input!AD$35&lt;&gt;""),Input!$B$35&amp;";",""),IF(AND($G76&lt;Hta_16,$G76&gt;=Hba_16,Input!AD$36&lt;&gt;""),Input!$B$36&amp;";",""),IF(AND($G76&lt;Hta_17,$G76&gt;=Hba_17,Input!AD$37&lt;&gt;""),Input!$B$37&amp;";",""),IF(AND($G76&lt;Hta_18,$G76&gt;=Hba_18,Input!AD$38&lt;&gt;""),Input!$B$38&amp;";",""),IF(AND($G76&lt;Hta_19,$G76&gt;=Hba_19,Input!AD$39&lt;&gt;""),Input!$B$39&amp;";",""),IF(AND($G76&lt;Hta_20,$G76&gt;=Hba_20,Input!AD$40&lt;&gt;""),Input!$B$40&amp;";",""),IF(AND($G76&lt;Hta_21,$G76&gt;=Hba_21,Input!AD$41&lt;&gt;""),Input!$B$41&amp;";",""),IF(AND($G76&lt;Hta_22,$G76&gt;=Hba_22,Input!AD$42&lt;&gt;""),Input!$B$42&amp;";",""),IF(AND($G76&lt;Hta_23,$G76&gt;=Hba_23,Input!AD$43&lt;&gt;""),Input!$B$43&amp;";",""),IF(AND($G76&lt;Hta_24,$G76&gt;=Hba_24,Input!AD$44&lt;&gt;""),Input!$B$44&amp;";",""),IF(AND($G76&lt;Hta_25,$G76&gt;=Hba_25,Input!AD$45&lt;&gt;""),Input!$B$45&amp;";",""),IF(AND($G76&lt;Hta_26,$G76&gt;=Hba_26,Input!AD$46&lt;&gt;""),Input!$B$46&amp;";",""),IF(AND($G76&lt;Hta_27,$G76&gt;=Hba_27,Input!AD$47&lt;&gt;""),Input!$B$47&amp;";",""),IF(AND($G76&lt;Hta_28,$G76&gt;=Hba_28,Input!AD$48&lt;&gt;""),Input!$B$48&amp;";",""),IF(AND($G76&lt;Hta_29,$G76&gt;=Hba_29,Input!AD$49&lt;&gt;""),Input!$B$49&amp;";",""),IF(AND($G76&lt;Hta_30,$G76&gt;=Hba_30,Input!AD$50&lt;&gt;""),Input!$B$50&amp;";","")),"")</f>
        <v/>
      </c>
      <c r="CF76" s="25" t="str">
        <f>IFERROR(CONCATENATE(IF(AND($G76&lt;Hta_1,$G76&gt;=Hba_1,Input!AE$21&lt;&gt;""),Input!$B$21&amp;";",""),IF(AND($G76&lt;Hta_2,$G76&gt;=Hba_2,Input!AE$22&lt;&gt;""),Input!$B$22&amp;";",""),IF(AND($G76&lt;Hta_3,$G76&gt;=Hba_3,Input!AE$23&lt;&gt;""),Input!$B$23&amp;";",""),IF(AND($G76&lt;Hta_4,$G76&gt;=Hba_4,Input!AE$24&lt;&gt;""),Input!$B$24&amp;";",""),IF(AND($G76&lt;Hta_5,$G76&gt;=Hba_5,Input!AE$25&lt;&gt;""),Input!$B$25&amp;";",""),IF(AND($G76&lt;Hta_6,$G76&gt;=Hba_6,Input!AE$26&lt;&gt;""),Input!$B$26&amp;";",""),IF(AND($G76&lt;Hta_7,$G76&gt;=Hba_7,Input!AE$27&lt;&gt;""),Input!$B$27&amp;";",""),IF(AND($G76&lt;Hta_8,$G76&gt;=Hba_8,Input!AE$28&lt;&gt;""),Input!$B$28&amp;";",""),IF(AND($G76&lt;Hta_9,$G76&gt;=Hba_9,Input!AE$29&lt;&gt;""),Input!$B$29&amp;";",""),IF(AND($G76&lt;Hta_10,$G76&gt;=Hba_10,Input!AE$30&lt;&gt;""),Input!$B$30&amp;";",""),IF(AND($G76&lt;Hta_11,$G76&gt;=Hba_11,Input!AE$31&lt;&gt;""),Input!$B$31&amp;";",""),IF(AND($G76&lt;Hta_12,$G76&gt;=Hba_12,Input!AE$32&lt;&gt;""),Input!$B$32&amp;";",""),IF(AND($G76&lt;Hta_13,$G76&gt;=Hba_13,Input!AE$33&lt;&gt;""),Input!$B$33&amp;";",""),IF(AND($G76&lt;Hta_14,$G76&gt;=Hba_14,Input!AE$34&lt;&gt;""),Input!$B$34&amp;";",""),IF(AND($G76&lt;Hta_15,$G76&gt;=Hba_15,Input!AE$35&lt;&gt;""),Input!$B$35&amp;";",""),IF(AND($G76&lt;Hta_16,$G76&gt;=Hba_16,Input!AE$36&lt;&gt;""),Input!$B$36&amp;";",""),IF(AND($G76&lt;Hta_17,$G76&gt;=Hba_17,Input!AE$37&lt;&gt;""),Input!$B$37&amp;";",""),IF(AND($G76&lt;Hta_18,$G76&gt;=Hba_18,Input!AE$38&lt;&gt;""),Input!$B$38&amp;";",""),IF(AND($G76&lt;Hta_19,$G76&gt;=Hba_19,Input!AE$39&lt;&gt;""),Input!$B$39&amp;";",""),IF(AND($G76&lt;Hta_20,$G76&gt;=Hba_20,Input!AE$40&lt;&gt;""),Input!$B$40&amp;";",""),IF(AND($G76&lt;Hta_21,$G76&gt;=Hba_21,Input!AE$41&lt;&gt;""),Input!$B$41&amp;";",""),IF(AND($G76&lt;Hta_22,$G76&gt;=Hba_22,Input!AE$42&lt;&gt;""),Input!$B$42&amp;";",""),IF(AND($G76&lt;Hta_23,$G76&gt;=Hba_23,Input!AE$43&lt;&gt;""),Input!$B$43&amp;";",""),IF(AND($G76&lt;Hta_24,$G76&gt;=Hba_24,Input!AE$44&lt;&gt;""),Input!$B$44&amp;";",""),IF(AND($G76&lt;Hta_25,$G76&gt;=Hba_25,Input!AE$45&lt;&gt;""),Input!$B$45&amp;";",""),IF(AND($G76&lt;Hta_26,$G76&gt;=Hba_26,Input!AE$46&lt;&gt;""),Input!$B$46&amp;";",""),IF(AND($G76&lt;Hta_27,$G76&gt;=Hba_27,Input!AE$47&lt;&gt;""),Input!$B$47&amp;";",""),IF(AND($G76&lt;Hta_28,$G76&gt;=Hba_28,Input!AE$48&lt;&gt;""),Input!$B$48&amp;";",""),IF(AND($G76&lt;Hta_29,$G76&gt;=Hba_29,Input!AE$49&lt;&gt;""),Input!$B$49&amp;";",""),IF(AND($G76&lt;Hta_30,$G76&gt;=Hba_30,Input!AE$50&lt;&gt;""),Input!$B$50&amp;";","")),"")</f>
        <v/>
      </c>
      <c r="CG76" s="25" t="str">
        <f>IFERROR(CONCATENATE(IF(AND($G76&lt;Hta_1,$G76&gt;=Hba_1,Input!AF$21&lt;&gt;""),Input!$B$21&amp;";",""),IF(AND($G76&lt;Hta_2,$G76&gt;=Hba_2,Input!AF$22&lt;&gt;""),Input!$B$22&amp;";",""),IF(AND($G76&lt;Hta_3,$G76&gt;=Hba_3,Input!AF$23&lt;&gt;""),Input!$B$23&amp;";",""),IF(AND($G76&lt;Hta_4,$G76&gt;=Hba_4,Input!AF$24&lt;&gt;""),Input!$B$24&amp;";",""),IF(AND($G76&lt;Hta_5,$G76&gt;=Hba_5,Input!AF$25&lt;&gt;""),Input!$B$25&amp;";",""),IF(AND($G76&lt;Hta_6,$G76&gt;=Hba_6,Input!AF$26&lt;&gt;""),Input!$B$26&amp;";",""),IF(AND($G76&lt;Hta_7,$G76&gt;=Hba_7,Input!AF$27&lt;&gt;""),Input!$B$27&amp;";",""),IF(AND($G76&lt;Hta_8,$G76&gt;=Hba_8,Input!AF$28&lt;&gt;""),Input!$B$28&amp;";",""),IF(AND($G76&lt;Hta_9,$G76&gt;=Hba_9,Input!AF$29&lt;&gt;""),Input!$B$29&amp;";",""),IF(AND($G76&lt;Hta_10,$G76&gt;=Hba_10,Input!AF$30&lt;&gt;""),Input!$B$30&amp;";",""),IF(AND($G76&lt;Hta_11,$G76&gt;=Hba_11,Input!AF$31&lt;&gt;""),Input!$B$31&amp;";",""),IF(AND($G76&lt;Hta_12,$G76&gt;=Hba_12,Input!AF$32&lt;&gt;""),Input!$B$32&amp;";",""),IF(AND($G76&lt;Hta_13,$G76&gt;=Hba_13,Input!AF$33&lt;&gt;""),Input!$B$33&amp;";",""),IF(AND($G76&lt;Hta_14,$G76&gt;=Hba_14,Input!AF$34&lt;&gt;""),Input!$B$34&amp;";",""),IF(AND($G76&lt;Hta_15,$G76&gt;=Hba_15,Input!AF$35&lt;&gt;""),Input!$B$35&amp;";",""),IF(AND($G76&lt;Hta_16,$G76&gt;=Hba_16,Input!AF$36&lt;&gt;""),Input!$B$36&amp;";",""),IF(AND($G76&lt;Hta_17,$G76&gt;=Hba_17,Input!AF$37&lt;&gt;""),Input!$B$37&amp;";",""),IF(AND($G76&lt;Hta_18,$G76&gt;=Hba_18,Input!AF$38&lt;&gt;""),Input!$B$38&amp;";",""),IF(AND($G76&lt;Hta_19,$G76&gt;=Hba_19,Input!AF$39&lt;&gt;""),Input!$B$39&amp;";",""),IF(AND($G76&lt;Hta_20,$G76&gt;=Hba_20,Input!AF$40&lt;&gt;""),Input!$B$40&amp;";",""),IF(AND($G76&lt;Hta_21,$G76&gt;=Hba_21,Input!AF$41&lt;&gt;""),Input!$B$41&amp;";",""),IF(AND($G76&lt;Hta_22,$G76&gt;=Hba_22,Input!AF$42&lt;&gt;""),Input!$B$42&amp;";",""),IF(AND($G76&lt;Hta_23,$G76&gt;=Hba_23,Input!AF$43&lt;&gt;""),Input!$B$43&amp;";",""),IF(AND($G76&lt;Hta_24,$G76&gt;=Hba_24,Input!AF$44&lt;&gt;""),Input!$B$44&amp;";",""),IF(AND($G76&lt;Hta_25,$G76&gt;=Hba_25,Input!AF$45&lt;&gt;""),Input!$B$45&amp;";",""),IF(AND($G76&lt;Hta_26,$G76&gt;=Hba_26,Input!AF$46&lt;&gt;""),Input!$B$46&amp;";",""),IF(AND($G76&lt;Hta_27,$G76&gt;=Hba_27,Input!AF$47&lt;&gt;""),Input!$B$47&amp;";",""),IF(AND($G76&lt;Hta_28,$G76&gt;=Hba_28,Input!AF$48&lt;&gt;""),Input!$B$48&amp;";",""),IF(AND($G76&lt;Hta_29,$G76&gt;=Hba_29,Input!AF$49&lt;&gt;""),Input!$B$49&amp;";",""),IF(AND($G76&lt;Hta_30,$G76&gt;=Hba_30,Input!AF$50&lt;&gt;""),Input!$B$50&amp;";","")),"")</f>
        <v/>
      </c>
      <c r="CH76" s="25" t="str">
        <f>IFERROR(CONCATENATE(IF(AND($G76&lt;Hta_1,$G76&gt;=Hba_1,Input!AG$21&lt;&gt;""),Input!$B$21&amp;";",""),IF(AND($G76&lt;Hta_2,$G76&gt;=Hba_2,Input!AG$22&lt;&gt;""),Input!$B$22&amp;";",""),IF(AND($G76&lt;Hta_3,$G76&gt;=Hba_3,Input!AG$23&lt;&gt;""),Input!$B$23&amp;";",""),IF(AND($G76&lt;Hta_4,$G76&gt;=Hba_4,Input!AG$24&lt;&gt;""),Input!$B$24&amp;";",""),IF(AND($G76&lt;Hta_5,$G76&gt;=Hba_5,Input!AG$25&lt;&gt;""),Input!$B$25&amp;";",""),IF(AND($G76&lt;Hta_6,$G76&gt;=Hba_6,Input!AG$26&lt;&gt;""),Input!$B$26&amp;";",""),IF(AND($G76&lt;Hta_7,$G76&gt;=Hba_7,Input!AG$27&lt;&gt;""),Input!$B$27&amp;";",""),IF(AND($G76&lt;Hta_8,$G76&gt;=Hba_8,Input!AG$28&lt;&gt;""),Input!$B$28&amp;";",""),IF(AND($G76&lt;Hta_9,$G76&gt;=Hba_9,Input!AG$29&lt;&gt;""),Input!$B$29&amp;";",""),IF(AND($G76&lt;Hta_10,$G76&gt;=Hba_10,Input!AG$30&lt;&gt;""),Input!$B$30&amp;";",""),IF(AND($G76&lt;Hta_11,$G76&gt;=Hba_11,Input!AG$31&lt;&gt;""),Input!$B$31&amp;";",""),IF(AND($G76&lt;Hta_12,$G76&gt;=Hba_12,Input!AG$32&lt;&gt;""),Input!$B$32&amp;";",""),IF(AND($G76&lt;Hta_13,$G76&gt;=Hba_13,Input!AG$33&lt;&gt;""),Input!$B$33&amp;";",""),IF(AND($G76&lt;Hta_14,$G76&gt;=Hba_14,Input!AG$34&lt;&gt;""),Input!$B$34&amp;";",""),IF(AND($G76&lt;Hta_15,$G76&gt;=Hba_15,Input!AG$35&lt;&gt;""),Input!$B$35&amp;";",""),IF(AND($G76&lt;Hta_16,$G76&gt;=Hba_16,Input!AG$36&lt;&gt;""),Input!$B$36&amp;";",""),IF(AND($G76&lt;Hta_17,$G76&gt;=Hba_17,Input!AG$37&lt;&gt;""),Input!$B$37&amp;";",""),IF(AND($G76&lt;Hta_18,$G76&gt;=Hba_18,Input!AG$38&lt;&gt;""),Input!$B$38&amp;";",""),IF(AND($G76&lt;Hta_19,$G76&gt;=Hba_19,Input!AG$39&lt;&gt;""),Input!$B$39&amp;";",""),IF(AND($G76&lt;Hta_20,$G76&gt;=Hba_20,Input!AG$40&lt;&gt;""),Input!$B$40&amp;";",""),IF(AND($G76&lt;Hta_21,$G76&gt;=Hba_21,Input!AG$41&lt;&gt;""),Input!$B$41&amp;";",""),IF(AND($G76&lt;Hta_22,$G76&gt;=Hba_22,Input!AG$42&lt;&gt;""),Input!$B$42&amp;";",""),IF(AND($G76&lt;Hta_23,$G76&gt;=Hba_23,Input!AG$43&lt;&gt;""),Input!$B$43&amp;";",""),IF(AND($G76&lt;Hta_24,$G76&gt;=Hba_24,Input!AG$44&lt;&gt;""),Input!$B$44&amp;";",""),IF(AND($G76&lt;Hta_25,$G76&gt;=Hba_25,Input!AG$45&lt;&gt;""),Input!$B$45&amp;";",""),IF(AND($G76&lt;Hta_26,$G76&gt;=Hba_26,Input!AG$46&lt;&gt;""),Input!$B$46&amp;";",""),IF(AND($G76&lt;Hta_27,$G76&gt;=Hba_27,Input!AG$47&lt;&gt;""),Input!$B$47&amp;";",""),IF(AND($G76&lt;Hta_28,$G76&gt;=Hba_28,Input!AG$48&lt;&gt;""),Input!$B$48&amp;";",""),IF(AND($G76&lt;Hta_29,$G76&gt;=Hba_29,Input!AG$49&lt;&gt;""),Input!$B$49&amp;";",""),IF(AND($G76&lt;Hta_30,$G76&gt;=Hba_30,Input!AG$50&lt;&gt;""),Input!$B$50&amp;";","")),"")</f>
        <v/>
      </c>
      <c r="CI76" s="25" t="str">
        <f>IFERROR(CONCATENATE(IF(AND($G76&lt;Hta_1,$G76&gt;=Hba_1,Input!AH$21&lt;&gt;""),Input!$B$21&amp;";",""),IF(AND($G76&lt;Hta_2,$G76&gt;=Hba_2,Input!AH$22&lt;&gt;""),Input!$B$22&amp;";",""),IF(AND($G76&lt;Hta_3,$G76&gt;=Hba_3,Input!AH$23&lt;&gt;""),Input!$B$23&amp;";",""),IF(AND($G76&lt;Hta_4,$G76&gt;=Hba_4,Input!AH$24&lt;&gt;""),Input!$B$24&amp;";",""),IF(AND($G76&lt;Hta_5,$G76&gt;=Hba_5,Input!AH$25&lt;&gt;""),Input!$B$25&amp;";",""),IF(AND($G76&lt;Hta_6,$G76&gt;=Hba_6,Input!AH$26&lt;&gt;""),Input!$B$26&amp;";",""),IF(AND($G76&lt;Hta_7,$G76&gt;=Hba_7,Input!AH$27&lt;&gt;""),Input!$B$27&amp;";",""),IF(AND($G76&lt;Hta_8,$G76&gt;=Hba_8,Input!AH$28&lt;&gt;""),Input!$B$28&amp;";",""),IF(AND($G76&lt;Hta_9,$G76&gt;=Hba_9,Input!AH$29&lt;&gt;""),Input!$B$29&amp;";",""),IF(AND($G76&lt;Hta_10,$G76&gt;=Hba_10,Input!AH$30&lt;&gt;""),Input!$B$30&amp;";",""),IF(AND($G76&lt;Hta_11,$G76&gt;=Hba_11,Input!AH$31&lt;&gt;""),Input!$B$31&amp;";",""),IF(AND($G76&lt;Hta_12,$G76&gt;=Hba_12,Input!AH$32&lt;&gt;""),Input!$B$32&amp;";",""),IF(AND($G76&lt;Hta_13,$G76&gt;=Hba_13,Input!AH$33&lt;&gt;""),Input!$B$33&amp;";",""),IF(AND($G76&lt;Hta_14,$G76&gt;=Hba_14,Input!AH$34&lt;&gt;""),Input!$B$34&amp;";",""),IF(AND($G76&lt;Hta_15,$G76&gt;=Hba_15,Input!AH$35&lt;&gt;""),Input!$B$35&amp;";",""),IF(AND($G76&lt;Hta_16,$G76&gt;=Hba_16,Input!AH$36&lt;&gt;""),Input!$B$36&amp;";",""),IF(AND($G76&lt;Hta_17,$G76&gt;=Hba_17,Input!AH$37&lt;&gt;""),Input!$B$37&amp;";",""),IF(AND($G76&lt;Hta_18,$G76&gt;=Hba_18,Input!AH$38&lt;&gt;""),Input!$B$38&amp;";",""),IF(AND($G76&lt;Hta_19,$G76&gt;=Hba_19,Input!AH$39&lt;&gt;""),Input!$B$39&amp;";",""),IF(AND($G76&lt;Hta_20,$G76&gt;=Hba_20,Input!AH$40&lt;&gt;""),Input!$B$40&amp;";",""),IF(AND($G76&lt;Hta_21,$G76&gt;=Hba_21,Input!AH$41&lt;&gt;""),Input!$B$41&amp;";",""),IF(AND($G76&lt;Hta_22,$G76&gt;=Hba_22,Input!AH$42&lt;&gt;""),Input!$B$42&amp;";",""),IF(AND($G76&lt;Hta_23,$G76&gt;=Hba_23,Input!AH$43&lt;&gt;""),Input!$B$43&amp;";",""),IF(AND($G76&lt;Hta_24,$G76&gt;=Hba_24,Input!AH$44&lt;&gt;""),Input!$B$44&amp;";",""),IF(AND($G76&lt;Hta_25,$G76&gt;=Hba_25,Input!AH$45&lt;&gt;""),Input!$B$45&amp;";",""),IF(AND($G76&lt;Hta_26,$G76&gt;=Hba_26,Input!AH$46&lt;&gt;""),Input!$B$46&amp;";",""),IF(AND($G76&lt;Hta_27,$G76&gt;=Hba_27,Input!AH$47&lt;&gt;""),Input!$B$47&amp;";",""),IF(AND($G76&lt;Hta_28,$G76&gt;=Hba_28,Input!AH$48&lt;&gt;""),Input!$B$48&amp;";",""),IF(AND($G76&lt;Hta_29,$G76&gt;=Hba_29,Input!AH$49&lt;&gt;""),Input!$B$49&amp;";",""),IF(AND($G76&lt;Hta_30,$G76&gt;=Hba_30,Input!AH$50&lt;&gt;""),Input!$B$50&amp;";","")),"")</f>
        <v/>
      </c>
      <c r="CJ76" s="25" t="str">
        <f>IFERROR(CONCATENATE(IF(AND($G76&lt;Hta_1,$G76&gt;=Hba_1,Input!AI$21&lt;&gt;""),Input!$B$21&amp;";",""),IF(AND($G76&lt;Hta_2,$G76&gt;=Hba_2,Input!AI$22&lt;&gt;""),Input!$B$22&amp;";",""),IF(AND($G76&lt;Hta_3,$G76&gt;=Hba_3,Input!AI$23&lt;&gt;""),Input!$B$23&amp;";",""),IF(AND($G76&lt;Hta_4,$G76&gt;=Hba_4,Input!AI$24&lt;&gt;""),Input!$B$24&amp;";",""),IF(AND($G76&lt;Hta_5,$G76&gt;=Hba_5,Input!AI$25&lt;&gt;""),Input!$B$25&amp;";",""),IF(AND($G76&lt;Hta_6,$G76&gt;=Hba_6,Input!AI$26&lt;&gt;""),Input!$B$26&amp;";",""),IF(AND($G76&lt;Hta_7,$G76&gt;=Hba_7,Input!AI$27&lt;&gt;""),Input!$B$27&amp;";",""),IF(AND($G76&lt;Hta_8,$G76&gt;=Hba_8,Input!AI$28&lt;&gt;""),Input!$B$28&amp;";",""),IF(AND($G76&lt;Hta_9,$G76&gt;=Hba_9,Input!AI$29&lt;&gt;""),Input!$B$29&amp;";",""),IF(AND($G76&lt;Hta_10,$G76&gt;=Hba_10,Input!AI$30&lt;&gt;""),Input!$B$30&amp;";",""),IF(AND($G76&lt;Hta_11,$G76&gt;=Hba_11,Input!AI$31&lt;&gt;""),Input!$B$31&amp;";",""),IF(AND($G76&lt;Hta_12,$G76&gt;=Hba_12,Input!AI$32&lt;&gt;""),Input!$B$32&amp;";",""),IF(AND($G76&lt;Hta_13,$G76&gt;=Hba_13,Input!AI$33&lt;&gt;""),Input!$B$33&amp;";",""),IF(AND($G76&lt;Hta_14,$G76&gt;=Hba_14,Input!AI$34&lt;&gt;""),Input!$B$34&amp;";",""),IF(AND($G76&lt;Hta_15,$G76&gt;=Hba_15,Input!AI$35&lt;&gt;""),Input!$B$35&amp;";",""),IF(AND($G76&lt;Hta_16,$G76&gt;=Hba_16,Input!AI$36&lt;&gt;""),Input!$B$36&amp;";",""),IF(AND($G76&lt;Hta_17,$G76&gt;=Hba_17,Input!AI$37&lt;&gt;""),Input!$B$37&amp;";",""),IF(AND($G76&lt;Hta_18,$G76&gt;=Hba_18,Input!AI$38&lt;&gt;""),Input!$B$38&amp;";",""),IF(AND($G76&lt;Hta_19,$G76&gt;=Hba_19,Input!AI$39&lt;&gt;""),Input!$B$39&amp;";",""),IF(AND($G76&lt;Hta_20,$G76&gt;=Hba_20,Input!AI$40&lt;&gt;""),Input!$B$40&amp;";",""),IF(AND($G76&lt;Hta_21,$G76&gt;=Hba_21,Input!AI$41&lt;&gt;""),Input!$B$41&amp;";",""),IF(AND($G76&lt;Hta_22,$G76&gt;=Hba_22,Input!AI$42&lt;&gt;""),Input!$B$42&amp;";",""),IF(AND($G76&lt;Hta_23,$G76&gt;=Hba_23,Input!AI$43&lt;&gt;""),Input!$B$43&amp;";",""),IF(AND($G76&lt;Hta_24,$G76&gt;=Hba_24,Input!AI$44&lt;&gt;""),Input!$B$44&amp;";",""),IF(AND($G76&lt;Hta_25,$G76&gt;=Hba_25,Input!AI$45&lt;&gt;""),Input!$B$45&amp;";",""),IF(AND($G76&lt;Hta_26,$G76&gt;=Hba_26,Input!AI$46&lt;&gt;""),Input!$B$46&amp;";",""),IF(AND($G76&lt;Hta_27,$G76&gt;=Hba_27,Input!AI$47&lt;&gt;""),Input!$B$47&amp;";",""),IF(AND($G76&lt;Hta_28,$G76&gt;=Hba_28,Input!AI$48&lt;&gt;""),Input!$B$48&amp;";",""),IF(AND($G76&lt;Hta_29,$G76&gt;=Hba_29,Input!AI$49&lt;&gt;""),Input!$B$49&amp;";",""),IF(AND($G76&lt;Hta_30,$G76&gt;=Hba_30,Input!AI$50&lt;&gt;""),Input!$B$50&amp;";","")),"")</f>
        <v/>
      </c>
      <c r="CK76" s="25" t="str">
        <f>IFERROR(CONCATENATE(IF(AND($G76&lt;Hta_1,$G76&gt;=Hba_1,Input!AJ$21&lt;&gt;""),Input!$B$21&amp;";",""),IF(AND($G76&lt;Hta_2,$G76&gt;=Hba_2,Input!AJ$22&lt;&gt;""),Input!$B$22&amp;";",""),IF(AND($G76&lt;Hta_3,$G76&gt;=Hba_3,Input!AJ$23&lt;&gt;""),Input!$B$23&amp;";",""),IF(AND($G76&lt;Hta_4,$G76&gt;=Hba_4,Input!AJ$24&lt;&gt;""),Input!$B$24&amp;";",""),IF(AND($G76&lt;Hta_5,$G76&gt;=Hba_5,Input!AJ$25&lt;&gt;""),Input!$B$25&amp;";",""),IF(AND($G76&lt;Hta_6,$G76&gt;=Hba_6,Input!AJ$26&lt;&gt;""),Input!$B$26&amp;";",""),IF(AND($G76&lt;Hta_7,$G76&gt;=Hba_7,Input!AJ$27&lt;&gt;""),Input!$B$27&amp;";",""),IF(AND($G76&lt;Hta_8,$G76&gt;=Hba_8,Input!AJ$28&lt;&gt;""),Input!$B$28&amp;";",""),IF(AND($G76&lt;Hta_9,$G76&gt;=Hba_9,Input!AJ$29&lt;&gt;""),Input!$B$29&amp;";",""),IF(AND($G76&lt;Hta_10,$G76&gt;=Hba_10,Input!AJ$30&lt;&gt;""),Input!$B$30&amp;";",""),IF(AND($G76&lt;Hta_11,$G76&gt;=Hba_11,Input!AJ$31&lt;&gt;""),Input!$B$31&amp;";",""),IF(AND($G76&lt;Hta_12,$G76&gt;=Hba_12,Input!AJ$32&lt;&gt;""),Input!$B$32&amp;";",""),IF(AND($G76&lt;Hta_13,$G76&gt;=Hba_13,Input!AJ$33&lt;&gt;""),Input!$B$33&amp;";",""),IF(AND($G76&lt;Hta_14,$G76&gt;=Hba_14,Input!AJ$34&lt;&gt;""),Input!$B$34&amp;";",""),IF(AND($G76&lt;Hta_15,$G76&gt;=Hba_15,Input!AJ$35&lt;&gt;""),Input!$B$35&amp;";",""),IF(AND($G76&lt;Hta_16,$G76&gt;=Hba_16,Input!AJ$36&lt;&gt;""),Input!$B$36&amp;";",""),IF(AND($G76&lt;Hta_17,$G76&gt;=Hba_17,Input!AJ$37&lt;&gt;""),Input!$B$37&amp;";",""),IF(AND($G76&lt;Hta_18,$G76&gt;=Hba_18,Input!AJ$38&lt;&gt;""),Input!$B$38&amp;";",""),IF(AND($G76&lt;Hta_19,$G76&gt;=Hba_19,Input!AJ$39&lt;&gt;""),Input!$B$39&amp;";",""),IF(AND($G76&lt;Hta_20,$G76&gt;=Hba_20,Input!AJ$40&lt;&gt;""),Input!$B$40&amp;";",""),IF(AND($G76&lt;Hta_21,$G76&gt;=Hba_21,Input!AJ$41&lt;&gt;""),Input!$B$41&amp;";",""),IF(AND($G76&lt;Hta_22,$G76&gt;=Hba_22,Input!AJ$42&lt;&gt;""),Input!$B$42&amp;";",""),IF(AND($G76&lt;Hta_23,$G76&gt;=Hba_23,Input!AJ$43&lt;&gt;""),Input!$B$43&amp;";",""),IF(AND($G76&lt;Hta_24,$G76&gt;=Hba_24,Input!AJ$44&lt;&gt;""),Input!$B$44&amp;";",""),IF(AND($G76&lt;Hta_25,$G76&gt;=Hba_25,Input!AJ$45&lt;&gt;""),Input!$B$45&amp;";",""),IF(AND($G76&lt;Hta_26,$G76&gt;=Hba_26,Input!AJ$46&lt;&gt;""),Input!$B$46&amp;";",""),IF(AND($G76&lt;Hta_27,$G76&gt;=Hba_27,Input!AJ$47&lt;&gt;""),Input!$B$47&amp;";",""),IF(AND($G76&lt;Hta_28,$G76&gt;=Hba_28,Input!AJ$48&lt;&gt;""),Input!$B$48&amp;";",""),IF(AND($G76&lt;Hta_29,$G76&gt;=Hba_29,Input!AJ$49&lt;&gt;""),Input!$B$49&amp;";",""),IF(AND($G76&lt;Hta_30,$G76&gt;=Hba_30,Input!AJ$50&lt;&gt;""),Input!$B$50&amp;";","")),"")</f>
        <v/>
      </c>
      <c r="CL76" s="25" t="str">
        <f>IFERROR(CONCATENATE(IF(AND($G76&lt;Hta_1,$G76&gt;=Hba_1,Input!AK$21&lt;&gt;""),Input!$B$21&amp;";",""),IF(AND($G76&lt;Hta_2,$G76&gt;=Hba_2,Input!AK$22&lt;&gt;""),Input!$B$22&amp;";",""),IF(AND($G76&lt;Hta_3,$G76&gt;=Hba_3,Input!AK$23&lt;&gt;""),Input!$B$23&amp;";",""),IF(AND($G76&lt;Hta_4,$G76&gt;=Hba_4,Input!AK$24&lt;&gt;""),Input!$B$24&amp;";",""),IF(AND($G76&lt;Hta_5,$G76&gt;=Hba_5,Input!AK$25&lt;&gt;""),Input!$B$25&amp;";",""),IF(AND($G76&lt;Hta_6,$G76&gt;=Hba_6,Input!AK$26&lt;&gt;""),Input!$B$26&amp;";",""),IF(AND($G76&lt;Hta_7,$G76&gt;=Hba_7,Input!AK$27&lt;&gt;""),Input!$B$27&amp;";",""),IF(AND($G76&lt;Hta_8,$G76&gt;=Hba_8,Input!AK$28&lt;&gt;""),Input!$B$28&amp;";",""),IF(AND($G76&lt;Hta_9,$G76&gt;=Hba_9,Input!AK$29&lt;&gt;""),Input!$B$29&amp;";",""),IF(AND($G76&lt;Hta_10,$G76&gt;=Hba_10,Input!AK$30&lt;&gt;""),Input!$B$30&amp;";",""),IF(AND($G76&lt;Hta_11,$G76&gt;=Hba_11,Input!AK$31&lt;&gt;""),Input!$B$31&amp;";",""),IF(AND($G76&lt;Hta_12,$G76&gt;=Hba_12,Input!AK$32&lt;&gt;""),Input!$B$32&amp;";",""),IF(AND($G76&lt;Hta_13,$G76&gt;=Hba_13,Input!AK$33&lt;&gt;""),Input!$B$33&amp;";",""),IF(AND($G76&lt;Hta_14,$G76&gt;=Hba_14,Input!AK$34&lt;&gt;""),Input!$B$34&amp;";",""),IF(AND($G76&lt;Hta_15,$G76&gt;=Hba_15,Input!AK$35&lt;&gt;""),Input!$B$35&amp;";",""),IF(AND($G76&lt;Hta_16,$G76&gt;=Hba_16,Input!AK$36&lt;&gt;""),Input!$B$36&amp;";",""),IF(AND($G76&lt;Hta_17,$G76&gt;=Hba_17,Input!AK$37&lt;&gt;""),Input!$B$37&amp;";",""),IF(AND($G76&lt;Hta_18,$G76&gt;=Hba_18,Input!AK$38&lt;&gt;""),Input!$B$38&amp;";",""),IF(AND($G76&lt;Hta_19,$G76&gt;=Hba_19,Input!AK$39&lt;&gt;""),Input!$B$39&amp;";",""),IF(AND($G76&lt;Hta_20,$G76&gt;=Hba_20,Input!AK$40&lt;&gt;""),Input!$B$40&amp;";",""),IF(AND($G76&lt;Hta_21,$G76&gt;=Hba_21,Input!AK$41&lt;&gt;""),Input!$B$41&amp;";",""),IF(AND($G76&lt;Hta_22,$G76&gt;=Hba_22,Input!AK$42&lt;&gt;""),Input!$B$42&amp;";",""),IF(AND($G76&lt;Hta_23,$G76&gt;=Hba_23,Input!AK$43&lt;&gt;""),Input!$B$43&amp;";",""),IF(AND($G76&lt;Hta_24,$G76&gt;=Hba_24,Input!AK$44&lt;&gt;""),Input!$B$44&amp;";",""),IF(AND($G76&lt;Hta_25,$G76&gt;=Hba_25,Input!AK$45&lt;&gt;""),Input!$B$45&amp;";",""),IF(AND($G76&lt;Hta_26,$G76&gt;=Hba_26,Input!AK$46&lt;&gt;""),Input!$B$46&amp;";",""),IF(AND($G76&lt;Hta_27,$G76&gt;=Hba_27,Input!AK$47&lt;&gt;""),Input!$B$47&amp;";",""),IF(AND($G76&lt;Hta_28,$G76&gt;=Hba_28,Input!AK$48&lt;&gt;""),Input!$B$48&amp;";",""),IF(AND($G76&lt;Hta_29,$G76&gt;=Hba_29,Input!AK$49&lt;&gt;""),Input!$B$49&amp;";",""),IF(AND($G76&lt;Hta_30,$G76&gt;=Hba_30,Input!AK$50&lt;&gt;""),Input!$B$50&amp;";","")),"")</f>
        <v/>
      </c>
      <c r="CM76" s="25" t="str">
        <f>IFERROR(CONCATENATE(IF(AND($G76&lt;Hta_1,$G76&gt;=Hba_1,Input!AL$21&lt;&gt;""),Input!$B$21&amp;";",""),IF(AND($G76&lt;Hta_2,$G76&gt;=Hba_2,Input!AL$22&lt;&gt;""),Input!$B$22&amp;";",""),IF(AND($G76&lt;Hta_3,$G76&gt;=Hba_3,Input!AL$23&lt;&gt;""),Input!$B$23&amp;";",""),IF(AND($G76&lt;Hta_4,$G76&gt;=Hba_4,Input!AL$24&lt;&gt;""),Input!$B$24&amp;";",""),IF(AND($G76&lt;Hta_5,$G76&gt;=Hba_5,Input!AL$25&lt;&gt;""),Input!$B$25&amp;";",""),IF(AND($G76&lt;Hta_6,$G76&gt;=Hba_6,Input!AL$26&lt;&gt;""),Input!$B$26&amp;";",""),IF(AND($G76&lt;Hta_7,$G76&gt;=Hba_7,Input!AL$27&lt;&gt;""),Input!$B$27&amp;";",""),IF(AND($G76&lt;Hta_8,$G76&gt;=Hba_8,Input!AL$28&lt;&gt;""),Input!$B$28&amp;";",""),IF(AND($G76&lt;Hta_9,$G76&gt;=Hba_9,Input!AL$29&lt;&gt;""),Input!$B$29&amp;";",""),IF(AND($G76&lt;Hta_10,$G76&gt;=Hba_10,Input!AL$30&lt;&gt;""),Input!$B$30&amp;";",""),IF(AND($G76&lt;Hta_11,$G76&gt;=Hba_11,Input!AL$31&lt;&gt;""),Input!$B$31&amp;";",""),IF(AND($G76&lt;Hta_12,$G76&gt;=Hba_12,Input!AL$32&lt;&gt;""),Input!$B$32&amp;";",""),IF(AND($G76&lt;Hta_13,$G76&gt;=Hba_13,Input!AL$33&lt;&gt;""),Input!$B$33&amp;";",""),IF(AND($G76&lt;Hta_14,$G76&gt;=Hba_14,Input!AL$34&lt;&gt;""),Input!$B$34&amp;";",""),IF(AND($G76&lt;Hta_15,$G76&gt;=Hba_15,Input!AL$35&lt;&gt;""),Input!$B$35&amp;";",""),IF(AND($G76&lt;Hta_16,$G76&gt;=Hba_16,Input!AL$36&lt;&gt;""),Input!$B$36&amp;";",""),IF(AND($G76&lt;Hta_17,$G76&gt;=Hba_17,Input!AL$37&lt;&gt;""),Input!$B$37&amp;";",""),IF(AND($G76&lt;Hta_18,$G76&gt;=Hba_18,Input!AL$38&lt;&gt;""),Input!$B$38&amp;";",""),IF(AND($G76&lt;Hta_19,$G76&gt;=Hba_19,Input!AL$39&lt;&gt;""),Input!$B$39&amp;";",""),IF(AND($G76&lt;Hta_20,$G76&gt;=Hba_20,Input!AL$40&lt;&gt;""),Input!$B$40&amp;";",""),IF(AND($G76&lt;Hta_21,$G76&gt;=Hba_21,Input!AL$41&lt;&gt;""),Input!$B$41&amp;";",""),IF(AND($G76&lt;Hta_22,$G76&gt;=Hba_22,Input!AL$42&lt;&gt;""),Input!$B$42&amp;";",""),IF(AND($G76&lt;Hta_23,$G76&gt;=Hba_23,Input!AL$43&lt;&gt;""),Input!$B$43&amp;";",""),IF(AND($G76&lt;Hta_24,$G76&gt;=Hba_24,Input!AL$44&lt;&gt;""),Input!$B$44&amp;";",""),IF(AND($G76&lt;Hta_25,$G76&gt;=Hba_25,Input!AL$45&lt;&gt;""),Input!$B$45&amp;";",""),IF(AND($G76&lt;Hta_26,$G76&gt;=Hba_26,Input!AL$46&lt;&gt;""),Input!$B$46&amp;";",""),IF(AND($G76&lt;Hta_27,$G76&gt;=Hba_27,Input!AL$47&lt;&gt;""),Input!$B$47&amp;";",""),IF(AND($G76&lt;Hta_28,$G76&gt;=Hba_28,Input!AL$48&lt;&gt;""),Input!$B$48&amp;";",""),IF(AND($G76&lt;Hta_29,$G76&gt;=Hba_29,Input!AL$49&lt;&gt;""),Input!$B$49&amp;";",""),IF(AND($G76&lt;Hta_30,$G76&gt;=Hba_30,Input!AL$50&lt;&gt;""),Input!$B$50&amp;";","")),"")</f>
        <v/>
      </c>
      <c r="CN76" s="59" t="str">
        <f t="shared" si="16"/>
        <v/>
      </c>
      <c r="CO76" s="791"/>
      <c r="CP76" s="792"/>
      <c r="CQ76" s="793"/>
      <c r="CR76" s="791"/>
      <c r="CS76" s="792"/>
      <c r="CT76" s="793"/>
      <c r="CU76" s="791" t="str">
        <f t="shared" si="17"/>
        <v/>
      </c>
      <c r="CV76" s="792"/>
      <c r="CW76" s="807"/>
      <c r="CX76" s="808"/>
      <c r="CY76" s="730"/>
      <c r="CZ76" s="809"/>
      <c r="DA76" s="733"/>
      <c r="DB76" s="734"/>
      <c r="DC76" s="735"/>
      <c r="DD76" s="729" t="str">
        <f t="shared" si="18"/>
        <v/>
      </c>
      <c r="DE76" s="730"/>
      <c r="DF76" s="731"/>
      <c r="DG76" s="55"/>
      <c r="DH76" s="56"/>
      <c r="DI76" s="56"/>
      <c r="DJ76" s="56"/>
      <c r="DK76" s="56"/>
      <c r="DL76" s="56"/>
      <c r="DM76" s="56"/>
      <c r="DN76" s="56"/>
      <c r="DO76" s="56"/>
      <c r="DP76" s="56"/>
      <c r="DQ76" s="58"/>
      <c r="DR76" s="58"/>
      <c r="DS76" s="58"/>
      <c r="DT76" s="58"/>
      <c r="DU76" s="58"/>
      <c r="DV76" s="58"/>
      <c r="DW76" s="58"/>
      <c r="DX76" s="58"/>
      <c r="DY76" s="58"/>
      <c r="DZ76" s="58"/>
      <c r="EA76" s="58"/>
      <c r="EB76" s="58"/>
      <c r="EC76" s="58"/>
      <c r="ED76" s="58"/>
      <c r="EE76" s="58"/>
      <c r="EF76" s="58"/>
      <c r="EG76" s="58"/>
      <c r="EH76" s="58"/>
      <c r="EI76" s="58"/>
      <c r="EJ76" s="58"/>
      <c r="EK76" s="58"/>
      <c r="EL76" s="134"/>
      <c r="EM76" s="134"/>
      <c r="EN76" s="134"/>
      <c r="EO76" s="134"/>
      <c r="EP76" s="134"/>
      <c r="EQ76" s="134"/>
      <c r="ER76" s="134"/>
      <c r="ES76" s="134"/>
      <c r="ET76" s="134"/>
      <c r="EU76" s="134"/>
      <c r="EV76" s="134"/>
      <c r="EW76" s="134"/>
      <c r="EX76" s="134"/>
      <c r="EY76" s="134"/>
      <c r="EZ76" s="134"/>
      <c r="FA76" s="134"/>
      <c r="FB76" s="134"/>
      <c r="FC76" s="134"/>
      <c r="FD76" s="134"/>
      <c r="FE76" s="134"/>
      <c r="FF76" s="134"/>
      <c r="FG76" s="134"/>
      <c r="FH76" s="134"/>
      <c r="FI76" s="134"/>
      <c r="FJ76" s="134"/>
      <c r="FK76" s="134"/>
      <c r="FL76" s="134"/>
      <c r="FM76" s="134"/>
      <c r="FN76" s="134"/>
      <c r="FO76" s="134"/>
      <c r="FQ76" s="124"/>
      <c r="FR76" s="122"/>
      <c r="FS76" s="120"/>
      <c r="FT76" s="119"/>
    </row>
    <row r="77" spans="2:176" ht="15.75" hidden="1" thickBot="1" x14ac:dyDescent="0.3">
      <c r="B77" s="62" t="b">
        <f>IF(OR(AND(G77&gt;='Geometry 2'!$AK$5,G77&lt;'Geometry 2'!$AL$5),AND(G77&gt;='Geometry 2'!$AK$6,G77&lt;'Geometry 2'!$AL$6),AND(G77&gt;='Geometry 2'!$AK$7,G77&lt;'Geometry 2'!$AL$7),AND(G77&gt;='Geometry 2'!$AK$8,G77&lt;'Geometry 2'!$AL$8),AND(G77&gt;='Geometry 2'!$AK$9,G77&lt;'Geometry 2'!$AL$9),AND(G77&gt;='Geometry 2'!$AK$10,G77&lt;'Geometry 2'!$AL$10),AND(G77&gt;='Geometry 2'!$AK$11,G77&lt;'Geometry 2'!$AL$11),AND(G77&gt;='Geometry 2'!$AK$12,G77&lt;'Geometry 2'!$AL$12),AND(G77&gt;='Geometry 2'!$AK$13,G77&lt;'Geometry 2'!$AL$13),AND(G77&gt;='Geometry 2'!$AK$14,G77&lt;'Geometry 2'!$AL$14)),TRUE,FALSE)</f>
        <v>0</v>
      </c>
      <c r="C77" s="4" t="str">
        <f t="shared" si="13"/>
        <v/>
      </c>
      <c r="D77" s="766" t="str">
        <f t="shared" si="14"/>
        <v/>
      </c>
      <c r="E77" s="767"/>
      <c r="F77" s="17" t="str">
        <f t="shared" si="12"/>
        <v/>
      </c>
      <c r="G77" s="768" t="str">
        <f>IF(D77="","",MAX(0,G76-IF(inc="n/a",999,inc),MAX(IF(G76&lt;=Hta_1,0,Hta_1),IF(G76&lt;=Hta_2,0,Hta_2),IF(G76&lt;=Hta_3,0,Hta_3),IF(G76&lt;=Hta_4,0,Hta_4),IF(G76&lt;=Hta_5,0,Hta_5),IF(G76&lt;=Hta_6,0,Hta_6),IF(G76&lt;=Hta_7,0,Hta_7),IF(G76&lt;=Hta_8,0,Hta_8),IF(G76&lt;=Hta_9,0,Hta_9),IF(G76&lt;=Hta_10,0,Hta_10),IF(G76&lt;=Hta_11,0,Hta_11),IF(G76&lt;=Hta_12,0,Hta_12),IF(G76&lt;=Hta_13,0,Hta_13),IF(G76&lt;=Hta_14,0,Hta_14),IF(G76&lt;=Hta_15,0,Hta_15),IF(G76&lt;=Hta_16,0,Hta_16),IF(G76&lt;=Hta_17,0,Hta_17),IF(G76&lt;=Hta_18,0,Hta_18),IF(G76&lt;=Hta_19,0,Hta_19),IF(G76&lt;=Hta_20,0,Hta_20),IF(G76&lt;=Hta_21,0,Hta_21),IF(G76&lt;=Hta_22,0,Hta_22),IF(G76&lt;=Hta_23,0,Hta_23),IF(G76&lt;=Hta_24,0,Hta_24),IF(G76&lt;=Hta_25,0,Hta_25),IF(G76&lt;=Hta_26,0,Hta_26),IF(G76&lt;=Hta_27,0,Hta_27),IF(G76&lt;=Hta_28,0,Hta_28),IF(G76&lt;=Hta_29,0,Hta_29),IF(G76&lt;=Hta_30,0,Hta_30)),MAX(IF(G76&lt;=Hta_1-0.25,0,Hta_1-0.25),IF(G76&lt;=Hta_2-0.25,0,Hta_2-0.25),IF(G76&lt;=Hta_3-0.25,0,Hta_3-0.25),IF(G76&lt;=Hta_4-0.25,0,Hta_4-0.25),IF(G76&lt;=Hta_5-0.25,0,Hta_5-0.25),IF(G76&lt;=Hta_6-0.25,0,Hta_6-0.25),IF(G76&lt;=Hta_7-0.25,0,Hta_7-0.25),IF(G76&lt;=Hta_8-0.25,0,Hta_8-0.25),IF(G76&lt;=Hta_9-0.25,0,Hta_9-0.25),IF(G76&lt;=Hta_10-0.25,0,Hta_10-0.25),IF(G76&lt;=Hta_11-0.25,0,Hta_11-0.25),IF(G76&lt;=Hta_12-0.25,0,Hta_12-0.25),IF(G76&lt;=Hta_13-0.25,0,Hta_13-0.25),IF(G76&lt;=Hta_14-0.25,0,Hta_14-0.25),IF(G76&lt;=Hta_15-0.25,0,Hta_15-0.25),IF(G76&lt;=Hta_16-0.25,0,Hta_16-0.25),IF(G76&lt;=Hta_17-0.25,0,Hta_17-0.25),IF(G76&lt;=Hta_18-0.25,0,Hta_18-0.25),IF(G76&lt;=Hta_19-0.25,0,Hta_19-0.25),IF(G76&lt;=Hta_20-0.25,0,Hta_20-0.25),IF(G76&lt;=Hta_21-0.25,0,Hta_21-0.25),IF(G76&lt;=Hta_22-0.25,0,Hta_22-0.25),IF(G76&lt;=Hta_23-0.25,0,Hta_23-0.25),IF(G76&lt;=Hta_24-0.25,0,Hta_24-0.25),IF(G76&lt;=Hta_25-0.25,0,Hta_25-0.25),IF(G76&lt;=Hta_26-0.25,0,Hta_26-0.25),IF(G76&lt;=Hta_27-0.25,0,Hta_27-0.25),IF(G76&lt;=Hta_28-0.25,0,Hta_28-0.25),IF(G76&lt;=Hta_29-0.25,0,Hta_29-0.25),IF(G76&lt;=Hta_30-0.25,0,Hta_30-0.25)),MAX(IF(G76&lt;=Hba_1,0,Hba_1),IF(G76&lt;=Hba_2,0,Hba_2),IF(G76&lt;=Hba_3,0,Hba_3),IF(G76&lt;=Hba_4,0,Hba_4),IF(G76&lt;=Hba_5,0,Hba_5),IF(G76&lt;=Hba_6,0,Hba_6),IF(G76&lt;=Hba_7,0,Hba_7),IF(G76&lt;=Hba_8,0,Hba_8),IF(G76&lt;=Hba_9,0,Hba_9),IF(G76&lt;=Hba_10,0,Hba_10),IF(G76&lt;=Hba_11,0,Hba_11),IF(G76&lt;=Hba_12,0,Hba_12),IF(G76&lt;=Hba_13,0,Hba_13),IF(G76&lt;=Hba_14,0,Hba_14),IF(G76&lt;=Hba_15,0,Hba_15),IF(G76&lt;=Hba_16,0,Hba_16),IF(G76&lt;=Hba_17,0,Hba_17),IF(G76&lt;=Hba_18,0,Hba_18),IF(G76&lt;=Hba_19,0,Hba_19),IF(G76&lt;=Hba_20,0,Hba_20),IF(G76&lt;=Hba_21,0,Hba_21),IF(G76&lt;=Hba_22,0,Hba_22),IF(G76&lt;=Hba_23,0,Hba_23),IF(G76&lt;=Hba_24,0,Hba_24),IF(G76&lt;=Hba_25,0,Hba_25),IF(G76&lt;=Hba_26,0,Hba_26),IF(G76&lt;=Hba_27,0,Hba_27),IF(G76&lt;=Hba_28,0,Hba_28),IF(G76&lt;=Hba_29,0,Hba_29),IF(G76&lt;=Hba_30,0,Hba_30)),MAX(IF(G76&lt;=Input!$C$8,0,Input!$C$8),IF(G76&lt;=Input!$C$9,0,Input!$C$9),IF(G76&lt;=Input!$C$10,0,Input!$C$10),IF(G76&lt;=Input!$C$11,0,Input!$C$11),IF(G76&lt;=Input!$C$12,0,Input!$C$12),IF(G76&lt;=Input!$C$13,0,Input!$C$13),IF(G76&lt;=Input!$C$14,0,Input!$C$14),IF(G76&lt;=Input!$C$15,0,Input!$C$15),IF(G76&lt;=Input!$C$16,0,Input!$C$16)),MAX(IF(G76&lt;=Hba_1-0.25,0,Hba_1-0.25),IF(G76&lt;=Hba_2-0.25,0,Hba_2-0.25),IF(G76&lt;=Hba_3-0.25,0,Hba_3-0.25),IF(G76&lt;=Hba_4-0.25,0,Hba_4-0.25),IF(G76&lt;=Hba_5-0.25,0,Hba_5-0.25),IF(G76&lt;=Hba_6-0.25,0,Hba_6-0.25),IF(G76&lt;=Hba_7-0.25,0,Hba_7-0.25),IF(G76&lt;=Hba_8-0.25,0,Hba_8-0.25),IF(G76&lt;=Hba_9-0.25,0,Hba_9-0.25),IF(G76&lt;=Hba_10-0.25,0,Hba_10-0.25),IF(G76&lt;=Hba_11-0.25,0,Hba_11-0.25),IF(G76&lt;=Hba_12-0.25,0,Hba_12-0.25),IF(G76&lt;=Hba_13-0.25,0,Hba_13-0.25),IF(G76&lt;=Hba_14-0.25,0,Hba_14-0.25),IF(G76&lt;=Hba_15-0.25,0,Hba_15-0.25),IF(G76&lt;=Hba_16-0.25,0,Hba_16-0.25),IF(G76&lt;=Hba_17-0.25,0,Hba_17-0.25),IF(G76&lt;=Hba_18-0.25,0,Hba_18-0.25),IF(G76&lt;=Hba_19-0.25,0,Hba_19-0.25),IF(G76&lt;=Hba_20-0.25,0,Hba_20-0.25),IF(G76&lt;=Hba_21-0.25,0,Hba_21-0.25),IF(G76&lt;=Hba_22-0.25,0,Hba_22-0.25),IF(G76&lt;=Hba_23-0.25,0,Hba_23-0.25),IF(G76&lt;=Hba_24-0.25,0,Hba_24-0.25),IF(G76&lt;=Hba_25-0.25,0,Hba_25-0.25),IF(G76&lt;=Hba_26-0.25,0,Hba_26-0.25),IF(G76&lt;=Hba_27-0.25,0,Hba_27-0.25),IF(G76&lt;=Hba_28-0.25,0,Hba_28-0.25),IF(G76&lt;=Hba_29-0.25,0,Hba_29-0.25),IF(G76&lt;=Hba_30-0.25,0,Hba_30-0.25)),IF(G76&lt;='Macro References'!$A$38,0,'Macro References'!$A$38)))</f>
        <v/>
      </c>
      <c r="H77" s="769"/>
      <c r="I77" s="228"/>
      <c r="J77" s="228"/>
      <c r="K77" s="228"/>
      <c r="L77" s="717" t="str">
        <f t="shared" si="11"/>
        <v/>
      </c>
      <c r="M77" s="717"/>
      <c r="N77" s="717"/>
      <c r="O77" s="717"/>
      <c r="P77" s="717" t="str">
        <f>IF(OR(G77=0,G77=""),"",IF(VLOOKUP(G77,'Geometry 2'!$C$4:$AI$14,1,TRUE)=VLOOKUP(G78,'Geometry 2'!$C$4:$AI$14,1,TRUE),"",IF(VLOOKUP(G77,'Geometry 2'!$C$4:$AI$14,33,TRUE)&lt;&gt;"n/a",MIN(G77,VLOOKUP(G77,'Geometry 2'!$C$4:$AI$14,1,TRUE))-VLOOKUP(G77,'Geometry 2'!$C$4:$AI$14,33,TRUE),"check")))</f>
        <v/>
      </c>
      <c r="Q77" s="717"/>
      <c r="R77" s="717"/>
      <c r="S77" s="717"/>
      <c r="T77" s="717" t="str">
        <f>IF($G77="","",VLOOKUP($G77,'Geometry 2'!$E$4:$AH$14,11,TRUE))</f>
        <v/>
      </c>
      <c r="U77" s="717"/>
      <c r="V77" s="717"/>
      <c r="W77" s="717"/>
      <c r="X77" s="716" t="str">
        <f>IF($G77="","",VLOOKUP($G77,'Geometry 2'!$E$4:$AJ$14,19,TRUE)-12*VLOOKUP($G77,'Geometry 2'!$E$4:$AJ$14,32,TRUE)*($D77-VLOOKUP($G77,'Geometry 2'!$E$5:$AH$14,1,TRUE)))</f>
        <v/>
      </c>
      <c r="Y77" s="716"/>
      <c r="Z77" s="716"/>
      <c r="AA77" s="716"/>
      <c r="AB77" s="757" t="str">
        <f>IF($G77="","",VLOOKUP($G77,'Geometry 2'!$E$4:$AJ$14,19,TRUE)-12*VLOOKUP($G77,'Geometry 2'!$E$4:$AJ$14,32,TRUE)*($G77-VLOOKUP($G77,'Geometry 2'!$E$5:$AH$14,1,TRUE)))</f>
        <v/>
      </c>
      <c r="AC77" s="758"/>
      <c r="AD77" s="758"/>
      <c r="AE77" s="759"/>
      <c r="AF77" s="716" t="str">
        <f>IF($G77="","",VLOOKUP($G77,'Geometry 2'!$E$4:$AJ$14,19,TRUE)-12*VLOOKUP($G77,'Geometry 2'!$E$4:$AJ$14,32,TRUE)*($G77-IF($P77="",0,$P77)-VLOOKUP($G77,'Geometry 2'!$E$5:$AH$14,1,TRUE)))</f>
        <v/>
      </c>
      <c r="AG77" s="716"/>
      <c r="AH77" s="716"/>
      <c r="AI77" s="716"/>
      <c r="AJ77" s="746" t="str">
        <f>IF($G77="","",VLOOKUP($G77,'Geometry 2'!$E$4:$AH$14,23,TRUE))</f>
        <v/>
      </c>
      <c r="AK77" s="747"/>
      <c r="AL77" s="747"/>
      <c r="AM77" s="748"/>
      <c r="AN77" s="717"/>
      <c r="AO77" s="717"/>
      <c r="AP77" s="717"/>
      <c r="AQ77" s="717"/>
      <c r="AR77" s="717" t="str">
        <f>IF($G77="","",VLOOKUP($G77,'Geometry 2'!$E$4:$AH$14,27,TRUE))</f>
        <v/>
      </c>
      <c r="AS77" s="717"/>
      <c r="AT77" s="717"/>
      <c r="AU77" s="718"/>
      <c r="AV77" s="715"/>
      <c r="AW77" s="716"/>
      <c r="AX77" s="716"/>
      <c r="AZ77" s="722" t="str">
        <f t="shared" si="15"/>
        <v/>
      </c>
      <c r="BA77" s="723"/>
      <c r="BB77" s="723"/>
      <c r="BC77" s="724"/>
      <c r="BD77" s="722"/>
      <c r="BE77" s="723"/>
      <c r="BF77" s="723"/>
      <c r="BG77" s="722" t="str">
        <f t="shared" si="9"/>
        <v/>
      </c>
      <c r="BH77" s="723"/>
      <c r="BI77" s="723"/>
      <c r="BJ77" s="723"/>
      <c r="BK77" s="724"/>
      <c r="BL77" s="722"/>
      <c r="BM77" s="723"/>
      <c r="BN77" s="723"/>
      <c r="BO77" s="723"/>
      <c r="BP77" s="725"/>
      <c r="BQ77" s="725"/>
      <c r="BR77" s="722" t="str">
        <f>IF(BP77="","",IF(OR(AND(Rev="H",Calculations!$F$27=TRUE),AND(Rev&lt;&gt;"H",Calculations!$F$30=TRUE)),IF(BP77&lt;=1,"Pass","Fail"),IF(BP77&lt;=1.05,"Pass","Fail")))</f>
        <v/>
      </c>
      <c r="BS77" s="723"/>
      <c r="BT77" s="724"/>
      <c r="BU77" s="49"/>
      <c r="BV77" s="25" t="str">
        <f>IFERROR(CONCATENATE(IF(AND($G77&lt;Hta_1,$G77&gt;=Hba_1,Input!U$21&lt;&gt;""),Input!$B$21&amp;";",""),IF(AND($G77&lt;Hta_2,$G77&gt;=Hba_2,Input!U$22&lt;&gt;""),Input!$B$22&amp;";",""),IF(AND($G77&lt;Hta_3,$G77&gt;=Hba_3,Input!U$23&lt;&gt;""),Input!$B$23&amp;";",""),IF(AND($G77&lt;Hta_4,$G77&gt;=Hba_4,Input!U$24&lt;&gt;""),Input!$B$24&amp;";",""),IF(AND($G77&lt;Hta_5,$G77&gt;=Hba_5,Input!U$25&lt;&gt;""),Input!$B$25&amp;";",""),IF(AND($G77&lt;Hta_6,$G77&gt;=Hba_6,Input!U$26&lt;&gt;""),Input!$B$26&amp;";",""),IF(AND($G77&lt;Hta_7,$G77&gt;=Hba_7,Input!U$27&lt;&gt;""),Input!$B$27&amp;";",""),IF(AND($G77&lt;Hta_8,$G77&gt;=Hba_8,Input!U$28&lt;&gt;""),Input!$B$28&amp;";",""),IF(AND($G77&lt;Hta_9,$G77&gt;=Hba_9,Input!U$29&lt;&gt;""),Input!$B$29&amp;";",""),IF(AND($G77&lt;Hta_10,$G77&gt;=Hba_10,Input!U$30&lt;&gt;""),Input!$B$30&amp;";",""),IF(AND($G77&lt;Hta_11,$G77&gt;=Hba_11,Input!U$31&lt;&gt;""),Input!$B$31&amp;";",""),IF(AND($G77&lt;Hta_12,$G77&gt;=Hba_12,Input!U$32&lt;&gt;""),Input!$B$32&amp;";",""),IF(AND($G77&lt;Hta_13,$G77&gt;=Hba_13,Input!U$33&lt;&gt;""),Input!$B$33&amp;";",""),IF(AND($G77&lt;Hta_14,$G77&gt;=Hba_14,Input!U$34&lt;&gt;""),Input!$B$34&amp;";",""),IF(AND($G77&lt;Hta_15,$G77&gt;=Hba_15,Input!U$35&lt;&gt;""),Input!$B$35&amp;";",""),IF(AND($G77&lt;Hta_16,$G77&gt;=Hba_16,Input!U$36&lt;&gt;""),Input!$B$36&amp;";",""),IF(AND($G77&lt;Hta_17,$G77&gt;=Hba_17,Input!U$37&lt;&gt;""),Input!$B$37&amp;";",""),IF(AND($G77&lt;Hta_18,$G77&gt;=Hba_18,Input!U$38&lt;&gt;""),Input!$B$38&amp;";",""),IF(AND($G77&lt;Hta_19,$G77&gt;=Hba_19,Input!U$39&lt;&gt;""),Input!$B$39&amp;";",""),IF(AND($G77&lt;Hta_20,$G77&gt;=Hba_20,Input!U$40&lt;&gt;""),Input!$B$40&amp;";",""),IF(AND($G77&lt;Hta_21,$G77&gt;=Hba_21,Input!U$41&lt;&gt;""),Input!$B$41&amp;";",""),IF(AND($G77&lt;Hta_22,$G77&gt;=Hba_22,Input!U$42&lt;&gt;""),Input!$B$42&amp;";",""),IF(AND($G77&lt;Hta_23,$G77&gt;=Hba_23,Input!U$43&lt;&gt;""),Input!$B$43&amp;";",""),IF(AND($G77&lt;Hta_24,$G77&gt;=Hba_24,Input!U$44&lt;&gt;""),Input!$B$44&amp;";",""),IF(AND($G77&lt;Hta_25,$G77&gt;=Hba_25,Input!U$45&lt;&gt;""),Input!$B$45&amp;";",""),IF(AND($G77&lt;Hta_26,$G77&gt;=Hba_26,Input!U$46&lt;&gt;""),Input!$B$46&amp;";",""),IF(AND($G77&lt;Hta_27,$G77&gt;=Hba_27,Input!U$47&lt;&gt;""),Input!$B$47&amp;";",""),IF(AND($G77&lt;Hta_28,$G77&gt;=Hba_28,Input!U$48&lt;&gt;""),Input!$B$48&amp;";",""),IF(AND($G77&lt;Hta_29,$G77&gt;=Hba_29,Input!U$49&lt;&gt;""),Input!$B$49&amp;";",""),IF(AND($G77&lt;Hta_30,$G77&gt;=Hba_30,Input!U$50&lt;&gt;""),Input!$B$50&amp;";","")),"")</f>
        <v/>
      </c>
      <c r="BW77" s="25" t="str">
        <f>IFERROR(CONCATENATE(IF(AND($G77&lt;Hta_1,$G77&gt;=Hba_1,Input!V$21&lt;&gt;""),Input!$B$21&amp;";",""),IF(AND($G77&lt;Hta_2,$G77&gt;=Hba_2,Input!V$22&lt;&gt;""),Input!$B$22&amp;";",""),IF(AND($G77&lt;Hta_3,$G77&gt;=Hba_3,Input!V$23&lt;&gt;""),Input!$B$23&amp;";",""),IF(AND($G77&lt;Hta_4,$G77&gt;=Hba_4,Input!V$24&lt;&gt;""),Input!$B$24&amp;";",""),IF(AND($G77&lt;Hta_5,$G77&gt;=Hba_5,Input!V$25&lt;&gt;""),Input!$B$25&amp;";",""),IF(AND($G77&lt;Hta_6,$G77&gt;=Hba_6,Input!V$26&lt;&gt;""),Input!$B$26&amp;";",""),IF(AND($G77&lt;Hta_7,$G77&gt;=Hba_7,Input!V$27&lt;&gt;""),Input!$B$27&amp;";",""),IF(AND($G77&lt;Hta_8,$G77&gt;=Hba_8,Input!V$28&lt;&gt;""),Input!$B$28&amp;";",""),IF(AND($G77&lt;Hta_9,$G77&gt;=Hba_9,Input!V$29&lt;&gt;""),Input!$B$29&amp;";",""),IF(AND($G77&lt;Hta_10,$G77&gt;=Hba_10,Input!V$30&lt;&gt;""),Input!$B$30&amp;";",""),IF(AND($G77&lt;Hta_11,$G77&gt;=Hba_11,Input!V$31&lt;&gt;""),Input!$B$31&amp;";",""),IF(AND($G77&lt;Hta_12,$G77&gt;=Hba_12,Input!V$32&lt;&gt;""),Input!$B$32&amp;";",""),IF(AND($G77&lt;Hta_13,$G77&gt;=Hba_13,Input!V$33&lt;&gt;""),Input!$B$33&amp;";",""),IF(AND($G77&lt;Hta_14,$G77&gt;=Hba_14,Input!V$34&lt;&gt;""),Input!$B$34&amp;";",""),IF(AND($G77&lt;Hta_15,$G77&gt;=Hba_15,Input!V$35&lt;&gt;""),Input!$B$35&amp;";",""),IF(AND($G77&lt;Hta_16,$G77&gt;=Hba_16,Input!V$36&lt;&gt;""),Input!$B$36&amp;";",""),IF(AND($G77&lt;Hta_17,$G77&gt;=Hba_17,Input!V$37&lt;&gt;""),Input!$B$37&amp;";",""),IF(AND($G77&lt;Hta_18,$G77&gt;=Hba_18,Input!V$38&lt;&gt;""),Input!$B$38&amp;";",""),IF(AND($G77&lt;Hta_19,$G77&gt;=Hba_19,Input!V$39&lt;&gt;""),Input!$B$39&amp;";",""),IF(AND($G77&lt;Hta_20,$G77&gt;=Hba_20,Input!V$40&lt;&gt;""),Input!$B$40&amp;";",""),IF(AND($G77&lt;Hta_21,$G77&gt;=Hba_21,Input!V$41&lt;&gt;""),Input!$B$41&amp;";",""),IF(AND($G77&lt;Hta_22,$G77&gt;=Hba_22,Input!V$42&lt;&gt;""),Input!$B$42&amp;";",""),IF(AND($G77&lt;Hta_23,$G77&gt;=Hba_23,Input!V$43&lt;&gt;""),Input!$B$43&amp;";",""),IF(AND($G77&lt;Hta_24,$G77&gt;=Hba_24,Input!V$44&lt;&gt;""),Input!$B$44&amp;";",""),IF(AND($G77&lt;Hta_25,$G77&gt;=Hba_25,Input!V$45&lt;&gt;""),Input!$B$45&amp;";",""),IF(AND($G77&lt;Hta_26,$G77&gt;=Hba_26,Input!V$46&lt;&gt;""),Input!$B$46&amp;";",""),IF(AND($G77&lt;Hta_27,$G77&gt;=Hba_27,Input!V$47&lt;&gt;""),Input!$B$47&amp;";",""),IF(AND($G77&lt;Hta_28,$G77&gt;=Hba_28,Input!V$48&lt;&gt;""),Input!$B$48&amp;";",""),IF(AND($G77&lt;Hta_29,$G77&gt;=Hba_29,Input!V$49&lt;&gt;""),Input!$B$49&amp;";",""),IF(AND($G77&lt;Hta_30,$G77&gt;=Hba_30,Input!V$50&lt;&gt;""),Input!$B$50&amp;";","")),"")</f>
        <v/>
      </c>
      <c r="BX77" s="25" t="str">
        <f>IFERROR(CONCATENATE(IF(AND($G77&lt;Hta_1,$G77&gt;=Hba_1,Input!W$21&lt;&gt;""),Input!$B$21&amp;";",""),IF(AND($G77&lt;Hta_2,$G77&gt;=Hba_2,Input!W$22&lt;&gt;""),Input!$B$22&amp;";",""),IF(AND($G77&lt;Hta_3,$G77&gt;=Hba_3,Input!W$23&lt;&gt;""),Input!$B$23&amp;";",""),IF(AND($G77&lt;Hta_4,$G77&gt;=Hba_4,Input!W$24&lt;&gt;""),Input!$B$24&amp;";",""),IF(AND($G77&lt;Hta_5,$G77&gt;=Hba_5,Input!W$25&lt;&gt;""),Input!$B$25&amp;";",""),IF(AND($G77&lt;Hta_6,$G77&gt;=Hba_6,Input!W$26&lt;&gt;""),Input!$B$26&amp;";",""),IF(AND($G77&lt;Hta_7,$G77&gt;=Hba_7,Input!W$27&lt;&gt;""),Input!$B$27&amp;";",""),IF(AND($G77&lt;Hta_8,$G77&gt;=Hba_8,Input!W$28&lt;&gt;""),Input!$B$28&amp;";",""),IF(AND($G77&lt;Hta_9,$G77&gt;=Hba_9,Input!W$29&lt;&gt;""),Input!$B$29&amp;";",""),IF(AND($G77&lt;Hta_10,$G77&gt;=Hba_10,Input!W$30&lt;&gt;""),Input!$B$30&amp;";",""),IF(AND($G77&lt;Hta_11,$G77&gt;=Hba_11,Input!W$31&lt;&gt;""),Input!$B$31&amp;";",""),IF(AND($G77&lt;Hta_12,$G77&gt;=Hba_12,Input!W$32&lt;&gt;""),Input!$B$32&amp;";",""),IF(AND($G77&lt;Hta_13,$G77&gt;=Hba_13,Input!W$33&lt;&gt;""),Input!$B$33&amp;";",""),IF(AND($G77&lt;Hta_14,$G77&gt;=Hba_14,Input!W$34&lt;&gt;""),Input!$B$34&amp;";",""),IF(AND($G77&lt;Hta_15,$G77&gt;=Hba_15,Input!W$35&lt;&gt;""),Input!$B$35&amp;";",""),IF(AND($G77&lt;Hta_16,$G77&gt;=Hba_16,Input!W$36&lt;&gt;""),Input!$B$36&amp;";",""),IF(AND($G77&lt;Hta_17,$G77&gt;=Hba_17,Input!W$37&lt;&gt;""),Input!$B$37&amp;";",""),IF(AND($G77&lt;Hta_18,$G77&gt;=Hba_18,Input!W$38&lt;&gt;""),Input!$B$38&amp;";",""),IF(AND($G77&lt;Hta_19,$G77&gt;=Hba_19,Input!W$39&lt;&gt;""),Input!$B$39&amp;";",""),IF(AND($G77&lt;Hta_20,$G77&gt;=Hba_20,Input!W$40&lt;&gt;""),Input!$B$40&amp;";",""),IF(AND($G77&lt;Hta_21,$G77&gt;=Hba_21,Input!W$41&lt;&gt;""),Input!$B$41&amp;";",""),IF(AND($G77&lt;Hta_22,$G77&gt;=Hba_22,Input!W$42&lt;&gt;""),Input!$B$42&amp;";",""),IF(AND($G77&lt;Hta_23,$G77&gt;=Hba_23,Input!W$43&lt;&gt;""),Input!$B$43&amp;";",""),IF(AND($G77&lt;Hta_24,$G77&gt;=Hba_24,Input!W$44&lt;&gt;""),Input!$B$44&amp;";",""),IF(AND($G77&lt;Hta_25,$G77&gt;=Hba_25,Input!W$45&lt;&gt;""),Input!$B$45&amp;";",""),IF(AND($G77&lt;Hta_26,$G77&gt;=Hba_26,Input!W$46&lt;&gt;""),Input!$B$46&amp;";",""),IF(AND($G77&lt;Hta_27,$G77&gt;=Hba_27,Input!W$47&lt;&gt;""),Input!$B$47&amp;";",""),IF(AND($G77&lt;Hta_28,$G77&gt;=Hba_28,Input!W$48&lt;&gt;""),Input!$B$48&amp;";",""),IF(AND($G77&lt;Hta_29,$G77&gt;=Hba_29,Input!W$49&lt;&gt;""),Input!$B$49&amp;";",""),IF(AND($G77&lt;Hta_30,$G77&gt;=Hba_30,Input!W$50&lt;&gt;""),Input!$B$50&amp;";","")),"")</f>
        <v/>
      </c>
      <c r="BY77" s="25" t="str">
        <f>IFERROR(CONCATENATE(IF(AND($G77&lt;Hta_1,$G77&gt;=Hba_1,Input!X$21&lt;&gt;""),Input!$B$21&amp;";",""),IF(AND($G77&lt;Hta_2,$G77&gt;=Hba_2,Input!X$22&lt;&gt;""),Input!$B$22&amp;";",""),IF(AND($G77&lt;Hta_3,$G77&gt;=Hba_3,Input!X$23&lt;&gt;""),Input!$B$23&amp;";",""),IF(AND($G77&lt;Hta_4,$G77&gt;=Hba_4,Input!X$24&lt;&gt;""),Input!$B$24&amp;";",""),IF(AND($G77&lt;Hta_5,$G77&gt;=Hba_5,Input!X$25&lt;&gt;""),Input!$B$25&amp;";",""),IF(AND($G77&lt;Hta_6,$G77&gt;=Hba_6,Input!X$26&lt;&gt;""),Input!$B$26&amp;";",""),IF(AND($G77&lt;Hta_7,$G77&gt;=Hba_7,Input!X$27&lt;&gt;""),Input!$B$27&amp;";",""),IF(AND($G77&lt;Hta_8,$G77&gt;=Hba_8,Input!X$28&lt;&gt;""),Input!$B$28&amp;";",""),IF(AND($G77&lt;Hta_9,$G77&gt;=Hba_9,Input!X$29&lt;&gt;""),Input!$B$29&amp;";",""),IF(AND($G77&lt;Hta_10,$G77&gt;=Hba_10,Input!X$30&lt;&gt;""),Input!$B$30&amp;";",""),IF(AND($G77&lt;Hta_11,$G77&gt;=Hba_11,Input!X$31&lt;&gt;""),Input!$B$31&amp;";",""),IF(AND($G77&lt;Hta_12,$G77&gt;=Hba_12,Input!X$32&lt;&gt;""),Input!$B$32&amp;";",""),IF(AND($G77&lt;Hta_13,$G77&gt;=Hba_13,Input!X$33&lt;&gt;""),Input!$B$33&amp;";",""),IF(AND($G77&lt;Hta_14,$G77&gt;=Hba_14,Input!X$34&lt;&gt;""),Input!$B$34&amp;";",""),IF(AND($G77&lt;Hta_15,$G77&gt;=Hba_15,Input!X$35&lt;&gt;""),Input!$B$35&amp;";",""),IF(AND($G77&lt;Hta_16,$G77&gt;=Hba_16,Input!X$36&lt;&gt;""),Input!$B$36&amp;";",""),IF(AND($G77&lt;Hta_17,$G77&gt;=Hba_17,Input!X$37&lt;&gt;""),Input!$B$37&amp;";",""),IF(AND($G77&lt;Hta_18,$G77&gt;=Hba_18,Input!X$38&lt;&gt;""),Input!$B$38&amp;";",""),IF(AND($G77&lt;Hta_19,$G77&gt;=Hba_19,Input!X$39&lt;&gt;""),Input!$B$39&amp;";",""),IF(AND($G77&lt;Hta_20,$G77&gt;=Hba_20,Input!X$40&lt;&gt;""),Input!$B$40&amp;";",""),IF(AND($G77&lt;Hta_21,$G77&gt;=Hba_21,Input!X$41&lt;&gt;""),Input!$B$41&amp;";",""),IF(AND($G77&lt;Hta_22,$G77&gt;=Hba_22,Input!X$42&lt;&gt;""),Input!$B$42&amp;";",""),IF(AND($G77&lt;Hta_23,$G77&gt;=Hba_23,Input!X$43&lt;&gt;""),Input!$B$43&amp;";",""),IF(AND($G77&lt;Hta_24,$G77&gt;=Hba_24,Input!X$44&lt;&gt;""),Input!$B$44&amp;";",""),IF(AND($G77&lt;Hta_25,$G77&gt;=Hba_25,Input!X$45&lt;&gt;""),Input!$B$45&amp;";",""),IF(AND($G77&lt;Hta_26,$G77&gt;=Hba_26,Input!X$46&lt;&gt;""),Input!$B$46&amp;";",""),IF(AND($G77&lt;Hta_27,$G77&gt;=Hba_27,Input!X$47&lt;&gt;""),Input!$B$47&amp;";",""),IF(AND($G77&lt;Hta_28,$G77&gt;=Hba_28,Input!X$48&lt;&gt;""),Input!$B$48&amp;";",""),IF(AND($G77&lt;Hta_29,$G77&gt;=Hba_29,Input!X$49&lt;&gt;""),Input!$B$49&amp;";",""),IF(AND($G77&lt;Hta_30,$G77&gt;=Hba_30,Input!X$50&lt;&gt;""),Input!$B$50&amp;";","")),"")</f>
        <v/>
      </c>
      <c r="BZ77" s="25" t="str">
        <f>IFERROR(CONCATENATE(IF(AND($G77&lt;Hta_1,$G77&gt;=Hba_1,Input!Y$21&lt;&gt;""),Input!$B$21&amp;";",""),IF(AND($G77&lt;Hta_2,$G77&gt;=Hba_2,Input!Y$22&lt;&gt;""),Input!$B$22&amp;";",""),IF(AND($G77&lt;Hta_3,$G77&gt;=Hba_3,Input!Y$23&lt;&gt;""),Input!$B$23&amp;";",""),IF(AND($G77&lt;Hta_4,$G77&gt;=Hba_4,Input!Y$24&lt;&gt;""),Input!$B$24&amp;";",""),IF(AND($G77&lt;Hta_5,$G77&gt;=Hba_5,Input!Y$25&lt;&gt;""),Input!$B$25&amp;";",""),IF(AND($G77&lt;Hta_6,$G77&gt;=Hba_6,Input!Y$26&lt;&gt;""),Input!$B$26&amp;";",""),IF(AND($G77&lt;Hta_7,$G77&gt;=Hba_7,Input!Y$27&lt;&gt;""),Input!$B$27&amp;";",""),IF(AND($G77&lt;Hta_8,$G77&gt;=Hba_8,Input!Y$28&lt;&gt;""),Input!$B$28&amp;";",""),IF(AND($G77&lt;Hta_9,$G77&gt;=Hba_9,Input!Y$29&lt;&gt;""),Input!$B$29&amp;";",""),IF(AND($G77&lt;Hta_10,$G77&gt;=Hba_10,Input!Y$30&lt;&gt;""),Input!$B$30&amp;";",""),IF(AND($G77&lt;Hta_11,$G77&gt;=Hba_11,Input!Y$31&lt;&gt;""),Input!$B$31&amp;";",""),IF(AND($G77&lt;Hta_12,$G77&gt;=Hba_12,Input!Y$32&lt;&gt;""),Input!$B$32&amp;";",""),IF(AND($G77&lt;Hta_13,$G77&gt;=Hba_13,Input!Y$33&lt;&gt;""),Input!$B$33&amp;";",""),IF(AND($G77&lt;Hta_14,$G77&gt;=Hba_14,Input!Y$34&lt;&gt;""),Input!$B$34&amp;";",""),IF(AND($G77&lt;Hta_15,$G77&gt;=Hba_15,Input!Y$35&lt;&gt;""),Input!$B$35&amp;";",""),IF(AND($G77&lt;Hta_16,$G77&gt;=Hba_16,Input!Y$36&lt;&gt;""),Input!$B$36&amp;";",""),IF(AND($G77&lt;Hta_17,$G77&gt;=Hba_17,Input!Y$37&lt;&gt;""),Input!$B$37&amp;";",""),IF(AND($G77&lt;Hta_18,$G77&gt;=Hba_18,Input!Y$38&lt;&gt;""),Input!$B$38&amp;";",""),IF(AND($G77&lt;Hta_19,$G77&gt;=Hba_19,Input!Y$39&lt;&gt;""),Input!$B$39&amp;";",""),IF(AND($G77&lt;Hta_20,$G77&gt;=Hba_20,Input!Y$40&lt;&gt;""),Input!$B$40&amp;";",""),IF(AND($G77&lt;Hta_21,$G77&gt;=Hba_21,Input!Y$41&lt;&gt;""),Input!$B$41&amp;";",""),IF(AND($G77&lt;Hta_22,$G77&gt;=Hba_22,Input!Y$42&lt;&gt;""),Input!$B$42&amp;";",""),IF(AND($G77&lt;Hta_23,$G77&gt;=Hba_23,Input!Y$43&lt;&gt;""),Input!$B$43&amp;";",""),IF(AND($G77&lt;Hta_24,$G77&gt;=Hba_24,Input!Y$44&lt;&gt;""),Input!$B$44&amp;";",""),IF(AND($G77&lt;Hta_25,$G77&gt;=Hba_25,Input!Y$45&lt;&gt;""),Input!$B$45&amp;";",""),IF(AND($G77&lt;Hta_26,$G77&gt;=Hba_26,Input!Y$46&lt;&gt;""),Input!$B$46&amp;";",""),IF(AND($G77&lt;Hta_27,$G77&gt;=Hba_27,Input!Y$47&lt;&gt;""),Input!$B$47&amp;";",""),IF(AND($G77&lt;Hta_28,$G77&gt;=Hba_28,Input!Y$48&lt;&gt;""),Input!$B$48&amp;";",""),IF(AND($G77&lt;Hta_29,$G77&gt;=Hba_29,Input!Y$49&lt;&gt;""),Input!$B$49&amp;";",""),IF(AND($G77&lt;Hta_30,$G77&gt;=Hba_30,Input!Y$50&lt;&gt;""),Input!$B$50&amp;";","")),"")</f>
        <v/>
      </c>
      <c r="CA77" s="25" t="str">
        <f>IFERROR(CONCATENATE(IF(AND($G77&lt;Hta_1,$G77&gt;=Hba_1,Input!Z$21&lt;&gt;""),Input!$B$21&amp;";",""),IF(AND($G77&lt;Hta_2,$G77&gt;=Hba_2,Input!Z$22&lt;&gt;""),Input!$B$22&amp;";",""),IF(AND($G77&lt;Hta_3,$G77&gt;=Hba_3,Input!Z$23&lt;&gt;""),Input!$B$23&amp;";",""),IF(AND($G77&lt;Hta_4,$G77&gt;=Hba_4,Input!Z$24&lt;&gt;""),Input!$B$24&amp;";",""),IF(AND($G77&lt;Hta_5,$G77&gt;=Hba_5,Input!Z$25&lt;&gt;""),Input!$B$25&amp;";",""),IF(AND($G77&lt;Hta_6,$G77&gt;=Hba_6,Input!Z$26&lt;&gt;""),Input!$B$26&amp;";",""),IF(AND($G77&lt;Hta_7,$G77&gt;=Hba_7,Input!Z$27&lt;&gt;""),Input!$B$27&amp;";",""),IF(AND($G77&lt;Hta_8,$G77&gt;=Hba_8,Input!Z$28&lt;&gt;""),Input!$B$28&amp;";",""),IF(AND($G77&lt;Hta_9,$G77&gt;=Hba_9,Input!Z$29&lt;&gt;""),Input!$B$29&amp;";",""),IF(AND($G77&lt;Hta_10,$G77&gt;=Hba_10,Input!Z$30&lt;&gt;""),Input!$B$30&amp;";",""),IF(AND($G77&lt;Hta_11,$G77&gt;=Hba_11,Input!Z$31&lt;&gt;""),Input!$B$31&amp;";",""),IF(AND($G77&lt;Hta_12,$G77&gt;=Hba_12,Input!Z$32&lt;&gt;""),Input!$B$32&amp;";",""),IF(AND($G77&lt;Hta_13,$G77&gt;=Hba_13,Input!Z$33&lt;&gt;""),Input!$B$33&amp;";",""),IF(AND($G77&lt;Hta_14,$G77&gt;=Hba_14,Input!Z$34&lt;&gt;""),Input!$B$34&amp;";",""),IF(AND($G77&lt;Hta_15,$G77&gt;=Hba_15,Input!Z$35&lt;&gt;""),Input!$B$35&amp;";",""),IF(AND($G77&lt;Hta_16,$G77&gt;=Hba_16,Input!Z$36&lt;&gt;""),Input!$B$36&amp;";",""),IF(AND($G77&lt;Hta_17,$G77&gt;=Hba_17,Input!Z$37&lt;&gt;""),Input!$B$37&amp;";",""),IF(AND($G77&lt;Hta_18,$G77&gt;=Hba_18,Input!Z$38&lt;&gt;""),Input!$B$38&amp;";",""),IF(AND($G77&lt;Hta_19,$G77&gt;=Hba_19,Input!Z$39&lt;&gt;""),Input!$B$39&amp;";",""),IF(AND($G77&lt;Hta_20,$G77&gt;=Hba_20,Input!Z$40&lt;&gt;""),Input!$B$40&amp;";",""),IF(AND($G77&lt;Hta_21,$G77&gt;=Hba_21,Input!Z$41&lt;&gt;""),Input!$B$41&amp;";",""),IF(AND($G77&lt;Hta_22,$G77&gt;=Hba_22,Input!Z$42&lt;&gt;""),Input!$B$42&amp;";",""),IF(AND($G77&lt;Hta_23,$G77&gt;=Hba_23,Input!Z$43&lt;&gt;""),Input!$B$43&amp;";",""),IF(AND($G77&lt;Hta_24,$G77&gt;=Hba_24,Input!Z$44&lt;&gt;""),Input!$B$44&amp;";",""),IF(AND($G77&lt;Hta_25,$G77&gt;=Hba_25,Input!Z$45&lt;&gt;""),Input!$B$45&amp;";",""),IF(AND($G77&lt;Hta_26,$G77&gt;=Hba_26,Input!Z$46&lt;&gt;""),Input!$B$46&amp;";",""),IF(AND($G77&lt;Hta_27,$G77&gt;=Hba_27,Input!Z$47&lt;&gt;""),Input!$B$47&amp;";",""),IF(AND($G77&lt;Hta_28,$G77&gt;=Hba_28,Input!Z$48&lt;&gt;""),Input!$B$48&amp;";",""),IF(AND($G77&lt;Hta_29,$G77&gt;=Hba_29,Input!Z$49&lt;&gt;""),Input!$B$49&amp;";",""),IF(AND($G77&lt;Hta_30,$G77&gt;=Hba_30,Input!Z$50&lt;&gt;""),Input!$B$50&amp;";","")),"")</f>
        <v/>
      </c>
      <c r="CB77" s="25" t="str">
        <f>IFERROR(CONCATENATE(IF(AND($G77&lt;Hta_1,$G77&gt;=Hba_1,Input!AA$21&lt;&gt;""),Input!$B$21&amp;";",""),IF(AND($G77&lt;Hta_2,$G77&gt;=Hba_2,Input!AA$22&lt;&gt;""),Input!$B$22&amp;";",""),IF(AND($G77&lt;Hta_3,$G77&gt;=Hba_3,Input!AA$23&lt;&gt;""),Input!$B$23&amp;";",""),IF(AND($G77&lt;Hta_4,$G77&gt;=Hba_4,Input!AA$24&lt;&gt;""),Input!$B$24&amp;";",""),IF(AND($G77&lt;Hta_5,$G77&gt;=Hba_5,Input!AA$25&lt;&gt;""),Input!$B$25&amp;";",""),IF(AND($G77&lt;Hta_6,$G77&gt;=Hba_6,Input!AA$26&lt;&gt;""),Input!$B$26&amp;";",""),IF(AND($G77&lt;Hta_7,$G77&gt;=Hba_7,Input!AA$27&lt;&gt;""),Input!$B$27&amp;";",""),IF(AND($G77&lt;Hta_8,$G77&gt;=Hba_8,Input!AA$28&lt;&gt;""),Input!$B$28&amp;";",""),IF(AND($G77&lt;Hta_9,$G77&gt;=Hba_9,Input!AA$29&lt;&gt;""),Input!$B$29&amp;";",""),IF(AND($G77&lt;Hta_10,$G77&gt;=Hba_10,Input!AA$30&lt;&gt;""),Input!$B$30&amp;";",""),IF(AND($G77&lt;Hta_11,$G77&gt;=Hba_11,Input!AA$31&lt;&gt;""),Input!$B$31&amp;";",""),IF(AND($G77&lt;Hta_12,$G77&gt;=Hba_12,Input!AA$32&lt;&gt;""),Input!$B$32&amp;";",""),IF(AND($G77&lt;Hta_13,$G77&gt;=Hba_13,Input!AA$33&lt;&gt;""),Input!$B$33&amp;";",""),IF(AND($G77&lt;Hta_14,$G77&gt;=Hba_14,Input!AA$34&lt;&gt;""),Input!$B$34&amp;";",""),IF(AND($G77&lt;Hta_15,$G77&gt;=Hba_15,Input!AA$35&lt;&gt;""),Input!$B$35&amp;";",""),IF(AND($G77&lt;Hta_16,$G77&gt;=Hba_16,Input!AA$36&lt;&gt;""),Input!$B$36&amp;";",""),IF(AND($G77&lt;Hta_17,$G77&gt;=Hba_17,Input!AA$37&lt;&gt;""),Input!$B$37&amp;";",""),IF(AND($G77&lt;Hta_18,$G77&gt;=Hba_18,Input!AA$38&lt;&gt;""),Input!$B$38&amp;";",""),IF(AND($G77&lt;Hta_19,$G77&gt;=Hba_19,Input!AA$39&lt;&gt;""),Input!$B$39&amp;";",""),IF(AND($G77&lt;Hta_20,$G77&gt;=Hba_20,Input!AA$40&lt;&gt;""),Input!$B$40&amp;";",""),IF(AND($G77&lt;Hta_21,$G77&gt;=Hba_21,Input!AA$41&lt;&gt;""),Input!$B$41&amp;";",""),IF(AND($G77&lt;Hta_22,$G77&gt;=Hba_22,Input!AA$42&lt;&gt;""),Input!$B$42&amp;";",""),IF(AND($G77&lt;Hta_23,$G77&gt;=Hba_23,Input!AA$43&lt;&gt;""),Input!$B$43&amp;";",""),IF(AND($G77&lt;Hta_24,$G77&gt;=Hba_24,Input!AA$44&lt;&gt;""),Input!$B$44&amp;";",""),IF(AND($G77&lt;Hta_25,$G77&gt;=Hba_25,Input!AA$45&lt;&gt;""),Input!$B$45&amp;";",""),IF(AND($G77&lt;Hta_26,$G77&gt;=Hba_26,Input!AA$46&lt;&gt;""),Input!$B$46&amp;";",""),IF(AND($G77&lt;Hta_27,$G77&gt;=Hba_27,Input!AA$47&lt;&gt;""),Input!$B$47&amp;";",""),IF(AND($G77&lt;Hta_28,$G77&gt;=Hba_28,Input!AA$48&lt;&gt;""),Input!$B$48&amp;";",""),IF(AND($G77&lt;Hta_29,$G77&gt;=Hba_29,Input!AA$49&lt;&gt;""),Input!$B$49&amp;";",""),IF(AND($G77&lt;Hta_30,$G77&gt;=Hba_30,Input!AA$50&lt;&gt;""),Input!$B$50&amp;";","")),"")</f>
        <v/>
      </c>
      <c r="CC77" s="25" t="str">
        <f>IFERROR(CONCATENATE(IF(AND($G77&lt;Hta_1,$G77&gt;=Hba_1,Input!AB$21&lt;&gt;""),Input!$B$21&amp;";",""),IF(AND($G77&lt;Hta_2,$G77&gt;=Hba_2,Input!AB$22&lt;&gt;""),Input!$B$22&amp;";",""),IF(AND($G77&lt;Hta_3,$G77&gt;=Hba_3,Input!AB$23&lt;&gt;""),Input!$B$23&amp;";",""),IF(AND($G77&lt;Hta_4,$G77&gt;=Hba_4,Input!AB$24&lt;&gt;""),Input!$B$24&amp;";",""),IF(AND($G77&lt;Hta_5,$G77&gt;=Hba_5,Input!AB$25&lt;&gt;""),Input!$B$25&amp;";",""),IF(AND($G77&lt;Hta_6,$G77&gt;=Hba_6,Input!AB$26&lt;&gt;""),Input!$B$26&amp;";",""),IF(AND($G77&lt;Hta_7,$G77&gt;=Hba_7,Input!AB$27&lt;&gt;""),Input!$B$27&amp;";",""),IF(AND($G77&lt;Hta_8,$G77&gt;=Hba_8,Input!AB$28&lt;&gt;""),Input!$B$28&amp;";",""),IF(AND($G77&lt;Hta_9,$G77&gt;=Hba_9,Input!AB$29&lt;&gt;""),Input!$B$29&amp;";",""),IF(AND($G77&lt;Hta_10,$G77&gt;=Hba_10,Input!AB$30&lt;&gt;""),Input!$B$30&amp;";",""),IF(AND($G77&lt;Hta_11,$G77&gt;=Hba_11,Input!AB$31&lt;&gt;""),Input!$B$31&amp;";",""),IF(AND($G77&lt;Hta_12,$G77&gt;=Hba_12,Input!AB$32&lt;&gt;""),Input!$B$32&amp;";",""),IF(AND($G77&lt;Hta_13,$G77&gt;=Hba_13,Input!AB$33&lt;&gt;""),Input!$B$33&amp;";",""),IF(AND($G77&lt;Hta_14,$G77&gt;=Hba_14,Input!AB$34&lt;&gt;""),Input!$B$34&amp;";",""),IF(AND($G77&lt;Hta_15,$G77&gt;=Hba_15,Input!AB$35&lt;&gt;""),Input!$B$35&amp;";",""),IF(AND($G77&lt;Hta_16,$G77&gt;=Hba_16,Input!AB$36&lt;&gt;""),Input!$B$36&amp;";",""),IF(AND($G77&lt;Hta_17,$G77&gt;=Hba_17,Input!AB$37&lt;&gt;""),Input!$B$37&amp;";",""),IF(AND($G77&lt;Hta_18,$G77&gt;=Hba_18,Input!AB$38&lt;&gt;""),Input!$B$38&amp;";",""),IF(AND($G77&lt;Hta_19,$G77&gt;=Hba_19,Input!AB$39&lt;&gt;""),Input!$B$39&amp;";",""),IF(AND($G77&lt;Hta_20,$G77&gt;=Hba_20,Input!AB$40&lt;&gt;""),Input!$B$40&amp;";",""),IF(AND($G77&lt;Hta_21,$G77&gt;=Hba_21,Input!AB$41&lt;&gt;""),Input!$B$41&amp;";",""),IF(AND($G77&lt;Hta_22,$G77&gt;=Hba_22,Input!AB$42&lt;&gt;""),Input!$B$42&amp;";",""),IF(AND($G77&lt;Hta_23,$G77&gt;=Hba_23,Input!AB$43&lt;&gt;""),Input!$B$43&amp;";",""),IF(AND($G77&lt;Hta_24,$G77&gt;=Hba_24,Input!AB$44&lt;&gt;""),Input!$B$44&amp;";",""),IF(AND($G77&lt;Hta_25,$G77&gt;=Hba_25,Input!AB$45&lt;&gt;""),Input!$B$45&amp;";",""),IF(AND($G77&lt;Hta_26,$G77&gt;=Hba_26,Input!AB$46&lt;&gt;""),Input!$B$46&amp;";",""),IF(AND($G77&lt;Hta_27,$G77&gt;=Hba_27,Input!AB$47&lt;&gt;""),Input!$B$47&amp;";",""),IF(AND($G77&lt;Hta_28,$G77&gt;=Hba_28,Input!AB$48&lt;&gt;""),Input!$B$48&amp;";",""),IF(AND($G77&lt;Hta_29,$G77&gt;=Hba_29,Input!AB$49&lt;&gt;""),Input!$B$49&amp;";",""),IF(AND($G77&lt;Hta_30,$G77&gt;=Hba_30,Input!AB$50&lt;&gt;""),Input!$B$50&amp;";","")),"")</f>
        <v/>
      </c>
      <c r="CD77" s="25" t="str">
        <f>IFERROR(CONCATENATE(IF(AND($G77&lt;Hta_1,$G77&gt;=Hba_1,Input!AC$21&lt;&gt;""),Input!$B$21&amp;";",""),IF(AND($G77&lt;Hta_2,$G77&gt;=Hba_2,Input!AC$22&lt;&gt;""),Input!$B$22&amp;";",""),IF(AND($G77&lt;Hta_3,$G77&gt;=Hba_3,Input!AC$23&lt;&gt;""),Input!$B$23&amp;";",""),IF(AND($G77&lt;Hta_4,$G77&gt;=Hba_4,Input!AC$24&lt;&gt;""),Input!$B$24&amp;";",""),IF(AND($G77&lt;Hta_5,$G77&gt;=Hba_5,Input!AC$25&lt;&gt;""),Input!$B$25&amp;";",""),IF(AND($G77&lt;Hta_6,$G77&gt;=Hba_6,Input!AC$26&lt;&gt;""),Input!$B$26&amp;";",""),IF(AND($G77&lt;Hta_7,$G77&gt;=Hba_7,Input!AC$27&lt;&gt;""),Input!$B$27&amp;";",""),IF(AND($G77&lt;Hta_8,$G77&gt;=Hba_8,Input!AC$28&lt;&gt;""),Input!$B$28&amp;";",""),IF(AND($G77&lt;Hta_9,$G77&gt;=Hba_9,Input!AC$29&lt;&gt;""),Input!$B$29&amp;";",""),IF(AND($G77&lt;Hta_10,$G77&gt;=Hba_10,Input!AC$30&lt;&gt;""),Input!$B$30&amp;";",""),IF(AND($G77&lt;Hta_11,$G77&gt;=Hba_11,Input!AC$31&lt;&gt;""),Input!$B$31&amp;";",""),IF(AND($G77&lt;Hta_12,$G77&gt;=Hba_12,Input!AC$32&lt;&gt;""),Input!$B$32&amp;";",""),IF(AND($G77&lt;Hta_13,$G77&gt;=Hba_13,Input!AC$33&lt;&gt;""),Input!$B$33&amp;";",""),IF(AND($G77&lt;Hta_14,$G77&gt;=Hba_14,Input!AC$34&lt;&gt;""),Input!$B$34&amp;";",""),IF(AND($G77&lt;Hta_15,$G77&gt;=Hba_15,Input!AC$35&lt;&gt;""),Input!$B$35&amp;";",""),IF(AND($G77&lt;Hta_16,$G77&gt;=Hba_16,Input!AC$36&lt;&gt;""),Input!$B$36&amp;";",""),IF(AND($G77&lt;Hta_17,$G77&gt;=Hba_17,Input!AC$37&lt;&gt;""),Input!$B$37&amp;";",""),IF(AND($G77&lt;Hta_18,$G77&gt;=Hba_18,Input!AC$38&lt;&gt;""),Input!$B$38&amp;";",""),IF(AND($G77&lt;Hta_19,$G77&gt;=Hba_19,Input!AC$39&lt;&gt;""),Input!$B$39&amp;";",""),IF(AND($G77&lt;Hta_20,$G77&gt;=Hba_20,Input!AC$40&lt;&gt;""),Input!$B$40&amp;";",""),IF(AND($G77&lt;Hta_21,$G77&gt;=Hba_21,Input!AC$41&lt;&gt;""),Input!$B$41&amp;";",""),IF(AND($G77&lt;Hta_22,$G77&gt;=Hba_22,Input!AC$42&lt;&gt;""),Input!$B$42&amp;";",""),IF(AND($G77&lt;Hta_23,$G77&gt;=Hba_23,Input!AC$43&lt;&gt;""),Input!$B$43&amp;";",""),IF(AND($G77&lt;Hta_24,$G77&gt;=Hba_24,Input!AC$44&lt;&gt;""),Input!$B$44&amp;";",""),IF(AND($G77&lt;Hta_25,$G77&gt;=Hba_25,Input!AC$45&lt;&gt;""),Input!$B$45&amp;";",""),IF(AND($G77&lt;Hta_26,$G77&gt;=Hba_26,Input!AC$46&lt;&gt;""),Input!$B$46&amp;";",""),IF(AND($G77&lt;Hta_27,$G77&gt;=Hba_27,Input!AC$47&lt;&gt;""),Input!$B$47&amp;";",""),IF(AND($G77&lt;Hta_28,$G77&gt;=Hba_28,Input!AC$48&lt;&gt;""),Input!$B$48&amp;";",""),IF(AND($G77&lt;Hta_29,$G77&gt;=Hba_29,Input!AC$49&lt;&gt;""),Input!$B$49&amp;";",""),IF(AND($G77&lt;Hta_30,$G77&gt;=Hba_30,Input!AC$50&lt;&gt;""),Input!$B$50&amp;";","")),"")</f>
        <v/>
      </c>
      <c r="CE77" s="25" t="str">
        <f>IFERROR(CONCATENATE(IF(AND($G77&lt;Hta_1,$G77&gt;=Hba_1,Input!AD$21&lt;&gt;""),Input!$B$21&amp;";",""),IF(AND($G77&lt;Hta_2,$G77&gt;=Hba_2,Input!AD$22&lt;&gt;""),Input!$B$22&amp;";",""),IF(AND($G77&lt;Hta_3,$G77&gt;=Hba_3,Input!AD$23&lt;&gt;""),Input!$B$23&amp;";",""),IF(AND($G77&lt;Hta_4,$G77&gt;=Hba_4,Input!AD$24&lt;&gt;""),Input!$B$24&amp;";",""),IF(AND($G77&lt;Hta_5,$G77&gt;=Hba_5,Input!AD$25&lt;&gt;""),Input!$B$25&amp;";",""),IF(AND($G77&lt;Hta_6,$G77&gt;=Hba_6,Input!AD$26&lt;&gt;""),Input!$B$26&amp;";",""),IF(AND($G77&lt;Hta_7,$G77&gt;=Hba_7,Input!AD$27&lt;&gt;""),Input!$B$27&amp;";",""),IF(AND($G77&lt;Hta_8,$G77&gt;=Hba_8,Input!AD$28&lt;&gt;""),Input!$B$28&amp;";",""),IF(AND($G77&lt;Hta_9,$G77&gt;=Hba_9,Input!AD$29&lt;&gt;""),Input!$B$29&amp;";",""),IF(AND($G77&lt;Hta_10,$G77&gt;=Hba_10,Input!AD$30&lt;&gt;""),Input!$B$30&amp;";",""),IF(AND($G77&lt;Hta_11,$G77&gt;=Hba_11,Input!AD$31&lt;&gt;""),Input!$B$31&amp;";",""),IF(AND($G77&lt;Hta_12,$G77&gt;=Hba_12,Input!AD$32&lt;&gt;""),Input!$B$32&amp;";",""),IF(AND($G77&lt;Hta_13,$G77&gt;=Hba_13,Input!AD$33&lt;&gt;""),Input!$B$33&amp;";",""),IF(AND($G77&lt;Hta_14,$G77&gt;=Hba_14,Input!AD$34&lt;&gt;""),Input!$B$34&amp;";",""),IF(AND($G77&lt;Hta_15,$G77&gt;=Hba_15,Input!AD$35&lt;&gt;""),Input!$B$35&amp;";",""),IF(AND($G77&lt;Hta_16,$G77&gt;=Hba_16,Input!AD$36&lt;&gt;""),Input!$B$36&amp;";",""),IF(AND($G77&lt;Hta_17,$G77&gt;=Hba_17,Input!AD$37&lt;&gt;""),Input!$B$37&amp;";",""),IF(AND($G77&lt;Hta_18,$G77&gt;=Hba_18,Input!AD$38&lt;&gt;""),Input!$B$38&amp;";",""),IF(AND($G77&lt;Hta_19,$G77&gt;=Hba_19,Input!AD$39&lt;&gt;""),Input!$B$39&amp;";",""),IF(AND($G77&lt;Hta_20,$G77&gt;=Hba_20,Input!AD$40&lt;&gt;""),Input!$B$40&amp;";",""),IF(AND($G77&lt;Hta_21,$G77&gt;=Hba_21,Input!AD$41&lt;&gt;""),Input!$B$41&amp;";",""),IF(AND($G77&lt;Hta_22,$G77&gt;=Hba_22,Input!AD$42&lt;&gt;""),Input!$B$42&amp;";",""),IF(AND($G77&lt;Hta_23,$G77&gt;=Hba_23,Input!AD$43&lt;&gt;""),Input!$B$43&amp;";",""),IF(AND($G77&lt;Hta_24,$G77&gt;=Hba_24,Input!AD$44&lt;&gt;""),Input!$B$44&amp;";",""),IF(AND($G77&lt;Hta_25,$G77&gt;=Hba_25,Input!AD$45&lt;&gt;""),Input!$B$45&amp;";",""),IF(AND($G77&lt;Hta_26,$G77&gt;=Hba_26,Input!AD$46&lt;&gt;""),Input!$B$46&amp;";",""),IF(AND($G77&lt;Hta_27,$G77&gt;=Hba_27,Input!AD$47&lt;&gt;""),Input!$B$47&amp;";",""),IF(AND($G77&lt;Hta_28,$G77&gt;=Hba_28,Input!AD$48&lt;&gt;""),Input!$B$48&amp;";",""),IF(AND($G77&lt;Hta_29,$G77&gt;=Hba_29,Input!AD$49&lt;&gt;""),Input!$B$49&amp;";",""),IF(AND($G77&lt;Hta_30,$G77&gt;=Hba_30,Input!AD$50&lt;&gt;""),Input!$B$50&amp;";","")),"")</f>
        <v/>
      </c>
      <c r="CF77" s="25" t="str">
        <f>IFERROR(CONCATENATE(IF(AND($G77&lt;Hta_1,$G77&gt;=Hba_1,Input!AE$21&lt;&gt;""),Input!$B$21&amp;";",""),IF(AND($G77&lt;Hta_2,$G77&gt;=Hba_2,Input!AE$22&lt;&gt;""),Input!$B$22&amp;";",""),IF(AND($G77&lt;Hta_3,$G77&gt;=Hba_3,Input!AE$23&lt;&gt;""),Input!$B$23&amp;";",""),IF(AND($G77&lt;Hta_4,$G77&gt;=Hba_4,Input!AE$24&lt;&gt;""),Input!$B$24&amp;";",""),IF(AND($G77&lt;Hta_5,$G77&gt;=Hba_5,Input!AE$25&lt;&gt;""),Input!$B$25&amp;";",""),IF(AND($G77&lt;Hta_6,$G77&gt;=Hba_6,Input!AE$26&lt;&gt;""),Input!$B$26&amp;";",""),IF(AND($G77&lt;Hta_7,$G77&gt;=Hba_7,Input!AE$27&lt;&gt;""),Input!$B$27&amp;";",""),IF(AND($G77&lt;Hta_8,$G77&gt;=Hba_8,Input!AE$28&lt;&gt;""),Input!$B$28&amp;";",""),IF(AND($G77&lt;Hta_9,$G77&gt;=Hba_9,Input!AE$29&lt;&gt;""),Input!$B$29&amp;";",""),IF(AND($G77&lt;Hta_10,$G77&gt;=Hba_10,Input!AE$30&lt;&gt;""),Input!$B$30&amp;";",""),IF(AND($G77&lt;Hta_11,$G77&gt;=Hba_11,Input!AE$31&lt;&gt;""),Input!$B$31&amp;";",""),IF(AND($G77&lt;Hta_12,$G77&gt;=Hba_12,Input!AE$32&lt;&gt;""),Input!$B$32&amp;";",""),IF(AND($G77&lt;Hta_13,$G77&gt;=Hba_13,Input!AE$33&lt;&gt;""),Input!$B$33&amp;";",""),IF(AND($G77&lt;Hta_14,$G77&gt;=Hba_14,Input!AE$34&lt;&gt;""),Input!$B$34&amp;";",""),IF(AND($G77&lt;Hta_15,$G77&gt;=Hba_15,Input!AE$35&lt;&gt;""),Input!$B$35&amp;";",""),IF(AND($G77&lt;Hta_16,$G77&gt;=Hba_16,Input!AE$36&lt;&gt;""),Input!$B$36&amp;";",""),IF(AND($G77&lt;Hta_17,$G77&gt;=Hba_17,Input!AE$37&lt;&gt;""),Input!$B$37&amp;";",""),IF(AND($G77&lt;Hta_18,$G77&gt;=Hba_18,Input!AE$38&lt;&gt;""),Input!$B$38&amp;";",""),IF(AND($G77&lt;Hta_19,$G77&gt;=Hba_19,Input!AE$39&lt;&gt;""),Input!$B$39&amp;";",""),IF(AND($G77&lt;Hta_20,$G77&gt;=Hba_20,Input!AE$40&lt;&gt;""),Input!$B$40&amp;";",""),IF(AND($G77&lt;Hta_21,$G77&gt;=Hba_21,Input!AE$41&lt;&gt;""),Input!$B$41&amp;";",""),IF(AND($G77&lt;Hta_22,$G77&gt;=Hba_22,Input!AE$42&lt;&gt;""),Input!$B$42&amp;";",""),IF(AND($G77&lt;Hta_23,$G77&gt;=Hba_23,Input!AE$43&lt;&gt;""),Input!$B$43&amp;";",""),IF(AND($G77&lt;Hta_24,$G77&gt;=Hba_24,Input!AE$44&lt;&gt;""),Input!$B$44&amp;";",""),IF(AND($G77&lt;Hta_25,$G77&gt;=Hba_25,Input!AE$45&lt;&gt;""),Input!$B$45&amp;";",""),IF(AND($G77&lt;Hta_26,$G77&gt;=Hba_26,Input!AE$46&lt;&gt;""),Input!$B$46&amp;";",""),IF(AND($G77&lt;Hta_27,$G77&gt;=Hba_27,Input!AE$47&lt;&gt;""),Input!$B$47&amp;";",""),IF(AND($G77&lt;Hta_28,$G77&gt;=Hba_28,Input!AE$48&lt;&gt;""),Input!$B$48&amp;";",""),IF(AND($G77&lt;Hta_29,$G77&gt;=Hba_29,Input!AE$49&lt;&gt;""),Input!$B$49&amp;";",""),IF(AND($G77&lt;Hta_30,$G77&gt;=Hba_30,Input!AE$50&lt;&gt;""),Input!$B$50&amp;";","")),"")</f>
        <v/>
      </c>
      <c r="CG77" s="25" t="str">
        <f>IFERROR(CONCATENATE(IF(AND($G77&lt;Hta_1,$G77&gt;=Hba_1,Input!AF$21&lt;&gt;""),Input!$B$21&amp;";",""),IF(AND($G77&lt;Hta_2,$G77&gt;=Hba_2,Input!AF$22&lt;&gt;""),Input!$B$22&amp;";",""),IF(AND($G77&lt;Hta_3,$G77&gt;=Hba_3,Input!AF$23&lt;&gt;""),Input!$B$23&amp;";",""),IF(AND($G77&lt;Hta_4,$G77&gt;=Hba_4,Input!AF$24&lt;&gt;""),Input!$B$24&amp;";",""),IF(AND($G77&lt;Hta_5,$G77&gt;=Hba_5,Input!AF$25&lt;&gt;""),Input!$B$25&amp;";",""),IF(AND($G77&lt;Hta_6,$G77&gt;=Hba_6,Input!AF$26&lt;&gt;""),Input!$B$26&amp;";",""),IF(AND($G77&lt;Hta_7,$G77&gt;=Hba_7,Input!AF$27&lt;&gt;""),Input!$B$27&amp;";",""),IF(AND($G77&lt;Hta_8,$G77&gt;=Hba_8,Input!AF$28&lt;&gt;""),Input!$B$28&amp;";",""),IF(AND($G77&lt;Hta_9,$G77&gt;=Hba_9,Input!AF$29&lt;&gt;""),Input!$B$29&amp;";",""),IF(AND($G77&lt;Hta_10,$G77&gt;=Hba_10,Input!AF$30&lt;&gt;""),Input!$B$30&amp;";",""),IF(AND($G77&lt;Hta_11,$G77&gt;=Hba_11,Input!AF$31&lt;&gt;""),Input!$B$31&amp;";",""),IF(AND($G77&lt;Hta_12,$G77&gt;=Hba_12,Input!AF$32&lt;&gt;""),Input!$B$32&amp;";",""),IF(AND($G77&lt;Hta_13,$G77&gt;=Hba_13,Input!AF$33&lt;&gt;""),Input!$B$33&amp;";",""),IF(AND($G77&lt;Hta_14,$G77&gt;=Hba_14,Input!AF$34&lt;&gt;""),Input!$B$34&amp;";",""),IF(AND($G77&lt;Hta_15,$G77&gt;=Hba_15,Input!AF$35&lt;&gt;""),Input!$B$35&amp;";",""),IF(AND($G77&lt;Hta_16,$G77&gt;=Hba_16,Input!AF$36&lt;&gt;""),Input!$B$36&amp;";",""),IF(AND($G77&lt;Hta_17,$G77&gt;=Hba_17,Input!AF$37&lt;&gt;""),Input!$B$37&amp;";",""),IF(AND($G77&lt;Hta_18,$G77&gt;=Hba_18,Input!AF$38&lt;&gt;""),Input!$B$38&amp;";",""),IF(AND($G77&lt;Hta_19,$G77&gt;=Hba_19,Input!AF$39&lt;&gt;""),Input!$B$39&amp;";",""),IF(AND($G77&lt;Hta_20,$G77&gt;=Hba_20,Input!AF$40&lt;&gt;""),Input!$B$40&amp;";",""),IF(AND($G77&lt;Hta_21,$G77&gt;=Hba_21,Input!AF$41&lt;&gt;""),Input!$B$41&amp;";",""),IF(AND($G77&lt;Hta_22,$G77&gt;=Hba_22,Input!AF$42&lt;&gt;""),Input!$B$42&amp;";",""),IF(AND($G77&lt;Hta_23,$G77&gt;=Hba_23,Input!AF$43&lt;&gt;""),Input!$B$43&amp;";",""),IF(AND($G77&lt;Hta_24,$G77&gt;=Hba_24,Input!AF$44&lt;&gt;""),Input!$B$44&amp;";",""),IF(AND($G77&lt;Hta_25,$G77&gt;=Hba_25,Input!AF$45&lt;&gt;""),Input!$B$45&amp;";",""),IF(AND($G77&lt;Hta_26,$G77&gt;=Hba_26,Input!AF$46&lt;&gt;""),Input!$B$46&amp;";",""),IF(AND($G77&lt;Hta_27,$G77&gt;=Hba_27,Input!AF$47&lt;&gt;""),Input!$B$47&amp;";",""),IF(AND($G77&lt;Hta_28,$G77&gt;=Hba_28,Input!AF$48&lt;&gt;""),Input!$B$48&amp;";",""),IF(AND($G77&lt;Hta_29,$G77&gt;=Hba_29,Input!AF$49&lt;&gt;""),Input!$B$49&amp;";",""),IF(AND($G77&lt;Hta_30,$G77&gt;=Hba_30,Input!AF$50&lt;&gt;""),Input!$B$50&amp;";","")),"")</f>
        <v/>
      </c>
      <c r="CH77" s="25" t="str">
        <f>IFERROR(CONCATENATE(IF(AND($G77&lt;Hta_1,$G77&gt;=Hba_1,Input!AG$21&lt;&gt;""),Input!$B$21&amp;";",""),IF(AND($G77&lt;Hta_2,$G77&gt;=Hba_2,Input!AG$22&lt;&gt;""),Input!$B$22&amp;";",""),IF(AND($G77&lt;Hta_3,$G77&gt;=Hba_3,Input!AG$23&lt;&gt;""),Input!$B$23&amp;";",""),IF(AND($G77&lt;Hta_4,$G77&gt;=Hba_4,Input!AG$24&lt;&gt;""),Input!$B$24&amp;";",""),IF(AND($G77&lt;Hta_5,$G77&gt;=Hba_5,Input!AG$25&lt;&gt;""),Input!$B$25&amp;";",""),IF(AND($G77&lt;Hta_6,$G77&gt;=Hba_6,Input!AG$26&lt;&gt;""),Input!$B$26&amp;";",""),IF(AND($G77&lt;Hta_7,$G77&gt;=Hba_7,Input!AG$27&lt;&gt;""),Input!$B$27&amp;";",""),IF(AND($G77&lt;Hta_8,$G77&gt;=Hba_8,Input!AG$28&lt;&gt;""),Input!$B$28&amp;";",""),IF(AND($G77&lt;Hta_9,$G77&gt;=Hba_9,Input!AG$29&lt;&gt;""),Input!$B$29&amp;";",""),IF(AND($G77&lt;Hta_10,$G77&gt;=Hba_10,Input!AG$30&lt;&gt;""),Input!$B$30&amp;";",""),IF(AND($G77&lt;Hta_11,$G77&gt;=Hba_11,Input!AG$31&lt;&gt;""),Input!$B$31&amp;";",""),IF(AND($G77&lt;Hta_12,$G77&gt;=Hba_12,Input!AG$32&lt;&gt;""),Input!$B$32&amp;";",""),IF(AND($G77&lt;Hta_13,$G77&gt;=Hba_13,Input!AG$33&lt;&gt;""),Input!$B$33&amp;";",""),IF(AND($G77&lt;Hta_14,$G77&gt;=Hba_14,Input!AG$34&lt;&gt;""),Input!$B$34&amp;";",""),IF(AND($G77&lt;Hta_15,$G77&gt;=Hba_15,Input!AG$35&lt;&gt;""),Input!$B$35&amp;";",""),IF(AND($G77&lt;Hta_16,$G77&gt;=Hba_16,Input!AG$36&lt;&gt;""),Input!$B$36&amp;";",""),IF(AND($G77&lt;Hta_17,$G77&gt;=Hba_17,Input!AG$37&lt;&gt;""),Input!$B$37&amp;";",""),IF(AND($G77&lt;Hta_18,$G77&gt;=Hba_18,Input!AG$38&lt;&gt;""),Input!$B$38&amp;";",""),IF(AND($G77&lt;Hta_19,$G77&gt;=Hba_19,Input!AG$39&lt;&gt;""),Input!$B$39&amp;";",""),IF(AND($G77&lt;Hta_20,$G77&gt;=Hba_20,Input!AG$40&lt;&gt;""),Input!$B$40&amp;";",""),IF(AND($G77&lt;Hta_21,$G77&gt;=Hba_21,Input!AG$41&lt;&gt;""),Input!$B$41&amp;";",""),IF(AND($G77&lt;Hta_22,$G77&gt;=Hba_22,Input!AG$42&lt;&gt;""),Input!$B$42&amp;";",""),IF(AND($G77&lt;Hta_23,$G77&gt;=Hba_23,Input!AG$43&lt;&gt;""),Input!$B$43&amp;";",""),IF(AND($G77&lt;Hta_24,$G77&gt;=Hba_24,Input!AG$44&lt;&gt;""),Input!$B$44&amp;";",""),IF(AND($G77&lt;Hta_25,$G77&gt;=Hba_25,Input!AG$45&lt;&gt;""),Input!$B$45&amp;";",""),IF(AND($G77&lt;Hta_26,$G77&gt;=Hba_26,Input!AG$46&lt;&gt;""),Input!$B$46&amp;";",""),IF(AND($G77&lt;Hta_27,$G77&gt;=Hba_27,Input!AG$47&lt;&gt;""),Input!$B$47&amp;";",""),IF(AND($G77&lt;Hta_28,$G77&gt;=Hba_28,Input!AG$48&lt;&gt;""),Input!$B$48&amp;";",""),IF(AND($G77&lt;Hta_29,$G77&gt;=Hba_29,Input!AG$49&lt;&gt;""),Input!$B$49&amp;";",""),IF(AND($G77&lt;Hta_30,$G77&gt;=Hba_30,Input!AG$50&lt;&gt;""),Input!$B$50&amp;";","")),"")</f>
        <v/>
      </c>
      <c r="CI77" s="25" t="str">
        <f>IFERROR(CONCATENATE(IF(AND($G77&lt;Hta_1,$G77&gt;=Hba_1,Input!AH$21&lt;&gt;""),Input!$B$21&amp;";",""),IF(AND($G77&lt;Hta_2,$G77&gt;=Hba_2,Input!AH$22&lt;&gt;""),Input!$B$22&amp;";",""),IF(AND($G77&lt;Hta_3,$G77&gt;=Hba_3,Input!AH$23&lt;&gt;""),Input!$B$23&amp;";",""),IF(AND($G77&lt;Hta_4,$G77&gt;=Hba_4,Input!AH$24&lt;&gt;""),Input!$B$24&amp;";",""),IF(AND($G77&lt;Hta_5,$G77&gt;=Hba_5,Input!AH$25&lt;&gt;""),Input!$B$25&amp;";",""),IF(AND($G77&lt;Hta_6,$G77&gt;=Hba_6,Input!AH$26&lt;&gt;""),Input!$B$26&amp;";",""),IF(AND($G77&lt;Hta_7,$G77&gt;=Hba_7,Input!AH$27&lt;&gt;""),Input!$B$27&amp;";",""),IF(AND($G77&lt;Hta_8,$G77&gt;=Hba_8,Input!AH$28&lt;&gt;""),Input!$B$28&amp;";",""),IF(AND($G77&lt;Hta_9,$G77&gt;=Hba_9,Input!AH$29&lt;&gt;""),Input!$B$29&amp;";",""),IF(AND($G77&lt;Hta_10,$G77&gt;=Hba_10,Input!AH$30&lt;&gt;""),Input!$B$30&amp;";",""),IF(AND($G77&lt;Hta_11,$G77&gt;=Hba_11,Input!AH$31&lt;&gt;""),Input!$B$31&amp;";",""),IF(AND($G77&lt;Hta_12,$G77&gt;=Hba_12,Input!AH$32&lt;&gt;""),Input!$B$32&amp;";",""),IF(AND($G77&lt;Hta_13,$G77&gt;=Hba_13,Input!AH$33&lt;&gt;""),Input!$B$33&amp;";",""),IF(AND($G77&lt;Hta_14,$G77&gt;=Hba_14,Input!AH$34&lt;&gt;""),Input!$B$34&amp;";",""),IF(AND($G77&lt;Hta_15,$G77&gt;=Hba_15,Input!AH$35&lt;&gt;""),Input!$B$35&amp;";",""),IF(AND($G77&lt;Hta_16,$G77&gt;=Hba_16,Input!AH$36&lt;&gt;""),Input!$B$36&amp;";",""),IF(AND($G77&lt;Hta_17,$G77&gt;=Hba_17,Input!AH$37&lt;&gt;""),Input!$B$37&amp;";",""),IF(AND($G77&lt;Hta_18,$G77&gt;=Hba_18,Input!AH$38&lt;&gt;""),Input!$B$38&amp;";",""),IF(AND($G77&lt;Hta_19,$G77&gt;=Hba_19,Input!AH$39&lt;&gt;""),Input!$B$39&amp;";",""),IF(AND($G77&lt;Hta_20,$G77&gt;=Hba_20,Input!AH$40&lt;&gt;""),Input!$B$40&amp;";",""),IF(AND($G77&lt;Hta_21,$G77&gt;=Hba_21,Input!AH$41&lt;&gt;""),Input!$B$41&amp;";",""),IF(AND($G77&lt;Hta_22,$G77&gt;=Hba_22,Input!AH$42&lt;&gt;""),Input!$B$42&amp;";",""),IF(AND($G77&lt;Hta_23,$G77&gt;=Hba_23,Input!AH$43&lt;&gt;""),Input!$B$43&amp;";",""),IF(AND($G77&lt;Hta_24,$G77&gt;=Hba_24,Input!AH$44&lt;&gt;""),Input!$B$44&amp;";",""),IF(AND($G77&lt;Hta_25,$G77&gt;=Hba_25,Input!AH$45&lt;&gt;""),Input!$B$45&amp;";",""),IF(AND($G77&lt;Hta_26,$G77&gt;=Hba_26,Input!AH$46&lt;&gt;""),Input!$B$46&amp;";",""),IF(AND($G77&lt;Hta_27,$G77&gt;=Hba_27,Input!AH$47&lt;&gt;""),Input!$B$47&amp;";",""),IF(AND($G77&lt;Hta_28,$G77&gt;=Hba_28,Input!AH$48&lt;&gt;""),Input!$B$48&amp;";",""),IF(AND($G77&lt;Hta_29,$G77&gt;=Hba_29,Input!AH$49&lt;&gt;""),Input!$B$49&amp;";",""),IF(AND($G77&lt;Hta_30,$G77&gt;=Hba_30,Input!AH$50&lt;&gt;""),Input!$B$50&amp;";","")),"")</f>
        <v/>
      </c>
      <c r="CJ77" s="25" t="str">
        <f>IFERROR(CONCATENATE(IF(AND($G77&lt;Hta_1,$G77&gt;=Hba_1,Input!AI$21&lt;&gt;""),Input!$B$21&amp;";",""),IF(AND($G77&lt;Hta_2,$G77&gt;=Hba_2,Input!AI$22&lt;&gt;""),Input!$B$22&amp;";",""),IF(AND($G77&lt;Hta_3,$G77&gt;=Hba_3,Input!AI$23&lt;&gt;""),Input!$B$23&amp;";",""),IF(AND($G77&lt;Hta_4,$G77&gt;=Hba_4,Input!AI$24&lt;&gt;""),Input!$B$24&amp;";",""),IF(AND($G77&lt;Hta_5,$G77&gt;=Hba_5,Input!AI$25&lt;&gt;""),Input!$B$25&amp;";",""),IF(AND($G77&lt;Hta_6,$G77&gt;=Hba_6,Input!AI$26&lt;&gt;""),Input!$B$26&amp;";",""),IF(AND($G77&lt;Hta_7,$G77&gt;=Hba_7,Input!AI$27&lt;&gt;""),Input!$B$27&amp;";",""),IF(AND($G77&lt;Hta_8,$G77&gt;=Hba_8,Input!AI$28&lt;&gt;""),Input!$B$28&amp;";",""),IF(AND($G77&lt;Hta_9,$G77&gt;=Hba_9,Input!AI$29&lt;&gt;""),Input!$B$29&amp;";",""),IF(AND($G77&lt;Hta_10,$G77&gt;=Hba_10,Input!AI$30&lt;&gt;""),Input!$B$30&amp;";",""),IF(AND($G77&lt;Hta_11,$G77&gt;=Hba_11,Input!AI$31&lt;&gt;""),Input!$B$31&amp;";",""),IF(AND($G77&lt;Hta_12,$G77&gt;=Hba_12,Input!AI$32&lt;&gt;""),Input!$B$32&amp;";",""),IF(AND($G77&lt;Hta_13,$G77&gt;=Hba_13,Input!AI$33&lt;&gt;""),Input!$B$33&amp;";",""),IF(AND($G77&lt;Hta_14,$G77&gt;=Hba_14,Input!AI$34&lt;&gt;""),Input!$B$34&amp;";",""),IF(AND($G77&lt;Hta_15,$G77&gt;=Hba_15,Input!AI$35&lt;&gt;""),Input!$B$35&amp;";",""),IF(AND($G77&lt;Hta_16,$G77&gt;=Hba_16,Input!AI$36&lt;&gt;""),Input!$B$36&amp;";",""),IF(AND($G77&lt;Hta_17,$G77&gt;=Hba_17,Input!AI$37&lt;&gt;""),Input!$B$37&amp;";",""),IF(AND($G77&lt;Hta_18,$G77&gt;=Hba_18,Input!AI$38&lt;&gt;""),Input!$B$38&amp;";",""),IF(AND($G77&lt;Hta_19,$G77&gt;=Hba_19,Input!AI$39&lt;&gt;""),Input!$B$39&amp;";",""),IF(AND($G77&lt;Hta_20,$G77&gt;=Hba_20,Input!AI$40&lt;&gt;""),Input!$B$40&amp;";",""),IF(AND($G77&lt;Hta_21,$G77&gt;=Hba_21,Input!AI$41&lt;&gt;""),Input!$B$41&amp;";",""),IF(AND($G77&lt;Hta_22,$G77&gt;=Hba_22,Input!AI$42&lt;&gt;""),Input!$B$42&amp;";",""),IF(AND($G77&lt;Hta_23,$G77&gt;=Hba_23,Input!AI$43&lt;&gt;""),Input!$B$43&amp;";",""),IF(AND($G77&lt;Hta_24,$G77&gt;=Hba_24,Input!AI$44&lt;&gt;""),Input!$B$44&amp;";",""),IF(AND($G77&lt;Hta_25,$G77&gt;=Hba_25,Input!AI$45&lt;&gt;""),Input!$B$45&amp;";",""),IF(AND($G77&lt;Hta_26,$G77&gt;=Hba_26,Input!AI$46&lt;&gt;""),Input!$B$46&amp;";",""),IF(AND($G77&lt;Hta_27,$G77&gt;=Hba_27,Input!AI$47&lt;&gt;""),Input!$B$47&amp;";",""),IF(AND($G77&lt;Hta_28,$G77&gt;=Hba_28,Input!AI$48&lt;&gt;""),Input!$B$48&amp;";",""),IF(AND($G77&lt;Hta_29,$G77&gt;=Hba_29,Input!AI$49&lt;&gt;""),Input!$B$49&amp;";",""),IF(AND($G77&lt;Hta_30,$G77&gt;=Hba_30,Input!AI$50&lt;&gt;""),Input!$B$50&amp;";","")),"")</f>
        <v/>
      </c>
      <c r="CK77" s="25" t="str">
        <f>IFERROR(CONCATENATE(IF(AND($G77&lt;Hta_1,$G77&gt;=Hba_1,Input!AJ$21&lt;&gt;""),Input!$B$21&amp;";",""),IF(AND($G77&lt;Hta_2,$G77&gt;=Hba_2,Input!AJ$22&lt;&gt;""),Input!$B$22&amp;";",""),IF(AND($G77&lt;Hta_3,$G77&gt;=Hba_3,Input!AJ$23&lt;&gt;""),Input!$B$23&amp;";",""),IF(AND($G77&lt;Hta_4,$G77&gt;=Hba_4,Input!AJ$24&lt;&gt;""),Input!$B$24&amp;";",""),IF(AND($G77&lt;Hta_5,$G77&gt;=Hba_5,Input!AJ$25&lt;&gt;""),Input!$B$25&amp;";",""),IF(AND($G77&lt;Hta_6,$G77&gt;=Hba_6,Input!AJ$26&lt;&gt;""),Input!$B$26&amp;";",""),IF(AND($G77&lt;Hta_7,$G77&gt;=Hba_7,Input!AJ$27&lt;&gt;""),Input!$B$27&amp;";",""),IF(AND($G77&lt;Hta_8,$G77&gt;=Hba_8,Input!AJ$28&lt;&gt;""),Input!$B$28&amp;";",""),IF(AND($G77&lt;Hta_9,$G77&gt;=Hba_9,Input!AJ$29&lt;&gt;""),Input!$B$29&amp;";",""),IF(AND($G77&lt;Hta_10,$G77&gt;=Hba_10,Input!AJ$30&lt;&gt;""),Input!$B$30&amp;";",""),IF(AND($G77&lt;Hta_11,$G77&gt;=Hba_11,Input!AJ$31&lt;&gt;""),Input!$B$31&amp;";",""),IF(AND($G77&lt;Hta_12,$G77&gt;=Hba_12,Input!AJ$32&lt;&gt;""),Input!$B$32&amp;";",""),IF(AND($G77&lt;Hta_13,$G77&gt;=Hba_13,Input!AJ$33&lt;&gt;""),Input!$B$33&amp;";",""),IF(AND($G77&lt;Hta_14,$G77&gt;=Hba_14,Input!AJ$34&lt;&gt;""),Input!$B$34&amp;";",""),IF(AND($G77&lt;Hta_15,$G77&gt;=Hba_15,Input!AJ$35&lt;&gt;""),Input!$B$35&amp;";",""),IF(AND($G77&lt;Hta_16,$G77&gt;=Hba_16,Input!AJ$36&lt;&gt;""),Input!$B$36&amp;";",""),IF(AND($G77&lt;Hta_17,$G77&gt;=Hba_17,Input!AJ$37&lt;&gt;""),Input!$B$37&amp;";",""),IF(AND($G77&lt;Hta_18,$G77&gt;=Hba_18,Input!AJ$38&lt;&gt;""),Input!$B$38&amp;";",""),IF(AND($G77&lt;Hta_19,$G77&gt;=Hba_19,Input!AJ$39&lt;&gt;""),Input!$B$39&amp;";",""),IF(AND($G77&lt;Hta_20,$G77&gt;=Hba_20,Input!AJ$40&lt;&gt;""),Input!$B$40&amp;";",""),IF(AND($G77&lt;Hta_21,$G77&gt;=Hba_21,Input!AJ$41&lt;&gt;""),Input!$B$41&amp;";",""),IF(AND($G77&lt;Hta_22,$G77&gt;=Hba_22,Input!AJ$42&lt;&gt;""),Input!$B$42&amp;";",""),IF(AND($G77&lt;Hta_23,$G77&gt;=Hba_23,Input!AJ$43&lt;&gt;""),Input!$B$43&amp;";",""),IF(AND($G77&lt;Hta_24,$G77&gt;=Hba_24,Input!AJ$44&lt;&gt;""),Input!$B$44&amp;";",""),IF(AND($G77&lt;Hta_25,$G77&gt;=Hba_25,Input!AJ$45&lt;&gt;""),Input!$B$45&amp;";",""),IF(AND($G77&lt;Hta_26,$G77&gt;=Hba_26,Input!AJ$46&lt;&gt;""),Input!$B$46&amp;";",""),IF(AND($G77&lt;Hta_27,$G77&gt;=Hba_27,Input!AJ$47&lt;&gt;""),Input!$B$47&amp;";",""),IF(AND($G77&lt;Hta_28,$G77&gt;=Hba_28,Input!AJ$48&lt;&gt;""),Input!$B$48&amp;";",""),IF(AND($G77&lt;Hta_29,$G77&gt;=Hba_29,Input!AJ$49&lt;&gt;""),Input!$B$49&amp;";",""),IF(AND($G77&lt;Hta_30,$G77&gt;=Hba_30,Input!AJ$50&lt;&gt;""),Input!$B$50&amp;";","")),"")</f>
        <v/>
      </c>
      <c r="CL77" s="25" t="str">
        <f>IFERROR(CONCATENATE(IF(AND($G77&lt;Hta_1,$G77&gt;=Hba_1,Input!AK$21&lt;&gt;""),Input!$B$21&amp;";",""),IF(AND($G77&lt;Hta_2,$G77&gt;=Hba_2,Input!AK$22&lt;&gt;""),Input!$B$22&amp;";",""),IF(AND($G77&lt;Hta_3,$G77&gt;=Hba_3,Input!AK$23&lt;&gt;""),Input!$B$23&amp;";",""),IF(AND($G77&lt;Hta_4,$G77&gt;=Hba_4,Input!AK$24&lt;&gt;""),Input!$B$24&amp;";",""),IF(AND($G77&lt;Hta_5,$G77&gt;=Hba_5,Input!AK$25&lt;&gt;""),Input!$B$25&amp;";",""),IF(AND($G77&lt;Hta_6,$G77&gt;=Hba_6,Input!AK$26&lt;&gt;""),Input!$B$26&amp;";",""),IF(AND($G77&lt;Hta_7,$G77&gt;=Hba_7,Input!AK$27&lt;&gt;""),Input!$B$27&amp;";",""),IF(AND($G77&lt;Hta_8,$G77&gt;=Hba_8,Input!AK$28&lt;&gt;""),Input!$B$28&amp;";",""),IF(AND($G77&lt;Hta_9,$G77&gt;=Hba_9,Input!AK$29&lt;&gt;""),Input!$B$29&amp;";",""),IF(AND($G77&lt;Hta_10,$G77&gt;=Hba_10,Input!AK$30&lt;&gt;""),Input!$B$30&amp;";",""),IF(AND($G77&lt;Hta_11,$G77&gt;=Hba_11,Input!AK$31&lt;&gt;""),Input!$B$31&amp;";",""),IF(AND($G77&lt;Hta_12,$G77&gt;=Hba_12,Input!AK$32&lt;&gt;""),Input!$B$32&amp;";",""),IF(AND($G77&lt;Hta_13,$G77&gt;=Hba_13,Input!AK$33&lt;&gt;""),Input!$B$33&amp;";",""),IF(AND($G77&lt;Hta_14,$G77&gt;=Hba_14,Input!AK$34&lt;&gt;""),Input!$B$34&amp;";",""),IF(AND($G77&lt;Hta_15,$G77&gt;=Hba_15,Input!AK$35&lt;&gt;""),Input!$B$35&amp;";",""),IF(AND($G77&lt;Hta_16,$G77&gt;=Hba_16,Input!AK$36&lt;&gt;""),Input!$B$36&amp;";",""),IF(AND($G77&lt;Hta_17,$G77&gt;=Hba_17,Input!AK$37&lt;&gt;""),Input!$B$37&amp;";",""),IF(AND($G77&lt;Hta_18,$G77&gt;=Hba_18,Input!AK$38&lt;&gt;""),Input!$B$38&amp;";",""),IF(AND($G77&lt;Hta_19,$G77&gt;=Hba_19,Input!AK$39&lt;&gt;""),Input!$B$39&amp;";",""),IF(AND($G77&lt;Hta_20,$G77&gt;=Hba_20,Input!AK$40&lt;&gt;""),Input!$B$40&amp;";",""),IF(AND($G77&lt;Hta_21,$G77&gt;=Hba_21,Input!AK$41&lt;&gt;""),Input!$B$41&amp;";",""),IF(AND($G77&lt;Hta_22,$G77&gt;=Hba_22,Input!AK$42&lt;&gt;""),Input!$B$42&amp;";",""),IF(AND($G77&lt;Hta_23,$G77&gt;=Hba_23,Input!AK$43&lt;&gt;""),Input!$B$43&amp;";",""),IF(AND($G77&lt;Hta_24,$G77&gt;=Hba_24,Input!AK$44&lt;&gt;""),Input!$B$44&amp;";",""),IF(AND($G77&lt;Hta_25,$G77&gt;=Hba_25,Input!AK$45&lt;&gt;""),Input!$B$45&amp;";",""),IF(AND($G77&lt;Hta_26,$G77&gt;=Hba_26,Input!AK$46&lt;&gt;""),Input!$B$46&amp;";",""),IF(AND($G77&lt;Hta_27,$G77&gt;=Hba_27,Input!AK$47&lt;&gt;""),Input!$B$47&amp;";",""),IF(AND($G77&lt;Hta_28,$G77&gt;=Hba_28,Input!AK$48&lt;&gt;""),Input!$B$48&amp;";",""),IF(AND($G77&lt;Hta_29,$G77&gt;=Hba_29,Input!AK$49&lt;&gt;""),Input!$B$49&amp;";",""),IF(AND($G77&lt;Hta_30,$G77&gt;=Hba_30,Input!AK$50&lt;&gt;""),Input!$B$50&amp;";","")),"")</f>
        <v/>
      </c>
      <c r="CM77" s="25" t="str">
        <f>IFERROR(CONCATENATE(IF(AND($G77&lt;Hta_1,$G77&gt;=Hba_1,Input!AL$21&lt;&gt;""),Input!$B$21&amp;";",""),IF(AND($G77&lt;Hta_2,$G77&gt;=Hba_2,Input!AL$22&lt;&gt;""),Input!$B$22&amp;";",""),IF(AND($G77&lt;Hta_3,$G77&gt;=Hba_3,Input!AL$23&lt;&gt;""),Input!$B$23&amp;";",""),IF(AND($G77&lt;Hta_4,$G77&gt;=Hba_4,Input!AL$24&lt;&gt;""),Input!$B$24&amp;";",""),IF(AND($G77&lt;Hta_5,$G77&gt;=Hba_5,Input!AL$25&lt;&gt;""),Input!$B$25&amp;";",""),IF(AND($G77&lt;Hta_6,$G77&gt;=Hba_6,Input!AL$26&lt;&gt;""),Input!$B$26&amp;";",""),IF(AND($G77&lt;Hta_7,$G77&gt;=Hba_7,Input!AL$27&lt;&gt;""),Input!$B$27&amp;";",""),IF(AND($G77&lt;Hta_8,$G77&gt;=Hba_8,Input!AL$28&lt;&gt;""),Input!$B$28&amp;";",""),IF(AND($G77&lt;Hta_9,$G77&gt;=Hba_9,Input!AL$29&lt;&gt;""),Input!$B$29&amp;";",""),IF(AND($G77&lt;Hta_10,$G77&gt;=Hba_10,Input!AL$30&lt;&gt;""),Input!$B$30&amp;";",""),IF(AND($G77&lt;Hta_11,$G77&gt;=Hba_11,Input!AL$31&lt;&gt;""),Input!$B$31&amp;";",""),IF(AND($G77&lt;Hta_12,$G77&gt;=Hba_12,Input!AL$32&lt;&gt;""),Input!$B$32&amp;";",""),IF(AND($G77&lt;Hta_13,$G77&gt;=Hba_13,Input!AL$33&lt;&gt;""),Input!$B$33&amp;";",""),IF(AND($G77&lt;Hta_14,$G77&gt;=Hba_14,Input!AL$34&lt;&gt;""),Input!$B$34&amp;";",""),IF(AND($G77&lt;Hta_15,$G77&gt;=Hba_15,Input!AL$35&lt;&gt;""),Input!$B$35&amp;";",""),IF(AND($G77&lt;Hta_16,$G77&gt;=Hba_16,Input!AL$36&lt;&gt;""),Input!$B$36&amp;";",""),IF(AND($G77&lt;Hta_17,$G77&gt;=Hba_17,Input!AL$37&lt;&gt;""),Input!$B$37&amp;";",""),IF(AND($G77&lt;Hta_18,$G77&gt;=Hba_18,Input!AL$38&lt;&gt;""),Input!$B$38&amp;";",""),IF(AND($G77&lt;Hta_19,$G77&gt;=Hba_19,Input!AL$39&lt;&gt;""),Input!$B$39&amp;";",""),IF(AND($G77&lt;Hta_20,$G77&gt;=Hba_20,Input!AL$40&lt;&gt;""),Input!$B$40&amp;";",""),IF(AND($G77&lt;Hta_21,$G77&gt;=Hba_21,Input!AL$41&lt;&gt;""),Input!$B$41&amp;";",""),IF(AND($G77&lt;Hta_22,$G77&gt;=Hba_22,Input!AL$42&lt;&gt;""),Input!$B$42&amp;";",""),IF(AND($G77&lt;Hta_23,$G77&gt;=Hba_23,Input!AL$43&lt;&gt;""),Input!$B$43&amp;";",""),IF(AND($G77&lt;Hta_24,$G77&gt;=Hba_24,Input!AL$44&lt;&gt;""),Input!$B$44&amp;";",""),IF(AND($G77&lt;Hta_25,$G77&gt;=Hba_25,Input!AL$45&lt;&gt;""),Input!$B$45&amp;";",""),IF(AND($G77&lt;Hta_26,$G77&gt;=Hba_26,Input!AL$46&lt;&gt;""),Input!$B$46&amp;";",""),IF(AND($G77&lt;Hta_27,$G77&gt;=Hba_27,Input!AL$47&lt;&gt;""),Input!$B$47&amp;";",""),IF(AND($G77&lt;Hta_28,$G77&gt;=Hba_28,Input!AL$48&lt;&gt;""),Input!$B$48&amp;";",""),IF(AND($G77&lt;Hta_29,$G77&gt;=Hba_29,Input!AL$49&lt;&gt;""),Input!$B$49&amp;";",""),IF(AND($G77&lt;Hta_30,$G77&gt;=Hba_30,Input!AL$50&lt;&gt;""),Input!$B$50&amp;";","")),"")</f>
        <v/>
      </c>
      <c r="CN77" s="60" t="str">
        <f t="shared" si="16"/>
        <v/>
      </c>
      <c r="CO77" s="798"/>
      <c r="CP77" s="799"/>
      <c r="CQ77" s="800"/>
      <c r="CR77" s="798"/>
      <c r="CS77" s="799"/>
      <c r="CT77" s="800"/>
      <c r="CU77" s="798" t="str">
        <f t="shared" si="17"/>
        <v/>
      </c>
      <c r="CV77" s="799"/>
      <c r="CW77" s="806"/>
      <c r="CX77" s="726"/>
      <c r="CY77" s="727"/>
      <c r="CZ77" s="732"/>
      <c r="DA77" s="726"/>
      <c r="DB77" s="727"/>
      <c r="DC77" s="732"/>
      <c r="DD77" s="726" t="str">
        <f t="shared" si="18"/>
        <v/>
      </c>
      <c r="DE77" s="727"/>
      <c r="DF77" s="728"/>
      <c r="DG77" s="53"/>
      <c r="DH77" s="54"/>
      <c r="DI77" s="54"/>
      <c r="DJ77" s="54"/>
      <c r="DK77" s="54"/>
      <c r="DL77" s="54"/>
      <c r="DM77" s="54"/>
      <c r="DN77" s="54"/>
      <c r="DO77" s="54"/>
      <c r="DP77" s="54"/>
      <c r="DQ77" s="57"/>
      <c r="DR77" s="57"/>
      <c r="DS77" s="57"/>
      <c r="DT77" s="57"/>
      <c r="DU77" s="57"/>
      <c r="DV77" s="57"/>
      <c r="DW77" s="57"/>
      <c r="DX77" s="57"/>
      <c r="DY77" s="57"/>
      <c r="DZ77" s="57"/>
      <c r="EA77" s="57"/>
      <c r="EB77" s="57"/>
      <c r="EC77" s="57"/>
      <c r="ED77" s="57"/>
      <c r="EE77" s="57"/>
      <c r="EF77" s="57"/>
      <c r="EG77" s="57"/>
      <c r="EH77" s="57"/>
      <c r="EI77" s="57"/>
      <c r="EJ77" s="57"/>
      <c r="EK77" s="57"/>
      <c r="EL77" s="133"/>
      <c r="EM77" s="133"/>
      <c r="EN77" s="133"/>
      <c r="EO77" s="133"/>
      <c r="EP77" s="133"/>
      <c r="EQ77" s="133"/>
      <c r="ER77" s="133"/>
      <c r="ES77" s="133"/>
      <c r="ET77" s="133"/>
      <c r="EU77" s="133"/>
      <c r="EV77" s="133"/>
      <c r="EW77" s="133"/>
      <c r="EX77" s="133"/>
      <c r="EY77" s="133"/>
      <c r="EZ77" s="133"/>
      <c r="FA77" s="133"/>
      <c r="FB77" s="133"/>
      <c r="FC77" s="133"/>
      <c r="FD77" s="133"/>
      <c r="FE77" s="133"/>
      <c r="FF77" s="133"/>
      <c r="FG77" s="133"/>
      <c r="FH77" s="133"/>
      <c r="FI77" s="133"/>
      <c r="FJ77" s="133"/>
      <c r="FK77" s="133"/>
      <c r="FL77" s="133"/>
      <c r="FM77" s="133"/>
      <c r="FN77" s="133"/>
      <c r="FO77" s="133"/>
      <c r="FQ77" s="125"/>
      <c r="FR77" s="123"/>
      <c r="FS77" s="121"/>
      <c r="FT77" s="119"/>
    </row>
    <row r="78" spans="2:176" ht="15.75" hidden="1" thickBot="1" x14ac:dyDescent="0.3">
      <c r="B78" s="62" t="b">
        <f>IF(OR(AND(G78&gt;='Geometry 2'!$AK$5,G78&lt;'Geometry 2'!$AL$5),AND(G78&gt;='Geometry 2'!$AK$6,G78&lt;'Geometry 2'!$AL$6),AND(G78&gt;='Geometry 2'!$AK$7,G78&lt;'Geometry 2'!$AL$7),AND(G78&gt;='Geometry 2'!$AK$8,G78&lt;'Geometry 2'!$AL$8),AND(G78&gt;='Geometry 2'!$AK$9,G78&lt;'Geometry 2'!$AL$9),AND(G78&gt;='Geometry 2'!$AK$10,G78&lt;'Geometry 2'!$AL$10),AND(G78&gt;='Geometry 2'!$AK$11,G78&lt;'Geometry 2'!$AL$11),AND(G78&gt;='Geometry 2'!$AK$12,G78&lt;'Geometry 2'!$AL$12),AND(G78&gt;='Geometry 2'!$AK$13,G78&lt;'Geometry 2'!$AL$13),AND(G78&gt;='Geometry 2'!$AK$14,G78&lt;'Geometry 2'!$AL$14)),TRUE,FALSE)</f>
        <v>0</v>
      </c>
      <c r="C78" s="4" t="str">
        <f t="shared" si="13"/>
        <v/>
      </c>
      <c r="D78" s="766" t="str">
        <f t="shared" si="14"/>
        <v/>
      </c>
      <c r="E78" s="767"/>
      <c r="F78" s="17" t="str">
        <f t="shared" si="12"/>
        <v/>
      </c>
      <c r="G78" s="768" t="str">
        <f>IF(D78="","",MAX(0,G77-IF(inc="n/a",999,inc),MAX(IF(G77&lt;=Hta_1,0,Hta_1),IF(G77&lt;=Hta_2,0,Hta_2),IF(G77&lt;=Hta_3,0,Hta_3),IF(G77&lt;=Hta_4,0,Hta_4),IF(G77&lt;=Hta_5,0,Hta_5),IF(G77&lt;=Hta_6,0,Hta_6),IF(G77&lt;=Hta_7,0,Hta_7),IF(G77&lt;=Hta_8,0,Hta_8),IF(G77&lt;=Hta_9,0,Hta_9),IF(G77&lt;=Hta_10,0,Hta_10),IF(G77&lt;=Hta_11,0,Hta_11),IF(G77&lt;=Hta_12,0,Hta_12),IF(G77&lt;=Hta_13,0,Hta_13),IF(G77&lt;=Hta_14,0,Hta_14),IF(G77&lt;=Hta_15,0,Hta_15),IF(G77&lt;=Hta_16,0,Hta_16),IF(G77&lt;=Hta_17,0,Hta_17),IF(G77&lt;=Hta_18,0,Hta_18),IF(G77&lt;=Hta_19,0,Hta_19),IF(G77&lt;=Hta_20,0,Hta_20),IF(G77&lt;=Hta_21,0,Hta_21),IF(G77&lt;=Hta_22,0,Hta_22),IF(G77&lt;=Hta_23,0,Hta_23),IF(G77&lt;=Hta_24,0,Hta_24),IF(G77&lt;=Hta_25,0,Hta_25),IF(G77&lt;=Hta_26,0,Hta_26),IF(G77&lt;=Hta_27,0,Hta_27),IF(G77&lt;=Hta_28,0,Hta_28),IF(G77&lt;=Hta_29,0,Hta_29),IF(G77&lt;=Hta_30,0,Hta_30)),MAX(IF(G77&lt;=Hta_1-0.25,0,Hta_1-0.25),IF(G77&lt;=Hta_2-0.25,0,Hta_2-0.25),IF(G77&lt;=Hta_3-0.25,0,Hta_3-0.25),IF(G77&lt;=Hta_4-0.25,0,Hta_4-0.25),IF(G77&lt;=Hta_5-0.25,0,Hta_5-0.25),IF(G77&lt;=Hta_6-0.25,0,Hta_6-0.25),IF(G77&lt;=Hta_7-0.25,0,Hta_7-0.25),IF(G77&lt;=Hta_8-0.25,0,Hta_8-0.25),IF(G77&lt;=Hta_9-0.25,0,Hta_9-0.25),IF(G77&lt;=Hta_10-0.25,0,Hta_10-0.25),IF(G77&lt;=Hta_11-0.25,0,Hta_11-0.25),IF(G77&lt;=Hta_12-0.25,0,Hta_12-0.25),IF(G77&lt;=Hta_13-0.25,0,Hta_13-0.25),IF(G77&lt;=Hta_14-0.25,0,Hta_14-0.25),IF(G77&lt;=Hta_15-0.25,0,Hta_15-0.25),IF(G77&lt;=Hta_16-0.25,0,Hta_16-0.25),IF(G77&lt;=Hta_17-0.25,0,Hta_17-0.25),IF(G77&lt;=Hta_18-0.25,0,Hta_18-0.25),IF(G77&lt;=Hta_19-0.25,0,Hta_19-0.25),IF(G77&lt;=Hta_20-0.25,0,Hta_20-0.25),IF(G77&lt;=Hta_21-0.25,0,Hta_21-0.25),IF(G77&lt;=Hta_22-0.25,0,Hta_22-0.25),IF(G77&lt;=Hta_23-0.25,0,Hta_23-0.25),IF(G77&lt;=Hta_24-0.25,0,Hta_24-0.25),IF(G77&lt;=Hta_25-0.25,0,Hta_25-0.25),IF(G77&lt;=Hta_26-0.25,0,Hta_26-0.25),IF(G77&lt;=Hta_27-0.25,0,Hta_27-0.25),IF(G77&lt;=Hta_28-0.25,0,Hta_28-0.25),IF(G77&lt;=Hta_29-0.25,0,Hta_29-0.25),IF(G77&lt;=Hta_30-0.25,0,Hta_30-0.25)),MAX(IF(G77&lt;=Hba_1,0,Hba_1),IF(G77&lt;=Hba_2,0,Hba_2),IF(G77&lt;=Hba_3,0,Hba_3),IF(G77&lt;=Hba_4,0,Hba_4),IF(G77&lt;=Hba_5,0,Hba_5),IF(G77&lt;=Hba_6,0,Hba_6),IF(G77&lt;=Hba_7,0,Hba_7),IF(G77&lt;=Hba_8,0,Hba_8),IF(G77&lt;=Hba_9,0,Hba_9),IF(G77&lt;=Hba_10,0,Hba_10),IF(G77&lt;=Hba_11,0,Hba_11),IF(G77&lt;=Hba_12,0,Hba_12),IF(G77&lt;=Hba_13,0,Hba_13),IF(G77&lt;=Hba_14,0,Hba_14),IF(G77&lt;=Hba_15,0,Hba_15),IF(G77&lt;=Hba_16,0,Hba_16),IF(G77&lt;=Hba_17,0,Hba_17),IF(G77&lt;=Hba_18,0,Hba_18),IF(G77&lt;=Hba_19,0,Hba_19),IF(G77&lt;=Hba_20,0,Hba_20),IF(G77&lt;=Hba_21,0,Hba_21),IF(G77&lt;=Hba_22,0,Hba_22),IF(G77&lt;=Hba_23,0,Hba_23),IF(G77&lt;=Hba_24,0,Hba_24),IF(G77&lt;=Hba_25,0,Hba_25),IF(G77&lt;=Hba_26,0,Hba_26),IF(G77&lt;=Hba_27,0,Hba_27),IF(G77&lt;=Hba_28,0,Hba_28),IF(G77&lt;=Hba_29,0,Hba_29),IF(G77&lt;=Hba_30,0,Hba_30)),MAX(IF(G77&lt;=Input!$C$8,0,Input!$C$8),IF(G77&lt;=Input!$C$9,0,Input!$C$9),IF(G77&lt;=Input!$C$10,0,Input!$C$10),IF(G77&lt;=Input!$C$11,0,Input!$C$11),IF(G77&lt;=Input!$C$12,0,Input!$C$12),IF(G77&lt;=Input!$C$13,0,Input!$C$13),IF(G77&lt;=Input!$C$14,0,Input!$C$14),IF(G77&lt;=Input!$C$15,0,Input!$C$15),IF(G77&lt;=Input!$C$16,0,Input!$C$16)),MAX(IF(G77&lt;=Hba_1-0.25,0,Hba_1-0.25),IF(G77&lt;=Hba_2-0.25,0,Hba_2-0.25),IF(G77&lt;=Hba_3-0.25,0,Hba_3-0.25),IF(G77&lt;=Hba_4-0.25,0,Hba_4-0.25),IF(G77&lt;=Hba_5-0.25,0,Hba_5-0.25),IF(G77&lt;=Hba_6-0.25,0,Hba_6-0.25),IF(G77&lt;=Hba_7-0.25,0,Hba_7-0.25),IF(G77&lt;=Hba_8-0.25,0,Hba_8-0.25),IF(G77&lt;=Hba_9-0.25,0,Hba_9-0.25),IF(G77&lt;=Hba_10-0.25,0,Hba_10-0.25),IF(G77&lt;=Hba_11-0.25,0,Hba_11-0.25),IF(G77&lt;=Hba_12-0.25,0,Hba_12-0.25),IF(G77&lt;=Hba_13-0.25,0,Hba_13-0.25),IF(G77&lt;=Hba_14-0.25,0,Hba_14-0.25),IF(G77&lt;=Hba_15-0.25,0,Hba_15-0.25),IF(G77&lt;=Hba_16-0.25,0,Hba_16-0.25),IF(G77&lt;=Hba_17-0.25,0,Hba_17-0.25),IF(G77&lt;=Hba_18-0.25,0,Hba_18-0.25),IF(G77&lt;=Hba_19-0.25,0,Hba_19-0.25),IF(G77&lt;=Hba_20-0.25,0,Hba_20-0.25),IF(G77&lt;=Hba_21-0.25,0,Hba_21-0.25),IF(G77&lt;=Hba_22-0.25,0,Hba_22-0.25),IF(G77&lt;=Hba_23-0.25,0,Hba_23-0.25),IF(G77&lt;=Hba_24-0.25,0,Hba_24-0.25),IF(G77&lt;=Hba_25-0.25,0,Hba_25-0.25),IF(G77&lt;=Hba_26-0.25,0,Hba_26-0.25),IF(G77&lt;=Hba_27-0.25,0,Hba_27-0.25),IF(G77&lt;=Hba_28-0.25,0,Hba_28-0.25),IF(G77&lt;=Hba_29-0.25,0,Hba_29-0.25),IF(G77&lt;=Hba_30-0.25,0,Hba_30-0.25)),IF(G77&lt;='Macro References'!$A$38,0,'Macro References'!$A$38)))</f>
        <v/>
      </c>
      <c r="H78" s="769"/>
      <c r="I78" s="228"/>
      <c r="J78" s="228"/>
      <c r="K78" s="228"/>
      <c r="L78" s="717" t="str">
        <f t="shared" si="11"/>
        <v/>
      </c>
      <c r="M78" s="717"/>
      <c r="N78" s="717"/>
      <c r="O78" s="717"/>
      <c r="P78" s="717" t="str">
        <f>IF(OR(G78=0,G78=""),"",IF(VLOOKUP(G78,'Geometry 2'!$C$4:$AI$14,1,TRUE)=VLOOKUP(G79,'Geometry 2'!$C$4:$AI$14,1,TRUE),"",IF(VLOOKUP(G78,'Geometry 2'!$C$4:$AI$14,33,TRUE)&lt;&gt;"n/a",MIN(G78,VLOOKUP(G78,'Geometry 2'!$C$4:$AI$14,1,TRUE))-VLOOKUP(G78,'Geometry 2'!$C$4:$AI$14,33,TRUE),"check")))</f>
        <v/>
      </c>
      <c r="Q78" s="717"/>
      <c r="R78" s="717"/>
      <c r="S78" s="717"/>
      <c r="T78" s="717" t="str">
        <f>IF($G78="","",VLOOKUP($G78,'Geometry 2'!$E$4:$AH$14,11,TRUE))</f>
        <v/>
      </c>
      <c r="U78" s="717"/>
      <c r="V78" s="717"/>
      <c r="W78" s="717"/>
      <c r="X78" s="716" t="str">
        <f>IF($G78="","",VLOOKUP($G78,'Geometry 2'!$E$4:$AJ$14,19,TRUE)-12*VLOOKUP($G78,'Geometry 2'!$E$4:$AJ$14,32,TRUE)*($D78-VLOOKUP($G78,'Geometry 2'!$E$5:$AH$14,1,TRUE)))</f>
        <v/>
      </c>
      <c r="Y78" s="716"/>
      <c r="Z78" s="716"/>
      <c r="AA78" s="716"/>
      <c r="AB78" s="757" t="str">
        <f>IF($G78="","",VLOOKUP($G78,'Geometry 2'!$E$4:$AJ$14,19,TRUE)-12*VLOOKUP($G78,'Geometry 2'!$E$4:$AJ$14,32,TRUE)*($G78-VLOOKUP($G78,'Geometry 2'!$E$5:$AH$14,1,TRUE)))</f>
        <v/>
      </c>
      <c r="AC78" s="758"/>
      <c r="AD78" s="758"/>
      <c r="AE78" s="759"/>
      <c r="AF78" s="716" t="str">
        <f>IF($G78="","",VLOOKUP($G78,'Geometry 2'!$E$4:$AJ$14,19,TRUE)-12*VLOOKUP($G78,'Geometry 2'!$E$4:$AJ$14,32,TRUE)*($G78-IF($P78="",0,$P78)-VLOOKUP($G78,'Geometry 2'!$E$5:$AH$14,1,TRUE)))</f>
        <v/>
      </c>
      <c r="AG78" s="716"/>
      <c r="AH78" s="716"/>
      <c r="AI78" s="716"/>
      <c r="AJ78" s="746" t="str">
        <f>IF($G78="","",VLOOKUP($G78,'Geometry 2'!$E$4:$AH$14,23,TRUE))</f>
        <v/>
      </c>
      <c r="AK78" s="747"/>
      <c r="AL78" s="747"/>
      <c r="AM78" s="748"/>
      <c r="AN78" s="717"/>
      <c r="AO78" s="717"/>
      <c r="AP78" s="717"/>
      <c r="AQ78" s="717"/>
      <c r="AR78" s="717" t="str">
        <f>IF($G78="","",VLOOKUP($G78,'Geometry 2'!$E$4:$AH$14,27,TRUE))</f>
        <v/>
      </c>
      <c r="AS78" s="717"/>
      <c r="AT78" s="717"/>
      <c r="AU78" s="718"/>
      <c r="AV78" s="715"/>
      <c r="AW78" s="716"/>
      <c r="AX78" s="716"/>
      <c r="AZ78" s="722" t="str">
        <f t="shared" si="15"/>
        <v/>
      </c>
      <c r="BA78" s="723"/>
      <c r="BB78" s="723"/>
      <c r="BC78" s="724"/>
      <c r="BD78" s="722"/>
      <c r="BE78" s="723"/>
      <c r="BF78" s="723"/>
      <c r="BG78" s="722" t="str">
        <f t="shared" si="9"/>
        <v/>
      </c>
      <c r="BH78" s="723"/>
      <c r="BI78" s="723"/>
      <c r="BJ78" s="723"/>
      <c r="BK78" s="724"/>
      <c r="BL78" s="722"/>
      <c r="BM78" s="723"/>
      <c r="BN78" s="723"/>
      <c r="BO78" s="723"/>
      <c r="BP78" s="725"/>
      <c r="BQ78" s="725"/>
      <c r="BR78" s="722" t="str">
        <f>IF(BP78="","",IF(OR(AND(Rev="H",Calculations!$F$27=TRUE),AND(Rev&lt;&gt;"H",Calculations!$F$30=TRUE)),IF(BP78&lt;=1,"Pass","Fail"),IF(BP78&lt;=1.05,"Pass","Fail")))</f>
        <v/>
      </c>
      <c r="BS78" s="723"/>
      <c r="BT78" s="724"/>
      <c r="BU78" s="49"/>
      <c r="BV78" s="25" t="str">
        <f>IFERROR(CONCATENATE(IF(AND($G78&lt;Hta_1,$G78&gt;=Hba_1,Input!U$21&lt;&gt;""),Input!$B$21&amp;";",""),IF(AND($G78&lt;Hta_2,$G78&gt;=Hba_2,Input!U$22&lt;&gt;""),Input!$B$22&amp;";",""),IF(AND($G78&lt;Hta_3,$G78&gt;=Hba_3,Input!U$23&lt;&gt;""),Input!$B$23&amp;";",""),IF(AND($G78&lt;Hta_4,$G78&gt;=Hba_4,Input!U$24&lt;&gt;""),Input!$B$24&amp;";",""),IF(AND($G78&lt;Hta_5,$G78&gt;=Hba_5,Input!U$25&lt;&gt;""),Input!$B$25&amp;";",""),IF(AND($G78&lt;Hta_6,$G78&gt;=Hba_6,Input!U$26&lt;&gt;""),Input!$B$26&amp;";",""),IF(AND($G78&lt;Hta_7,$G78&gt;=Hba_7,Input!U$27&lt;&gt;""),Input!$B$27&amp;";",""),IF(AND($G78&lt;Hta_8,$G78&gt;=Hba_8,Input!U$28&lt;&gt;""),Input!$B$28&amp;";",""),IF(AND($G78&lt;Hta_9,$G78&gt;=Hba_9,Input!U$29&lt;&gt;""),Input!$B$29&amp;";",""),IF(AND($G78&lt;Hta_10,$G78&gt;=Hba_10,Input!U$30&lt;&gt;""),Input!$B$30&amp;";",""),IF(AND($G78&lt;Hta_11,$G78&gt;=Hba_11,Input!U$31&lt;&gt;""),Input!$B$31&amp;";",""),IF(AND($G78&lt;Hta_12,$G78&gt;=Hba_12,Input!U$32&lt;&gt;""),Input!$B$32&amp;";",""),IF(AND($G78&lt;Hta_13,$G78&gt;=Hba_13,Input!U$33&lt;&gt;""),Input!$B$33&amp;";",""),IF(AND($G78&lt;Hta_14,$G78&gt;=Hba_14,Input!U$34&lt;&gt;""),Input!$B$34&amp;";",""),IF(AND($G78&lt;Hta_15,$G78&gt;=Hba_15,Input!U$35&lt;&gt;""),Input!$B$35&amp;";",""),IF(AND($G78&lt;Hta_16,$G78&gt;=Hba_16,Input!U$36&lt;&gt;""),Input!$B$36&amp;";",""),IF(AND($G78&lt;Hta_17,$G78&gt;=Hba_17,Input!U$37&lt;&gt;""),Input!$B$37&amp;";",""),IF(AND($G78&lt;Hta_18,$G78&gt;=Hba_18,Input!U$38&lt;&gt;""),Input!$B$38&amp;";",""),IF(AND($G78&lt;Hta_19,$G78&gt;=Hba_19,Input!U$39&lt;&gt;""),Input!$B$39&amp;";",""),IF(AND($G78&lt;Hta_20,$G78&gt;=Hba_20,Input!U$40&lt;&gt;""),Input!$B$40&amp;";",""),IF(AND($G78&lt;Hta_21,$G78&gt;=Hba_21,Input!U$41&lt;&gt;""),Input!$B$41&amp;";",""),IF(AND($G78&lt;Hta_22,$G78&gt;=Hba_22,Input!U$42&lt;&gt;""),Input!$B$42&amp;";",""),IF(AND($G78&lt;Hta_23,$G78&gt;=Hba_23,Input!U$43&lt;&gt;""),Input!$B$43&amp;";",""),IF(AND($G78&lt;Hta_24,$G78&gt;=Hba_24,Input!U$44&lt;&gt;""),Input!$B$44&amp;";",""),IF(AND($G78&lt;Hta_25,$G78&gt;=Hba_25,Input!U$45&lt;&gt;""),Input!$B$45&amp;";",""),IF(AND($G78&lt;Hta_26,$G78&gt;=Hba_26,Input!U$46&lt;&gt;""),Input!$B$46&amp;";",""),IF(AND($G78&lt;Hta_27,$G78&gt;=Hba_27,Input!U$47&lt;&gt;""),Input!$B$47&amp;";",""),IF(AND($G78&lt;Hta_28,$G78&gt;=Hba_28,Input!U$48&lt;&gt;""),Input!$B$48&amp;";",""),IF(AND($G78&lt;Hta_29,$G78&gt;=Hba_29,Input!U$49&lt;&gt;""),Input!$B$49&amp;";",""),IF(AND($G78&lt;Hta_30,$G78&gt;=Hba_30,Input!U$50&lt;&gt;""),Input!$B$50&amp;";","")),"")</f>
        <v/>
      </c>
      <c r="BW78" s="25" t="str">
        <f>IFERROR(CONCATENATE(IF(AND($G78&lt;Hta_1,$G78&gt;=Hba_1,Input!V$21&lt;&gt;""),Input!$B$21&amp;";",""),IF(AND($G78&lt;Hta_2,$G78&gt;=Hba_2,Input!V$22&lt;&gt;""),Input!$B$22&amp;";",""),IF(AND($G78&lt;Hta_3,$G78&gt;=Hba_3,Input!V$23&lt;&gt;""),Input!$B$23&amp;";",""),IF(AND($G78&lt;Hta_4,$G78&gt;=Hba_4,Input!V$24&lt;&gt;""),Input!$B$24&amp;";",""),IF(AND($G78&lt;Hta_5,$G78&gt;=Hba_5,Input!V$25&lt;&gt;""),Input!$B$25&amp;";",""),IF(AND($G78&lt;Hta_6,$G78&gt;=Hba_6,Input!V$26&lt;&gt;""),Input!$B$26&amp;";",""),IF(AND($G78&lt;Hta_7,$G78&gt;=Hba_7,Input!V$27&lt;&gt;""),Input!$B$27&amp;";",""),IF(AND($G78&lt;Hta_8,$G78&gt;=Hba_8,Input!V$28&lt;&gt;""),Input!$B$28&amp;";",""),IF(AND($G78&lt;Hta_9,$G78&gt;=Hba_9,Input!V$29&lt;&gt;""),Input!$B$29&amp;";",""),IF(AND($G78&lt;Hta_10,$G78&gt;=Hba_10,Input!V$30&lt;&gt;""),Input!$B$30&amp;";",""),IF(AND($G78&lt;Hta_11,$G78&gt;=Hba_11,Input!V$31&lt;&gt;""),Input!$B$31&amp;";",""),IF(AND($G78&lt;Hta_12,$G78&gt;=Hba_12,Input!V$32&lt;&gt;""),Input!$B$32&amp;";",""),IF(AND($G78&lt;Hta_13,$G78&gt;=Hba_13,Input!V$33&lt;&gt;""),Input!$B$33&amp;";",""),IF(AND($G78&lt;Hta_14,$G78&gt;=Hba_14,Input!V$34&lt;&gt;""),Input!$B$34&amp;";",""),IF(AND($G78&lt;Hta_15,$G78&gt;=Hba_15,Input!V$35&lt;&gt;""),Input!$B$35&amp;";",""),IF(AND($G78&lt;Hta_16,$G78&gt;=Hba_16,Input!V$36&lt;&gt;""),Input!$B$36&amp;";",""),IF(AND($G78&lt;Hta_17,$G78&gt;=Hba_17,Input!V$37&lt;&gt;""),Input!$B$37&amp;";",""),IF(AND($G78&lt;Hta_18,$G78&gt;=Hba_18,Input!V$38&lt;&gt;""),Input!$B$38&amp;";",""),IF(AND($G78&lt;Hta_19,$G78&gt;=Hba_19,Input!V$39&lt;&gt;""),Input!$B$39&amp;";",""),IF(AND($G78&lt;Hta_20,$G78&gt;=Hba_20,Input!V$40&lt;&gt;""),Input!$B$40&amp;";",""),IF(AND($G78&lt;Hta_21,$G78&gt;=Hba_21,Input!V$41&lt;&gt;""),Input!$B$41&amp;";",""),IF(AND($G78&lt;Hta_22,$G78&gt;=Hba_22,Input!V$42&lt;&gt;""),Input!$B$42&amp;";",""),IF(AND($G78&lt;Hta_23,$G78&gt;=Hba_23,Input!V$43&lt;&gt;""),Input!$B$43&amp;";",""),IF(AND($G78&lt;Hta_24,$G78&gt;=Hba_24,Input!V$44&lt;&gt;""),Input!$B$44&amp;";",""),IF(AND($G78&lt;Hta_25,$G78&gt;=Hba_25,Input!V$45&lt;&gt;""),Input!$B$45&amp;";",""),IF(AND($G78&lt;Hta_26,$G78&gt;=Hba_26,Input!V$46&lt;&gt;""),Input!$B$46&amp;";",""),IF(AND($G78&lt;Hta_27,$G78&gt;=Hba_27,Input!V$47&lt;&gt;""),Input!$B$47&amp;";",""),IF(AND($G78&lt;Hta_28,$G78&gt;=Hba_28,Input!V$48&lt;&gt;""),Input!$B$48&amp;";",""),IF(AND($G78&lt;Hta_29,$G78&gt;=Hba_29,Input!V$49&lt;&gt;""),Input!$B$49&amp;";",""),IF(AND($G78&lt;Hta_30,$G78&gt;=Hba_30,Input!V$50&lt;&gt;""),Input!$B$50&amp;";","")),"")</f>
        <v/>
      </c>
      <c r="BX78" s="25" t="str">
        <f>IFERROR(CONCATENATE(IF(AND($G78&lt;Hta_1,$G78&gt;=Hba_1,Input!W$21&lt;&gt;""),Input!$B$21&amp;";",""),IF(AND($G78&lt;Hta_2,$G78&gt;=Hba_2,Input!W$22&lt;&gt;""),Input!$B$22&amp;";",""),IF(AND($G78&lt;Hta_3,$G78&gt;=Hba_3,Input!W$23&lt;&gt;""),Input!$B$23&amp;";",""),IF(AND($G78&lt;Hta_4,$G78&gt;=Hba_4,Input!W$24&lt;&gt;""),Input!$B$24&amp;";",""),IF(AND($G78&lt;Hta_5,$G78&gt;=Hba_5,Input!W$25&lt;&gt;""),Input!$B$25&amp;";",""),IF(AND($G78&lt;Hta_6,$G78&gt;=Hba_6,Input!W$26&lt;&gt;""),Input!$B$26&amp;";",""),IF(AND($G78&lt;Hta_7,$G78&gt;=Hba_7,Input!W$27&lt;&gt;""),Input!$B$27&amp;";",""),IF(AND($G78&lt;Hta_8,$G78&gt;=Hba_8,Input!W$28&lt;&gt;""),Input!$B$28&amp;";",""),IF(AND($G78&lt;Hta_9,$G78&gt;=Hba_9,Input!W$29&lt;&gt;""),Input!$B$29&amp;";",""),IF(AND($G78&lt;Hta_10,$G78&gt;=Hba_10,Input!W$30&lt;&gt;""),Input!$B$30&amp;";",""),IF(AND($G78&lt;Hta_11,$G78&gt;=Hba_11,Input!W$31&lt;&gt;""),Input!$B$31&amp;";",""),IF(AND($G78&lt;Hta_12,$G78&gt;=Hba_12,Input!W$32&lt;&gt;""),Input!$B$32&amp;";",""),IF(AND($G78&lt;Hta_13,$G78&gt;=Hba_13,Input!W$33&lt;&gt;""),Input!$B$33&amp;";",""),IF(AND($G78&lt;Hta_14,$G78&gt;=Hba_14,Input!W$34&lt;&gt;""),Input!$B$34&amp;";",""),IF(AND($G78&lt;Hta_15,$G78&gt;=Hba_15,Input!W$35&lt;&gt;""),Input!$B$35&amp;";",""),IF(AND($G78&lt;Hta_16,$G78&gt;=Hba_16,Input!W$36&lt;&gt;""),Input!$B$36&amp;";",""),IF(AND($G78&lt;Hta_17,$G78&gt;=Hba_17,Input!W$37&lt;&gt;""),Input!$B$37&amp;";",""),IF(AND($G78&lt;Hta_18,$G78&gt;=Hba_18,Input!W$38&lt;&gt;""),Input!$B$38&amp;";",""),IF(AND($G78&lt;Hta_19,$G78&gt;=Hba_19,Input!W$39&lt;&gt;""),Input!$B$39&amp;";",""),IF(AND($G78&lt;Hta_20,$G78&gt;=Hba_20,Input!W$40&lt;&gt;""),Input!$B$40&amp;";",""),IF(AND($G78&lt;Hta_21,$G78&gt;=Hba_21,Input!W$41&lt;&gt;""),Input!$B$41&amp;";",""),IF(AND($G78&lt;Hta_22,$G78&gt;=Hba_22,Input!W$42&lt;&gt;""),Input!$B$42&amp;";",""),IF(AND($G78&lt;Hta_23,$G78&gt;=Hba_23,Input!W$43&lt;&gt;""),Input!$B$43&amp;";",""),IF(AND($G78&lt;Hta_24,$G78&gt;=Hba_24,Input!W$44&lt;&gt;""),Input!$B$44&amp;";",""),IF(AND($G78&lt;Hta_25,$G78&gt;=Hba_25,Input!W$45&lt;&gt;""),Input!$B$45&amp;";",""),IF(AND($G78&lt;Hta_26,$G78&gt;=Hba_26,Input!W$46&lt;&gt;""),Input!$B$46&amp;";",""),IF(AND($G78&lt;Hta_27,$G78&gt;=Hba_27,Input!W$47&lt;&gt;""),Input!$B$47&amp;";",""),IF(AND($G78&lt;Hta_28,$G78&gt;=Hba_28,Input!W$48&lt;&gt;""),Input!$B$48&amp;";",""),IF(AND($G78&lt;Hta_29,$G78&gt;=Hba_29,Input!W$49&lt;&gt;""),Input!$B$49&amp;";",""),IF(AND($G78&lt;Hta_30,$G78&gt;=Hba_30,Input!W$50&lt;&gt;""),Input!$B$50&amp;";","")),"")</f>
        <v/>
      </c>
      <c r="BY78" s="25" t="str">
        <f>IFERROR(CONCATENATE(IF(AND($G78&lt;Hta_1,$G78&gt;=Hba_1,Input!X$21&lt;&gt;""),Input!$B$21&amp;";",""),IF(AND($G78&lt;Hta_2,$G78&gt;=Hba_2,Input!X$22&lt;&gt;""),Input!$B$22&amp;";",""),IF(AND($G78&lt;Hta_3,$G78&gt;=Hba_3,Input!X$23&lt;&gt;""),Input!$B$23&amp;";",""),IF(AND($G78&lt;Hta_4,$G78&gt;=Hba_4,Input!X$24&lt;&gt;""),Input!$B$24&amp;";",""),IF(AND($G78&lt;Hta_5,$G78&gt;=Hba_5,Input!X$25&lt;&gt;""),Input!$B$25&amp;";",""),IF(AND($G78&lt;Hta_6,$G78&gt;=Hba_6,Input!X$26&lt;&gt;""),Input!$B$26&amp;";",""),IF(AND($G78&lt;Hta_7,$G78&gt;=Hba_7,Input!X$27&lt;&gt;""),Input!$B$27&amp;";",""),IF(AND($G78&lt;Hta_8,$G78&gt;=Hba_8,Input!X$28&lt;&gt;""),Input!$B$28&amp;";",""),IF(AND($G78&lt;Hta_9,$G78&gt;=Hba_9,Input!X$29&lt;&gt;""),Input!$B$29&amp;";",""),IF(AND($G78&lt;Hta_10,$G78&gt;=Hba_10,Input!X$30&lt;&gt;""),Input!$B$30&amp;";",""),IF(AND($G78&lt;Hta_11,$G78&gt;=Hba_11,Input!X$31&lt;&gt;""),Input!$B$31&amp;";",""),IF(AND($G78&lt;Hta_12,$G78&gt;=Hba_12,Input!X$32&lt;&gt;""),Input!$B$32&amp;";",""),IF(AND($G78&lt;Hta_13,$G78&gt;=Hba_13,Input!X$33&lt;&gt;""),Input!$B$33&amp;";",""),IF(AND($G78&lt;Hta_14,$G78&gt;=Hba_14,Input!X$34&lt;&gt;""),Input!$B$34&amp;";",""),IF(AND($G78&lt;Hta_15,$G78&gt;=Hba_15,Input!X$35&lt;&gt;""),Input!$B$35&amp;";",""),IF(AND($G78&lt;Hta_16,$G78&gt;=Hba_16,Input!X$36&lt;&gt;""),Input!$B$36&amp;";",""),IF(AND($G78&lt;Hta_17,$G78&gt;=Hba_17,Input!X$37&lt;&gt;""),Input!$B$37&amp;";",""),IF(AND($G78&lt;Hta_18,$G78&gt;=Hba_18,Input!X$38&lt;&gt;""),Input!$B$38&amp;";",""),IF(AND($G78&lt;Hta_19,$G78&gt;=Hba_19,Input!X$39&lt;&gt;""),Input!$B$39&amp;";",""),IF(AND($G78&lt;Hta_20,$G78&gt;=Hba_20,Input!X$40&lt;&gt;""),Input!$B$40&amp;";",""),IF(AND($G78&lt;Hta_21,$G78&gt;=Hba_21,Input!X$41&lt;&gt;""),Input!$B$41&amp;";",""),IF(AND($G78&lt;Hta_22,$G78&gt;=Hba_22,Input!X$42&lt;&gt;""),Input!$B$42&amp;";",""),IF(AND($G78&lt;Hta_23,$G78&gt;=Hba_23,Input!X$43&lt;&gt;""),Input!$B$43&amp;";",""),IF(AND($G78&lt;Hta_24,$G78&gt;=Hba_24,Input!X$44&lt;&gt;""),Input!$B$44&amp;";",""),IF(AND($G78&lt;Hta_25,$G78&gt;=Hba_25,Input!X$45&lt;&gt;""),Input!$B$45&amp;";",""),IF(AND($G78&lt;Hta_26,$G78&gt;=Hba_26,Input!X$46&lt;&gt;""),Input!$B$46&amp;";",""),IF(AND($G78&lt;Hta_27,$G78&gt;=Hba_27,Input!X$47&lt;&gt;""),Input!$B$47&amp;";",""),IF(AND($G78&lt;Hta_28,$G78&gt;=Hba_28,Input!X$48&lt;&gt;""),Input!$B$48&amp;";",""),IF(AND($G78&lt;Hta_29,$G78&gt;=Hba_29,Input!X$49&lt;&gt;""),Input!$B$49&amp;";",""),IF(AND($G78&lt;Hta_30,$G78&gt;=Hba_30,Input!X$50&lt;&gt;""),Input!$B$50&amp;";","")),"")</f>
        <v/>
      </c>
      <c r="BZ78" s="25" t="str">
        <f>IFERROR(CONCATENATE(IF(AND($G78&lt;Hta_1,$G78&gt;=Hba_1,Input!Y$21&lt;&gt;""),Input!$B$21&amp;";",""),IF(AND($G78&lt;Hta_2,$G78&gt;=Hba_2,Input!Y$22&lt;&gt;""),Input!$B$22&amp;";",""),IF(AND($G78&lt;Hta_3,$G78&gt;=Hba_3,Input!Y$23&lt;&gt;""),Input!$B$23&amp;";",""),IF(AND($G78&lt;Hta_4,$G78&gt;=Hba_4,Input!Y$24&lt;&gt;""),Input!$B$24&amp;";",""),IF(AND($G78&lt;Hta_5,$G78&gt;=Hba_5,Input!Y$25&lt;&gt;""),Input!$B$25&amp;";",""),IF(AND($G78&lt;Hta_6,$G78&gt;=Hba_6,Input!Y$26&lt;&gt;""),Input!$B$26&amp;";",""),IF(AND($G78&lt;Hta_7,$G78&gt;=Hba_7,Input!Y$27&lt;&gt;""),Input!$B$27&amp;";",""),IF(AND($G78&lt;Hta_8,$G78&gt;=Hba_8,Input!Y$28&lt;&gt;""),Input!$B$28&amp;";",""),IF(AND($G78&lt;Hta_9,$G78&gt;=Hba_9,Input!Y$29&lt;&gt;""),Input!$B$29&amp;";",""),IF(AND($G78&lt;Hta_10,$G78&gt;=Hba_10,Input!Y$30&lt;&gt;""),Input!$B$30&amp;";",""),IF(AND($G78&lt;Hta_11,$G78&gt;=Hba_11,Input!Y$31&lt;&gt;""),Input!$B$31&amp;";",""),IF(AND($G78&lt;Hta_12,$G78&gt;=Hba_12,Input!Y$32&lt;&gt;""),Input!$B$32&amp;";",""),IF(AND($G78&lt;Hta_13,$G78&gt;=Hba_13,Input!Y$33&lt;&gt;""),Input!$B$33&amp;";",""),IF(AND($G78&lt;Hta_14,$G78&gt;=Hba_14,Input!Y$34&lt;&gt;""),Input!$B$34&amp;";",""),IF(AND($G78&lt;Hta_15,$G78&gt;=Hba_15,Input!Y$35&lt;&gt;""),Input!$B$35&amp;";",""),IF(AND($G78&lt;Hta_16,$G78&gt;=Hba_16,Input!Y$36&lt;&gt;""),Input!$B$36&amp;";",""),IF(AND($G78&lt;Hta_17,$G78&gt;=Hba_17,Input!Y$37&lt;&gt;""),Input!$B$37&amp;";",""),IF(AND($G78&lt;Hta_18,$G78&gt;=Hba_18,Input!Y$38&lt;&gt;""),Input!$B$38&amp;";",""),IF(AND($G78&lt;Hta_19,$G78&gt;=Hba_19,Input!Y$39&lt;&gt;""),Input!$B$39&amp;";",""),IF(AND($G78&lt;Hta_20,$G78&gt;=Hba_20,Input!Y$40&lt;&gt;""),Input!$B$40&amp;";",""),IF(AND($G78&lt;Hta_21,$G78&gt;=Hba_21,Input!Y$41&lt;&gt;""),Input!$B$41&amp;";",""),IF(AND($G78&lt;Hta_22,$G78&gt;=Hba_22,Input!Y$42&lt;&gt;""),Input!$B$42&amp;";",""),IF(AND($G78&lt;Hta_23,$G78&gt;=Hba_23,Input!Y$43&lt;&gt;""),Input!$B$43&amp;";",""),IF(AND($G78&lt;Hta_24,$G78&gt;=Hba_24,Input!Y$44&lt;&gt;""),Input!$B$44&amp;";",""),IF(AND($G78&lt;Hta_25,$G78&gt;=Hba_25,Input!Y$45&lt;&gt;""),Input!$B$45&amp;";",""),IF(AND($G78&lt;Hta_26,$G78&gt;=Hba_26,Input!Y$46&lt;&gt;""),Input!$B$46&amp;";",""),IF(AND($G78&lt;Hta_27,$G78&gt;=Hba_27,Input!Y$47&lt;&gt;""),Input!$B$47&amp;";",""),IF(AND($G78&lt;Hta_28,$G78&gt;=Hba_28,Input!Y$48&lt;&gt;""),Input!$B$48&amp;";",""),IF(AND($G78&lt;Hta_29,$G78&gt;=Hba_29,Input!Y$49&lt;&gt;""),Input!$B$49&amp;";",""),IF(AND($G78&lt;Hta_30,$G78&gt;=Hba_30,Input!Y$50&lt;&gt;""),Input!$B$50&amp;";","")),"")</f>
        <v/>
      </c>
      <c r="CA78" s="25" t="str">
        <f>IFERROR(CONCATENATE(IF(AND($G78&lt;Hta_1,$G78&gt;=Hba_1,Input!Z$21&lt;&gt;""),Input!$B$21&amp;";",""),IF(AND($G78&lt;Hta_2,$G78&gt;=Hba_2,Input!Z$22&lt;&gt;""),Input!$B$22&amp;";",""),IF(AND($G78&lt;Hta_3,$G78&gt;=Hba_3,Input!Z$23&lt;&gt;""),Input!$B$23&amp;";",""),IF(AND($G78&lt;Hta_4,$G78&gt;=Hba_4,Input!Z$24&lt;&gt;""),Input!$B$24&amp;";",""),IF(AND($G78&lt;Hta_5,$G78&gt;=Hba_5,Input!Z$25&lt;&gt;""),Input!$B$25&amp;";",""),IF(AND($G78&lt;Hta_6,$G78&gt;=Hba_6,Input!Z$26&lt;&gt;""),Input!$B$26&amp;";",""),IF(AND($G78&lt;Hta_7,$G78&gt;=Hba_7,Input!Z$27&lt;&gt;""),Input!$B$27&amp;";",""),IF(AND($G78&lt;Hta_8,$G78&gt;=Hba_8,Input!Z$28&lt;&gt;""),Input!$B$28&amp;";",""),IF(AND($G78&lt;Hta_9,$G78&gt;=Hba_9,Input!Z$29&lt;&gt;""),Input!$B$29&amp;";",""),IF(AND($G78&lt;Hta_10,$G78&gt;=Hba_10,Input!Z$30&lt;&gt;""),Input!$B$30&amp;";",""),IF(AND($G78&lt;Hta_11,$G78&gt;=Hba_11,Input!Z$31&lt;&gt;""),Input!$B$31&amp;";",""),IF(AND($G78&lt;Hta_12,$G78&gt;=Hba_12,Input!Z$32&lt;&gt;""),Input!$B$32&amp;";",""),IF(AND($G78&lt;Hta_13,$G78&gt;=Hba_13,Input!Z$33&lt;&gt;""),Input!$B$33&amp;";",""),IF(AND($G78&lt;Hta_14,$G78&gt;=Hba_14,Input!Z$34&lt;&gt;""),Input!$B$34&amp;";",""),IF(AND($G78&lt;Hta_15,$G78&gt;=Hba_15,Input!Z$35&lt;&gt;""),Input!$B$35&amp;";",""),IF(AND($G78&lt;Hta_16,$G78&gt;=Hba_16,Input!Z$36&lt;&gt;""),Input!$B$36&amp;";",""),IF(AND($G78&lt;Hta_17,$G78&gt;=Hba_17,Input!Z$37&lt;&gt;""),Input!$B$37&amp;";",""),IF(AND($G78&lt;Hta_18,$G78&gt;=Hba_18,Input!Z$38&lt;&gt;""),Input!$B$38&amp;";",""),IF(AND($G78&lt;Hta_19,$G78&gt;=Hba_19,Input!Z$39&lt;&gt;""),Input!$B$39&amp;";",""),IF(AND($G78&lt;Hta_20,$G78&gt;=Hba_20,Input!Z$40&lt;&gt;""),Input!$B$40&amp;";",""),IF(AND($G78&lt;Hta_21,$G78&gt;=Hba_21,Input!Z$41&lt;&gt;""),Input!$B$41&amp;";",""),IF(AND($G78&lt;Hta_22,$G78&gt;=Hba_22,Input!Z$42&lt;&gt;""),Input!$B$42&amp;";",""),IF(AND($G78&lt;Hta_23,$G78&gt;=Hba_23,Input!Z$43&lt;&gt;""),Input!$B$43&amp;";",""),IF(AND($G78&lt;Hta_24,$G78&gt;=Hba_24,Input!Z$44&lt;&gt;""),Input!$B$44&amp;";",""),IF(AND($G78&lt;Hta_25,$G78&gt;=Hba_25,Input!Z$45&lt;&gt;""),Input!$B$45&amp;";",""),IF(AND($G78&lt;Hta_26,$G78&gt;=Hba_26,Input!Z$46&lt;&gt;""),Input!$B$46&amp;";",""),IF(AND($G78&lt;Hta_27,$G78&gt;=Hba_27,Input!Z$47&lt;&gt;""),Input!$B$47&amp;";",""),IF(AND($G78&lt;Hta_28,$G78&gt;=Hba_28,Input!Z$48&lt;&gt;""),Input!$B$48&amp;";",""),IF(AND($G78&lt;Hta_29,$G78&gt;=Hba_29,Input!Z$49&lt;&gt;""),Input!$B$49&amp;";",""),IF(AND($G78&lt;Hta_30,$G78&gt;=Hba_30,Input!Z$50&lt;&gt;""),Input!$B$50&amp;";","")),"")</f>
        <v/>
      </c>
      <c r="CB78" s="25" t="str">
        <f>IFERROR(CONCATENATE(IF(AND($G78&lt;Hta_1,$G78&gt;=Hba_1,Input!AA$21&lt;&gt;""),Input!$B$21&amp;";",""),IF(AND($G78&lt;Hta_2,$G78&gt;=Hba_2,Input!AA$22&lt;&gt;""),Input!$B$22&amp;";",""),IF(AND($G78&lt;Hta_3,$G78&gt;=Hba_3,Input!AA$23&lt;&gt;""),Input!$B$23&amp;";",""),IF(AND($G78&lt;Hta_4,$G78&gt;=Hba_4,Input!AA$24&lt;&gt;""),Input!$B$24&amp;";",""),IF(AND($G78&lt;Hta_5,$G78&gt;=Hba_5,Input!AA$25&lt;&gt;""),Input!$B$25&amp;";",""),IF(AND($G78&lt;Hta_6,$G78&gt;=Hba_6,Input!AA$26&lt;&gt;""),Input!$B$26&amp;";",""),IF(AND($G78&lt;Hta_7,$G78&gt;=Hba_7,Input!AA$27&lt;&gt;""),Input!$B$27&amp;";",""),IF(AND($G78&lt;Hta_8,$G78&gt;=Hba_8,Input!AA$28&lt;&gt;""),Input!$B$28&amp;";",""),IF(AND($G78&lt;Hta_9,$G78&gt;=Hba_9,Input!AA$29&lt;&gt;""),Input!$B$29&amp;";",""),IF(AND($G78&lt;Hta_10,$G78&gt;=Hba_10,Input!AA$30&lt;&gt;""),Input!$B$30&amp;";",""),IF(AND($G78&lt;Hta_11,$G78&gt;=Hba_11,Input!AA$31&lt;&gt;""),Input!$B$31&amp;";",""),IF(AND($G78&lt;Hta_12,$G78&gt;=Hba_12,Input!AA$32&lt;&gt;""),Input!$B$32&amp;";",""),IF(AND($G78&lt;Hta_13,$G78&gt;=Hba_13,Input!AA$33&lt;&gt;""),Input!$B$33&amp;";",""),IF(AND($G78&lt;Hta_14,$G78&gt;=Hba_14,Input!AA$34&lt;&gt;""),Input!$B$34&amp;";",""),IF(AND($G78&lt;Hta_15,$G78&gt;=Hba_15,Input!AA$35&lt;&gt;""),Input!$B$35&amp;";",""),IF(AND($G78&lt;Hta_16,$G78&gt;=Hba_16,Input!AA$36&lt;&gt;""),Input!$B$36&amp;";",""),IF(AND($G78&lt;Hta_17,$G78&gt;=Hba_17,Input!AA$37&lt;&gt;""),Input!$B$37&amp;";",""),IF(AND($G78&lt;Hta_18,$G78&gt;=Hba_18,Input!AA$38&lt;&gt;""),Input!$B$38&amp;";",""),IF(AND($G78&lt;Hta_19,$G78&gt;=Hba_19,Input!AA$39&lt;&gt;""),Input!$B$39&amp;";",""),IF(AND($G78&lt;Hta_20,$G78&gt;=Hba_20,Input!AA$40&lt;&gt;""),Input!$B$40&amp;";",""),IF(AND($G78&lt;Hta_21,$G78&gt;=Hba_21,Input!AA$41&lt;&gt;""),Input!$B$41&amp;";",""),IF(AND($G78&lt;Hta_22,$G78&gt;=Hba_22,Input!AA$42&lt;&gt;""),Input!$B$42&amp;";",""),IF(AND($G78&lt;Hta_23,$G78&gt;=Hba_23,Input!AA$43&lt;&gt;""),Input!$B$43&amp;";",""),IF(AND($G78&lt;Hta_24,$G78&gt;=Hba_24,Input!AA$44&lt;&gt;""),Input!$B$44&amp;";",""),IF(AND($G78&lt;Hta_25,$G78&gt;=Hba_25,Input!AA$45&lt;&gt;""),Input!$B$45&amp;";",""),IF(AND($G78&lt;Hta_26,$G78&gt;=Hba_26,Input!AA$46&lt;&gt;""),Input!$B$46&amp;";",""),IF(AND($G78&lt;Hta_27,$G78&gt;=Hba_27,Input!AA$47&lt;&gt;""),Input!$B$47&amp;";",""),IF(AND($G78&lt;Hta_28,$G78&gt;=Hba_28,Input!AA$48&lt;&gt;""),Input!$B$48&amp;";",""),IF(AND($G78&lt;Hta_29,$G78&gt;=Hba_29,Input!AA$49&lt;&gt;""),Input!$B$49&amp;";",""),IF(AND($G78&lt;Hta_30,$G78&gt;=Hba_30,Input!AA$50&lt;&gt;""),Input!$B$50&amp;";","")),"")</f>
        <v/>
      </c>
      <c r="CC78" s="25" t="str">
        <f>IFERROR(CONCATENATE(IF(AND($G78&lt;Hta_1,$G78&gt;=Hba_1,Input!AB$21&lt;&gt;""),Input!$B$21&amp;";",""),IF(AND($G78&lt;Hta_2,$G78&gt;=Hba_2,Input!AB$22&lt;&gt;""),Input!$B$22&amp;";",""),IF(AND($G78&lt;Hta_3,$G78&gt;=Hba_3,Input!AB$23&lt;&gt;""),Input!$B$23&amp;";",""),IF(AND($G78&lt;Hta_4,$G78&gt;=Hba_4,Input!AB$24&lt;&gt;""),Input!$B$24&amp;";",""),IF(AND($G78&lt;Hta_5,$G78&gt;=Hba_5,Input!AB$25&lt;&gt;""),Input!$B$25&amp;";",""),IF(AND($G78&lt;Hta_6,$G78&gt;=Hba_6,Input!AB$26&lt;&gt;""),Input!$B$26&amp;";",""),IF(AND($G78&lt;Hta_7,$G78&gt;=Hba_7,Input!AB$27&lt;&gt;""),Input!$B$27&amp;";",""),IF(AND($G78&lt;Hta_8,$G78&gt;=Hba_8,Input!AB$28&lt;&gt;""),Input!$B$28&amp;";",""),IF(AND($G78&lt;Hta_9,$G78&gt;=Hba_9,Input!AB$29&lt;&gt;""),Input!$B$29&amp;";",""),IF(AND($G78&lt;Hta_10,$G78&gt;=Hba_10,Input!AB$30&lt;&gt;""),Input!$B$30&amp;";",""),IF(AND($G78&lt;Hta_11,$G78&gt;=Hba_11,Input!AB$31&lt;&gt;""),Input!$B$31&amp;";",""),IF(AND($G78&lt;Hta_12,$G78&gt;=Hba_12,Input!AB$32&lt;&gt;""),Input!$B$32&amp;";",""),IF(AND($G78&lt;Hta_13,$G78&gt;=Hba_13,Input!AB$33&lt;&gt;""),Input!$B$33&amp;";",""),IF(AND($G78&lt;Hta_14,$G78&gt;=Hba_14,Input!AB$34&lt;&gt;""),Input!$B$34&amp;";",""),IF(AND($G78&lt;Hta_15,$G78&gt;=Hba_15,Input!AB$35&lt;&gt;""),Input!$B$35&amp;";",""),IF(AND($G78&lt;Hta_16,$G78&gt;=Hba_16,Input!AB$36&lt;&gt;""),Input!$B$36&amp;";",""),IF(AND($G78&lt;Hta_17,$G78&gt;=Hba_17,Input!AB$37&lt;&gt;""),Input!$B$37&amp;";",""),IF(AND($G78&lt;Hta_18,$G78&gt;=Hba_18,Input!AB$38&lt;&gt;""),Input!$B$38&amp;";",""),IF(AND($G78&lt;Hta_19,$G78&gt;=Hba_19,Input!AB$39&lt;&gt;""),Input!$B$39&amp;";",""),IF(AND($G78&lt;Hta_20,$G78&gt;=Hba_20,Input!AB$40&lt;&gt;""),Input!$B$40&amp;";",""),IF(AND($G78&lt;Hta_21,$G78&gt;=Hba_21,Input!AB$41&lt;&gt;""),Input!$B$41&amp;";",""),IF(AND($G78&lt;Hta_22,$G78&gt;=Hba_22,Input!AB$42&lt;&gt;""),Input!$B$42&amp;";",""),IF(AND($G78&lt;Hta_23,$G78&gt;=Hba_23,Input!AB$43&lt;&gt;""),Input!$B$43&amp;";",""),IF(AND($G78&lt;Hta_24,$G78&gt;=Hba_24,Input!AB$44&lt;&gt;""),Input!$B$44&amp;";",""),IF(AND($G78&lt;Hta_25,$G78&gt;=Hba_25,Input!AB$45&lt;&gt;""),Input!$B$45&amp;";",""),IF(AND($G78&lt;Hta_26,$G78&gt;=Hba_26,Input!AB$46&lt;&gt;""),Input!$B$46&amp;";",""),IF(AND($G78&lt;Hta_27,$G78&gt;=Hba_27,Input!AB$47&lt;&gt;""),Input!$B$47&amp;";",""),IF(AND($G78&lt;Hta_28,$G78&gt;=Hba_28,Input!AB$48&lt;&gt;""),Input!$B$48&amp;";",""),IF(AND($G78&lt;Hta_29,$G78&gt;=Hba_29,Input!AB$49&lt;&gt;""),Input!$B$49&amp;";",""),IF(AND($G78&lt;Hta_30,$G78&gt;=Hba_30,Input!AB$50&lt;&gt;""),Input!$B$50&amp;";","")),"")</f>
        <v/>
      </c>
      <c r="CD78" s="25" t="str">
        <f>IFERROR(CONCATENATE(IF(AND($G78&lt;Hta_1,$G78&gt;=Hba_1,Input!AC$21&lt;&gt;""),Input!$B$21&amp;";",""),IF(AND($G78&lt;Hta_2,$G78&gt;=Hba_2,Input!AC$22&lt;&gt;""),Input!$B$22&amp;";",""),IF(AND($G78&lt;Hta_3,$G78&gt;=Hba_3,Input!AC$23&lt;&gt;""),Input!$B$23&amp;";",""),IF(AND($G78&lt;Hta_4,$G78&gt;=Hba_4,Input!AC$24&lt;&gt;""),Input!$B$24&amp;";",""),IF(AND($G78&lt;Hta_5,$G78&gt;=Hba_5,Input!AC$25&lt;&gt;""),Input!$B$25&amp;";",""),IF(AND($G78&lt;Hta_6,$G78&gt;=Hba_6,Input!AC$26&lt;&gt;""),Input!$B$26&amp;";",""),IF(AND($G78&lt;Hta_7,$G78&gt;=Hba_7,Input!AC$27&lt;&gt;""),Input!$B$27&amp;";",""),IF(AND($G78&lt;Hta_8,$G78&gt;=Hba_8,Input!AC$28&lt;&gt;""),Input!$B$28&amp;";",""),IF(AND($G78&lt;Hta_9,$G78&gt;=Hba_9,Input!AC$29&lt;&gt;""),Input!$B$29&amp;";",""),IF(AND($G78&lt;Hta_10,$G78&gt;=Hba_10,Input!AC$30&lt;&gt;""),Input!$B$30&amp;";",""),IF(AND($G78&lt;Hta_11,$G78&gt;=Hba_11,Input!AC$31&lt;&gt;""),Input!$B$31&amp;";",""),IF(AND($G78&lt;Hta_12,$G78&gt;=Hba_12,Input!AC$32&lt;&gt;""),Input!$B$32&amp;";",""),IF(AND($G78&lt;Hta_13,$G78&gt;=Hba_13,Input!AC$33&lt;&gt;""),Input!$B$33&amp;";",""),IF(AND($G78&lt;Hta_14,$G78&gt;=Hba_14,Input!AC$34&lt;&gt;""),Input!$B$34&amp;";",""),IF(AND($G78&lt;Hta_15,$G78&gt;=Hba_15,Input!AC$35&lt;&gt;""),Input!$B$35&amp;";",""),IF(AND($G78&lt;Hta_16,$G78&gt;=Hba_16,Input!AC$36&lt;&gt;""),Input!$B$36&amp;";",""),IF(AND($G78&lt;Hta_17,$G78&gt;=Hba_17,Input!AC$37&lt;&gt;""),Input!$B$37&amp;";",""),IF(AND($G78&lt;Hta_18,$G78&gt;=Hba_18,Input!AC$38&lt;&gt;""),Input!$B$38&amp;";",""),IF(AND($G78&lt;Hta_19,$G78&gt;=Hba_19,Input!AC$39&lt;&gt;""),Input!$B$39&amp;";",""),IF(AND($G78&lt;Hta_20,$G78&gt;=Hba_20,Input!AC$40&lt;&gt;""),Input!$B$40&amp;";",""),IF(AND($G78&lt;Hta_21,$G78&gt;=Hba_21,Input!AC$41&lt;&gt;""),Input!$B$41&amp;";",""),IF(AND($G78&lt;Hta_22,$G78&gt;=Hba_22,Input!AC$42&lt;&gt;""),Input!$B$42&amp;";",""),IF(AND($G78&lt;Hta_23,$G78&gt;=Hba_23,Input!AC$43&lt;&gt;""),Input!$B$43&amp;";",""),IF(AND($G78&lt;Hta_24,$G78&gt;=Hba_24,Input!AC$44&lt;&gt;""),Input!$B$44&amp;";",""),IF(AND($G78&lt;Hta_25,$G78&gt;=Hba_25,Input!AC$45&lt;&gt;""),Input!$B$45&amp;";",""),IF(AND($G78&lt;Hta_26,$G78&gt;=Hba_26,Input!AC$46&lt;&gt;""),Input!$B$46&amp;";",""),IF(AND($G78&lt;Hta_27,$G78&gt;=Hba_27,Input!AC$47&lt;&gt;""),Input!$B$47&amp;";",""),IF(AND($G78&lt;Hta_28,$G78&gt;=Hba_28,Input!AC$48&lt;&gt;""),Input!$B$48&amp;";",""),IF(AND($G78&lt;Hta_29,$G78&gt;=Hba_29,Input!AC$49&lt;&gt;""),Input!$B$49&amp;";",""),IF(AND($G78&lt;Hta_30,$G78&gt;=Hba_30,Input!AC$50&lt;&gt;""),Input!$B$50&amp;";","")),"")</f>
        <v/>
      </c>
      <c r="CE78" s="25" t="str">
        <f>IFERROR(CONCATENATE(IF(AND($G78&lt;Hta_1,$G78&gt;=Hba_1,Input!AD$21&lt;&gt;""),Input!$B$21&amp;";",""),IF(AND($G78&lt;Hta_2,$G78&gt;=Hba_2,Input!AD$22&lt;&gt;""),Input!$B$22&amp;";",""),IF(AND($G78&lt;Hta_3,$G78&gt;=Hba_3,Input!AD$23&lt;&gt;""),Input!$B$23&amp;";",""),IF(AND($G78&lt;Hta_4,$G78&gt;=Hba_4,Input!AD$24&lt;&gt;""),Input!$B$24&amp;";",""),IF(AND($G78&lt;Hta_5,$G78&gt;=Hba_5,Input!AD$25&lt;&gt;""),Input!$B$25&amp;";",""),IF(AND($G78&lt;Hta_6,$G78&gt;=Hba_6,Input!AD$26&lt;&gt;""),Input!$B$26&amp;";",""),IF(AND($G78&lt;Hta_7,$G78&gt;=Hba_7,Input!AD$27&lt;&gt;""),Input!$B$27&amp;";",""),IF(AND($G78&lt;Hta_8,$G78&gt;=Hba_8,Input!AD$28&lt;&gt;""),Input!$B$28&amp;";",""),IF(AND($G78&lt;Hta_9,$G78&gt;=Hba_9,Input!AD$29&lt;&gt;""),Input!$B$29&amp;";",""),IF(AND($G78&lt;Hta_10,$G78&gt;=Hba_10,Input!AD$30&lt;&gt;""),Input!$B$30&amp;";",""),IF(AND($G78&lt;Hta_11,$G78&gt;=Hba_11,Input!AD$31&lt;&gt;""),Input!$B$31&amp;";",""),IF(AND($G78&lt;Hta_12,$G78&gt;=Hba_12,Input!AD$32&lt;&gt;""),Input!$B$32&amp;";",""),IF(AND($G78&lt;Hta_13,$G78&gt;=Hba_13,Input!AD$33&lt;&gt;""),Input!$B$33&amp;";",""),IF(AND($G78&lt;Hta_14,$G78&gt;=Hba_14,Input!AD$34&lt;&gt;""),Input!$B$34&amp;";",""),IF(AND($G78&lt;Hta_15,$G78&gt;=Hba_15,Input!AD$35&lt;&gt;""),Input!$B$35&amp;";",""),IF(AND($G78&lt;Hta_16,$G78&gt;=Hba_16,Input!AD$36&lt;&gt;""),Input!$B$36&amp;";",""),IF(AND($G78&lt;Hta_17,$G78&gt;=Hba_17,Input!AD$37&lt;&gt;""),Input!$B$37&amp;";",""),IF(AND($G78&lt;Hta_18,$G78&gt;=Hba_18,Input!AD$38&lt;&gt;""),Input!$B$38&amp;";",""),IF(AND($G78&lt;Hta_19,$G78&gt;=Hba_19,Input!AD$39&lt;&gt;""),Input!$B$39&amp;";",""),IF(AND($G78&lt;Hta_20,$G78&gt;=Hba_20,Input!AD$40&lt;&gt;""),Input!$B$40&amp;";",""),IF(AND($G78&lt;Hta_21,$G78&gt;=Hba_21,Input!AD$41&lt;&gt;""),Input!$B$41&amp;";",""),IF(AND($G78&lt;Hta_22,$G78&gt;=Hba_22,Input!AD$42&lt;&gt;""),Input!$B$42&amp;";",""),IF(AND($G78&lt;Hta_23,$G78&gt;=Hba_23,Input!AD$43&lt;&gt;""),Input!$B$43&amp;";",""),IF(AND($G78&lt;Hta_24,$G78&gt;=Hba_24,Input!AD$44&lt;&gt;""),Input!$B$44&amp;";",""),IF(AND($G78&lt;Hta_25,$G78&gt;=Hba_25,Input!AD$45&lt;&gt;""),Input!$B$45&amp;";",""),IF(AND($G78&lt;Hta_26,$G78&gt;=Hba_26,Input!AD$46&lt;&gt;""),Input!$B$46&amp;";",""),IF(AND($G78&lt;Hta_27,$G78&gt;=Hba_27,Input!AD$47&lt;&gt;""),Input!$B$47&amp;";",""),IF(AND($G78&lt;Hta_28,$G78&gt;=Hba_28,Input!AD$48&lt;&gt;""),Input!$B$48&amp;";",""),IF(AND($G78&lt;Hta_29,$G78&gt;=Hba_29,Input!AD$49&lt;&gt;""),Input!$B$49&amp;";",""),IF(AND($G78&lt;Hta_30,$G78&gt;=Hba_30,Input!AD$50&lt;&gt;""),Input!$B$50&amp;";","")),"")</f>
        <v/>
      </c>
      <c r="CF78" s="25" t="str">
        <f>IFERROR(CONCATENATE(IF(AND($G78&lt;Hta_1,$G78&gt;=Hba_1,Input!AE$21&lt;&gt;""),Input!$B$21&amp;";",""),IF(AND($G78&lt;Hta_2,$G78&gt;=Hba_2,Input!AE$22&lt;&gt;""),Input!$B$22&amp;";",""),IF(AND($G78&lt;Hta_3,$G78&gt;=Hba_3,Input!AE$23&lt;&gt;""),Input!$B$23&amp;";",""),IF(AND($G78&lt;Hta_4,$G78&gt;=Hba_4,Input!AE$24&lt;&gt;""),Input!$B$24&amp;";",""),IF(AND($G78&lt;Hta_5,$G78&gt;=Hba_5,Input!AE$25&lt;&gt;""),Input!$B$25&amp;";",""),IF(AND($G78&lt;Hta_6,$G78&gt;=Hba_6,Input!AE$26&lt;&gt;""),Input!$B$26&amp;";",""),IF(AND($G78&lt;Hta_7,$G78&gt;=Hba_7,Input!AE$27&lt;&gt;""),Input!$B$27&amp;";",""),IF(AND($G78&lt;Hta_8,$G78&gt;=Hba_8,Input!AE$28&lt;&gt;""),Input!$B$28&amp;";",""),IF(AND($G78&lt;Hta_9,$G78&gt;=Hba_9,Input!AE$29&lt;&gt;""),Input!$B$29&amp;";",""),IF(AND($G78&lt;Hta_10,$G78&gt;=Hba_10,Input!AE$30&lt;&gt;""),Input!$B$30&amp;";",""),IF(AND($G78&lt;Hta_11,$G78&gt;=Hba_11,Input!AE$31&lt;&gt;""),Input!$B$31&amp;";",""),IF(AND($G78&lt;Hta_12,$G78&gt;=Hba_12,Input!AE$32&lt;&gt;""),Input!$B$32&amp;";",""),IF(AND($G78&lt;Hta_13,$G78&gt;=Hba_13,Input!AE$33&lt;&gt;""),Input!$B$33&amp;";",""),IF(AND($G78&lt;Hta_14,$G78&gt;=Hba_14,Input!AE$34&lt;&gt;""),Input!$B$34&amp;";",""),IF(AND($G78&lt;Hta_15,$G78&gt;=Hba_15,Input!AE$35&lt;&gt;""),Input!$B$35&amp;";",""),IF(AND($G78&lt;Hta_16,$G78&gt;=Hba_16,Input!AE$36&lt;&gt;""),Input!$B$36&amp;";",""),IF(AND($G78&lt;Hta_17,$G78&gt;=Hba_17,Input!AE$37&lt;&gt;""),Input!$B$37&amp;";",""),IF(AND($G78&lt;Hta_18,$G78&gt;=Hba_18,Input!AE$38&lt;&gt;""),Input!$B$38&amp;";",""),IF(AND($G78&lt;Hta_19,$G78&gt;=Hba_19,Input!AE$39&lt;&gt;""),Input!$B$39&amp;";",""),IF(AND($G78&lt;Hta_20,$G78&gt;=Hba_20,Input!AE$40&lt;&gt;""),Input!$B$40&amp;";",""),IF(AND($G78&lt;Hta_21,$G78&gt;=Hba_21,Input!AE$41&lt;&gt;""),Input!$B$41&amp;";",""),IF(AND($G78&lt;Hta_22,$G78&gt;=Hba_22,Input!AE$42&lt;&gt;""),Input!$B$42&amp;";",""),IF(AND($G78&lt;Hta_23,$G78&gt;=Hba_23,Input!AE$43&lt;&gt;""),Input!$B$43&amp;";",""),IF(AND($G78&lt;Hta_24,$G78&gt;=Hba_24,Input!AE$44&lt;&gt;""),Input!$B$44&amp;";",""),IF(AND($G78&lt;Hta_25,$G78&gt;=Hba_25,Input!AE$45&lt;&gt;""),Input!$B$45&amp;";",""),IF(AND($G78&lt;Hta_26,$G78&gt;=Hba_26,Input!AE$46&lt;&gt;""),Input!$B$46&amp;";",""),IF(AND($G78&lt;Hta_27,$G78&gt;=Hba_27,Input!AE$47&lt;&gt;""),Input!$B$47&amp;";",""),IF(AND($G78&lt;Hta_28,$G78&gt;=Hba_28,Input!AE$48&lt;&gt;""),Input!$B$48&amp;";",""),IF(AND($G78&lt;Hta_29,$G78&gt;=Hba_29,Input!AE$49&lt;&gt;""),Input!$B$49&amp;";",""),IF(AND($G78&lt;Hta_30,$G78&gt;=Hba_30,Input!AE$50&lt;&gt;""),Input!$B$50&amp;";","")),"")</f>
        <v/>
      </c>
      <c r="CG78" s="25" t="str">
        <f>IFERROR(CONCATENATE(IF(AND($G78&lt;Hta_1,$G78&gt;=Hba_1,Input!AF$21&lt;&gt;""),Input!$B$21&amp;";",""),IF(AND($G78&lt;Hta_2,$G78&gt;=Hba_2,Input!AF$22&lt;&gt;""),Input!$B$22&amp;";",""),IF(AND($G78&lt;Hta_3,$G78&gt;=Hba_3,Input!AF$23&lt;&gt;""),Input!$B$23&amp;";",""),IF(AND($G78&lt;Hta_4,$G78&gt;=Hba_4,Input!AF$24&lt;&gt;""),Input!$B$24&amp;";",""),IF(AND($G78&lt;Hta_5,$G78&gt;=Hba_5,Input!AF$25&lt;&gt;""),Input!$B$25&amp;";",""),IF(AND($G78&lt;Hta_6,$G78&gt;=Hba_6,Input!AF$26&lt;&gt;""),Input!$B$26&amp;";",""),IF(AND($G78&lt;Hta_7,$G78&gt;=Hba_7,Input!AF$27&lt;&gt;""),Input!$B$27&amp;";",""),IF(AND($G78&lt;Hta_8,$G78&gt;=Hba_8,Input!AF$28&lt;&gt;""),Input!$B$28&amp;";",""),IF(AND($G78&lt;Hta_9,$G78&gt;=Hba_9,Input!AF$29&lt;&gt;""),Input!$B$29&amp;";",""),IF(AND($G78&lt;Hta_10,$G78&gt;=Hba_10,Input!AF$30&lt;&gt;""),Input!$B$30&amp;";",""),IF(AND($G78&lt;Hta_11,$G78&gt;=Hba_11,Input!AF$31&lt;&gt;""),Input!$B$31&amp;";",""),IF(AND($G78&lt;Hta_12,$G78&gt;=Hba_12,Input!AF$32&lt;&gt;""),Input!$B$32&amp;";",""),IF(AND($G78&lt;Hta_13,$G78&gt;=Hba_13,Input!AF$33&lt;&gt;""),Input!$B$33&amp;";",""),IF(AND($G78&lt;Hta_14,$G78&gt;=Hba_14,Input!AF$34&lt;&gt;""),Input!$B$34&amp;";",""),IF(AND($G78&lt;Hta_15,$G78&gt;=Hba_15,Input!AF$35&lt;&gt;""),Input!$B$35&amp;";",""),IF(AND($G78&lt;Hta_16,$G78&gt;=Hba_16,Input!AF$36&lt;&gt;""),Input!$B$36&amp;";",""),IF(AND($G78&lt;Hta_17,$G78&gt;=Hba_17,Input!AF$37&lt;&gt;""),Input!$B$37&amp;";",""),IF(AND($G78&lt;Hta_18,$G78&gt;=Hba_18,Input!AF$38&lt;&gt;""),Input!$B$38&amp;";",""),IF(AND($G78&lt;Hta_19,$G78&gt;=Hba_19,Input!AF$39&lt;&gt;""),Input!$B$39&amp;";",""),IF(AND($G78&lt;Hta_20,$G78&gt;=Hba_20,Input!AF$40&lt;&gt;""),Input!$B$40&amp;";",""),IF(AND($G78&lt;Hta_21,$G78&gt;=Hba_21,Input!AF$41&lt;&gt;""),Input!$B$41&amp;";",""),IF(AND($G78&lt;Hta_22,$G78&gt;=Hba_22,Input!AF$42&lt;&gt;""),Input!$B$42&amp;";",""),IF(AND($G78&lt;Hta_23,$G78&gt;=Hba_23,Input!AF$43&lt;&gt;""),Input!$B$43&amp;";",""),IF(AND($G78&lt;Hta_24,$G78&gt;=Hba_24,Input!AF$44&lt;&gt;""),Input!$B$44&amp;";",""),IF(AND($G78&lt;Hta_25,$G78&gt;=Hba_25,Input!AF$45&lt;&gt;""),Input!$B$45&amp;";",""),IF(AND($G78&lt;Hta_26,$G78&gt;=Hba_26,Input!AF$46&lt;&gt;""),Input!$B$46&amp;";",""),IF(AND($G78&lt;Hta_27,$G78&gt;=Hba_27,Input!AF$47&lt;&gt;""),Input!$B$47&amp;";",""),IF(AND($G78&lt;Hta_28,$G78&gt;=Hba_28,Input!AF$48&lt;&gt;""),Input!$B$48&amp;";",""),IF(AND($G78&lt;Hta_29,$G78&gt;=Hba_29,Input!AF$49&lt;&gt;""),Input!$B$49&amp;";",""),IF(AND($G78&lt;Hta_30,$G78&gt;=Hba_30,Input!AF$50&lt;&gt;""),Input!$B$50&amp;";","")),"")</f>
        <v/>
      </c>
      <c r="CH78" s="25" t="str">
        <f>IFERROR(CONCATENATE(IF(AND($G78&lt;Hta_1,$G78&gt;=Hba_1,Input!AG$21&lt;&gt;""),Input!$B$21&amp;";",""),IF(AND($G78&lt;Hta_2,$G78&gt;=Hba_2,Input!AG$22&lt;&gt;""),Input!$B$22&amp;";",""),IF(AND($G78&lt;Hta_3,$G78&gt;=Hba_3,Input!AG$23&lt;&gt;""),Input!$B$23&amp;";",""),IF(AND($G78&lt;Hta_4,$G78&gt;=Hba_4,Input!AG$24&lt;&gt;""),Input!$B$24&amp;";",""),IF(AND($G78&lt;Hta_5,$G78&gt;=Hba_5,Input!AG$25&lt;&gt;""),Input!$B$25&amp;";",""),IF(AND($G78&lt;Hta_6,$G78&gt;=Hba_6,Input!AG$26&lt;&gt;""),Input!$B$26&amp;";",""),IF(AND($G78&lt;Hta_7,$G78&gt;=Hba_7,Input!AG$27&lt;&gt;""),Input!$B$27&amp;";",""),IF(AND($G78&lt;Hta_8,$G78&gt;=Hba_8,Input!AG$28&lt;&gt;""),Input!$B$28&amp;";",""),IF(AND($G78&lt;Hta_9,$G78&gt;=Hba_9,Input!AG$29&lt;&gt;""),Input!$B$29&amp;";",""),IF(AND($G78&lt;Hta_10,$G78&gt;=Hba_10,Input!AG$30&lt;&gt;""),Input!$B$30&amp;";",""),IF(AND($G78&lt;Hta_11,$G78&gt;=Hba_11,Input!AG$31&lt;&gt;""),Input!$B$31&amp;";",""),IF(AND($G78&lt;Hta_12,$G78&gt;=Hba_12,Input!AG$32&lt;&gt;""),Input!$B$32&amp;";",""),IF(AND($G78&lt;Hta_13,$G78&gt;=Hba_13,Input!AG$33&lt;&gt;""),Input!$B$33&amp;";",""),IF(AND($G78&lt;Hta_14,$G78&gt;=Hba_14,Input!AG$34&lt;&gt;""),Input!$B$34&amp;";",""),IF(AND($G78&lt;Hta_15,$G78&gt;=Hba_15,Input!AG$35&lt;&gt;""),Input!$B$35&amp;";",""),IF(AND($G78&lt;Hta_16,$G78&gt;=Hba_16,Input!AG$36&lt;&gt;""),Input!$B$36&amp;";",""),IF(AND($G78&lt;Hta_17,$G78&gt;=Hba_17,Input!AG$37&lt;&gt;""),Input!$B$37&amp;";",""),IF(AND($G78&lt;Hta_18,$G78&gt;=Hba_18,Input!AG$38&lt;&gt;""),Input!$B$38&amp;";",""),IF(AND($G78&lt;Hta_19,$G78&gt;=Hba_19,Input!AG$39&lt;&gt;""),Input!$B$39&amp;";",""),IF(AND($G78&lt;Hta_20,$G78&gt;=Hba_20,Input!AG$40&lt;&gt;""),Input!$B$40&amp;";",""),IF(AND($G78&lt;Hta_21,$G78&gt;=Hba_21,Input!AG$41&lt;&gt;""),Input!$B$41&amp;";",""),IF(AND($G78&lt;Hta_22,$G78&gt;=Hba_22,Input!AG$42&lt;&gt;""),Input!$B$42&amp;";",""),IF(AND($G78&lt;Hta_23,$G78&gt;=Hba_23,Input!AG$43&lt;&gt;""),Input!$B$43&amp;";",""),IF(AND($G78&lt;Hta_24,$G78&gt;=Hba_24,Input!AG$44&lt;&gt;""),Input!$B$44&amp;";",""),IF(AND($G78&lt;Hta_25,$G78&gt;=Hba_25,Input!AG$45&lt;&gt;""),Input!$B$45&amp;";",""),IF(AND($G78&lt;Hta_26,$G78&gt;=Hba_26,Input!AG$46&lt;&gt;""),Input!$B$46&amp;";",""),IF(AND($G78&lt;Hta_27,$G78&gt;=Hba_27,Input!AG$47&lt;&gt;""),Input!$B$47&amp;";",""),IF(AND($G78&lt;Hta_28,$G78&gt;=Hba_28,Input!AG$48&lt;&gt;""),Input!$B$48&amp;";",""),IF(AND($G78&lt;Hta_29,$G78&gt;=Hba_29,Input!AG$49&lt;&gt;""),Input!$B$49&amp;";",""),IF(AND($G78&lt;Hta_30,$G78&gt;=Hba_30,Input!AG$50&lt;&gt;""),Input!$B$50&amp;";","")),"")</f>
        <v/>
      </c>
      <c r="CI78" s="25" t="str">
        <f>IFERROR(CONCATENATE(IF(AND($G78&lt;Hta_1,$G78&gt;=Hba_1,Input!AH$21&lt;&gt;""),Input!$B$21&amp;";",""),IF(AND($G78&lt;Hta_2,$G78&gt;=Hba_2,Input!AH$22&lt;&gt;""),Input!$B$22&amp;";",""),IF(AND($G78&lt;Hta_3,$G78&gt;=Hba_3,Input!AH$23&lt;&gt;""),Input!$B$23&amp;";",""),IF(AND($G78&lt;Hta_4,$G78&gt;=Hba_4,Input!AH$24&lt;&gt;""),Input!$B$24&amp;";",""),IF(AND($G78&lt;Hta_5,$G78&gt;=Hba_5,Input!AH$25&lt;&gt;""),Input!$B$25&amp;";",""),IF(AND($G78&lt;Hta_6,$G78&gt;=Hba_6,Input!AH$26&lt;&gt;""),Input!$B$26&amp;";",""),IF(AND($G78&lt;Hta_7,$G78&gt;=Hba_7,Input!AH$27&lt;&gt;""),Input!$B$27&amp;";",""),IF(AND($G78&lt;Hta_8,$G78&gt;=Hba_8,Input!AH$28&lt;&gt;""),Input!$B$28&amp;";",""),IF(AND($G78&lt;Hta_9,$G78&gt;=Hba_9,Input!AH$29&lt;&gt;""),Input!$B$29&amp;";",""),IF(AND($G78&lt;Hta_10,$G78&gt;=Hba_10,Input!AH$30&lt;&gt;""),Input!$B$30&amp;";",""),IF(AND($G78&lt;Hta_11,$G78&gt;=Hba_11,Input!AH$31&lt;&gt;""),Input!$B$31&amp;";",""),IF(AND($G78&lt;Hta_12,$G78&gt;=Hba_12,Input!AH$32&lt;&gt;""),Input!$B$32&amp;";",""),IF(AND($G78&lt;Hta_13,$G78&gt;=Hba_13,Input!AH$33&lt;&gt;""),Input!$B$33&amp;";",""),IF(AND($G78&lt;Hta_14,$G78&gt;=Hba_14,Input!AH$34&lt;&gt;""),Input!$B$34&amp;";",""),IF(AND($G78&lt;Hta_15,$G78&gt;=Hba_15,Input!AH$35&lt;&gt;""),Input!$B$35&amp;";",""),IF(AND($G78&lt;Hta_16,$G78&gt;=Hba_16,Input!AH$36&lt;&gt;""),Input!$B$36&amp;";",""),IF(AND($G78&lt;Hta_17,$G78&gt;=Hba_17,Input!AH$37&lt;&gt;""),Input!$B$37&amp;";",""),IF(AND($G78&lt;Hta_18,$G78&gt;=Hba_18,Input!AH$38&lt;&gt;""),Input!$B$38&amp;";",""),IF(AND($G78&lt;Hta_19,$G78&gt;=Hba_19,Input!AH$39&lt;&gt;""),Input!$B$39&amp;";",""),IF(AND($G78&lt;Hta_20,$G78&gt;=Hba_20,Input!AH$40&lt;&gt;""),Input!$B$40&amp;";",""),IF(AND($G78&lt;Hta_21,$G78&gt;=Hba_21,Input!AH$41&lt;&gt;""),Input!$B$41&amp;";",""),IF(AND($G78&lt;Hta_22,$G78&gt;=Hba_22,Input!AH$42&lt;&gt;""),Input!$B$42&amp;";",""),IF(AND($G78&lt;Hta_23,$G78&gt;=Hba_23,Input!AH$43&lt;&gt;""),Input!$B$43&amp;";",""),IF(AND($G78&lt;Hta_24,$G78&gt;=Hba_24,Input!AH$44&lt;&gt;""),Input!$B$44&amp;";",""),IF(AND($G78&lt;Hta_25,$G78&gt;=Hba_25,Input!AH$45&lt;&gt;""),Input!$B$45&amp;";",""),IF(AND($G78&lt;Hta_26,$G78&gt;=Hba_26,Input!AH$46&lt;&gt;""),Input!$B$46&amp;";",""),IF(AND($G78&lt;Hta_27,$G78&gt;=Hba_27,Input!AH$47&lt;&gt;""),Input!$B$47&amp;";",""),IF(AND($G78&lt;Hta_28,$G78&gt;=Hba_28,Input!AH$48&lt;&gt;""),Input!$B$48&amp;";",""),IF(AND($G78&lt;Hta_29,$G78&gt;=Hba_29,Input!AH$49&lt;&gt;""),Input!$B$49&amp;";",""),IF(AND($G78&lt;Hta_30,$G78&gt;=Hba_30,Input!AH$50&lt;&gt;""),Input!$B$50&amp;";","")),"")</f>
        <v/>
      </c>
      <c r="CJ78" s="25" t="str">
        <f>IFERROR(CONCATENATE(IF(AND($G78&lt;Hta_1,$G78&gt;=Hba_1,Input!AI$21&lt;&gt;""),Input!$B$21&amp;";",""),IF(AND($G78&lt;Hta_2,$G78&gt;=Hba_2,Input!AI$22&lt;&gt;""),Input!$B$22&amp;";",""),IF(AND($G78&lt;Hta_3,$G78&gt;=Hba_3,Input!AI$23&lt;&gt;""),Input!$B$23&amp;";",""),IF(AND($G78&lt;Hta_4,$G78&gt;=Hba_4,Input!AI$24&lt;&gt;""),Input!$B$24&amp;";",""),IF(AND($G78&lt;Hta_5,$G78&gt;=Hba_5,Input!AI$25&lt;&gt;""),Input!$B$25&amp;";",""),IF(AND($G78&lt;Hta_6,$G78&gt;=Hba_6,Input!AI$26&lt;&gt;""),Input!$B$26&amp;";",""),IF(AND($G78&lt;Hta_7,$G78&gt;=Hba_7,Input!AI$27&lt;&gt;""),Input!$B$27&amp;";",""),IF(AND($G78&lt;Hta_8,$G78&gt;=Hba_8,Input!AI$28&lt;&gt;""),Input!$B$28&amp;";",""),IF(AND($G78&lt;Hta_9,$G78&gt;=Hba_9,Input!AI$29&lt;&gt;""),Input!$B$29&amp;";",""),IF(AND($G78&lt;Hta_10,$G78&gt;=Hba_10,Input!AI$30&lt;&gt;""),Input!$B$30&amp;";",""),IF(AND($G78&lt;Hta_11,$G78&gt;=Hba_11,Input!AI$31&lt;&gt;""),Input!$B$31&amp;";",""),IF(AND($G78&lt;Hta_12,$G78&gt;=Hba_12,Input!AI$32&lt;&gt;""),Input!$B$32&amp;";",""),IF(AND($G78&lt;Hta_13,$G78&gt;=Hba_13,Input!AI$33&lt;&gt;""),Input!$B$33&amp;";",""),IF(AND($G78&lt;Hta_14,$G78&gt;=Hba_14,Input!AI$34&lt;&gt;""),Input!$B$34&amp;";",""),IF(AND($G78&lt;Hta_15,$G78&gt;=Hba_15,Input!AI$35&lt;&gt;""),Input!$B$35&amp;";",""),IF(AND($G78&lt;Hta_16,$G78&gt;=Hba_16,Input!AI$36&lt;&gt;""),Input!$B$36&amp;";",""),IF(AND($G78&lt;Hta_17,$G78&gt;=Hba_17,Input!AI$37&lt;&gt;""),Input!$B$37&amp;";",""),IF(AND($G78&lt;Hta_18,$G78&gt;=Hba_18,Input!AI$38&lt;&gt;""),Input!$B$38&amp;";",""),IF(AND($G78&lt;Hta_19,$G78&gt;=Hba_19,Input!AI$39&lt;&gt;""),Input!$B$39&amp;";",""),IF(AND($G78&lt;Hta_20,$G78&gt;=Hba_20,Input!AI$40&lt;&gt;""),Input!$B$40&amp;";",""),IF(AND($G78&lt;Hta_21,$G78&gt;=Hba_21,Input!AI$41&lt;&gt;""),Input!$B$41&amp;";",""),IF(AND($G78&lt;Hta_22,$G78&gt;=Hba_22,Input!AI$42&lt;&gt;""),Input!$B$42&amp;";",""),IF(AND($G78&lt;Hta_23,$G78&gt;=Hba_23,Input!AI$43&lt;&gt;""),Input!$B$43&amp;";",""),IF(AND($G78&lt;Hta_24,$G78&gt;=Hba_24,Input!AI$44&lt;&gt;""),Input!$B$44&amp;";",""),IF(AND($G78&lt;Hta_25,$G78&gt;=Hba_25,Input!AI$45&lt;&gt;""),Input!$B$45&amp;";",""),IF(AND($G78&lt;Hta_26,$G78&gt;=Hba_26,Input!AI$46&lt;&gt;""),Input!$B$46&amp;";",""),IF(AND($G78&lt;Hta_27,$G78&gt;=Hba_27,Input!AI$47&lt;&gt;""),Input!$B$47&amp;";",""),IF(AND($G78&lt;Hta_28,$G78&gt;=Hba_28,Input!AI$48&lt;&gt;""),Input!$B$48&amp;";",""),IF(AND($G78&lt;Hta_29,$G78&gt;=Hba_29,Input!AI$49&lt;&gt;""),Input!$B$49&amp;";",""),IF(AND($G78&lt;Hta_30,$G78&gt;=Hba_30,Input!AI$50&lt;&gt;""),Input!$B$50&amp;";","")),"")</f>
        <v/>
      </c>
      <c r="CK78" s="25" t="str">
        <f>IFERROR(CONCATENATE(IF(AND($G78&lt;Hta_1,$G78&gt;=Hba_1,Input!AJ$21&lt;&gt;""),Input!$B$21&amp;";",""),IF(AND($G78&lt;Hta_2,$G78&gt;=Hba_2,Input!AJ$22&lt;&gt;""),Input!$B$22&amp;";",""),IF(AND($G78&lt;Hta_3,$G78&gt;=Hba_3,Input!AJ$23&lt;&gt;""),Input!$B$23&amp;";",""),IF(AND($G78&lt;Hta_4,$G78&gt;=Hba_4,Input!AJ$24&lt;&gt;""),Input!$B$24&amp;";",""),IF(AND($G78&lt;Hta_5,$G78&gt;=Hba_5,Input!AJ$25&lt;&gt;""),Input!$B$25&amp;";",""),IF(AND($G78&lt;Hta_6,$G78&gt;=Hba_6,Input!AJ$26&lt;&gt;""),Input!$B$26&amp;";",""),IF(AND($G78&lt;Hta_7,$G78&gt;=Hba_7,Input!AJ$27&lt;&gt;""),Input!$B$27&amp;";",""),IF(AND($G78&lt;Hta_8,$G78&gt;=Hba_8,Input!AJ$28&lt;&gt;""),Input!$B$28&amp;";",""),IF(AND($G78&lt;Hta_9,$G78&gt;=Hba_9,Input!AJ$29&lt;&gt;""),Input!$B$29&amp;";",""),IF(AND($G78&lt;Hta_10,$G78&gt;=Hba_10,Input!AJ$30&lt;&gt;""),Input!$B$30&amp;";",""),IF(AND($G78&lt;Hta_11,$G78&gt;=Hba_11,Input!AJ$31&lt;&gt;""),Input!$B$31&amp;";",""),IF(AND($G78&lt;Hta_12,$G78&gt;=Hba_12,Input!AJ$32&lt;&gt;""),Input!$B$32&amp;";",""),IF(AND($G78&lt;Hta_13,$G78&gt;=Hba_13,Input!AJ$33&lt;&gt;""),Input!$B$33&amp;";",""),IF(AND($G78&lt;Hta_14,$G78&gt;=Hba_14,Input!AJ$34&lt;&gt;""),Input!$B$34&amp;";",""),IF(AND($G78&lt;Hta_15,$G78&gt;=Hba_15,Input!AJ$35&lt;&gt;""),Input!$B$35&amp;";",""),IF(AND($G78&lt;Hta_16,$G78&gt;=Hba_16,Input!AJ$36&lt;&gt;""),Input!$B$36&amp;";",""),IF(AND($G78&lt;Hta_17,$G78&gt;=Hba_17,Input!AJ$37&lt;&gt;""),Input!$B$37&amp;";",""),IF(AND($G78&lt;Hta_18,$G78&gt;=Hba_18,Input!AJ$38&lt;&gt;""),Input!$B$38&amp;";",""),IF(AND($G78&lt;Hta_19,$G78&gt;=Hba_19,Input!AJ$39&lt;&gt;""),Input!$B$39&amp;";",""),IF(AND($G78&lt;Hta_20,$G78&gt;=Hba_20,Input!AJ$40&lt;&gt;""),Input!$B$40&amp;";",""),IF(AND($G78&lt;Hta_21,$G78&gt;=Hba_21,Input!AJ$41&lt;&gt;""),Input!$B$41&amp;";",""),IF(AND($G78&lt;Hta_22,$G78&gt;=Hba_22,Input!AJ$42&lt;&gt;""),Input!$B$42&amp;";",""),IF(AND($G78&lt;Hta_23,$G78&gt;=Hba_23,Input!AJ$43&lt;&gt;""),Input!$B$43&amp;";",""),IF(AND($G78&lt;Hta_24,$G78&gt;=Hba_24,Input!AJ$44&lt;&gt;""),Input!$B$44&amp;";",""),IF(AND($G78&lt;Hta_25,$G78&gt;=Hba_25,Input!AJ$45&lt;&gt;""),Input!$B$45&amp;";",""),IF(AND($G78&lt;Hta_26,$G78&gt;=Hba_26,Input!AJ$46&lt;&gt;""),Input!$B$46&amp;";",""),IF(AND($G78&lt;Hta_27,$G78&gt;=Hba_27,Input!AJ$47&lt;&gt;""),Input!$B$47&amp;";",""),IF(AND($G78&lt;Hta_28,$G78&gt;=Hba_28,Input!AJ$48&lt;&gt;""),Input!$B$48&amp;";",""),IF(AND($G78&lt;Hta_29,$G78&gt;=Hba_29,Input!AJ$49&lt;&gt;""),Input!$B$49&amp;";",""),IF(AND($G78&lt;Hta_30,$G78&gt;=Hba_30,Input!AJ$50&lt;&gt;""),Input!$B$50&amp;";","")),"")</f>
        <v/>
      </c>
      <c r="CL78" s="25" t="str">
        <f>IFERROR(CONCATENATE(IF(AND($G78&lt;Hta_1,$G78&gt;=Hba_1,Input!AK$21&lt;&gt;""),Input!$B$21&amp;";",""),IF(AND($G78&lt;Hta_2,$G78&gt;=Hba_2,Input!AK$22&lt;&gt;""),Input!$B$22&amp;";",""),IF(AND($G78&lt;Hta_3,$G78&gt;=Hba_3,Input!AK$23&lt;&gt;""),Input!$B$23&amp;";",""),IF(AND($G78&lt;Hta_4,$G78&gt;=Hba_4,Input!AK$24&lt;&gt;""),Input!$B$24&amp;";",""),IF(AND($G78&lt;Hta_5,$G78&gt;=Hba_5,Input!AK$25&lt;&gt;""),Input!$B$25&amp;";",""),IF(AND($G78&lt;Hta_6,$G78&gt;=Hba_6,Input!AK$26&lt;&gt;""),Input!$B$26&amp;";",""),IF(AND($G78&lt;Hta_7,$G78&gt;=Hba_7,Input!AK$27&lt;&gt;""),Input!$B$27&amp;";",""),IF(AND($G78&lt;Hta_8,$G78&gt;=Hba_8,Input!AK$28&lt;&gt;""),Input!$B$28&amp;";",""),IF(AND($G78&lt;Hta_9,$G78&gt;=Hba_9,Input!AK$29&lt;&gt;""),Input!$B$29&amp;";",""),IF(AND($G78&lt;Hta_10,$G78&gt;=Hba_10,Input!AK$30&lt;&gt;""),Input!$B$30&amp;";",""),IF(AND($G78&lt;Hta_11,$G78&gt;=Hba_11,Input!AK$31&lt;&gt;""),Input!$B$31&amp;";",""),IF(AND($G78&lt;Hta_12,$G78&gt;=Hba_12,Input!AK$32&lt;&gt;""),Input!$B$32&amp;";",""),IF(AND($G78&lt;Hta_13,$G78&gt;=Hba_13,Input!AK$33&lt;&gt;""),Input!$B$33&amp;";",""),IF(AND($G78&lt;Hta_14,$G78&gt;=Hba_14,Input!AK$34&lt;&gt;""),Input!$B$34&amp;";",""),IF(AND($G78&lt;Hta_15,$G78&gt;=Hba_15,Input!AK$35&lt;&gt;""),Input!$B$35&amp;";",""),IF(AND($G78&lt;Hta_16,$G78&gt;=Hba_16,Input!AK$36&lt;&gt;""),Input!$B$36&amp;";",""),IF(AND($G78&lt;Hta_17,$G78&gt;=Hba_17,Input!AK$37&lt;&gt;""),Input!$B$37&amp;";",""),IF(AND($G78&lt;Hta_18,$G78&gt;=Hba_18,Input!AK$38&lt;&gt;""),Input!$B$38&amp;";",""),IF(AND($G78&lt;Hta_19,$G78&gt;=Hba_19,Input!AK$39&lt;&gt;""),Input!$B$39&amp;";",""),IF(AND($G78&lt;Hta_20,$G78&gt;=Hba_20,Input!AK$40&lt;&gt;""),Input!$B$40&amp;";",""),IF(AND($G78&lt;Hta_21,$G78&gt;=Hba_21,Input!AK$41&lt;&gt;""),Input!$B$41&amp;";",""),IF(AND($G78&lt;Hta_22,$G78&gt;=Hba_22,Input!AK$42&lt;&gt;""),Input!$B$42&amp;";",""),IF(AND($G78&lt;Hta_23,$G78&gt;=Hba_23,Input!AK$43&lt;&gt;""),Input!$B$43&amp;";",""),IF(AND($G78&lt;Hta_24,$G78&gt;=Hba_24,Input!AK$44&lt;&gt;""),Input!$B$44&amp;";",""),IF(AND($G78&lt;Hta_25,$G78&gt;=Hba_25,Input!AK$45&lt;&gt;""),Input!$B$45&amp;";",""),IF(AND($G78&lt;Hta_26,$G78&gt;=Hba_26,Input!AK$46&lt;&gt;""),Input!$B$46&amp;";",""),IF(AND($G78&lt;Hta_27,$G78&gt;=Hba_27,Input!AK$47&lt;&gt;""),Input!$B$47&amp;";",""),IF(AND($G78&lt;Hta_28,$G78&gt;=Hba_28,Input!AK$48&lt;&gt;""),Input!$B$48&amp;";",""),IF(AND($G78&lt;Hta_29,$G78&gt;=Hba_29,Input!AK$49&lt;&gt;""),Input!$B$49&amp;";",""),IF(AND($G78&lt;Hta_30,$G78&gt;=Hba_30,Input!AK$50&lt;&gt;""),Input!$B$50&amp;";","")),"")</f>
        <v/>
      </c>
      <c r="CM78" s="25" t="str">
        <f>IFERROR(CONCATENATE(IF(AND($G78&lt;Hta_1,$G78&gt;=Hba_1,Input!AL$21&lt;&gt;""),Input!$B$21&amp;";",""),IF(AND($G78&lt;Hta_2,$G78&gt;=Hba_2,Input!AL$22&lt;&gt;""),Input!$B$22&amp;";",""),IF(AND($G78&lt;Hta_3,$G78&gt;=Hba_3,Input!AL$23&lt;&gt;""),Input!$B$23&amp;";",""),IF(AND($G78&lt;Hta_4,$G78&gt;=Hba_4,Input!AL$24&lt;&gt;""),Input!$B$24&amp;";",""),IF(AND($G78&lt;Hta_5,$G78&gt;=Hba_5,Input!AL$25&lt;&gt;""),Input!$B$25&amp;";",""),IF(AND($G78&lt;Hta_6,$G78&gt;=Hba_6,Input!AL$26&lt;&gt;""),Input!$B$26&amp;";",""),IF(AND($G78&lt;Hta_7,$G78&gt;=Hba_7,Input!AL$27&lt;&gt;""),Input!$B$27&amp;";",""),IF(AND($G78&lt;Hta_8,$G78&gt;=Hba_8,Input!AL$28&lt;&gt;""),Input!$B$28&amp;";",""),IF(AND($G78&lt;Hta_9,$G78&gt;=Hba_9,Input!AL$29&lt;&gt;""),Input!$B$29&amp;";",""),IF(AND($G78&lt;Hta_10,$G78&gt;=Hba_10,Input!AL$30&lt;&gt;""),Input!$B$30&amp;";",""),IF(AND($G78&lt;Hta_11,$G78&gt;=Hba_11,Input!AL$31&lt;&gt;""),Input!$B$31&amp;";",""),IF(AND($G78&lt;Hta_12,$G78&gt;=Hba_12,Input!AL$32&lt;&gt;""),Input!$B$32&amp;";",""),IF(AND($G78&lt;Hta_13,$G78&gt;=Hba_13,Input!AL$33&lt;&gt;""),Input!$B$33&amp;";",""),IF(AND($G78&lt;Hta_14,$G78&gt;=Hba_14,Input!AL$34&lt;&gt;""),Input!$B$34&amp;";",""),IF(AND($G78&lt;Hta_15,$G78&gt;=Hba_15,Input!AL$35&lt;&gt;""),Input!$B$35&amp;";",""),IF(AND($G78&lt;Hta_16,$G78&gt;=Hba_16,Input!AL$36&lt;&gt;""),Input!$B$36&amp;";",""),IF(AND($G78&lt;Hta_17,$G78&gt;=Hba_17,Input!AL$37&lt;&gt;""),Input!$B$37&amp;";",""),IF(AND($G78&lt;Hta_18,$G78&gt;=Hba_18,Input!AL$38&lt;&gt;""),Input!$B$38&amp;";",""),IF(AND($G78&lt;Hta_19,$G78&gt;=Hba_19,Input!AL$39&lt;&gt;""),Input!$B$39&amp;";",""),IF(AND($G78&lt;Hta_20,$G78&gt;=Hba_20,Input!AL$40&lt;&gt;""),Input!$B$40&amp;";",""),IF(AND($G78&lt;Hta_21,$G78&gt;=Hba_21,Input!AL$41&lt;&gt;""),Input!$B$41&amp;";",""),IF(AND($G78&lt;Hta_22,$G78&gt;=Hba_22,Input!AL$42&lt;&gt;""),Input!$B$42&amp;";",""),IF(AND($G78&lt;Hta_23,$G78&gt;=Hba_23,Input!AL$43&lt;&gt;""),Input!$B$43&amp;";",""),IF(AND($G78&lt;Hta_24,$G78&gt;=Hba_24,Input!AL$44&lt;&gt;""),Input!$B$44&amp;";",""),IF(AND($G78&lt;Hta_25,$G78&gt;=Hba_25,Input!AL$45&lt;&gt;""),Input!$B$45&amp;";",""),IF(AND($G78&lt;Hta_26,$G78&gt;=Hba_26,Input!AL$46&lt;&gt;""),Input!$B$46&amp;";",""),IF(AND($G78&lt;Hta_27,$G78&gt;=Hba_27,Input!AL$47&lt;&gt;""),Input!$B$47&amp;";",""),IF(AND($G78&lt;Hta_28,$G78&gt;=Hba_28,Input!AL$48&lt;&gt;""),Input!$B$48&amp;";",""),IF(AND($G78&lt;Hta_29,$G78&gt;=Hba_29,Input!AL$49&lt;&gt;""),Input!$B$49&amp;";",""),IF(AND($G78&lt;Hta_30,$G78&gt;=Hba_30,Input!AL$50&lt;&gt;""),Input!$B$50&amp;";","")),"")</f>
        <v/>
      </c>
      <c r="CN78" s="59" t="str">
        <f t="shared" si="16"/>
        <v/>
      </c>
      <c r="CO78" s="791"/>
      <c r="CP78" s="792"/>
      <c r="CQ78" s="793"/>
      <c r="CR78" s="791"/>
      <c r="CS78" s="792"/>
      <c r="CT78" s="793"/>
      <c r="CU78" s="791" t="str">
        <f t="shared" si="17"/>
        <v/>
      </c>
      <c r="CV78" s="792"/>
      <c r="CW78" s="807"/>
      <c r="CX78" s="808"/>
      <c r="CY78" s="730"/>
      <c r="CZ78" s="809"/>
      <c r="DA78" s="733"/>
      <c r="DB78" s="734"/>
      <c r="DC78" s="735"/>
      <c r="DD78" s="729" t="str">
        <f t="shared" si="18"/>
        <v/>
      </c>
      <c r="DE78" s="730"/>
      <c r="DF78" s="731"/>
      <c r="DG78" s="55"/>
      <c r="DH78" s="56"/>
      <c r="DI78" s="56"/>
      <c r="DJ78" s="56"/>
      <c r="DK78" s="56"/>
      <c r="DL78" s="56"/>
      <c r="DM78" s="56"/>
      <c r="DN78" s="56"/>
      <c r="DO78" s="56"/>
      <c r="DP78" s="56"/>
      <c r="DQ78" s="58"/>
      <c r="DR78" s="58"/>
      <c r="DS78" s="58"/>
      <c r="DT78" s="58"/>
      <c r="DU78" s="58"/>
      <c r="DV78" s="58"/>
      <c r="DW78" s="58"/>
      <c r="DX78" s="58"/>
      <c r="DY78" s="58"/>
      <c r="DZ78" s="58"/>
      <c r="EA78" s="58"/>
      <c r="EB78" s="58"/>
      <c r="EC78" s="58"/>
      <c r="ED78" s="58"/>
      <c r="EE78" s="58"/>
      <c r="EF78" s="58"/>
      <c r="EG78" s="58"/>
      <c r="EH78" s="58"/>
      <c r="EI78" s="58"/>
      <c r="EJ78" s="58"/>
      <c r="EK78" s="58"/>
      <c r="EL78" s="134"/>
      <c r="EM78" s="134"/>
      <c r="EN78" s="134"/>
      <c r="EO78" s="134"/>
      <c r="EP78" s="134"/>
      <c r="EQ78" s="134"/>
      <c r="ER78" s="134"/>
      <c r="ES78" s="134"/>
      <c r="ET78" s="134"/>
      <c r="EU78" s="134"/>
      <c r="EV78" s="134"/>
      <c r="EW78" s="134"/>
      <c r="EX78" s="134"/>
      <c r="EY78" s="134"/>
      <c r="EZ78" s="134"/>
      <c r="FA78" s="134"/>
      <c r="FB78" s="134"/>
      <c r="FC78" s="134"/>
      <c r="FD78" s="134"/>
      <c r="FE78" s="134"/>
      <c r="FF78" s="134"/>
      <c r="FG78" s="134"/>
      <c r="FH78" s="134"/>
      <c r="FI78" s="134"/>
      <c r="FJ78" s="134"/>
      <c r="FK78" s="134"/>
      <c r="FL78" s="134"/>
      <c r="FM78" s="134"/>
      <c r="FN78" s="134"/>
      <c r="FO78" s="134"/>
      <c r="FQ78" s="124"/>
      <c r="FR78" s="122"/>
      <c r="FS78" s="120"/>
      <c r="FT78" s="119"/>
    </row>
    <row r="79" spans="2:176" ht="15.75" hidden="1" thickBot="1" x14ac:dyDescent="0.3">
      <c r="B79" s="62" t="b">
        <f>IF(OR(AND(G79&gt;='Geometry 2'!$AK$5,G79&lt;'Geometry 2'!$AL$5),AND(G79&gt;='Geometry 2'!$AK$6,G79&lt;'Geometry 2'!$AL$6),AND(G79&gt;='Geometry 2'!$AK$7,G79&lt;'Geometry 2'!$AL$7),AND(G79&gt;='Geometry 2'!$AK$8,G79&lt;'Geometry 2'!$AL$8),AND(G79&gt;='Geometry 2'!$AK$9,G79&lt;'Geometry 2'!$AL$9),AND(G79&gt;='Geometry 2'!$AK$10,G79&lt;'Geometry 2'!$AL$10),AND(G79&gt;='Geometry 2'!$AK$11,G79&lt;'Geometry 2'!$AL$11),AND(G79&gt;='Geometry 2'!$AK$12,G79&lt;'Geometry 2'!$AL$12),AND(G79&gt;='Geometry 2'!$AK$13,G79&lt;'Geometry 2'!$AL$13),AND(G79&gt;='Geometry 2'!$AK$14,G79&lt;'Geometry 2'!$AL$14)),TRUE,FALSE)</f>
        <v>0</v>
      </c>
      <c r="C79" s="4" t="str">
        <f t="shared" si="13"/>
        <v/>
      </c>
      <c r="D79" s="766" t="str">
        <f t="shared" si="14"/>
        <v/>
      </c>
      <c r="E79" s="767"/>
      <c r="F79" s="17" t="str">
        <f t="shared" si="12"/>
        <v/>
      </c>
      <c r="G79" s="768" t="str">
        <f>IF(D79="","",MAX(0,G78-IF(inc="n/a",999,inc),MAX(IF(G78&lt;=Hta_1,0,Hta_1),IF(G78&lt;=Hta_2,0,Hta_2),IF(G78&lt;=Hta_3,0,Hta_3),IF(G78&lt;=Hta_4,0,Hta_4),IF(G78&lt;=Hta_5,0,Hta_5),IF(G78&lt;=Hta_6,0,Hta_6),IF(G78&lt;=Hta_7,0,Hta_7),IF(G78&lt;=Hta_8,0,Hta_8),IF(G78&lt;=Hta_9,0,Hta_9),IF(G78&lt;=Hta_10,0,Hta_10),IF(G78&lt;=Hta_11,0,Hta_11),IF(G78&lt;=Hta_12,0,Hta_12),IF(G78&lt;=Hta_13,0,Hta_13),IF(G78&lt;=Hta_14,0,Hta_14),IF(G78&lt;=Hta_15,0,Hta_15),IF(G78&lt;=Hta_16,0,Hta_16),IF(G78&lt;=Hta_17,0,Hta_17),IF(G78&lt;=Hta_18,0,Hta_18),IF(G78&lt;=Hta_19,0,Hta_19),IF(G78&lt;=Hta_20,0,Hta_20),IF(G78&lt;=Hta_21,0,Hta_21),IF(G78&lt;=Hta_22,0,Hta_22),IF(G78&lt;=Hta_23,0,Hta_23),IF(G78&lt;=Hta_24,0,Hta_24),IF(G78&lt;=Hta_25,0,Hta_25),IF(G78&lt;=Hta_26,0,Hta_26),IF(G78&lt;=Hta_27,0,Hta_27),IF(G78&lt;=Hta_28,0,Hta_28),IF(G78&lt;=Hta_29,0,Hta_29),IF(G78&lt;=Hta_30,0,Hta_30)),MAX(IF(G78&lt;=Hta_1-0.25,0,Hta_1-0.25),IF(G78&lt;=Hta_2-0.25,0,Hta_2-0.25),IF(G78&lt;=Hta_3-0.25,0,Hta_3-0.25),IF(G78&lt;=Hta_4-0.25,0,Hta_4-0.25),IF(G78&lt;=Hta_5-0.25,0,Hta_5-0.25),IF(G78&lt;=Hta_6-0.25,0,Hta_6-0.25),IF(G78&lt;=Hta_7-0.25,0,Hta_7-0.25),IF(G78&lt;=Hta_8-0.25,0,Hta_8-0.25),IF(G78&lt;=Hta_9-0.25,0,Hta_9-0.25),IF(G78&lt;=Hta_10-0.25,0,Hta_10-0.25),IF(G78&lt;=Hta_11-0.25,0,Hta_11-0.25),IF(G78&lt;=Hta_12-0.25,0,Hta_12-0.25),IF(G78&lt;=Hta_13-0.25,0,Hta_13-0.25),IF(G78&lt;=Hta_14-0.25,0,Hta_14-0.25),IF(G78&lt;=Hta_15-0.25,0,Hta_15-0.25),IF(G78&lt;=Hta_16-0.25,0,Hta_16-0.25),IF(G78&lt;=Hta_17-0.25,0,Hta_17-0.25),IF(G78&lt;=Hta_18-0.25,0,Hta_18-0.25),IF(G78&lt;=Hta_19-0.25,0,Hta_19-0.25),IF(G78&lt;=Hta_20-0.25,0,Hta_20-0.25),IF(G78&lt;=Hta_21-0.25,0,Hta_21-0.25),IF(G78&lt;=Hta_22-0.25,0,Hta_22-0.25),IF(G78&lt;=Hta_23-0.25,0,Hta_23-0.25),IF(G78&lt;=Hta_24-0.25,0,Hta_24-0.25),IF(G78&lt;=Hta_25-0.25,0,Hta_25-0.25),IF(G78&lt;=Hta_26-0.25,0,Hta_26-0.25),IF(G78&lt;=Hta_27-0.25,0,Hta_27-0.25),IF(G78&lt;=Hta_28-0.25,0,Hta_28-0.25),IF(G78&lt;=Hta_29-0.25,0,Hta_29-0.25),IF(G78&lt;=Hta_30-0.25,0,Hta_30-0.25)),MAX(IF(G78&lt;=Hba_1,0,Hba_1),IF(G78&lt;=Hba_2,0,Hba_2),IF(G78&lt;=Hba_3,0,Hba_3),IF(G78&lt;=Hba_4,0,Hba_4),IF(G78&lt;=Hba_5,0,Hba_5),IF(G78&lt;=Hba_6,0,Hba_6),IF(G78&lt;=Hba_7,0,Hba_7),IF(G78&lt;=Hba_8,0,Hba_8),IF(G78&lt;=Hba_9,0,Hba_9),IF(G78&lt;=Hba_10,0,Hba_10),IF(G78&lt;=Hba_11,0,Hba_11),IF(G78&lt;=Hba_12,0,Hba_12),IF(G78&lt;=Hba_13,0,Hba_13),IF(G78&lt;=Hba_14,0,Hba_14),IF(G78&lt;=Hba_15,0,Hba_15),IF(G78&lt;=Hba_16,0,Hba_16),IF(G78&lt;=Hba_17,0,Hba_17),IF(G78&lt;=Hba_18,0,Hba_18),IF(G78&lt;=Hba_19,0,Hba_19),IF(G78&lt;=Hba_20,0,Hba_20),IF(G78&lt;=Hba_21,0,Hba_21),IF(G78&lt;=Hba_22,0,Hba_22),IF(G78&lt;=Hba_23,0,Hba_23),IF(G78&lt;=Hba_24,0,Hba_24),IF(G78&lt;=Hba_25,0,Hba_25),IF(G78&lt;=Hba_26,0,Hba_26),IF(G78&lt;=Hba_27,0,Hba_27),IF(G78&lt;=Hba_28,0,Hba_28),IF(G78&lt;=Hba_29,0,Hba_29),IF(G78&lt;=Hba_30,0,Hba_30)),MAX(IF(G78&lt;=Input!$C$8,0,Input!$C$8),IF(G78&lt;=Input!$C$9,0,Input!$C$9),IF(G78&lt;=Input!$C$10,0,Input!$C$10),IF(G78&lt;=Input!$C$11,0,Input!$C$11),IF(G78&lt;=Input!$C$12,0,Input!$C$12),IF(G78&lt;=Input!$C$13,0,Input!$C$13),IF(G78&lt;=Input!$C$14,0,Input!$C$14),IF(G78&lt;=Input!$C$15,0,Input!$C$15),IF(G78&lt;=Input!$C$16,0,Input!$C$16)),MAX(IF(G78&lt;=Hba_1-0.25,0,Hba_1-0.25),IF(G78&lt;=Hba_2-0.25,0,Hba_2-0.25),IF(G78&lt;=Hba_3-0.25,0,Hba_3-0.25),IF(G78&lt;=Hba_4-0.25,0,Hba_4-0.25),IF(G78&lt;=Hba_5-0.25,0,Hba_5-0.25),IF(G78&lt;=Hba_6-0.25,0,Hba_6-0.25),IF(G78&lt;=Hba_7-0.25,0,Hba_7-0.25),IF(G78&lt;=Hba_8-0.25,0,Hba_8-0.25),IF(G78&lt;=Hba_9-0.25,0,Hba_9-0.25),IF(G78&lt;=Hba_10-0.25,0,Hba_10-0.25),IF(G78&lt;=Hba_11-0.25,0,Hba_11-0.25),IF(G78&lt;=Hba_12-0.25,0,Hba_12-0.25),IF(G78&lt;=Hba_13-0.25,0,Hba_13-0.25),IF(G78&lt;=Hba_14-0.25,0,Hba_14-0.25),IF(G78&lt;=Hba_15-0.25,0,Hba_15-0.25),IF(G78&lt;=Hba_16-0.25,0,Hba_16-0.25),IF(G78&lt;=Hba_17-0.25,0,Hba_17-0.25),IF(G78&lt;=Hba_18-0.25,0,Hba_18-0.25),IF(G78&lt;=Hba_19-0.25,0,Hba_19-0.25),IF(G78&lt;=Hba_20-0.25,0,Hba_20-0.25),IF(G78&lt;=Hba_21-0.25,0,Hba_21-0.25),IF(G78&lt;=Hba_22-0.25,0,Hba_22-0.25),IF(G78&lt;=Hba_23-0.25,0,Hba_23-0.25),IF(G78&lt;=Hba_24-0.25,0,Hba_24-0.25),IF(G78&lt;=Hba_25-0.25,0,Hba_25-0.25),IF(G78&lt;=Hba_26-0.25,0,Hba_26-0.25),IF(G78&lt;=Hba_27-0.25,0,Hba_27-0.25),IF(G78&lt;=Hba_28-0.25,0,Hba_28-0.25),IF(G78&lt;=Hba_29-0.25,0,Hba_29-0.25),IF(G78&lt;=Hba_30-0.25,0,Hba_30-0.25)),IF(G78&lt;='Macro References'!$A$38,0,'Macro References'!$A$38)))</f>
        <v/>
      </c>
      <c r="H79" s="769"/>
      <c r="I79" s="228"/>
      <c r="J79" s="228"/>
      <c r="K79" s="228"/>
      <c r="L79" s="717" t="str">
        <f t="shared" si="11"/>
        <v/>
      </c>
      <c r="M79" s="717"/>
      <c r="N79" s="717"/>
      <c r="O79" s="717"/>
      <c r="P79" s="717" t="str">
        <f>IF(OR(G79=0,G79=""),"",IF(VLOOKUP(G79,'Geometry 2'!$C$4:$AI$14,1,TRUE)=VLOOKUP(G80,'Geometry 2'!$C$4:$AI$14,1,TRUE),"",IF(VLOOKUP(G79,'Geometry 2'!$C$4:$AI$14,33,TRUE)&lt;&gt;"n/a",MIN(G79,VLOOKUP(G79,'Geometry 2'!$C$4:$AI$14,1,TRUE))-VLOOKUP(G79,'Geometry 2'!$C$4:$AI$14,33,TRUE),"check")))</f>
        <v/>
      </c>
      <c r="Q79" s="717"/>
      <c r="R79" s="717"/>
      <c r="S79" s="717"/>
      <c r="T79" s="717" t="str">
        <f>IF($G79="","",VLOOKUP($G79,'Geometry 2'!$E$4:$AH$14,11,TRUE))</f>
        <v/>
      </c>
      <c r="U79" s="717"/>
      <c r="V79" s="717"/>
      <c r="W79" s="717"/>
      <c r="X79" s="716" t="str">
        <f>IF($G79="","",VLOOKUP($G79,'Geometry 2'!$E$4:$AJ$14,19,TRUE)-12*VLOOKUP($G79,'Geometry 2'!$E$4:$AJ$14,32,TRUE)*($D79-VLOOKUP($G79,'Geometry 2'!$E$5:$AH$14,1,TRUE)))</f>
        <v/>
      </c>
      <c r="Y79" s="716"/>
      <c r="Z79" s="716"/>
      <c r="AA79" s="716"/>
      <c r="AB79" s="757" t="str">
        <f>IF($G79="","",VLOOKUP($G79,'Geometry 2'!$E$4:$AJ$14,19,TRUE)-12*VLOOKUP($G79,'Geometry 2'!$E$4:$AJ$14,32,TRUE)*($G79-VLOOKUP($G79,'Geometry 2'!$E$5:$AH$14,1,TRUE)))</f>
        <v/>
      </c>
      <c r="AC79" s="758"/>
      <c r="AD79" s="758"/>
      <c r="AE79" s="759"/>
      <c r="AF79" s="716" t="str">
        <f>IF($G79="","",VLOOKUP($G79,'Geometry 2'!$E$4:$AJ$14,19,TRUE)-12*VLOOKUP($G79,'Geometry 2'!$E$4:$AJ$14,32,TRUE)*($G79-IF($P79="",0,$P79)-VLOOKUP($G79,'Geometry 2'!$E$5:$AH$14,1,TRUE)))</f>
        <v/>
      </c>
      <c r="AG79" s="716"/>
      <c r="AH79" s="716"/>
      <c r="AI79" s="716"/>
      <c r="AJ79" s="746" t="str">
        <f>IF($G79="","",VLOOKUP($G79,'Geometry 2'!$E$4:$AH$14,23,TRUE))</f>
        <v/>
      </c>
      <c r="AK79" s="747"/>
      <c r="AL79" s="747"/>
      <c r="AM79" s="748"/>
      <c r="AN79" s="717"/>
      <c r="AO79" s="717"/>
      <c r="AP79" s="717"/>
      <c r="AQ79" s="717"/>
      <c r="AR79" s="717" t="str">
        <f>IF($G79="","",VLOOKUP($G79,'Geometry 2'!$E$4:$AH$14,27,TRUE))</f>
        <v/>
      </c>
      <c r="AS79" s="717"/>
      <c r="AT79" s="717"/>
      <c r="AU79" s="718"/>
      <c r="AV79" s="715"/>
      <c r="AW79" s="716"/>
      <c r="AX79" s="716"/>
      <c r="AZ79" s="722" t="str">
        <f t="shared" si="15"/>
        <v/>
      </c>
      <c r="BA79" s="723"/>
      <c r="BB79" s="723"/>
      <c r="BC79" s="724"/>
      <c r="BD79" s="722"/>
      <c r="BE79" s="723"/>
      <c r="BF79" s="723"/>
      <c r="BG79" s="722" t="str">
        <f t="shared" si="9"/>
        <v/>
      </c>
      <c r="BH79" s="723"/>
      <c r="BI79" s="723"/>
      <c r="BJ79" s="723"/>
      <c r="BK79" s="724"/>
      <c r="BL79" s="722"/>
      <c r="BM79" s="723"/>
      <c r="BN79" s="723"/>
      <c r="BO79" s="723"/>
      <c r="BP79" s="725"/>
      <c r="BQ79" s="725"/>
      <c r="BR79" s="722" t="str">
        <f>IF(BP79="","",IF(OR(AND(Rev="H",Calculations!$F$27=TRUE),AND(Rev&lt;&gt;"H",Calculations!$F$30=TRUE)),IF(BP79&lt;=1,"Pass","Fail"),IF(BP79&lt;=1.05,"Pass","Fail")))</f>
        <v/>
      </c>
      <c r="BS79" s="723"/>
      <c r="BT79" s="724"/>
      <c r="BU79" s="49"/>
      <c r="BV79" s="25" t="str">
        <f>IFERROR(CONCATENATE(IF(AND($G79&lt;Hta_1,$G79&gt;=Hba_1,Input!U$21&lt;&gt;""),Input!$B$21&amp;";",""),IF(AND($G79&lt;Hta_2,$G79&gt;=Hba_2,Input!U$22&lt;&gt;""),Input!$B$22&amp;";",""),IF(AND($G79&lt;Hta_3,$G79&gt;=Hba_3,Input!U$23&lt;&gt;""),Input!$B$23&amp;";",""),IF(AND($G79&lt;Hta_4,$G79&gt;=Hba_4,Input!U$24&lt;&gt;""),Input!$B$24&amp;";",""),IF(AND($G79&lt;Hta_5,$G79&gt;=Hba_5,Input!U$25&lt;&gt;""),Input!$B$25&amp;";",""),IF(AND($G79&lt;Hta_6,$G79&gt;=Hba_6,Input!U$26&lt;&gt;""),Input!$B$26&amp;";",""),IF(AND($G79&lt;Hta_7,$G79&gt;=Hba_7,Input!U$27&lt;&gt;""),Input!$B$27&amp;";",""),IF(AND($G79&lt;Hta_8,$G79&gt;=Hba_8,Input!U$28&lt;&gt;""),Input!$B$28&amp;";",""),IF(AND($G79&lt;Hta_9,$G79&gt;=Hba_9,Input!U$29&lt;&gt;""),Input!$B$29&amp;";",""),IF(AND($G79&lt;Hta_10,$G79&gt;=Hba_10,Input!U$30&lt;&gt;""),Input!$B$30&amp;";",""),IF(AND($G79&lt;Hta_11,$G79&gt;=Hba_11,Input!U$31&lt;&gt;""),Input!$B$31&amp;";",""),IF(AND($G79&lt;Hta_12,$G79&gt;=Hba_12,Input!U$32&lt;&gt;""),Input!$B$32&amp;";",""),IF(AND($G79&lt;Hta_13,$G79&gt;=Hba_13,Input!U$33&lt;&gt;""),Input!$B$33&amp;";",""),IF(AND($G79&lt;Hta_14,$G79&gt;=Hba_14,Input!U$34&lt;&gt;""),Input!$B$34&amp;";",""),IF(AND($G79&lt;Hta_15,$G79&gt;=Hba_15,Input!U$35&lt;&gt;""),Input!$B$35&amp;";",""),IF(AND($G79&lt;Hta_16,$G79&gt;=Hba_16,Input!U$36&lt;&gt;""),Input!$B$36&amp;";",""),IF(AND($G79&lt;Hta_17,$G79&gt;=Hba_17,Input!U$37&lt;&gt;""),Input!$B$37&amp;";",""),IF(AND($G79&lt;Hta_18,$G79&gt;=Hba_18,Input!U$38&lt;&gt;""),Input!$B$38&amp;";",""),IF(AND($G79&lt;Hta_19,$G79&gt;=Hba_19,Input!U$39&lt;&gt;""),Input!$B$39&amp;";",""),IF(AND($G79&lt;Hta_20,$G79&gt;=Hba_20,Input!U$40&lt;&gt;""),Input!$B$40&amp;";",""),IF(AND($G79&lt;Hta_21,$G79&gt;=Hba_21,Input!U$41&lt;&gt;""),Input!$B$41&amp;";",""),IF(AND($G79&lt;Hta_22,$G79&gt;=Hba_22,Input!U$42&lt;&gt;""),Input!$B$42&amp;";",""),IF(AND($G79&lt;Hta_23,$G79&gt;=Hba_23,Input!U$43&lt;&gt;""),Input!$B$43&amp;";",""),IF(AND($G79&lt;Hta_24,$G79&gt;=Hba_24,Input!U$44&lt;&gt;""),Input!$B$44&amp;";",""),IF(AND($G79&lt;Hta_25,$G79&gt;=Hba_25,Input!U$45&lt;&gt;""),Input!$B$45&amp;";",""),IF(AND($G79&lt;Hta_26,$G79&gt;=Hba_26,Input!U$46&lt;&gt;""),Input!$B$46&amp;";",""),IF(AND($G79&lt;Hta_27,$G79&gt;=Hba_27,Input!U$47&lt;&gt;""),Input!$B$47&amp;";",""),IF(AND($G79&lt;Hta_28,$G79&gt;=Hba_28,Input!U$48&lt;&gt;""),Input!$B$48&amp;";",""),IF(AND($G79&lt;Hta_29,$G79&gt;=Hba_29,Input!U$49&lt;&gt;""),Input!$B$49&amp;";",""),IF(AND($G79&lt;Hta_30,$G79&gt;=Hba_30,Input!U$50&lt;&gt;""),Input!$B$50&amp;";","")),"")</f>
        <v/>
      </c>
      <c r="BW79" s="25" t="str">
        <f>IFERROR(CONCATENATE(IF(AND($G79&lt;Hta_1,$G79&gt;=Hba_1,Input!V$21&lt;&gt;""),Input!$B$21&amp;";",""),IF(AND($G79&lt;Hta_2,$G79&gt;=Hba_2,Input!V$22&lt;&gt;""),Input!$B$22&amp;";",""),IF(AND($G79&lt;Hta_3,$G79&gt;=Hba_3,Input!V$23&lt;&gt;""),Input!$B$23&amp;";",""),IF(AND($G79&lt;Hta_4,$G79&gt;=Hba_4,Input!V$24&lt;&gt;""),Input!$B$24&amp;";",""),IF(AND($G79&lt;Hta_5,$G79&gt;=Hba_5,Input!V$25&lt;&gt;""),Input!$B$25&amp;";",""),IF(AND($G79&lt;Hta_6,$G79&gt;=Hba_6,Input!V$26&lt;&gt;""),Input!$B$26&amp;";",""),IF(AND($G79&lt;Hta_7,$G79&gt;=Hba_7,Input!V$27&lt;&gt;""),Input!$B$27&amp;";",""),IF(AND($G79&lt;Hta_8,$G79&gt;=Hba_8,Input!V$28&lt;&gt;""),Input!$B$28&amp;";",""),IF(AND($G79&lt;Hta_9,$G79&gt;=Hba_9,Input!V$29&lt;&gt;""),Input!$B$29&amp;";",""),IF(AND($G79&lt;Hta_10,$G79&gt;=Hba_10,Input!V$30&lt;&gt;""),Input!$B$30&amp;";",""),IF(AND($G79&lt;Hta_11,$G79&gt;=Hba_11,Input!V$31&lt;&gt;""),Input!$B$31&amp;";",""),IF(AND($G79&lt;Hta_12,$G79&gt;=Hba_12,Input!V$32&lt;&gt;""),Input!$B$32&amp;";",""),IF(AND($G79&lt;Hta_13,$G79&gt;=Hba_13,Input!V$33&lt;&gt;""),Input!$B$33&amp;";",""),IF(AND($G79&lt;Hta_14,$G79&gt;=Hba_14,Input!V$34&lt;&gt;""),Input!$B$34&amp;";",""),IF(AND($G79&lt;Hta_15,$G79&gt;=Hba_15,Input!V$35&lt;&gt;""),Input!$B$35&amp;";",""),IF(AND($G79&lt;Hta_16,$G79&gt;=Hba_16,Input!V$36&lt;&gt;""),Input!$B$36&amp;";",""),IF(AND($G79&lt;Hta_17,$G79&gt;=Hba_17,Input!V$37&lt;&gt;""),Input!$B$37&amp;";",""),IF(AND($G79&lt;Hta_18,$G79&gt;=Hba_18,Input!V$38&lt;&gt;""),Input!$B$38&amp;";",""),IF(AND($G79&lt;Hta_19,$G79&gt;=Hba_19,Input!V$39&lt;&gt;""),Input!$B$39&amp;";",""),IF(AND($G79&lt;Hta_20,$G79&gt;=Hba_20,Input!V$40&lt;&gt;""),Input!$B$40&amp;";",""),IF(AND($G79&lt;Hta_21,$G79&gt;=Hba_21,Input!V$41&lt;&gt;""),Input!$B$41&amp;";",""),IF(AND($G79&lt;Hta_22,$G79&gt;=Hba_22,Input!V$42&lt;&gt;""),Input!$B$42&amp;";",""),IF(AND($G79&lt;Hta_23,$G79&gt;=Hba_23,Input!V$43&lt;&gt;""),Input!$B$43&amp;";",""),IF(AND($G79&lt;Hta_24,$G79&gt;=Hba_24,Input!V$44&lt;&gt;""),Input!$B$44&amp;";",""),IF(AND($G79&lt;Hta_25,$G79&gt;=Hba_25,Input!V$45&lt;&gt;""),Input!$B$45&amp;";",""),IF(AND($G79&lt;Hta_26,$G79&gt;=Hba_26,Input!V$46&lt;&gt;""),Input!$B$46&amp;";",""),IF(AND($G79&lt;Hta_27,$G79&gt;=Hba_27,Input!V$47&lt;&gt;""),Input!$B$47&amp;";",""),IF(AND($G79&lt;Hta_28,$G79&gt;=Hba_28,Input!V$48&lt;&gt;""),Input!$B$48&amp;";",""),IF(AND($G79&lt;Hta_29,$G79&gt;=Hba_29,Input!V$49&lt;&gt;""),Input!$B$49&amp;";",""),IF(AND($G79&lt;Hta_30,$G79&gt;=Hba_30,Input!V$50&lt;&gt;""),Input!$B$50&amp;";","")),"")</f>
        <v/>
      </c>
      <c r="BX79" s="25" t="str">
        <f>IFERROR(CONCATENATE(IF(AND($G79&lt;Hta_1,$G79&gt;=Hba_1,Input!W$21&lt;&gt;""),Input!$B$21&amp;";",""),IF(AND($G79&lt;Hta_2,$G79&gt;=Hba_2,Input!W$22&lt;&gt;""),Input!$B$22&amp;";",""),IF(AND($G79&lt;Hta_3,$G79&gt;=Hba_3,Input!W$23&lt;&gt;""),Input!$B$23&amp;";",""),IF(AND($G79&lt;Hta_4,$G79&gt;=Hba_4,Input!W$24&lt;&gt;""),Input!$B$24&amp;";",""),IF(AND($G79&lt;Hta_5,$G79&gt;=Hba_5,Input!W$25&lt;&gt;""),Input!$B$25&amp;";",""),IF(AND($G79&lt;Hta_6,$G79&gt;=Hba_6,Input!W$26&lt;&gt;""),Input!$B$26&amp;";",""),IF(AND($G79&lt;Hta_7,$G79&gt;=Hba_7,Input!W$27&lt;&gt;""),Input!$B$27&amp;";",""),IF(AND($G79&lt;Hta_8,$G79&gt;=Hba_8,Input!W$28&lt;&gt;""),Input!$B$28&amp;";",""),IF(AND($G79&lt;Hta_9,$G79&gt;=Hba_9,Input!W$29&lt;&gt;""),Input!$B$29&amp;";",""),IF(AND($G79&lt;Hta_10,$G79&gt;=Hba_10,Input!W$30&lt;&gt;""),Input!$B$30&amp;";",""),IF(AND($G79&lt;Hta_11,$G79&gt;=Hba_11,Input!W$31&lt;&gt;""),Input!$B$31&amp;";",""),IF(AND($G79&lt;Hta_12,$G79&gt;=Hba_12,Input!W$32&lt;&gt;""),Input!$B$32&amp;";",""),IF(AND($G79&lt;Hta_13,$G79&gt;=Hba_13,Input!W$33&lt;&gt;""),Input!$B$33&amp;";",""),IF(AND($G79&lt;Hta_14,$G79&gt;=Hba_14,Input!W$34&lt;&gt;""),Input!$B$34&amp;";",""),IF(AND($G79&lt;Hta_15,$G79&gt;=Hba_15,Input!W$35&lt;&gt;""),Input!$B$35&amp;";",""),IF(AND($G79&lt;Hta_16,$G79&gt;=Hba_16,Input!W$36&lt;&gt;""),Input!$B$36&amp;";",""),IF(AND($G79&lt;Hta_17,$G79&gt;=Hba_17,Input!W$37&lt;&gt;""),Input!$B$37&amp;";",""),IF(AND($G79&lt;Hta_18,$G79&gt;=Hba_18,Input!W$38&lt;&gt;""),Input!$B$38&amp;";",""),IF(AND($G79&lt;Hta_19,$G79&gt;=Hba_19,Input!W$39&lt;&gt;""),Input!$B$39&amp;";",""),IF(AND($G79&lt;Hta_20,$G79&gt;=Hba_20,Input!W$40&lt;&gt;""),Input!$B$40&amp;";",""),IF(AND($G79&lt;Hta_21,$G79&gt;=Hba_21,Input!W$41&lt;&gt;""),Input!$B$41&amp;";",""),IF(AND($G79&lt;Hta_22,$G79&gt;=Hba_22,Input!W$42&lt;&gt;""),Input!$B$42&amp;";",""),IF(AND($G79&lt;Hta_23,$G79&gt;=Hba_23,Input!W$43&lt;&gt;""),Input!$B$43&amp;";",""),IF(AND($G79&lt;Hta_24,$G79&gt;=Hba_24,Input!W$44&lt;&gt;""),Input!$B$44&amp;";",""),IF(AND($G79&lt;Hta_25,$G79&gt;=Hba_25,Input!W$45&lt;&gt;""),Input!$B$45&amp;";",""),IF(AND($G79&lt;Hta_26,$G79&gt;=Hba_26,Input!W$46&lt;&gt;""),Input!$B$46&amp;";",""),IF(AND($G79&lt;Hta_27,$G79&gt;=Hba_27,Input!W$47&lt;&gt;""),Input!$B$47&amp;";",""),IF(AND($G79&lt;Hta_28,$G79&gt;=Hba_28,Input!W$48&lt;&gt;""),Input!$B$48&amp;";",""),IF(AND($G79&lt;Hta_29,$G79&gt;=Hba_29,Input!W$49&lt;&gt;""),Input!$B$49&amp;";",""),IF(AND($G79&lt;Hta_30,$G79&gt;=Hba_30,Input!W$50&lt;&gt;""),Input!$B$50&amp;";","")),"")</f>
        <v/>
      </c>
      <c r="BY79" s="25" t="str">
        <f>IFERROR(CONCATENATE(IF(AND($G79&lt;Hta_1,$G79&gt;=Hba_1,Input!X$21&lt;&gt;""),Input!$B$21&amp;";",""),IF(AND($G79&lt;Hta_2,$G79&gt;=Hba_2,Input!X$22&lt;&gt;""),Input!$B$22&amp;";",""),IF(AND($G79&lt;Hta_3,$G79&gt;=Hba_3,Input!X$23&lt;&gt;""),Input!$B$23&amp;";",""),IF(AND($G79&lt;Hta_4,$G79&gt;=Hba_4,Input!X$24&lt;&gt;""),Input!$B$24&amp;";",""),IF(AND($G79&lt;Hta_5,$G79&gt;=Hba_5,Input!X$25&lt;&gt;""),Input!$B$25&amp;";",""),IF(AND($G79&lt;Hta_6,$G79&gt;=Hba_6,Input!X$26&lt;&gt;""),Input!$B$26&amp;";",""),IF(AND($G79&lt;Hta_7,$G79&gt;=Hba_7,Input!X$27&lt;&gt;""),Input!$B$27&amp;";",""),IF(AND($G79&lt;Hta_8,$G79&gt;=Hba_8,Input!X$28&lt;&gt;""),Input!$B$28&amp;";",""),IF(AND($G79&lt;Hta_9,$G79&gt;=Hba_9,Input!X$29&lt;&gt;""),Input!$B$29&amp;";",""),IF(AND($G79&lt;Hta_10,$G79&gt;=Hba_10,Input!X$30&lt;&gt;""),Input!$B$30&amp;";",""),IF(AND($G79&lt;Hta_11,$G79&gt;=Hba_11,Input!X$31&lt;&gt;""),Input!$B$31&amp;";",""),IF(AND($G79&lt;Hta_12,$G79&gt;=Hba_12,Input!X$32&lt;&gt;""),Input!$B$32&amp;";",""),IF(AND($G79&lt;Hta_13,$G79&gt;=Hba_13,Input!X$33&lt;&gt;""),Input!$B$33&amp;";",""),IF(AND($G79&lt;Hta_14,$G79&gt;=Hba_14,Input!X$34&lt;&gt;""),Input!$B$34&amp;";",""),IF(AND($G79&lt;Hta_15,$G79&gt;=Hba_15,Input!X$35&lt;&gt;""),Input!$B$35&amp;";",""),IF(AND($G79&lt;Hta_16,$G79&gt;=Hba_16,Input!X$36&lt;&gt;""),Input!$B$36&amp;";",""),IF(AND($G79&lt;Hta_17,$G79&gt;=Hba_17,Input!X$37&lt;&gt;""),Input!$B$37&amp;";",""),IF(AND($G79&lt;Hta_18,$G79&gt;=Hba_18,Input!X$38&lt;&gt;""),Input!$B$38&amp;";",""),IF(AND($G79&lt;Hta_19,$G79&gt;=Hba_19,Input!X$39&lt;&gt;""),Input!$B$39&amp;";",""),IF(AND($G79&lt;Hta_20,$G79&gt;=Hba_20,Input!X$40&lt;&gt;""),Input!$B$40&amp;";",""),IF(AND($G79&lt;Hta_21,$G79&gt;=Hba_21,Input!X$41&lt;&gt;""),Input!$B$41&amp;";",""),IF(AND($G79&lt;Hta_22,$G79&gt;=Hba_22,Input!X$42&lt;&gt;""),Input!$B$42&amp;";",""),IF(AND($G79&lt;Hta_23,$G79&gt;=Hba_23,Input!X$43&lt;&gt;""),Input!$B$43&amp;";",""),IF(AND($G79&lt;Hta_24,$G79&gt;=Hba_24,Input!X$44&lt;&gt;""),Input!$B$44&amp;";",""),IF(AND($G79&lt;Hta_25,$G79&gt;=Hba_25,Input!X$45&lt;&gt;""),Input!$B$45&amp;";",""),IF(AND($G79&lt;Hta_26,$G79&gt;=Hba_26,Input!X$46&lt;&gt;""),Input!$B$46&amp;";",""),IF(AND($G79&lt;Hta_27,$G79&gt;=Hba_27,Input!X$47&lt;&gt;""),Input!$B$47&amp;";",""),IF(AND($G79&lt;Hta_28,$G79&gt;=Hba_28,Input!X$48&lt;&gt;""),Input!$B$48&amp;";",""),IF(AND($G79&lt;Hta_29,$G79&gt;=Hba_29,Input!X$49&lt;&gt;""),Input!$B$49&amp;";",""),IF(AND($G79&lt;Hta_30,$G79&gt;=Hba_30,Input!X$50&lt;&gt;""),Input!$B$50&amp;";","")),"")</f>
        <v/>
      </c>
      <c r="BZ79" s="25" t="str">
        <f>IFERROR(CONCATENATE(IF(AND($G79&lt;Hta_1,$G79&gt;=Hba_1,Input!Y$21&lt;&gt;""),Input!$B$21&amp;";",""),IF(AND($G79&lt;Hta_2,$G79&gt;=Hba_2,Input!Y$22&lt;&gt;""),Input!$B$22&amp;";",""),IF(AND($G79&lt;Hta_3,$G79&gt;=Hba_3,Input!Y$23&lt;&gt;""),Input!$B$23&amp;";",""),IF(AND($G79&lt;Hta_4,$G79&gt;=Hba_4,Input!Y$24&lt;&gt;""),Input!$B$24&amp;";",""),IF(AND($G79&lt;Hta_5,$G79&gt;=Hba_5,Input!Y$25&lt;&gt;""),Input!$B$25&amp;";",""),IF(AND($G79&lt;Hta_6,$G79&gt;=Hba_6,Input!Y$26&lt;&gt;""),Input!$B$26&amp;";",""),IF(AND($G79&lt;Hta_7,$G79&gt;=Hba_7,Input!Y$27&lt;&gt;""),Input!$B$27&amp;";",""),IF(AND($G79&lt;Hta_8,$G79&gt;=Hba_8,Input!Y$28&lt;&gt;""),Input!$B$28&amp;";",""),IF(AND($G79&lt;Hta_9,$G79&gt;=Hba_9,Input!Y$29&lt;&gt;""),Input!$B$29&amp;";",""),IF(AND($G79&lt;Hta_10,$G79&gt;=Hba_10,Input!Y$30&lt;&gt;""),Input!$B$30&amp;";",""),IF(AND($G79&lt;Hta_11,$G79&gt;=Hba_11,Input!Y$31&lt;&gt;""),Input!$B$31&amp;";",""),IF(AND($G79&lt;Hta_12,$G79&gt;=Hba_12,Input!Y$32&lt;&gt;""),Input!$B$32&amp;";",""),IF(AND($G79&lt;Hta_13,$G79&gt;=Hba_13,Input!Y$33&lt;&gt;""),Input!$B$33&amp;";",""),IF(AND($G79&lt;Hta_14,$G79&gt;=Hba_14,Input!Y$34&lt;&gt;""),Input!$B$34&amp;";",""),IF(AND($G79&lt;Hta_15,$G79&gt;=Hba_15,Input!Y$35&lt;&gt;""),Input!$B$35&amp;";",""),IF(AND($G79&lt;Hta_16,$G79&gt;=Hba_16,Input!Y$36&lt;&gt;""),Input!$B$36&amp;";",""),IF(AND($G79&lt;Hta_17,$G79&gt;=Hba_17,Input!Y$37&lt;&gt;""),Input!$B$37&amp;";",""),IF(AND($G79&lt;Hta_18,$G79&gt;=Hba_18,Input!Y$38&lt;&gt;""),Input!$B$38&amp;";",""),IF(AND($G79&lt;Hta_19,$G79&gt;=Hba_19,Input!Y$39&lt;&gt;""),Input!$B$39&amp;";",""),IF(AND($G79&lt;Hta_20,$G79&gt;=Hba_20,Input!Y$40&lt;&gt;""),Input!$B$40&amp;";",""),IF(AND($G79&lt;Hta_21,$G79&gt;=Hba_21,Input!Y$41&lt;&gt;""),Input!$B$41&amp;";",""),IF(AND($G79&lt;Hta_22,$G79&gt;=Hba_22,Input!Y$42&lt;&gt;""),Input!$B$42&amp;";",""),IF(AND($G79&lt;Hta_23,$G79&gt;=Hba_23,Input!Y$43&lt;&gt;""),Input!$B$43&amp;";",""),IF(AND($G79&lt;Hta_24,$G79&gt;=Hba_24,Input!Y$44&lt;&gt;""),Input!$B$44&amp;";",""),IF(AND($G79&lt;Hta_25,$G79&gt;=Hba_25,Input!Y$45&lt;&gt;""),Input!$B$45&amp;";",""),IF(AND($G79&lt;Hta_26,$G79&gt;=Hba_26,Input!Y$46&lt;&gt;""),Input!$B$46&amp;";",""),IF(AND($G79&lt;Hta_27,$G79&gt;=Hba_27,Input!Y$47&lt;&gt;""),Input!$B$47&amp;";",""),IF(AND($G79&lt;Hta_28,$G79&gt;=Hba_28,Input!Y$48&lt;&gt;""),Input!$B$48&amp;";",""),IF(AND($G79&lt;Hta_29,$G79&gt;=Hba_29,Input!Y$49&lt;&gt;""),Input!$B$49&amp;";",""),IF(AND($G79&lt;Hta_30,$G79&gt;=Hba_30,Input!Y$50&lt;&gt;""),Input!$B$50&amp;";","")),"")</f>
        <v/>
      </c>
      <c r="CA79" s="25" t="str">
        <f>IFERROR(CONCATENATE(IF(AND($G79&lt;Hta_1,$G79&gt;=Hba_1,Input!Z$21&lt;&gt;""),Input!$B$21&amp;";",""),IF(AND($G79&lt;Hta_2,$G79&gt;=Hba_2,Input!Z$22&lt;&gt;""),Input!$B$22&amp;";",""),IF(AND($G79&lt;Hta_3,$G79&gt;=Hba_3,Input!Z$23&lt;&gt;""),Input!$B$23&amp;";",""),IF(AND($G79&lt;Hta_4,$G79&gt;=Hba_4,Input!Z$24&lt;&gt;""),Input!$B$24&amp;";",""),IF(AND($G79&lt;Hta_5,$G79&gt;=Hba_5,Input!Z$25&lt;&gt;""),Input!$B$25&amp;";",""),IF(AND($G79&lt;Hta_6,$G79&gt;=Hba_6,Input!Z$26&lt;&gt;""),Input!$B$26&amp;";",""),IF(AND($G79&lt;Hta_7,$G79&gt;=Hba_7,Input!Z$27&lt;&gt;""),Input!$B$27&amp;";",""),IF(AND($G79&lt;Hta_8,$G79&gt;=Hba_8,Input!Z$28&lt;&gt;""),Input!$B$28&amp;";",""),IF(AND($G79&lt;Hta_9,$G79&gt;=Hba_9,Input!Z$29&lt;&gt;""),Input!$B$29&amp;";",""),IF(AND($G79&lt;Hta_10,$G79&gt;=Hba_10,Input!Z$30&lt;&gt;""),Input!$B$30&amp;";",""),IF(AND($G79&lt;Hta_11,$G79&gt;=Hba_11,Input!Z$31&lt;&gt;""),Input!$B$31&amp;";",""),IF(AND($G79&lt;Hta_12,$G79&gt;=Hba_12,Input!Z$32&lt;&gt;""),Input!$B$32&amp;";",""),IF(AND($G79&lt;Hta_13,$G79&gt;=Hba_13,Input!Z$33&lt;&gt;""),Input!$B$33&amp;";",""),IF(AND($G79&lt;Hta_14,$G79&gt;=Hba_14,Input!Z$34&lt;&gt;""),Input!$B$34&amp;";",""),IF(AND($G79&lt;Hta_15,$G79&gt;=Hba_15,Input!Z$35&lt;&gt;""),Input!$B$35&amp;";",""),IF(AND($G79&lt;Hta_16,$G79&gt;=Hba_16,Input!Z$36&lt;&gt;""),Input!$B$36&amp;";",""),IF(AND($G79&lt;Hta_17,$G79&gt;=Hba_17,Input!Z$37&lt;&gt;""),Input!$B$37&amp;";",""),IF(AND($G79&lt;Hta_18,$G79&gt;=Hba_18,Input!Z$38&lt;&gt;""),Input!$B$38&amp;";",""),IF(AND($G79&lt;Hta_19,$G79&gt;=Hba_19,Input!Z$39&lt;&gt;""),Input!$B$39&amp;";",""),IF(AND($G79&lt;Hta_20,$G79&gt;=Hba_20,Input!Z$40&lt;&gt;""),Input!$B$40&amp;";",""),IF(AND($G79&lt;Hta_21,$G79&gt;=Hba_21,Input!Z$41&lt;&gt;""),Input!$B$41&amp;";",""),IF(AND($G79&lt;Hta_22,$G79&gt;=Hba_22,Input!Z$42&lt;&gt;""),Input!$B$42&amp;";",""),IF(AND($G79&lt;Hta_23,$G79&gt;=Hba_23,Input!Z$43&lt;&gt;""),Input!$B$43&amp;";",""),IF(AND($G79&lt;Hta_24,$G79&gt;=Hba_24,Input!Z$44&lt;&gt;""),Input!$B$44&amp;";",""),IF(AND($G79&lt;Hta_25,$G79&gt;=Hba_25,Input!Z$45&lt;&gt;""),Input!$B$45&amp;";",""),IF(AND($G79&lt;Hta_26,$G79&gt;=Hba_26,Input!Z$46&lt;&gt;""),Input!$B$46&amp;";",""),IF(AND($G79&lt;Hta_27,$G79&gt;=Hba_27,Input!Z$47&lt;&gt;""),Input!$B$47&amp;";",""),IF(AND($G79&lt;Hta_28,$G79&gt;=Hba_28,Input!Z$48&lt;&gt;""),Input!$B$48&amp;";",""),IF(AND($G79&lt;Hta_29,$G79&gt;=Hba_29,Input!Z$49&lt;&gt;""),Input!$B$49&amp;";",""),IF(AND($G79&lt;Hta_30,$G79&gt;=Hba_30,Input!Z$50&lt;&gt;""),Input!$B$50&amp;";","")),"")</f>
        <v/>
      </c>
      <c r="CB79" s="25" t="str">
        <f>IFERROR(CONCATENATE(IF(AND($G79&lt;Hta_1,$G79&gt;=Hba_1,Input!AA$21&lt;&gt;""),Input!$B$21&amp;";",""),IF(AND($G79&lt;Hta_2,$G79&gt;=Hba_2,Input!AA$22&lt;&gt;""),Input!$B$22&amp;";",""),IF(AND($G79&lt;Hta_3,$G79&gt;=Hba_3,Input!AA$23&lt;&gt;""),Input!$B$23&amp;";",""),IF(AND($G79&lt;Hta_4,$G79&gt;=Hba_4,Input!AA$24&lt;&gt;""),Input!$B$24&amp;";",""),IF(AND($G79&lt;Hta_5,$G79&gt;=Hba_5,Input!AA$25&lt;&gt;""),Input!$B$25&amp;";",""),IF(AND($G79&lt;Hta_6,$G79&gt;=Hba_6,Input!AA$26&lt;&gt;""),Input!$B$26&amp;";",""),IF(AND($G79&lt;Hta_7,$G79&gt;=Hba_7,Input!AA$27&lt;&gt;""),Input!$B$27&amp;";",""),IF(AND($G79&lt;Hta_8,$G79&gt;=Hba_8,Input!AA$28&lt;&gt;""),Input!$B$28&amp;";",""),IF(AND($G79&lt;Hta_9,$G79&gt;=Hba_9,Input!AA$29&lt;&gt;""),Input!$B$29&amp;";",""),IF(AND($G79&lt;Hta_10,$G79&gt;=Hba_10,Input!AA$30&lt;&gt;""),Input!$B$30&amp;";",""),IF(AND($G79&lt;Hta_11,$G79&gt;=Hba_11,Input!AA$31&lt;&gt;""),Input!$B$31&amp;";",""),IF(AND($G79&lt;Hta_12,$G79&gt;=Hba_12,Input!AA$32&lt;&gt;""),Input!$B$32&amp;";",""),IF(AND($G79&lt;Hta_13,$G79&gt;=Hba_13,Input!AA$33&lt;&gt;""),Input!$B$33&amp;";",""),IF(AND($G79&lt;Hta_14,$G79&gt;=Hba_14,Input!AA$34&lt;&gt;""),Input!$B$34&amp;";",""),IF(AND($G79&lt;Hta_15,$G79&gt;=Hba_15,Input!AA$35&lt;&gt;""),Input!$B$35&amp;";",""),IF(AND($G79&lt;Hta_16,$G79&gt;=Hba_16,Input!AA$36&lt;&gt;""),Input!$B$36&amp;";",""),IF(AND($G79&lt;Hta_17,$G79&gt;=Hba_17,Input!AA$37&lt;&gt;""),Input!$B$37&amp;";",""),IF(AND($G79&lt;Hta_18,$G79&gt;=Hba_18,Input!AA$38&lt;&gt;""),Input!$B$38&amp;";",""),IF(AND($G79&lt;Hta_19,$G79&gt;=Hba_19,Input!AA$39&lt;&gt;""),Input!$B$39&amp;";",""),IF(AND($G79&lt;Hta_20,$G79&gt;=Hba_20,Input!AA$40&lt;&gt;""),Input!$B$40&amp;";",""),IF(AND($G79&lt;Hta_21,$G79&gt;=Hba_21,Input!AA$41&lt;&gt;""),Input!$B$41&amp;";",""),IF(AND($G79&lt;Hta_22,$G79&gt;=Hba_22,Input!AA$42&lt;&gt;""),Input!$B$42&amp;";",""),IF(AND($G79&lt;Hta_23,$G79&gt;=Hba_23,Input!AA$43&lt;&gt;""),Input!$B$43&amp;";",""),IF(AND($G79&lt;Hta_24,$G79&gt;=Hba_24,Input!AA$44&lt;&gt;""),Input!$B$44&amp;";",""),IF(AND($G79&lt;Hta_25,$G79&gt;=Hba_25,Input!AA$45&lt;&gt;""),Input!$B$45&amp;";",""),IF(AND($G79&lt;Hta_26,$G79&gt;=Hba_26,Input!AA$46&lt;&gt;""),Input!$B$46&amp;";",""),IF(AND($G79&lt;Hta_27,$G79&gt;=Hba_27,Input!AA$47&lt;&gt;""),Input!$B$47&amp;";",""),IF(AND($G79&lt;Hta_28,$G79&gt;=Hba_28,Input!AA$48&lt;&gt;""),Input!$B$48&amp;";",""),IF(AND($G79&lt;Hta_29,$G79&gt;=Hba_29,Input!AA$49&lt;&gt;""),Input!$B$49&amp;";",""),IF(AND($G79&lt;Hta_30,$G79&gt;=Hba_30,Input!AA$50&lt;&gt;""),Input!$B$50&amp;";","")),"")</f>
        <v/>
      </c>
      <c r="CC79" s="25" t="str">
        <f>IFERROR(CONCATENATE(IF(AND($G79&lt;Hta_1,$G79&gt;=Hba_1,Input!AB$21&lt;&gt;""),Input!$B$21&amp;";",""),IF(AND($G79&lt;Hta_2,$G79&gt;=Hba_2,Input!AB$22&lt;&gt;""),Input!$B$22&amp;";",""),IF(AND($G79&lt;Hta_3,$G79&gt;=Hba_3,Input!AB$23&lt;&gt;""),Input!$B$23&amp;";",""),IF(AND($G79&lt;Hta_4,$G79&gt;=Hba_4,Input!AB$24&lt;&gt;""),Input!$B$24&amp;";",""),IF(AND($G79&lt;Hta_5,$G79&gt;=Hba_5,Input!AB$25&lt;&gt;""),Input!$B$25&amp;";",""),IF(AND($G79&lt;Hta_6,$G79&gt;=Hba_6,Input!AB$26&lt;&gt;""),Input!$B$26&amp;";",""),IF(AND($G79&lt;Hta_7,$G79&gt;=Hba_7,Input!AB$27&lt;&gt;""),Input!$B$27&amp;";",""),IF(AND($G79&lt;Hta_8,$G79&gt;=Hba_8,Input!AB$28&lt;&gt;""),Input!$B$28&amp;";",""),IF(AND($G79&lt;Hta_9,$G79&gt;=Hba_9,Input!AB$29&lt;&gt;""),Input!$B$29&amp;";",""),IF(AND($G79&lt;Hta_10,$G79&gt;=Hba_10,Input!AB$30&lt;&gt;""),Input!$B$30&amp;";",""),IF(AND($G79&lt;Hta_11,$G79&gt;=Hba_11,Input!AB$31&lt;&gt;""),Input!$B$31&amp;";",""),IF(AND($G79&lt;Hta_12,$G79&gt;=Hba_12,Input!AB$32&lt;&gt;""),Input!$B$32&amp;";",""),IF(AND($G79&lt;Hta_13,$G79&gt;=Hba_13,Input!AB$33&lt;&gt;""),Input!$B$33&amp;";",""),IF(AND($G79&lt;Hta_14,$G79&gt;=Hba_14,Input!AB$34&lt;&gt;""),Input!$B$34&amp;";",""),IF(AND($G79&lt;Hta_15,$G79&gt;=Hba_15,Input!AB$35&lt;&gt;""),Input!$B$35&amp;";",""),IF(AND($G79&lt;Hta_16,$G79&gt;=Hba_16,Input!AB$36&lt;&gt;""),Input!$B$36&amp;";",""),IF(AND($G79&lt;Hta_17,$G79&gt;=Hba_17,Input!AB$37&lt;&gt;""),Input!$B$37&amp;";",""),IF(AND($G79&lt;Hta_18,$G79&gt;=Hba_18,Input!AB$38&lt;&gt;""),Input!$B$38&amp;";",""),IF(AND($G79&lt;Hta_19,$G79&gt;=Hba_19,Input!AB$39&lt;&gt;""),Input!$B$39&amp;";",""),IF(AND($G79&lt;Hta_20,$G79&gt;=Hba_20,Input!AB$40&lt;&gt;""),Input!$B$40&amp;";",""),IF(AND($G79&lt;Hta_21,$G79&gt;=Hba_21,Input!AB$41&lt;&gt;""),Input!$B$41&amp;";",""),IF(AND($G79&lt;Hta_22,$G79&gt;=Hba_22,Input!AB$42&lt;&gt;""),Input!$B$42&amp;";",""),IF(AND($G79&lt;Hta_23,$G79&gt;=Hba_23,Input!AB$43&lt;&gt;""),Input!$B$43&amp;";",""),IF(AND($G79&lt;Hta_24,$G79&gt;=Hba_24,Input!AB$44&lt;&gt;""),Input!$B$44&amp;";",""),IF(AND($G79&lt;Hta_25,$G79&gt;=Hba_25,Input!AB$45&lt;&gt;""),Input!$B$45&amp;";",""),IF(AND($G79&lt;Hta_26,$G79&gt;=Hba_26,Input!AB$46&lt;&gt;""),Input!$B$46&amp;";",""),IF(AND($G79&lt;Hta_27,$G79&gt;=Hba_27,Input!AB$47&lt;&gt;""),Input!$B$47&amp;";",""),IF(AND($G79&lt;Hta_28,$G79&gt;=Hba_28,Input!AB$48&lt;&gt;""),Input!$B$48&amp;";",""),IF(AND($G79&lt;Hta_29,$G79&gt;=Hba_29,Input!AB$49&lt;&gt;""),Input!$B$49&amp;";",""),IF(AND($G79&lt;Hta_30,$G79&gt;=Hba_30,Input!AB$50&lt;&gt;""),Input!$B$50&amp;";","")),"")</f>
        <v/>
      </c>
      <c r="CD79" s="25" t="str">
        <f>IFERROR(CONCATENATE(IF(AND($G79&lt;Hta_1,$G79&gt;=Hba_1,Input!AC$21&lt;&gt;""),Input!$B$21&amp;";",""),IF(AND($G79&lt;Hta_2,$G79&gt;=Hba_2,Input!AC$22&lt;&gt;""),Input!$B$22&amp;";",""),IF(AND($G79&lt;Hta_3,$G79&gt;=Hba_3,Input!AC$23&lt;&gt;""),Input!$B$23&amp;";",""),IF(AND($G79&lt;Hta_4,$G79&gt;=Hba_4,Input!AC$24&lt;&gt;""),Input!$B$24&amp;";",""),IF(AND($G79&lt;Hta_5,$G79&gt;=Hba_5,Input!AC$25&lt;&gt;""),Input!$B$25&amp;";",""),IF(AND($G79&lt;Hta_6,$G79&gt;=Hba_6,Input!AC$26&lt;&gt;""),Input!$B$26&amp;";",""),IF(AND($G79&lt;Hta_7,$G79&gt;=Hba_7,Input!AC$27&lt;&gt;""),Input!$B$27&amp;";",""),IF(AND($G79&lt;Hta_8,$G79&gt;=Hba_8,Input!AC$28&lt;&gt;""),Input!$B$28&amp;";",""),IF(AND($G79&lt;Hta_9,$G79&gt;=Hba_9,Input!AC$29&lt;&gt;""),Input!$B$29&amp;";",""),IF(AND($G79&lt;Hta_10,$G79&gt;=Hba_10,Input!AC$30&lt;&gt;""),Input!$B$30&amp;";",""),IF(AND($G79&lt;Hta_11,$G79&gt;=Hba_11,Input!AC$31&lt;&gt;""),Input!$B$31&amp;";",""),IF(AND($G79&lt;Hta_12,$G79&gt;=Hba_12,Input!AC$32&lt;&gt;""),Input!$B$32&amp;";",""),IF(AND($G79&lt;Hta_13,$G79&gt;=Hba_13,Input!AC$33&lt;&gt;""),Input!$B$33&amp;";",""),IF(AND($G79&lt;Hta_14,$G79&gt;=Hba_14,Input!AC$34&lt;&gt;""),Input!$B$34&amp;";",""),IF(AND($G79&lt;Hta_15,$G79&gt;=Hba_15,Input!AC$35&lt;&gt;""),Input!$B$35&amp;";",""),IF(AND($G79&lt;Hta_16,$G79&gt;=Hba_16,Input!AC$36&lt;&gt;""),Input!$B$36&amp;";",""),IF(AND($G79&lt;Hta_17,$G79&gt;=Hba_17,Input!AC$37&lt;&gt;""),Input!$B$37&amp;";",""),IF(AND($G79&lt;Hta_18,$G79&gt;=Hba_18,Input!AC$38&lt;&gt;""),Input!$B$38&amp;";",""),IF(AND($G79&lt;Hta_19,$G79&gt;=Hba_19,Input!AC$39&lt;&gt;""),Input!$B$39&amp;";",""),IF(AND($G79&lt;Hta_20,$G79&gt;=Hba_20,Input!AC$40&lt;&gt;""),Input!$B$40&amp;";",""),IF(AND($G79&lt;Hta_21,$G79&gt;=Hba_21,Input!AC$41&lt;&gt;""),Input!$B$41&amp;";",""),IF(AND($G79&lt;Hta_22,$G79&gt;=Hba_22,Input!AC$42&lt;&gt;""),Input!$B$42&amp;";",""),IF(AND($G79&lt;Hta_23,$G79&gt;=Hba_23,Input!AC$43&lt;&gt;""),Input!$B$43&amp;";",""),IF(AND($G79&lt;Hta_24,$G79&gt;=Hba_24,Input!AC$44&lt;&gt;""),Input!$B$44&amp;";",""),IF(AND($G79&lt;Hta_25,$G79&gt;=Hba_25,Input!AC$45&lt;&gt;""),Input!$B$45&amp;";",""),IF(AND($G79&lt;Hta_26,$G79&gt;=Hba_26,Input!AC$46&lt;&gt;""),Input!$B$46&amp;";",""),IF(AND($G79&lt;Hta_27,$G79&gt;=Hba_27,Input!AC$47&lt;&gt;""),Input!$B$47&amp;";",""),IF(AND($G79&lt;Hta_28,$G79&gt;=Hba_28,Input!AC$48&lt;&gt;""),Input!$B$48&amp;";",""),IF(AND($G79&lt;Hta_29,$G79&gt;=Hba_29,Input!AC$49&lt;&gt;""),Input!$B$49&amp;";",""),IF(AND($G79&lt;Hta_30,$G79&gt;=Hba_30,Input!AC$50&lt;&gt;""),Input!$B$50&amp;";","")),"")</f>
        <v/>
      </c>
      <c r="CE79" s="25" t="str">
        <f>IFERROR(CONCATENATE(IF(AND($G79&lt;Hta_1,$G79&gt;=Hba_1,Input!AD$21&lt;&gt;""),Input!$B$21&amp;";",""),IF(AND($G79&lt;Hta_2,$G79&gt;=Hba_2,Input!AD$22&lt;&gt;""),Input!$B$22&amp;";",""),IF(AND($G79&lt;Hta_3,$G79&gt;=Hba_3,Input!AD$23&lt;&gt;""),Input!$B$23&amp;";",""),IF(AND($G79&lt;Hta_4,$G79&gt;=Hba_4,Input!AD$24&lt;&gt;""),Input!$B$24&amp;";",""),IF(AND($G79&lt;Hta_5,$G79&gt;=Hba_5,Input!AD$25&lt;&gt;""),Input!$B$25&amp;";",""),IF(AND($G79&lt;Hta_6,$G79&gt;=Hba_6,Input!AD$26&lt;&gt;""),Input!$B$26&amp;";",""),IF(AND($G79&lt;Hta_7,$G79&gt;=Hba_7,Input!AD$27&lt;&gt;""),Input!$B$27&amp;";",""),IF(AND($G79&lt;Hta_8,$G79&gt;=Hba_8,Input!AD$28&lt;&gt;""),Input!$B$28&amp;";",""),IF(AND($G79&lt;Hta_9,$G79&gt;=Hba_9,Input!AD$29&lt;&gt;""),Input!$B$29&amp;";",""),IF(AND($G79&lt;Hta_10,$G79&gt;=Hba_10,Input!AD$30&lt;&gt;""),Input!$B$30&amp;";",""),IF(AND($G79&lt;Hta_11,$G79&gt;=Hba_11,Input!AD$31&lt;&gt;""),Input!$B$31&amp;";",""),IF(AND($G79&lt;Hta_12,$G79&gt;=Hba_12,Input!AD$32&lt;&gt;""),Input!$B$32&amp;";",""),IF(AND($G79&lt;Hta_13,$G79&gt;=Hba_13,Input!AD$33&lt;&gt;""),Input!$B$33&amp;";",""),IF(AND($G79&lt;Hta_14,$G79&gt;=Hba_14,Input!AD$34&lt;&gt;""),Input!$B$34&amp;";",""),IF(AND($G79&lt;Hta_15,$G79&gt;=Hba_15,Input!AD$35&lt;&gt;""),Input!$B$35&amp;";",""),IF(AND($G79&lt;Hta_16,$G79&gt;=Hba_16,Input!AD$36&lt;&gt;""),Input!$B$36&amp;";",""),IF(AND($G79&lt;Hta_17,$G79&gt;=Hba_17,Input!AD$37&lt;&gt;""),Input!$B$37&amp;";",""),IF(AND($G79&lt;Hta_18,$G79&gt;=Hba_18,Input!AD$38&lt;&gt;""),Input!$B$38&amp;";",""),IF(AND($G79&lt;Hta_19,$G79&gt;=Hba_19,Input!AD$39&lt;&gt;""),Input!$B$39&amp;";",""),IF(AND($G79&lt;Hta_20,$G79&gt;=Hba_20,Input!AD$40&lt;&gt;""),Input!$B$40&amp;";",""),IF(AND($G79&lt;Hta_21,$G79&gt;=Hba_21,Input!AD$41&lt;&gt;""),Input!$B$41&amp;";",""),IF(AND($G79&lt;Hta_22,$G79&gt;=Hba_22,Input!AD$42&lt;&gt;""),Input!$B$42&amp;";",""),IF(AND($G79&lt;Hta_23,$G79&gt;=Hba_23,Input!AD$43&lt;&gt;""),Input!$B$43&amp;";",""),IF(AND($G79&lt;Hta_24,$G79&gt;=Hba_24,Input!AD$44&lt;&gt;""),Input!$B$44&amp;";",""),IF(AND($G79&lt;Hta_25,$G79&gt;=Hba_25,Input!AD$45&lt;&gt;""),Input!$B$45&amp;";",""),IF(AND($G79&lt;Hta_26,$G79&gt;=Hba_26,Input!AD$46&lt;&gt;""),Input!$B$46&amp;";",""),IF(AND($G79&lt;Hta_27,$G79&gt;=Hba_27,Input!AD$47&lt;&gt;""),Input!$B$47&amp;";",""),IF(AND($G79&lt;Hta_28,$G79&gt;=Hba_28,Input!AD$48&lt;&gt;""),Input!$B$48&amp;";",""),IF(AND($G79&lt;Hta_29,$G79&gt;=Hba_29,Input!AD$49&lt;&gt;""),Input!$B$49&amp;";",""),IF(AND($G79&lt;Hta_30,$G79&gt;=Hba_30,Input!AD$50&lt;&gt;""),Input!$B$50&amp;";","")),"")</f>
        <v/>
      </c>
      <c r="CF79" s="25" t="str">
        <f>IFERROR(CONCATENATE(IF(AND($G79&lt;Hta_1,$G79&gt;=Hba_1,Input!AE$21&lt;&gt;""),Input!$B$21&amp;";",""),IF(AND($G79&lt;Hta_2,$G79&gt;=Hba_2,Input!AE$22&lt;&gt;""),Input!$B$22&amp;";",""),IF(AND($G79&lt;Hta_3,$G79&gt;=Hba_3,Input!AE$23&lt;&gt;""),Input!$B$23&amp;";",""),IF(AND($G79&lt;Hta_4,$G79&gt;=Hba_4,Input!AE$24&lt;&gt;""),Input!$B$24&amp;";",""),IF(AND($G79&lt;Hta_5,$G79&gt;=Hba_5,Input!AE$25&lt;&gt;""),Input!$B$25&amp;";",""),IF(AND($G79&lt;Hta_6,$G79&gt;=Hba_6,Input!AE$26&lt;&gt;""),Input!$B$26&amp;";",""),IF(AND($G79&lt;Hta_7,$G79&gt;=Hba_7,Input!AE$27&lt;&gt;""),Input!$B$27&amp;";",""),IF(AND($G79&lt;Hta_8,$G79&gt;=Hba_8,Input!AE$28&lt;&gt;""),Input!$B$28&amp;";",""),IF(AND($G79&lt;Hta_9,$G79&gt;=Hba_9,Input!AE$29&lt;&gt;""),Input!$B$29&amp;";",""),IF(AND($G79&lt;Hta_10,$G79&gt;=Hba_10,Input!AE$30&lt;&gt;""),Input!$B$30&amp;";",""),IF(AND($G79&lt;Hta_11,$G79&gt;=Hba_11,Input!AE$31&lt;&gt;""),Input!$B$31&amp;";",""),IF(AND($G79&lt;Hta_12,$G79&gt;=Hba_12,Input!AE$32&lt;&gt;""),Input!$B$32&amp;";",""),IF(AND($G79&lt;Hta_13,$G79&gt;=Hba_13,Input!AE$33&lt;&gt;""),Input!$B$33&amp;";",""),IF(AND($G79&lt;Hta_14,$G79&gt;=Hba_14,Input!AE$34&lt;&gt;""),Input!$B$34&amp;";",""),IF(AND($G79&lt;Hta_15,$G79&gt;=Hba_15,Input!AE$35&lt;&gt;""),Input!$B$35&amp;";",""),IF(AND($G79&lt;Hta_16,$G79&gt;=Hba_16,Input!AE$36&lt;&gt;""),Input!$B$36&amp;";",""),IF(AND($G79&lt;Hta_17,$G79&gt;=Hba_17,Input!AE$37&lt;&gt;""),Input!$B$37&amp;";",""),IF(AND($G79&lt;Hta_18,$G79&gt;=Hba_18,Input!AE$38&lt;&gt;""),Input!$B$38&amp;";",""),IF(AND($G79&lt;Hta_19,$G79&gt;=Hba_19,Input!AE$39&lt;&gt;""),Input!$B$39&amp;";",""),IF(AND($G79&lt;Hta_20,$G79&gt;=Hba_20,Input!AE$40&lt;&gt;""),Input!$B$40&amp;";",""),IF(AND($G79&lt;Hta_21,$G79&gt;=Hba_21,Input!AE$41&lt;&gt;""),Input!$B$41&amp;";",""),IF(AND($G79&lt;Hta_22,$G79&gt;=Hba_22,Input!AE$42&lt;&gt;""),Input!$B$42&amp;";",""),IF(AND($G79&lt;Hta_23,$G79&gt;=Hba_23,Input!AE$43&lt;&gt;""),Input!$B$43&amp;";",""),IF(AND($G79&lt;Hta_24,$G79&gt;=Hba_24,Input!AE$44&lt;&gt;""),Input!$B$44&amp;";",""),IF(AND($G79&lt;Hta_25,$G79&gt;=Hba_25,Input!AE$45&lt;&gt;""),Input!$B$45&amp;";",""),IF(AND($G79&lt;Hta_26,$G79&gt;=Hba_26,Input!AE$46&lt;&gt;""),Input!$B$46&amp;";",""),IF(AND($G79&lt;Hta_27,$G79&gt;=Hba_27,Input!AE$47&lt;&gt;""),Input!$B$47&amp;";",""),IF(AND($G79&lt;Hta_28,$G79&gt;=Hba_28,Input!AE$48&lt;&gt;""),Input!$B$48&amp;";",""),IF(AND($G79&lt;Hta_29,$G79&gt;=Hba_29,Input!AE$49&lt;&gt;""),Input!$B$49&amp;";",""),IF(AND($G79&lt;Hta_30,$G79&gt;=Hba_30,Input!AE$50&lt;&gt;""),Input!$B$50&amp;";","")),"")</f>
        <v/>
      </c>
      <c r="CG79" s="25" t="str">
        <f>IFERROR(CONCATENATE(IF(AND($G79&lt;Hta_1,$G79&gt;=Hba_1,Input!AF$21&lt;&gt;""),Input!$B$21&amp;";",""),IF(AND($G79&lt;Hta_2,$G79&gt;=Hba_2,Input!AF$22&lt;&gt;""),Input!$B$22&amp;";",""),IF(AND($G79&lt;Hta_3,$G79&gt;=Hba_3,Input!AF$23&lt;&gt;""),Input!$B$23&amp;";",""),IF(AND($G79&lt;Hta_4,$G79&gt;=Hba_4,Input!AF$24&lt;&gt;""),Input!$B$24&amp;";",""),IF(AND($G79&lt;Hta_5,$G79&gt;=Hba_5,Input!AF$25&lt;&gt;""),Input!$B$25&amp;";",""),IF(AND($G79&lt;Hta_6,$G79&gt;=Hba_6,Input!AF$26&lt;&gt;""),Input!$B$26&amp;";",""),IF(AND($G79&lt;Hta_7,$G79&gt;=Hba_7,Input!AF$27&lt;&gt;""),Input!$B$27&amp;";",""),IF(AND($G79&lt;Hta_8,$G79&gt;=Hba_8,Input!AF$28&lt;&gt;""),Input!$B$28&amp;";",""),IF(AND($G79&lt;Hta_9,$G79&gt;=Hba_9,Input!AF$29&lt;&gt;""),Input!$B$29&amp;";",""),IF(AND($G79&lt;Hta_10,$G79&gt;=Hba_10,Input!AF$30&lt;&gt;""),Input!$B$30&amp;";",""),IF(AND($G79&lt;Hta_11,$G79&gt;=Hba_11,Input!AF$31&lt;&gt;""),Input!$B$31&amp;";",""),IF(AND($G79&lt;Hta_12,$G79&gt;=Hba_12,Input!AF$32&lt;&gt;""),Input!$B$32&amp;";",""),IF(AND($G79&lt;Hta_13,$G79&gt;=Hba_13,Input!AF$33&lt;&gt;""),Input!$B$33&amp;";",""),IF(AND($G79&lt;Hta_14,$G79&gt;=Hba_14,Input!AF$34&lt;&gt;""),Input!$B$34&amp;";",""),IF(AND($G79&lt;Hta_15,$G79&gt;=Hba_15,Input!AF$35&lt;&gt;""),Input!$B$35&amp;";",""),IF(AND($G79&lt;Hta_16,$G79&gt;=Hba_16,Input!AF$36&lt;&gt;""),Input!$B$36&amp;";",""),IF(AND($G79&lt;Hta_17,$G79&gt;=Hba_17,Input!AF$37&lt;&gt;""),Input!$B$37&amp;";",""),IF(AND($G79&lt;Hta_18,$G79&gt;=Hba_18,Input!AF$38&lt;&gt;""),Input!$B$38&amp;";",""),IF(AND($G79&lt;Hta_19,$G79&gt;=Hba_19,Input!AF$39&lt;&gt;""),Input!$B$39&amp;";",""),IF(AND($G79&lt;Hta_20,$G79&gt;=Hba_20,Input!AF$40&lt;&gt;""),Input!$B$40&amp;";",""),IF(AND($G79&lt;Hta_21,$G79&gt;=Hba_21,Input!AF$41&lt;&gt;""),Input!$B$41&amp;";",""),IF(AND($G79&lt;Hta_22,$G79&gt;=Hba_22,Input!AF$42&lt;&gt;""),Input!$B$42&amp;";",""),IF(AND($G79&lt;Hta_23,$G79&gt;=Hba_23,Input!AF$43&lt;&gt;""),Input!$B$43&amp;";",""),IF(AND($G79&lt;Hta_24,$G79&gt;=Hba_24,Input!AF$44&lt;&gt;""),Input!$B$44&amp;";",""),IF(AND($G79&lt;Hta_25,$G79&gt;=Hba_25,Input!AF$45&lt;&gt;""),Input!$B$45&amp;";",""),IF(AND($G79&lt;Hta_26,$G79&gt;=Hba_26,Input!AF$46&lt;&gt;""),Input!$B$46&amp;";",""),IF(AND($G79&lt;Hta_27,$G79&gt;=Hba_27,Input!AF$47&lt;&gt;""),Input!$B$47&amp;";",""),IF(AND($G79&lt;Hta_28,$G79&gt;=Hba_28,Input!AF$48&lt;&gt;""),Input!$B$48&amp;";",""),IF(AND($G79&lt;Hta_29,$G79&gt;=Hba_29,Input!AF$49&lt;&gt;""),Input!$B$49&amp;";",""),IF(AND($G79&lt;Hta_30,$G79&gt;=Hba_30,Input!AF$50&lt;&gt;""),Input!$B$50&amp;";","")),"")</f>
        <v/>
      </c>
      <c r="CH79" s="25" t="str">
        <f>IFERROR(CONCATENATE(IF(AND($G79&lt;Hta_1,$G79&gt;=Hba_1,Input!AG$21&lt;&gt;""),Input!$B$21&amp;";",""),IF(AND($G79&lt;Hta_2,$G79&gt;=Hba_2,Input!AG$22&lt;&gt;""),Input!$B$22&amp;";",""),IF(AND($G79&lt;Hta_3,$G79&gt;=Hba_3,Input!AG$23&lt;&gt;""),Input!$B$23&amp;";",""),IF(AND($G79&lt;Hta_4,$G79&gt;=Hba_4,Input!AG$24&lt;&gt;""),Input!$B$24&amp;";",""),IF(AND($G79&lt;Hta_5,$G79&gt;=Hba_5,Input!AG$25&lt;&gt;""),Input!$B$25&amp;";",""),IF(AND($G79&lt;Hta_6,$G79&gt;=Hba_6,Input!AG$26&lt;&gt;""),Input!$B$26&amp;";",""),IF(AND($G79&lt;Hta_7,$G79&gt;=Hba_7,Input!AG$27&lt;&gt;""),Input!$B$27&amp;";",""),IF(AND($G79&lt;Hta_8,$G79&gt;=Hba_8,Input!AG$28&lt;&gt;""),Input!$B$28&amp;";",""),IF(AND($G79&lt;Hta_9,$G79&gt;=Hba_9,Input!AG$29&lt;&gt;""),Input!$B$29&amp;";",""),IF(AND($G79&lt;Hta_10,$G79&gt;=Hba_10,Input!AG$30&lt;&gt;""),Input!$B$30&amp;";",""),IF(AND($G79&lt;Hta_11,$G79&gt;=Hba_11,Input!AG$31&lt;&gt;""),Input!$B$31&amp;";",""),IF(AND($G79&lt;Hta_12,$G79&gt;=Hba_12,Input!AG$32&lt;&gt;""),Input!$B$32&amp;";",""),IF(AND($G79&lt;Hta_13,$G79&gt;=Hba_13,Input!AG$33&lt;&gt;""),Input!$B$33&amp;";",""),IF(AND($G79&lt;Hta_14,$G79&gt;=Hba_14,Input!AG$34&lt;&gt;""),Input!$B$34&amp;";",""),IF(AND($G79&lt;Hta_15,$G79&gt;=Hba_15,Input!AG$35&lt;&gt;""),Input!$B$35&amp;";",""),IF(AND($G79&lt;Hta_16,$G79&gt;=Hba_16,Input!AG$36&lt;&gt;""),Input!$B$36&amp;";",""),IF(AND($G79&lt;Hta_17,$G79&gt;=Hba_17,Input!AG$37&lt;&gt;""),Input!$B$37&amp;";",""),IF(AND($G79&lt;Hta_18,$G79&gt;=Hba_18,Input!AG$38&lt;&gt;""),Input!$B$38&amp;";",""),IF(AND($G79&lt;Hta_19,$G79&gt;=Hba_19,Input!AG$39&lt;&gt;""),Input!$B$39&amp;";",""),IF(AND($G79&lt;Hta_20,$G79&gt;=Hba_20,Input!AG$40&lt;&gt;""),Input!$B$40&amp;";",""),IF(AND($G79&lt;Hta_21,$G79&gt;=Hba_21,Input!AG$41&lt;&gt;""),Input!$B$41&amp;";",""),IF(AND($G79&lt;Hta_22,$G79&gt;=Hba_22,Input!AG$42&lt;&gt;""),Input!$B$42&amp;";",""),IF(AND($G79&lt;Hta_23,$G79&gt;=Hba_23,Input!AG$43&lt;&gt;""),Input!$B$43&amp;";",""),IF(AND($G79&lt;Hta_24,$G79&gt;=Hba_24,Input!AG$44&lt;&gt;""),Input!$B$44&amp;";",""),IF(AND($G79&lt;Hta_25,$G79&gt;=Hba_25,Input!AG$45&lt;&gt;""),Input!$B$45&amp;";",""),IF(AND($G79&lt;Hta_26,$G79&gt;=Hba_26,Input!AG$46&lt;&gt;""),Input!$B$46&amp;";",""),IF(AND($G79&lt;Hta_27,$G79&gt;=Hba_27,Input!AG$47&lt;&gt;""),Input!$B$47&amp;";",""),IF(AND($G79&lt;Hta_28,$G79&gt;=Hba_28,Input!AG$48&lt;&gt;""),Input!$B$48&amp;";",""),IF(AND($G79&lt;Hta_29,$G79&gt;=Hba_29,Input!AG$49&lt;&gt;""),Input!$B$49&amp;";",""),IF(AND($G79&lt;Hta_30,$G79&gt;=Hba_30,Input!AG$50&lt;&gt;""),Input!$B$50&amp;";","")),"")</f>
        <v/>
      </c>
      <c r="CI79" s="25" t="str">
        <f>IFERROR(CONCATENATE(IF(AND($G79&lt;Hta_1,$G79&gt;=Hba_1,Input!AH$21&lt;&gt;""),Input!$B$21&amp;";",""),IF(AND($G79&lt;Hta_2,$G79&gt;=Hba_2,Input!AH$22&lt;&gt;""),Input!$B$22&amp;";",""),IF(AND($G79&lt;Hta_3,$G79&gt;=Hba_3,Input!AH$23&lt;&gt;""),Input!$B$23&amp;";",""),IF(AND($G79&lt;Hta_4,$G79&gt;=Hba_4,Input!AH$24&lt;&gt;""),Input!$B$24&amp;";",""),IF(AND($G79&lt;Hta_5,$G79&gt;=Hba_5,Input!AH$25&lt;&gt;""),Input!$B$25&amp;";",""),IF(AND($G79&lt;Hta_6,$G79&gt;=Hba_6,Input!AH$26&lt;&gt;""),Input!$B$26&amp;";",""),IF(AND($G79&lt;Hta_7,$G79&gt;=Hba_7,Input!AH$27&lt;&gt;""),Input!$B$27&amp;";",""),IF(AND($G79&lt;Hta_8,$G79&gt;=Hba_8,Input!AH$28&lt;&gt;""),Input!$B$28&amp;";",""),IF(AND($G79&lt;Hta_9,$G79&gt;=Hba_9,Input!AH$29&lt;&gt;""),Input!$B$29&amp;";",""),IF(AND($G79&lt;Hta_10,$G79&gt;=Hba_10,Input!AH$30&lt;&gt;""),Input!$B$30&amp;";",""),IF(AND($G79&lt;Hta_11,$G79&gt;=Hba_11,Input!AH$31&lt;&gt;""),Input!$B$31&amp;";",""),IF(AND($G79&lt;Hta_12,$G79&gt;=Hba_12,Input!AH$32&lt;&gt;""),Input!$B$32&amp;";",""),IF(AND($G79&lt;Hta_13,$G79&gt;=Hba_13,Input!AH$33&lt;&gt;""),Input!$B$33&amp;";",""),IF(AND($G79&lt;Hta_14,$G79&gt;=Hba_14,Input!AH$34&lt;&gt;""),Input!$B$34&amp;";",""),IF(AND($G79&lt;Hta_15,$G79&gt;=Hba_15,Input!AH$35&lt;&gt;""),Input!$B$35&amp;";",""),IF(AND($G79&lt;Hta_16,$G79&gt;=Hba_16,Input!AH$36&lt;&gt;""),Input!$B$36&amp;";",""),IF(AND($G79&lt;Hta_17,$G79&gt;=Hba_17,Input!AH$37&lt;&gt;""),Input!$B$37&amp;";",""),IF(AND($G79&lt;Hta_18,$G79&gt;=Hba_18,Input!AH$38&lt;&gt;""),Input!$B$38&amp;";",""),IF(AND($G79&lt;Hta_19,$G79&gt;=Hba_19,Input!AH$39&lt;&gt;""),Input!$B$39&amp;";",""),IF(AND($G79&lt;Hta_20,$G79&gt;=Hba_20,Input!AH$40&lt;&gt;""),Input!$B$40&amp;";",""),IF(AND($G79&lt;Hta_21,$G79&gt;=Hba_21,Input!AH$41&lt;&gt;""),Input!$B$41&amp;";",""),IF(AND($G79&lt;Hta_22,$G79&gt;=Hba_22,Input!AH$42&lt;&gt;""),Input!$B$42&amp;";",""),IF(AND($G79&lt;Hta_23,$G79&gt;=Hba_23,Input!AH$43&lt;&gt;""),Input!$B$43&amp;";",""),IF(AND($G79&lt;Hta_24,$G79&gt;=Hba_24,Input!AH$44&lt;&gt;""),Input!$B$44&amp;";",""),IF(AND($G79&lt;Hta_25,$G79&gt;=Hba_25,Input!AH$45&lt;&gt;""),Input!$B$45&amp;";",""),IF(AND($G79&lt;Hta_26,$G79&gt;=Hba_26,Input!AH$46&lt;&gt;""),Input!$B$46&amp;";",""),IF(AND($G79&lt;Hta_27,$G79&gt;=Hba_27,Input!AH$47&lt;&gt;""),Input!$B$47&amp;";",""),IF(AND($G79&lt;Hta_28,$G79&gt;=Hba_28,Input!AH$48&lt;&gt;""),Input!$B$48&amp;";",""),IF(AND($G79&lt;Hta_29,$G79&gt;=Hba_29,Input!AH$49&lt;&gt;""),Input!$B$49&amp;";",""),IF(AND($G79&lt;Hta_30,$G79&gt;=Hba_30,Input!AH$50&lt;&gt;""),Input!$B$50&amp;";","")),"")</f>
        <v/>
      </c>
      <c r="CJ79" s="25" t="str">
        <f>IFERROR(CONCATENATE(IF(AND($G79&lt;Hta_1,$G79&gt;=Hba_1,Input!AI$21&lt;&gt;""),Input!$B$21&amp;";",""),IF(AND($G79&lt;Hta_2,$G79&gt;=Hba_2,Input!AI$22&lt;&gt;""),Input!$B$22&amp;";",""),IF(AND($G79&lt;Hta_3,$G79&gt;=Hba_3,Input!AI$23&lt;&gt;""),Input!$B$23&amp;";",""),IF(AND($G79&lt;Hta_4,$G79&gt;=Hba_4,Input!AI$24&lt;&gt;""),Input!$B$24&amp;";",""),IF(AND($G79&lt;Hta_5,$G79&gt;=Hba_5,Input!AI$25&lt;&gt;""),Input!$B$25&amp;";",""),IF(AND($G79&lt;Hta_6,$G79&gt;=Hba_6,Input!AI$26&lt;&gt;""),Input!$B$26&amp;";",""),IF(AND($G79&lt;Hta_7,$G79&gt;=Hba_7,Input!AI$27&lt;&gt;""),Input!$B$27&amp;";",""),IF(AND($G79&lt;Hta_8,$G79&gt;=Hba_8,Input!AI$28&lt;&gt;""),Input!$B$28&amp;";",""),IF(AND($G79&lt;Hta_9,$G79&gt;=Hba_9,Input!AI$29&lt;&gt;""),Input!$B$29&amp;";",""),IF(AND($G79&lt;Hta_10,$G79&gt;=Hba_10,Input!AI$30&lt;&gt;""),Input!$B$30&amp;";",""),IF(AND($G79&lt;Hta_11,$G79&gt;=Hba_11,Input!AI$31&lt;&gt;""),Input!$B$31&amp;";",""),IF(AND($G79&lt;Hta_12,$G79&gt;=Hba_12,Input!AI$32&lt;&gt;""),Input!$B$32&amp;";",""),IF(AND($G79&lt;Hta_13,$G79&gt;=Hba_13,Input!AI$33&lt;&gt;""),Input!$B$33&amp;";",""),IF(AND($G79&lt;Hta_14,$G79&gt;=Hba_14,Input!AI$34&lt;&gt;""),Input!$B$34&amp;";",""),IF(AND($G79&lt;Hta_15,$G79&gt;=Hba_15,Input!AI$35&lt;&gt;""),Input!$B$35&amp;";",""),IF(AND($G79&lt;Hta_16,$G79&gt;=Hba_16,Input!AI$36&lt;&gt;""),Input!$B$36&amp;";",""),IF(AND($G79&lt;Hta_17,$G79&gt;=Hba_17,Input!AI$37&lt;&gt;""),Input!$B$37&amp;";",""),IF(AND($G79&lt;Hta_18,$G79&gt;=Hba_18,Input!AI$38&lt;&gt;""),Input!$B$38&amp;";",""),IF(AND($G79&lt;Hta_19,$G79&gt;=Hba_19,Input!AI$39&lt;&gt;""),Input!$B$39&amp;";",""),IF(AND($G79&lt;Hta_20,$G79&gt;=Hba_20,Input!AI$40&lt;&gt;""),Input!$B$40&amp;";",""),IF(AND($G79&lt;Hta_21,$G79&gt;=Hba_21,Input!AI$41&lt;&gt;""),Input!$B$41&amp;";",""),IF(AND($G79&lt;Hta_22,$G79&gt;=Hba_22,Input!AI$42&lt;&gt;""),Input!$B$42&amp;";",""),IF(AND($G79&lt;Hta_23,$G79&gt;=Hba_23,Input!AI$43&lt;&gt;""),Input!$B$43&amp;";",""),IF(AND($G79&lt;Hta_24,$G79&gt;=Hba_24,Input!AI$44&lt;&gt;""),Input!$B$44&amp;";",""),IF(AND($G79&lt;Hta_25,$G79&gt;=Hba_25,Input!AI$45&lt;&gt;""),Input!$B$45&amp;";",""),IF(AND($G79&lt;Hta_26,$G79&gt;=Hba_26,Input!AI$46&lt;&gt;""),Input!$B$46&amp;";",""),IF(AND($G79&lt;Hta_27,$G79&gt;=Hba_27,Input!AI$47&lt;&gt;""),Input!$B$47&amp;";",""),IF(AND($G79&lt;Hta_28,$G79&gt;=Hba_28,Input!AI$48&lt;&gt;""),Input!$B$48&amp;";",""),IF(AND($G79&lt;Hta_29,$G79&gt;=Hba_29,Input!AI$49&lt;&gt;""),Input!$B$49&amp;";",""),IF(AND($G79&lt;Hta_30,$G79&gt;=Hba_30,Input!AI$50&lt;&gt;""),Input!$B$50&amp;";","")),"")</f>
        <v/>
      </c>
      <c r="CK79" s="25" t="str">
        <f>IFERROR(CONCATENATE(IF(AND($G79&lt;Hta_1,$G79&gt;=Hba_1,Input!AJ$21&lt;&gt;""),Input!$B$21&amp;";",""),IF(AND($G79&lt;Hta_2,$G79&gt;=Hba_2,Input!AJ$22&lt;&gt;""),Input!$B$22&amp;";",""),IF(AND($G79&lt;Hta_3,$G79&gt;=Hba_3,Input!AJ$23&lt;&gt;""),Input!$B$23&amp;";",""),IF(AND($G79&lt;Hta_4,$G79&gt;=Hba_4,Input!AJ$24&lt;&gt;""),Input!$B$24&amp;";",""),IF(AND($G79&lt;Hta_5,$G79&gt;=Hba_5,Input!AJ$25&lt;&gt;""),Input!$B$25&amp;";",""),IF(AND($G79&lt;Hta_6,$G79&gt;=Hba_6,Input!AJ$26&lt;&gt;""),Input!$B$26&amp;";",""),IF(AND($G79&lt;Hta_7,$G79&gt;=Hba_7,Input!AJ$27&lt;&gt;""),Input!$B$27&amp;";",""),IF(AND($G79&lt;Hta_8,$G79&gt;=Hba_8,Input!AJ$28&lt;&gt;""),Input!$B$28&amp;";",""),IF(AND($G79&lt;Hta_9,$G79&gt;=Hba_9,Input!AJ$29&lt;&gt;""),Input!$B$29&amp;";",""),IF(AND($G79&lt;Hta_10,$G79&gt;=Hba_10,Input!AJ$30&lt;&gt;""),Input!$B$30&amp;";",""),IF(AND($G79&lt;Hta_11,$G79&gt;=Hba_11,Input!AJ$31&lt;&gt;""),Input!$B$31&amp;";",""),IF(AND($G79&lt;Hta_12,$G79&gt;=Hba_12,Input!AJ$32&lt;&gt;""),Input!$B$32&amp;";",""),IF(AND($G79&lt;Hta_13,$G79&gt;=Hba_13,Input!AJ$33&lt;&gt;""),Input!$B$33&amp;";",""),IF(AND($G79&lt;Hta_14,$G79&gt;=Hba_14,Input!AJ$34&lt;&gt;""),Input!$B$34&amp;";",""),IF(AND($G79&lt;Hta_15,$G79&gt;=Hba_15,Input!AJ$35&lt;&gt;""),Input!$B$35&amp;";",""),IF(AND($G79&lt;Hta_16,$G79&gt;=Hba_16,Input!AJ$36&lt;&gt;""),Input!$B$36&amp;";",""),IF(AND($G79&lt;Hta_17,$G79&gt;=Hba_17,Input!AJ$37&lt;&gt;""),Input!$B$37&amp;";",""),IF(AND($G79&lt;Hta_18,$G79&gt;=Hba_18,Input!AJ$38&lt;&gt;""),Input!$B$38&amp;";",""),IF(AND($G79&lt;Hta_19,$G79&gt;=Hba_19,Input!AJ$39&lt;&gt;""),Input!$B$39&amp;";",""),IF(AND($G79&lt;Hta_20,$G79&gt;=Hba_20,Input!AJ$40&lt;&gt;""),Input!$B$40&amp;";",""),IF(AND($G79&lt;Hta_21,$G79&gt;=Hba_21,Input!AJ$41&lt;&gt;""),Input!$B$41&amp;";",""),IF(AND($G79&lt;Hta_22,$G79&gt;=Hba_22,Input!AJ$42&lt;&gt;""),Input!$B$42&amp;";",""),IF(AND($G79&lt;Hta_23,$G79&gt;=Hba_23,Input!AJ$43&lt;&gt;""),Input!$B$43&amp;";",""),IF(AND($G79&lt;Hta_24,$G79&gt;=Hba_24,Input!AJ$44&lt;&gt;""),Input!$B$44&amp;";",""),IF(AND($G79&lt;Hta_25,$G79&gt;=Hba_25,Input!AJ$45&lt;&gt;""),Input!$B$45&amp;";",""),IF(AND($G79&lt;Hta_26,$G79&gt;=Hba_26,Input!AJ$46&lt;&gt;""),Input!$B$46&amp;";",""),IF(AND($G79&lt;Hta_27,$G79&gt;=Hba_27,Input!AJ$47&lt;&gt;""),Input!$B$47&amp;";",""),IF(AND($G79&lt;Hta_28,$G79&gt;=Hba_28,Input!AJ$48&lt;&gt;""),Input!$B$48&amp;";",""),IF(AND($G79&lt;Hta_29,$G79&gt;=Hba_29,Input!AJ$49&lt;&gt;""),Input!$B$49&amp;";",""),IF(AND($G79&lt;Hta_30,$G79&gt;=Hba_30,Input!AJ$50&lt;&gt;""),Input!$B$50&amp;";","")),"")</f>
        <v/>
      </c>
      <c r="CL79" s="25" t="str">
        <f>IFERROR(CONCATENATE(IF(AND($G79&lt;Hta_1,$G79&gt;=Hba_1,Input!AK$21&lt;&gt;""),Input!$B$21&amp;";",""),IF(AND($G79&lt;Hta_2,$G79&gt;=Hba_2,Input!AK$22&lt;&gt;""),Input!$B$22&amp;";",""),IF(AND($G79&lt;Hta_3,$G79&gt;=Hba_3,Input!AK$23&lt;&gt;""),Input!$B$23&amp;";",""),IF(AND($G79&lt;Hta_4,$G79&gt;=Hba_4,Input!AK$24&lt;&gt;""),Input!$B$24&amp;";",""),IF(AND($G79&lt;Hta_5,$G79&gt;=Hba_5,Input!AK$25&lt;&gt;""),Input!$B$25&amp;";",""),IF(AND($G79&lt;Hta_6,$G79&gt;=Hba_6,Input!AK$26&lt;&gt;""),Input!$B$26&amp;";",""),IF(AND($G79&lt;Hta_7,$G79&gt;=Hba_7,Input!AK$27&lt;&gt;""),Input!$B$27&amp;";",""),IF(AND($G79&lt;Hta_8,$G79&gt;=Hba_8,Input!AK$28&lt;&gt;""),Input!$B$28&amp;";",""),IF(AND($G79&lt;Hta_9,$G79&gt;=Hba_9,Input!AK$29&lt;&gt;""),Input!$B$29&amp;";",""),IF(AND($G79&lt;Hta_10,$G79&gt;=Hba_10,Input!AK$30&lt;&gt;""),Input!$B$30&amp;";",""),IF(AND($G79&lt;Hta_11,$G79&gt;=Hba_11,Input!AK$31&lt;&gt;""),Input!$B$31&amp;";",""),IF(AND($G79&lt;Hta_12,$G79&gt;=Hba_12,Input!AK$32&lt;&gt;""),Input!$B$32&amp;";",""),IF(AND($G79&lt;Hta_13,$G79&gt;=Hba_13,Input!AK$33&lt;&gt;""),Input!$B$33&amp;";",""),IF(AND($G79&lt;Hta_14,$G79&gt;=Hba_14,Input!AK$34&lt;&gt;""),Input!$B$34&amp;";",""),IF(AND($G79&lt;Hta_15,$G79&gt;=Hba_15,Input!AK$35&lt;&gt;""),Input!$B$35&amp;";",""),IF(AND($G79&lt;Hta_16,$G79&gt;=Hba_16,Input!AK$36&lt;&gt;""),Input!$B$36&amp;";",""),IF(AND($G79&lt;Hta_17,$G79&gt;=Hba_17,Input!AK$37&lt;&gt;""),Input!$B$37&amp;";",""),IF(AND($G79&lt;Hta_18,$G79&gt;=Hba_18,Input!AK$38&lt;&gt;""),Input!$B$38&amp;";",""),IF(AND($G79&lt;Hta_19,$G79&gt;=Hba_19,Input!AK$39&lt;&gt;""),Input!$B$39&amp;";",""),IF(AND($G79&lt;Hta_20,$G79&gt;=Hba_20,Input!AK$40&lt;&gt;""),Input!$B$40&amp;";",""),IF(AND($G79&lt;Hta_21,$G79&gt;=Hba_21,Input!AK$41&lt;&gt;""),Input!$B$41&amp;";",""),IF(AND($G79&lt;Hta_22,$G79&gt;=Hba_22,Input!AK$42&lt;&gt;""),Input!$B$42&amp;";",""),IF(AND($G79&lt;Hta_23,$G79&gt;=Hba_23,Input!AK$43&lt;&gt;""),Input!$B$43&amp;";",""),IF(AND($G79&lt;Hta_24,$G79&gt;=Hba_24,Input!AK$44&lt;&gt;""),Input!$B$44&amp;";",""),IF(AND($G79&lt;Hta_25,$G79&gt;=Hba_25,Input!AK$45&lt;&gt;""),Input!$B$45&amp;";",""),IF(AND($G79&lt;Hta_26,$G79&gt;=Hba_26,Input!AK$46&lt;&gt;""),Input!$B$46&amp;";",""),IF(AND($G79&lt;Hta_27,$G79&gt;=Hba_27,Input!AK$47&lt;&gt;""),Input!$B$47&amp;";",""),IF(AND($G79&lt;Hta_28,$G79&gt;=Hba_28,Input!AK$48&lt;&gt;""),Input!$B$48&amp;";",""),IF(AND($G79&lt;Hta_29,$G79&gt;=Hba_29,Input!AK$49&lt;&gt;""),Input!$B$49&amp;";",""),IF(AND($G79&lt;Hta_30,$G79&gt;=Hba_30,Input!AK$50&lt;&gt;""),Input!$B$50&amp;";","")),"")</f>
        <v/>
      </c>
      <c r="CM79" s="25" t="str">
        <f>IFERROR(CONCATENATE(IF(AND($G79&lt;Hta_1,$G79&gt;=Hba_1,Input!AL$21&lt;&gt;""),Input!$B$21&amp;";",""),IF(AND($G79&lt;Hta_2,$G79&gt;=Hba_2,Input!AL$22&lt;&gt;""),Input!$B$22&amp;";",""),IF(AND($G79&lt;Hta_3,$G79&gt;=Hba_3,Input!AL$23&lt;&gt;""),Input!$B$23&amp;";",""),IF(AND($G79&lt;Hta_4,$G79&gt;=Hba_4,Input!AL$24&lt;&gt;""),Input!$B$24&amp;";",""),IF(AND($G79&lt;Hta_5,$G79&gt;=Hba_5,Input!AL$25&lt;&gt;""),Input!$B$25&amp;";",""),IF(AND($G79&lt;Hta_6,$G79&gt;=Hba_6,Input!AL$26&lt;&gt;""),Input!$B$26&amp;";",""),IF(AND($G79&lt;Hta_7,$G79&gt;=Hba_7,Input!AL$27&lt;&gt;""),Input!$B$27&amp;";",""),IF(AND($G79&lt;Hta_8,$G79&gt;=Hba_8,Input!AL$28&lt;&gt;""),Input!$B$28&amp;";",""),IF(AND($G79&lt;Hta_9,$G79&gt;=Hba_9,Input!AL$29&lt;&gt;""),Input!$B$29&amp;";",""),IF(AND($G79&lt;Hta_10,$G79&gt;=Hba_10,Input!AL$30&lt;&gt;""),Input!$B$30&amp;";",""),IF(AND($G79&lt;Hta_11,$G79&gt;=Hba_11,Input!AL$31&lt;&gt;""),Input!$B$31&amp;";",""),IF(AND($G79&lt;Hta_12,$G79&gt;=Hba_12,Input!AL$32&lt;&gt;""),Input!$B$32&amp;";",""),IF(AND($G79&lt;Hta_13,$G79&gt;=Hba_13,Input!AL$33&lt;&gt;""),Input!$B$33&amp;";",""),IF(AND($G79&lt;Hta_14,$G79&gt;=Hba_14,Input!AL$34&lt;&gt;""),Input!$B$34&amp;";",""),IF(AND($G79&lt;Hta_15,$G79&gt;=Hba_15,Input!AL$35&lt;&gt;""),Input!$B$35&amp;";",""),IF(AND($G79&lt;Hta_16,$G79&gt;=Hba_16,Input!AL$36&lt;&gt;""),Input!$B$36&amp;";",""),IF(AND($G79&lt;Hta_17,$G79&gt;=Hba_17,Input!AL$37&lt;&gt;""),Input!$B$37&amp;";",""),IF(AND($G79&lt;Hta_18,$G79&gt;=Hba_18,Input!AL$38&lt;&gt;""),Input!$B$38&amp;";",""),IF(AND($G79&lt;Hta_19,$G79&gt;=Hba_19,Input!AL$39&lt;&gt;""),Input!$B$39&amp;";",""),IF(AND($G79&lt;Hta_20,$G79&gt;=Hba_20,Input!AL$40&lt;&gt;""),Input!$B$40&amp;";",""),IF(AND($G79&lt;Hta_21,$G79&gt;=Hba_21,Input!AL$41&lt;&gt;""),Input!$B$41&amp;";",""),IF(AND($G79&lt;Hta_22,$G79&gt;=Hba_22,Input!AL$42&lt;&gt;""),Input!$B$42&amp;";",""),IF(AND($G79&lt;Hta_23,$G79&gt;=Hba_23,Input!AL$43&lt;&gt;""),Input!$B$43&amp;";",""),IF(AND($G79&lt;Hta_24,$G79&gt;=Hba_24,Input!AL$44&lt;&gt;""),Input!$B$44&amp;";",""),IF(AND($G79&lt;Hta_25,$G79&gt;=Hba_25,Input!AL$45&lt;&gt;""),Input!$B$45&amp;";",""),IF(AND($G79&lt;Hta_26,$G79&gt;=Hba_26,Input!AL$46&lt;&gt;""),Input!$B$46&amp;";",""),IF(AND($G79&lt;Hta_27,$G79&gt;=Hba_27,Input!AL$47&lt;&gt;""),Input!$B$47&amp;";",""),IF(AND($G79&lt;Hta_28,$G79&gt;=Hba_28,Input!AL$48&lt;&gt;""),Input!$B$48&amp;";",""),IF(AND($G79&lt;Hta_29,$G79&gt;=Hba_29,Input!AL$49&lt;&gt;""),Input!$B$49&amp;";",""),IF(AND($G79&lt;Hta_30,$G79&gt;=Hba_30,Input!AL$50&lt;&gt;""),Input!$B$50&amp;";","")),"")</f>
        <v/>
      </c>
      <c r="CN79" s="60" t="str">
        <f t="shared" si="16"/>
        <v/>
      </c>
      <c r="CO79" s="798"/>
      <c r="CP79" s="799"/>
      <c r="CQ79" s="800"/>
      <c r="CR79" s="798"/>
      <c r="CS79" s="799"/>
      <c r="CT79" s="800"/>
      <c r="CU79" s="798" t="str">
        <f t="shared" si="17"/>
        <v/>
      </c>
      <c r="CV79" s="799"/>
      <c r="CW79" s="806"/>
      <c r="CX79" s="726"/>
      <c r="CY79" s="727"/>
      <c r="CZ79" s="732"/>
      <c r="DA79" s="726"/>
      <c r="DB79" s="727"/>
      <c r="DC79" s="732"/>
      <c r="DD79" s="726" t="str">
        <f t="shared" si="18"/>
        <v/>
      </c>
      <c r="DE79" s="727"/>
      <c r="DF79" s="728"/>
      <c r="DG79" s="53"/>
      <c r="DH79" s="54"/>
      <c r="DI79" s="54"/>
      <c r="DJ79" s="54"/>
      <c r="DK79" s="54"/>
      <c r="DL79" s="54"/>
      <c r="DM79" s="54"/>
      <c r="DN79" s="54"/>
      <c r="DO79" s="54"/>
      <c r="DP79" s="54"/>
      <c r="DQ79" s="57"/>
      <c r="DR79" s="57"/>
      <c r="DS79" s="57"/>
      <c r="DT79" s="57"/>
      <c r="DU79" s="57"/>
      <c r="DV79" s="57"/>
      <c r="DW79" s="57"/>
      <c r="DX79" s="57"/>
      <c r="DY79" s="57"/>
      <c r="DZ79" s="57"/>
      <c r="EA79" s="57"/>
      <c r="EB79" s="57"/>
      <c r="EC79" s="57"/>
      <c r="ED79" s="57"/>
      <c r="EE79" s="57"/>
      <c r="EF79" s="57"/>
      <c r="EG79" s="57"/>
      <c r="EH79" s="57"/>
      <c r="EI79" s="57"/>
      <c r="EJ79" s="57"/>
      <c r="EK79" s="57"/>
      <c r="EL79" s="133"/>
      <c r="EM79" s="133"/>
      <c r="EN79" s="133"/>
      <c r="EO79" s="133"/>
      <c r="EP79" s="133"/>
      <c r="EQ79" s="133"/>
      <c r="ER79" s="133"/>
      <c r="ES79" s="133"/>
      <c r="ET79" s="133"/>
      <c r="EU79" s="133"/>
      <c r="EV79" s="133"/>
      <c r="EW79" s="133"/>
      <c r="EX79" s="133"/>
      <c r="EY79" s="133"/>
      <c r="EZ79" s="133"/>
      <c r="FA79" s="133"/>
      <c r="FB79" s="133"/>
      <c r="FC79" s="133"/>
      <c r="FD79" s="133"/>
      <c r="FE79" s="133"/>
      <c r="FF79" s="133"/>
      <c r="FG79" s="133"/>
      <c r="FH79" s="133"/>
      <c r="FI79" s="133"/>
      <c r="FJ79" s="133"/>
      <c r="FK79" s="133"/>
      <c r="FL79" s="133"/>
      <c r="FM79" s="133"/>
      <c r="FN79" s="133"/>
      <c r="FO79" s="133"/>
      <c r="FQ79" s="125"/>
      <c r="FR79" s="123"/>
      <c r="FS79" s="121"/>
      <c r="FT79" s="119"/>
    </row>
    <row r="80" spans="2:176" ht="15.75" hidden="1" thickBot="1" x14ac:dyDescent="0.3">
      <c r="B80" s="62" t="b">
        <f>IF(OR(AND(G80&gt;='Geometry 2'!$AK$5,G80&lt;'Geometry 2'!$AL$5),AND(G80&gt;='Geometry 2'!$AK$6,G80&lt;'Geometry 2'!$AL$6),AND(G80&gt;='Geometry 2'!$AK$7,G80&lt;'Geometry 2'!$AL$7),AND(G80&gt;='Geometry 2'!$AK$8,G80&lt;'Geometry 2'!$AL$8),AND(G80&gt;='Geometry 2'!$AK$9,G80&lt;'Geometry 2'!$AL$9),AND(G80&gt;='Geometry 2'!$AK$10,G80&lt;'Geometry 2'!$AL$10),AND(G80&gt;='Geometry 2'!$AK$11,G80&lt;'Geometry 2'!$AL$11),AND(G80&gt;='Geometry 2'!$AK$12,G80&lt;'Geometry 2'!$AL$12),AND(G80&gt;='Geometry 2'!$AK$13,G80&lt;'Geometry 2'!$AL$13),AND(G80&gt;='Geometry 2'!$AK$14,G80&lt;'Geometry 2'!$AL$14)),TRUE,FALSE)</f>
        <v>0</v>
      </c>
      <c r="C80" s="4" t="str">
        <f t="shared" si="13"/>
        <v/>
      </c>
      <c r="D80" s="766" t="str">
        <f t="shared" si="14"/>
        <v/>
      </c>
      <c r="E80" s="767"/>
      <c r="F80" s="17" t="str">
        <f t="shared" si="12"/>
        <v/>
      </c>
      <c r="G80" s="768" t="str">
        <f>IF(D80="","",MAX(0,G79-IF(inc="n/a",999,inc),MAX(IF(G79&lt;=Hta_1,0,Hta_1),IF(G79&lt;=Hta_2,0,Hta_2),IF(G79&lt;=Hta_3,0,Hta_3),IF(G79&lt;=Hta_4,0,Hta_4),IF(G79&lt;=Hta_5,0,Hta_5),IF(G79&lt;=Hta_6,0,Hta_6),IF(G79&lt;=Hta_7,0,Hta_7),IF(G79&lt;=Hta_8,0,Hta_8),IF(G79&lt;=Hta_9,0,Hta_9),IF(G79&lt;=Hta_10,0,Hta_10),IF(G79&lt;=Hta_11,0,Hta_11),IF(G79&lt;=Hta_12,0,Hta_12),IF(G79&lt;=Hta_13,0,Hta_13),IF(G79&lt;=Hta_14,0,Hta_14),IF(G79&lt;=Hta_15,0,Hta_15),IF(G79&lt;=Hta_16,0,Hta_16),IF(G79&lt;=Hta_17,0,Hta_17),IF(G79&lt;=Hta_18,0,Hta_18),IF(G79&lt;=Hta_19,0,Hta_19),IF(G79&lt;=Hta_20,0,Hta_20),IF(G79&lt;=Hta_21,0,Hta_21),IF(G79&lt;=Hta_22,0,Hta_22),IF(G79&lt;=Hta_23,0,Hta_23),IF(G79&lt;=Hta_24,0,Hta_24),IF(G79&lt;=Hta_25,0,Hta_25),IF(G79&lt;=Hta_26,0,Hta_26),IF(G79&lt;=Hta_27,0,Hta_27),IF(G79&lt;=Hta_28,0,Hta_28),IF(G79&lt;=Hta_29,0,Hta_29),IF(G79&lt;=Hta_30,0,Hta_30)),MAX(IF(G79&lt;=Hta_1-0.25,0,Hta_1-0.25),IF(G79&lt;=Hta_2-0.25,0,Hta_2-0.25),IF(G79&lt;=Hta_3-0.25,0,Hta_3-0.25),IF(G79&lt;=Hta_4-0.25,0,Hta_4-0.25),IF(G79&lt;=Hta_5-0.25,0,Hta_5-0.25),IF(G79&lt;=Hta_6-0.25,0,Hta_6-0.25),IF(G79&lt;=Hta_7-0.25,0,Hta_7-0.25),IF(G79&lt;=Hta_8-0.25,0,Hta_8-0.25),IF(G79&lt;=Hta_9-0.25,0,Hta_9-0.25),IF(G79&lt;=Hta_10-0.25,0,Hta_10-0.25),IF(G79&lt;=Hta_11-0.25,0,Hta_11-0.25),IF(G79&lt;=Hta_12-0.25,0,Hta_12-0.25),IF(G79&lt;=Hta_13-0.25,0,Hta_13-0.25),IF(G79&lt;=Hta_14-0.25,0,Hta_14-0.25),IF(G79&lt;=Hta_15-0.25,0,Hta_15-0.25),IF(G79&lt;=Hta_16-0.25,0,Hta_16-0.25),IF(G79&lt;=Hta_17-0.25,0,Hta_17-0.25),IF(G79&lt;=Hta_18-0.25,0,Hta_18-0.25),IF(G79&lt;=Hta_19-0.25,0,Hta_19-0.25),IF(G79&lt;=Hta_20-0.25,0,Hta_20-0.25),IF(G79&lt;=Hta_21-0.25,0,Hta_21-0.25),IF(G79&lt;=Hta_22-0.25,0,Hta_22-0.25),IF(G79&lt;=Hta_23-0.25,0,Hta_23-0.25),IF(G79&lt;=Hta_24-0.25,0,Hta_24-0.25),IF(G79&lt;=Hta_25-0.25,0,Hta_25-0.25),IF(G79&lt;=Hta_26-0.25,0,Hta_26-0.25),IF(G79&lt;=Hta_27-0.25,0,Hta_27-0.25),IF(G79&lt;=Hta_28-0.25,0,Hta_28-0.25),IF(G79&lt;=Hta_29-0.25,0,Hta_29-0.25),IF(G79&lt;=Hta_30-0.25,0,Hta_30-0.25)),MAX(IF(G79&lt;=Hba_1,0,Hba_1),IF(G79&lt;=Hba_2,0,Hba_2),IF(G79&lt;=Hba_3,0,Hba_3),IF(G79&lt;=Hba_4,0,Hba_4),IF(G79&lt;=Hba_5,0,Hba_5),IF(G79&lt;=Hba_6,0,Hba_6),IF(G79&lt;=Hba_7,0,Hba_7),IF(G79&lt;=Hba_8,0,Hba_8),IF(G79&lt;=Hba_9,0,Hba_9),IF(G79&lt;=Hba_10,0,Hba_10),IF(G79&lt;=Hba_11,0,Hba_11),IF(G79&lt;=Hba_12,0,Hba_12),IF(G79&lt;=Hba_13,0,Hba_13),IF(G79&lt;=Hba_14,0,Hba_14),IF(G79&lt;=Hba_15,0,Hba_15),IF(G79&lt;=Hba_16,0,Hba_16),IF(G79&lt;=Hba_17,0,Hba_17),IF(G79&lt;=Hba_18,0,Hba_18),IF(G79&lt;=Hba_19,0,Hba_19),IF(G79&lt;=Hba_20,0,Hba_20),IF(G79&lt;=Hba_21,0,Hba_21),IF(G79&lt;=Hba_22,0,Hba_22),IF(G79&lt;=Hba_23,0,Hba_23),IF(G79&lt;=Hba_24,0,Hba_24),IF(G79&lt;=Hba_25,0,Hba_25),IF(G79&lt;=Hba_26,0,Hba_26),IF(G79&lt;=Hba_27,0,Hba_27),IF(G79&lt;=Hba_28,0,Hba_28),IF(G79&lt;=Hba_29,0,Hba_29),IF(G79&lt;=Hba_30,0,Hba_30)),MAX(IF(G79&lt;=Input!$C$8,0,Input!$C$8),IF(G79&lt;=Input!$C$9,0,Input!$C$9),IF(G79&lt;=Input!$C$10,0,Input!$C$10),IF(G79&lt;=Input!$C$11,0,Input!$C$11),IF(G79&lt;=Input!$C$12,0,Input!$C$12),IF(G79&lt;=Input!$C$13,0,Input!$C$13),IF(G79&lt;=Input!$C$14,0,Input!$C$14),IF(G79&lt;=Input!$C$15,0,Input!$C$15),IF(G79&lt;=Input!$C$16,0,Input!$C$16)),MAX(IF(G79&lt;=Hba_1-0.25,0,Hba_1-0.25),IF(G79&lt;=Hba_2-0.25,0,Hba_2-0.25),IF(G79&lt;=Hba_3-0.25,0,Hba_3-0.25),IF(G79&lt;=Hba_4-0.25,0,Hba_4-0.25),IF(G79&lt;=Hba_5-0.25,0,Hba_5-0.25),IF(G79&lt;=Hba_6-0.25,0,Hba_6-0.25),IF(G79&lt;=Hba_7-0.25,0,Hba_7-0.25),IF(G79&lt;=Hba_8-0.25,0,Hba_8-0.25),IF(G79&lt;=Hba_9-0.25,0,Hba_9-0.25),IF(G79&lt;=Hba_10-0.25,0,Hba_10-0.25),IF(G79&lt;=Hba_11-0.25,0,Hba_11-0.25),IF(G79&lt;=Hba_12-0.25,0,Hba_12-0.25),IF(G79&lt;=Hba_13-0.25,0,Hba_13-0.25),IF(G79&lt;=Hba_14-0.25,0,Hba_14-0.25),IF(G79&lt;=Hba_15-0.25,0,Hba_15-0.25),IF(G79&lt;=Hba_16-0.25,0,Hba_16-0.25),IF(G79&lt;=Hba_17-0.25,0,Hba_17-0.25),IF(G79&lt;=Hba_18-0.25,0,Hba_18-0.25),IF(G79&lt;=Hba_19-0.25,0,Hba_19-0.25),IF(G79&lt;=Hba_20-0.25,0,Hba_20-0.25),IF(G79&lt;=Hba_21-0.25,0,Hba_21-0.25),IF(G79&lt;=Hba_22-0.25,0,Hba_22-0.25),IF(G79&lt;=Hba_23-0.25,0,Hba_23-0.25),IF(G79&lt;=Hba_24-0.25,0,Hba_24-0.25),IF(G79&lt;=Hba_25-0.25,0,Hba_25-0.25),IF(G79&lt;=Hba_26-0.25,0,Hba_26-0.25),IF(G79&lt;=Hba_27-0.25,0,Hba_27-0.25),IF(G79&lt;=Hba_28-0.25,0,Hba_28-0.25),IF(G79&lt;=Hba_29-0.25,0,Hba_29-0.25),IF(G79&lt;=Hba_30-0.25,0,Hba_30-0.25)),IF(G79&lt;='Macro References'!$A$38,0,'Macro References'!$A$38)))</f>
        <v/>
      </c>
      <c r="H80" s="769"/>
      <c r="I80" s="228"/>
      <c r="J80" s="228"/>
      <c r="K80" s="228"/>
      <c r="L80" s="717" t="str">
        <f t="shared" si="11"/>
        <v/>
      </c>
      <c r="M80" s="717"/>
      <c r="N80" s="717"/>
      <c r="O80" s="717"/>
      <c r="P80" s="717" t="str">
        <f>IF(OR(G80=0,G80=""),"",IF(VLOOKUP(G80,'Geometry 2'!$C$4:$AI$14,1,TRUE)=VLOOKUP(G81,'Geometry 2'!$C$4:$AI$14,1,TRUE),"",IF(VLOOKUP(G80,'Geometry 2'!$C$4:$AI$14,33,TRUE)&lt;&gt;"n/a",MIN(G80,VLOOKUP(G80,'Geometry 2'!$C$4:$AI$14,1,TRUE))-VLOOKUP(G80,'Geometry 2'!$C$4:$AI$14,33,TRUE),"check")))</f>
        <v/>
      </c>
      <c r="Q80" s="717"/>
      <c r="R80" s="717"/>
      <c r="S80" s="717"/>
      <c r="T80" s="717" t="str">
        <f>IF($G80="","",VLOOKUP($G80,'Geometry 2'!$E$4:$AH$14,11,TRUE))</f>
        <v/>
      </c>
      <c r="U80" s="717"/>
      <c r="V80" s="717"/>
      <c r="W80" s="717"/>
      <c r="X80" s="716" t="str">
        <f>IF($G80="","",VLOOKUP($G80,'Geometry 2'!$E$4:$AJ$14,19,TRUE)-12*VLOOKUP($G80,'Geometry 2'!$E$4:$AJ$14,32,TRUE)*($D80-VLOOKUP($G80,'Geometry 2'!$E$5:$AH$14,1,TRUE)))</f>
        <v/>
      </c>
      <c r="Y80" s="716"/>
      <c r="Z80" s="716"/>
      <c r="AA80" s="716"/>
      <c r="AB80" s="757" t="str">
        <f>IF($G80="","",VLOOKUP($G80,'Geometry 2'!$E$4:$AJ$14,19,TRUE)-12*VLOOKUP($G80,'Geometry 2'!$E$4:$AJ$14,32,TRUE)*($G80-VLOOKUP($G80,'Geometry 2'!$E$5:$AH$14,1,TRUE)))</f>
        <v/>
      </c>
      <c r="AC80" s="758"/>
      <c r="AD80" s="758"/>
      <c r="AE80" s="759"/>
      <c r="AF80" s="716" t="str">
        <f>IF($G80="","",VLOOKUP($G80,'Geometry 2'!$E$4:$AJ$14,19,TRUE)-12*VLOOKUP($G80,'Geometry 2'!$E$4:$AJ$14,32,TRUE)*($G80-IF($P80="",0,$P80)-VLOOKUP($G80,'Geometry 2'!$E$5:$AH$14,1,TRUE)))</f>
        <v/>
      </c>
      <c r="AG80" s="716"/>
      <c r="AH80" s="716"/>
      <c r="AI80" s="716"/>
      <c r="AJ80" s="746" t="str">
        <f>IF($G80="","",VLOOKUP($G80,'Geometry 2'!$E$4:$AH$14,23,TRUE))</f>
        <v/>
      </c>
      <c r="AK80" s="747"/>
      <c r="AL80" s="747"/>
      <c r="AM80" s="748"/>
      <c r="AN80" s="717"/>
      <c r="AO80" s="717"/>
      <c r="AP80" s="717"/>
      <c r="AQ80" s="717"/>
      <c r="AR80" s="717" t="str">
        <f>IF($G80="","",VLOOKUP($G80,'Geometry 2'!$E$4:$AH$14,27,TRUE))</f>
        <v/>
      </c>
      <c r="AS80" s="717"/>
      <c r="AT80" s="717"/>
      <c r="AU80" s="718"/>
      <c r="AV80" s="715"/>
      <c r="AW80" s="716"/>
      <c r="AX80" s="716"/>
      <c r="AZ80" s="722" t="str">
        <f t="shared" si="15"/>
        <v/>
      </c>
      <c r="BA80" s="723"/>
      <c r="BB80" s="723"/>
      <c r="BC80" s="724"/>
      <c r="BD80" s="722"/>
      <c r="BE80" s="723"/>
      <c r="BF80" s="723"/>
      <c r="BG80" s="722" t="str">
        <f t="shared" si="9"/>
        <v/>
      </c>
      <c r="BH80" s="723"/>
      <c r="BI80" s="723"/>
      <c r="BJ80" s="723"/>
      <c r="BK80" s="724"/>
      <c r="BL80" s="722"/>
      <c r="BM80" s="723"/>
      <c r="BN80" s="723"/>
      <c r="BO80" s="723"/>
      <c r="BP80" s="725"/>
      <c r="BQ80" s="725"/>
      <c r="BR80" s="722" t="str">
        <f>IF(BP80="","",IF(OR(AND(Rev="H",Calculations!$F$27=TRUE),AND(Rev&lt;&gt;"H",Calculations!$F$30=TRUE)),IF(BP80&lt;=1,"Pass","Fail"),IF(BP80&lt;=1.05,"Pass","Fail")))</f>
        <v/>
      </c>
      <c r="BS80" s="723"/>
      <c r="BT80" s="724"/>
      <c r="BU80" s="49"/>
      <c r="BV80" s="25" t="str">
        <f>IFERROR(CONCATENATE(IF(AND($G80&lt;Hta_1,$G80&gt;=Hba_1,Input!U$21&lt;&gt;""),Input!$B$21&amp;";",""),IF(AND($G80&lt;Hta_2,$G80&gt;=Hba_2,Input!U$22&lt;&gt;""),Input!$B$22&amp;";",""),IF(AND($G80&lt;Hta_3,$G80&gt;=Hba_3,Input!U$23&lt;&gt;""),Input!$B$23&amp;";",""),IF(AND($G80&lt;Hta_4,$G80&gt;=Hba_4,Input!U$24&lt;&gt;""),Input!$B$24&amp;";",""),IF(AND($G80&lt;Hta_5,$G80&gt;=Hba_5,Input!U$25&lt;&gt;""),Input!$B$25&amp;";",""),IF(AND($G80&lt;Hta_6,$G80&gt;=Hba_6,Input!U$26&lt;&gt;""),Input!$B$26&amp;";",""),IF(AND($G80&lt;Hta_7,$G80&gt;=Hba_7,Input!U$27&lt;&gt;""),Input!$B$27&amp;";",""),IF(AND($G80&lt;Hta_8,$G80&gt;=Hba_8,Input!U$28&lt;&gt;""),Input!$B$28&amp;";",""),IF(AND($G80&lt;Hta_9,$G80&gt;=Hba_9,Input!U$29&lt;&gt;""),Input!$B$29&amp;";",""),IF(AND($G80&lt;Hta_10,$G80&gt;=Hba_10,Input!U$30&lt;&gt;""),Input!$B$30&amp;";",""),IF(AND($G80&lt;Hta_11,$G80&gt;=Hba_11,Input!U$31&lt;&gt;""),Input!$B$31&amp;";",""),IF(AND($G80&lt;Hta_12,$G80&gt;=Hba_12,Input!U$32&lt;&gt;""),Input!$B$32&amp;";",""),IF(AND($G80&lt;Hta_13,$G80&gt;=Hba_13,Input!U$33&lt;&gt;""),Input!$B$33&amp;";",""),IF(AND($G80&lt;Hta_14,$G80&gt;=Hba_14,Input!U$34&lt;&gt;""),Input!$B$34&amp;";",""),IF(AND($G80&lt;Hta_15,$G80&gt;=Hba_15,Input!U$35&lt;&gt;""),Input!$B$35&amp;";",""),IF(AND($G80&lt;Hta_16,$G80&gt;=Hba_16,Input!U$36&lt;&gt;""),Input!$B$36&amp;";",""),IF(AND($G80&lt;Hta_17,$G80&gt;=Hba_17,Input!U$37&lt;&gt;""),Input!$B$37&amp;";",""),IF(AND($G80&lt;Hta_18,$G80&gt;=Hba_18,Input!U$38&lt;&gt;""),Input!$B$38&amp;";",""),IF(AND($G80&lt;Hta_19,$G80&gt;=Hba_19,Input!U$39&lt;&gt;""),Input!$B$39&amp;";",""),IF(AND($G80&lt;Hta_20,$G80&gt;=Hba_20,Input!U$40&lt;&gt;""),Input!$B$40&amp;";",""),IF(AND($G80&lt;Hta_21,$G80&gt;=Hba_21,Input!U$41&lt;&gt;""),Input!$B$41&amp;";",""),IF(AND($G80&lt;Hta_22,$G80&gt;=Hba_22,Input!U$42&lt;&gt;""),Input!$B$42&amp;";",""),IF(AND($G80&lt;Hta_23,$G80&gt;=Hba_23,Input!U$43&lt;&gt;""),Input!$B$43&amp;";",""),IF(AND($G80&lt;Hta_24,$G80&gt;=Hba_24,Input!U$44&lt;&gt;""),Input!$B$44&amp;";",""),IF(AND($G80&lt;Hta_25,$G80&gt;=Hba_25,Input!U$45&lt;&gt;""),Input!$B$45&amp;";",""),IF(AND($G80&lt;Hta_26,$G80&gt;=Hba_26,Input!U$46&lt;&gt;""),Input!$B$46&amp;";",""),IF(AND($G80&lt;Hta_27,$G80&gt;=Hba_27,Input!U$47&lt;&gt;""),Input!$B$47&amp;";",""),IF(AND($G80&lt;Hta_28,$G80&gt;=Hba_28,Input!U$48&lt;&gt;""),Input!$B$48&amp;";",""),IF(AND($G80&lt;Hta_29,$G80&gt;=Hba_29,Input!U$49&lt;&gt;""),Input!$B$49&amp;";",""),IF(AND($G80&lt;Hta_30,$G80&gt;=Hba_30,Input!U$50&lt;&gt;""),Input!$B$50&amp;";","")),"")</f>
        <v/>
      </c>
      <c r="BW80" s="25" t="str">
        <f>IFERROR(CONCATENATE(IF(AND($G80&lt;Hta_1,$G80&gt;=Hba_1,Input!V$21&lt;&gt;""),Input!$B$21&amp;";",""),IF(AND($G80&lt;Hta_2,$G80&gt;=Hba_2,Input!V$22&lt;&gt;""),Input!$B$22&amp;";",""),IF(AND($G80&lt;Hta_3,$G80&gt;=Hba_3,Input!V$23&lt;&gt;""),Input!$B$23&amp;";",""),IF(AND($G80&lt;Hta_4,$G80&gt;=Hba_4,Input!V$24&lt;&gt;""),Input!$B$24&amp;";",""),IF(AND($G80&lt;Hta_5,$G80&gt;=Hba_5,Input!V$25&lt;&gt;""),Input!$B$25&amp;";",""),IF(AND($G80&lt;Hta_6,$G80&gt;=Hba_6,Input!V$26&lt;&gt;""),Input!$B$26&amp;";",""),IF(AND($G80&lt;Hta_7,$G80&gt;=Hba_7,Input!V$27&lt;&gt;""),Input!$B$27&amp;";",""),IF(AND($G80&lt;Hta_8,$G80&gt;=Hba_8,Input!V$28&lt;&gt;""),Input!$B$28&amp;";",""),IF(AND($G80&lt;Hta_9,$G80&gt;=Hba_9,Input!V$29&lt;&gt;""),Input!$B$29&amp;";",""),IF(AND($G80&lt;Hta_10,$G80&gt;=Hba_10,Input!V$30&lt;&gt;""),Input!$B$30&amp;";",""),IF(AND($G80&lt;Hta_11,$G80&gt;=Hba_11,Input!V$31&lt;&gt;""),Input!$B$31&amp;";",""),IF(AND($G80&lt;Hta_12,$G80&gt;=Hba_12,Input!V$32&lt;&gt;""),Input!$B$32&amp;";",""),IF(AND($G80&lt;Hta_13,$G80&gt;=Hba_13,Input!V$33&lt;&gt;""),Input!$B$33&amp;";",""),IF(AND($G80&lt;Hta_14,$G80&gt;=Hba_14,Input!V$34&lt;&gt;""),Input!$B$34&amp;";",""),IF(AND($G80&lt;Hta_15,$G80&gt;=Hba_15,Input!V$35&lt;&gt;""),Input!$B$35&amp;";",""),IF(AND($G80&lt;Hta_16,$G80&gt;=Hba_16,Input!V$36&lt;&gt;""),Input!$B$36&amp;";",""),IF(AND($G80&lt;Hta_17,$G80&gt;=Hba_17,Input!V$37&lt;&gt;""),Input!$B$37&amp;";",""),IF(AND($G80&lt;Hta_18,$G80&gt;=Hba_18,Input!V$38&lt;&gt;""),Input!$B$38&amp;";",""),IF(AND($G80&lt;Hta_19,$G80&gt;=Hba_19,Input!V$39&lt;&gt;""),Input!$B$39&amp;";",""),IF(AND($G80&lt;Hta_20,$G80&gt;=Hba_20,Input!V$40&lt;&gt;""),Input!$B$40&amp;";",""),IF(AND($G80&lt;Hta_21,$G80&gt;=Hba_21,Input!V$41&lt;&gt;""),Input!$B$41&amp;";",""),IF(AND($G80&lt;Hta_22,$G80&gt;=Hba_22,Input!V$42&lt;&gt;""),Input!$B$42&amp;";",""),IF(AND($G80&lt;Hta_23,$G80&gt;=Hba_23,Input!V$43&lt;&gt;""),Input!$B$43&amp;";",""),IF(AND($G80&lt;Hta_24,$G80&gt;=Hba_24,Input!V$44&lt;&gt;""),Input!$B$44&amp;";",""),IF(AND($G80&lt;Hta_25,$G80&gt;=Hba_25,Input!V$45&lt;&gt;""),Input!$B$45&amp;";",""),IF(AND($G80&lt;Hta_26,$G80&gt;=Hba_26,Input!V$46&lt;&gt;""),Input!$B$46&amp;";",""),IF(AND($G80&lt;Hta_27,$G80&gt;=Hba_27,Input!V$47&lt;&gt;""),Input!$B$47&amp;";",""),IF(AND($G80&lt;Hta_28,$G80&gt;=Hba_28,Input!V$48&lt;&gt;""),Input!$B$48&amp;";",""),IF(AND($G80&lt;Hta_29,$G80&gt;=Hba_29,Input!V$49&lt;&gt;""),Input!$B$49&amp;";",""),IF(AND($G80&lt;Hta_30,$G80&gt;=Hba_30,Input!V$50&lt;&gt;""),Input!$B$50&amp;";","")),"")</f>
        <v/>
      </c>
      <c r="BX80" s="25" t="str">
        <f>IFERROR(CONCATENATE(IF(AND($G80&lt;Hta_1,$G80&gt;=Hba_1,Input!W$21&lt;&gt;""),Input!$B$21&amp;";",""),IF(AND($G80&lt;Hta_2,$G80&gt;=Hba_2,Input!W$22&lt;&gt;""),Input!$B$22&amp;";",""),IF(AND($G80&lt;Hta_3,$G80&gt;=Hba_3,Input!W$23&lt;&gt;""),Input!$B$23&amp;";",""),IF(AND($G80&lt;Hta_4,$G80&gt;=Hba_4,Input!W$24&lt;&gt;""),Input!$B$24&amp;";",""),IF(AND($G80&lt;Hta_5,$G80&gt;=Hba_5,Input!W$25&lt;&gt;""),Input!$B$25&amp;";",""),IF(AND($G80&lt;Hta_6,$G80&gt;=Hba_6,Input!W$26&lt;&gt;""),Input!$B$26&amp;";",""),IF(AND($G80&lt;Hta_7,$G80&gt;=Hba_7,Input!W$27&lt;&gt;""),Input!$B$27&amp;";",""),IF(AND($G80&lt;Hta_8,$G80&gt;=Hba_8,Input!W$28&lt;&gt;""),Input!$B$28&amp;";",""),IF(AND($G80&lt;Hta_9,$G80&gt;=Hba_9,Input!W$29&lt;&gt;""),Input!$B$29&amp;";",""),IF(AND($G80&lt;Hta_10,$G80&gt;=Hba_10,Input!W$30&lt;&gt;""),Input!$B$30&amp;";",""),IF(AND($G80&lt;Hta_11,$G80&gt;=Hba_11,Input!W$31&lt;&gt;""),Input!$B$31&amp;";",""),IF(AND($G80&lt;Hta_12,$G80&gt;=Hba_12,Input!W$32&lt;&gt;""),Input!$B$32&amp;";",""),IF(AND($G80&lt;Hta_13,$G80&gt;=Hba_13,Input!W$33&lt;&gt;""),Input!$B$33&amp;";",""),IF(AND($G80&lt;Hta_14,$G80&gt;=Hba_14,Input!W$34&lt;&gt;""),Input!$B$34&amp;";",""),IF(AND($G80&lt;Hta_15,$G80&gt;=Hba_15,Input!W$35&lt;&gt;""),Input!$B$35&amp;";",""),IF(AND($G80&lt;Hta_16,$G80&gt;=Hba_16,Input!W$36&lt;&gt;""),Input!$B$36&amp;";",""),IF(AND($G80&lt;Hta_17,$G80&gt;=Hba_17,Input!W$37&lt;&gt;""),Input!$B$37&amp;";",""),IF(AND($G80&lt;Hta_18,$G80&gt;=Hba_18,Input!W$38&lt;&gt;""),Input!$B$38&amp;";",""),IF(AND($G80&lt;Hta_19,$G80&gt;=Hba_19,Input!W$39&lt;&gt;""),Input!$B$39&amp;";",""),IF(AND($G80&lt;Hta_20,$G80&gt;=Hba_20,Input!W$40&lt;&gt;""),Input!$B$40&amp;";",""),IF(AND($G80&lt;Hta_21,$G80&gt;=Hba_21,Input!W$41&lt;&gt;""),Input!$B$41&amp;";",""),IF(AND($G80&lt;Hta_22,$G80&gt;=Hba_22,Input!W$42&lt;&gt;""),Input!$B$42&amp;";",""),IF(AND($G80&lt;Hta_23,$G80&gt;=Hba_23,Input!W$43&lt;&gt;""),Input!$B$43&amp;";",""),IF(AND($G80&lt;Hta_24,$G80&gt;=Hba_24,Input!W$44&lt;&gt;""),Input!$B$44&amp;";",""),IF(AND($G80&lt;Hta_25,$G80&gt;=Hba_25,Input!W$45&lt;&gt;""),Input!$B$45&amp;";",""),IF(AND($G80&lt;Hta_26,$G80&gt;=Hba_26,Input!W$46&lt;&gt;""),Input!$B$46&amp;";",""),IF(AND($G80&lt;Hta_27,$G80&gt;=Hba_27,Input!W$47&lt;&gt;""),Input!$B$47&amp;";",""),IF(AND($G80&lt;Hta_28,$G80&gt;=Hba_28,Input!W$48&lt;&gt;""),Input!$B$48&amp;";",""),IF(AND($G80&lt;Hta_29,$G80&gt;=Hba_29,Input!W$49&lt;&gt;""),Input!$B$49&amp;";",""),IF(AND($G80&lt;Hta_30,$G80&gt;=Hba_30,Input!W$50&lt;&gt;""),Input!$B$50&amp;";","")),"")</f>
        <v/>
      </c>
      <c r="BY80" s="25" t="str">
        <f>IFERROR(CONCATENATE(IF(AND($G80&lt;Hta_1,$G80&gt;=Hba_1,Input!X$21&lt;&gt;""),Input!$B$21&amp;";",""),IF(AND($G80&lt;Hta_2,$G80&gt;=Hba_2,Input!X$22&lt;&gt;""),Input!$B$22&amp;";",""),IF(AND($G80&lt;Hta_3,$G80&gt;=Hba_3,Input!X$23&lt;&gt;""),Input!$B$23&amp;";",""),IF(AND($G80&lt;Hta_4,$G80&gt;=Hba_4,Input!X$24&lt;&gt;""),Input!$B$24&amp;";",""),IF(AND($G80&lt;Hta_5,$G80&gt;=Hba_5,Input!X$25&lt;&gt;""),Input!$B$25&amp;";",""),IF(AND($G80&lt;Hta_6,$G80&gt;=Hba_6,Input!X$26&lt;&gt;""),Input!$B$26&amp;";",""),IF(AND($G80&lt;Hta_7,$G80&gt;=Hba_7,Input!X$27&lt;&gt;""),Input!$B$27&amp;";",""),IF(AND($G80&lt;Hta_8,$G80&gt;=Hba_8,Input!X$28&lt;&gt;""),Input!$B$28&amp;";",""),IF(AND($G80&lt;Hta_9,$G80&gt;=Hba_9,Input!X$29&lt;&gt;""),Input!$B$29&amp;";",""),IF(AND($G80&lt;Hta_10,$G80&gt;=Hba_10,Input!X$30&lt;&gt;""),Input!$B$30&amp;";",""),IF(AND($G80&lt;Hta_11,$G80&gt;=Hba_11,Input!X$31&lt;&gt;""),Input!$B$31&amp;";",""),IF(AND($G80&lt;Hta_12,$G80&gt;=Hba_12,Input!X$32&lt;&gt;""),Input!$B$32&amp;";",""),IF(AND($G80&lt;Hta_13,$G80&gt;=Hba_13,Input!X$33&lt;&gt;""),Input!$B$33&amp;";",""),IF(AND($G80&lt;Hta_14,$G80&gt;=Hba_14,Input!X$34&lt;&gt;""),Input!$B$34&amp;";",""),IF(AND($G80&lt;Hta_15,$G80&gt;=Hba_15,Input!X$35&lt;&gt;""),Input!$B$35&amp;";",""),IF(AND($G80&lt;Hta_16,$G80&gt;=Hba_16,Input!X$36&lt;&gt;""),Input!$B$36&amp;";",""),IF(AND($G80&lt;Hta_17,$G80&gt;=Hba_17,Input!X$37&lt;&gt;""),Input!$B$37&amp;";",""),IF(AND($G80&lt;Hta_18,$G80&gt;=Hba_18,Input!X$38&lt;&gt;""),Input!$B$38&amp;";",""),IF(AND($G80&lt;Hta_19,$G80&gt;=Hba_19,Input!X$39&lt;&gt;""),Input!$B$39&amp;";",""),IF(AND($G80&lt;Hta_20,$G80&gt;=Hba_20,Input!X$40&lt;&gt;""),Input!$B$40&amp;";",""),IF(AND($G80&lt;Hta_21,$G80&gt;=Hba_21,Input!X$41&lt;&gt;""),Input!$B$41&amp;";",""),IF(AND($G80&lt;Hta_22,$G80&gt;=Hba_22,Input!X$42&lt;&gt;""),Input!$B$42&amp;";",""),IF(AND($G80&lt;Hta_23,$G80&gt;=Hba_23,Input!X$43&lt;&gt;""),Input!$B$43&amp;";",""),IF(AND($G80&lt;Hta_24,$G80&gt;=Hba_24,Input!X$44&lt;&gt;""),Input!$B$44&amp;";",""),IF(AND($G80&lt;Hta_25,$G80&gt;=Hba_25,Input!X$45&lt;&gt;""),Input!$B$45&amp;";",""),IF(AND($G80&lt;Hta_26,$G80&gt;=Hba_26,Input!X$46&lt;&gt;""),Input!$B$46&amp;";",""),IF(AND($G80&lt;Hta_27,$G80&gt;=Hba_27,Input!X$47&lt;&gt;""),Input!$B$47&amp;";",""),IF(AND($G80&lt;Hta_28,$G80&gt;=Hba_28,Input!X$48&lt;&gt;""),Input!$B$48&amp;";",""),IF(AND($G80&lt;Hta_29,$G80&gt;=Hba_29,Input!X$49&lt;&gt;""),Input!$B$49&amp;";",""),IF(AND($G80&lt;Hta_30,$G80&gt;=Hba_30,Input!X$50&lt;&gt;""),Input!$B$50&amp;";","")),"")</f>
        <v/>
      </c>
      <c r="BZ80" s="25" t="str">
        <f>IFERROR(CONCATENATE(IF(AND($G80&lt;Hta_1,$G80&gt;=Hba_1,Input!Y$21&lt;&gt;""),Input!$B$21&amp;";",""),IF(AND($G80&lt;Hta_2,$G80&gt;=Hba_2,Input!Y$22&lt;&gt;""),Input!$B$22&amp;";",""),IF(AND($G80&lt;Hta_3,$G80&gt;=Hba_3,Input!Y$23&lt;&gt;""),Input!$B$23&amp;";",""),IF(AND($G80&lt;Hta_4,$G80&gt;=Hba_4,Input!Y$24&lt;&gt;""),Input!$B$24&amp;";",""),IF(AND($G80&lt;Hta_5,$G80&gt;=Hba_5,Input!Y$25&lt;&gt;""),Input!$B$25&amp;";",""),IF(AND($G80&lt;Hta_6,$G80&gt;=Hba_6,Input!Y$26&lt;&gt;""),Input!$B$26&amp;";",""),IF(AND($G80&lt;Hta_7,$G80&gt;=Hba_7,Input!Y$27&lt;&gt;""),Input!$B$27&amp;";",""),IF(AND($G80&lt;Hta_8,$G80&gt;=Hba_8,Input!Y$28&lt;&gt;""),Input!$B$28&amp;";",""),IF(AND($G80&lt;Hta_9,$G80&gt;=Hba_9,Input!Y$29&lt;&gt;""),Input!$B$29&amp;";",""),IF(AND($G80&lt;Hta_10,$G80&gt;=Hba_10,Input!Y$30&lt;&gt;""),Input!$B$30&amp;";",""),IF(AND($G80&lt;Hta_11,$G80&gt;=Hba_11,Input!Y$31&lt;&gt;""),Input!$B$31&amp;";",""),IF(AND($G80&lt;Hta_12,$G80&gt;=Hba_12,Input!Y$32&lt;&gt;""),Input!$B$32&amp;";",""),IF(AND($G80&lt;Hta_13,$G80&gt;=Hba_13,Input!Y$33&lt;&gt;""),Input!$B$33&amp;";",""),IF(AND($G80&lt;Hta_14,$G80&gt;=Hba_14,Input!Y$34&lt;&gt;""),Input!$B$34&amp;";",""),IF(AND($G80&lt;Hta_15,$G80&gt;=Hba_15,Input!Y$35&lt;&gt;""),Input!$B$35&amp;";",""),IF(AND($G80&lt;Hta_16,$G80&gt;=Hba_16,Input!Y$36&lt;&gt;""),Input!$B$36&amp;";",""),IF(AND($G80&lt;Hta_17,$G80&gt;=Hba_17,Input!Y$37&lt;&gt;""),Input!$B$37&amp;";",""),IF(AND($G80&lt;Hta_18,$G80&gt;=Hba_18,Input!Y$38&lt;&gt;""),Input!$B$38&amp;";",""),IF(AND($G80&lt;Hta_19,$G80&gt;=Hba_19,Input!Y$39&lt;&gt;""),Input!$B$39&amp;";",""),IF(AND($G80&lt;Hta_20,$G80&gt;=Hba_20,Input!Y$40&lt;&gt;""),Input!$B$40&amp;";",""),IF(AND($G80&lt;Hta_21,$G80&gt;=Hba_21,Input!Y$41&lt;&gt;""),Input!$B$41&amp;";",""),IF(AND($G80&lt;Hta_22,$G80&gt;=Hba_22,Input!Y$42&lt;&gt;""),Input!$B$42&amp;";",""),IF(AND($G80&lt;Hta_23,$G80&gt;=Hba_23,Input!Y$43&lt;&gt;""),Input!$B$43&amp;";",""),IF(AND($G80&lt;Hta_24,$G80&gt;=Hba_24,Input!Y$44&lt;&gt;""),Input!$B$44&amp;";",""),IF(AND($G80&lt;Hta_25,$G80&gt;=Hba_25,Input!Y$45&lt;&gt;""),Input!$B$45&amp;";",""),IF(AND($G80&lt;Hta_26,$G80&gt;=Hba_26,Input!Y$46&lt;&gt;""),Input!$B$46&amp;";",""),IF(AND($G80&lt;Hta_27,$G80&gt;=Hba_27,Input!Y$47&lt;&gt;""),Input!$B$47&amp;";",""),IF(AND($G80&lt;Hta_28,$G80&gt;=Hba_28,Input!Y$48&lt;&gt;""),Input!$B$48&amp;";",""),IF(AND($G80&lt;Hta_29,$G80&gt;=Hba_29,Input!Y$49&lt;&gt;""),Input!$B$49&amp;";",""),IF(AND($G80&lt;Hta_30,$G80&gt;=Hba_30,Input!Y$50&lt;&gt;""),Input!$B$50&amp;";","")),"")</f>
        <v/>
      </c>
      <c r="CA80" s="25" t="str">
        <f>IFERROR(CONCATENATE(IF(AND($G80&lt;Hta_1,$G80&gt;=Hba_1,Input!Z$21&lt;&gt;""),Input!$B$21&amp;";",""),IF(AND($G80&lt;Hta_2,$G80&gt;=Hba_2,Input!Z$22&lt;&gt;""),Input!$B$22&amp;";",""),IF(AND($G80&lt;Hta_3,$G80&gt;=Hba_3,Input!Z$23&lt;&gt;""),Input!$B$23&amp;";",""),IF(AND($G80&lt;Hta_4,$G80&gt;=Hba_4,Input!Z$24&lt;&gt;""),Input!$B$24&amp;";",""),IF(AND($G80&lt;Hta_5,$G80&gt;=Hba_5,Input!Z$25&lt;&gt;""),Input!$B$25&amp;";",""),IF(AND($G80&lt;Hta_6,$G80&gt;=Hba_6,Input!Z$26&lt;&gt;""),Input!$B$26&amp;";",""),IF(AND($G80&lt;Hta_7,$G80&gt;=Hba_7,Input!Z$27&lt;&gt;""),Input!$B$27&amp;";",""),IF(AND($G80&lt;Hta_8,$G80&gt;=Hba_8,Input!Z$28&lt;&gt;""),Input!$B$28&amp;";",""),IF(AND($G80&lt;Hta_9,$G80&gt;=Hba_9,Input!Z$29&lt;&gt;""),Input!$B$29&amp;";",""),IF(AND($G80&lt;Hta_10,$G80&gt;=Hba_10,Input!Z$30&lt;&gt;""),Input!$B$30&amp;";",""),IF(AND($G80&lt;Hta_11,$G80&gt;=Hba_11,Input!Z$31&lt;&gt;""),Input!$B$31&amp;";",""),IF(AND($G80&lt;Hta_12,$G80&gt;=Hba_12,Input!Z$32&lt;&gt;""),Input!$B$32&amp;";",""),IF(AND($G80&lt;Hta_13,$G80&gt;=Hba_13,Input!Z$33&lt;&gt;""),Input!$B$33&amp;";",""),IF(AND($G80&lt;Hta_14,$G80&gt;=Hba_14,Input!Z$34&lt;&gt;""),Input!$B$34&amp;";",""),IF(AND($G80&lt;Hta_15,$G80&gt;=Hba_15,Input!Z$35&lt;&gt;""),Input!$B$35&amp;";",""),IF(AND($G80&lt;Hta_16,$G80&gt;=Hba_16,Input!Z$36&lt;&gt;""),Input!$B$36&amp;";",""),IF(AND($G80&lt;Hta_17,$G80&gt;=Hba_17,Input!Z$37&lt;&gt;""),Input!$B$37&amp;";",""),IF(AND($G80&lt;Hta_18,$G80&gt;=Hba_18,Input!Z$38&lt;&gt;""),Input!$B$38&amp;";",""),IF(AND($G80&lt;Hta_19,$G80&gt;=Hba_19,Input!Z$39&lt;&gt;""),Input!$B$39&amp;";",""),IF(AND($G80&lt;Hta_20,$G80&gt;=Hba_20,Input!Z$40&lt;&gt;""),Input!$B$40&amp;";",""),IF(AND($G80&lt;Hta_21,$G80&gt;=Hba_21,Input!Z$41&lt;&gt;""),Input!$B$41&amp;";",""),IF(AND($G80&lt;Hta_22,$G80&gt;=Hba_22,Input!Z$42&lt;&gt;""),Input!$B$42&amp;";",""),IF(AND($G80&lt;Hta_23,$G80&gt;=Hba_23,Input!Z$43&lt;&gt;""),Input!$B$43&amp;";",""),IF(AND($G80&lt;Hta_24,$G80&gt;=Hba_24,Input!Z$44&lt;&gt;""),Input!$B$44&amp;";",""),IF(AND($G80&lt;Hta_25,$G80&gt;=Hba_25,Input!Z$45&lt;&gt;""),Input!$B$45&amp;";",""),IF(AND($G80&lt;Hta_26,$G80&gt;=Hba_26,Input!Z$46&lt;&gt;""),Input!$B$46&amp;";",""),IF(AND($G80&lt;Hta_27,$G80&gt;=Hba_27,Input!Z$47&lt;&gt;""),Input!$B$47&amp;";",""),IF(AND($G80&lt;Hta_28,$G80&gt;=Hba_28,Input!Z$48&lt;&gt;""),Input!$B$48&amp;";",""),IF(AND($G80&lt;Hta_29,$G80&gt;=Hba_29,Input!Z$49&lt;&gt;""),Input!$B$49&amp;";",""),IF(AND($G80&lt;Hta_30,$G80&gt;=Hba_30,Input!Z$50&lt;&gt;""),Input!$B$50&amp;";","")),"")</f>
        <v/>
      </c>
      <c r="CB80" s="25" t="str">
        <f>IFERROR(CONCATENATE(IF(AND($G80&lt;Hta_1,$G80&gt;=Hba_1,Input!AA$21&lt;&gt;""),Input!$B$21&amp;";",""),IF(AND($G80&lt;Hta_2,$G80&gt;=Hba_2,Input!AA$22&lt;&gt;""),Input!$B$22&amp;";",""),IF(AND($G80&lt;Hta_3,$G80&gt;=Hba_3,Input!AA$23&lt;&gt;""),Input!$B$23&amp;";",""),IF(AND($G80&lt;Hta_4,$G80&gt;=Hba_4,Input!AA$24&lt;&gt;""),Input!$B$24&amp;";",""),IF(AND($G80&lt;Hta_5,$G80&gt;=Hba_5,Input!AA$25&lt;&gt;""),Input!$B$25&amp;";",""),IF(AND($G80&lt;Hta_6,$G80&gt;=Hba_6,Input!AA$26&lt;&gt;""),Input!$B$26&amp;";",""),IF(AND($G80&lt;Hta_7,$G80&gt;=Hba_7,Input!AA$27&lt;&gt;""),Input!$B$27&amp;";",""),IF(AND($G80&lt;Hta_8,$G80&gt;=Hba_8,Input!AA$28&lt;&gt;""),Input!$B$28&amp;";",""),IF(AND($G80&lt;Hta_9,$G80&gt;=Hba_9,Input!AA$29&lt;&gt;""),Input!$B$29&amp;";",""),IF(AND($G80&lt;Hta_10,$G80&gt;=Hba_10,Input!AA$30&lt;&gt;""),Input!$B$30&amp;";",""),IF(AND($G80&lt;Hta_11,$G80&gt;=Hba_11,Input!AA$31&lt;&gt;""),Input!$B$31&amp;";",""),IF(AND($G80&lt;Hta_12,$G80&gt;=Hba_12,Input!AA$32&lt;&gt;""),Input!$B$32&amp;";",""),IF(AND($G80&lt;Hta_13,$G80&gt;=Hba_13,Input!AA$33&lt;&gt;""),Input!$B$33&amp;";",""),IF(AND($G80&lt;Hta_14,$G80&gt;=Hba_14,Input!AA$34&lt;&gt;""),Input!$B$34&amp;";",""),IF(AND($G80&lt;Hta_15,$G80&gt;=Hba_15,Input!AA$35&lt;&gt;""),Input!$B$35&amp;";",""),IF(AND($G80&lt;Hta_16,$G80&gt;=Hba_16,Input!AA$36&lt;&gt;""),Input!$B$36&amp;";",""),IF(AND($G80&lt;Hta_17,$G80&gt;=Hba_17,Input!AA$37&lt;&gt;""),Input!$B$37&amp;";",""),IF(AND($G80&lt;Hta_18,$G80&gt;=Hba_18,Input!AA$38&lt;&gt;""),Input!$B$38&amp;";",""),IF(AND($G80&lt;Hta_19,$G80&gt;=Hba_19,Input!AA$39&lt;&gt;""),Input!$B$39&amp;";",""),IF(AND($G80&lt;Hta_20,$G80&gt;=Hba_20,Input!AA$40&lt;&gt;""),Input!$B$40&amp;";",""),IF(AND($G80&lt;Hta_21,$G80&gt;=Hba_21,Input!AA$41&lt;&gt;""),Input!$B$41&amp;";",""),IF(AND($G80&lt;Hta_22,$G80&gt;=Hba_22,Input!AA$42&lt;&gt;""),Input!$B$42&amp;";",""),IF(AND($G80&lt;Hta_23,$G80&gt;=Hba_23,Input!AA$43&lt;&gt;""),Input!$B$43&amp;";",""),IF(AND($G80&lt;Hta_24,$G80&gt;=Hba_24,Input!AA$44&lt;&gt;""),Input!$B$44&amp;";",""),IF(AND($G80&lt;Hta_25,$G80&gt;=Hba_25,Input!AA$45&lt;&gt;""),Input!$B$45&amp;";",""),IF(AND($G80&lt;Hta_26,$G80&gt;=Hba_26,Input!AA$46&lt;&gt;""),Input!$B$46&amp;";",""),IF(AND($G80&lt;Hta_27,$G80&gt;=Hba_27,Input!AA$47&lt;&gt;""),Input!$B$47&amp;";",""),IF(AND($G80&lt;Hta_28,$G80&gt;=Hba_28,Input!AA$48&lt;&gt;""),Input!$B$48&amp;";",""),IF(AND($G80&lt;Hta_29,$G80&gt;=Hba_29,Input!AA$49&lt;&gt;""),Input!$B$49&amp;";",""),IF(AND($G80&lt;Hta_30,$G80&gt;=Hba_30,Input!AA$50&lt;&gt;""),Input!$B$50&amp;";","")),"")</f>
        <v/>
      </c>
      <c r="CC80" s="25" t="str">
        <f>IFERROR(CONCATENATE(IF(AND($G80&lt;Hta_1,$G80&gt;=Hba_1,Input!AB$21&lt;&gt;""),Input!$B$21&amp;";",""),IF(AND($G80&lt;Hta_2,$G80&gt;=Hba_2,Input!AB$22&lt;&gt;""),Input!$B$22&amp;";",""),IF(AND($G80&lt;Hta_3,$G80&gt;=Hba_3,Input!AB$23&lt;&gt;""),Input!$B$23&amp;";",""),IF(AND($G80&lt;Hta_4,$G80&gt;=Hba_4,Input!AB$24&lt;&gt;""),Input!$B$24&amp;";",""),IF(AND($G80&lt;Hta_5,$G80&gt;=Hba_5,Input!AB$25&lt;&gt;""),Input!$B$25&amp;";",""),IF(AND($G80&lt;Hta_6,$G80&gt;=Hba_6,Input!AB$26&lt;&gt;""),Input!$B$26&amp;";",""),IF(AND($G80&lt;Hta_7,$G80&gt;=Hba_7,Input!AB$27&lt;&gt;""),Input!$B$27&amp;";",""),IF(AND($G80&lt;Hta_8,$G80&gt;=Hba_8,Input!AB$28&lt;&gt;""),Input!$B$28&amp;";",""),IF(AND($G80&lt;Hta_9,$G80&gt;=Hba_9,Input!AB$29&lt;&gt;""),Input!$B$29&amp;";",""),IF(AND($G80&lt;Hta_10,$G80&gt;=Hba_10,Input!AB$30&lt;&gt;""),Input!$B$30&amp;";",""),IF(AND($G80&lt;Hta_11,$G80&gt;=Hba_11,Input!AB$31&lt;&gt;""),Input!$B$31&amp;";",""),IF(AND($G80&lt;Hta_12,$G80&gt;=Hba_12,Input!AB$32&lt;&gt;""),Input!$B$32&amp;";",""),IF(AND($G80&lt;Hta_13,$G80&gt;=Hba_13,Input!AB$33&lt;&gt;""),Input!$B$33&amp;";",""),IF(AND($G80&lt;Hta_14,$G80&gt;=Hba_14,Input!AB$34&lt;&gt;""),Input!$B$34&amp;";",""),IF(AND($G80&lt;Hta_15,$G80&gt;=Hba_15,Input!AB$35&lt;&gt;""),Input!$B$35&amp;";",""),IF(AND($G80&lt;Hta_16,$G80&gt;=Hba_16,Input!AB$36&lt;&gt;""),Input!$B$36&amp;";",""),IF(AND($G80&lt;Hta_17,$G80&gt;=Hba_17,Input!AB$37&lt;&gt;""),Input!$B$37&amp;";",""),IF(AND($G80&lt;Hta_18,$G80&gt;=Hba_18,Input!AB$38&lt;&gt;""),Input!$B$38&amp;";",""),IF(AND($G80&lt;Hta_19,$G80&gt;=Hba_19,Input!AB$39&lt;&gt;""),Input!$B$39&amp;";",""),IF(AND($G80&lt;Hta_20,$G80&gt;=Hba_20,Input!AB$40&lt;&gt;""),Input!$B$40&amp;";",""),IF(AND($G80&lt;Hta_21,$G80&gt;=Hba_21,Input!AB$41&lt;&gt;""),Input!$B$41&amp;";",""),IF(AND($G80&lt;Hta_22,$G80&gt;=Hba_22,Input!AB$42&lt;&gt;""),Input!$B$42&amp;";",""),IF(AND($G80&lt;Hta_23,$G80&gt;=Hba_23,Input!AB$43&lt;&gt;""),Input!$B$43&amp;";",""),IF(AND($G80&lt;Hta_24,$G80&gt;=Hba_24,Input!AB$44&lt;&gt;""),Input!$B$44&amp;";",""),IF(AND($G80&lt;Hta_25,$G80&gt;=Hba_25,Input!AB$45&lt;&gt;""),Input!$B$45&amp;";",""),IF(AND($G80&lt;Hta_26,$G80&gt;=Hba_26,Input!AB$46&lt;&gt;""),Input!$B$46&amp;";",""),IF(AND($G80&lt;Hta_27,$G80&gt;=Hba_27,Input!AB$47&lt;&gt;""),Input!$B$47&amp;";",""),IF(AND($G80&lt;Hta_28,$G80&gt;=Hba_28,Input!AB$48&lt;&gt;""),Input!$B$48&amp;";",""),IF(AND($G80&lt;Hta_29,$G80&gt;=Hba_29,Input!AB$49&lt;&gt;""),Input!$B$49&amp;";",""),IF(AND($G80&lt;Hta_30,$G80&gt;=Hba_30,Input!AB$50&lt;&gt;""),Input!$B$50&amp;";","")),"")</f>
        <v/>
      </c>
      <c r="CD80" s="25" t="str">
        <f>IFERROR(CONCATENATE(IF(AND($G80&lt;Hta_1,$G80&gt;=Hba_1,Input!AC$21&lt;&gt;""),Input!$B$21&amp;";",""),IF(AND($G80&lt;Hta_2,$G80&gt;=Hba_2,Input!AC$22&lt;&gt;""),Input!$B$22&amp;";",""),IF(AND($G80&lt;Hta_3,$G80&gt;=Hba_3,Input!AC$23&lt;&gt;""),Input!$B$23&amp;";",""),IF(AND($G80&lt;Hta_4,$G80&gt;=Hba_4,Input!AC$24&lt;&gt;""),Input!$B$24&amp;";",""),IF(AND($G80&lt;Hta_5,$G80&gt;=Hba_5,Input!AC$25&lt;&gt;""),Input!$B$25&amp;";",""),IF(AND($G80&lt;Hta_6,$G80&gt;=Hba_6,Input!AC$26&lt;&gt;""),Input!$B$26&amp;";",""),IF(AND($G80&lt;Hta_7,$G80&gt;=Hba_7,Input!AC$27&lt;&gt;""),Input!$B$27&amp;";",""),IF(AND($G80&lt;Hta_8,$G80&gt;=Hba_8,Input!AC$28&lt;&gt;""),Input!$B$28&amp;";",""),IF(AND($G80&lt;Hta_9,$G80&gt;=Hba_9,Input!AC$29&lt;&gt;""),Input!$B$29&amp;";",""),IF(AND($G80&lt;Hta_10,$G80&gt;=Hba_10,Input!AC$30&lt;&gt;""),Input!$B$30&amp;";",""),IF(AND($G80&lt;Hta_11,$G80&gt;=Hba_11,Input!AC$31&lt;&gt;""),Input!$B$31&amp;";",""),IF(AND($G80&lt;Hta_12,$G80&gt;=Hba_12,Input!AC$32&lt;&gt;""),Input!$B$32&amp;";",""),IF(AND($G80&lt;Hta_13,$G80&gt;=Hba_13,Input!AC$33&lt;&gt;""),Input!$B$33&amp;";",""),IF(AND($G80&lt;Hta_14,$G80&gt;=Hba_14,Input!AC$34&lt;&gt;""),Input!$B$34&amp;";",""),IF(AND($G80&lt;Hta_15,$G80&gt;=Hba_15,Input!AC$35&lt;&gt;""),Input!$B$35&amp;";",""),IF(AND($G80&lt;Hta_16,$G80&gt;=Hba_16,Input!AC$36&lt;&gt;""),Input!$B$36&amp;";",""),IF(AND($G80&lt;Hta_17,$G80&gt;=Hba_17,Input!AC$37&lt;&gt;""),Input!$B$37&amp;";",""),IF(AND($G80&lt;Hta_18,$G80&gt;=Hba_18,Input!AC$38&lt;&gt;""),Input!$B$38&amp;";",""),IF(AND($G80&lt;Hta_19,$G80&gt;=Hba_19,Input!AC$39&lt;&gt;""),Input!$B$39&amp;";",""),IF(AND($G80&lt;Hta_20,$G80&gt;=Hba_20,Input!AC$40&lt;&gt;""),Input!$B$40&amp;";",""),IF(AND($G80&lt;Hta_21,$G80&gt;=Hba_21,Input!AC$41&lt;&gt;""),Input!$B$41&amp;";",""),IF(AND($G80&lt;Hta_22,$G80&gt;=Hba_22,Input!AC$42&lt;&gt;""),Input!$B$42&amp;";",""),IF(AND($G80&lt;Hta_23,$G80&gt;=Hba_23,Input!AC$43&lt;&gt;""),Input!$B$43&amp;";",""),IF(AND($G80&lt;Hta_24,$G80&gt;=Hba_24,Input!AC$44&lt;&gt;""),Input!$B$44&amp;";",""),IF(AND($G80&lt;Hta_25,$G80&gt;=Hba_25,Input!AC$45&lt;&gt;""),Input!$B$45&amp;";",""),IF(AND($G80&lt;Hta_26,$G80&gt;=Hba_26,Input!AC$46&lt;&gt;""),Input!$B$46&amp;";",""),IF(AND($G80&lt;Hta_27,$G80&gt;=Hba_27,Input!AC$47&lt;&gt;""),Input!$B$47&amp;";",""),IF(AND($G80&lt;Hta_28,$G80&gt;=Hba_28,Input!AC$48&lt;&gt;""),Input!$B$48&amp;";",""),IF(AND($G80&lt;Hta_29,$G80&gt;=Hba_29,Input!AC$49&lt;&gt;""),Input!$B$49&amp;";",""),IF(AND($G80&lt;Hta_30,$G80&gt;=Hba_30,Input!AC$50&lt;&gt;""),Input!$B$50&amp;";","")),"")</f>
        <v/>
      </c>
      <c r="CE80" s="25" t="str">
        <f>IFERROR(CONCATENATE(IF(AND($G80&lt;Hta_1,$G80&gt;=Hba_1,Input!AD$21&lt;&gt;""),Input!$B$21&amp;";",""),IF(AND($G80&lt;Hta_2,$G80&gt;=Hba_2,Input!AD$22&lt;&gt;""),Input!$B$22&amp;";",""),IF(AND($G80&lt;Hta_3,$G80&gt;=Hba_3,Input!AD$23&lt;&gt;""),Input!$B$23&amp;";",""),IF(AND($G80&lt;Hta_4,$G80&gt;=Hba_4,Input!AD$24&lt;&gt;""),Input!$B$24&amp;";",""),IF(AND($G80&lt;Hta_5,$G80&gt;=Hba_5,Input!AD$25&lt;&gt;""),Input!$B$25&amp;";",""),IF(AND($G80&lt;Hta_6,$G80&gt;=Hba_6,Input!AD$26&lt;&gt;""),Input!$B$26&amp;";",""),IF(AND($G80&lt;Hta_7,$G80&gt;=Hba_7,Input!AD$27&lt;&gt;""),Input!$B$27&amp;";",""),IF(AND($G80&lt;Hta_8,$G80&gt;=Hba_8,Input!AD$28&lt;&gt;""),Input!$B$28&amp;";",""),IF(AND($G80&lt;Hta_9,$G80&gt;=Hba_9,Input!AD$29&lt;&gt;""),Input!$B$29&amp;";",""),IF(AND($G80&lt;Hta_10,$G80&gt;=Hba_10,Input!AD$30&lt;&gt;""),Input!$B$30&amp;";",""),IF(AND($G80&lt;Hta_11,$G80&gt;=Hba_11,Input!AD$31&lt;&gt;""),Input!$B$31&amp;";",""),IF(AND($G80&lt;Hta_12,$G80&gt;=Hba_12,Input!AD$32&lt;&gt;""),Input!$B$32&amp;";",""),IF(AND($G80&lt;Hta_13,$G80&gt;=Hba_13,Input!AD$33&lt;&gt;""),Input!$B$33&amp;";",""),IF(AND($G80&lt;Hta_14,$G80&gt;=Hba_14,Input!AD$34&lt;&gt;""),Input!$B$34&amp;";",""),IF(AND($G80&lt;Hta_15,$G80&gt;=Hba_15,Input!AD$35&lt;&gt;""),Input!$B$35&amp;";",""),IF(AND($G80&lt;Hta_16,$G80&gt;=Hba_16,Input!AD$36&lt;&gt;""),Input!$B$36&amp;";",""),IF(AND($G80&lt;Hta_17,$G80&gt;=Hba_17,Input!AD$37&lt;&gt;""),Input!$B$37&amp;";",""),IF(AND($G80&lt;Hta_18,$G80&gt;=Hba_18,Input!AD$38&lt;&gt;""),Input!$B$38&amp;";",""),IF(AND($G80&lt;Hta_19,$G80&gt;=Hba_19,Input!AD$39&lt;&gt;""),Input!$B$39&amp;";",""),IF(AND($G80&lt;Hta_20,$G80&gt;=Hba_20,Input!AD$40&lt;&gt;""),Input!$B$40&amp;";",""),IF(AND($G80&lt;Hta_21,$G80&gt;=Hba_21,Input!AD$41&lt;&gt;""),Input!$B$41&amp;";",""),IF(AND($G80&lt;Hta_22,$G80&gt;=Hba_22,Input!AD$42&lt;&gt;""),Input!$B$42&amp;";",""),IF(AND($G80&lt;Hta_23,$G80&gt;=Hba_23,Input!AD$43&lt;&gt;""),Input!$B$43&amp;";",""),IF(AND($G80&lt;Hta_24,$G80&gt;=Hba_24,Input!AD$44&lt;&gt;""),Input!$B$44&amp;";",""),IF(AND($G80&lt;Hta_25,$G80&gt;=Hba_25,Input!AD$45&lt;&gt;""),Input!$B$45&amp;";",""),IF(AND($G80&lt;Hta_26,$G80&gt;=Hba_26,Input!AD$46&lt;&gt;""),Input!$B$46&amp;";",""),IF(AND($G80&lt;Hta_27,$G80&gt;=Hba_27,Input!AD$47&lt;&gt;""),Input!$B$47&amp;";",""),IF(AND($G80&lt;Hta_28,$G80&gt;=Hba_28,Input!AD$48&lt;&gt;""),Input!$B$48&amp;";",""),IF(AND($G80&lt;Hta_29,$G80&gt;=Hba_29,Input!AD$49&lt;&gt;""),Input!$B$49&amp;";",""),IF(AND($G80&lt;Hta_30,$G80&gt;=Hba_30,Input!AD$50&lt;&gt;""),Input!$B$50&amp;";","")),"")</f>
        <v/>
      </c>
      <c r="CF80" s="25" t="str">
        <f>IFERROR(CONCATENATE(IF(AND($G80&lt;Hta_1,$G80&gt;=Hba_1,Input!AE$21&lt;&gt;""),Input!$B$21&amp;";",""),IF(AND($G80&lt;Hta_2,$G80&gt;=Hba_2,Input!AE$22&lt;&gt;""),Input!$B$22&amp;";",""),IF(AND($G80&lt;Hta_3,$G80&gt;=Hba_3,Input!AE$23&lt;&gt;""),Input!$B$23&amp;";",""),IF(AND($G80&lt;Hta_4,$G80&gt;=Hba_4,Input!AE$24&lt;&gt;""),Input!$B$24&amp;";",""),IF(AND($G80&lt;Hta_5,$G80&gt;=Hba_5,Input!AE$25&lt;&gt;""),Input!$B$25&amp;";",""),IF(AND($G80&lt;Hta_6,$G80&gt;=Hba_6,Input!AE$26&lt;&gt;""),Input!$B$26&amp;";",""),IF(AND($G80&lt;Hta_7,$G80&gt;=Hba_7,Input!AE$27&lt;&gt;""),Input!$B$27&amp;";",""),IF(AND($G80&lt;Hta_8,$G80&gt;=Hba_8,Input!AE$28&lt;&gt;""),Input!$B$28&amp;";",""),IF(AND($G80&lt;Hta_9,$G80&gt;=Hba_9,Input!AE$29&lt;&gt;""),Input!$B$29&amp;";",""),IF(AND($G80&lt;Hta_10,$G80&gt;=Hba_10,Input!AE$30&lt;&gt;""),Input!$B$30&amp;";",""),IF(AND($G80&lt;Hta_11,$G80&gt;=Hba_11,Input!AE$31&lt;&gt;""),Input!$B$31&amp;";",""),IF(AND($G80&lt;Hta_12,$G80&gt;=Hba_12,Input!AE$32&lt;&gt;""),Input!$B$32&amp;";",""),IF(AND($G80&lt;Hta_13,$G80&gt;=Hba_13,Input!AE$33&lt;&gt;""),Input!$B$33&amp;";",""),IF(AND($G80&lt;Hta_14,$G80&gt;=Hba_14,Input!AE$34&lt;&gt;""),Input!$B$34&amp;";",""),IF(AND($G80&lt;Hta_15,$G80&gt;=Hba_15,Input!AE$35&lt;&gt;""),Input!$B$35&amp;";",""),IF(AND($G80&lt;Hta_16,$G80&gt;=Hba_16,Input!AE$36&lt;&gt;""),Input!$B$36&amp;";",""),IF(AND($G80&lt;Hta_17,$G80&gt;=Hba_17,Input!AE$37&lt;&gt;""),Input!$B$37&amp;";",""),IF(AND($G80&lt;Hta_18,$G80&gt;=Hba_18,Input!AE$38&lt;&gt;""),Input!$B$38&amp;";",""),IF(AND($G80&lt;Hta_19,$G80&gt;=Hba_19,Input!AE$39&lt;&gt;""),Input!$B$39&amp;";",""),IF(AND($G80&lt;Hta_20,$G80&gt;=Hba_20,Input!AE$40&lt;&gt;""),Input!$B$40&amp;";",""),IF(AND($G80&lt;Hta_21,$G80&gt;=Hba_21,Input!AE$41&lt;&gt;""),Input!$B$41&amp;";",""),IF(AND($G80&lt;Hta_22,$G80&gt;=Hba_22,Input!AE$42&lt;&gt;""),Input!$B$42&amp;";",""),IF(AND($G80&lt;Hta_23,$G80&gt;=Hba_23,Input!AE$43&lt;&gt;""),Input!$B$43&amp;";",""),IF(AND($G80&lt;Hta_24,$G80&gt;=Hba_24,Input!AE$44&lt;&gt;""),Input!$B$44&amp;";",""),IF(AND($G80&lt;Hta_25,$G80&gt;=Hba_25,Input!AE$45&lt;&gt;""),Input!$B$45&amp;";",""),IF(AND($G80&lt;Hta_26,$G80&gt;=Hba_26,Input!AE$46&lt;&gt;""),Input!$B$46&amp;";",""),IF(AND($G80&lt;Hta_27,$G80&gt;=Hba_27,Input!AE$47&lt;&gt;""),Input!$B$47&amp;";",""),IF(AND($G80&lt;Hta_28,$G80&gt;=Hba_28,Input!AE$48&lt;&gt;""),Input!$B$48&amp;";",""),IF(AND($G80&lt;Hta_29,$G80&gt;=Hba_29,Input!AE$49&lt;&gt;""),Input!$B$49&amp;";",""),IF(AND($G80&lt;Hta_30,$G80&gt;=Hba_30,Input!AE$50&lt;&gt;""),Input!$B$50&amp;";","")),"")</f>
        <v/>
      </c>
      <c r="CG80" s="25" t="str">
        <f>IFERROR(CONCATENATE(IF(AND($G80&lt;Hta_1,$G80&gt;=Hba_1,Input!AF$21&lt;&gt;""),Input!$B$21&amp;";",""),IF(AND($G80&lt;Hta_2,$G80&gt;=Hba_2,Input!AF$22&lt;&gt;""),Input!$B$22&amp;";",""),IF(AND($G80&lt;Hta_3,$G80&gt;=Hba_3,Input!AF$23&lt;&gt;""),Input!$B$23&amp;";",""),IF(AND($G80&lt;Hta_4,$G80&gt;=Hba_4,Input!AF$24&lt;&gt;""),Input!$B$24&amp;";",""),IF(AND($G80&lt;Hta_5,$G80&gt;=Hba_5,Input!AF$25&lt;&gt;""),Input!$B$25&amp;";",""),IF(AND($G80&lt;Hta_6,$G80&gt;=Hba_6,Input!AF$26&lt;&gt;""),Input!$B$26&amp;";",""),IF(AND($G80&lt;Hta_7,$G80&gt;=Hba_7,Input!AF$27&lt;&gt;""),Input!$B$27&amp;";",""),IF(AND($G80&lt;Hta_8,$G80&gt;=Hba_8,Input!AF$28&lt;&gt;""),Input!$B$28&amp;";",""),IF(AND($G80&lt;Hta_9,$G80&gt;=Hba_9,Input!AF$29&lt;&gt;""),Input!$B$29&amp;";",""),IF(AND($G80&lt;Hta_10,$G80&gt;=Hba_10,Input!AF$30&lt;&gt;""),Input!$B$30&amp;";",""),IF(AND($G80&lt;Hta_11,$G80&gt;=Hba_11,Input!AF$31&lt;&gt;""),Input!$B$31&amp;";",""),IF(AND($G80&lt;Hta_12,$G80&gt;=Hba_12,Input!AF$32&lt;&gt;""),Input!$B$32&amp;";",""),IF(AND($G80&lt;Hta_13,$G80&gt;=Hba_13,Input!AF$33&lt;&gt;""),Input!$B$33&amp;";",""),IF(AND($G80&lt;Hta_14,$G80&gt;=Hba_14,Input!AF$34&lt;&gt;""),Input!$B$34&amp;";",""),IF(AND($G80&lt;Hta_15,$G80&gt;=Hba_15,Input!AF$35&lt;&gt;""),Input!$B$35&amp;";",""),IF(AND($G80&lt;Hta_16,$G80&gt;=Hba_16,Input!AF$36&lt;&gt;""),Input!$B$36&amp;";",""),IF(AND($G80&lt;Hta_17,$G80&gt;=Hba_17,Input!AF$37&lt;&gt;""),Input!$B$37&amp;";",""),IF(AND($G80&lt;Hta_18,$G80&gt;=Hba_18,Input!AF$38&lt;&gt;""),Input!$B$38&amp;";",""),IF(AND($G80&lt;Hta_19,$G80&gt;=Hba_19,Input!AF$39&lt;&gt;""),Input!$B$39&amp;";",""),IF(AND($G80&lt;Hta_20,$G80&gt;=Hba_20,Input!AF$40&lt;&gt;""),Input!$B$40&amp;";",""),IF(AND($G80&lt;Hta_21,$G80&gt;=Hba_21,Input!AF$41&lt;&gt;""),Input!$B$41&amp;";",""),IF(AND($G80&lt;Hta_22,$G80&gt;=Hba_22,Input!AF$42&lt;&gt;""),Input!$B$42&amp;";",""),IF(AND($G80&lt;Hta_23,$G80&gt;=Hba_23,Input!AF$43&lt;&gt;""),Input!$B$43&amp;";",""),IF(AND($G80&lt;Hta_24,$G80&gt;=Hba_24,Input!AF$44&lt;&gt;""),Input!$B$44&amp;";",""),IF(AND($G80&lt;Hta_25,$G80&gt;=Hba_25,Input!AF$45&lt;&gt;""),Input!$B$45&amp;";",""),IF(AND($G80&lt;Hta_26,$G80&gt;=Hba_26,Input!AF$46&lt;&gt;""),Input!$B$46&amp;";",""),IF(AND($G80&lt;Hta_27,$G80&gt;=Hba_27,Input!AF$47&lt;&gt;""),Input!$B$47&amp;";",""),IF(AND($G80&lt;Hta_28,$G80&gt;=Hba_28,Input!AF$48&lt;&gt;""),Input!$B$48&amp;";",""),IF(AND($G80&lt;Hta_29,$G80&gt;=Hba_29,Input!AF$49&lt;&gt;""),Input!$B$49&amp;";",""),IF(AND($G80&lt;Hta_30,$G80&gt;=Hba_30,Input!AF$50&lt;&gt;""),Input!$B$50&amp;";","")),"")</f>
        <v/>
      </c>
      <c r="CH80" s="25" t="str">
        <f>IFERROR(CONCATENATE(IF(AND($G80&lt;Hta_1,$G80&gt;=Hba_1,Input!AG$21&lt;&gt;""),Input!$B$21&amp;";",""),IF(AND($G80&lt;Hta_2,$G80&gt;=Hba_2,Input!AG$22&lt;&gt;""),Input!$B$22&amp;";",""),IF(AND($G80&lt;Hta_3,$G80&gt;=Hba_3,Input!AG$23&lt;&gt;""),Input!$B$23&amp;";",""),IF(AND($G80&lt;Hta_4,$G80&gt;=Hba_4,Input!AG$24&lt;&gt;""),Input!$B$24&amp;";",""),IF(AND($G80&lt;Hta_5,$G80&gt;=Hba_5,Input!AG$25&lt;&gt;""),Input!$B$25&amp;";",""),IF(AND($G80&lt;Hta_6,$G80&gt;=Hba_6,Input!AG$26&lt;&gt;""),Input!$B$26&amp;";",""),IF(AND($G80&lt;Hta_7,$G80&gt;=Hba_7,Input!AG$27&lt;&gt;""),Input!$B$27&amp;";",""),IF(AND($G80&lt;Hta_8,$G80&gt;=Hba_8,Input!AG$28&lt;&gt;""),Input!$B$28&amp;";",""),IF(AND($G80&lt;Hta_9,$G80&gt;=Hba_9,Input!AG$29&lt;&gt;""),Input!$B$29&amp;";",""),IF(AND($G80&lt;Hta_10,$G80&gt;=Hba_10,Input!AG$30&lt;&gt;""),Input!$B$30&amp;";",""),IF(AND($G80&lt;Hta_11,$G80&gt;=Hba_11,Input!AG$31&lt;&gt;""),Input!$B$31&amp;";",""),IF(AND($G80&lt;Hta_12,$G80&gt;=Hba_12,Input!AG$32&lt;&gt;""),Input!$B$32&amp;";",""),IF(AND($G80&lt;Hta_13,$G80&gt;=Hba_13,Input!AG$33&lt;&gt;""),Input!$B$33&amp;";",""),IF(AND($G80&lt;Hta_14,$G80&gt;=Hba_14,Input!AG$34&lt;&gt;""),Input!$B$34&amp;";",""),IF(AND($G80&lt;Hta_15,$G80&gt;=Hba_15,Input!AG$35&lt;&gt;""),Input!$B$35&amp;";",""),IF(AND($G80&lt;Hta_16,$G80&gt;=Hba_16,Input!AG$36&lt;&gt;""),Input!$B$36&amp;";",""),IF(AND($G80&lt;Hta_17,$G80&gt;=Hba_17,Input!AG$37&lt;&gt;""),Input!$B$37&amp;";",""),IF(AND($G80&lt;Hta_18,$G80&gt;=Hba_18,Input!AG$38&lt;&gt;""),Input!$B$38&amp;";",""),IF(AND($G80&lt;Hta_19,$G80&gt;=Hba_19,Input!AG$39&lt;&gt;""),Input!$B$39&amp;";",""),IF(AND($G80&lt;Hta_20,$G80&gt;=Hba_20,Input!AG$40&lt;&gt;""),Input!$B$40&amp;";",""),IF(AND($G80&lt;Hta_21,$G80&gt;=Hba_21,Input!AG$41&lt;&gt;""),Input!$B$41&amp;";",""),IF(AND($G80&lt;Hta_22,$G80&gt;=Hba_22,Input!AG$42&lt;&gt;""),Input!$B$42&amp;";",""),IF(AND($G80&lt;Hta_23,$G80&gt;=Hba_23,Input!AG$43&lt;&gt;""),Input!$B$43&amp;";",""),IF(AND($G80&lt;Hta_24,$G80&gt;=Hba_24,Input!AG$44&lt;&gt;""),Input!$B$44&amp;";",""),IF(AND($G80&lt;Hta_25,$G80&gt;=Hba_25,Input!AG$45&lt;&gt;""),Input!$B$45&amp;";",""),IF(AND($G80&lt;Hta_26,$G80&gt;=Hba_26,Input!AG$46&lt;&gt;""),Input!$B$46&amp;";",""),IF(AND($G80&lt;Hta_27,$G80&gt;=Hba_27,Input!AG$47&lt;&gt;""),Input!$B$47&amp;";",""),IF(AND($G80&lt;Hta_28,$G80&gt;=Hba_28,Input!AG$48&lt;&gt;""),Input!$B$48&amp;";",""),IF(AND($G80&lt;Hta_29,$G80&gt;=Hba_29,Input!AG$49&lt;&gt;""),Input!$B$49&amp;";",""),IF(AND($G80&lt;Hta_30,$G80&gt;=Hba_30,Input!AG$50&lt;&gt;""),Input!$B$50&amp;";","")),"")</f>
        <v/>
      </c>
      <c r="CI80" s="25" t="str">
        <f>IFERROR(CONCATENATE(IF(AND($G80&lt;Hta_1,$G80&gt;=Hba_1,Input!AH$21&lt;&gt;""),Input!$B$21&amp;";",""),IF(AND($G80&lt;Hta_2,$G80&gt;=Hba_2,Input!AH$22&lt;&gt;""),Input!$B$22&amp;";",""),IF(AND($G80&lt;Hta_3,$G80&gt;=Hba_3,Input!AH$23&lt;&gt;""),Input!$B$23&amp;";",""),IF(AND($G80&lt;Hta_4,$G80&gt;=Hba_4,Input!AH$24&lt;&gt;""),Input!$B$24&amp;";",""),IF(AND($G80&lt;Hta_5,$G80&gt;=Hba_5,Input!AH$25&lt;&gt;""),Input!$B$25&amp;";",""),IF(AND($G80&lt;Hta_6,$G80&gt;=Hba_6,Input!AH$26&lt;&gt;""),Input!$B$26&amp;";",""),IF(AND($G80&lt;Hta_7,$G80&gt;=Hba_7,Input!AH$27&lt;&gt;""),Input!$B$27&amp;";",""),IF(AND($G80&lt;Hta_8,$G80&gt;=Hba_8,Input!AH$28&lt;&gt;""),Input!$B$28&amp;";",""),IF(AND($G80&lt;Hta_9,$G80&gt;=Hba_9,Input!AH$29&lt;&gt;""),Input!$B$29&amp;";",""),IF(AND($G80&lt;Hta_10,$G80&gt;=Hba_10,Input!AH$30&lt;&gt;""),Input!$B$30&amp;";",""),IF(AND($G80&lt;Hta_11,$G80&gt;=Hba_11,Input!AH$31&lt;&gt;""),Input!$B$31&amp;";",""),IF(AND($G80&lt;Hta_12,$G80&gt;=Hba_12,Input!AH$32&lt;&gt;""),Input!$B$32&amp;";",""),IF(AND($G80&lt;Hta_13,$G80&gt;=Hba_13,Input!AH$33&lt;&gt;""),Input!$B$33&amp;";",""),IF(AND($G80&lt;Hta_14,$G80&gt;=Hba_14,Input!AH$34&lt;&gt;""),Input!$B$34&amp;";",""),IF(AND($G80&lt;Hta_15,$G80&gt;=Hba_15,Input!AH$35&lt;&gt;""),Input!$B$35&amp;";",""),IF(AND($G80&lt;Hta_16,$G80&gt;=Hba_16,Input!AH$36&lt;&gt;""),Input!$B$36&amp;";",""),IF(AND($G80&lt;Hta_17,$G80&gt;=Hba_17,Input!AH$37&lt;&gt;""),Input!$B$37&amp;";",""),IF(AND($G80&lt;Hta_18,$G80&gt;=Hba_18,Input!AH$38&lt;&gt;""),Input!$B$38&amp;";",""),IF(AND($G80&lt;Hta_19,$G80&gt;=Hba_19,Input!AH$39&lt;&gt;""),Input!$B$39&amp;";",""),IF(AND($G80&lt;Hta_20,$G80&gt;=Hba_20,Input!AH$40&lt;&gt;""),Input!$B$40&amp;";",""),IF(AND($G80&lt;Hta_21,$G80&gt;=Hba_21,Input!AH$41&lt;&gt;""),Input!$B$41&amp;";",""),IF(AND($G80&lt;Hta_22,$G80&gt;=Hba_22,Input!AH$42&lt;&gt;""),Input!$B$42&amp;";",""),IF(AND($G80&lt;Hta_23,$G80&gt;=Hba_23,Input!AH$43&lt;&gt;""),Input!$B$43&amp;";",""),IF(AND($G80&lt;Hta_24,$G80&gt;=Hba_24,Input!AH$44&lt;&gt;""),Input!$B$44&amp;";",""),IF(AND($G80&lt;Hta_25,$G80&gt;=Hba_25,Input!AH$45&lt;&gt;""),Input!$B$45&amp;";",""),IF(AND($G80&lt;Hta_26,$G80&gt;=Hba_26,Input!AH$46&lt;&gt;""),Input!$B$46&amp;";",""),IF(AND($G80&lt;Hta_27,$G80&gt;=Hba_27,Input!AH$47&lt;&gt;""),Input!$B$47&amp;";",""),IF(AND($G80&lt;Hta_28,$G80&gt;=Hba_28,Input!AH$48&lt;&gt;""),Input!$B$48&amp;";",""),IF(AND($G80&lt;Hta_29,$G80&gt;=Hba_29,Input!AH$49&lt;&gt;""),Input!$B$49&amp;";",""),IF(AND($G80&lt;Hta_30,$G80&gt;=Hba_30,Input!AH$50&lt;&gt;""),Input!$B$50&amp;";","")),"")</f>
        <v/>
      </c>
      <c r="CJ80" s="25" t="str">
        <f>IFERROR(CONCATENATE(IF(AND($G80&lt;Hta_1,$G80&gt;=Hba_1,Input!AI$21&lt;&gt;""),Input!$B$21&amp;";",""),IF(AND($G80&lt;Hta_2,$G80&gt;=Hba_2,Input!AI$22&lt;&gt;""),Input!$B$22&amp;";",""),IF(AND($G80&lt;Hta_3,$G80&gt;=Hba_3,Input!AI$23&lt;&gt;""),Input!$B$23&amp;";",""),IF(AND($G80&lt;Hta_4,$G80&gt;=Hba_4,Input!AI$24&lt;&gt;""),Input!$B$24&amp;";",""),IF(AND($G80&lt;Hta_5,$G80&gt;=Hba_5,Input!AI$25&lt;&gt;""),Input!$B$25&amp;";",""),IF(AND($G80&lt;Hta_6,$G80&gt;=Hba_6,Input!AI$26&lt;&gt;""),Input!$B$26&amp;";",""),IF(AND($G80&lt;Hta_7,$G80&gt;=Hba_7,Input!AI$27&lt;&gt;""),Input!$B$27&amp;";",""),IF(AND($G80&lt;Hta_8,$G80&gt;=Hba_8,Input!AI$28&lt;&gt;""),Input!$B$28&amp;";",""),IF(AND($G80&lt;Hta_9,$G80&gt;=Hba_9,Input!AI$29&lt;&gt;""),Input!$B$29&amp;";",""),IF(AND($G80&lt;Hta_10,$G80&gt;=Hba_10,Input!AI$30&lt;&gt;""),Input!$B$30&amp;";",""),IF(AND($G80&lt;Hta_11,$G80&gt;=Hba_11,Input!AI$31&lt;&gt;""),Input!$B$31&amp;";",""),IF(AND($G80&lt;Hta_12,$G80&gt;=Hba_12,Input!AI$32&lt;&gt;""),Input!$B$32&amp;";",""),IF(AND($G80&lt;Hta_13,$G80&gt;=Hba_13,Input!AI$33&lt;&gt;""),Input!$B$33&amp;";",""),IF(AND($G80&lt;Hta_14,$G80&gt;=Hba_14,Input!AI$34&lt;&gt;""),Input!$B$34&amp;";",""),IF(AND($G80&lt;Hta_15,$G80&gt;=Hba_15,Input!AI$35&lt;&gt;""),Input!$B$35&amp;";",""),IF(AND($G80&lt;Hta_16,$G80&gt;=Hba_16,Input!AI$36&lt;&gt;""),Input!$B$36&amp;";",""),IF(AND($G80&lt;Hta_17,$G80&gt;=Hba_17,Input!AI$37&lt;&gt;""),Input!$B$37&amp;";",""),IF(AND($G80&lt;Hta_18,$G80&gt;=Hba_18,Input!AI$38&lt;&gt;""),Input!$B$38&amp;";",""),IF(AND($G80&lt;Hta_19,$G80&gt;=Hba_19,Input!AI$39&lt;&gt;""),Input!$B$39&amp;";",""),IF(AND($G80&lt;Hta_20,$G80&gt;=Hba_20,Input!AI$40&lt;&gt;""),Input!$B$40&amp;";",""),IF(AND($G80&lt;Hta_21,$G80&gt;=Hba_21,Input!AI$41&lt;&gt;""),Input!$B$41&amp;";",""),IF(AND($G80&lt;Hta_22,$G80&gt;=Hba_22,Input!AI$42&lt;&gt;""),Input!$B$42&amp;";",""),IF(AND($G80&lt;Hta_23,$G80&gt;=Hba_23,Input!AI$43&lt;&gt;""),Input!$B$43&amp;";",""),IF(AND($G80&lt;Hta_24,$G80&gt;=Hba_24,Input!AI$44&lt;&gt;""),Input!$B$44&amp;";",""),IF(AND($G80&lt;Hta_25,$G80&gt;=Hba_25,Input!AI$45&lt;&gt;""),Input!$B$45&amp;";",""),IF(AND($G80&lt;Hta_26,$G80&gt;=Hba_26,Input!AI$46&lt;&gt;""),Input!$B$46&amp;";",""),IF(AND($G80&lt;Hta_27,$G80&gt;=Hba_27,Input!AI$47&lt;&gt;""),Input!$B$47&amp;";",""),IF(AND($G80&lt;Hta_28,$G80&gt;=Hba_28,Input!AI$48&lt;&gt;""),Input!$B$48&amp;";",""),IF(AND($G80&lt;Hta_29,$G80&gt;=Hba_29,Input!AI$49&lt;&gt;""),Input!$B$49&amp;";",""),IF(AND($G80&lt;Hta_30,$G80&gt;=Hba_30,Input!AI$50&lt;&gt;""),Input!$B$50&amp;";","")),"")</f>
        <v/>
      </c>
      <c r="CK80" s="25" t="str">
        <f>IFERROR(CONCATENATE(IF(AND($G80&lt;Hta_1,$G80&gt;=Hba_1,Input!AJ$21&lt;&gt;""),Input!$B$21&amp;";",""),IF(AND($G80&lt;Hta_2,$G80&gt;=Hba_2,Input!AJ$22&lt;&gt;""),Input!$B$22&amp;";",""),IF(AND($G80&lt;Hta_3,$G80&gt;=Hba_3,Input!AJ$23&lt;&gt;""),Input!$B$23&amp;";",""),IF(AND($G80&lt;Hta_4,$G80&gt;=Hba_4,Input!AJ$24&lt;&gt;""),Input!$B$24&amp;";",""),IF(AND($G80&lt;Hta_5,$G80&gt;=Hba_5,Input!AJ$25&lt;&gt;""),Input!$B$25&amp;";",""),IF(AND($G80&lt;Hta_6,$G80&gt;=Hba_6,Input!AJ$26&lt;&gt;""),Input!$B$26&amp;";",""),IF(AND($G80&lt;Hta_7,$G80&gt;=Hba_7,Input!AJ$27&lt;&gt;""),Input!$B$27&amp;";",""),IF(AND($G80&lt;Hta_8,$G80&gt;=Hba_8,Input!AJ$28&lt;&gt;""),Input!$B$28&amp;";",""),IF(AND($G80&lt;Hta_9,$G80&gt;=Hba_9,Input!AJ$29&lt;&gt;""),Input!$B$29&amp;";",""),IF(AND($G80&lt;Hta_10,$G80&gt;=Hba_10,Input!AJ$30&lt;&gt;""),Input!$B$30&amp;";",""),IF(AND($G80&lt;Hta_11,$G80&gt;=Hba_11,Input!AJ$31&lt;&gt;""),Input!$B$31&amp;";",""),IF(AND($G80&lt;Hta_12,$G80&gt;=Hba_12,Input!AJ$32&lt;&gt;""),Input!$B$32&amp;";",""),IF(AND($G80&lt;Hta_13,$G80&gt;=Hba_13,Input!AJ$33&lt;&gt;""),Input!$B$33&amp;";",""),IF(AND($G80&lt;Hta_14,$G80&gt;=Hba_14,Input!AJ$34&lt;&gt;""),Input!$B$34&amp;";",""),IF(AND($G80&lt;Hta_15,$G80&gt;=Hba_15,Input!AJ$35&lt;&gt;""),Input!$B$35&amp;";",""),IF(AND($G80&lt;Hta_16,$G80&gt;=Hba_16,Input!AJ$36&lt;&gt;""),Input!$B$36&amp;";",""),IF(AND($G80&lt;Hta_17,$G80&gt;=Hba_17,Input!AJ$37&lt;&gt;""),Input!$B$37&amp;";",""),IF(AND($G80&lt;Hta_18,$G80&gt;=Hba_18,Input!AJ$38&lt;&gt;""),Input!$B$38&amp;";",""),IF(AND($G80&lt;Hta_19,$G80&gt;=Hba_19,Input!AJ$39&lt;&gt;""),Input!$B$39&amp;";",""),IF(AND($G80&lt;Hta_20,$G80&gt;=Hba_20,Input!AJ$40&lt;&gt;""),Input!$B$40&amp;";",""),IF(AND($G80&lt;Hta_21,$G80&gt;=Hba_21,Input!AJ$41&lt;&gt;""),Input!$B$41&amp;";",""),IF(AND($G80&lt;Hta_22,$G80&gt;=Hba_22,Input!AJ$42&lt;&gt;""),Input!$B$42&amp;";",""),IF(AND($G80&lt;Hta_23,$G80&gt;=Hba_23,Input!AJ$43&lt;&gt;""),Input!$B$43&amp;";",""),IF(AND($G80&lt;Hta_24,$G80&gt;=Hba_24,Input!AJ$44&lt;&gt;""),Input!$B$44&amp;";",""),IF(AND($G80&lt;Hta_25,$G80&gt;=Hba_25,Input!AJ$45&lt;&gt;""),Input!$B$45&amp;";",""),IF(AND($G80&lt;Hta_26,$G80&gt;=Hba_26,Input!AJ$46&lt;&gt;""),Input!$B$46&amp;";",""),IF(AND($G80&lt;Hta_27,$G80&gt;=Hba_27,Input!AJ$47&lt;&gt;""),Input!$B$47&amp;";",""),IF(AND($G80&lt;Hta_28,$G80&gt;=Hba_28,Input!AJ$48&lt;&gt;""),Input!$B$48&amp;";",""),IF(AND($G80&lt;Hta_29,$G80&gt;=Hba_29,Input!AJ$49&lt;&gt;""),Input!$B$49&amp;";",""),IF(AND($G80&lt;Hta_30,$G80&gt;=Hba_30,Input!AJ$50&lt;&gt;""),Input!$B$50&amp;";","")),"")</f>
        <v/>
      </c>
      <c r="CL80" s="25" t="str">
        <f>IFERROR(CONCATENATE(IF(AND($G80&lt;Hta_1,$G80&gt;=Hba_1,Input!AK$21&lt;&gt;""),Input!$B$21&amp;";",""),IF(AND($G80&lt;Hta_2,$G80&gt;=Hba_2,Input!AK$22&lt;&gt;""),Input!$B$22&amp;";",""),IF(AND($G80&lt;Hta_3,$G80&gt;=Hba_3,Input!AK$23&lt;&gt;""),Input!$B$23&amp;";",""),IF(AND($G80&lt;Hta_4,$G80&gt;=Hba_4,Input!AK$24&lt;&gt;""),Input!$B$24&amp;";",""),IF(AND($G80&lt;Hta_5,$G80&gt;=Hba_5,Input!AK$25&lt;&gt;""),Input!$B$25&amp;";",""),IF(AND($G80&lt;Hta_6,$G80&gt;=Hba_6,Input!AK$26&lt;&gt;""),Input!$B$26&amp;";",""),IF(AND($G80&lt;Hta_7,$G80&gt;=Hba_7,Input!AK$27&lt;&gt;""),Input!$B$27&amp;";",""),IF(AND($G80&lt;Hta_8,$G80&gt;=Hba_8,Input!AK$28&lt;&gt;""),Input!$B$28&amp;";",""),IF(AND($G80&lt;Hta_9,$G80&gt;=Hba_9,Input!AK$29&lt;&gt;""),Input!$B$29&amp;";",""),IF(AND($G80&lt;Hta_10,$G80&gt;=Hba_10,Input!AK$30&lt;&gt;""),Input!$B$30&amp;";",""),IF(AND($G80&lt;Hta_11,$G80&gt;=Hba_11,Input!AK$31&lt;&gt;""),Input!$B$31&amp;";",""),IF(AND($G80&lt;Hta_12,$G80&gt;=Hba_12,Input!AK$32&lt;&gt;""),Input!$B$32&amp;";",""),IF(AND($G80&lt;Hta_13,$G80&gt;=Hba_13,Input!AK$33&lt;&gt;""),Input!$B$33&amp;";",""),IF(AND($G80&lt;Hta_14,$G80&gt;=Hba_14,Input!AK$34&lt;&gt;""),Input!$B$34&amp;";",""),IF(AND($G80&lt;Hta_15,$G80&gt;=Hba_15,Input!AK$35&lt;&gt;""),Input!$B$35&amp;";",""),IF(AND($G80&lt;Hta_16,$G80&gt;=Hba_16,Input!AK$36&lt;&gt;""),Input!$B$36&amp;";",""),IF(AND($G80&lt;Hta_17,$G80&gt;=Hba_17,Input!AK$37&lt;&gt;""),Input!$B$37&amp;";",""),IF(AND($G80&lt;Hta_18,$G80&gt;=Hba_18,Input!AK$38&lt;&gt;""),Input!$B$38&amp;";",""),IF(AND($G80&lt;Hta_19,$G80&gt;=Hba_19,Input!AK$39&lt;&gt;""),Input!$B$39&amp;";",""),IF(AND($G80&lt;Hta_20,$G80&gt;=Hba_20,Input!AK$40&lt;&gt;""),Input!$B$40&amp;";",""),IF(AND($G80&lt;Hta_21,$G80&gt;=Hba_21,Input!AK$41&lt;&gt;""),Input!$B$41&amp;";",""),IF(AND($G80&lt;Hta_22,$G80&gt;=Hba_22,Input!AK$42&lt;&gt;""),Input!$B$42&amp;";",""),IF(AND($G80&lt;Hta_23,$G80&gt;=Hba_23,Input!AK$43&lt;&gt;""),Input!$B$43&amp;";",""),IF(AND($G80&lt;Hta_24,$G80&gt;=Hba_24,Input!AK$44&lt;&gt;""),Input!$B$44&amp;";",""),IF(AND($G80&lt;Hta_25,$G80&gt;=Hba_25,Input!AK$45&lt;&gt;""),Input!$B$45&amp;";",""),IF(AND($G80&lt;Hta_26,$G80&gt;=Hba_26,Input!AK$46&lt;&gt;""),Input!$B$46&amp;";",""),IF(AND($G80&lt;Hta_27,$G80&gt;=Hba_27,Input!AK$47&lt;&gt;""),Input!$B$47&amp;";",""),IF(AND($G80&lt;Hta_28,$G80&gt;=Hba_28,Input!AK$48&lt;&gt;""),Input!$B$48&amp;";",""),IF(AND($G80&lt;Hta_29,$G80&gt;=Hba_29,Input!AK$49&lt;&gt;""),Input!$B$49&amp;";",""),IF(AND($G80&lt;Hta_30,$G80&gt;=Hba_30,Input!AK$50&lt;&gt;""),Input!$B$50&amp;";","")),"")</f>
        <v/>
      </c>
      <c r="CM80" s="25" t="str">
        <f>IFERROR(CONCATENATE(IF(AND($G80&lt;Hta_1,$G80&gt;=Hba_1,Input!AL$21&lt;&gt;""),Input!$B$21&amp;";",""),IF(AND($G80&lt;Hta_2,$G80&gt;=Hba_2,Input!AL$22&lt;&gt;""),Input!$B$22&amp;";",""),IF(AND($G80&lt;Hta_3,$G80&gt;=Hba_3,Input!AL$23&lt;&gt;""),Input!$B$23&amp;";",""),IF(AND($G80&lt;Hta_4,$G80&gt;=Hba_4,Input!AL$24&lt;&gt;""),Input!$B$24&amp;";",""),IF(AND($G80&lt;Hta_5,$G80&gt;=Hba_5,Input!AL$25&lt;&gt;""),Input!$B$25&amp;";",""),IF(AND($G80&lt;Hta_6,$G80&gt;=Hba_6,Input!AL$26&lt;&gt;""),Input!$B$26&amp;";",""),IF(AND($G80&lt;Hta_7,$G80&gt;=Hba_7,Input!AL$27&lt;&gt;""),Input!$B$27&amp;";",""),IF(AND($G80&lt;Hta_8,$G80&gt;=Hba_8,Input!AL$28&lt;&gt;""),Input!$B$28&amp;";",""),IF(AND($G80&lt;Hta_9,$G80&gt;=Hba_9,Input!AL$29&lt;&gt;""),Input!$B$29&amp;";",""),IF(AND($G80&lt;Hta_10,$G80&gt;=Hba_10,Input!AL$30&lt;&gt;""),Input!$B$30&amp;";",""),IF(AND($G80&lt;Hta_11,$G80&gt;=Hba_11,Input!AL$31&lt;&gt;""),Input!$B$31&amp;";",""),IF(AND($G80&lt;Hta_12,$G80&gt;=Hba_12,Input!AL$32&lt;&gt;""),Input!$B$32&amp;";",""),IF(AND($G80&lt;Hta_13,$G80&gt;=Hba_13,Input!AL$33&lt;&gt;""),Input!$B$33&amp;";",""),IF(AND($G80&lt;Hta_14,$G80&gt;=Hba_14,Input!AL$34&lt;&gt;""),Input!$B$34&amp;";",""),IF(AND($G80&lt;Hta_15,$G80&gt;=Hba_15,Input!AL$35&lt;&gt;""),Input!$B$35&amp;";",""),IF(AND($G80&lt;Hta_16,$G80&gt;=Hba_16,Input!AL$36&lt;&gt;""),Input!$B$36&amp;";",""),IF(AND($G80&lt;Hta_17,$G80&gt;=Hba_17,Input!AL$37&lt;&gt;""),Input!$B$37&amp;";",""),IF(AND($G80&lt;Hta_18,$G80&gt;=Hba_18,Input!AL$38&lt;&gt;""),Input!$B$38&amp;";",""),IF(AND($G80&lt;Hta_19,$G80&gt;=Hba_19,Input!AL$39&lt;&gt;""),Input!$B$39&amp;";",""),IF(AND($G80&lt;Hta_20,$G80&gt;=Hba_20,Input!AL$40&lt;&gt;""),Input!$B$40&amp;";",""),IF(AND($G80&lt;Hta_21,$G80&gt;=Hba_21,Input!AL$41&lt;&gt;""),Input!$B$41&amp;";",""),IF(AND($G80&lt;Hta_22,$G80&gt;=Hba_22,Input!AL$42&lt;&gt;""),Input!$B$42&amp;";",""),IF(AND($G80&lt;Hta_23,$G80&gt;=Hba_23,Input!AL$43&lt;&gt;""),Input!$B$43&amp;";",""),IF(AND($G80&lt;Hta_24,$G80&gt;=Hba_24,Input!AL$44&lt;&gt;""),Input!$B$44&amp;";",""),IF(AND($G80&lt;Hta_25,$G80&gt;=Hba_25,Input!AL$45&lt;&gt;""),Input!$B$45&amp;";",""),IF(AND($G80&lt;Hta_26,$G80&gt;=Hba_26,Input!AL$46&lt;&gt;""),Input!$B$46&amp;";",""),IF(AND($G80&lt;Hta_27,$G80&gt;=Hba_27,Input!AL$47&lt;&gt;""),Input!$B$47&amp;";",""),IF(AND($G80&lt;Hta_28,$G80&gt;=Hba_28,Input!AL$48&lt;&gt;""),Input!$B$48&amp;";",""),IF(AND($G80&lt;Hta_29,$G80&gt;=Hba_29,Input!AL$49&lt;&gt;""),Input!$B$49&amp;";",""),IF(AND($G80&lt;Hta_30,$G80&gt;=Hba_30,Input!AL$50&lt;&gt;""),Input!$B$50&amp;";","")),"")</f>
        <v/>
      </c>
      <c r="CN80" s="59" t="str">
        <f t="shared" si="16"/>
        <v/>
      </c>
      <c r="CO80" s="791"/>
      <c r="CP80" s="792"/>
      <c r="CQ80" s="793"/>
      <c r="CR80" s="791"/>
      <c r="CS80" s="792"/>
      <c r="CT80" s="793"/>
      <c r="CU80" s="791" t="str">
        <f t="shared" si="17"/>
        <v/>
      </c>
      <c r="CV80" s="792"/>
      <c r="CW80" s="807"/>
      <c r="CX80" s="808"/>
      <c r="CY80" s="730"/>
      <c r="CZ80" s="809"/>
      <c r="DA80" s="733"/>
      <c r="DB80" s="734"/>
      <c r="DC80" s="735"/>
      <c r="DD80" s="729" t="str">
        <f t="shared" si="18"/>
        <v/>
      </c>
      <c r="DE80" s="730"/>
      <c r="DF80" s="731"/>
      <c r="DG80" s="55"/>
      <c r="DH80" s="56"/>
      <c r="DI80" s="56"/>
      <c r="DJ80" s="56"/>
      <c r="DK80" s="56"/>
      <c r="DL80" s="56"/>
      <c r="DM80" s="56"/>
      <c r="DN80" s="56"/>
      <c r="DO80" s="56"/>
      <c r="DP80" s="56"/>
      <c r="DQ80" s="58"/>
      <c r="DR80" s="58"/>
      <c r="DS80" s="58"/>
      <c r="DT80" s="58"/>
      <c r="DU80" s="58"/>
      <c r="DV80" s="58"/>
      <c r="DW80" s="58"/>
      <c r="DX80" s="58"/>
      <c r="DY80" s="58"/>
      <c r="DZ80" s="58"/>
      <c r="EA80" s="58"/>
      <c r="EB80" s="58"/>
      <c r="EC80" s="58"/>
      <c r="ED80" s="58"/>
      <c r="EE80" s="58"/>
      <c r="EF80" s="58"/>
      <c r="EG80" s="58"/>
      <c r="EH80" s="58"/>
      <c r="EI80" s="58"/>
      <c r="EJ80" s="58"/>
      <c r="EK80" s="58"/>
      <c r="EL80" s="134"/>
      <c r="EM80" s="134"/>
      <c r="EN80" s="134"/>
      <c r="EO80" s="134"/>
      <c r="EP80" s="134"/>
      <c r="EQ80" s="134"/>
      <c r="ER80" s="134"/>
      <c r="ES80" s="134"/>
      <c r="ET80" s="134"/>
      <c r="EU80" s="134"/>
      <c r="EV80" s="134"/>
      <c r="EW80" s="134"/>
      <c r="EX80" s="134"/>
      <c r="EY80" s="134"/>
      <c r="EZ80" s="134"/>
      <c r="FA80" s="134"/>
      <c r="FB80" s="134"/>
      <c r="FC80" s="134"/>
      <c r="FD80" s="134"/>
      <c r="FE80" s="134"/>
      <c r="FF80" s="134"/>
      <c r="FG80" s="134"/>
      <c r="FH80" s="134"/>
      <c r="FI80" s="134"/>
      <c r="FJ80" s="134"/>
      <c r="FK80" s="134"/>
      <c r="FL80" s="134"/>
      <c r="FM80" s="134"/>
      <c r="FN80" s="134"/>
      <c r="FO80" s="134"/>
      <c r="FQ80" s="124"/>
      <c r="FR80" s="122"/>
      <c r="FS80" s="120"/>
      <c r="FT80" s="119"/>
    </row>
    <row r="81" spans="2:176" ht="15.75" hidden="1" thickBot="1" x14ac:dyDescent="0.3">
      <c r="B81" s="62" t="b">
        <f>IF(OR(AND(G81&gt;='Geometry 2'!$AK$5,G81&lt;'Geometry 2'!$AL$5),AND(G81&gt;='Geometry 2'!$AK$6,G81&lt;'Geometry 2'!$AL$6),AND(G81&gt;='Geometry 2'!$AK$7,G81&lt;'Geometry 2'!$AL$7),AND(G81&gt;='Geometry 2'!$AK$8,G81&lt;'Geometry 2'!$AL$8),AND(G81&gt;='Geometry 2'!$AK$9,G81&lt;'Geometry 2'!$AL$9),AND(G81&gt;='Geometry 2'!$AK$10,G81&lt;'Geometry 2'!$AL$10),AND(G81&gt;='Geometry 2'!$AK$11,G81&lt;'Geometry 2'!$AL$11),AND(G81&gt;='Geometry 2'!$AK$12,G81&lt;'Geometry 2'!$AL$12),AND(G81&gt;='Geometry 2'!$AK$13,G81&lt;'Geometry 2'!$AL$13),AND(G81&gt;='Geometry 2'!$AK$14,G81&lt;'Geometry 2'!$AL$14)),TRUE,FALSE)</f>
        <v>0</v>
      </c>
      <c r="C81" s="4" t="str">
        <f t="shared" si="13"/>
        <v/>
      </c>
      <c r="D81" s="766" t="str">
        <f t="shared" si="14"/>
        <v/>
      </c>
      <c r="E81" s="767"/>
      <c r="F81" s="17" t="str">
        <f t="shared" si="12"/>
        <v/>
      </c>
      <c r="G81" s="768" t="str">
        <f>IF(D81="","",MAX(0,G80-IF(inc="n/a",999,inc),MAX(IF(G80&lt;=Hta_1,0,Hta_1),IF(G80&lt;=Hta_2,0,Hta_2),IF(G80&lt;=Hta_3,0,Hta_3),IF(G80&lt;=Hta_4,0,Hta_4),IF(G80&lt;=Hta_5,0,Hta_5),IF(G80&lt;=Hta_6,0,Hta_6),IF(G80&lt;=Hta_7,0,Hta_7),IF(G80&lt;=Hta_8,0,Hta_8),IF(G80&lt;=Hta_9,0,Hta_9),IF(G80&lt;=Hta_10,0,Hta_10),IF(G80&lt;=Hta_11,0,Hta_11),IF(G80&lt;=Hta_12,0,Hta_12),IF(G80&lt;=Hta_13,0,Hta_13),IF(G80&lt;=Hta_14,0,Hta_14),IF(G80&lt;=Hta_15,0,Hta_15),IF(G80&lt;=Hta_16,0,Hta_16),IF(G80&lt;=Hta_17,0,Hta_17),IF(G80&lt;=Hta_18,0,Hta_18),IF(G80&lt;=Hta_19,0,Hta_19),IF(G80&lt;=Hta_20,0,Hta_20),IF(G80&lt;=Hta_21,0,Hta_21),IF(G80&lt;=Hta_22,0,Hta_22),IF(G80&lt;=Hta_23,0,Hta_23),IF(G80&lt;=Hta_24,0,Hta_24),IF(G80&lt;=Hta_25,0,Hta_25),IF(G80&lt;=Hta_26,0,Hta_26),IF(G80&lt;=Hta_27,0,Hta_27),IF(G80&lt;=Hta_28,0,Hta_28),IF(G80&lt;=Hta_29,0,Hta_29),IF(G80&lt;=Hta_30,0,Hta_30)),MAX(IF(G80&lt;=Hta_1-0.25,0,Hta_1-0.25),IF(G80&lt;=Hta_2-0.25,0,Hta_2-0.25),IF(G80&lt;=Hta_3-0.25,0,Hta_3-0.25),IF(G80&lt;=Hta_4-0.25,0,Hta_4-0.25),IF(G80&lt;=Hta_5-0.25,0,Hta_5-0.25),IF(G80&lt;=Hta_6-0.25,0,Hta_6-0.25),IF(G80&lt;=Hta_7-0.25,0,Hta_7-0.25),IF(G80&lt;=Hta_8-0.25,0,Hta_8-0.25),IF(G80&lt;=Hta_9-0.25,0,Hta_9-0.25),IF(G80&lt;=Hta_10-0.25,0,Hta_10-0.25),IF(G80&lt;=Hta_11-0.25,0,Hta_11-0.25),IF(G80&lt;=Hta_12-0.25,0,Hta_12-0.25),IF(G80&lt;=Hta_13-0.25,0,Hta_13-0.25),IF(G80&lt;=Hta_14-0.25,0,Hta_14-0.25),IF(G80&lt;=Hta_15-0.25,0,Hta_15-0.25),IF(G80&lt;=Hta_16-0.25,0,Hta_16-0.25),IF(G80&lt;=Hta_17-0.25,0,Hta_17-0.25),IF(G80&lt;=Hta_18-0.25,0,Hta_18-0.25),IF(G80&lt;=Hta_19-0.25,0,Hta_19-0.25),IF(G80&lt;=Hta_20-0.25,0,Hta_20-0.25),IF(G80&lt;=Hta_21-0.25,0,Hta_21-0.25),IF(G80&lt;=Hta_22-0.25,0,Hta_22-0.25),IF(G80&lt;=Hta_23-0.25,0,Hta_23-0.25),IF(G80&lt;=Hta_24-0.25,0,Hta_24-0.25),IF(G80&lt;=Hta_25-0.25,0,Hta_25-0.25),IF(G80&lt;=Hta_26-0.25,0,Hta_26-0.25),IF(G80&lt;=Hta_27-0.25,0,Hta_27-0.25),IF(G80&lt;=Hta_28-0.25,0,Hta_28-0.25),IF(G80&lt;=Hta_29-0.25,0,Hta_29-0.25),IF(G80&lt;=Hta_30-0.25,0,Hta_30-0.25)),MAX(IF(G80&lt;=Hba_1,0,Hba_1),IF(G80&lt;=Hba_2,0,Hba_2),IF(G80&lt;=Hba_3,0,Hba_3),IF(G80&lt;=Hba_4,0,Hba_4),IF(G80&lt;=Hba_5,0,Hba_5),IF(G80&lt;=Hba_6,0,Hba_6),IF(G80&lt;=Hba_7,0,Hba_7),IF(G80&lt;=Hba_8,0,Hba_8),IF(G80&lt;=Hba_9,0,Hba_9),IF(G80&lt;=Hba_10,0,Hba_10),IF(G80&lt;=Hba_11,0,Hba_11),IF(G80&lt;=Hba_12,0,Hba_12),IF(G80&lt;=Hba_13,0,Hba_13),IF(G80&lt;=Hba_14,0,Hba_14),IF(G80&lt;=Hba_15,0,Hba_15),IF(G80&lt;=Hba_16,0,Hba_16),IF(G80&lt;=Hba_17,0,Hba_17),IF(G80&lt;=Hba_18,0,Hba_18),IF(G80&lt;=Hba_19,0,Hba_19),IF(G80&lt;=Hba_20,0,Hba_20),IF(G80&lt;=Hba_21,0,Hba_21),IF(G80&lt;=Hba_22,0,Hba_22),IF(G80&lt;=Hba_23,0,Hba_23),IF(G80&lt;=Hba_24,0,Hba_24),IF(G80&lt;=Hba_25,0,Hba_25),IF(G80&lt;=Hba_26,0,Hba_26),IF(G80&lt;=Hba_27,0,Hba_27),IF(G80&lt;=Hba_28,0,Hba_28),IF(G80&lt;=Hba_29,0,Hba_29),IF(G80&lt;=Hba_30,0,Hba_30)),MAX(IF(G80&lt;=Input!$C$8,0,Input!$C$8),IF(G80&lt;=Input!$C$9,0,Input!$C$9),IF(G80&lt;=Input!$C$10,0,Input!$C$10),IF(G80&lt;=Input!$C$11,0,Input!$C$11),IF(G80&lt;=Input!$C$12,0,Input!$C$12),IF(G80&lt;=Input!$C$13,0,Input!$C$13),IF(G80&lt;=Input!$C$14,0,Input!$C$14),IF(G80&lt;=Input!$C$15,0,Input!$C$15),IF(G80&lt;=Input!$C$16,0,Input!$C$16)),MAX(IF(G80&lt;=Hba_1-0.25,0,Hba_1-0.25),IF(G80&lt;=Hba_2-0.25,0,Hba_2-0.25),IF(G80&lt;=Hba_3-0.25,0,Hba_3-0.25),IF(G80&lt;=Hba_4-0.25,0,Hba_4-0.25),IF(G80&lt;=Hba_5-0.25,0,Hba_5-0.25),IF(G80&lt;=Hba_6-0.25,0,Hba_6-0.25),IF(G80&lt;=Hba_7-0.25,0,Hba_7-0.25),IF(G80&lt;=Hba_8-0.25,0,Hba_8-0.25),IF(G80&lt;=Hba_9-0.25,0,Hba_9-0.25),IF(G80&lt;=Hba_10-0.25,0,Hba_10-0.25),IF(G80&lt;=Hba_11-0.25,0,Hba_11-0.25),IF(G80&lt;=Hba_12-0.25,0,Hba_12-0.25),IF(G80&lt;=Hba_13-0.25,0,Hba_13-0.25),IF(G80&lt;=Hba_14-0.25,0,Hba_14-0.25),IF(G80&lt;=Hba_15-0.25,0,Hba_15-0.25),IF(G80&lt;=Hba_16-0.25,0,Hba_16-0.25),IF(G80&lt;=Hba_17-0.25,0,Hba_17-0.25),IF(G80&lt;=Hba_18-0.25,0,Hba_18-0.25),IF(G80&lt;=Hba_19-0.25,0,Hba_19-0.25),IF(G80&lt;=Hba_20-0.25,0,Hba_20-0.25),IF(G80&lt;=Hba_21-0.25,0,Hba_21-0.25),IF(G80&lt;=Hba_22-0.25,0,Hba_22-0.25),IF(G80&lt;=Hba_23-0.25,0,Hba_23-0.25),IF(G80&lt;=Hba_24-0.25,0,Hba_24-0.25),IF(G80&lt;=Hba_25-0.25,0,Hba_25-0.25),IF(G80&lt;=Hba_26-0.25,0,Hba_26-0.25),IF(G80&lt;=Hba_27-0.25,0,Hba_27-0.25),IF(G80&lt;=Hba_28-0.25,0,Hba_28-0.25),IF(G80&lt;=Hba_29-0.25,0,Hba_29-0.25),IF(G80&lt;=Hba_30-0.25,0,Hba_30-0.25)),IF(G80&lt;='Macro References'!$A$38,0,'Macro References'!$A$38)))</f>
        <v/>
      </c>
      <c r="H81" s="769"/>
      <c r="I81" s="228"/>
      <c r="J81" s="228"/>
      <c r="K81" s="228"/>
      <c r="L81" s="717" t="str">
        <f t="shared" si="11"/>
        <v/>
      </c>
      <c r="M81" s="717"/>
      <c r="N81" s="717"/>
      <c r="O81" s="717"/>
      <c r="P81" s="717" t="str">
        <f>IF(OR(G81=0,G81=""),"",IF(VLOOKUP(G81,'Geometry 2'!$C$4:$AI$14,1,TRUE)=VLOOKUP(G82,'Geometry 2'!$C$4:$AI$14,1,TRUE),"",IF(VLOOKUP(G81,'Geometry 2'!$C$4:$AI$14,33,TRUE)&lt;&gt;"n/a",MIN(G81,VLOOKUP(G81,'Geometry 2'!$C$4:$AI$14,1,TRUE))-VLOOKUP(G81,'Geometry 2'!$C$4:$AI$14,33,TRUE),"check")))</f>
        <v/>
      </c>
      <c r="Q81" s="717"/>
      <c r="R81" s="717"/>
      <c r="S81" s="717"/>
      <c r="T81" s="717" t="str">
        <f>IF($G81="","",VLOOKUP($G81,'Geometry 2'!$E$4:$AH$14,11,TRUE))</f>
        <v/>
      </c>
      <c r="U81" s="717"/>
      <c r="V81" s="717"/>
      <c r="W81" s="717"/>
      <c r="X81" s="716" t="str">
        <f>IF($G81="","",VLOOKUP($G81,'Geometry 2'!$E$4:$AJ$14,19,TRUE)-12*VLOOKUP($G81,'Geometry 2'!$E$4:$AJ$14,32,TRUE)*($D81-VLOOKUP($G81,'Geometry 2'!$E$5:$AH$14,1,TRUE)))</f>
        <v/>
      </c>
      <c r="Y81" s="716"/>
      <c r="Z81" s="716"/>
      <c r="AA81" s="716"/>
      <c r="AB81" s="757" t="str">
        <f>IF($G81="","",VLOOKUP($G81,'Geometry 2'!$E$4:$AJ$14,19,TRUE)-12*VLOOKUP($G81,'Geometry 2'!$E$4:$AJ$14,32,TRUE)*($G81-VLOOKUP($G81,'Geometry 2'!$E$5:$AH$14,1,TRUE)))</f>
        <v/>
      </c>
      <c r="AC81" s="758"/>
      <c r="AD81" s="758"/>
      <c r="AE81" s="759"/>
      <c r="AF81" s="716" t="str">
        <f>IF($G81="","",VLOOKUP($G81,'Geometry 2'!$E$4:$AJ$14,19,TRUE)-12*VLOOKUP($G81,'Geometry 2'!$E$4:$AJ$14,32,TRUE)*($G81-IF($P81="",0,$P81)-VLOOKUP($G81,'Geometry 2'!$E$5:$AH$14,1,TRUE)))</f>
        <v/>
      </c>
      <c r="AG81" s="716"/>
      <c r="AH81" s="716"/>
      <c r="AI81" s="716"/>
      <c r="AJ81" s="746" t="str">
        <f>IF($G81="","",VLOOKUP($G81,'Geometry 2'!$E$4:$AH$14,23,TRUE))</f>
        <v/>
      </c>
      <c r="AK81" s="747"/>
      <c r="AL81" s="747"/>
      <c r="AM81" s="748"/>
      <c r="AN81" s="717"/>
      <c r="AO81" s="717"/>
      <c r="AP81" s="717"/>
      <c r="AQ81" s="717"/>
      <c r="AR81" s="717" t="str">
        <f>IF($G81="","",VLOOKUP($G81,'Geometry 2'!$E$4:$AH$14,27,TRUE))</f>
        <v/>
      </c>
      <c r="AS81" s="717"/>
      <c r="AT81" s="717"/>
      <c r="AU81" s="718"/>
      <c r="AV81" s="715"/>
      <c r="AW81" s="716"/>
      <c r="AX81" s="716"/>
      <c r="AZ81" s="722" t="str">
        <f t="shared" si="15"/>
        <v/>
      </c>
      <c r="BA81" s="723"/>
      <c r="BB81" s="723"/>
      <c r="BC81" s="724"/>
      <c r="BD81" s="722"/>
      <c r="BE81" s="723"/>
      <c r="BF81" s="723"/>
      <c r="BG81" s="722" t="str">
        <f t="shared" si="9"/>
        <v/>
      </c>
      <c r="BH81" s="723"/>
      <c r="BI81" s="723"/>
      <c r="BJ81" s="723"/>
      <c r="BK81" s="724"/>
      <c r="BL81" s="722"/>
      <c r="BM81" s="723"/>
      <c r="BN81" s="723"/>
      <c r="BO81" s="723"/>
      <c r="BP81" s="725"/>
      <c r="BQ81" s="725"/>
      <c r="BR81" s="722" t="str">
        <f>IF(BP81="","",IF(OR(AND(Rev="H",Calculations!$F$27=TRUE),AND(Rev&lt;&gt;"H",Calculations!$F$30=TRUE)),IF(BP81&lt;=1,"Pass","Fail"),IF(BP81&lt;=1.05,"Pass","Fail")))</f>
        <v/>
      </c>
      <c r="BS81" s="723"/>
      <c r="BT81" s="724"/>
      <c r="BU81" s="49"/>
      <c r="BV81" s="25" t="str">
        <f>IFERROR(CONCATENATE(IF(AND($G81&lt;Hta_1,$G81&gt;=Hba_1,Input!U$21&lt;&gt;""),Input!$B$21&amp;";",""),IF(AND($G81&lt;Hta_2,$G81&gt;=Hba_2,Input!U$22&lt;&gt;""),Input!$B$22&amp;";",""),IF(AND($G81&lt;Hta_3,$G81&gt;=Hba_3,Input!U$23&lt;&gt;""),Input!$B$23&amp;";",""),IF(AND($G81&lt;Hta_4,$G81&gt;=Hba_4,Input!U$24&lt;&gt;""),Input!$B$24&amp;";",""),IF(AND($G81&lt;Hta_5,$G81&gt;=Hba_5,Input!U$25&lt;&gt;""),Input!$B$25&amp;";",""),IF(AND($G81&lt;Hta_6,$G81&gt;=Hba_6,Input!U$26&lt;&gt;""),Input!$B$26&amp;";",""),IF(AND($G81&lt;Hta_7,$G81&gt;=Hba_7,Input!U$27&lt;&gt;""),Input!$B$27&amp;";",""),IF(AND($G81&lt;Hta_8,$G81&gt;=Hba_8,Input!U$28&lt;&gt;""),Input!$B$28&amp;";",""),IF(AND($G81&lt;Hta_9,$G81&gt;=Hba_9,Input!U$29&lt;&gt;""),Input!$B$29&amp;";",""),IF(AND($G81&lt;Hta_10,$G81&gt;=Hba_10,Input!U$30&lt;&gt;""),Input!$B$30&amp;";",""),IF(AND($G81&lt;Hta_11,$G81&gt;=Hba_11,Input!U$31&lt;&gt;""),Input!$B$31&amp;";",""),IF(AND($G81&lt;Hta_12,$G81&gt;=Hba_12,Input!U$32&lt;&gt;""),Input!$B$32&amp;";",""),IF(AND($G81&lt;Hta_13,$G81&gt;=Hba_13,Input!U$33&lt;&gt;""),Input!$B$33&amp;";",""),IF(AND($G81&lt;Hta_14,$G81&gt;=Hba_14,Input!U$34&lt;&gt;""),Input!$B$34&amp;";",""),IF(AND($G81&lt;Hta_15,$G81&gt;=Hba_15,Input!U$35&lt;&gt;""),Input!$B$35&amp;";",""),IF(AND($G81&lt;Hta_16,$G81&gt;=Hba_16,Input!U$36&lt;&gt;""),Input!$B$36&amp;";",""),IF(AND($G81&lt;Hta_17,$G81&gt;=Hba_17,Input!U$37&lt;&gt;""),Input!$B$37&amp;";",""),IF(AND($G81&lt;Hta_18,$G81&gt;=Hba_18,Input!U$38&lt;&gt;""),Input!$B$38&amp;";",""),IF(AND($G81&lt;Hta_19,$G81&gt;=Hba_19,Input!U$39&lt;&gt;""),Input!$B$39&amp;";",""),IF(AND($G81&lt;Hta_20,$G81&gt;=Hba_20,Input!U$40&lt;&gt;""),Input!$B$40&amp;";",""),IF(AND($G81&lt;Hta_21,$G81&gt;=Hba_21,Input!U$41&lt;&gt;""),Input!$B$41&amp;";",""),IF(AND($G81&lt;Hta_22,$G81&gt;=Hba_22,Input!U$42&lt;&gt;""),Input!$B$42&amp;";",""),IF(AND($G81&lt;Hta_23,$G81&gt;=Hba_23,Input!U$43&lt;&gt;""),Input!$B$43&amp;";",""),IF(AND($G81&lt;Hta_24,$G81&gt;=Hba_24,Input!U$44&lt;&gt;""),Input!$B$44&amp;";",""),IF(AND($G81&lt;Hta_25,$G81&gt;=Hba_25,Input!U$45&lt;&gt;""),Input!$B$45&amp;";",""),IF(AND($G81&lt;Hta_26,$G81&gt;=Hba_26,Input!U$46&lt;&gt;""),Input!$B$46&amp;";",""),IF(AND($G81&lt;Hta_27,$G81&gt;=Hba_27,Input!U$47&lt;&gt;""),Input!$B$47&amp;";",""),IF(AND($G81&lt;Hta_28,$G81&gt;=Hba_28,Input!U$48&lt;&gt;""),Input!$B$48&amp;";",""),IF(AND($G81&lt;Hta_29,$G81&gt;=Hba_29,Input!U$49&lt;&gt;""),Input!$B$49&amp;";",""),IF(AND($G81&lt;Hta_30,$G81&gt;=Hba_30,Input!U$50&lt;&gt;""),Input!$B$50&amp;";","")),"")</f>
        <v/>
      </c>
      <c r="BW81" s="25" t="str">
        <f>IFERROR(CONCATENATE(IF(AND($G81&lt;Hta_1,$G81&gt;=Hba_1,Input!V$21&lt;&gt;""),Input!$B$21&amp;";",""),IF(AND($G81&lt;Hta_2,$G81&gt;=Hba_2,Input!V$22&lt;&gt;""),Input!$B$22&amp;";",""),IF(AND($G81&lt;Hta_3,$G81&gt;=Hba_3,Input!V$23&lt;&gt;""),Input!$B$23&amp;";",""),IF(AND($G81&lt;Hta_4,$G81&gt;=Hba_4,Input!V$24&lt;&gt;""),Input!$B$24&amp;";",""),IF(AND($G81&lt;Hta_5,$G81&gt;=Hba_5,Input!V$25&lt;&gt;""),Input!$B$25&amp;";",""),IF(AND($G81&lt;Hta_6,$G81&gt;=Hba_6,Input!V$26&lt;&gt;""),Input!$B$26&amp;";",""),IF(AND($G81&lt;Hta_7,$G81&gt;=Hba_7,Input!V$27&lt;&gt;""),Input!$B$27&amp;";",""),IF(AND($G81&lt;Hta_8,$G81&gt;=Hba_8,Input!V$28&lt;&gt;""),Input!$B$28&amp;";",""),IF(AND($G81&lt;Hta_9,$G81&gt;=Hba_9,Input!V$29&lt;&gt;""),Input!$B$29&amp;";",""),IF(AND($G81&lt;Hta_10,$G81&gt;=Hba_10,Input!V$30&lt;&gt;""),Input!$B$30&amp;";",""),IF(AND($G81&lt;Hta_11,$G81&gt;=Hba_11,Input!V$31&lt;&gt;""),Input!$B$31&amp;";",""),IF(AND($G81&lt;Hta_12,$G81&gt;=Hba_12,Input!V$32&lt;&gt;""),Input!$B$32&amp;";",""),IF(AND($G81&lt;Hta_13,$G81&gt;=Hba_13,Input!V$33&lt;&gt;""),Input!$B$33&amp;";",""),IF(AND($G81&lt;Hta_14,$G81&gt;=Hba_14,Input!V$34&lt;&gt;""),Input!$B$34&amp;";",""),IF(AND($G81&lt;Hta_15,$G81&gt;=Hba_15,Input!V$35&lt;&gt;""),Input!$B$35&amp;";",""),IF(AND($G81&lt;Hta_16,$G81&gt;=Hba_16,Input!V$36&lt;&gt;""),Input!$B$36&amp;";",""),IF(AND($G81&lt;Hta_17,$G81&gt;=Hba_17,Input!V$37&lt;&gt;""),Input!$B$37&amp;";",""),IF(AND($G81&lt;Hta_18,$G81&gt;=Hba_18,Input!V$38&lt;&gt;""),Input!$B$38&amp;";",""),IF(AND($G81&lt;Hta_19,$G81&gt;=Hba_19,Input!V$39&lt;&gt;""),Input!$B$39&amp;";",""),IF(AND($G81&lt;Hta_20,$G81&gt;=Hba_20,Input!V$40&lt;&gt;""),Input!$B$40&amp;";",""),IF(AND($G81&lt;Hta_21,$G81&gt;=Hba_21,Input!V$41&lt;&gt;""),Input!$B$41&amp;";",""),IF(AND($G81&lt;Hta_22,$G81&gt;=Hba_22,Input!V$42&lt;&gt;""),Input!$B$42&amp;";",""),IF(AND($G81&lt;Hta_23,$G81&gt;=Hba_23,Input!V$43&lt;&gt;""),Input!$B$43&amp;";",""),IF(AND($G81&lt;Hta_24,$G81&gt;=Hba_24,Input!V$44&lt;&gt;""),Input!$B$44&amp;";",""),IF(AND($G81&lt;Hta_25,$G81&gt;=Hba_25,Input!V$45&lt;&gt;""),Input!$B$45&amp;";",""),IF(AND($G81&lt;Hta_26,$G81&gt;=Hba_26,Input!V$46&lt;&gt;""),Input!$B$46&amp;";",""),IF(AND($G81&lt;Hta_27,$G81&gt;=Hba_27,Input!V$47&lt;&gt;""),Input!$B$47&amp;";",""),IF(AND($G81&lt;Hta_28,$G81&gt;=Hba_28,Input!V$48&lt;&gt;""),Input!$B$48&amp;";",""),IF(AND($G81&lt;Hta_29,$G81&gt;=Hba_29,Input!V$49&lt;&gt;""),Input!$B$49&amp;";",""),IF(AND($G81&lt;Hta_30,$G81&gt;=Hba_30,Input!V$50&lt;&gt;""),Input!$B$50&amp;";","")),"")</f>
        <v/>
      </c>
      <c r="BX81" s="25" t="str">
        <f>IFERROR(CONCATENATE(IF(AND($G81&lt;Hta_1,$G81&gt;=Hba_1,Input!W$21&lt;&gt;""),Input!$B$21&amp;";",""),IF(AND($G81&lt;Hta_2,$G81&gt;=Hba_2,Input!W$22&lt;&gt;""),Input!$B$22&amp;";",""),IF(AND($G81&lt;Hta_3,$G81&gt;=Hba_3,Input!W$23&lt;&gt;""),Input!$B$23&amp;";",""),IF(AND($G81&lt;Hta_4,$G81&gt;=Hba_4,Input!W$24&lt;&gt;""),Input!$B$24&amp;";",""),IF(AND($G81&lt;Hta_5,$G81&gt;=Hba_5,Input!W$25&lt;&gt;""),Input!$B$25&amp;";",""),IF(AND($G81&lt;Hta_6,$G81&gt;=Hba_6,Input!W$26&lt;&gt;""),Input!$B$26&amp;";",""),IF(AND($G81&lt;Hta_7,$G81&gt;=Hba_7,Input!W$27&lt;&gt;""),Input!$B$27&amp;";",""),IF(AND($G81&lt;Hta_8,$G81&gt;=Hba_8,Input!W$28&lt;&gt;""),Input!$B$28&amp;";",""),IF(AND($G81&lt;Hta_9,$G81&gt;=Hba_9,Input!W$29&lt;&gt;""),Input!$B$29&amp;";",""),IF(AND($G81&lt;Hta_10,$G81&gt;=Hba_10,Input!W$30&lt;&gt;""),Input!$B$30&amp;";",""),IF(AND($G81&lt;Hta_11,$G81&gt;=Hba_11,Input!W$31&lt;&gt;""),Input!$B$31&amp;";",""),IF(AND($G81&lt;Hta_12,$G81&gt;=Hba_12,Input!W$32&lt;&gt;""),Input!$B$32&amp;";",""),IF(AND($G81&lt;Hta_13,$G81&gt;=Hba_13,Input!W$33&lt;&gt;""),Input!$B$33&amp;";",""),IF(AND($G81&lt;Hta_14,$G81&gt;=Hba_14,Input!W$34&lt;&gt;""),Input!$B$34&amp;";",""),IF(AND($G81&lt;Hta_15,$G81&gt;=Hba_15,Input!W$35&lt;&gt;""),Input!$B$35&amp;";",""),IF(AND($G81&lt;Hta_16,$G81&gt;=Hba_16,Input!W$36&lt;&gt;""),Input!$B$36&amp;";",""),IF(AND($G81&lt;Hta_17,$G81&gt;=Hba_17,Input!W$37&lt;&gt;""),Input!$B$37&amp;";",""),IF(AND($G81&lt;Hta_18,$G81&gt;=Hba_18,Input!W$38&lt;&gt;""),Input!$B$38&amp;";",""),IF(AND($G81&lt;Hta_19,$G81&gt;=Hba_19,Input!W$39&lt;&gt;""),Input!$B$39&amp;";",""),IF(AND($G81&lt;Hta_20,$G81&gt;=Hba_20,Input!W$40&lt;&gt;""),Input!$B$40&amp;";",""),IF(AND($G81&lt;Hta_21,$G81&gt;=Hba_21,Input!W$41&lt;&gt;""),Input!$B$41&amp;";",""),IF(AND($G81&lt;Hta_22,$G81&gt;=Hba_22,Input!W$42&lt;&gt;""),Input!$B$42&amp;";",""),IF(AND($G81&lt;Hta_23,$G81&gt;=Hba_23,Input!W$43&lt;&gt;""),Input!$B$43&amp;";",""),IF(AND($G81&lt;Hta_24,$G81&gt;=Hba_24,Input!W$44&lt;&gt;""),Input!$B$44&amp;";",""),IF(AND($G81&lt;Hta_25,$G81&gt;=Hba_25,Input!W$45&lt;&gt;""),Input!$B$45&amp;";",""),IF(AND($G81&lt;Hta_26,$G81&gt;=Hba_26,Input!W$46&lt;&gt;""),Input!$B$46&amp;";",""),IF(AND($G81&lt;Hta_27,$G81&gt;=Hba_27,Input!W$47&lt;&gt;""),Input!$B$47&amp;";",""),IF(AND($G81&lt;Hta_28,$G81&gt;=Hba_28,Input!W$48&lt;&gt;""),Input!$B$48&amp;";",""),IF(AND($G81&lt;Hta_29,$G81&gt;=Hba_29,Input!W$49&lt;&gt;""),Input!$B$49&amp;";",""),IF(AND($G81&lt;Hta_30,$G81&gt;=Hba_30,Input!W$50&lt;&gt;""),Input!$B$50&amp;";","")),"")</f>
        <v/>
      </c>
      <c r="BY81" s="25" t="str">
        <f>IFERROR(CONCATENATE(IF(AND($G81&lt;Hta_1,$G81&gt;=Hba_1,Input!X$21&lt;&gt;""),Input!$B$21&amp;";",""),IF(AND($G81&lt;Hta_2,$G81&gt;=Hba_2,Input!X$22&lt;&gt;""),Input!$B$22&amp;";",""),IF(AND($G81&lt;Hta_3,$G81&gt;=Hba_3,Input!X$23&lt;&gt;""),Input!$B$23&amp;";",""),IF(AND($G81&lt;Hta_4,$G81&gt;=Hba_4,Input!X$24&lt;&gt;""),Input!$B$24&amp;";",""),IF(AND($G81&lt;Hta_5,$G81&gt;=Hba_5,Input!X$25&lt;&gt;""),Input!$B$25&amp;";",""),IF(AND($G81&lt;Hta_6,$G81&gt;=Hba_6,Input!X$26&lt;&gt;""),Input!$B$26&amp;";",""),IF(AND($G81&lt;Hta_7,$G81&gt;=Hba_7,Input!X$27&lt;&gt;""),Input!$B$27&amp;";",""),IF(AND($G81&lt;Hta_8,$G81&gt;=Hba_8,Input!X$28&lt;&gt;""),Input!$B$28&amp;";",""),IF(AND($G81&lt;Hta_9,$G81&gt;=Hba_9,Input!X$29&lt;&gt;""),Input!$B$29&amp;";",""),IF(AND($G81&lt;Hta_10,$G81&gt;=Hba_10,Input!X$30&lt;&gt;""),Input!$B$30&amp;";",""),IF(AND($G81&lt;Hta_11,$G81&gt;=Hba_11,Input!X$31&lt;&gt;""),Input!$B$31&amp;";",""),IF(AND($G81&lt;Hta_12,$G81&gt;=Hba_12,Input!X$32&lt;&gt;""),Input!$B$32&amp;";",""),IF(AND($G81&lt;Hta_13,$G81&gt;=Hba_13,Input!X$33&lt;&gt;""),Input!$B$33&amp;";",""),IF(AND($G81&lt;Hta_14,$G81&gt;=Hba_14,Input!X$34&lt;&gt;""),Input!$B$34&amp;";",""),IF(AND($G81&lt;Hta_15,$G81&gt;=Hba_15,Input!X$35&lt;&gt;""),Input!$B$35&amp;";",""),IF(AND($G81&lt;Hta_16,$G81&gt;=Hba_16,Input!X$36&lt;&gt;""),Input!$B$36&amp;";",""),IF(AND($G81&lt;Hta_17,$G81&gt;=Hba_17,Input!X$37&lt;&gt;""),Input!$B$37&amp;";",""),IF(AND($G81&lt;Hta_18,$G81&gt;=Hba_18,Input!X$38&lt;&gt;""),Input!$B$38&amp;";",""),IF(AND($G81&lt;Hta_19,$G81&gt;=Hba_19,Input!X$39&lt;&gt;""),Input!$B$39&amp;";",""),IF(AND($G81&lt;Hta_20,$G81&gt;=Hba_20,Input!X$40&lt;&gt;""),Input!$B$40&amp;";",""),IF(AND($G81&lt;Hta_21,$G81&gt;=Hba_21,Input!X$41&lt;&gt;""),Input!$B$41&amp;";",""),IF(AND($G81&lt;Hta_22,$G81&gt;=Hba_22,Input!X$42&lt;&gt;""),Input!$B$42&amp;";",""),IF(AND($G81&lt;Hta_23,$G81&gt;=Hba_23,Input!X$43&lt;&gt;""),Input!$B$43&amp;";",""),IF(AND($G81&lt;Hta_24,$G81&gt;=Hba_24,Input!X$44&lt;&gt;""),Input!$B$44&amp;";",""),IF(AND($G81&lt;Hta_25,$G81&gt;=Hba_25,Input!X$45&lt;&gt;""),Input!$B$45&amp;";",""),IF(AND($G81&lt;Hta_26,$G81&gt;=Hba_26,Input!X$46&lt;&gt;""),Input!$B$46&amp;";",""),IF(AND($G81&lt;Hta_27,$G81&gt;=Hba_27,Input!X$47&lt;&gt;""),Input!$B$47&amp;";",""),IF(AND($G81&lt;Hta_28,$G81&gt;=Hba_28,Input!X$48&lt;&gt;""),Input!$B$48&amp;";",""),IF(AND($G81&lt;Hta_29,$G81&gt;=Hba_29,Input!X$49&lt;&gt;""),Input!$B$49&amp;";",""),IF(AND($G81&lt;Hta_30,$G81&gt;=Hba_30,Input!X$50&lt;&gt;""),Input!$B$50&amp;";","")),"")</f>
        <v/>
      </c>
      <c r="BZ81" s="25" t="str">
        <f>IFERROR(CONCATENATE(IF(AND($G81&lt;Hta_1,$G81&gt;=Hba_1,Input!Y$21&lt;&gt;""),Input!$B$21&amp;";",""),IF(AND($G81&lt;Hta_2,$G81&gt;=Hba_2,Input!Y$22&lt;&gt;""),Input!$B$22&amp;";",""),IF(AND($G81&lt;Hta_3,$G81&gt;=Hba_3,Input!Y$23&lt;&gt;""),Input!$B$23&amp;";",""),IF(AND($G81&lt;Hta_4,$G81&gt;=Hba_4,Input!Y$24&lt;&gt;""),Input!$B$24&amp;";",""),IF(AND($G81&lt;Hta_5,$G81&gt;=Hba_5,Input!Y$25&lt;&gt;""),Input!$B$25&amp;";",""),IF(AND($G81&lt;Hta_6,$G81&gt;=Hba_6,Input!Y$26&lt;&gt;""),Input!$B$26&amp;";",""),IF(AND($G81&lt;Hta_7,$G81&gt;=Hba_7,Input!Y$27&lt;&gt;""),Input!$B$27&amp;";",""),IF(AND($G81&lt;Hta_8,$G81&gt;=Hba_8,Input!Y$28&lt;&gt;""),Input!$B$28&amp;";",""),IF(AND($G81&lt;Hta_9,$G81&gt;=Hba_9,Input!Y$29&lt;&gt;""),Input!$B$29&amp;";",""),IF(AND($G81&lt;Hta_10,$G81&gt;=Hba_10,Input!Y$30&lt;&gt;""),Input!$B$30&amp;";",""),IF(AND($G81&lt;Hta_11,$G81&gt;=Hba_11,Input!Y$31&lt;&gt;""),Input!$B$31&amp;";",""),IF(AND($G81&lt;Hta_12,$G81&gt;=Hba_12,Input!Y$32&lt;&gt;""),Input!$B$32&amp;";",""),IF(AND($G81&lt;Hta_13,$G81&gt;=Hba_13,Input!Y$33&lt;&gt;""),Input!$B$33&amp;";",""),IF(AND($G81&lt;Hta_14,$G81&gt;=Hba_14,Input!Y$34&lt;&gt;""),Input!$B$34&amp;";",""),IF(AND($G81&lt;Hta_15,$G81&gt;=Hba_15,Input!Y$35&lt;&gt;""),Input!$B$35&amp;";",""),IF(AND($G81&lt;Hta_16,$G81&gt;=Hba_16,Input!Y$36&lt;&gt;""),Input!$B$36&amp;";",""),IF(AND($G81&lt;Hta_17,$G81&gt;=Hba_17,Input!Y$37&lt;&gt;""),Input!$B$37&amp;";",""),IF(AND($G81&lt;Hta_18,$G81&gt;=Hba_18,Input!Y$38&lt;&gt;""),Input!$B$38&amp;";",""),IF(AND($G81&lt;Hta_19,$G81&gt;=Hba_19,Input!Y$39&lt;&gt;""),Input!$B$39&amp;";",""),IF(AND($G81&lt;Hta_20,$G81&gt;=Hba_20,Input!Y$40&lt;&gt;""),Input!$B$40&amp;";",""),IF(AND($G81&lt;Hta_21,$G81&gt;=Hba_21,Input!Y$41&lt;&gt;""),Input!$B$41&amp;";",""),IF(AND($G81&lt;Hta_22,$G81&gt;=Hba_22,Input!Y$42&lt;&gt;""),Input!$B$42&amp;";",""),IF(AND($G81&lt;Hta_23,$G81&gt;=Hba_23,Input!Y$43&lt;&gt;""),Input!$B$43&amp;";",""),IF(AND($G81&lt;Hta_24,$G81&gt;=Hba_24,Input!Y$44&lt;&gt;""),Input!$B$44&amp;";",""),IF(AND($G81&lt;Hta_25,$G81&gt;=Hba_25,Input!Y$45&lt;&gt;""),Input!$B$45&amp;";",""),IF(AND($G81&lt;Hta_26,$G81&gt;=Hba_26,Input!Y$46&lt;&gt;""),Input!$B$46&amp;";",""),IF(AND($G81&lt;Hta_27,$G81&gt;=Hba_27,Input!Y$47&lt;&gt;""),Input!$B$47&amp;";",""),IF(AND($G81&lt;Hta_28,$G81&gt;=Hba_28,Input!Y$48&lt;&gt;""),Input!$B$48&amp;";",""),IF(AND($G81&lt;Hta_29,$G81&gt;=Hba_29,Input!Y$49&lt;&gt;""),Input!$B$49&amp;";",""),IF(AND($G81&lt;Hta_30,$G81&gt;=Hba_30,Input!Y$50&lt;&gt;""),Input!$B$50&amp;";","")),"")</f>
        <v/>
      </c>
      <c r="CA81" s="25" t="str">
        <f>IFERROR(CONCATENATE(IF(AND($G81&lt;Hta_1,$G81&gt;=Hba_1,Input!Z$21&lt;&gt;""),Input!$B$21&amp;";",""),IF(AND($G81&lt;Hta_2,$G81&gt;=Hba_2,Input!Z$22&lt;&gt;""),Input!$B$22&amp;";",""),IF(AND($G81&lt;Hta_3,$G81&gt;=Hba_3,Input!Z$23&lt;&gt;""),Input!$B$23&amp;";",""),IF(AND($G81&lt;Hta_4,$G81&gt;=Hba_4,Input!Z$24&lt;&gt;""),Input!$B$24&amp;";",""),IF(AND($G81&lt;Hta_5,$G81&gt;=Hba_5,Input!Z$25&lt;&gt;""),Input!$B$25&amp;";",""),IF(AND($G81&lt;Hta_6,$G81&gt;=Hba_6,Input!Z$26&lt;&gt;""),Input!$B$26&amp;";",""),IF(AND($G81&lt;Hta_7,$G81&gt;=Hba_7,Input!Z$27&lt;&gt;""),Input!$B$27&amp;";",""),IF(AND($G81&lt;Hta_8,$G81&gt;=Hba_8,Input!Z$28&lt;&gt;""),Input!$B$28&amp;";",""),IF(AND($G81&lt;Hta_9,$G81&gt;=Hba_9,Input!Z$29&lt;&gt;""),Input!$B$29&amp;";",""),IF(AND($G81&lt;Hta_10,$G81&gt;=Hba_10,Input!Z$30&lt;&gt;""),Input!$B$30&amp;";",""),IF(AND($G81&lt;Hta_11,$G81&gt;=Hba_11,Input!Z$31&lt;&gt;""),Input!$B$31&amp;";",""),IF(AND($G81&lt;Hta_12,$G81&gt;=Hba_12,Input!Z$32&lt;&gt;""),Input!$B$32&amp;";",""),IF(AND($G81&lt;Hta_13,$G81&gt;=Hba_13,Input!Z$33&lt;&gt;""),Input!$B$33&amp;";",""),IF(AND($G81&lt;Hta_14,$G81&gt;=Hba_14,Input!Z$34&lt;&gt;""),Input!$B$34&amp;";",""),IF(AND($G81&lt;Hta_15,$G81&gt;=Hba_15,Input!Z$35&lt;&gt;""),Input!$B$35&amp;";",""),IF(AND($G81&lt;Hta_16,$G81&gt;=Hba_16,Input!Z$36&lt;&gt;""),Input!$B$36&amp;";",""),IF(AND($G81&lt;Hta_17,$G81&gt;=Hba_17,Input!Z$37&lt;&gt;""),Input!$B$37&amp;";",""),IF(AND($G81&lt;Hta_18,$G81&gt;=Hba_18,Input!Z$38&lt;&gt;""),Input!$B$38&amp;";",""),IF(AND($G81&lt;Hta_19,$G81&gt;=Hba_19,Input!Z$39&lt;&gt;""),Input!$B$39&amp;";",""),IF(AND($G81&lt;Hta_20,$G81&gt;=Hba_20,Input!Z$40&lt;&gt;""),Input!$B$40&amp;";",""),IF(AND($G81&lt;Hta_21,$G81&gt;=Hba_21,Input!Z$41&lt;&gt;""),Input!$B$41&amp;";",""),IF(AND($G81&lt;Hta_22,$G81&gt;=Hba_22,Input!Z$42&lt;&gt;""),Input!$B$42&amp;";",""),IF(AND($G81&lt;Hta_23,$G81&gt;=Hba_23,Input!Z$43&lt;&gt;""),Input!$B$43&amp;";",""),IF(AND($G81&lt;Hta_24,$G81&gt;=Hba_24,Input!Z$44&lt;&gt;""),Input!$B$44&amp;";",""),IF(AND($G81&lt;Hta_25,$G81&gt;=Hba_25,Input!Z$45&lt;&gt;""),Input!$B$45&amp;";",""),IF(AND($G81&lt;Hta_26,$G81&gt;=Hba_26,Input!Z$46&lt;&gt;""),Input!$B$46&amp;";",""),IF(AND($G81&lt;Hta_27,$G81&gt;=Hba_27,Input!Z$47&lt;&gt;""),Input!$B$47&amp;";",""),IF(AND($G81&lt;Hta_28,$G81&gt;=Hba_28,Input!Z$48&lt;&gt;""),Input!$B$48&amp;";",""),IF(AND($G81&lt;Hta_29,$G81&gt;=Hba_29,Input!Z$49&lt;&gt;""),Input!$B$49&amp;";",""),IF(AND($G81&lt;Hta_30,$G81&gt;=Hba_30,Input!Z$50&lt;&gt;""),Input!$B$50&amp;";","")),"")</f>
        <v/>
      </c>
      <c r="CB81" s="25" t="str">
        <f>IFERROR(CONCATENATE(IF(AND($G81&lt;Hta_1,$G81&gt;=Hba_1,Input!AA$21&lt;&gt;""),Input!$B$21&amp;";",""),IF(AND($G81&lt;Hta_2,$G81&gt;=Hba_2,Input!AA$22&lt;&gt;""),Input!$B$22&amp;";",""),IF(AND($G81&lt;Hta_3,$G81&gt;=Hba_3,Input!AA$23&lt;&gt;""),Input!$B$23&amp;";",""),IF(AND($G81&lt;Hta_4,$G81&gt;=Hba_4,Input!AA$24&lt;&gt;""),Input!$B$24&amp;";",""),IF(AND($G81&lt;Hta_5,$G81&gt;=Hba_5,Input!AA$25&lt;&gt;""),Input!$B$25&amp;";",""),IF(AND($G81&lt;Hta_6,$G81&gt;=Hba_6,Input!AA$26&lt;&gt;""),Input!$B$26&amp;";",""),IF(AND($G81&lt;Hta_7,$G81&gt;=Hba_7,Input!AA$27&lt;&gt;""),Input!$B$27&amp;";",""),IF(AND($G81&lt;Hta_8,$G81&gt;=Hba_8,Input!AA$28&lt;&gt;""),Input!$B$28&amp;";",""),IF(AND($G81&lt;Hta_9,$G81&gt;=Hba_9,Input!AA$29&lt;&gt;""),Input!$B$29&amp;";",""),IF(AND($G81&lt;Hta_10,$G81&gt;=Hba_10,Input!AA$30&lt;&gt;""),Input!$B$30&amp;";",""),IF(AND($G81&lt;Hta_11,$G81&gt;=Hba_11,Input!AA$31&lt;&gt;""),Input!$B$31&amp;";",""),IF(AND($G81&lt;Hta_12,$G81&gt;=Hba_12,Input!AA$32&lt;&gt;""),Input!$B$32&amp;";",""),IF(AND($G81&lt;Hta_13,$G81&gt;=Hba_13,Input!AA$33&lt;&gt;""),Input!$B$33&amp;";",""),IF(AND($G81&lt;Hta_14,$G81&gt;=Hba_14,Input!AA$34&lt;&gt;""),Input!$B$34&amp;";",""),IF(AND($G81&lt;Hta_15,$G81&gt;=Hba_15,Input!AA$35&lt;&gt;""),Input!$B$35&amp;";",""),IF(AND($G81&lt;Hta_16,$G81&gt;=Hba_16,Input!AA$36&lt;&gt;""),Input!$B$36&amp;";",""),IF(AND($G81&lt;Hta_17,$G81&gt;=Hba_17,Input!AA$37&lt;&gt;""),Input!$B$37&amp;";",""),IF(AND($G81&lt;Hta_18,$G81&gt;=Hba_18,Input!AA$38&lt;&gt;""),Input!$B$38&amp;";",""),IF(AND($G81&lt;Hta_19,$G81&gt;=Hba_19,Input!AA$39&lt;&gt;""),Input!$B$39&amp;";",""),IF(AND($G81&lt;Hta_20,$G81&gt;=Hba_20,Input!AA$40&lt;&gt;""),Input!$B$40&amp;";",""),IF(AND($G81&lt;Hta_21,$G81&gt;=Hba_21,Input!AA$41&lt;&gt;""),Input!$B$41&amp;";",""),IF(AND($G81&lt;Hta_22,$G81&gt;=Hba_22,Input!AA$42&lt;&gt;""),Input!$B$42&amp;";",""),IF(AND($G81&lt;Hta_23,$G81&gt;=Hba_23,Input!AA$43&lt;&gt;""),Input!$B$43&amp;";",""),IF(AND($G81&lt;Hta_24,$G81&gt;=Hba_24,Input!AA$44&lt;&gt;""),Input!$B$44&amp;";",""),IF(AND($G81&lt;Hta_25,$G81&gt;=Hba_25,Input!AA$45&lt;&gt;""),Input!$B$45&amp;";",""),IF(AND($G81&lt;Hta_26,$G81&gt;=Hba_26,Input!AA$46&lt;&gt;""),Input!$B$46&amp;";",""),IF(AND($G81&lt;Hta_27,$G81&gt;=Hba_27,Input!AA$47&lt;&gt;""),Input!$B$47&amp;";",""),IF(AND($G81&lt;Hta_28,$G81&gt;=Hba_28,Input!AA$48&lt;&gt;""),Input!$B$48&amp;";",""),IF(AND($G81&lt;Hta_29,$G81&gt;=Hba_29,Input!AA$49&lt;&gt;""),Input!$B$49&amp;";",""),IF(AND($G81&lt;Hta_30,$G81&gt;=Hba_30,Input!AA$50&lt;&gt;""),Input!$B$50&amp;";","")),"")</f>
        <v/>
      </c>
      <c r="CC81" s="25" t="str">
        <f>IFERROR(CONCATENATE(IF(AND($G81&lt;Hta_1,$G81&gt;=Hba_1,Input!AB$21&lt;&gt;""),Input!$B$21&amp;";",""),IF(AND($G81&lt;Hta_2,$G81&gt;=Hba_2,Input!AB$22&lt;&gt;""),Input!$B$22&amp;";",""),IF(AND($G81&lt;Hta_3,$G81&gt;=Hba_3,Input!AB$23&lt;&gt;""),Input!$B$23&amp;";",""),IF(AND($G81&lt;Hta_4,$G81&gt;=Hba_4,Input!AB$24&lt;&gt;""),Input!$B$24&amp;";",""),IF(AND($G81&lt;Hta_5,$G81&gt;=Hba_5,Input!AB$25&lt;&gt;""),Input!$B$25&amp;";",""),IF(AND($G81&lt;Hta_6,$G81&gt;=Hba_6,Input!AB$26&lt;&gt;""),Input!$B$26&amp;";",""),IF(AND($G81&lt;Hta_7,$G81&gt;=Hba_7,Input!AB$27&lt;&gt;""),Input!$B$27&amp;";",""),IF(AND($G81&lt;Hta_8,$G81&gt;=Hba_8,Input!AB$28&lt;&gt;""),Input!$B$28&amp;";",""),IF(AND($G81&lt;Hta_9,$G81&gt;=Hba_9,Input!AB$29&lt;&gt;""),Input!$B$29&amp;";",""),IF(AND($G81&lt;Hta_10,$G81&gt;=Hba_10,Input!AB$30&lt;&gt;""),Input!$B$30&amp;";",""),IF(AND($G81&lt;Hta_11,$G81&gt;=Hba_11,Input!AB$31&lt;&gt;""),Input!$B$31&amp;";",""),IF(AND($G81&lt;Hta_12,$G81&gt;=Hba_12,Input!AB$32&lt;&gt;""),Input!$B$32&amp;";",""),IF(AND($G81&lt;Hta_13,$G81&gt;=Hba_13,Input!AB$33&lt;&gt;""),Input!$B$33&amp;";",""),IF(AND($G81&lt;Hta_14,$G81&gt;=Hba_14,Input!AB$34&lt;&gt;""),Input!$B$34&amp;";",""),IF(AND($G81&lt;Hta_15,$G81&gt;=Hba_15,Input!AB$35&lt;&gt;""),Input!$B$35&amp;";",""),IF(AND($G81&lt;Hta_16,$G81&gt;=Hba_16,Input!AB$36&lt;&gt;""),Input!$B$36&amp;";",""),IF(AND($G81&lt;Hta_17,$G81&gt;=Hba_17,Input!AB$37&lt;&gt;""),Input!$B$37&amp;";",""),IF(AND($G81&lt;Hta_18,$G81&gt;=Hba_18,Input!AB$38&lt;&gt;""),Input!$B$38&amp;";",""),IF(AND($G81&lt;Hta_19,$G81&gt;=Hba_19,Input!AB$39&lt;&gt;""),Input!$B$39&amp;";",""),IF(AND($G81&lt;Hta_20,$G81&gt;=Hba_20,Input!AB$40&lt;&gt;""),Input!$B$40&amp;";",""),IF(AND($G81&lt;Hta_21,$G81&gt;=Hba_21,Input!AB$41&lt;&gt;""),Input!$B$41&amp;";",""),IF(AND($G81&lt;Hta_22,$G81&gt;=Hba_22,Input!AB$42&lt;&gt;""),Input!$B$42&amp;";",""),IF(AND($G81&lt;Hta_23,$G81&gt;=Hba_23,Input!AB$43&lt;&gt;""),Input!$B$43&amp;";",""),IF(AND($G81&lt;Hta_24,$G81&gt;=Hba_24,Input!AB$44&lt;&gt;""),Input!$B$44&amp;";",""),IF(AND($G81&lt;Hta_25,$G81&gt;=Hba_25,Input!AB$45&lt;&gt;""),Input!$B$45&amp;";",""),IF(AND($G81&lt;Hta_26,$G81&gt;=Hba_26,Input!AB$46&lt;&gt;""),Input!$B$46&amp;";",""),IF(AND($G81&lt;Hta_27,$G81&gt;=Hba_27,Input!AB$47&lt;&gt;""),Input!$B$47&amp;";",""),IF(AND($G81&lt;Hta_28,$G81&gt;=Hba_28,Input!AB$48&lt;&gt;""),Input!$B$48&amp;";",""),IF(AND($G81&lt;Hta_29,$G81&gt;=Hba_29,Input!AB$49&lt;&gt;""),Input!$B$49&amp;";",""),IF(AND($G81&lt;Hta_30,$G81&gt;=Hba_30,Input!AB$50&lt;&gt;""),Input!$B$50&amp;";","")),"")</f>
        <v/>
      </c>
      <c r="CD81" s="25" t="str">
        <f>IFERROR(CONCATENATE(IF(AND($G81&lt;Hta_1,$G81&gt;=Hba_1,Input!AC$21&lt;&gt;""),Input!$B$21&amp;";",""),IF(AND($G81&lt;Hta_2,$G81&gt;=Hba_2,Input!AC$22&lt;&gt;""),Input!$B$22&amp;";",""),IF(AND($G81&lt;Hta_3,$G81&gt;=Hba_3,Input!AC$23&lt;&gt;""),Input!$B$23&amp;";",""),IF(AND($G81&lt;Hta_4,$G81&gt;=Hba_4,Input!AC$24&lt;&gt;""),Input!$B$24&amp;";",""),IF(AND($G81&lt;Hta_5,$G81&gt;=Hba_5,Input!AC$25&lt;&gt;""),Input!$B$25&amp;";",""),IF(AND($G81&lt;Hta_6,$G81&gt;=Hba_6,Input!AC$26&lt;&gt;""),Input!$B$26&amp;";",""),IF(AND($G81&lt;Hta_7,$G81&gt;=Hba_7,Input!AC$27&lt;&gt;""),Input!$B$27&amp;";",""),IF(AND($G81&lt;Hta_8,$G81&gt;=Hba_8,Input!AC$28&lt;&gt;""),Input!$B$28&amp;";",""),IF(AND($G81&lt;Hta_9,$G81&gt;=Hba_9,Input!AC$29&lt;&gt;""),Input!$B$29&amp;";",""),IF(AND($G81&lt;Hta_10,$G81&gt;=Hba_10,Input!AC$30&lt;&gt;""),Input!$B$30&amp;";",""),IF(AND($G81&lt;Hta_11,$G81&gt;=Hba_11,Input!AC$31&lt;&gt;""),Input!$B$31&amp;";",""),IF(AND($G81&lt;Hta_12,$G81&gt;=Hba_12,Input!AC$32&lt;&gt;""),Input!$B$32&amp;";",""),IF(AND($G81&lt;Hta_13,$G81&gt;=Hba_13,Input!AC$33&lt;&gt;""),Input!$B$33&amp;";",""),IF(AND($G81&lt;Hta_14,$G81&gt;=Hba_14,Input!AC$34&lt;&gt;""),Input!$B$34&amp;";",""),IF(AND($G81&lt;Hta_15,$G81&gt;=Hba_15,Input!AC$35&lt;&gt;""),Input!$B$35&amp;";",""),IF(AND($G81&lt;Hta_16,$G81&gt;=Hba_16,Input!AC$36&lt;&gt;""),Input!$B$36&amp;";",""),IF(AND($G81&lt;Hta_17,$G81&gt;=Hba_17,Input!AC$37&lt;&gt;""),Input!$B$37&amp;";",""),IF(AND($G81&lt;Hta_18,$G81&gt;=Hba_18,Input!AC$38&lt;&gt;""),Input!$B$38&amp;";",""),IF(AND($G81&lt;Hta_19,$G81&gt;=Hba_19,Input!AC$39&lt;&gt;""),Input!$B$39&amp;";",""),IF(AND($G81&lt;Hta_20,$G81&gt;=Hba_20,Input!AC$40&lt;&gt;""),Input!$B$40&amp;";",""),IF(AND($G81&lt;Hta_21,$G81&gt;=Hba_21,Input!AC$41&lt;&gt;""),Input!$B$41&amp;";",""),IF(AND($G81&lt;Hta_22,$G81&gt;=Hba_22,Input!AC$42&lt;&gt;""),Input!$B$42&amp;";",""),IF(AND($G81&lt;Hta_23,$G81&gt;=Hba_23,Input!AC$43&lt;&gt;""),Input!$B$43&amp;";",""),IF(AND($G81&lt;Hta_24,$G81&gt;=Hba_24,Input!AC$44&lt;&gt;""),Input!$B$44&amp;";",""),IF(AND($G81&lt;Hta_25,$G81&gt;=Hba_25,Input!AC$45&lt;&gt;""),Input!$B$45&amp;";",""),IF(AND($G81&lt;Hta_26,$G81&gt;=Hba_26,Input!AC$46&lt;&gt;""),Input!$B$46&amp;";",""),IF(AND($G81&lt;Hta_27,$G81&gt;=Hba_27,Input!AC$47&lt;&gt;""),Input!$B$47&amp;";",""),IF(AND($G81&lt;Hta_28,$G81&gt;=Hba_28,Input!AC$48&lt;&gt;""),Input!$B$48&amp;";",""),IF(AND($G81&lt;Hta_29,$G81&gt;=Hba_29,Input!AC$49&lt;&gt;""),Input!$B$49&amp;";",""),IF(AND($G81&lt;Hta_30,$G81&gt;=Hba_30,Input!AC$50&lt;&gt;""),Input!$B$50&amp;";","")),"")</f>
        <v/>
      </c>
      <c r="CE81" s="25" t="str">
        <f>IFERROR(CONCATENATE(IF(AND($G81&lt;Hta_1,$G81&gt;=Hba_1,Input!AD$21&lt;&gt;""),Input!$B$21&amp;";",""),IF(AND($G81&lt;Hta_2,$G81&gt;=Hba_2,Input!AD$22&lt;&gt;""),Input!$B$22&amp;";",""),IF(AND($G81&lt;Hta_3,$G81&gt;=Hba_3,Input!AD$23&lt;&gt;""),Input!$B$23&amp;";",""),IF(AND($G81&lt;Hta_4,$G81&gt;=Hba_4,Input!AD$24&lt;&gt;""),Input!$B$24&amp;";",""),IF(AND($G81&lt;Hta_5,$G81&gt;=Hba_5,Input!AD$25&lt;&gt;""),Input!$B$25&amp;";",""),IF(AND($G81&lt;Hta_6,$G81&gt;=Hba_6,Input!AD$26&lt;&gt;""),Input!$B$26&amp;";",""),IF(AND($G81&lt;Hta_7,$G81&gt;=Hba_7,Input!AD$27&lt;&gt;""),Input!$B$27&amp;";",""),IF(AND($G81&lt;Hta_8,$G81&gt;=Hba_8,Input!AD$28&lt;&gt;""),Input!$B$28&amp;";",""),IF(AND($G81&lt;Hta_9,$G81&gt;=Hba_9,Input!AD$29&lt;&gt;""),Input!$B$29&amp;";",""),IF(AND($G81&lt;Hta_10,$G81&gt;=Hba_10,Input!AD$30&lt;&gt;""),Input!$B$30&amp;";",""),IF(AND($G81&lt;Hta_11,$G81&gt;=Hba_11,Input!AD$31&lt;&gt;""),Input!$B$31&amp;";",""),IF(AND($G81&lt;Hta_12,$G81&gt;=Hba_12,Input!AD$32&lt;&gt;""),Input!$B$32&amp;";",""),IF(AND($G81&lt;Hta_13,$G81&gt;=Hba_13,Input!AD$33&lt;&gt;""),Input!$B$33&amp;";",""),IF(AND($G81&lt;Hta_14,$G81&gt;=Hba_14,Input!AD$34&lt;&gt;""),Input!$B$34&amp;";",""),IF(AND($G81&lt;Hta_15,$G81&gt;=Hba_15,Input!AD$35&lt;&gt;""),Input!$B$35&amp;";",""),IF(AND($G81&lt;Hta_16,$G81&gt;=Hba_16,Input!AD$36&lt;&gt;""),Input!$B$36&amp;";",""),IF(AND($G81&lt;Hta_17,$G81&gt;=Hba_17,Input!AD$37&lt;&gt;""),Input!$B$37&amp;";",""),IF(AND($G81&lt;Hta_18,$G81&gt;=Hba_18,Input!AD$38&lt;&gt;""),Input!$B$38&amp;";",""),IF(AND($G81&lt;Hta_19,$G81&gt;=Hba_19,Input!AD$39&lt;&gt;""),Input!$B$39&amp;";",""),IF(AND($G81&lt;Hta_20,$G81&gt;=Hba_20,Input!AD$40&lt;&gt;""),Input!$B$40&amp;";",""),IF(AND($G81&lt;Hta_21,$G81&gt;=Hba_21,Input!AD$41&lt;&gt;""),Input!$B$41&amp;";",""),IF(AND($G81&lt;Hta_22,$G81&gt;=Hba_22,Input!AD$42&lt;&gt;""),Input!$B$42&amp;";",""),IF(AND($G81&lt;Hta_23,$G81&gt;=Hba_23,Input!AD$43&lt;&gt;""),Input!$B$43&amp;";",""),IF(AND($G81&lt;Hta_24,$G81&gt;=Hba_24,Input!AD$44&lt;&gt;""),Input!$B$44&amp;";",""),IF(AND($G81&lt;Hta_25,$G81&gt;=Hba_25,Input!AD$45&lt;&gt;""),Input!$B$45&amp;";",""),IF(AND($G81&lt;Hta_26,$G81&gt;=Hba_26,Input!AD$46&lt;&gt;""),Input!$B$46&amp;";",""),IF(AND($G81&lt;Hta_27,$G81&gt;=Hba_27,Input!AD$47&lt;&gt;""),Input!$B$47&amp;";",""),IF(AND($G81&lt;Hta_28,$G81&gt;=Hba_28,Input!AD$48&lt;&gt;""),Input!$B$48&amp;";",""),IF(AND($G81&lt;Hta_29,$G81&gt;=Hba_29,Input!AD$49&lt;&gt;""),Input!$B$49&amp;";",""),IF(AND($G81&lt;Hta_30,$G81&gt;=Hba_30,Input!AD$50&lt;&gt;""),Input!$B$50&amp;";","")),"")</f>
        <v/>
      </c>
      <c r="CF81" s="25" t="str">
        <f>IFERROR(CONCATENATE(IF(AND($G81&lt;Hta_1,$G81&gt;=Hba_1,Input!AE$21&lt;&gt;""),Input!$B$21&amp;";",""),IF(AND($G81&lt;Hta_2,$G81&gt;=Hba_2,Input!AE$22&lt;&gt;""),Input!$B$22&amp;";",""),IF(AND($G81&lt;Hta_3,$G81&gt;=Hba_3,Input!AE$23&lt;&gt;""),Input!$B$23&amp;";",""),IF(AND($G81&lt;Hta_4,$G81&gt;=Hba_4,Input!AE$24&lt;&gt;""),Input!$B$24&amp;";",""),IF(AND($G81&lt;Hta_5,$G81&gt;=Hba_5,Input!AE$25&lt;&gt;""),Input!$B$25&amp;";",""),IF(AND($G81&lt;Hta_6,$G81&gt;=Hba_6,Input!AE$26&lt;&gt;""),Input!$B$26&amp;";",""),IF(AND($G81&lt;Hta_7,$G81&gt;=Hba_7,Input!AE$27&lt;&gt;""),Input!$B$27&amp;";",""),IF(AND($G81&lt;Hta_8,$G81&gt;=Hba_8,Input!AE$28&lt;&gt;""),Input!$B$28&amp;";",""),IF(AND($G81&lt;Hta_9,$G81&gt;=Hba_9,Input!AE$29&lt;&gt;""),Input!$B$29&amp;";",""),IF(AND($G81&lt;Hta_10,$G81&gt;=Hba_10,Input!AE$30&lt;&gt;""),Input!$B$30&amp;";",""),IF(AND($G81&lt;Hta_11,$G81&gt;=Hba_11,Input!AE$31&lt;&gt;""),Input!$B$31&amp;";",""),IF(AND($G81&lt;Hta_12,$G81&gt;=Hba_12,Input!AE$32&lt;&gt;""),Input!$B$32&amp;";",""),IF(AND($G81&lt;Hta_13,$G81&gt;=Hba_13,Input!AE$33&lt;&gt;""),Input!$B$33&amp;";",""),IF(AND($G81&lt;Hta_14,$G81&gt;=Hba_14,Input!AE$34&lt;&gt;""),Input!$B$34&amp;";",""),IF(AND($G81&lt;Hta_15,$G81&gt;=Hba_15,Input!AE$35&lt;&gt;""),Input!$B$35&amp;";",""),IF(AND($G81&lt;Hta_16,$G81&gt;=Hba_16,Input!AE$36&lt;&gt;""),Input!$B$36&amp;";",""),IF(AND($G81&lt;Hta_17,$G81&gt;=Hba_17,Input!AE$37&lt;&gt;""),Input!$B$37&amp;";",""),IF(AND($G81&lt;Hta_18,$G81&gt;=Hba_18,Input!AE$38&lt;&gt;""),Input!$B$38&amp;";",""),IF(AND($G81&lt;Hta_19,$G81&gt;=Hba_19,Input!AE$39&lt;&gt;""),Input!$B$39&amp;";",""),IF(AND($G81&lt;Hta_20,$G81&gt;=Hba_20,Input!AE$40&lt;&gt;""),Input!$B$40&amp;";",""),IF(AND($G81&lt;Hta_21,$G81&gt;=Hba_21,Input!AE$41&lt;&gt;""),Input!$B$41&amp;";",""),IF(AND($G81&lt;Hta_22,$G81&gt;=Hba_22,Input!AE$42&lt;&gt;""),Input!$B$42&amp;";",""),IF(AND($G81&lt;Hta_23,$G81&gt;=Hba_23,Input!AE$43&lt;&gt;""),Input!$B$43&amp;";",""),IF(AND($G81&lt;Hta_24,$G81&gt;=Hba_24,Input!AE$44&lt;&gt;""),Input!$B$44&amp;";",""),IF(AND($G81&lt;Hta_25,$G81&gt;=Hba_25,Input!AE$45&lt;&gt;""),Input!$B$45&amp;";",""),IF(AND($G81&lt;Hta_26,$G81&gt;=Hba_26,Input!AE$46&lt;&gt;""),Input!$B$46&amp;";",""),IF(AND($G81&lt;Hta_27,$G81&gt;=Hba_27,Input!AE$47&lt;&gt;""),Input!$B$47&amp;";",""),IF(AND($G81&lt;Hta_28,$G81&gt;=Hba_28,Input!AE$48&lt;&gt;""),Input!$B$48&amp;";",""),IF(AND($G81&lt;Hta_29,$G81&gt;=Hba_29,Input!AE$49&lt;&gt;""),Input!$B$49&amp;";",""),IF(AND($G81&lt;Hta_30,$G81&gt;=Hba_30,Input!AE$50&lt;&gt;""),Input!$B$50&amp;";","")),"")</f>
        <v/>
      </c>
      <c r="CG81" s="25" t="str">
        <f>IFERROR(CONCATENATE(IF(AND($G81&lt;Hta_1,$G81&gt;=Hba_1,Input!AF$21&lt;&gt;""),Input!$B$21&amp;";",""),IF(AND($G81&lt;Hta_2,$G81&gt;=Hba_2,Input!AF$22&lt;&gt;""),Input!$B$22&amp;";",""),IF(AND($G81&lt;Hta_3,$G81&gt;=Hba_3,Input!AF$23&lt;&gt;""),Input!$B$23&amp;";",""),IF(AND($G81&lt;Hta_4,$G81&gt;=Hba_4,Input!AF$24&lt;&gt;""),Input!$B$24&amp;";",""),IF(AND($G81&lt;Hta_5,$G81&gt;=Hba_5,Input!AF$25&lt;&gt;""),Input!$B$25&amp;";",""),IF(AND($G81&lt;Hta_6,$G81&gt;=Hba_6,Input!AF$26&lt;&gt;""),Input!$B$26&amp;";",""),IF(AND($G81&lt;Hta_7,$G81&gt;=Hba_7,Input!AF$27&lt;&gt;""),Input!$B$27&amp;";",""),IF(AND($G81&lt;Hta_8,$G81&gt;=Hba_8,Input!AF$28&lt;&gt;""),Input!$B$28&amp;";",""),IF(AND($G81&lt;Hta_9,$G81&gt;=Hba_9,Input!AF$29&lt;&gt;""),Input!$B$29&amp;";",""),IF(AND($G81&lt;Hta_10,$G81&gt;=Hba_10,Input!AF$30&lt;&gt;""),Input!$B$30&amp;";",""),IF(AND($G81&lt;Hta_11,$G81&gt;=Hba_11,Input!AF$31&lt;&gt;""),Input!$B$31&amp;";",""),IF(AND($G81&lt;Hta_12,$G81&gt;=Hba_12,Input!AF$32&lt;&gt;""),Input!$B$32&amp;";",""),IF(AND($G81&lt;Hta_13,$G81&gt;=Hba_13,Input!AF$33&lt;&gt;""),Input!$B$33&amp;";",""),IF(AND($G81&lt;Hta_14,$G81&gt;=Hba_14,Input!AF$34&lt;&gt;""),Input!$B$34&amp;";",""),IF(AND($G81&lt;Hta_15,$G81&gt;=Hba_15,Input!AF$35&lt;&gt;""),Input!$B$35&amp;";",""),IF(AND($G81&lt;Hta_16,$G81&gt;=Hba_16,Input!AF$36&lt;&gt;""),Input!$B$36&amp;";",""),IF(AND($G81&lt;Hta_17,$G81&gt;=Hba_17,Input!AF$37&lt;&gt;""),Input!$B$37&amp;";",""),IF(AND($G81&lt;Hta_18,$G81&gt;=Hba_18,Input!AF$38&lt;&gt;""),Input!$B$38&amp;";",""),IF(AND($G81&lt;Hta_19,$G81&gt;=Hba_19,Input!AF$39&lt;&gt;""),Input!$B$39&amp;";",""),IF(AND($G81&lt;Hta_20,$G81&gt;=Hba_20,Input!AF$40&lt;&gt;""),Input!$B$40&amp;";",""),IF(AND($G81&lt;Hta_21,$G81&gt;=Hba_21,Input!AF$41&lt;&gt;""),Input!$B$41&amp;";",""),IF(AND($G81&lt;Hta_22,$G81&gt;=Hba_22,Input!AF$42&lt;&gt;""),Input!$B$42&amp;";",""),IF(AND($G81&lt;Hta_23,$G81&gt;=Hba_23,Input!AF$43&lt;&gt;""),Input!$B$43&amp;";",""),IF(AND($G81&lt;Hta_24,$G81&gt;=Hba_24,Input!AF$44&lt;&gt;""),Input!$B$44&amp;";",""),IF(AND($G81&lt;Hta_25,$G81&gt;=Hba_25,Input!AF$45&lt;&gt;""),Input!$B$45&amp;";",""),IF(AND($G81&lt;Hta_26,$G81&gt;=Hba_26,Input!AF$46&lt;&gt;""),Input!$B$46&amp;";",""),IF(AND($G81&lt;Hta_27,$G81&gt;=Hba_27,Input!AF$47&lt;&gt;""),Input!$B$47&amp;";",""),IF(AND($G81&lt;Hta_28,$G81&gt;=Hba_28,Input!AF$48&lt;&gt;""),Input!$B$48&amp;";",""),IF(AND($G81&lt;Hta_29,$G81&gt;=Hba_29,Input!AF$49&lt;&gt;""),Input!$B$49&amp;";",""),IF(AND($G81&lt;Hta_30,$G81&gt;=Hba_30,Input!AF$50&lt;&gt;""),Input!$B$50&amp;";","")),"")</f>
        <v/>
      </c>
      <c r="CH81" s="25" t="str">
        <f>IFERROR(CONCATENATE(IF(AND($G81&lt;Hta_1,$G81&gt;=Hba_1,Input!AG$21&lt;&gt;""),Input!$B$21&amp;";",""),IF(AND($G81&lt;Hta_2,$G81&gt;=Hba_2,Input!AG$22&lt;&gt;""),Input!$B$22&amp;";",""),IF(AND($G81&lt;Hta_3,$G81&gt;=Hba_3,Input!AG$23&lt;&gt;""),Input!$B$23&amp;";",""),IF(AND($G81&lt;Hta_4,$G81&gt;=Hba_4,Input!AG$24&lt;&gt;""),Input!$B$24&amp;";",""),IF(AND($G81&lt;Hta_5,$G81&gt;=Hba_5,Input!AG$25&lt;&gt;""),Input!$B$25&amp;";",""),IF(AND($G81&lt;Hta_6,$G81&gt;=Hba_6,Input!AG$26&lt;&gt;""),Input!$B$26&amp;";",""),IF(AND($G81&lt;Hta_7,$G81&gt;=Hba_7,Input!AG$27&lt;&gt;""),Input!$B$27&amp;";",""),IF(AND($G81&lt;Hta_8,$G81&gt;=Hba_8,Input!AG$28&lt;&gt;""),Input!$B$28&amp;";",""),IF(AND($G81&lt;Hta_9,$G81&gt;=Hba_9,Input!AG$29&lt;&gt;""),Input!$B$29&amp;";",""),IF(AND($G81&lt;Hta_10,$G81&gt;=Hba_10,Input!AG$30&lt;&gt;""),Input!$B$30&amp;";",""),IF(AND($G81&lt;Hta_11,$G81&gt;=Hba_11,Input!AG$31&lt;&gt;""),Input!$B$31&amp;";",""),IF(AND($G81&lt;Hta_12,$G81&gt;=Hba_12,Input!AG$32&lt;&gt;""),Input!$B$32&amp;";",""),IF(AND($G81&lt;Hta_13,$G81&gt;=Hba_13,Input!AG$33&lt;&gt;""),Input!$B$33&amp;";",""),IF(AND($G81&lt;Hta_14,$G81&gt;=Hba_14,Input!AG$34&lt;&gt;""),Input!$B$34&amp;";",""),IF(AND($G81&lt;Hta_15,$G81&gt;=Hba_15,Input!AG$35&lt;&gt;""),Input!$B$35&amp;";",""),IF(AND($G81&lt;Hta_16,$G81&gt;=Hba_16,Input!AG$36&lt;&gt;""),Input!$B$36&amp;";",""),IF(AND($G81&lt;Hta_17,$G81&gt;=Hba_17,Input!AG$37&lt;&gt;""),Input!$B$37&amp;";",""),IF(AND($G81&lt;Hta_18,$G81&gt;=Hba_18,Input!AG$38&lt;&gt;""),Input!$B$38&amp;";",""),IF(AND($G81&lt;Hta_19,$G81&gt;=Hba_19,Input!AG$39&lt;&gt;""),Input!$B$39&amp;";",""),IF(AND($G81&lt;Hta_20,$G81&gt;=Hba_20,Input!AG$40&lt;&gt;""),Input!$B$40&amp;";",""),IF(AND($G81&lt;Hta_21,$G81&gt;=Hba_21,Input!AG$41&lt;&gt;""),Input!$B$41&amp;";",""),IF(AND($G81&lt;Hta_22,$G81&gt;=Hba_22,Input!AG$42&lt;&gt;""),Input!$B$42&amp;";",""),IF(AND($G81&lt;Hta_23,$G81&gt;=Hba_23,Input!AG$43&lt;&gt;""),Input!$B$43&amp;";",""),IF(AND($G81&lt;Hta_24,$G81&gt;=Hba_24,Input!AG$44&lt;&gt;""),Input!$B$44&amp;";",""),IF(AND($G81&lt;Hta_25,$G81&gt;=Hba_25,Input!AG$45&lt;&gt;""),Input!$B$45&amp;";",""),IF(AND($G81&lt;Hta_26,$G81&gt;=Hba_26,Input!AG$46&lt;&gt;""),Input!$B$46&amp;";",""),IF(AND($G81&lt;Hta_27,$G81&gt;=Hba_27,Input!AG$47&lt;&gt;""),Input!$B$47&amp;";",""),IF(AND($G81&lt;Hta_28,$G81&gt;=Hba_28,Input!AG$48&lt;&gt;""),Input!$B$48&amp;";",""),IF(AND($G81&lt;Hta_29,$G81&gt;=Hba_29,Input!AG$49&lt;&gt;""),Input!$B$49&amp;";",""),IF(AND($G81&lt;Hta_30,$G81&gt;=Hba_30,Input!AG$50&lt;&gt;""),Input!$B$50&amp;";","")),"")</f>
        <v/>
      </c>
      <c r="CI81" s="25" t="str">
        <f>IFERROR(CONCATENATE(IF(AND($G81&lt;Hta_1,$G81&gt;=Hba_1,Input!AH$21&lt;&gt;""),Input!$B$21&amp;";",""),IF(AND($G81&lt;Hta_2,$G81&gt;=Hba_2,Input!AH$22&lt;&gt;""),Input!$B$22&amp;";",""),IF(AND($G81&lt;Hta_3,$G81&gt;=Hba_3,Input!AH$23&lt;&gt;""),Input!$B$23&amp;";",""),IF(AND($G81&lt;Hta_4,$G81&gt;=Hba_4,Input!AH$24&lt;&gt;""),Input!$B$24&amp;";",""),IF(AND($G81&lt;Hta_5,$G81&gt;=Hba_5,Input!AH$25&lt;&gt;""),Input!$B$25&amp;";",""),IF(AND($G81&lt;Hta_6,$G81&gt;=Hba_6,Input!AH$26&lt;&gt;""),Input!$B$26&amp;";",""),IF(AND($G81&lt;Hta_7,$G81&gt;=Hba_7,Input!AH$27&lt;&gt;""),Input!$B$27&amp;";",""),IF(AND($G81&lt;Hta_8,$G81&gt;=Hba_8,Input!AH$28&lt;&gt;""),Input!$B$28&amp;";",""),IF(AND($G81&lt;Hta_9,$G81&gt;=Hba_9,Input!AH$29&lt;&gt;""),Input!$B$29&amp;";",""),IF(AND($G81&lt;Hta_10,$G81&gt;=Hba_10,Input!AH$30&lt;&gt;""),Input!$B$30&amp;";",""),IF(AND($G81&lt;Hta_11,$G81&gt;=Hba_11,Input!AH$31&lt;&gt;""),Input!$B$31&amp;";",""),IF(AND($G81&lt;Hta_12,$G81&gt;=Hba_12,Input!AH$32&lt;&gt;""),Input!$B$32&amp;";",""),IF(AND($G81&lt;Hta_13,$G81&gt;=Hba_13,Input!AH$33&lt;&gt;""),Input!$B$33&amp;";",""),IF(AND($G81&lt;Hta_14,$G81&gt;=Hba_14,Input!AH$34&lt;&gt;""),Input!$B$34&amp;";",""),IF(AND($G81&lt;Hta_15,$G81&gt;=Hba_15,Input!AH$35&lt;&gt;""),Input!$B$35&amp;";",""),IF(AND($G81&lt;Hta_16,$G81&gt;=Hba_16,Input!AH$36&lt;&gt;""),Input!$B$36&amp;";",""),IF(AND($G81&lt;Hta_17,$G81&gt;=Hba_17,Input!AH$37&lt;&gt;""),Input!$B$37&amp;";",""),IF(AND($G81&lt;Hta_18,$G81&gt;=Hba_18,Input!AH$38&lt;&gt;""),Input!$B$38&amp;";",""),IF(AND($G81&lt;Hta_19,$G81&gt;=Hba_19,Input!AH$39&lt;&gt;""),Input!$B$39&amp;";",""),IF(AND($G81&lt;Hta_20,$G81&gt;=Hba_20,Input!AH$40&lt;&gt;""),Input!$B$40&amp;";",""),IF(AND($G81&lt;Hta_21,$G81&gt;=Hba_21,Input!AH$41&lt;&gt;""),Input!$B$41&amp;";",""),IF(AND($G81&lt;Hta_22,$G81&gt;=Hba_22,Input!AH$42&lt;&gt;""),Input!$B$42&amp;";",""),IF(AND($G81&lt;Hta_23,$G81&gt;=Hba_23,Input!AH$43&lt;&gt;""),Input!$B$43&amp;";",""),IF(AND($G81&lt;Hta_24,$G81&gt;=Hba_24,Input!AH$44&lt;&gt;""),Input!$B$44&amp;";",""),IF(AND($G81&lt;Hta_25,$G81&gt;=Hba_25,Input!AH$45&lt;&gt;""),Input!$B$45&amp;";",""),IF(AND($G81&lt;Hta_26,$G81&gt;=Hba_26,Input!AH$46&lt;&gt;""),Input!$B$46&amp;";",""),IF(AND($G81&lt;Hta_27,$G81&gt;=Hba_27,Input!AH$47&lt;&gt;""),Input!$B$47&amp;";",""),IF(AND($G81&lt;Hta_28,$G81&gt;=Hba_28,Input!AH$48&lt;&gt;""),Input!$B$48&amp;";",""),IF(AND($G81&lt;Hta_29,$G81&gt;=Hba_29,Input!AH$49&lt;&gt;""),Input!$B$49&amp;";",""),IF(AND($G81&lt;Hta_30,$G81&gt;=Hba_30,Input!AH$50&lt;&gt;""),Input!$B$50&amp;";","")),"")</f>
        <v/>
      </c>
      <c r="CJ81" s="25" t="str">
        <f>IFERROR(CONCATENATE(IF(AND($G81&lt;Hta_1,$G81&gt;=Hba_1,Input!AI$21&lt;&gt;""),Input!$B$21&amp;";",""),IF(AND($G81&lt;Hta_2,$G81&gt;=Hba_2,Input!AI$22&lt;&gt;""),Input!$B$22&amp;";",""),IF(AND($G81&lt;Hta_3,$G81&gt;=Hba_3,Input!AI$23&lt;&gt;""),Input!$B$23&amp;";",""),IF(AND($G81&lt;Hta_4,$G81&gt;=Hba_4,Input!AI$24&lt;&gt;""),Input!$B$24&amp;";",""),IF(AND($G81&lt;Hta_5,$G81&gt;=Hba_5,Input!AI$25&lt;&gt;""),Input!$B$25&amp;";",""),IF(AND($G81&lt;Hta_6,$G81&gt;=Hba_6,Input!AI$26&lt;&gt;""),Input!$B$26&amp;";",""),IF(AND($G81&lt;Hta_7,$G81&gt;=Hba_7,Input!AI$27&lt;&gt;""),Input!$B$27&amp;";",""),IF(AND($G81&lt;Hta_8,$G81&gt;=Hba_8,Input!AI$28&lt;&gt;""),Input!$B$28&amp;";",""),IF(AND($G81&lt;Hta_9,$G81&gt;=Hba_9,Input!AI$29&lt;&gt;""),Input!$B$29&amp;";",""),IF(AND($G81&lt;Hta_10,$G81&gt;=Hba_10,Input!AI$30&lt;&gt;""),Input!$B$30&amp;";",""),IF(AND($G81&lt;Hta_11,$G81&gt;=Hba_11,Input!AI$31&lt;&gt;""),Input!$B$31&amp;";",""),IF(AND($G81&lt;Hta_12,$G81&gt;=Hba_12,Input!AI$32&lt;&gt;""),Input!$B$32&amp;";",""),IF(AND($G81&lt;Hta_13,$G81&gt;=Hba_13,Input!AI$33&lt;&gt;""),Input!$B$33&amp;";",""),IF(AND($G81&lt;Hta_14,$G81&gt;=Hba_14,Input!AI$34&lt;&gt;""),Input!$B$34&amp;";",""),IF(AND($G81&lt;Hta_15,$G81&gt;=Hba_15,Input!AI$35&lt;&gt;""),Input!$B$35&amp;";",""),IF(AND($G81&lt;Hta_16,$G81&gt;=Hba_16,Input!AI$36&lt;&gt;""),Input!$B$36&amp;";",""),IF(AND($G81&lt;Hta_17,$G81&gt;=Hba_17,Input!AI$37&lt;&gt;""),Input!$B$37&amp;";",""),IF(AND($G81&lt;Hta_18,$G81&gt;=Hba_18,Input!AI$38&lt;&gt;""),Input!$B$38&amp;";",""),IF(AND($G81&lt;Hta_19,$G81&gt;=Hba_19,Input!AI$39&lt;&gt;""),Input!$B$39&amp;";",""),IF(AND($G81&lt;Hta_20,$G81&gt;=Hba_20,Input!AI$40&lt;&gt;""),Input!$B$40&amp;";",""),IF(AND($G81&lt;Hta_21,$G81&gt;=Hba_21,Input!AI$41&lt;&gt;""),Input!$B$41&amp;";",""),IF(AND($G81&lt;Hta_22,$G81&gt;=Hba_22,Input!AI$42&lt;&gt;""),Input!$B$42&amp;";",""),IF(AND($G81&lt;Hta_23,$G81&gt;=Hba_23,Input!AI$43&lt;&gt;""),Input!$B$43&amp;";",""),IF(AND($G81&lt;Hta_24,$G81&gt;=Hba_24,Input!AI$44&lt;&gt;""),Input!$B$44&amp;";",""),IF(AND($G81&lt;Hta_25,$G81&gt;=Hba_25,Input!AI$45&lt;&gt;""),Input!$B$45&amp;";",""),IF(AND($G81&lt;Hta_26,$G81&gt;=Hba_26,Input!AI$46&lt;&gt;""),Input!$B$46&amp;";",""),IF(AND($G81&lt;Hta_27,$G81&gt;=Hba_27,Input!AI$47&lt;&gt;""),Input!$B$47&amp;";",""),IF(AND($G81&lt;Hta_28,$G81&gt;=Hba_28,Input!AI$48&lt;&gt;""),Input!$B$48&amp;";",""),IF(AND($G81&lt;Hta_29,$G81&gt;=Hba_29,Input!AI$49&lt;&gt;""),Input!$B$49&amp;";",""),IF(AND($G81&lt;Hta_30,$G81&gt;=Hba_30,Input!AI$50&lt;&gt;""),Input!$B$50&amp;";","")),"")</f>
        <v/>
      </c>
      <c r="CK81" s="25" t="str">
        <f>IFERROR(CONCATENATE(IF(AND($G81&lt;Hta_1,$G81&gt;=Hba_1,Input!AJ$21&lt;&gt;""),Input!$B$21&amp;";",""),IF(AND($G81&lt;Hta_2,$G81&gt;=Hba_2,Input!AJ$22&lt;&gt;""),Input!$B$22&amp;";",""),IF(AND($G81&lt;Hta_3,$G81&gt;=Hba_3,Input!AJ$23&lt;&gt;""),Input!$B$23&amp;";",""),IF(AND($G81&lt;Hta_4,$G81&gt;=Hba_4,Input!AJ$24&lt;&gt;""),Input!$B$24&amp;";",""),IF(AND($G81&lt;Hta_5,$G81&gt;=Hba_5,Input!AJ$25&lt;&gt;""),Input!$B$25&amp;";",""),IF(AND($G81&lt;Hta_6,$G81&gt;=Hba_6,Input!AJ$26&lt;&gt;""),Input!$B$26&amp;";",""),IF(AND($G81&lt;Hta_7,$G81&gt;=Hba_7,Input!AJ$27&lt;&gt;""),Input!$B$27&amp;";",""),IF(AND($G81&lt;Hta_8,$G81&gt;=Hba_8,Input!AJ$28&lt;&gt;""),Input!$B$28&amp;";",""),IF(AND($G81&lt;Hta_9,$G81&gt;=Hba_9,Input!AJ$29&lt;&gt;""),Input!$B$29&amp;";",""),IF(AND($G81&lt;Hta_10,$G81&gt;=Hba_10,Input!AJ$30&lt;&gt;""),Input!$B$30&amp;";",""),IF(AND($G81&lt;Hta_11,$G81&gt;=Hba_11,Input!AJ$31&lt;&gt;""),Input!$B$31&amp;";",""),IF(AND($G81&lt;Hta_12,$G81&gt;=Hba_12,Input!AJ$32&lt;&gt;""),Input!$B$32&amp;";",""),IF(AND($G81&lt;Hta_13,$G81&gt;=Hba_13,Input!AJ$33&lt;&gt;""),Input!$B$33&amp;";",""),IF(AND($G81&lt;Hta_14,$G81&gt;=Hba_14,Input!AJ$34&lt;&gt;""),Input!$B$34&amp;";",""),IF(AND($G81&lt;Hta_15,$G81&gt;=Hba_15,Input!AJ$35&lt;&gt;""),Input!$B$35&amp;";",""),IF(AND($G81&lt;Hta_16,$G81&gt;=Hba_16,Input!AJ$36&lt;&gt;""),Input!$B$36&amp;";",""),IF(AND($G81&lt;Hta_17,$G81&gt;=Hba_17,Input!AJ$37&lt;&gt;""),Input!$B$37&amp;";",""),IF(AND($G81&lt;Hta_18,$G81&gt;=Hba_18,Input!AJ$38&lt;&gt;""),Input!$B$38&amp;";",""),IF(AND($G81&lt;Hta_19,$G81&gt;=Hba_19,Input!AJ$39&lt;&gt;""),Input!$B$39&amp;";",""),IF(AND($G81&lt;Hta_20,$G81&gt;=Hba_20,Input!AJ$40&lt;&gt;""),Input!$B$40&amp;";",""),IF(AND($G81&lt;Hta_21,$G81&gt;=Hba_21,Input!AJ$41&lt;&gt;""),Input!$B$41&amp;";",""),IF(AND($G81&lt;Hta_22,$G81&gt;=Hba_22,Input!AJ$42&lt;&gt;""),Input!$B$42&amp;";",""),IF(AND($G81&lt;Hta_23,$G81&gt;=Hba_23,Input!AJ$43&lt;&gt;""),Input!$B$43&amp;";",""),IF(AND($G81&lt;Hta_24,$G81&gt;=Hba_24,Input!AJ$44&lt;&gt;""),Input!$B$44&amp;";",""),IF(AND($G81&lt;Hta_25,$G81&gt;=Hba_25,Input!AJ$45&lt;&gt;""),Input!$B$45&amp;";",""),IF(AND($G81&lt;Hta_26,$G81&gt;=Hba_26,Input!AJ$46&lt;&gt;""),Input!$B$46&amp;";",""),IF(AND($G81&lt;Hta_27,$G81&gt;=Hba_27,Input!AJ$47&lt;&gt;""),Input!$B$47&amp;";",""),IF(AND($G81&lt;Hta_28,$G81&gt;=Hba_28,Input!AJ$48&lt;&gt;""),Input!$B$48&amp;";",""),IF(AND($G81&lt;Hta_29,$G81&gt;=Hba_29,Input!AJ$49&lt;&gt;""),Input!$B$49&amp;";",""),IF(AND($G81&lt;Hta_30,$G81&gt;=Hba_30,Input!AJ$50&lt;&gt;""),Input!$B$50&amp;";","")),"")</f>
        <v/>
      </c>
      <c r="CL81" s="25" t="str">
        <f>IFERROR(CONCATENATE(IF(AND($G81&lt;Hta_1,$G81&gt;=Hba_1,Input!AK$21&lt;&gt;""),Input!$B$21&amp;";",""),IF(AND($G81&lt;Hta_2,$G81&gt;=Hba_2,Input!AK$22&lt;&gt;""),Input!$B$22&amp;";",""),IF(AND($G81&lt;Hta_3,$G81&gt;=Hba_3,Input!AK$23&lt;&gt;""),Input!$B$23&amp;";",""),IF(AND($G81&lt;Hta_4,$G81&gt;=Hba_4,Input!AK$24&lt;&gt;""),Input!$B$24&amp;";",""),IF(AND($G81&lt;Hta_5,$G81&gt;=Hba_5,Input!AK$25&lt;&gt;""),Input!$B$25&amp;";",""),IF(AND($G81&lt;Hta_6,$G81&gt;=Hba_6,Input!AK$26&lt;&gt;""),Input!$B$26&amp;";",""),IF(AND($G81&lt;Hta_7,$G81&gt;=Hba_7,Input!AK$27&lt;&gt;""),Input!$B$27&amp;";",""),IF(AND($G81&lt;Hta_8,$G81&gt;=Hba_8,Input!AK$28&lt;&gt;""),Input!$B$28&amp;";",""),IF(AND($G81&lt;Hta_9,$G81&gt;=Hba_9,Input!AK$29&lt;&gt;""),Input!$B$29&amp;";",""),IF(AND($G81&lt;Hta_10,$G81&gt;=Hba_10,Input!AK$30&lt;&gt;""),Input!$B$30&amp;";",""),IF(AND($G81&lt;Hta_11,$G81&gt;=Hba_11,Input!AK$31&lt;&gt;""),Input!$B$31&amp;";",""),IF(AND($G81&lt;Hta_12,$G81&gt;=Hba_12,Input!AK$32&lt;&gt;""),Input!$B$32&amp;";",""),IF(AND($G81&lt;Hta_13,$G81&gt;=Hba_13,Input!AK$33&lt;&gt;""),Input!$B$33&amp;";",""),IF(AND($G81&lt;Hta_14,$G81&gt;=Hba_14,Input!AK$34&lt;&gt;""),Input!$B$34&amp;";",""),IF(AND($G81&lt;Hta_15,$G81&gt;=Hba_15,Input!AK$35&lt;&gt;""),Input!$B$35&amp;";",""),IF(AND($G81&lt;Hta_16,$G81&gt;=Hba_16,Input!AK$36&lt;&gt;""),Input!$B$36&amp;";",""),IF(AND($G81&lt;Hta_17,$G81&gt;=Hba_17,Input!AK$37&lt;&gt;""),Input!$B$37&amp;";",""),IF(AND($G81&lt;Hta_18,$G81&gt;=Hba_18,Input!AK$38&lt;&gt;""),Input!$B$38&amp;";",""),IF(AND($G81&lt;Hta_19,$G81&gt;=Hba_19,Input!AK$39&lt;&gt;""),Input!$B$39&amp;";",""),IF(AND($G81&lt;Hta_20,$G81&gt;=Hba_20,Input!AK$40&lt;&gt;""),Input!$B$40&amp;";",""),IF(AND($G81&lt;Hta_21,$G81&gt;=Hba_21,Input!AK$41&lt;&gt;""),Input!$B$41&amp;";",""),IF(AND($G81&lt;Hta_22,$G81&gt;=Hba_22,Input!AK$42&lt;&gt;""),Input!$B$42&amp;";",""),IF(AND($G81&lt;Hta_23,$G81&gt;=Hba_23,Input!AK$43&lt;&gt;""),Input!$B$43&amp;";",""),IF(AND($G81&lt;Hta_24,$G81&gt;=Hba_24,Input!AK$44&lt;&gt;""),Input!$B$44&amp;";",""),IF(AND($G81&lt;Hta_25,$G81&gt;=Hba_25,Input!AK$45&lt;&gt;""),Input!$B$45&amp;";",""),IF(AND($G81&lt;Hta_26,$G81&gt;=Hba_26,Input!AK$46&lt;&gt;""),Input!$B$46&amp;";",""),IF(AND($G81&lt;Hta_27,$G81&gt;=Hba_27,Input!AK$47&lt;&gt;""),Input!$B$47&amp;";",""),IF(AND($G81&lt;Hta_28,$G81&gt;=Hba_28,Input!AK$48&lt;&gt;""),Input!$B$48&amp;";",""),IF(AND($G81&lt;Hta_29,$G81&gt;=Hba_29,Input!AK$49&lt;&gt;""),Input!$B$49&amp;";",""),IF(AND($G81&lt;Hta_30,$G81&gt;=Hba_30,Input!AK$50&lt;&gt;""),Input!$B$50&amp;";","")),"")</f>
        <v/>
      </c>
      <c r="CM81" s="25" t="str">
        <f>IFERROR(CONCATENATE(IF(AND($G81&lt;Hta_1,$G81&gt;=Hba_1,Input!AL$21&lt;&gt;""),Input!$B$21&amp;";",""),IF(AND($G81&lt;Hta_2,$G81&gt;=Hba_2,Input!AL$22&lt;&gt;""),Input!$B$22&amp;";",""),IF(AND($G81&lt;Hta_3,$G81&gt;=Hba_3,Input!AL$23&lt;&gt;""),Input!$B$23&amp;";",""),IF(AND($G81&lt;Hta_4,$G81&gt;=Hba_4,Input!AL$24&lt;&gt;""),Input!$B$24&amp;";",""),IF(AND($G81&lt;Hta_5,$G81&gt;=Hba_5,Input!AL$25&lt;&gt;""),Input!$B$25&amp;";",""),IF(AND($G81&lt;Hta_6,$G81&gt;=Hba_6,Input!AL$26&lt;&gt;""),Input!$B$26&amp;";",""),IF(AND($G81&lt;Hta_7,$G81&gt;=Hba_7,Input!AL$27&lt;&gt;""),Input!$B$27&amp;";",""),IF(AND($G81&lt;Hta_8,$G81&gt;=Hba_8,Input!AL$28&lt;&gt;""),Input!$B$28&amp;";",""),IF(AND($G81&lt;Hta_9,$G81&gt;=Hba_9,Input!AL$29&lt;&gt;""),Input!$B$29&amp;";",""),IF(AND($G81&lt;Hta_10,$G81&gt;=Hba_10,Input!AL$30&lt;&gt;""),Input!$B$30&amp;";",""),IF(AND($G81&lt;Hta_11,$G81&gt;=Hba_11,Input!AL$31&lt;&gt;""),Input!$B$31&amp;";",""),IF(AND($G81&lt;Hta_12,$G81&gt;=Hba_12,Input!AL$32&lt;&gt;""),Input!$B$32&amp;";",""),IF(AND($G81&lt;Hta_13,$G81&gt;=Hba_13,Input!AL$33&lt;&gt;""),Input!$B$33&amp;";",""),IF(AND($G81&lt;Hta_14,$G81&gt;=Hba_14,Input!AL$34&lt;&gt;""),Input!$B$34&amp;";",""),IF(AND($G81&lt;Hta_15,$G81&gt;=Hba_15,Input!AL$35&lt;&gt;""),Input!$B$35&amp;";",""),IF(AND($G81&lt;Hta_16,$G81&gt;=Hba_16,Input!AL$36&lt;&gt;""),Input!$B$36&amp;";",""),IF(AND($G81&lt;Hta_17,$G81&gt;=Hba_17,Input!AL$37&lt;&gt;""),Input!$B$37&amp;";",""),IF(AND($G81&lt;Hta_18,$G81&gt;=Hba_18,Input!AL$38&lt;&gt;""),Input!$B$38&amp;";",""),IF(AND($G81&lt;Hta_19,$G81&gt;=Hba_19,Input!AL$39&lt;&gt;""),Input!$B$39&amp;";",""),IF(AND($G81&lt;Hta_20,$G81&gt;=Hba_20,Input!AL$40&lt;&gt;""),Input!$B$40&amp;";",""),IF(AND($G81&lt;Hta_21,$G81&gt;=Hba_21,Input!AL$41&lt;&gt;""),Input!$B$41&amp;";",""),IF(AND($G81&lt;Hta_22,$G81&gt;=Hba_22,Input!AL$42&lt;&gt;""),Input!$B$42&amp;";",""),IF(AND($G81&lt;Hta_23,$G81&gt;=Hba_23,Input!AL$43&lt;&gt;""),Input!$B$43&amp;";",""),IF(AND($G81&lt;Hta_24,$G81&gt;=Hba_24,Input!AL$44&lt;&gt;""),Input!$B$44&amp;";",""),IF(AND($G81&lt;Hta_25,$G81&gt;=Hba_25,Input!AL$45&lt;&gt;""),Input!$B$45&amp;";",""),IF(AND($G81&lt;Hta_26,$G81&gt;=Hba_26,Input!AL$46&lt;&gt;""),Input!$B$46&amp;";",""),IF(AND($G81&lt;Hta_27,$G81&gt;=Hba_27,Input!AL$47&lt;&gt;""),Input!$B$47&amp;";",""),IF(AND($G81&lt;Hta_28,$G81&gt;=Hba_28,Input!AL$48&lt;&gt;""),Input!$B$48&amp;";",""),IF(AND($G81&lt;Hta_29,$G81&gt;=Hba_29,Input!AL$49&lt;&gt;""),Input!$B$49&amp;";",""),IF(AND($G81&lt;Hta_30,$G81&gt;=Hba_30,Input!AL$50&lt;&gt;""),Input!$B$50&amp;";","")),"")</f>
        <v/>
      </c>
      <c r="CN81" s="60" t="str">
        <f t="shared" si="16"/>
        <v/>
      </c>
      <c r="CO81" s="798"/>
      <c r="CP81" s="799"/>
      <c r="CQ81" s="800"/>
      <c r="CR81" s="798"/>
      <c r="CS81" s="799"/>
      <c r="CT81" s="800"/>
      <c r="CU81" s="798" t="str">
        <f t="shared" si="17"/>
        <v/>
      </c>
      <c r="CV81" s="799"/>
      <c r="CW81" s="806"/>
      <c r="CX81" s="726"/>
      <c r="CY81" s="727"/>
      <c r="CZ81" s="732"/>
      <c r="DA81" s="726"/>
      <c r="DB81" s="727"/>
      <c r="DC81" s="732"/>
      <c r="DD81" s="726" t="str">
        <f t="shared" si="18"/>
        <v/>
      </c>
      <c r="DE81" s="727"/>
      <c r="DF81" s="728"/>
      <c r="DG81" s="53"/>
      <c r="DH81" s="54"/>
      <c r="DI81" s="54"/>
      <c r="DJ81" s="54"/>
      <c r="DK81" s="54"/>
      <c r="DL81" s="54"/>
      <c r="DM81" s="54"/>
      <c r="DN81" s="54"/>
      <c r="DO81" s="54"/>
      <c r="DP81" s="54"/>
      <c r="DQ81" s="57"/>
      <c r="DR81" s="57"/>
      <c r="DS81" s="57"/>
      <c r="DT81" s="57"/>
      <c r="DU81" s="57"/>
      <c r="DV81" s="57"/>
      <c r="DW81" s="57"/>
      <c r="DX81" s="57"/>
      <c r="DY81" s="57"/>
      <c r="DZ81" s="57"/>
      <c r="EA81" s="57"/>
      <c r="EB81" s="57"/>
      <c r="EC81" s="57"/>
      <c r="ED81" s="57"/>
      <c r="EE81" s="57"/>
      <c r="EF81" s="57"/>
      <c r="EG81" s="57"/>
      <c r="EH81" s="57"/>
      <c r="EI81" s="57"/>
      <c r="EJ81" s="57"/>
      <c r="EK81" s="57"/>
      <c r="EL81" s="133"/>
      <c r="EM81" s="133"/>
      <c r="EN81" s="133"/>
      <c r="EO81" s="133"/>
      <c r="EP81" s="133"/>
      <c r="EQ81" s="133"/>
      <c r="ER81" s="133"/>
      <c r="ES81" s="133"/>
      <c r="ET81" s="133"/>
      <c r="EU81" s="133"/>
      <c r="EV81" s="133"/>
      <c r="EW81" s="133"/>
      <c r="EX81" s="133"/>
      <c r="EY81" s="133"/>
      <c r="EZ81" s="133"/>
      <c r="FA81" s="133"/>
      <c r="FB81" s="133"/>
      <c r="FC81" s="133"/>
      <c r="FD81" s="133"/>
      <c r="FE81" s="133"/>
      <c r="FF81" s="133"/>
      <c r="FG81" s="133"/>
      <c r="FH81" s="133"/>
      <c r="FI81" s="133"/>
      <c r="FJ81" s="133"/>
      <c r="FK81" s="133"/>
      <c r="FL81" s="133"/>
      <c r="FM81" s="133"/>
      <c r="FN81" s="133"/>
      <c r="FO81" s="133"/>
      <c r="FQ81" s="125"/>
      <c r="FR81" s="123"/>
      <c r="FS81" s="121"/>
      <c r="FT81" s="119"/>
    </row>
    <row r="82" spans="2:176" ht="15.75" hidden="1" thickBot="1" x14ac:dyDescent="0.3">
      <c r="B82" s="62" t="b">
        <f>IF(OR(AND(G82&gt;='Geometry 2'!$AK$5,G82&lt;'Geometry 2'!$AL$5),AND(G82&gt;='Geometry 2'!$AK$6,G82&lt;'Geometry 2'!$AL$6),AND(G82&gt;='Geometry 2'!$AK$7,G82&lt;'Geometry 2'!$AL$7),AND(G82&gt;='Geometry 2'!$AK$8,G82&lt;'Geometry 2'!$AL$8),AND(G82&gt;='Geometry 2'!$AK$9,G82&lt;'Geometry 2'!$AL$9),AND(G82&gt;='Geometry 2'!$AK$10,G82&lt;'Geometry 2'!$AL$10),AND(G82&gt;='Geometry 2'!$AK$11,G82&lt;'Geometry 2'!$AL$11),AND(G82&gt;='Geometry 2'!$AK$12,G82&lt;'Geometry 2'!$AL$12),AND(G82&gt;='Geometry 2'!$AK$13,G82&lt;'Geometry 2'!$AL$13),AND(G82&gt;='Geometry 2'!$AK$14,G82&lt;'Geometry 2'!$AL$14)),TRUE,FALSE)</f>
        <v>0</v>
      </c>
      <c r="C82" s="4" t="str">
        <f t="shared" si="13"/>
        <v/>
      </c>
      <c r="D82" s="766" t="str">
        <f t="shared" si="14"/>
        <v/>
      </c>
      <c r="E82" s="767"/>
      <c r="F82" s="17" t="str">
        <f t="shared" si="12"/>
        <v/>
      </c>
      <c r="G82" s="768" t="str">
        <f>IF(D82="","",MAX(0,G81-IF(inc="n/a",999,inc),MAX(IF(G81&lt;=Hta_1,0,Hta_1),IF(G81&lt;=Hta_2,0,Hta_2),IF(G81&lt;=Hta_3,0,Hta_3),IF(G81&lt;=Hta_4,0,Hta_4),IF(G81&lt;=Hta_5,0,Hta_5),IF(G81&lt;=Hta_6,0,Hta_6),IF(G81&lt;=Hta_7,0,Hta_7),IF(G81&lt;=Hta_8,0,Hta_8),IF(G81&lt;=Hta_9,0,Hta_9),IF(G81&lt;=Hta_10,0,Hta_10),IF(G81&lt;=Hta_11,0,Hta_11),IF(G81&lt;=Hta_12,0,Hta_12),IF(G81&lt;=Hta_13,0,Hta_13),IF(G81&lt;=Hta_14,0,Hta_14),IF(G81&lt;=Hta_15,0,Hta_15),IF(G81&lt;=Hta_16,0,Hta_16),IF(G81&lt;=Hta_17,0,Hta_17),IF(G81&lt;=Hta_18,0,Hta_18),IF(G81&lt;=Hta_19,0,Hta_19),IF(G81&lt;=Hta_20,0,Hta_20),IF(G81&lt;=Hta_21,0,Hta_21),IF(G81&lt;=Hta_22,0,Hta_22),IF(G81&lt;=Hta_23,0,Hta_23),IF(G81&lt;=Hta_24,0,Hta_24),IF(G81&lt;=Hta_25,0,Hta_25),IF(G81&lt;=Hta_26,0,Hta_26),IF(G81&lt;=Hta_27,0,Hta_27),IF(G81&lt;=Hta_28,0,Hta_28),IF(G81&lt;=Hta_29,0,Hta_29),IF(G81&lt;=Hta_30,0,Hta_30)),MAX(IF(G81&lt;=Hta_1-0.25,0,Hta_1-0.25),IF(G81&lt;=Hta_2-0.25,0,Hta_2-0.25),IF(G81&lt;=Hta_3-0.25,0,Hta_3-0.25),IF(G81&lt;=Hta_4-0.25,0,Hta_4-0.25),IF(G81&lt;=Hta_5-0.25,0,Hta_5-0.25),IF(G81&lt;=Hta_6-0.25,0,Hta_6-0.25),IF(G81&lt;=Hta_7-0.25,0,Hta_7-0.25),IF(G81&lt;=Hta_8-0.25,0,Hta_8-0.25),IF(G81&lt;=Hta_9-0.25,0,Hta_9-0.25),IF(G81&lt;=Hta_10-0.25,0,Hta_10-0.25),IF(G81&lt;=Hta_11-0.25,0,Hta_11-0.25),IF(G81&lt;=Hta_12-0.25,0,Hta_12-0.25),IF(G81&lt;=Hta_13-0.25,0,Hta_13-0.25),IF(G81&lt;=Hta_14-0.25,0,Hta_14-0.25),IF(G81&lt;=Hta_15-0.25,0,Hta_15-0.25),IF(G81&lt;=Hta_16-0.25,0,Hta_16-0.25),IF(G81&lt;=Hta_17-0.25,0,Hta_17-0.25),IF(G81&lt;=Hta_18-0.25,0,Hta_18-0.25),IF(G81&lt;=Hta_19-0.25,0,Hta_19-0.25),IF(G81&lt;=Hta_20-0.25,0,Hta_20-0.25),IF(G81&lt;=Hta_21-0.25,0,Hta_21-0.25),IF(G81&lt;=Hta_22-0.25,0,Hta_22-0.25),IF(G81&lt;=Hta_23-0.25,0,Hta_23-0.25),IF(G81&lt;=Hta_24-0.25,0,Hta_24-0.25),IF(G81&lt;=Hta_25-0.25,0,Hta_25-0.25),IF(G81&lt;=Hta_26-0.25,0,Hta_26-0.25),IF(G81&lt;=Hta_27-0.25,0,Hta_27-0.25),IF(G81&lt;=Hta_28-0.25,0,Hta_28-0.25),IF(G81&lt;=Hta_29-0.25,0,Hta_29-0.25),IF(G81&lt;=Hta_30-0.25,0,Hta_30-0.25)),MAX(IF(G81&lt;=Hba_1,0,Hba_1),IF(G81&lt;=Hba_2,0,Hba_2),IF(G81&lt;=Hba_3,0,Hba_3),IF(G81&lt;=Hba_4,0,Hba_4),IF(G81&lt;=Hba_5,0,Hba_5),IF(G81&lt;=Hba_6,0,Hba_6),IF(G81&lt;=Hba_7,0,Hba_7),IF(G81&lt;=Hba_8,0,Hba_8),IF(G81&lt;=Hba_9,0,Hba_9),IF(G81&lt;=Hba_10,0,Hba_10),IF(G81&lt;=Hba_11,0,Hba_11),IF(G81&lt;=Hba_12,0,Hba_12),IF(G81&lt;=Hba_13,0,Hba_13),IF(G81&lt;=Hba_14,0,Hba_14),IF(G81&lt;=Hba_15,0,Hba_15),IF(G81&lt;=Hba_16,0,Hba_16),IF(G81&lt;=Hba_17,0,Hba_17),IF(G81&lt;=Hba_18,0,Hba_18),IF(G81&lt;=Hba_19,0,Hba_19),IF(G81&lt;=Hba_20,0,Hba_20),IF(G81&lt;=Hba_21,0,Hba_21),IF(G81&lt;=Hba_22,0,Hba_22),IF(G81&lt;=Hba_23,0,Hba_23),IF(G81&lt;=Hba_24,0,Hba_24),IF(G81&lt;=Hba_25,0,Hba_25),IF(G81&lt;=Hba_26,0,Hba_26),IF(G81&lt;=Hba_27,0,Hba_27),IF(G81&lt;=Hba_28,0,Hba_28),IF(G81&lt;=Hba_29,0,Hba_29),IF(G81&lt;=Hba_30,0,Hba_30)),MAX(IF(G81&lt;=Input!$C$8,0,Input!$C$8),IF(G81&lt;=Input!$C$9,0,Input!$C$9),IF(G81&lt;=Input!$C$10,0,Input!$C$10),IF(G81&lt;=Input!$C$11,0,Input!$C$11),IF(G81&lt;=Input!$C$12,0,Input!$C$12),IF(G81&lt;=Input!$C$13,0,Input!$C$13),IF(G81&lt;=Input!$C$14,0,Input!$C$14),IF(G81&lt;=Input!$C$15,0,Input!$C$15),IF(G81&lt;=Input!$C$16,0,Input!$C$16)),MAX(IF(G81&lt;=Hba_1-0.25,0,Hba_1-0.25),IF(G81&lt;=Hba_2-0.25,0,Hba_2-0.25),IF(G81&lt;=Hba_3-0.25,0,Hba_3-0.25),IF(G81&lt;=Hba_4-0.25,0,Hba_4-0.25),IF(G81&lt;=Hba_5-0.25,0,Hba_5-0.25),IF(G81&lt;=Hba_6-0.25,0,Hba_6-0.25),IF(G81&lt;=Hba_7-0.25,0,Hba_7-0.25),IF(G81&lt;=Hba_8-0.25,0,Hba_8-0.25),IF(G81&lt;=Hba_9-0.25,0,Hba_9-0.25),IF(G81&lt;=Hba_10-0.25,0,Hba_10-0.25),IF(G81&lt;=Hba_11-0.25,0,Hba_11-0.25),IF(G81&lt;=Hba_12-0.25,0,Hba_12-0.25),IF(G81&lt;=Hba_13-0.25,0,Hba_13-0.25),IF(G81&lt;=Hba_14-0.25,0,Hba_14-0.25),IF(G81&lt;=Hba_15-0.25,0,Hba_15-0.25),IF(G81&lt;=Hba_16-0.25,0,Hba_16-0.25),IF(G81&lt;=Hba_17-0.25,0,Hba_17-0.25),IF(G81&lt;=Hba_18-0.25,0,Hba_18-0.25),IF(G81&lt;=Hba_19-0.25,0,Hba_19-0.25),IF(G81&lt;=Hba_20-0.25,0,Hba_20-0.25),IF(G81&lt;=Hba_21-0.25,0,Hba_21-0.25),IF(G81&lt;=Hba_22-0.25,0,Hba_22-0.25),IF(G81&lt;=Hba_23-0.25,0,Hba_23-0.25),IF(G81&lt;=Hba_24-0.25,0,Hba_24-0.25),IF(G81&lt;=Hba_25-0.25,0,Hba_25-0.25),IF(G81&lt;=Hba_26-0.25,0,Hba_26-0.25),IF(G81&lt;=Hba_27-0.25,0,Hba_27-0.25),IF(G81&lt;=Hba_28-0.25,0,Hba_28-0.25),IF(G81&lt;=Hba_29-0.25,0,Hba_29-0.25),IF(G81&lt;=Hba_30-0.25,0,Hba_30-0.25)),IF(G81&lt;='Macro References'!$A$38,0,'Macro References'!$A$38)))</f>
        <v/>
      </c>
      <c r="H82" s="769"/>
      <c r="I82" s="228"/>
      <c r="J82" s="228"/>
      <c r="K82" s="228"/>
      <c r="L82" s="717" t="str">
        <f t="shared" si="11"/>
        <v/>
      </c>
      <c r="M82" s="717"/>
      <c r="N82" s="717"/>
      <c r="O82" s="717"/>
      <c r="P82" s="717" t="str">
        <f>IF(OR(G82=0,G82=""),"",IF(VLOOKUP(G82,'Geometry 2'!$C$4:$AI$14,1,TRUE)=VLOOKUP(G83,'Geometry 2'!$C$4:$AI$14,1,TRUE),"",IF(VLOOKUP(G82,'Geometry 2'!$C$4:$AI$14,33,TRUE)&lt;&gt;"n/a",MIN(G82,VLOOKUP(G82,'Geometry 2'!$C$4:$AI$14,1,TRUE))-VLOOKUP(G82,'Geometry 2'!$C$4:$AI$14,33,TRUE),"check")))</f>
        <v/>
      </c>
      <c r="Q82" s="717"/>
      <c r="R82" s="717"/>
      <c r="S82" s="717"/>
      <c r="T82" s="717" t="str">
        <f>IF($G82="","",VLOOKUP($G82,'Geometry 2'!$E$4:$AH$14,11,TRUE))</f>
        <v/>
      </c>
      <c r="U82" s="717"/>
      <c r="V82" s="717"/>
      <c r="W82" s="717"/>
      <c r="X82" s="716" t="str">
        <f>IF($G82="","",VLOOKUP($G82,'Geometry 2'!$E$4:$AJ$14,19,TRUE)-12*VLOOKUP($G82,'Geometry 2'!$E$4:$AJ$14,32,TRUE)*($D82-VLOOKUP($G82,'Geometry 2'!$E$5:$AH$14,1,TRUE)))</f>
        <v/>
      </c>
      <c r="Y82" s="716"/>
      <c r="Z82" s="716"/>
      <c r="AA82" s="716"/>
      <c r="AB82" s="757" t="str">
        <f>IF($G82="","",VLOOKUP($G82,'Geometry 2'!$E$4:$AJ$14,19,TRUE)-12*VLOOKUP($G82,'Geometry 2'!$E$4:$AJ$14,32,TRUE)*($G82-VLOOKUP($G82,'Geometry 2'!$E$5:$AH$14,1,TRUE)))</f>
        <v/>
      </c>
      <c r="AC82" s="758"/>
      <c r="AD82" s="758"/>
      <c r="AE82" s="759"/>
      <c r="AF82" s="716" t="str">
        <f>IF($G82="","",VLOOKUP($G82,'Geometry 2'!$E$4:$AJ$14,19,TRUE)-12*VLOOKUP($G82,'Geometry 2'!$E$4:$AJ$14,32,TRUE)*($G82-IF($P82="",0,$P82)-VLOOKUP($G82,'Geometry 2'!$E$5:$AH$14,1,TRUE)))</f>
        <v/>
      </c>
      <c r="AG82" s="716"/>
      <c r="AH82" s="716"/>
      <c r="AI82" s="716"/>
      <c r="AJ82" s="746" t="str">
        <f>IF($G82="","",VLOOKUP($G82,'Geometry 2'!$E$4:$AH$14,23,TRUE))</f>
        <v/>
      </c>
      <c r="AK82" s="747"/>
      <c r="AL82" s="747"/>
      <c r="AM82" s="748"/>
      <c r="AN82" s="717"/>
      <c r="AO82" s="717"/>
      <c r="AP82" s="717"/>
      <c r="AQ82" s="717"/>
      <c r="AR82" s="717" t="str">
        <f>IF($G82="","",VLOOKUP($G82,'Geometry 2'!$E$4:$AH$14,27,TRUE))</f>
        <v/>
      </c>
      <c r="AS82" s="717"/>
      <c r="AT82" s="717"/>
      <c r="AU82" s="718"/>
      <c r="AV82" s="715"/>
      <c r="AW82" s="716"/>
      <c r="AX82" s="716"/>
      <c r="AZ82" s="722" t="str">
        <f t="shared" si="15"/>
        <v/>
      </c>
      <c r="BA82" s="723"/>
      <c r="BB82" s="723"/>
      <c r="BC82" s="724"/>
      <c r="BD82" s="722"/>
      <c r="BE82" s="723"/>
      <c r="BF82" s="723"/>
      <c r="BG82" s="722" t="str">
        <f t="shared" si="9"/>
        <v/>
      </c>
      <c r="BH82" s="723"/>
      <c r="BI82" s="723"/>
      <c r="BJ82" s="723"/>
      <c r="BK82" s="724"/>
      <c r="BL82" s="722"/>
      <c r="BM82" s="723"/>
      <c r="BN82" s="723"/>
      <c r="BO82" s="723"/>
      <c r="BP82" s="725"/>
      <c r="BQ82" s="725"/>
      <c r="BR82" s="722" t="str">
        <f>IF(BP82="","",IF(OR(AND(Rev="H",Calculations!$F$27=TRUE),AND(Rev&lt;&gt;"H",Calculations!$F$30=TRUE)),IF(BP82&lt;=1,"Pass","Fail"),IF(BP82&lt;=1.05,"Pass","Fail")))</f>
        <v/>
      </c>
      <c r="BS82" s="723"/>
      <c r="BT82" s="724"/>
      <c r="BU82" s="49"/>
      <c r="BV82" s="25" t="str">
        <f>IFERROR(CONCATENATE(IF(AND($G82&lt;Hta_1,$G82&gt;=Hba_1,Input!U$21&lt;&gt;""),Input!$B$21&amp;";",""),IF(AND($G82&lt;Hta_2,$G82&gt;=Hba_2,Input!U$22&lt;&gt;""),Input!$B$22&amp;";",""),IF(AND($G82&lt;Hta_3,$G82&gt;=Hba_3,Input!U$23&lt;&gt;""),Input!$B$23&amp;";",""),IF(AND($G82&lt;Hta_4,$G82&gt;=Hba_4,Input!U$24&lt;&gt;""),Input!$B$24&amp;";",""),IF(AND($G82&lt;Hta_5,$G82&gt;=Hba_5,Input!U$25&lt;&gt;""),Input!$B$25&amp;";",""),IF(AND($G82&lt;Hta_6,$G82&gt;=Hba_6,Input!U$26&lt;&gt;""),Input!$B$26&amp;";",""),IF(AND($G82&lt;Hta_7,$G82&gt;=Hba_7,Input!U$27&lt;&gt;""),Input!$B$27&amp;";",""),IF(AND($G82&lt;Hta_8,$G82&gt;=Hba_8,Input!U$28&lt;&gt;""),Input!$B$28&amp;";",""),IF(AND($G82&lt;Hta_9,$G82&gt;=Hba_9,Input!U$29&lt;&gt;""),Input!$B$29&amp;";",""),IF(AND($G82&lt;Hta_10,$G82&gt;=Hba_10,Input!U$30&lt;&gt;""),Input!$B$30&amp;";",""),IF(AND($G82&lt;Hta_11,$G82&gt;=Hba_11,Input!U$31&lt;&gt;""),Input!$B$31&amp;";",""),IF(AND($G82&lt;Hta_12,$G82&gt;=Hba_12,Input!U$32&lt;&gt;""),Input!$B$32&amp;";",""),IF(AND($G82&lt;Hta_13,$G82&gt;=Hba_13,Input!U$33&lt;&gt;""),Input!$B$33&amp;";",""),IF(AND($G82&lt;Hta_14,$G82&gt;=Hba_14,Input!U$34&lt;&gt;""),Input!$B$34&amp;";",""),IF(AND($G82&lt;Hta_15,$G82&gt;=Hba_15,Input!U$35&lt;&gt;""),Input!$B$35&amp;";",""),IF(AND($G82&lt;Hta_16,$G82&gt;=Hba_16,Input!U$36&lt;&gt;""),Input!$B$36&amp;";",""),IF(AND($G82&lt;Hta_17,$G82&gt;=Hba_17,Input!U$37&lt;&gt;""),Input!$B$37&amp;";",""),IF(AND($G82&lt;Hta_18,$G82&gt;=Hba_18,Input!U$38&lt;&gt;""),Input!$B$38&amp;";",""),IF(AND($G82&lt;Hta_19,$G82&gt;=Hba_19,Input!U$39&lt;&gt;""),Input!$B$39&amp;";",""),IF(AND($G82&lt;Hta_20,$G82&gt;=Hba_20,Input!U$40&lt;&gt;""),Input!$B$40&amp;";",""),IF(AND($G82&lt;Hta_21,$G82&gt;=Hba_21,Input!U$41&lt;&gt;""),Input!$B$41&amp;";",""),IF(AND($G82&lt;Hta_22,$G82&gt;=Hba_22,Input!U$42&lt;&gt;""),Input!$B$42&amp;";",""),IF(AND($G82&lt;Hta_23,$G82&gt;=Hba_23,Input!U$43&lt;&gt;""),Input!$B$43&amp;";",""),IF(AND($G82&lt;Hta_24,$G82&gt;=Hba_24,Input!U$44&lt;&gt;""),Input!$B$44&amp;";",""),IF(AND($G82&lt;Hta_25,$G82&gt;=Hba_25,Input!U$45&lt;&gt;""),Input!$B$45&amp;";",""),IF(AND($G82&lt;Hta_26,$G82&gt;=Hba_26,Input!U$46&lt;&gt;""),Input!$B$46&amp;";",""),IF(AND($G82&lt;Hta_27,$G82&gt;=Hba_27,Input!U$47&lt;&gt;""),Input!$B$47&amp;";",""),IF(AND($G82&lt;Hta_28,$G82&gt;=Hba_28,Input!U$48&lt;&gt;""),Input!$B$48&amp;";",""),IF(AND($G82&lt;Hta_29,$G82&gt;=Hba_29,Input!U$49&lt;&gt;""),Input!$B$49&amp;";",""),IF(AND($G82&lt;Hta_30,$G82&gt;=Hba_30,Input!U$50&lt;&gt;""),Input!$B$50&amp;";","")),"")</f>
        <v/>
      </c>
      <c r="BW82" s="25" t="str">
        <f>IFERROR(CONCATENATE(IF(AND($G82&lt;Hta_1,$G82&gt;=Hba_1,Input!V$21&lt;&gt;""),Input!$B$21&amp;";",""),IF(AND($G82&lt;Hta_2,$G82&gt;=Hba_2,Input!V$22&lt;&gt;""),Input!$B$22&amp;";",""),IF(AND($G82&lt;Hta_3,$G82&gt;=Hba_3,Input!V$23&lt;&gt;""),Input!$B$23&amp;";",""),IF(AND($G82&lt;Hta_4,$G82&gt;=Hba_4,Input!V$24&lt;&gt;""),Input!$B$24&amp;";",""),IF(AND($G82&lt;Hta_5,$G82&gt;=Hba_5,Input!V$25&lt;&gt;""),Input!$B$25&amp;";",""),IF(AND($G82&lt;Hta_6,$G82&gt;=Hba_6,Input!V$26&lt;&gt;""),Input!$B$26&amp;";",""),IF(AND($G82&lt;Hta_7,$G82&gt;=Hba_7,Input!V$27&lt;&gt;""),Input!$B$27&amp;";",""),IF(AND($G82&lt;Hta_8,$G82&gt;=Hba_8,Input!V$28&lt;&gt;""),Input!$B$28&amp;";",""),IF(AND($G82&lt;Hta_9,$G82&gt;=Hba_9,Input!V$29&lt;&gt;""),Input!$B$29&amp;";",""),IF(AND($G82&lt;Hta_10,$G82&gt;=Hba_10,Input!V$30&lt;&gt;""),Input!$B$30&amp;";",""),IF(AND($G82&lt;Hta_11,$G82&gt;=Hba_11,Input!V$31&lt;&gt;""),Input!$B$31&amp;";",""),IF(AND($G82&lt;Hta_12,$G82&gt;=Hba_12,Input!V$32&lt;&gt;""),Input!$B$32&amp;";",""),IF(AND($G82&lt;Hta_13,$G82&gt;=Hba_13,Input!V$33&lt;&gt;""),Input!$B$33&amp;";",""),IF(AND($G82&lt;Hta_14,$G82&gt;=Hba_14,Input!V$34&lt;&gt;""),Input!$B$34&amp;";",""),IF(AND($G82&lt;Hta_15,$G82&gt;=Hba_15,Input!V$35&lt;&gt;""),Input!$B$35&amp;";",""),IF(AND($G82&lt;Hta_16,$G82&gt;=Hba_16,Input!V$36&lt;&gt;""),Input!$B$36&amp;";",""),IF(AND($G82&lt;Hta_17,$G82&gt;=Hba_17,Input!V$37&lt;&gt;""),Input!$B$37&amp;";",""),IF(AND($G82&lt;Hta_18,$G82&gt;=Hba_18,Input!V$38&lt;&gt;""),Input!$B$38&amp;";",""),IF(AND($G82&lt;Hta_19,$G82&gt;=Hba_19,Input!V$39&lt;&gt;""),Input!$B$39&amp;";",""),IF(AND($G82&lt;Hta_20,$G82&gt;=Hba_20,Input!V$40&lt;&gt;""),Input!$B$40&amp;";",""),IF(AND($G82&lt;Hta_21,$G82&gt;=Hba_21,Input!V$41&lt;&gt;""),Input!$B$41&amp;";",""),IF(AND($G82&lt;Hta_22,$G82&gt;=Hba_22,Input!V$42&lt;&gt;""),Input!$B$42&amp;";",""),IF(AND($G82&lt;Hta_23,$G82&gt;=Hba_23,Input!V$43&lt;&gt;""),Input!$B$43&amp;";",""),IF(AND($G82&lt;Hta_24,$G82&gt;=Hba_24,Input!V$44&lt;&gt;""),Input!$B$44&amp;";",""),IF(AND($G82&lt;Hta_25,$G82&gt;=Hba_25,Input!V$45&lt;&gt;""),Input!$B$45&amp;";",""),IF(AND($G82&lt;Hta_26,$G82&gt;=Hba_26,Input!V$46&lt;&gt;""),Input!$B$46&amp;";",""),IF(AND($G82&lt;Hta_27,$G82&gt;=Hba_27,Input!V$47&lt;&gt;""),Input!$B$47&amp;";",""),IF(AND($G82&lt;Hta_28,$G82&gt;=Hba_28,Input!V$48&lt;&gt;""),Input!$B$48&amp;";",""),IF(AND($G82&lt;Hta_29,$G82&gt;=Hba_29,Input!V$49&lt;&gt;""),Input!$B$49&amp;";",""),IF(AND($G82&lt;Hta_30,$G82&gt;=Hba_30,Input!V$50&lt;&gt;""),Input!$B$50&amp;";","")),"")</f>
        <v/>
      </c>
      <c r="BX82" s="25" t="str">
        <f>IFERROR(CONCATENATE(IF(AND($G82&lt;Hta_1,$G82&gt;=Hba_1,Input!W$21&lt;&gt;""),Input!$B$21&amp;";",""),IF(AND($G82&lt;Hta_2,$G82&gt;=Hba_2,Input!W$22&lt;&gt;""),Input!$B$22&amp;";",""),IF(AND($G82&lt;Hta_3,$G82&gt;=Hba_3,Input!W$23&lt;&gt;""),Input!$B$23&amp;";",""),IF(AND($G82&lt;Hta_4,$G82&gt;=Hba_4,Input!W$24&lt;&gt;""),Input!$B$24&amp;";",""),IF(AND($G82&lt;Hta_5,$G82&gt;=Hba_5,Input!W$25&lt;&gt;""),Input!$B$25&amp;";",""),IF(AND($G82&lt;Hta_6,$G82&gt;=Hba_6,Input!W$26&lt;&gt;""),Input!$B$26&amp;";",""),IF(AND($G82&lt;Hta_7,$G82&gt;=Hba_7,Input!W$27&lt;&gt;""),Input!$B$27&amp;";",""),IF(AND($G82&lt;Hta_8,$G82&gt;=Hba_8,Input!W$28&lt;&gt;""),Input!$B$28&amp;";",""),IF(AND($G82&lt;Hta_9,$G82&gt;=Hba_9,Input!W$29&lt;&gt;""),Input!$B$29&amp;";",""),IF(AND($G82&lt;Hta_10,$G82&gt;=Hba_10,Input!W$30&lt;&gt;""),Input!$B$30&amp;";",""),IF(AND($G82&lt;Hta_11,$G82&gt;=Hba_11,Input!W$31&lt;&gt;""),Input!$B$31&amp;";",""),IF(AND($G82&lt;Hta_12,$G82&gt;=Hba_12,Input!W$32&lt;&gt;""),Input!$B$32&amp;";",""),IF(AND($G82&lt;Hta_13,$G82&gt;=Hba_13,Input!W$33&lt;&gt;""),Input!$B$33&amp;";",""),IF(AND($G82&lt;Hta_14,$G82&gt;=Hba_14,Input!W$34&lt;&gt;""),Input!$B$34&amp;";",""),IF(AND($G82&lt;Hta_15,$G82&gt;=Hba_15,Input!W$35&lt;&gt;""),Input!$B$35&amp;";",""),IF(AND($G82&lt;Hta_16,$G82&gt;=Hba_16,Input!W$36&lt;&gt;""),Input!$B$36&amp;";",""),IF(AND($G82&lt;Hta_17,$G82&gt;=Hba_17,Input!W$37&lt;&gt;""),Input!$B$37&amp;";",""),IF(AND($G82&lt;Hta_18,$G82&gt;=Hba_18,Input!W$38&lt;&gt;""),Input!$B$38&amp;";",""),IF(AND($G82&lt;Hta_19,$G82&gt;=Hba_19,Input!W$39&lt;&gt;""),Input!$B$39&amp;";",""),IF(AND($G82&lt;Hta_20,$G82&gt;=Hba_20,Input!W$40&lt;&gt;""),Input!$B$40&amp;";",""),IF(AND($G82&lt;Hta_21,$G82&gt;=Hba_21,Input!W$41&lt;&gt;""),Input!$B$41&amp;";",""),IF(AND($G82&lt;Hta_22,$G82&gt;=Hba_22,Input!W$42&lt;&gt;""),Input!$B$42&amp;";",""),IF(AND($G82&lt;Hta_23,$G82&gt;=Hba_23,Input!W$43&lt;&gt;""),Input!$B$43&amp;";",""),IF(AND($G82&lt;Hta_24,$G82&gt;=Hba_24,Input!W$44&lt;&gt;""),Input!$B$44&amp;";",""),IF(AND($G82&lt;Hta_25,$G82&gt;=Hba_25,Input!W$45&lt;&gt;""),Input!$B$45&amp;";",""),IF(AND($G82&lt;Hta_26,$G82&gt;=Hba_26,Input!W$46&lt;&gt;""),Input!$B$46&amp;";",""),IF(AND($G82&lt;Hta_27,$G82&gt;=Hba_27,Input!W$47&lt;&gt;""),Input!$B$47&amp;";",""),IF(AND($G82&lt;Hta_28,$G82&gt;=Hba_28,Input!W$48&lt;&gt;""),Input!$B$48&amp;";",""),IF(AND($G82&lt;Hta_29,$G82&gt;=Hba_29,Input!W$49&lt;&gt;""),Input!$B$49&amp;";",""),IF(AND($G82&lt;Hta_30,$G82&gt;=Hba_30,Input!W$50&lt;&gt;""),Input!$B$50&amp;";","")),"")</f>
        <v/>
      </c>
      <c r="BY82" s="25" t="str">
        <f>IFERROR(CONCATENATE(IF(AND($G82&lt;Hta_1,$G82&gt;=Hba_1,Input!X$21&lt;&gt;""),Input!$B$21&amp;";",""),IF(AND($G82&lt;Hta_2,$G82&gt;=Hba_2,Input!X$22&lt;&gt;""),Input!$B$22&amp;";",""),IF(AND($G82&lt;Hta_3,$G82&gt;=Hba_3,Input!X$23&lt;&gt;""),Input!$B$23&amp;";",""),IF(AND($G82&lt;Hta_4,$G82&gt;=Hba_4,Input!X$24&lt;&gt;""),Input!$B$24&amp;";",""),IF(AND($G82&lt;Hta_5,$G82&gt;=Hba_5,Input!X$25&lt;&gt;""),Input!$B$25&amp;";",""),IF(AND($G82&lt;Hta_6,$G82&gt;=Hba_6,Input!X$26&lt;&gt;""),Input!$B$26&amp;";",""),IF(AND($G82&lt;Hta_7,$G82&gt;=Hba_7,Input!X$27&lt;&gt;""),Input!$B$27&amp;";",""),IF(AND($G82&lt;Hta_8,$G82&gt;=Hba_8,Input!X$28&lt;&gt;""),Input!$B$28&amp;";",""),IF(AND($G82&lt;Hta_9,$G82&gt;=Hba_9,Input!X$29&lt;&gt;""),Input!$B$29&amp;";",""),IF(AND($G82&lt;Hta_10,$G82&gt;=Hba_10,Input!X$30&lt;&gt;""),Input!$B$30&amp;";",""),IF(AND($G82&lt;Hta_11,$G82&gt;=Hba_11,Input!X$31&lt;&gt;""),Input!$B$31&amp;";",""),IF(AND($G82&lt;Hta_12,$G82&gt;=Hba_12,Input!X$32&lt;&gt;""),Input!$B$32&amp;";",""),IF(AND($G82&lt;Hta_13,$G82&gt;=Hba_13,Input!X$33&lt;&gt;""),Input!$B$33&amp;";",""),IF(AND($G82&lt;Hta_14,$G82&gt;=Hba_14,Input!X$34&lt;&gt;""),Input!$B$34&amp;";",""),IF(AND($G82&lt;Hta_15,$G82&gt;=Hba_15,Input!X$35&lt;&gt;""),Input!$B$35&amp;";",""),IF(AND($G82&lt;Hta_16,$G82&gt;=Hba_16,Input!X$36&lt;&gt;""),Input!$B$36&amp;";",""),IF(AND($G82&lt;Hta_17,$G82&gt;=Hba_17,Input!X$37&lt;&gt;""),Input!$B$37&amp;";",""),IF(AND($G82&lt;Hta_18,$G82&gt;=Hba_18,Input!X$38&lt;&gt;""),Input!$B$38&amp;";",""),IF(AND($G82&lt;Hta_19,$G82&gt;=Hba_19,Input!X$39&lt;&gt;""),Input!$B$39&amp;";",""),IF(AND($G82&lt;Hta_20,$G82&gt;=Hba_20,Input!X$40&lt;&gt;""),Input!$B$40&amp;";",""),IF(AND($G82&lt;Hta_21,$G82&gt;=Hba_21,Input!X$41&lt;&gt;""),Input!$B$41&amp;";",""),IF(AND($G82&lt;Hta_22,$G82&gt;=Hba_22,Input!X$42&lt;&gt;""),Input!$B$42&amp;";",""),IF(AND($G82&lt;Hta_23,$G82&gt;=Hba_23,Input!X$43&lt;&gt;""),Input!$B$43&amp;";",""),IF(AND($G82&lt;Hta_24,$G82&gt;=Hba_24,Input!X$44&lt;&gt;""),Input!$B$44&amp;";",""),IF(AND($G82&lt;Hta_25,$G82&gt;=Hba_25,Input!X$45&lt;&gt;""),Input!$B$45&amp;";",""),IF(AND($G82&lt;Hta_26,$G82&gt;=Hba_26,Input!X$46&lt;&gt;""),Input!$B$46&amp;";",""),IF(AND($G82&lt;Hta_27,$G82&gt;=Hba_27,Input!X$47&lt;&gt;""),Input!$B$47&amp;";",""),IF(AND($G82&lt;Hta_28,$G82&gt;=Hba_28,Input!X$48&lt;&gt;""),Input!$B$48&amp;";",""),IF(AND($G82&lt;Hta_29,$G82&gt;=Hba_29,Input!X$49&lt;&gt;""),Input!$B$49&amp;";",""),IF(AND($G82&lt;Hta_30,$G82&gt;=Hba_30,Input!X$50&lt;&gt;""),Input!$B$50&amp;";","")),"")</f>
        <v/>
      </c>
      <c r="BZ82" s="25" t="str">
        <f>IFERROR(CONCATENATE(IF(AND($G82&lt;Hta_1,$G82&gt;=Hba_1,Input!Y$21&lt;&gt;""),Input!$B$21&amp;";",""),IF(AND($G82&lt;Hta_2,$G82&gt;=Hba_2,Input!Y$22&lt;&gt;""),Input!$B$22&amp;";",""),IF(AND($G82&lt;Hta_3,$G82&gt;=Hba_3,Input!Y$23&lt;&gt;""),Input!$B$23&amp;";",""),IF(AND($G82&lt;Hta_4,$G82&gt;=Hba_4,Input!Y$24&lt;&gt;""),Input!$B$24&amp;";",""),IF(AND($G82&lt;Hta_5,$G82&gt;=Hba_5,Input!Y$25&lt;&gt;""),Input!$B$25&amp;";",""),IF(AND($G82&lt;Hta_6,$G82&gt;=Hba_6,Input!Y$26&lt;&gt;""),Input!$B$26&amp;";",""),IF(AND($G82&lt;Hta_7,$G82&gt;=Hba_7,Input!Y$27&lt;&gt;""),Input!$B$27&amp;";",""),IF(AND($G82&lt;Hta_8,$G82&gt;=Hba_8,Input!Y$28&lt;&gt;""),Input!$B$28&amp;";",""),IF(AND($G82&lt;Hta_9,$G82&gt;=Hba_9,Input!Y$29&lt;&gt;""),Input!$B$29&amp;";",""),IF(AND($G82&lt;Hta_10,$G82&gt;=Hba_10,Input!Y$30&lt;&gt;""),Input!$B$30&amp;";",""),IF(AND($G82&lt;Hta_11,$G82&gt;=Hba_11,Input!Y$31&lt;&gt;""),Input!$B$31&amp;";",""),IF(AND($G82&lt;Hta_12,$G82&gt;=Hba_12,Input!Y$32&lt;&gt;""),Input!$B$32&amp;";",""),IF(AND($G82&lt;Hta_13,$G82&gt;=Hba_13,Input!Y$33&lt;&gt;""),Input!$B$33&amp;";",""),IF(AND($G82&lt;Hta_14,$G82&gt;=Hba_14,Input!Y$34&lt;&gt;""),Input!$B$34&amp;";",""),IF(AND($G82&lt;Hta_15,$G82&gt;=Hba_15,Input!Y$35&lt;&gt;""),Input!$B$35&amp;";",""),IF(AND($G82&lt;Hta_16,$G82&gt;=Hba_16,Input!Y$36&lt;&gt;""),Input!$B$36&amp;";",""),IF(AND($G82&lt;Hta_17,$G82&gt;=Hba_17,Input!Y$37&lt;&gt;""),Input!$B$37&amp;";",""),IF(AND($G82&lt;Hta_18,$G82&gt;=Hba_18,Input!Y$38&lt;&gt;""),Input!$B$38&amp;";",""),IF(AND($G82&lt;Hta_19,$G82&gt;=Hba_19,Input!Y$39&lt;&gt;""),Input!$B$39&amp;";",""),IF(AND($G82&lt;Hta_20,$G82&gt;=Hba_20,Input!Y$40&lt;&gt;""),Input!$B$40&amp;";",""),IF(AND($G82&lt;Hta_21,$G82&gt;=Hba_21,Input!Y$41&lt;&gt;""),Input!$B$41&amp;";",""),IF(AND($G82&lt;Hta_22,$G82&gt;=Hba_22,Input!Y$42&lt;&gt;""),Input!$B$42&amp;";",""),IF(AND($G82&lt;Hta_23,$G82&gt;=Hba_23,Input!Y$43&lt;&gt;""),Input!$B$43&amp;";",""),IF(AND($G82&lt;Hta_24,$G82&gt;=Hba_24,Input!Y$44&lt;&gt;""),Input!$B$44&amp;";",""),IF(AND($G82&lt;Hta_25,$G82&gt;=Hba_25,Input!Y$45&lt;&gt;""),Input!$B$45&amp;";",""),IF(AND($G82&lt;Hta_26,$G82&gt;=Hba_26,Input!Y$46&lt;&gt;""),Input!$B$46&amp;";",""),IF(AND($G82&lt;Hta_27,$G82&gt;=Hba_27,Input!Y$47&lt;&gt;""),Input!$B$47&amp;";",""),IF(AND($G82&lt;Hta_28,$G82&gt;=Hba_28,Input!Y$48&lt;&gt;""),Input!$B$48&amp;";",""),IF(AND($G82&lt;Hta_29,$G82&gt;=Hba_29,Input!Y$49&lt;&gt;""),Input!$B$49&amp;";",""),IF(AND($G82&lt;Hta_30,$G82&gt;=Hba_30,Input!Y$50&lt;&gt;""),Input!$B$50&amp;";","")),"")</f>
        <v/>
      </c>
      <c r="CA82" s="25" t="str">
        <f>IFERROR(CONCATENATE(IF(AND($G82&lt;Hta_1,$G82&gt;=Hba_1,Input!Z$21&lt;&gt;""),Input!$B$21&amp;";",""),IF(AND($G82&lt;Hta_2,$G82&gt;=Hba_2,Input!Z$22&lt;&gt;""),Input!$B$22&amp;";",""),IF(AND($G82&lt;Hta_3,$G82&gt;=Hba_3,Input!Z$23&lt;&gt;""),Input!$B$23&amp;";",""),IF(AND($G82&lt;Hta_4,$G82&gt;=Hba_4,Input!Z$24&lt;&gt;""),Input!$B$24&amp;";",""),IF(AND($G82&lt;Hta_5,$G82&gt;=Hba_5,Input!Z$25&lt;&gt;""),Input!$B$25&amp;";",""),IF(AND($G82&lt;Hta_6,$G82&gt;=Hba_6,Input!Z$26&lt;&gt;""),Input!$B$26&amp;";",""),IF(AND($G82&lt;Hta_7,$G82&gt;=Hba_7,Input!Z$27&lt;&gt;""),Input!$B$27&amp;";",""),IF(AND($G82&lt;Hta_8,$G82&gt;=Hba_8,Input!Z$28&lt;&gt;""),Input!$B$28&amp;";",""),IF(AND($G82&lt;Hta_9,$G82&gt;=Hba_9,Input!Z$29&lt;&gt;""),Input!$B$29&amp;";",""),IF(AND($G82&lt;Hta_10,$G82&gt;=Hba_10,Input!Z$30&lt;&gt;""),Input!$B$30&amp;";",""),IF(AND($G82&lt;Hta_11,$G82&gt;=Hba_11,Input!Z$31&lt;&gt;""),Input!$B$31&amp;";",""),IF(AND($G82&lt;Hta_12,$G82&gt;=Hba_12,Input!Z$32&lt;&gt;""),Input!$B$32&amp;";",""),IF(AND($G82&lt;Hta_13,$G82&gt;=Hba_13,Input!Z$33&lt;&gt;""),Input!$B$33&amp;";",""),IF(AND($G82&lt;Hta_14,$G82&gt;=Hba_14,Input!Z$34&lt;&gt;""),Input!$B$34&amp;";",""),IF(AND($G82&lt;Hta_15,$G82&gt;=Hba_15,Input!Z$35&lt;&gt;""),Input!$B$35&amp;";",""),IF(AND($G82&lt;Hta_16,$G82&gt;=Hba_16,Input!Z$36&lt;&gt;""),Input!$B$36&amp;";",""),IF(AND($G82&lt;Hta_17,$G82&gt;=Hba_17,Input!Z$37&lt;&gt;""),Input!$B$37&amp;";",""),IF(AND($G82&lt;Hta_18,$G82&gt;=Hba_18,Input!Z$38&lt;&gt;""),Input!$B$38&amp;";",""),IF(AND($G82&lt;Hta_19,$G82&gt;=Hba_19,Input!Z$39&lt;&gt;""),Input!$B$39&amp;";",""),IF(AND($G82&lt;Hta_20,$G82&gt;=Hba_20,Input!Z$40&lt;&gt;""),Input!$B$40&amp;";",""),IF(AND($G82&lt;Hta_21,$G82&gt;=Hba_21,Input!Z$41&lt;&gt;""),Input!$B$41&amp;";",""),IF(AND($G82&lt;Hta_22,$G82&gt;=Hba_22,Input!Z$42&lt;&gt;""),Input!$B$42&amp;";",""),IF(AND($G82&lt;Hta_23,$G82&gt;=Hba_23,Input!Z$43&lt;&gt;""),Input!$B$43&amp;";",""),IF(AND($G82&lt;Hta_24,$G82&gt;=Hba_24,Input!Z$44&lt;&gt;""),Input!$B$44&amp;";",""),IF(AND($G82&lt;Hta_25,$G82&gt;=Hba_25,Input!Z$45&lt;&gt;""),Input!$B$45&amp;";",""),IF(AND($G82&lt;Hta_26,$G82&gt;=Hba_26,Input!Z$46&lt;&gt;""),Input!$B$46&amp;";",""),IF(AND($G82&lt;Hta_27,$G82&gt;=Hba_27,Input!Z$47&lt;&gt;""),Input!$B$47&amp;";",""),IF(AND($G82&lt;Hta_28,$G82&gt;=Hba_28,Input!Z$48&lt;&gt;""),Input!$B$48&amp;";",""),IF(AND($G82&lt;Hta_29,$G82&gt;=Hba_29,Input!Z$49&lt;&gt;""),Input!$B$49&amp;";",""),IF(AND($G82&lt;Hta_30,$G82&gt;=Hba_30,Input!Z$50&lt;&gt;""),Input!$B$50&amp;";","")),"")</f>
        <v/>
      </c>
      <c r="CB82" s="25" t="str">
        <f>IFERROR(CONCATENATE(IF(AND($G82&lt;Hta_1,$G82&gt;=Hba_1,Input!AA$21&lt;&gt;""),Input!$B$21&amp;";",""),IF(AND($G82&lt;Hta_2,$G82&gt;=Hba_2,Input!AA$22&lt;&gt;""),Input!$B$22&amp;";",""),IF(AND($G82&lt;Hta_3,$G82&gt;=Hba_3,Input!AA$23&lt;&gt;""),Input!$B$23&amp;";",""),IF(AND($G82&lt;Hta_4,$G82&gt;=Hba_4,Input!AA$24&lt;&gt;""),Input!$B$24&amp;";",""),IF(AND($G82&lt;Hta_5,$G82&gt;=Hba_5,Input!AA$25&lt;&gt;""),Input!$B$25&amp;";",""),IF(AND($G82&lt;Hta_6,$G82&gt;=Hba_6,Input!AA$26&lt;&gt;""),Input!$B$26&amp;";",""),IF(AND($G82&lt;Hta_7,$G82&gt;=Hba_7,Input!AA$27&lt;&gt;""),Input!$B$27&amp;";",""),IF(AND($G82&lt;Hta_8,$G82&gt;=Hba_8,Input!AA$28&lt;&gt;""),Input!$B$28&amp;";",""),IF(AND($G82&lt;Hta_9,$G82&gt;=Hba_9,Input!AA$29&lt;&gt;""),Input!$B$29&amp;";",""),IF(AND($G82&lt;Hta_10,$G82&gt;=Hba_10,Input!AA$30&lt;&gt;""),Input!$B$30&amp;";",""),IF(AND($G82&lt;Hta_11,$G82&gt;=Hba_11,Input!AA$31&lt;&gt;""),Input!$B$31&amp;";",""),IF(AND($G82&lt;Hta_12,$G82&gt;=Hba_12,Input!AA$32&lt;&gt;""),Input!$B$32&amp;";",""),IF(AND($G82&lt;Hta_13,$G82&gt;=Hba_13,Input!AA$33&lt;&gt;""),Input!$B$33&amp;";",""),IF(AND($G82&lt;Hta_14,$G82&gt;=Hba_14,Input!AA$34&lt;&gt;""),Input!$B$34&amp;";",""),IF(AND($G82&lt;Hta_15,$G82&gt;=Hba_15,Input!AA$35&lt;&gt;""),Input!$B$35&amp;";",""),IF(AND($G82&lt;Hta_16,$G82&gt;=Hba_16,Input!AA$36&lt;&gt;""),Input!$B$36&amp;";",""),IF(AND($G82&lt;Hta_17,$G82&gt;=Hba_17,Input!AA$37&lt;&gt;""),Input!$B$37&amp;";",""),IF(AND($G82&lt;Hta_18,$G82&gt;=Hba_18,Input!AA$38&lt;&gt;""),Input!$B$38&amp;";",""),IF(AND($G82&lt;Hta_19,$G82&gt;=Hba_19,Input!AA$39&lt;&gt;""),Input!$B$39&amp;";",""),IF(AND($G82&lt;Hta_20,$G82&gt;=Hba_20,Input!AA$40&lt;&gt;""),Input!$B$40&amp;";",""),IF(AND($G82&lt;Hta_21,$G82&gt;=Hba_21,Input!AA$41&lt;&gt;""),Input!$B$41&amp;";",""),IF(AND($G82&lt;Hta_22,$G82&gt;=Hba_22,Input!AA$42&lt;&gt;""),Input!$B$42&amp;";",""),IF(AND($G82&lt;Hta_23,$G82&gt;=Hba_23,Input!AA$43&lt;&gt;""),Input!$B$43&amp;";",""),IF(AND($G82&lt;Hta_24,$G82&gt;=Hba_24,Input!AA$44&lt;&gt;""),Input!$B$44&amp;";",""),IF(AND($G82&lt;Hta_25,$G82&gt;=Hba_25,Input!AA$45&lt;&gt;""),Input!$B$45&amp;";",""),IF(AND($G82&lt;Hta_26,$G82&gt;=Hba_26,Input!AA$46&lt;&gt;""),Input!$B$46&amp;";",""),IF(AND($G82&lt;Hta_27,$G82&gt;=Hba_27,Input!AA$47&lt;&gt;""),Input!$B$47&amp;";",""),IF(AND($G82&lt;Hta_28,$G82&gt;=Hba_28,Input!AA$48&lt;&gt;""),Input!$B$48&amp;";",""),IF(AND($G82&lt;Hta_29,$G82&gt;=Hba_29,Input!AA$49&lt;&gt;""),Input!$B$49&amp;";",""),IF(AND($G82&lt;Hta_30,$G82&gt;=Hba_30,Input!AA$50&lt;&gt;""),Input!$B$50&amp;";","")),"")</f>
        <v/>
      </c>
      <c r="CC82" s="25" t="str">
        <f>IFERROR(CONCATENATE(IF(AND($G82&lt;Hta_1,$G82&gt;=Hba_1,Input!AB$21&lt;&gt;""),Input!$B$21&amp;";",""),IF(AND($G82&lt;Hta_2,$G82&gt;=Hba_2,Input!AB$22&lt;&gt;""),Input!$B$22&amp;";",""),IF(AND($G82&lt;Hta_3,$G82&gt;=Hba_3,Input!AB$23&lt;&gt;""),Input!$B$23&amp;";",""),IF(AND($G82&lt;Hta_4,$G82&gt;=Hba_4,Input!AB$24&lt;&gt;""),Input!$B$24&amp;";",""),IF(AND($G82&lt;Hta_5,$G82&gt;=Hba_5,Input!AB$25&lt;&gt;""),Input!$B$25&amp;";",""),IF(AND($G82&lt;Hta_6,$G82&gt;=Hba_6,Input!AB$26&lt;&gt;""),Input!$B$26&amp;";",""),IF(AND($G82&lt;Hta_7,$G82&gt;=Hba_7,Input!AB$27&lt;&gt;""),Input!$B$27&amp;";",""),IF(AND($G82&lt;Hta_8,$G82&gt;=Hba_8,Input!AB$28&lt;&gt;""),Input!$B$28&amp;";",""),IF(AND($G82&lt;Hta_9,$G82&gt;=Hba_9,Input!AB$29&lt;&gt;""),Input!$B$29&amp;";",""),IF(AND($G82&lt;Hta_10,$G82&gt;=Hba_10,Input!AB$30&lt;&gt;""),Input!$B$30&amp;";",""),IF(AND($G82&lt;Hta_11,$G82&gt;=Hba_11,Input!AB$31&lt;&gt;""),Input!$B$31&amp;";",""),IF(AND($G82&lt;Hta_12,$G82&gt;=Hba_12,Input!AB$32&lt;&gt;""),Input!$B$32&amp;";",""),IF(AND($G82&lt;Hta_13,$G82&gt;=Hba_13,Input!AB$33&lt;&gt;""),Input!$B$33&amp;";",""),IF(AND($G82&lt;Hta_14,$G82&gt;=Hba_14,Input!AB$34&lt;&gt;""),Input!$B$34&amp;";",""),IF(AND($G82&lt;Hta_15,$G82&gt;=Hba_15,Input!AB$35&lt;&gt;""),Input!$B$35&amp;";",""),IF(AND($G82&lt;Hta_16,$G82&gt;=Hba_16,Input!AB$36&lt;&gt;""),Input!$B$36&amp;";",""),IF(AND($G82&lt;Hta_17,$G82&gt;=Hba_17,Input!AB$37&lt;&gt;""),Input!$B$37&amp;";",""),IF(AND($G82&lt;Hta_18,$G82&gt;=Hba_18,Input!AB$38&lt;&gt;""),Input!$B$38&amp;";",""),IF(AND($G82&lt;Hta_19,$G82&gt;=Hba_19,Input!AB$39&lt;&gt;""),Input!$B$39&amp;";",""),IF(AND($G82&lt;Hta_20,$G82&gt;=Hba_20,Input!AB$40&lt;&gt;""),Input!$B$40&amp;";",""),IF(AND($G82&lt;Hta_21,$G82&gt;=Hba_21,Input!AB$41&lt;&gt;""),Input!$B$41&amp;";",""),IF(AND($G82&lt;Hta_22,$G82&gt;=Hba_22,Input!AB$42&lt;&gt;""),Input!$B$42&amp;";",""),IF(AND($G82&lt;Hta_23,$G82&gt;=Hba_23,Input!AB$43&lt;&gt;""),Input!$B$43&amp;";",""),IF(AND($G82&lt;Hta_24,$G82&gt;=Hba_24,Input!AB$44&lt;&gt;""),Input!$B$44&amp;";",""),IF(AND($G82&lt;Hta_25,$G82&gt;=Hba_25,Input!AB$45&lt;&gt;""),Input!$B$45&amp;";",""),IF(AND($G82&lt;Hta_26,$G82&gt;=Hba_26,Input!AB$46&lt;&gt;""),Input!$B$46&amp;";",""),IF(AND($G82&lt;Hta_27,$G82&gt;=Hba_27,Input!AB$47&lt;&gt;""),Input!$B$47&amp;";",""),IF(AND($G82&lt;Hta_28,$G82&gt;=Hba_28,Input!AB$48&lt;&gt;""),Input!$B$48&amp;";",""),IF(AND($G82&lt;Hta_29,$G82&gt;=Hba_29,Input!AB$49&lt;&gt;""),Input!$B$49&amp;";",""),IF(AND($G82&lt;Hta_30,$G82&gt;=Hba_30,Input!AB$50&lt;&gt;""),Input!$B$50&amp;";","")),"")</f>
        <v/>
      </c>
      <c r="CD82" s="25" t="str">
        <f>IFERROR(CONCATENATE(IF(AND($G82&lt;Hta_1,$G82&gt;=Hba_1,Input!AC$21&lt;&gt;""),Input!$B$21&amp;";",""),IF(AND($G82&lt;Hta_2,$G82&gt;=Hba_2,Input!AC$22&lt;&gt;""),Input!$B$22&amp;";",""),IF(AND($G82&lt;Hta_3,$G82&gt;=Hba_3,Input!AC$23&lt;&gt;""),Input!$B$23&amp;";",""),IF(AND($G82&lt;Hta_4,$G82&gt;=Hba_4,Input!AC$24&lt;&gt;""),Input!$B$24&amp;";",""),IF(AND($G82&lt;Hta_5,$G82&gt;=Hba_5,Input!AC$25&lt;&gt;""),Input!$B$25&amp;";",""),IF(AND($G82&lt;Hta_6,$G82&gt;=Hba_6,Input!AC$26&lt;&gt;""),Input!$B$26&amp;";",""),IF(AND($G82&lt;Hta_7,$G82&gt;=Hba_7,Input!AC$27&lt;&gt;""),Input!$B$27&amp;";",""),IF(AND($G82&lt;Hta_8,$G82&gt;=Hba_8,Input!AC$28&lt;&gt;""),Input!$B$28&amp;";",""),IF(AND($G82&lt;Hta_9,$G82&gt;=Hba_9,Input!AC$29&lt;&gt;""),Input!$B$29&amp;";",""),IF(AND($G82&lt;Hta_10,$G82&gt;=Hba_10,Input!AC$30&lt;&gt;""),Input!$B$30&amp;";",""),IF(AND($G82&lt;Hta_11,$G82&gt;=Hba_11,Input!AC$31&lt;&gt;""),Input!$B$31&amp;";",""),IF(AND($G82&lt;Hta_12,$G82&gt;=Hba_12,Input!AC$32&lt;&gt;""),Input!$B$32&amp;";",""),IF(AND($G82&lt;Hta_13,$G82&gt;=Hba_13,Input!AC$33&lt;&gt;""),Input!$B$33&amp;";",""),IF(AND($G82&lt;Hta_14,$G82&gt;=Hba_14,Input!AC$34&lt;&gt;""),Input!$B$34&amp;";",""),IF(AND($G82&lt;Hta_15,$G82&gt;=Hba_15,Input!AC$35&lt;&gt;""),Input!$B$35&amp;";",""),IF(AND($G82&lt;Hta_16,$G82&gt;=Hba_16,Input!AC$36&lt;&gt;""),Input!$B$36&amp;";",""),IF(AND($G82&lt;Hta_17,$G82&gt;=Hba_17,Input!AC$37&lt;&gt;""),Input!$B$37&amp;";",""),IF(AND($G82&lt;Hta_18,$G82&gt;=Hba_18,Input!AC$38&lt;&gt;""),Input!$B$38&amp;";",""),IF(AND($G82&lt;Hta_19,$G82&gt;=Hba_19,Input!AC$39&lt;&gt;""),Input!$B$39&amp;";",""),IF(AND($G82&lt;Hta_20,$G82&gt;=Hba_20,Input!AC$40&lt;&gt;""),Input!$B$40&amp;";",""),IF(AND($G82&lt;Hta_21,$G82&gt;=Hba_21,Input!AC$41&lt;&gt;""),Input!$B$41&amp;";",""),IF(AND($G82&lt;Hta_22,$G82&gt;=Hba_22,Input!AC$42&lt;&gt;""),Input!$B$42&amp;";",""),IF(AND($G82&lt;Hta_23,$G82&gt;=Hba_23,Input!AC$43&lt;&gt;""),Input!$B$43&amp;";",""),IF(AND($G82&lt;Hta_24,$G82&gt;=Hba_24,Input!AC$44&lt;&gt;""),Input!$B$44&amp;";",""),IF(AND($G82&lt;Hta_25,$G82&gt;=Hba_25,Input!AC$45&lt;&gt;""),Input!$B$45&amp;";",""),IF(AND($G82&lt;Hta_26,$G82&gt;=Hba_26,Input!AC$46&lt;&gt;""),Input!$B$46&amp;";",""),IF(AND($G82&lt;Hta_27,$G82&gt;=Hba_27,Input!AC$47&lt;&gt;""),Input!$B$47&amp;";",""),IF(AND($G82&lt;Hta_28,$G82&gt;=Hba_28,Input!AC$48&lt;&gt;""),Input!$B$48&amp;";",""),IF(AND($G82&lt;Hta_29,$G82&gt;=Hba_29,Input!AC$49&lt;&gt;""),Input!$B$49&amp;";",""),IF(AND($G82&lt;Hta_30,$G82&gt;=Hba_30,Input!AC$50&lt;&gt;""),Input!$B$50&amp;";","")),"")</f>
        <v/>
      </c>
      <c r="CE82" s="25" t="str">
        <f>IFERROR(CONCATENATE(IF(AND($G82&lt;Hta_1,$G82&gt;=Hba_1,Input!AD$21&lt;&gt;""),Input!$B$21&amp;";",""),IF(AND($G82&lt;Hta_2,$G82&gt;=Hba_2,Input!AD$22&lt;&gt;""),Input!$B$22&amp;";",""),IF(AND($G82&lt;Hta_3,$G82&gt;=Hba_3,Input!AD$23&lt;&gt;""),Input!$B$23&amp;";",""),IF(AND($G82&lt;Hta_4,$G82&gt;=Hba_4,Input!AD$24&lt;&gt;""),Input!$B$24&amp;";",""),IF(AND($G82&lt;Hta_5,$G82&gt;=Hba_5,Input!AD$25&lt;&gt;""),Input!$B$25&amp;";",""),IF(AND($G82&lt;Hta_6,$G82&gt;=Hba_6,Input!AD$26&lt;&gt;""),Input!$B$26&amp;";",""),IF(AND($G82&lt;Hta_7,$G82&gt;=Hba_7,Input!AD$27&lt;&gt;""),Input!$B$27&amp;";",""),IF(AND($G82&lt;Hta_8,$G82&gt;=Hba_8,Input!AD$28&lt;&gt;""),Input!$B$28&amp;";",""),IF(AND($G82&lt;Hta_9,$G82&gt;=Hba_9,Input!AD$29&lt;&gt;""),Input!$B$29&amp;";",""),IF(AND($G82&lt;Hta_10,$G82&gt;=Hba_10,Input!AD$30&lt;&gt;""),Input!$B$30&amp;";",""),IF(AND($G82&lt;Hta_11,$G82&gt;=Hba_11,Input!AD$31&lt;&gt;""),Input!$B$31&amp;";",""),IF(AND($G82&lt;Hta_12,$G82&gt;=Hba_12,Input!AD$32&lt;&gt;""),Input!$B$32&amp;";",""),IF(AND($G82&lt;Hta_13,$G82&gt;=Hba_13,Input!AD$33&lt;&gt;""),Input!$B$33&amp;";",""),IF(AND($G82&lt;Hta_14,$G82&gt;=Hba_14,Input!AD$34&lt;&gt;""),Input!$B$34&amp;";",""),IF(AND($G82&lt;Hta_15,$G82&gt;=Hba_15,Input!AD$35&lt;&gt;""),Input!$B$35&amp;";",""),IF(AND($G82&lt;Hta_16,$G82&gt;=Hba_16,Input!AD$36&lt;&gt;""),Input!$B$36&amp;";",""),IF(AND($G82&lt;Hta_17,$G82&gt;=Hba_17,Input!AD$37&lt;&gt;""),Input!$B$37&amp;";",""),IF(AND($G82&lt;Hta_18,$G82&gt;=Hba_18,Input!AD$38&lt;&gt;""),Input!$B$38&amp;";",""),IF(AND($G82&lt;Hta_19,$G82&gt;=Hba_19,Input!AD$39&lt;&gt;""),Input!$B$39&amp;";",""),IF(AND($G82&lt;Hta_20,$G82&gt;=Hba_20,Input!AD$40&lt;&gt;""),Input!$B$40&amp;";",""),IF(AND($G82&lt;Hta_21,$G82&gt;=Hba_21,Input!AD$41&lt;&gt;""),Input!$B$41&amp;";",""),IF(AND($G82&lt;Hta_22,$G82&gt;=Hba_22,Input!AD$42&lt;&gt;""),Input!$B$42&amp;";",""),IF(AND($G82&lt;Hta_23,$G82&gt;=Hba_23,Input!AD$43&lt;&gt;""),Input!$B$43&amp;";",""),IF(AND($G82&lt;Hta_24,$G82&gt;=Hba_24,Input!AD$44&lt;&gt;""),Input!$B$44&amp;";",""),IF(AND($G82&lt;Hta_25,$G82&gt;=Hba_25,Input!AD$45&lt;&gt;""),Input!$B$45&amp;";",""),IF(AND($G82&lt;Hta_26,$G82&gt;=Hba_26,Input!AD$46&lt;&gt;""),Input!$B$46&amp;";",""),IF(AND($G82&lt;Hta_27,$G82&gt;=Hba_27,Input!AD$47&lt;&gt;""),Input!$B$47&amp;";",""),IF(AND($G82&lt;Hta_28,$G82&gt;=Hba_28,Input!AD$48&lt;&gt;""),Input!$B$48&amp;";",""),IF(AND($G82&lt;Hta_29,$G82&gt;=Hba_29,Input!AD$49&lt;&gt;""),Input!$B$49&amp;";",""),IF(AND($G82&lt;Hta_30,$G82&gt;=Hba_30,Input!AD$50&lt;&gt;""),Input!$B$50&amp;";","")),"")</f>
        <v/>
      </c>
      <c r="CF82" s="25" t="str">
        <f>IFERROR(CONCATENATE(IF(AND($G82&lt;Hta_1,$G82&gt;=Hba_1,Input!AE$21&lt;&gt;""),Input!$B$21&amp;";",""),IF(AND($G82&lt;Hta_2,$G82&gt;=Hba_2,Input!AE$22&lt;&gt;""),Input!$B$22&amp;";",""),IF(AND($G82&lt;Hta_3,$G82&gt;=Hba_3,Input!AE$23&lt;&gt;""),Input!$B$23&amp;";",""),IF(AND($G82&lt;Hta_4,$G82&gt;=Hba_4,Input!AE$24&lt;&gt;""),Input!$B$24&amp;";",""),IF(AND($G82&lt;Hta_5,$G82&gt;=Hba_5,Input!AE$25&lt;&gt;""),Input!$B$25&amp;";",""),IF(AND($G82&lt;Hta_6,$G82&gt;=Hba_6,Input!AE$26&lt;&gt;""),Input!$B$26&amp;";",""),IF(AND($G82&lt;Hta_7,$G82&gt;=Hba_7,Input!AE$27&lt;&gt;""),Input!$B$27&amp;";",""),IF(AND($G82&lt;Hta_8,$G82&gt;=Hba_8,Input!AE$28&lt;&gt;""),Input!$B$28&amp;";",""),IF(AND($G82&lt;Hta_9,$G82&gt;=Hba_9,Input!AE$29&lt;&gt;""),Input!$B$29&amp;";",""),IF(AND($G82&lt;Hta_10,$G82&gt;=Hba_10,Input!AE$30&lt;&gt;""),Input!$B$30&amp;";",""),IF(AND($G82&lt;Hta_11,$G82&gt;=Hba_11,Input!AE$31&lt;&gt;""),Input!$B$31&amp;";",""),IF(AND($G82&lt;Hta_12,$G82&gt;=Hba_12,Input!AE$32&lt;&gt;""),Input!$B$32&amp;";",""),IF(AND($G82&lt;Hta_13,$G82&gt;=Hba_13,Input!AE$33&lt;&gt;""),Input!$B$33&amp;";",""),IF(AND($G82&lt;Hta_14,$G82&gt;=Hba_14,Input!AE$34&lt;&gt;""),Input!$B$34&amp;";",""),IF(AND($G82&lt;Hta_15,$G82&gt;=Hba_15,Input!AE$35&lt;&gt;""),Input!$B$35&amp;";",""),IF(AND($G82&lt;Hta_16,$G82&gt;=Hba_16,Input!AE$36&lt;&gt;""),Input!$B$36&amp;";",""),IF(AND($G82&lt;Hta_17,$G82&gt;=Hba_17,Input!AE$37&lt;&gt;""),Input!$B$37&amp;";",""),IF(AND($G82&lt;Hta_18,$G82&gt;=Hba_18,Input!AE$38&lt;&gt;""),Input!$B$38&amp;";",""),IF(AND($G82&lt;Hta_19,$G82&gt;=Hba_19,Input!AE$39&lt;&gt;""),Input!$B$39&amp;";",""),IF(AND($G82&lt;Hta_20,$G82&gt;=Hba_20,Input!AE$40&lt;&gt;""),Input!$B$40&amp;";",""),IF(AND($G82&lt;Hta_21,$G82&gt;=Hba_21,Input!AE$41&lt;&gt;""),Input!$B$41&amp;";",""),IF(AND($G82&lt;Hta_22,$G82&gt;=Hba_22,Input!AE$42&lt;&gt;""),Input!$B$42&amp;";",""),IF(AND($G82&lt;Hta_23,$G82&gt;=Hba_23,Input!AE$43&lt;&gt;""),Input!$B$43&amp;";",""),IF(AND($G82&lt;Hta_24,$G82&gt;=Hba_24,Input!AE$44&lt;&gt;""),Input!$B$44&amp;";",""),IF(AND($G82&lt;Hta_25,$G82&gt;=Hba_25,Input!AE$45&lt;&gt;""),Input!$B$45&amp;";",""),IF(AND($G82&lt;Hta_26,$G82&gt;=Hba_26,Input!AE$46&lt;&gt;""),Input!$B$46&amp;";",""),IF(AND($G82&lt;Hta_27,$G82&gt;=Hba_27,Input!AE$47&lt;&gt;""),Input!$B$47&amp;";",""),IF(AND($G82&lt;Hta_28,$G82&gt;=Hba_28,Input!AE$48&lt;&gt;""),Input!$B$48&amp;";",""),IF(AND($G82&lt;Hta_29,$G82&gt;=Hba_29,Input!AE$49&lt;&gt;""),Input!$B$49&amp;";",""),IF(AND($G82&lt;Hta_30,$G82&gt;=Hba_30,Input!AE$50&lt;&gt;""),Input!$B$50&amp;";","")),"")</f>
        <v/>
      </c>
      <c r="CG82" s="25" t="str">
        <f>IFERROR(CONCATENATE(IF(AND($G82&lt;Hta_1,$G82&gt;=Hba_1,Input!AF$21&lt;&gt;""),Input!$B$21&amp;";",""),IF(AND($G82&lt;Hta_2,$G82&gt;=Hba_2,Input!AF$22&lt;&gt;""),Input!$B$22&amp;";",""),IF(AND($G82&lt;Hta_3,$G82&gt;=Hba_3,Input!AF$23&lt;&gt;""),Input!$B$23&amp;";",""),IF(AND($G82&lt;Hta_4,$G82&gt;=Hba_4,Input!AF$24&lt;&gt;""),Input!$B$24&amp;";",""),IF(AND($G82&lt;Hta_5,$G82&gt;=Hba_5,Input!AF$25&lt;&gt;""),Input!$B$25&amp;";",""),IF(AND($G82&lt;Hta_6,$G82&gt;=Hba_6,Input!AF$26&lt;&gt;""),Input!$B$26&amp;";",""),IF(AND($G82&lt;Hta_7,$G82&gt;=Hba_7,Input!AF$27&lt;&gt;""),Input!$B$27&amp;";",""),IF(AND($G82&lt;Hta_8,$G82&gt;=Hba_8,Input!AF$28&lt;&gt;""),Input!$B$28&amp;";",""),IF(AND($G82&lt;Hta_9,$G82&gt;=Hba_9,Input!AF$29&lt;&gt;""),Input!$B$29&amp;";",""),IF(AND($G82&lt;Hta_10,$G82&gt;=Hba_10,Input!AF$30&lt;&gt;""),Input!$B$30&amp;";",""),IF(AND($G82&lt;Hta_11,$G82&gt;=Hba_11,Input!AF$31&lt;&gt;""),Input!$B$31&amp;";",""),IF(AND($G82&lt;Hta_12,$G82&gt;=Hba_12,Input!AF$32&lt;&gt;""),Input!$B$32&amp;";",""),IF(AND($G82&lt;Hta_13,$G82&gt;=Hba_13,Input!AF$33&lt;&gt;""),Input!$B$33&amp;";",""),IF(AND($G82&lt;Hta_14,$G82&gt;=Hba_14,Input!AF$34&lt;&gt;""),Input!$B$34&amp;";",""),IF(AND($G82&lt;Hta_15,$G82&gt;=Hba_15,Input!AF$35&lt;&gt;""),Input!$B$35&amp;";",""),IF(AND($G82&lt;Hta_16,$G82&gt;=Hba_16,Input!AF$36&lt;&gt;""),Input!$B$36&amp;";",""),IF(AND($G82&lt;Hta_17,$G82&gt;=Hba_17,Input!AF$37&lt;&gt;""),Input!$B$37&amp;";",""),IF(AND($G82&lt;Hta_18,$G82&gt;=Hba_18,Input!AF$38&lt;&gt;""),Input!$B$38&amp;";",""),IF(AND($G82&lt;Hta_19,$G82&gt;=Hba_19,Input!AF$39&lt;&gt;""),Input!$B$39&amp;";",""),IF(AND($G82&lt;Hta_20,$G82&gt;=Hba_20,Input!AF$40&lt;&gt;""),Input!$B$40&amp;";",""),IF(AND($G82&lt;Hta_21,$G82&gt;=Hba_21,Input!AF$41&lt;&gt;""),Input!$B$41&amp;";",""),IF(AND($G82&lt;Hta_22,$G82&gt;=Hba_22,Input!AF$42&lt;&gt;""),Input!$B$42&amp;";",""),IF(AND($G82&lt;Hta_23,$G82&gt;=Hba_23,Input!AF$43&lt;&gt;""),Input!$B$43&amp;";",""),IF(AND($G82&lt;Hta_24,$G82&gt;=Hba_24,Input!AF$44&lt;&gt;""),Input!$B$44&amp;";",""),IF(AND($G82&lt;Hta_25,$G82&gt;=Hba_25,Input!AF$45&lt;&gt;""),Input!$B$45&amp;";",""),IF(AND($G82&lt;Hta_26,$G82&gt;=Hba_26,Input!AF$46&lt;&gt;""),Input!$B$46&amp;";",""),IF(AND($G82&lt;Hta_27,$G82&gt;=Hba_27,Input!AF$47&lt;&gt;""),Input!$B$47&amp;";",""),IF(AND($G82&lt;Hta_28,$G82&gt;=Hba_28,Input!AF$48&lt;&gt;""),Input!$B$48&amp;";",""),IF(AND($G82&lt;Hta_29,$G82&gt;=Hba_29,Input!AF$49&lt;&gt;""),Input!$B$49&amp;";",""),IF(AND($G82&lt;Hta_30,$G82&gt;=Hba_30,Input!AF$50&lt;&gt;""),Input!$B$50&amp;";","")),"")</f>
        <v/>
      </c>
      <c r="CH82" s="25" t="str">
        <f>IFERROR(CONCATENATE(IF(AND($G82&lt;Hta_1,$G82&gt;=Hba_1,Input!AG$21&lt;&gt;""),Input!$B$21&amp;";",""),IF(AND($G82&lt;Hta_2,$G82&gt;=Hba_2,Input!AG$22&lt;&gt;""),Input!$B$22&amp;";",""),IF(AND($G82&lt;Hta_3,$G82&gt;=Hba_3,Input!AG$23&lt;&gt;""),Input!$B$23&amp;";",""),IF(AND($G82&lt;Hta_4,$G82&gt;=Hba_4,Input!AG$24&lt;&gt;""),Input!$B$24&amp;";",""),IF(AND($G82&lt;Hta_5,$G82&gt;=Hba_5,Input!AG$25&lt;&gt;""),Input!$B$25&amp;";",""),IF(AND($G82&lt;Hta_6,$G82&gt;=Hba_6,Input!AG$26&lt;&gt;""),Input!$B$26&amp;";",""),IF(AND($G82&lt;Hta_7,$G82&gt;=Hba_7,Input!AG$27&lt;&gt;""),Input!$B$27&amp;";",""),IF(AND($G82&lt;Hta_8,$G82&gt;=Hba_8,Input!AG$28&lt;&gt;""),Input!$B$28&amp;";",""),IF(AND($G82&lt;Hta_9,$G82&gt;=Hba_9,Input!AG$29&lt;&gt;""),Input!$B$29&amp;";",""),IF(AND($G82&lt;Hta_10,$G82&gt;=Hba_10,Input!AG$30&lt;&gt;""),Input!$B$30&amp;";",""),IF(AND($G82&lt;Hta_11,$G82&gt;=Hba_11,Input!AG$31&lt;&gt;""),Input!$B$31&amp;";",""),IF(AND($G82&lt;Hta_12,$G82&gt;=Hba_12,Input!AG$32&lt;&gt;""),Input!$B$32&amp;";",""),IF(AND($G82&lt;Hta_13,$G82&gt;=Hba_13,Input!AG$33&lt;&gt;""),Input!$B$33&amp;";",""),IF(AND($G82&lt;Hta_14,$G82&gt;=Hba_14,Input!AG$34&lt;&gt;""),Input!$B$34&amp;";",""),IF(AND($G82&lt;Hta_15,$G82&gt;=Hba_15,Input!AG$35&lt;&gt;""),Input!$B$35&amp;";",""),IF(AND($G82&lt;Hta_16,$G82&gt;=Hba_16,Input!AG$36&lt;&gt;""),Input!$B$36&amp;";",""),IF(AND($G82&lt;Hta_17,$G82&gt;=Hba_17,Input!AG$37&lt;&gt;""),Input!$B$37&amp;";",""),IF(AND($G82&lt;Hta_18,$G82&gt;=Hba_18,Input!AG$38&lt;&gt;""),Input!$B$38&amp;";",""),IF(AND($G82&lt;Hta_19,$G82&gt;=Hba_19,Input!AG$39&lt;&gt;""),Input!$B$39&amp;";",""),IF(AND($G82&lt;Hta_20,$G82&gt;=Hba_20,Input!AG$40&lt;&gt;""),Input!$B$40&amp;";",""),IF(AND($G82&lt;Hta_21,$G82&gt;=Hba_21,Input!AG$41&lt;&gt;""),Input!$B$41&amp;";",""),IF(AND($G82&lt;Hta_22,$G82&gt;=Hba_22,Input!AG$42&lt;&gt;""),Input!$B$42&amp;";",""),IF(AND($G82&lt;Hta_23,$G82&gt;=Hba_23,Input!AG$43&lt;&gt;""),Input!$B$43&amp;";",""),IF(AND($G82&lt;Hta_24,$G82&gt;=Hba_24,Input!AG$44&lt;&gt;""),Input!$B$44&amp;";",""),IF(AND($G82&lt;Hta_25,$G82&gt;=Hba_25,Input!AG$45&lt;&gt;""),Input!$B$45&amp;";",""),IF(AND($G82&lt;Hta_26,$G82&gt;=Hba_26,Input!AG$46&lt;&gt;""),Input!$B$46&amp;";",""),IF(AND($G82&lt;Hta_27,$G82&gt;=Hba_27,Input!AG$47&lt;&gt;""),Input!$B$47&amp;";",""),IF(AND($G82&lt;Hta_28,$G82&gt;=Hba_28,Input!AG$48&lt;&gt;""),Input!$B$48&amp;";",""),IF(AND($G82&lt;Hta_29,$G82&gt;=Hba_29,Input!AG$49&lt;&gt;""),Input!$B$49&amp;";",""),IF(AND($G82&lt;Hta_30,$G82&gt;=Hba_30,Input!AG$50&lt;&gt;""),Input!$B$50&amp;";","")),"")</f>
        <v/>
      </c>
      <c r="CI82" s="25" t="str">
        <f>IFERROR(CONCATENATE(IF(AND($G82&lt;Hta_1,$G82&gt;=Hba_1,Input!AH$21&lt;&gt;""),Input!$B$21&amp;";",""),IF(AND($G82&lt;Hta_2,$G82&gt;=Hba_2,Input!AH$22&lt;&gt;""),Input!$B$22&amp;";",""),IF(AND($G82&lt;Hta_3,$G82&gt;=Hba_3,Input!AH$23&lt;&gt;""),Input!$B$23&amp;";",""),IF(AND($G82&lt;Hta_4,$G82&gt;=Hba_4,Input!AH$24&lt;&gt;""),Input!$B$24&amp;";",""),IF(AND($G82&lt;Hta_5,$G82&gt;=Hba_5,Input!AH$25&lt;&gt;""),Input!$B$25&amp;";",""),IF(AND($G82&lt;Hta_6,$G82&gt;=Hba_6,Input!AH$26&lt;&gt;""),Input!$B$26&amp;";",""),IF(AND($G82&lt;Hta_7,$G82&gt;=Hba_7,Input!AH$27&lt;&gt;""),Input!$B$27&amp;";",""),IF(AND($G82&lt;Hta_8,$G82&gt;=Hba_8,Input!AH$28&lt;&gt;""),Input!$B$28&amp;";",""),IF(AND($G82&lt;Hta_9,$G82&gt;=Hba_9,Input!AH$29&lt;&gt;""),Input!$B$29&amp;";",""),IF(AND($G82&lt;Hta_10,$G82&gt;=Hba_10,Input!AH$30&lt;&gt;""),Input!$B$30&amp;";",""),IF(AND($G82&lt;Hta_11,$G82&gt;=Hba_11,Input!AH$31&lt;&gt;""),Input!$B$31&amp;";",""),IF(AND($G82&lt;Hta_12,$G82&gt;=Hba_12,Input!AH$32&lt;&gt;""),Input!$B$32&amp;";",""),IF(AND($G82&lt;Hta_13,$G82&gt;=Hba_13,Input!AH$33&lt;&gt;""),Input!$B$33&amp;";",""),IF(AND($G82&lt;Hta_14,$G82&gt;=Hba_14,Input!AH$34&lt;&gt;""),Input!$B$34&amp;";",""),IF(AND($G82&lt;Hta_15,$G82&gt;=Hba_15,Input!AH$35&lt;&gt;""),Input!$B$35&amp;";",""),IF(AND($G82&lt;Hta_16,$G82&gt;=Hba_16,Input!AH$36&lt;&gt;""),Input!$B$36&amp;";",""),IF(AND($G82&lt;Hta_17,$G82&gt;=Hba_17,Input!AH$37&lt;&gt;""),Input!$B$37&amp;";",""),IF(AND($G82&lt;Hta_18,$G82&gt;=Hba_18,Input!AH$38&lt;&gt;""),Input!$B$38&amp;";",""),IF(AND($G82&lt;Hta_19,$G82&gt;=Hba_19,Input!AH$39&lt;&gt;""),Input!$B$39&amp;";",""),IF(AND($G82&lt;Hta_20,$G82&gt;=Hba_20,Input!AH$40&lt;&gt;""),Input!$B$40&amp;";",""),IF(AND($G82&lt;Hta_21,$G82&gt;=Hba_21,Input!AH$41&lt;&gt;""),Input!$B$41&amp;";",""),IF(AND($G82&lt;Hta_22,$G82&gt;=Hba_22,Input!AH$42&lt;&gt;""),Input!$B$42&amp;";",""),IF(AND($G82&lt;Hta_23,$G82&gt;=Hba_23,Input!AH$43&lt;&gt;""),Input!$B$43&amp;";",""),IF(AND($G82&lt;Hta_24,$G82&gt;=Hba_24,Input!AH$44&lt;&gt;""),Input!$B$44&amp;";",""),IF(AND($G82&lt;Hta_25,$G82&gt;=Hba_25,Input!AH$45&lt;&gt;""),Input!$B$45&amp;";",""),IF(AND($G82&lt;Hta_26,$G82&gt;=Hba_26,Input!AH$46&lt;&gt;""),Input!$B$46&amp;";",""),IF(AND($G82&lt;Hta_27,$G82&gt;=Hba_27,Input!AH$47&lt;&gt;""),Input!$B$47&amp;";",""),IF(AND($G82&lt;Hta_28,$G82&gt;=Hba_28,Input!AH$48&lt;&gt;""),Input!$B$48&amp;";",""),IF(AND($G82&lt;Hta_29,$G82&gt;=Hba_29,Input!AH$49&lt;&gt;""),Input!$B$49&amp;";",""),IF(AND($G82&lt;Hta_30,$G82&gt;=Hba_30,Input!AH$50&lt;&gt;""),Input!$B$50&amp;";","")),"")</f>
        <v/>
      </c>
      <c r="CJ82" s="25" t="str">
        <f>IFERROR(CONCATENATE(IF(AND($G82&lt;Hta_1,$G82&gt;=Hba_1,Input!AI$21&lt;&gt;""),Input!$B$21&amp;";",""),IF(AND($G82&lt;Hta_2,$G82&gt;=Hba_2,Input!AI$22&lt;&gt;""),Input!$B$22&amp;";",""),IF(AND($G82&lt;Hta_3,$G82&gt;=Hba_3,Input!AI$23&lt;&gt;""),Input!$B$23&amp;";",""),IF(AND($G82&lt;Hta_4,$G82&gt;=Hba_4,Input!AI$24&lt;&gt;""),Input!$B$24&amp;";",""),IF(AND($G82&lt;Hta_5,$G82&gt;=Hba_5,Input!AI$25&lt;&gt;""),Input!$B$25&amp;";",""),IF(AND($G82&lt;Hta_6,$G82&gt;=Hba_6,Input!AI$26&lt;&gt;""),Input!$B$26&amp;";",""),IF(AND($G82&lt;Hta_7,$G82&gt;=Hba_7,Input!AI$27&lt;&gt;""),Input!$B$27&amp;";",""),IF(AND($G82&lt;Hta_8,$G82&gt;=Hba_8,Input!AI$28&lt;&gt;""),Input!$B$28&amp;";",""),IF(AND($G82&lt;Hta_9,$G82&gt;=Hba_9,Input!AI$29&lt;&gt;""),Input!$B$29&amp;";",""),IF(AND($G82&lt;Hta_10,$G82&gt;=Hba_10,Input!AI$30&lt;&gt;""),Input!$B$30&amp;";",""),IF(AND($G82&lt;Hta_11,$G82&gt;=Hba_11,Input!AI$31&lt;&gt;""),Input!$B$31&amp;";",""),IF(AND($G82&lt;Hta_12,$G82&gt;=Hba_12,Input!AI$32&lt;&gt;""),Input!$B$32&amp;";",""),IF(AND($G82&lt;Hta_13,$G82&gt;=Hba_13,Input!AI$33&lt;&gt;""),Input!$B$33&amp;";",""),IF(AND($G82&lt;Hta_14,$G82&gt;=Hba_14,Input!AI$34&lt;&gt;""),Input!$B$34&amp;";",""),IF(AND($G82&lt;Hta_15,$G82&gt;=Hba_15,Input!AI$35&lt;&gt;""),Input!$B$35&amp;";",""),IF(AND($G82&lt;Hta_16,$G82&gt;=Hba_16,Input!AI$36&lt;&gt;""),Input!$B$36&amp;";",""),IF(AND($G82&lt;Hta_17,$G82&gt;=Hba_17,Input!AI$37&lt;&gt;""),Input!$B$37&amp;";",""),IF(AND($G82&lt;Hta_18,$G82&gt;=Hba_18,Input!AI$38&lt;&gt;""),Input!$B$38&amp;";",""),IF(AND($G82&lt;Hta_19,$G82&gt;=Hba_19,Input!AI$39&lt;&gt;""),Input!$B$39&amp;";",""),IF(AND($G82&lt;Hta_20,$G82&gt;=Hba_20,Input!AI$40&lt;&gt;""),Input!$B$40&amp;";",""),IF(AND($G82&lt;Hta_21,$G82&gt;=Hba_21,Input!AI$41&lt;&gt;""),Input!$B$41&amp;";",""),IF(AND($G82&lt;Hta_22,$G82&gt;=Hba_22,Input!AI$42&lt;&gt;""),Input!$B$42&amp;";",""),IF(AND($G82&lt;Hta_23,$G82&gt;=Hba_23,Input!AI$43&lt;&gt;""),Input!$B$43&amp;";",""),IF(AND($G82&lt;Hta_24,$G82&gt;=Hba_24,Input!AI$44&lt;&gt;""),Input!$B$44&amp;";",""),IF(AND($G82&lt;Hta_25,$G82&gt;=Hba_25,Input!AI$45&lt;&gt;""),Input!$B$45&amp;";",""),IF(AND($G82&lt;Hta_26,$G82&gt;=Hba_26,Input!AI$46&lt;&gt;""),Input!$B$46&amp;";",""),IF(AND($G82&lt;Hta_27,$G82&gt;=Hba_27,Input!AI$47&lt;&gt;""),Input!$B$47&amp;";",""),IF(AND($G82&lt;Hta_28,$G82&gt;=Hba_28,Input!AI$48&lt;&gt;""),Input!$B$48&amp;";",""),IF(AND($G82&lt;Hta_29,$G82&gt;=Hba_29,Input!AI$49&lt;&gt;""),Input!$B$49&amp;";",""),IF(AND($G82&lt;Hta_30,$G82&gt;=Hba_30,Input!AI$50&lt;&gt;""),Input!$B$50&amp;";","")),"")</f>
        <v/>
      </c>
      <c r="CK82" s="25" t="str">
        <f>IFERROR(CONCATENATE(IF(AND($G82&lt;Hta_1,$G82&gt;=Hba_1,Input!AJ$21&lt;&gt;""),Input!$B$21&amp;";",""),IF(AND($G82&lt;Hta_2,$G82&gt;=Hba_2,Input!AJ$22&lt;&gt;""),Input!$B$22&amp;";",""),IF(AND($G82&lt;Hta_3,$G82&gt;=Hba_3,Input!AJ$23&lt;&gt;""),Input!$B$23&amp;";",""),IF(AND($G82&lt;Hta_4,$G82&gt;=Hba_4,Input!AJ$24&lt;&gt;""),Input!$B$24&amp;";",""),IF(AND($G82&lt;Hta_5,$G82&gt;=Hba_5,Input!AJ$25&lt;&gt;""),Input!$B$25&amp;";",""),IF(AND($G82&lt;Hta_6,$G82&gt;=Hba_6,Input!AJ$26&lt;&gt;""),Input!$B$26&amp;";",""),IF(AND($G82&lt;Hta_7,$G82&gt;=Hba_7,Input!AJ$27&lt;&gt;""),Input!$B$27&amp;";",""),IF(AND($G82&lt;Hta_8,$G82&gt;=Hba_8,Input!AJ$28&lt;&gt;""),Input!$B$28&amp;";",""),IF(AND($G82&lt;Hta_9,$G82&gt;=Hba_9,Input!AJ$29&lt;&gt;""),Input!$B$29&amp;";",""),IF(AND($G82&lt;Hta_10,$G82&gt;=Hba_10,Input!AJ$30&lt;&gt;""),Input!$B$30&amp;";",""),IF(AND($G82&lt;Hta_11,$G82&gt;=Hba_11,Input!AJ$31&lt;&gt;""),Input!$B$31&amp;";",""),IF(AND($G82&lt;Hta_12,$G82&gt;=Hba_12,Input!AJ$32&lt;&gt;""),Input!$B$32&amp;";",""),IF(AND($G82&lt;Hta_13,$G82&gt;=Hba_13,Input!AJ$33&lt;&gt;""),Input!$B$33&amp;";",""),IF(AND($G82&lt;Hta_14,$G82&gt;=Hba_14,Input!AJ$34&lt;&gt;""),Input!$B$34&amp;";",""),IF(AND($G82&lt;Hta_15,$G82&gt;=Hba_15,Input!AJ$35&lt;&gt;""),Input!$B$35&amp;";",""),IF(AND($G82&lt;Hta_16,$G82&gt;=Hba_16,Input!AJ$36&lt;&gt;""),Input!$B$36&amp;";",""),IF(AND($G82&lt;Hta_17,$G82&gt;=Hba_17,Input!AJ$37&lt;&gt;""),Input!$B$37&amp;";",""),IF(AND($G82&lt;Hta_18,$G82&gt;=Hba_18,Input!AJ$38&lt;&gt;""),Input!$B$38&amp;";",""),IF(AND($G82&lt;Hta_19,$G82&gt;=Hba_19,Input!AJ$39&lt;&gt;""),Input!$B$39&amp;";",""),IF(AND($G82&lt;Hta_20,$G82&gt;=Hba_20,Input!AJ$40&lt;&gt;""),Input!$B$40&amp;";",""),IF(AND($G82&lt;Hta_21,$G82&gt;=Hba_21,Input!AJ$41&lt;&gt;""),Input!$B$41&amp;";",""),IF(AND($G82&lt;Hta_22,$G82&gt;=Hba_22,Input!AJ$42&lt;&gt;""),Input!$B$42&amp;";",""),IF(AND($G82&lt;Hta_23,$G82&gt;=Hba_23,Input!AJ$43&lt;&gt;""),Input!$B$43&amp;";",""),IF(AND($G82&lt;Hta_24,$G82&gt;=Hba_24,Input!AJ$44&lt;&gt;""),Input!$B$44&amp;";",""),IF(AND($G82&lt;Hta_25,$G82&gt;=Hba_25,Input!AJ$45&lt;&gt;""),Input!$B$45&amp;";",""),IF(AND($G82&lt;Hta_26,$G82&gt;=Hba_26,Input!AJ$46&lt;&gt;""),Input!$B$46&amp;";",""),IF(AND($G82&lt;Hta_27,$G82&gt;=Hba_27,Input!AJ$47&lt;&gt;""),Input!$B$47&amp;";",""),IF(AND($G82&lt;Hta_28,$G82&gt;=Hba_28,Input!AJ$48&lt;&gt;""),Input!$B$48&amp;";",""),IF(AND($G82&lt;Hta_29,$G82&gt;=Hba_29,Input!AJ$49&lt;&gt;""),Input!$B$49&amp;";",""),IF(AND($G82&lt;Hta_30,$G82&gt;=Hba_30,Input!AJ$50&lt;&gt;""),Input!$B$50&amp;";","")),"")</f>
        <v/>
      </c>
      <c r="CL82" s="25" t="str">
        <f>IFERROR(CONCATENATE(IF(AND($G82&lt;Hta_1,$G82&gt;=Hba_1,Input!AK$21&lt;&gt;""),Input!$B$21&amp;";",""),IF(AND($G82&lt;Hta_2,$G82&gt;=Hba_2,Input!AK$22&lt;&gt;""),Input!$B$22&amp;";",""),IF(AND($G82&lt;Hta_3,$G82&gt;=Hba_3,Input!AK$23&lt;&gt;""),Input!$B$23&amp;";",""),IF(AND($G82&lt;Hta_4,$G82&gt;=Hba_4,Input!AK$24&lt;&gt;""),Input!$B$24&amp;";",""),IF(AND($G82&lt;Hta_5,$G82&gt;=Hba_5,Input!AK$25&lt;&gt;""),Input!$B$25&amp;";",""),IF(AND($G82&lt;Hta_6,$G82&gt;=Hba_6,Input!AK$26&lt;&gt;""),Input!$B$26&amp;";",""),IF(AND($G82&lt;Hta_7,$G82&gt;=Hba_7,Input!AK$27&lt;&gt;""),Input!$B$27&amp;";",""),IF(AND($G82&lt;Hta_8,$G82&gt;=Hba_8,Input!AK$28&lt;&gt;""),Input!$B$28&amp;";",""),IF(AND($G82&lt;Hta_9,$G82&gt;=Hba_9,Input!AK$29&lt;&gt;""),Input!$B$29&amp;";",""),IF(AND($G82&lt;Hta_10,$G82&gt;=Hba_10,Input!AK$30&lt;&gt;""),Input!$B$30&amp;";",""),IF(AND($G82&lt;Hta_11,$G82&gt;=Hba_11,Input!AK$31&lt;&gt;""),Input!$B$31&amp;";",""),IF(AND($G82&lt;Hta_12,$G82&gt;=Hba_12,Input!AK$32&lt;&gt;""),Input!$B$32&amp;";",""),IF(AND($G82&lt;Hta_13,$G82&gt;=Hba_13,Input!AK$33&lt;&gt;""),Input!$B$33&amp;";",""),IF(AND($G82&lt;Hta_14,$G82&gt;=Hba_14,Input!AK$34&lt;&gt;""),Input!$B$34&amp;";",""),IF(AND($G82&lt;Hta_15,$G82&gt;=Hba_15,Input!AK$35&lt;&gt;""),Input!$B$35&amp;";",""),IF(AND($G82&lt;Hta_16,$G82&gt;=Hba_16,Input!AK$36&lt;&gt;""),Input!$B$36&amp;";",""),IF(AND($G82&lt;Hta_17,$G82&gt;=Hba_17,Input!AK$37&lt;&gt;""),Input!$B$37&amp;";",""),IF(AND($G82&lt;Hta_18,$G82&gt;=Hba_18,Input!AK$38&lt;&gt;""),Input!$B$38&amp;";",""),IF(AND($G82&lt;Hta_19,$G82&gt;=Hba_19,Input!AK$39&lt;&gt;""),Input!$B$39&amp;";",""),IF(AND($G82&lt;Hta_20,$G82&gt;=Hba_20,Input!AK$40&lt;&gt;""),Input!$B$40&amp;";",""),IF(AND($G82&lt;Hta_21,$G82&gt;=Hba_21,Input!AK$41&lt;&gt;""),Input!$B$41&amp;";",""),IF(AND($G82&lt;Hta_22,$G82&gt;=Hba_22,Input!AK$42&lt;&gt;""),Input!$B$42&amp;";",""),IF(AND($G82&lt;Hta_23,$G82&gt;=Hba_23,Input!AK$43&lt;&gt;""),Input!$B$43&amp;";",""),IF(AND($G82&lt;Hta_24,$G82&gt;=Hba_24,Input!AK$44&lt;&gt;""),Input!$B$44&amp;";",""),IF(AND($G82&lt;Hta_25,$G82&gt;=Hba_25,Input!AK$45&lt;&gt;""),Input!$B$45&amp;";",""),IF(AND($G82&lt;Hta_26,$G82&gt;=Hba_26,Input!AK$46&lt;&gt;""),Input!$B$46&amp;";",""),IF(AND($G82&lt;Hta_27,$G82&gt;=Hba_27,Input!AK$47&lt;&gt;""),Input!$B$47&amp;";",""),IF(AND($G82&lt;Hta_28,$G82&gt;=Hba_28,Input!AK$48&lt;&gt;""),Input!$B$48&amp;";",""),IF(AND($G82&lt;Hta_29,$G82&gt;=Hba_29,Input!AK$49&lt;&gt;""),Input!$B$49&amp;";",""),IF(AND($G82&lt;Hta_30,$G82&gt;=Hba_30,Input!AK$50&lt;&gt;""),Input!$B$50&amp;";","")),"")</f>
        <v/>
      </c>
      <c r="CM82" s="25" t="str">
        <f>IFERROR(CONCATENATE(IF(AND($G82&lt;Hta_1,$G82&gt;=Hba_1,Input!AL$21&lt;&gt;""),Input!$B$21&amp;";",""),IF(AND($G82&lt;Hta_2,$G82&gt;=Hba_2,Input!AL$22&lt;&gt;""),Input!$B$22&amp;";",""),IF(AND($G82&lt;Hta_3,$G82&gt;=Hba_3,Input!AL$23&lt;&gt;""),Input!$B$23&amp;";",""),IF(AND($G82&lt;Hta_4,$G82&gt;=Hba_4,Input!AL$24&lt;&gt;""),Input!$B$24&amp;";",""),IF(AND($G82&lt;Hta_5,$G82&gt;=Hba_5,Input!AL$25&lt;&gt;""),Input!$B$25&amp;";",""),IF(AND($G82&lt;Hta_6,$G82&gt;=Hba_6,Input!AL$26&lt;&gt;""),Input!$B$26&amp;";",""),IF(AND($G82&lt;Hta_7,$G82&gt;=Hba_7,Input!AL$27&lt;&gt;""),Input!$B$27&amp;";",""),IF(AND($G82&lt;Hta_8,$G82&gt;=Hba_8,Input!AL$28&lt;&gt;""),Input!$B$28&amp;";",""),IF(AND($G82&lt;Hta_9,$G82&gt;=Hba_9,Input!AL$29&lt;&gt;""),Input!$B$29&amp;";",""),IF(AND($G82&lt;Hta_10,$G82&gt;=Hba_10,Input!AL$30&lt;&gt;""),Input!$B$30&amp;";",""),IF(AND($G82&lt;Hta_11,$G82&gt;=Hba_11,Input!AL$31&lt;&gt;""),Input!$B$31&amp;";",""),IF(AND($G82&lt;Hta_12,$G82&gt;=Hba_12,Input!AL$32&lt;&gt;""),Input!$B$32&amp;";",""),IF(AND($G82&lt;Hta_13,$G82&gt;=Hba_13,Input!AL$33&lt;&gt;""),Input!$B$33&amp;";",""),IF(AND($G82&lt;Hta_14,$G82&gt;=Hba_14,Input!AL$34&lt;&gt;""),Input!$B$34&amp;";",""),IF(AND($G82&lt;Hta_15,$G82&gt;=Hba_15,Input!AL$35&lt;&gt;""),Input!$B$35&amp;";",""),IF(AND($G82&lt;Hta_16,$G82&gt;=Hba_16,Input!AL$36&lt;&gt;""),Input!$B$36&amp;";",""),IF(AND($G82&lt;Hta_17,$G82&gt;=Hba_17,Input!AL$37&lt;&gt;""),Input!$B$37&amp;";",""),IF(AND($G82&lt;Hta_18,$G82&gt;=Hba_18,Input!AL$38&lt;&gt;""),Input!$B$38&amp;";",""),IF(AND($G82&lt;Hta_19,$G82&gt;=Hba_19,Input!AL$39&lt;&gt;""),Input!$B$39&amp;";",""),IF(AND($G82&lt;Hta_20,$G82&gt;=Hba_20,Input!AL$40&lt;&gt;""),Input!$B$40&amp;";",""),IF(AND($G82&lt;Hta_21,$G82&gt;=Hba_21,Input!AL$41&lt;&gt;""),Input!$B$41&amp;";",""),IF(AND($G82&lt;Hta_22,$G82&gt;=Hba_22,Input!AL$42&lt;&gt;""),Input!$B$42&amp;";",""),IF(AND($G82&lt;Hta_23,$G82&gt;=Hba_23,Input!AL$43&lt;&gt;""),Input!$B$43&amp;";",""),IF(AND($G82&lt;Hta_24,$G82&gt;=Hba_24,Input!AL$44&lt;&gt;""),Input!$B$44&amp;";",""),IF(AND($G82&lt;Hta_25,$G82&gt;=Hba_25,Input!AL$45&lt;&gt;""),Input!$B$45&amp;";",""),IF(AND($G82&lt;Hta_26,$G82&gt;=Hba_26,Input!AL$46&lt;&gt;""),Input!$B$46&amp;";",""),IF(AND($G82&lt;Hta_27,$G82&gt;=Hba_27,Input!AL$47&lt;&gt;""),Input!$B$47&amp;";",""),IF(AND($G82&lt;Hta_28,$G82&gt;=Hba_28,Input!AL$48&lt;&gt;""),Input!$B$48&amp;";",""),IF(AND($G82&lt;Hta_29,$G82&gt;=Hba_29,Input!AL$49&lt;&gt;""),Input!$B$49&amp;";",""),IF(AND($G82&lt;Hta_30,$G82&gt;=Hba_30,Input!AL$50&lt;&gt;""),Input!$B$50&amp;";","")),"")</f>
        <v/>
      </c>
      <c r="CN82" s="59" t="str">
        <f t="shared" si="16"/>
        <v/>
      </c>
      <c r="CO82" s="791"/>
      <c r="CP82" s="792"/>
      <c r="CQ82" s="793"/>
      <c r="CR82" s="791"/>
      <c r="CS82" s="792"/>
      <c r="CT82" s="793"/>
      <c r="CU82" s="791" t="str">
        <f t="shared" si="17"/>
        <v/>
      </c>
      <c r="CV82" s="792"/>
      <c r="CW82" s="807"/>
      <c r="CX82" s="808"/>
      <c r="CY82" s="730"/>
      <c r="CZ82" s="809"/>
      <c r="DA82" s="733"/>
      <c r="DB82" s="734"/>
      <c r="DC82" s="735"/>
      <c r="DD82" s="729" t="str">
        <f t="shared" si="18"/>
        <v/>
      </c>
      <c r="DE82" s="730"/>
      <c r="DF82" s="731"/>
      <c r="DG82" s="55"/>
      <c r="DH82" s="56"/>
      <c r="DI82" s="56"/>
      <c r="DJ82" s="56"/>
      <c r="DK82" s="56"/>
      <c r="DL82" s="56"/>
      <c r="DM82" s="56"/>
      <c r="DN82" s="56"/>
      <c r="DO82" s="56"/>
      <c r="DP82" s="56"/>
      <c r="DQ82" s="58"/>
      <c r="DR82" s="58"/>
      <c r="DS82" s="58"/>
      <c r="DT82" s="58"/>
      <c r="DU82" s="58"/>
      <c r="DV82" s="58"/>
      <c r="DW82" s="58"/>
      <c r="DX82" s="58"/>
      <c r="DY82" s="58"/>
      <c r="DZ82" s="58"/>
      <c r="EA82" s="58"/>
      <c r="EB82" s="58"/>
      <c r="EC82" s="58"/>
      <c r="ED82" s="58"/>
      <c r="EE82" s="58"/>
      <c r="EF82" s="58"/>
      <c r="EG82" s="58"/>
      <c r="EH82" s="58"/>
      <c r="EI82" s="58"/>
      <c r="EJ82" s="58"/>
      <c r="EK82" s="58"/>
      <c r="EL82" s="134"/>
      <c r="EM82" s="134"/>
      <c r="EN82" s="134"/>
      <c r="EO82" s="134"/>
      <c r="EP82" s="134"/>
      <c r="EQ82" s="134"/>
      <c r="ER82" s="134"/>
      <c r="ES82" s="134"/>
      <c r="ET82" s="134"/>
      <c r="EU82" s="134"/>
      <c r="EV82" s="134"/>
      <c r="EW82" s="134"/>
      <c r="EX82" s="134"/>
      <c r="EY82" s="134"/>
      <c r="EZ82" s="134"/>
      <c r="FA82" s="134"/>
      <c r="FB82" s="134"/>
      <c r="FC82" s="134"/>
      <c r="FD82" s="134"/>
      <c r="FE82" s="134"/>
      <c r="FF82" s="134"/>
      <c r="FG82" s="134"/>
      <c r="FH82" s="134"/>
      <c r="FI82" s="134"/>
      <c r="FJ82" s="134"/>
      <c r="FK82" s="134"/>
      <c r="FL82" s="134"/>
      <c r="FM82" s="134"/>
      <c r="FN82" s="134"/>
      <c r="FO82" s="134"/>
      <c r="FQ82" s="124"/>
      <c r="FR82" s="122"/>
      <c r="FS82" s="120"/>
      <c r="FT82" s="119"/>
    </row>
    <row r="83" spans="2:176" ht="15.75" hidden="1" thickBot="1" x14ac:dyDescent="0.3">
      <c r="B83" s="62" t="b">
        <f>IF(OR(AND(G83&gt;='Geometry 2'!$AK$5,G83&lt;'Geometry 2'!$AL$5),AND(G83&gt;='Geometry 2'!$AK$6,G83&lt;'Geometry 2'!$AL$6),AND(G83&gt;='Geometry 2'!$AK$7,G83&lt;'Geometry 2'!$AL$7),AND(G83&gt;='Geometry 2'!$AK$8,G83&lt;'Geometry 2'!$AL$8),AND(G83&gt;='Geometry 2'!$AK$9,G83&lt;'Geometry 2'!$AL$9),AND(G83&gt;='Geometry 2'!$AK$10,G83&lt;'Geometry 2'!$AL$10),AND(G83&gt;='Geometry 2'!$AK$11,G83&lt;'Geometry 2'!$AL$11),AND(G83&gt;='Geometry 2'!$AK$12,G83&lt;'Geometry 2'!$AL$12),AND(G83&gt;='Geometry 2'!$AK$13,G83&lt;'Geometry 2'!$AL$13),AND(G83&gt;='Geometry 2'!$AK$14,G83&lt;'Geometry 2'!$AL$14)),TRUE,FALSE)</f>
        <v>0</v>
      </c>
      <c r="C83" s="4" t="str">
        <f t="shared" si="13"/>
        <v/>
      </c>
      <c r="D83" s="766" t="str">
        <f t="shared" si="14"/>
        <v/>
      </c>
      <c r="E83" s="767"/>
      <c r="F83" s="17" t="str">
        <f t="shared" si="12"/>
        <v/>
      </c>
      <c r="G83" s="768" t="str">
        <f>IF(D83="","",MAX(0,G82-IF(inc="n/a",999,inc),MAX(IF(G82&lt;=Hta_1,0,Hta_1),IF(G82&lt;=Hta_2,0,Hta_2),IF(G82&lt;=Hta_3,0,Hta_3),IF(G82&lt;=Hta_4,0,Hta_4),IF(G82&lt;=Hta_5,0,Hta_5),IF(G82&lt;=Hta_6,0,Hta_6),IF(G82&lt;=Hta_7,0,Hta_7),IF(G82&lt;=Hta_8,0,Hta_8),IF(G82&lt;=Hta_9,0,Hta_9),IF(G82&lt;=Hta_10,0,Hta_10),IF(G82&lt;=Hta_11,0,Hta_11),IF(G82&lt;=Hta_12,0,Hta_12),IF(G82&lt;=Hta_13,0,Hta_13),IF(G82&lt;=Hta_14,0,Hta_14),IF(G82&lt;=Hta_15,0,Hta_15),IF(G82&lt;=Hta_16,0,Hta_16),IF(G82&lt;=Hta_17,0,Hta_17),IF(G82&lt;=Hta_18,0,Hta_18),IF(G82&lt;=Hta_19,0,Hta_19),IF(G82&lt;=Hta_20,0,Hta_20),IF(G82&lt;=Hta_21,0,Hta_21),IF(G82&lt;=Hta_22,0,Hta_22),IF(G82&lt;=Hta_23,0,Hta_23),IF(G82&lt;=Hta_24,0,Hta_24),IF(G82&lt;=Hta_25,0,Hta_25),IF(G82&lt;=Hta_26,0,Hta_26),IF(G82&lt;=Hta_27,0,Hta_27),IF(G82&lt;=Hta_28,0,Hta_28),IF(G82&lt;=Hta_29,0,Hta_29),IF(G82&lt;=Hta_30,0,Hta_30)),MAX(IF(G82&lt;=Hta_1-0.25,0,Hta_1-0.25),IF(G82&lt;=Hta_2-0.25,0,Hta_2-0.25),IF(G82&lt;=Hta_3-0.25,0,Hta_3-0.25),IF(G82&lt;=Hta_4-0.25,0,Hta_4-0.25),IF(G82&lt;=Hta_5-0.25,0,Hta_5-0.25),IF(G82&lt;=Hta_6-0.25,0,Hta_6-0.25),IF(G82&lt;=Hta_7-0.25,0,Hta_7-0.25),IF(G82&lt;=Hta_8-0.25,0,Hta_8-0.25),IF(G82&lt;=Hta_9-0.25,0,Hta_9-0.25),IF(G82&lt;=Hta_10-0.25,0,Hta_10-0.25),IF(G82&lt;=Hta_11-0.25,0,Hta_11-0.25),IF(G82&lt;=Hta_12-0.25,0,Hta_12-0.25),IF(G82&lt;=Hta_13-0.25,0,Hta_13-0.25),IF(G82&lt;=Hta_14-0.25,0,Hta_14-0.25),IF(G82&lt;=Hta_15-0.25,0,Hta_15-0.25),IF(G82&lt;=Hta_16-0.25,0,Hta_16-0.25),IF(G82&lt;=Hta_17-0.25,0,Hta_17-0.25),IF(G82&lt;=Hta_18-0.25,0,Hta_18-0.25),IF(G82&lt;=Hta_19-0.25,0,Hta_19-0.25),IF(G82&lt;=Hta_20-0.25,0,Hta_20-0.25),IF(G82&lt;=Hta_21-0.25,0,Hta_21-0.25),IF(G82&lt;=Hta_22-0.25,0,Hta_22-0.25),IF(G82&lt;=Hta_23-0.25,0,Hta_23-0.25),IF(G82&lt;=Hta_24-0.25,0,Hta_24-0.25),IF(G82&lt;=Hta_25-0.25,0,Hta_25-0.25),IF(G82&lt;=Hta_26-0.25,0,Hta_26-0.25),IF(G82&lt;=Hta_27-0.25,0,Hta_27-0.25),IF(G82&lt;=Hta_28-0.25,0,Hta_28-0.25),IF(G82&lt;=Hta_29-0.25,0,Hta_29-0.25),IF(G82&lt;=Hta_30-0.25,0,Hta_30-0.25)),MAX(IF(G82&lt;=Hba_1,0,Hba_1),IF(G82&lt;=Hba_2,0,Hba_2),IF(G82&lt;=Hba_3,0,Hba_3),IF(G82&lt;=Hba_4,0,Hba_4),IF(G82&lt;=Hba_5,0,Hba_5),IF(G82&lt;=Hba_6,0,Hba_6),IF(G82&lt;=Hba_7,0,Hba_7),IF(G82&lt;=Hba_8,0,Hba_8),IF(G82&lt;=Hba_9,0,Hba_9),IF(G82&lt;=Hba_10,0,Hba_10),IF(G82&lt;=Hba_11,0,Hba_11),IF(G82&lt;=Hba_12,0,Hba_12),IF(G82&lt;=Hba_13,0,Hba_13),IF(G82&lt;=Hba_14,0,Hba_14),IF(G82&lt;=Hba_15,0,Hba_15),IF(G82&lt;=Hba_16,0,Hba_16),IF(G82&lt;=Hba_17,0,Hba_17),IF(G82&lt;=Hba_18,0,Hba_18),IF(G82&lt;=Hba_19,0,Hba_19),IF(G82&lt;=Hba_20,0,Hba_20),IF(G82&lt;=Hba_21,0,Hba_21),IF(G82&lt;=Hba_22,0,Hba_22),IF(G82&lt;=Hba_23,0,Hba_23),IF(G82&lt;=Hba_24,0,Hba_24),IF(G82&lt;=Hba_25,0,Hba_25),IF(G82&lt;=Hba_26,0,Hba_26),IF(G82&lt;=Hba_27,0,Hba_27),IF(G82&lt;=Hba_28,0,Hba_28),IF(G82&lt;=Hba_29,0,Hba_29),IF(G82&lt;=Hba_30,0,Hba_30)),MAX(IF(G82&lt;=Input!$C$8,0,Input!$C$8),IF(G82&lt;=Input!$C$9,0,Input!$C$9),IF(G82&lt;=Input!$C$10,0,Input!$C$10),IF(G82&lt;=Input!$C$11,0,Input!$C$11),IF(G82&lt;=Input!$C$12,0,Input!$C$12),IF(G82&lt;=Input!$C$13,0,Input!$C$13),IF(G82&lt;=Input!$C$14,0,Input!$C$14),IF(G82&lt;=Input!$C$15,0,Input!$C$15),IF(G82&lt;=Input!$C$16,0,Input!$C$16)),MAX(IF(G82&lt;=Hba_1-0.25,0,Hba_1-0.25),IF(G82&lt;=Hba_2-0.25,0,Hba_2-0.25),IF(G82&lt;=Hba_3-0.25,0,Hba_3-0.25),IF(G82&lt;=Hba_4-0.25,0,Hba_4-0.25),IF(G82&lt;=Hba_5-0.25,0,Hba_5-0.25),IF(G82&lt;=Hba_6-0.25,0,Hba_6-0.25),IF(G82&lt;=Hba_7-0.25,0,Hba_7-0.25),IF(G82&lt;=Hba_8-0.25,0,Hba_8-0.25),IF(G82&lt;=Hba_9-0.25,0,Hba_9-0.25),IF(G82&lt;=Hba_10-0.25,0,Hba_10-0.25),IF(G82&lt;=Hba_11-0.25,0,Hba_11-0.25),IF(G82&lt;=Hba_12-0.25,0,Hba_12-0.25),IF(G82&lt;=Hba_13-0.25,0,Hba_13-0.25),IF(G82&lt;=Hba_14-0.25,0,Hba_14-0.25),IF(G82&lt;=Hba_15-0.25,0,Hba_15-0.25),IF(G82&lt;=Hba_16-0.25,0,Hba_16-0.25),IF(G82&lt;=Hba_17-0.25,0,Hba_17-0.25),IF(G82&lt;=Hba_18-0.25,0,Hba_18-0.25),IF(G82&lt;=Hba_19-0.25,0,Hba_19-0.25),IF(G82&lt;=Hba_20-0.25,0,Hba_20-0.25),IF(G82&lt;=Hba_21-0.25,0,Hba_21-0.25),IF(G82&lt;=Hba_22-0.25,0,Hba_22-0.25),IF(G82&lt;=Hba_23-0.25,0,Hba_23-0.25),IF(G82&lt;=Hba_24-0.25,0,Hba_24-0.25),IF(G82&lt;=Hba_25-0.25,0,Hba_25-0.25),IF(G82&lt;=Hba_26-0.25,0,Hba_26-0.25),IF(G82&lt;=Hba_27-0.25,0,Hba_27-0.25),IF(G82&lt;=Hba_28-0.25,0,Hba_28-0.25),IF(G82&lt;=Hba_29-0.25,0,Hba_29-0.25),IF(G82&lt;=Hba_30-0.25,0,Hba_30-0.25)),IF(G82&lt;='Macro References'!$A$38,0,'Macro References'!$A$38)))</f>
        <v/>
      </c>
      <c r="H83" s="769"/>
      <c r="I83" s="228"/>
      <c r="J83" s="228"/>
      <c r="K83" s="228"/>
      <c r="L83" s="717" t="str">
        <f t="shared" si="11"/>
        <v/>
      </c>
      <c r="M83" s="717"/>
      <c r="N83" s="717"/>
      <c r="O83" s="717"/>
      <c r="P83" s="717" t="str">
        <f>IF(OR(G83=0,G83=""),"",IF(VLOOKUP(G83,'Geometry 2'!$C$4:$AI$14,1,TRUE)=VLOOKUP(G84,'Geometry 2'!$C$4:$AI$14,1,TRUE),"",IF(VLOOKUP(G83,'Geometry 2'!$C$4:$AI$14,33,TRUE)&lt;&gt;"n/a",MIN(G83,VLOOKUP(G83,'Geometry 2'!$C$4:$AI$14,1,TRUE))-VLOOKUP(G83,'Geometry 2'!$C$4:$AI$14,33,TRUE),"check")))</f>
        <v/>
      </c>
      <c r="Q83" s="717"/>
      <c r="R83" s="717"/>
      <c r="S83" s="717"/>
      <c r="T83" s="717" t="str">
        <f>IF($G83="","",VLOOKUP($G83,'Geometry 2'!$E$4:$AH$14,11,TRUE))</f>
        <v/>
      </c>
      <c r="U83" s="717"/>
      <c r="V83" s="717"/>
      <c r="W83" s="717"/>
      <c r="X83" s="716" t="str">
        <f>IF($G83="","",VLOOKUP($G83,'Geometry 2'!$E$4:$AJ$14,19,TRUE)-12*VLOOKUP($G83,'Geometry 2'!$E$4:$AJ$14,32,TRUE)*($D83-VLOOKUP($G83,'Geometry 2'!$E$5:$AH$14,1,TRUE)))</f>
        <v/>
      </c>
      <c r="Y83" s="716"/>
      <c r="Z83" s="716"/>
      <c r="AA83" s="716"/>
      <c r="AB83" s="757" t="str">
        <f>IF($G83="","",VLOOKUP($G83,'Geometry 2'!$E$4:$AJ$14,19,TRUE)-12*VLOOKUP($G83,'Geometry 2'!$E$4:$AJ$14,32,TRUE)*($G83-VLOOKUP($G83,'Geometry 2'!$E$5:$AH$14,1,TRUE)))</f>
        <v/>
      </c>
      <c r="AC83" s="758"/>
      <c r="AD83" s="758"/>
      <c r="AE83" s="759"/>
      <c r="AF83" s="716" t="str">
        <f>IF($G83="","",VLOOKUP($G83,'Geometry 2'!$E$4:$AJ$14,19,TRUE)-12*VLOOKUP($G83,'Geometry 2'!$E$4:$AJ$14,32,TRUE)*($G83-IF($P83="",0,$P83)-VLOOKUP($G83,'Geometry 2'!$E$5:$AH$14,1,TRUE)))</f>
        <v/>
      </c>
      <c r="AG83" s="716"/>
      <c r="AH83" s="716"/>
      <c r="AI83" s="716"/>
      <c r="AJ83" s="746" t="str">
        <f>IF($G83="","",VLOOKUP($G83,'Geometry 2'!$E$4:$AH$14,23,TRUE))</f>
        <v/>
      </c>
      <c r="AK83" s="747"/>
      <c r="AL83" s="747"/>
      <c r="AM83" s="748"/>
      <c r="AN83" s="717"/>
      <c r="AO83" s="717"/>
      <c r="AP83" s="717"/>
      <c r="AQ83" s="717"/>
      <c r="AR83" s="717" t="str">
        <f>IF($G83="","",VLOOKUP($G83,'Geometry 2'!$E$4:$AH$14,27,TRUE))</f>
        <v/>
      </c>
      <c r="AS83" s="717"/>
      <c r="AT83" s="717"/>
      <c r="AU83" s="718"/>
      <c r="AV83" s="715"/>
      <c r="AW83" s="716"/>
      <c r="AX83" s="716"/>
      <c r="AZ83" s="722" t="str">
        <f t="shared" si="15"/>
        <v/>
      </c>
      <c r="BA83" s="723"/>
      <c r="BB83" s="723"/>
      <c r="BC83" s="724"/>
      <c r="BD83" s="722"/>
      <c r="BE83" s="723"/>
      <c r="BF83" s="723"/>
      <c r="BG83" s="722" t="str">
        <f t="shared" si="9"/>
        <v/>
      </c>
      <c r="BH83" s="723"/>
      <c r="BI83" s="723"/>
      <c r="BJ83" s="723"/>
      <c r="BK83" s="724"/>
      <c r="BL83" s="722"/>
      <c r="BM83" s="723"/>
      <c r="BN83" s="723"/>
      <c r="BO83" s="723"/>
      <c r="BP83" s="725"/>
      <c r="BQ83" s="725"/>
      <c r="BR83" s="722" t="str">
        <f>IF(BP83="","",IF(OR(AND(Rev="H",Calculations!$F$27=TRUE),AND(Rev&lt;&gt;"H",Calculations!$F$30=TRUE)),IF(BP83&lt;=1,"Pass","Fail"),IF(BP83&lt;=1.05,"Pass","Fail")))</f>
        <v/>
      </c>
      <c r="BS83" s="723"/>
      <c r="BT83" s="724"/>
      <c r="BU83" s="49"/>
      <c r="BV83" s="25" t="str">
        <f>IFERROR(CONCATENATE(IF(AND($G83&lt;Hta_1,$G83&gt;=Hba_1,Input!U$21&lt;&gt;""),Input!$B$21&amp;";",""),IF(AND($G83&lt;Hta_2,$G83&gt;=Hba_2,Input!U$22&lt;&gt;""),Input!$B$22&amp;";",""),IF(AND($G83&lt;Hta_3,$G83&gt;=Hba_3,Input!U$23&lt;&gt;""),Input!$B$23&amp;";",""),IF(AND($G83&lt;Hta_4,$G83&gt;=Hba_4,Input!U$24&lt;&gt;""),Input!$B$24&amp;";",""),IF(AND($G83&lt;Hta_5,$G83&gt;=Hba_5,Input!U$25&lt;&gt;""),Input!$B$25&amp;";",""),IF(AND($G83&lt;Hta_6,$G83&gt;=Hba_6,Input!U$26&lt;&gt;""),Input!$B$26&amp;";",""),IF(AND($G83&lt;Hta_7,$G83&gt;=Hba_7,Input!U$27&lt;&gt;""),Input!$B$27&amp;";",""),IF(AND($G83&lt;Hta_8,$G83&gt;=Hba_8,Input!U$28&lt;&gt;""),Input!$B$28&amp;";",""),IF(AND($G83&lt;Hta_9,$G83&gt;=Hba_9,Input!U$29&lt;&gt;""),Input!$B$29&amp;";",""),IF(AND($G83&lt;Hta_10,$G83&gt;=Hba_10,Input!U$30&lt;&gt;""),Input!$B$30&amp;";",""),IF(AND($G83&lt;Hta_11,$G83&gt;=Hba_11,Input!U$31&lt;&gt;""),Input!$B$31&amp;";",""),IF(AND($G83&lt;Hta_12,$G83&gt;=Hba_12,Input!U$32&lt;&gt;""),Input!$B$32&amp;";",""),IF(AND($G83&lt;Hta_13,$G83&gt;=Hba_13,Input!U$33&lt;&gt;""),Input!$B$33&amp;";",""),IF(AND($G83&lt;Hta_14,$G83&gt;=Hba_14,Input!U$34&lt;&gt;""),Input!$B$34&amp;";",""),IF(AND($G83&lt;Hta_15,$G83&gt;=Hba_15,Input!U$35&lt;&gt;""),Input!$B$35&amp;";",""),IF(AND($G83&lt;Hta_16,$G83&gt;=Hba_16,Input!U$36&lt;&gt;""),Input!$B$36&amp;";",""),IF(AND($G83&lt;Hta_17,$G83&gt;=Hba_17,Input!U$37&lt;&gt;""),Input!$B$37&amp;";",""),IF(AND($G83&lt;Hta_18,$G83&gt;=Hba_18,Input!U$38&lt;&gt;""),Input!$B$38&amp;";",""),IF(AND($G83&lt;Hta_19,$G83&gt;=Hba_19,Input!U$39&lt;&gt;""),Input!$B$39&amp;";",""),IF(AND($G83&lt;Hta_20,$G83&gt;=Hba_20,Input!U$40&lt;&gt;""),Input!$B$40&amp;";",""),IF(AND($G83&lt;Hta_21,$G83&gt;=Hba_21,Input!U$41&lt;&gt;""),Input!$B$41&amp;";",""),IF(AND($G83&lt;Hta_22,$G83&gt;=Hba_22,Input!U$42&lt;&gt;""),Input!$B$42&amp;";",""),IF(AND($G83&lt;Hta_23,$G83&gt;=Hba_23,Input!U$43&lt;&gt;""),Input!$B$43&amp;";",""),IF(AND($G83&lt;Hta_24,$G83&gt;=Hba_24,Input!U$44&lt;&gt;""),Input!$B$44&amp;";",""),IF(AND($G83&lt;Hta_25,$G83&gt;=Hba_25,Input!U$45&lt;&gt;""),Input!$B$45&amp;";",""),IF(AND($G83&lt;Hta_26,$G83&gt;=Hba_26,Input!U$46&lt;&gt;""),Input!$B$46&amp;";",""),IF(AND($G83&lt;Hta_27,$G83&gt;=Hba_27,Input!U$47&lt;&gt;""),Input!$B$47&amp;";",""),IF(AND($G83&lt;Hta_28,$G83&gt;=Hba_28,Input!U$48&lt;&gt;""),Input!$B$48&amp;";",""),IF(AND($G83&lt;Hta_29,$G83&gt;=Hba_29,Input!U$49&lt;&gt;""),Input!$B$49&amp;";",""),IF(AND($G83&lt;Hta_30,$G83&gt;=Hba_30,Input!U$50&lt;&gt;""),Input!$B$50&amp;";","")),"")</f>
        <v/>
      </c>
      <c r="BW83" s="25" t="str">
        <f>IFERROR(CONCATENATE(IF(AND($G83&lt;Hta_1,$G83&gt;=Hba_1,Input!V$21&lt;&gt;""),Input!$B$21&amp;";",""),IF(AND($G83&lt;Hta_2,$G83&gt;=Hba_2,Input!V$22&lt;&gt;""),Input!$B$22&amp;";",""),IF(AND($G83&lt;Hta_3,$G83&gt;=Hba_3,Input!V$23&lt;&gt;""),Input!$B$23&amp;";",""),IF(AND($G83&lt;Hta_4,$G83&gt;=Hba_4,Input!V$24&lt;&gt;""),Input!$B$24&amp;";",""),IF(AND($G83&lt;Hta_5,$G83&gt;=Hba_5,Input!V$25&lt;&gt;""),Input!$B$25&amp;";",""),IF(AND($G83&lt;Hta_6,$G83&gt;=Hba_6,Input!V$26&lt;&gt;""),Input!$B$26&amp;";",""),IF(AND($G83&lt;Hta_7,$G83&gt;=Hba_7,Input!V$27&lt;&gt;""),Input!$B$27&amp;";",""),IF(AND($G83&lt;Hta_8,$G83&gt;=Hba_8,Input!V$28&lt;&gt;""),Input!$B$28&amp;";",""),IF(AND($G83&lt;Hta_9,$G83&gt;=Hba_9,Input!V$29&lt;&gt;""),Input!$B$29&amp;";",""),IF(AND($G83&lt;Hta_10,$G83&gt;=Hba_10,Input!V$30&lt;&gt;""),Input!$B$30&amp;";",""),IF(AND($G83&lt;Hta_11,$G83&gt;=Hba_11,Input!V$31&lt;&gt;""),Input!$B$31&amp;";",""),IF(AND($G83&lt;Hta_12,$G83&gt;=Hba_12,Input!V$32&lt;&gt;""),Input!$B$32&amp;";",""),IF(AND($G83&lt;Hta_13,$G83&gt;=Hba_13,Input!V$33&lt;&gt;""),Input!$B$33&amp;";",""),IF(AND($G83&lt;Hta_14,$G83&gt;=Hba_14,Input!V$34&lt;&gt;""),Input!$B$34&amp;";",""),IF(AND($G83&lt;Hta_15,$G83&gt;=Hba_15,Input!V$35&lt;&gt;""),Input!$B$35&amp;";",""),IF(AND($G83&lt;Hta_16,$G83&gt;=Hba_16,Input!V$36&lt;&gt;""),Input!$B$36&amp;";",""),IF(AND($G83&lt;Hta_17,$G83&gt;=Hba_17,Input!V$37&lt;&gt;""),Input!$B$37&amp;";",""),IF(AND($G83&lt;Hta_18,$G83&gt;=Hba_18,Input!V$38&lt;&gt;""),Input!$B$38&amp;";",""),IF(AND($G83&lt;Hta_19,$G83&gt;=Hba_19,Input!V$39&lt;&gt;""),Input!$B$39&amp;";",""),IF(AND($G83&lt;Hta_20,$G83&gt;=Hba_20,Input!V$40&lt;&gt;""),Input!$B$40&amp;";",""),IF(AND($G83&lt;Hta_21,$G83&gt;=Hba_21,Input!V$41&lt;&gt;""),Input!$B$41&amp;";",""),IF(AND($G83&lt;Hta_22,$G83&gt;=Hba_22,Input!V$42&lt;&gt;""),Input!$B$42&amp;";",""),IF(AND($G83&lt;Hta_23,$G83&gt;=Hba_23,Input!V$43&lt;&gt;""),Input!$B$43&amp;";",""),IF(AND($G83&lt;Hta_24,$G83&gt;=Hba_24,Input!V$44&lt;&gt;""),Input!$B$44&amp;";",""),IF(AND($G83&lt;Hta_25,$G83&gt;=Hba_25,Input!V$45&lt;&gt;""),Input!$B$45&amp;";",""),IF(AND($G83&lt;Hta_26,$G83&gt;=Hba_26,Input!V$46&lt;&gt;""),Input!$B$46&amp;";",""),IF(AND($G83&lt;Hta_27,$G83&gt;=Hba_27,Input!V$47&lt;&gt;""),Input!$B$47&amp;";",""),IF(AND($G83&lt;Hta_28,$G83&gt;=Hba_28,Input!V$48&lt;&gt;""),Input!$B$48&amp;";",""),IF(AND($G83&lt;Hta_29,$G83&gt;=Hba_29,Input!V$49&lt;&gt;""),Input!$B$49&amp;";",""),IF(AND($G83&lt;Hta_30,$G83&gt;=Hba_30,Input!V$50&lt;&gt;""),Input!$B$50&amp;";","")),"")</f>
        <v/>
      </c>
      <c r="BX83" s="25" t="str">
        <f>IFERROR(CONCATENATE(IF(AND($G83&lt;Hta_1,$G83&gt;=Hba_1,Input!W$21&lt;&gt;""),Input!$B$21&amp;";",""),IF(AND($G83&lt;Hta_2,$G83&gt;=Hba_2,Input!W$22&lt;&gt;""),Input!$B$22&amp;";",""),IF(AND($G83&lt;Hta_3,$G83&gt;=Hba_3,Input!W$23&lt;&gt;""),Input!$B$23&amp;";",""),IF(AND($G83&lt;Hta_4,$G83&gt;=Hba_4,Input!W$24&lt;&gt;""),Input!$B$24&amp;";",""),IF(AND($G83&lt;Hta_5,$G83&gt;=Hba_5,Input!W$25&lt;&gt;""),Input!$B$25&amp;";",""),IF(AND($G83&lt;Hta_6,$G83&gt;=Hba_6,Input!W$26&lt;&gt;""),Input!$B$26&amp;";",""),IF(AND($G83&lt;Hta_7,$G83&gt;=Hba_7,Input!W$27&lt;&gt;""),Input!$B$27&amp;";",""),IF(AND($G83&lt;Hta_8,$G83&gt;=Hba_8,Input!W$28&lt;&gt;""),Input!$B$28&amp;";",""),IF(AND($G83&lt;Hta_9,$G83&gt;=Hba_9,Input!W$29&lt;&gt;""),Input!$B$29&amp;";",""),IF(AND($G83&lt;Hta_10,$G83&gt;=Hba_10,Input!W$30&lt;&gt;""),Input!$B$30&amp;";",""),IF(AND($G83&lt;Hta_11,$G83&gt;=Hba_11,Input!W$31&lt;&gt;""),Input!$B$31&amp;";",""),IF(AND($G83&lt;Hta_12,$G83&gt;=Hba_12,Input!W$32&lt;&gt;""),Input!$B$32&amp;";",""),IF(AND($G83&lt;Hta_13,$G83&gt;=Hba_13,Input!W$33&lt;&gt;""),Input!$B$33&amp;";",""),IF(AND($G83&lt;Hta_14,$G83&gt;=Hba_14,Input!W$34&lt;&gt;""),Input!$B$34&amp;";",""),IF(AND($G83&lt;Hta_15,$G83&gt;=Hba_15,Input!W$35&lt;&gt;""),Input!$B$35&amp;";",""),IF(AND($G83&lt;Hta_16,$G83&gt;=Hba_16,Input!W$36&lt;&gt;""),Input!$B$36&amp;";",""),IF(AND($G83&lt;Hta_17,$G83&gt;=Hba_17,Input!W$37&lt;&gt;""),Input!$B$37&amp;";",""),IF(AND($G83&lt;Hta_18,$G83&gt;=Hba_18,Input!W$38&lt;&gt;""),Input!$B$38&amp;";",""),IF(AND($G83&lt;Hta_19,$G83&gt;=Hba_19,Input!W$39&lt;&gt;""),Input!$B$39&amp;";",""),IF(AND($G83&lt;Hta_20,$G83&gt;=Hba_20,Input!W$40&lt;&gt;""),Input!$B$40&amp;";",""),IF(AND($G83&lt;Hta_21,$G83&gt;=Hba_21,Input!W$41&lt;&gt;""),Input!$B$41&amp;";",""),IF(AND($G83&lt;Hta_22,$G83&gt;=Hba_22,Input!W$42&lt;&gt;""),Input!$B$42&amp;";",""),IF(AND($G83&lt;Hta_23,$G83&gt;=Hba_23,Input!W$43&lt;&gt;""),Input!$B$43&amp;";",""),IF(AND($G83&lt;Hta_24,$G83&gt;=Hba_24,Input!W$44&lt;&gt;""),Input!$B$44&amp;";",""),IF(AND($G83&lt;Hta_25,$G83&gt;=Hba_25,Input!W$45&lt;&gt;""),Input!$B$45&amp;";",""),IF(AND($G83&lt;Hta_26,$G83&gt;=Hba_26,Input!W$46&lt;&gt;""),Input!$B$46&amp;";",""),IF(AND($G83&lt;Hta_27,$G83&gt;=Hba_27,Input!W$47&lt;&gt;""),Input!$B$47&amp;";",""),IF(AND($G83&lt;Hta_28,$G83&gt;=Hba_28,Input!W$48&lt;&gt;""),Input!$B$48&amp;";",""),IF(AND($G83&lt;Hta_29,$G83&gt;=Hba_29,Input!W$49&lt;&gt;""),Input!$B$49&amp;";",""),IF(AND($G83&lt;Hta_30,$G83&gt;=Hba_30,Input!W$50&lt;&gt;""),Input!$B$50&amp;";","")),"")</f>
        <v/>
      </c>
      <c r="BY83" s="25" t="str">
        <f>IFERROR(CONCATENATE(IF(AND($G83&lt;Hta_1,$G83&gt;=Hba_1,Input!X$21&lt;&gt;""),Input!$B$21&amp;";",""),IF(AND($G83&lt;Hta_2,$G83&gt;=Hba_2,Input!X$22&lt;&gt;""),Input!$B$22&amp;";",""),IF(AND($G83&lt;Hta_3,$G83&gt;=Hba_3,Input!X$23&lt;&gt;""),Input!$B$23&amp;";",""),IF(AND($G83&lt;Hta_4,$G83&gt;=Hba_4,Input!X$24&lt;&gt;""),Input!$B$24&amp;";",""),IF(AND($G83&lt;Hta_5,$G83&gt;=Hba_5,Input!X$25&lt;&gt;""),Input!$B$25&amp;";",""),IF(AND($G83&lt;Hta_6,$G83&gt;=Hba_6,Input!X$26&lt;&gt;""),Input!$B$26&amp;";",""),IF(AND($G83&lt;Hta_7,$G83&gt;=Hba_7,Input!X$27&lt;&gt;""),Input!$B$27&amp;";",""),IF(AND($G83&lt;Hta_8,$G83&gt;=Hba_8,Input!X$28&lt;&gt;""),Input!$B$28&amp;";",""),IF(AND($G83&lt;Hta_9,$G83&gt;=Hba_9,Input!X$29&lt;&gt;""),Input!$B$29&amp;";",""),IF(AND($G83&lt;Hta_10,$G83&gt;=Hba_10,Input!X$30&lt;&gt;""),Input!$B$30&amp;";",""),IF(AND($G83&lt;Hta_11,$G83&gt;=Hba_11,Input!X$31&lt;&gt;""),Input!$B$31&amp;";",""),IF(AND($G83&lt;Hta_12,$G83&gt;=Hba_12,Input!X$32&lt;&gt;""),Input!$B$32&amp;";",""),IF(AND($G83&lt;Hta_13,$G83&gt;=Hba_13,Input!X$33&lt;&gt;""),Input!$B$33&amp;";",""),IF(AND($G83&lt;Hta_14,$G83&gt;=Hba_14,Input!X$34&lt;&gt;""),Input!$B$34&amp;";",""),IF(AND($G83&lt;Hta_15,$G83&gt;=Hba_15,Input!X$35&lt;&gt;""),Input!$B$35&amp;";",""),IF(AND($G83&lt;Hta_16,$G83&gt;=Hba_16,Input!X$36&lt;&gt;""),Input!$B$36&amp;";",""),IF(AND($G83&lt;Hta_17,$G83&gt;=Hba_17,Input!X$37&lt;&gt;""),Input!$B$37&amp;";",""),IF(AND($G83&lt;Hta_18,$G83&gt;=Hba_18,Input!X$38&lt;&gt;""),Input!$B$38&amp;";",""),IF(AND($G83&lt;Hta_19,$G83&gt;=Hba_19,Input!X$39&lt;&gt;""),Input!$B$39&amp;";",""),IF(AND($G83&lt;Hta_20,$G83&gt;=Hba_20,Input!X$40&lt;&gt;""),Input!$B$40&amp;";",""),IF(AND($G83&lt;Hta_21,$G83&gt;=Hba_21,Input!X$41&lt;&gt;""),Input!$B$41&amp;";",""),IF(AND($G83&lt;Hta_22,$G83&gt;=Hba_22,Input!X$42&lt;&gt;""),Input!$B$42&amp;";",""),IF(AND($G83&lt;Hta_23,$G83&gt;=Hba_23,Input!X$43&lt;&gt;""),Input!$B$43&amp;";",""),IF(AND($G83&lt;Hta_24,$G83&gt;=Hba_24,Input!X$44&lt;&gt;""),Input!$B$44&amp;";",""),IF(AND($G83&lt;Hta_25,$G83&gt;=Hba_25,Input!X$45&lt;&gt;""),Input!$B$45&amp;";",""),IF(AND($G83&lt;Hta_26,$G83&gt;=Hba_26,Input!X$46&lt;&gt;""),Input!$B$46&amp;";",""),IF(AND($G83&lt;Hta_27,$G83&gt;=Hba_27,Input!X$47&lt;&gt;""),Input!$B$47&amp;";",""),IF(AND($G83&lt;Hta_28,$G83&gt;=Hba_28,Input!X$48&lt;&gt;""),Input!$B$48&amp;";",""),IF(AND($G83&lt;Hta_29,$G83&gt;=Hba_29,Input!X$49&lt;&gt;""),Input!$B$49&amp;";",""),IF(AND($G83&lt;Hta_30,$G83&gt;=Hba_30,Input!X$50&lt;&gt;""),Input!$B$50&amp;";","")),"")</f>
        <v/>
      </c>
      <c r="BZ83" s="25" t="str">
        <f>IFERROR(CONCATENATE(IF(AND($G83&lt;Hta_1,$G83&gt;=Hba_1,Input!Y$21&lt;&gt;""),Input!$B$21&amp;";",""),IF(AND($G83&lt;Hta_2,$G83&gt;=Hba_2,Input!Y$22&lt;&gt;""),Input!$B$22&amp;";",""),IF(AND($G83&lt;Hta_3,$G83&gt;=Hba_3,Input!Y$23&lt;&gt;""),Input!$B$23&amp;";",""),IF(AND($G83&lt;Hta_4,$G83&gt;=Hba_4,Input!Y$24&lt;&gt;""),Input!$B$24&amp;";",""),IF(AND($G83&lt;Hta_5,$G83&gt;=Hba_5,Input!Y$25&lt;&gt;""),Input!$B$25&amp;";",""),IF(AND($G83&lt;Hta_6,$G83&gt;=Hba_6,Input!Y$26&lt;&gt;""),Input!$B$26&amp;";",""),IF(AND($G83&lt;Hta_7,$G83&gt;=Hba_7,Input!Y$27&lt;&gt;""),Input!$B$27&amp;";",""),IF(AND($G83&lt;Hta_8,$G83&gt;=Hba_8,Input!Y$28&lt;&gt;""),Input!$B$28&amp;";",""),IF(AND($G83&lt;Hta_9,$G83&gt;=Hba_9,Input!Y$29&lt;&gt;""),Input!$B$29&amp;";",""),IF(AND($G83&lt;Hta_10,$G83&gt;=Hba_10,Input!Y$30&lt;&gt;""),Input!$B$30&amp;";",""),IF(AND($G83&lt;Hta_11,$G83&gt;=Hba_11,Input!Y$31&lt;&gt;""),Input!$B$31&amp;";",""),IF(AND($G83&lt;Hta_12,$G83&gt;=Hba_12,Input!Y$32&lt;&gt;""),Input!$B$32&amp;";",""),IF(AND($G83&lt;Hta_13,$G83&gt;=Hba_13,Input!Y$33&lt;&gt;""),Input!$B$33&amp;";",""),IF(AND($G83&lt;Hta_14,$G83&gt;=Hba_14,Input!Y$34&lt;&gt;""),Input!$B$34&amp;";",""),IF(AND($G83&lt;Hta_15,$G83&gt;=Hba_15,Input!Y$35&lt;&gt;""),Input!$B$35&amp;";",""),IF(AND($G83&lt;Hta_16,$G83&gt;=Hba_16,Input!Y$36&lt;&gt;""),Input!$B$36&amp;";",""),IF(AND($G83&lt;Hta_17,$G83&gt;=Hba_17,Input!Y$37&lt;&gt;""),Input!$B$37&amp;";",""),IF(AND($G83&lt;Hta_18,$G83&gt;=Hba_18,Input!Y$38&lt;&gt;""),Input!$B$38&amp;";",""),IF(AND($G83&lt;Hta_19,$G83&gt;=Hba_19,Input!Y$39&lt;&gt;""),Input!$B$39&amp;";",""),IF(AND($G83&lt;Hta_20,$G83&gt;=Hba_20,Input!Y$40&lt;&gt;""),Input!$B$40&amp;";",""),IF(AND($G83&lt;Hta_21,$G83&gt;=Hba_21,Input!Y$41&lt;&gt;""),Input!$B$41&amp;";",""),IF(AND($G83&lt;Hta_22,$G83&gt;=Hba_22,Input!Y$42&lt;&gt;""),Input!$B$42&amp;";",""),IF(AND($G83&lt;Hta_23,$G83&gt;=Hba_23,Input!Y$43&lt;&gt;""),Input!$B$43&amp;";",""),IF(AND($G83&lt;Hta_24,$G83&gt;=Hba_24,Input!Y$44&lt;&gt;""),Input!$B$44&amp;";",""),IF(AND($G83&lt;Hta_25,$G83&gt;=Hba_25,Input!Y$45&lt;&gt;""),Input!$B$45&amp;";",""),IF(AND($G83&lt;Hta_26,$G83&gt;=Hba_26,Input!Y$46&lt;&gt;""),Input!$B$46&amp;";",""),IF(AND($G83&lt;Hta_27,$G83&gt;=Hba_27,Input!Y$47&lt;&gt;""),Input!$B$47&amp;";",""),IF(AND($G83&lt;Hta_28,$G83&gt;=Hba_28,Input!Y$48&lt;&gt;""),Input!$B$48&amp;";",""),IF(AND($G83&lt;Hta_29,$G83&gt;=Hba_29,Input!Y$49&lt;&gt;""),Input!$B$49&amp;";",""),IF(AND($G83&lt;Hta_30,$G83&gt;=Hba_30,Input!Y$50&lt;&gt;""),Input!$B$50&amp;";","")),"")</f>
        <v/>
      </c>
      <c r="CA83" s="25" t="str">
        <f>IFERROR(CONCATENATE(IF(AND($G83&lt;Hta_1,$G83&gt;=Hba_1,Input!Z$21&lt;&gt;""),Input!$B$21&amp;";",""),IF(AND($G83&lt;Hta_2,$G83&gt;=Hba_2,Input!Z$22&lt;&gt;""),Input!$B$22&amp;";",""),IF(AND($G83&lt;Hta_3,$G83&gt;=Hba_3,Input!Z$23&lt;&gt;""),Input!$B$23&amp;";",""),IF(AND($G83&lt;Hta_4,$G83&gt;=Hba_4,Input!Z$24&lt;&gt;""),Input!$B$24&amp;";",""),IF(AND($G83&lt;Hta_5,$G83&gt;=Hba_5,Input!Z$25&lt;&gt;""),Input!$B$25&amp;";",""),IF(AND($G83&lt;Hta_6,$G83&gt;=Hba_6,Input!Z$26&lt;&gt;""),Input!$B$26&amp;";",""),IF(AND($G83&lt;Hta_7,$G83&gt;=Hba_7,Input!Z$27&lt;&gt;""),Input!$B$27&amp;";",""),IF(AND($G83&lt;Hta_8,$G83&gt;=Hba_8,Input!Z$28&lt;&gt;""),Input!$B$28&amp;";",""),IF(AND($G83&lt;Hta_9,$G83&gt;=Hba_9,Input!Z$29&lt;&gt;""),Input!$B$29&amp;";",""),IF(AND($G83&lt;Hta_10,$G83&gt;=Hba_10,Input!Z$30&lt;&gt;""),Input!$B$30&amp;";",""),IF(AND($G83&lt;Hta_11,$G83&gt;=Hba_11,Input!Z$31&lt;&gt;""),Input!$B$31&amp;";",""),IF(AND($G83&lt;Hta_12,$G83&gt;=Hba_12,Input!Z$32&lt;&gt;""),Input!$B$32&amp;";",""),IF(AND($G83&lt;Hta_13,$G83&gt;=Hba_13,Input!Z$33&lt;&gt;""),Input!$B$33&amp;";",""),IF(AND($G83&lt;Hta_14,$G83&gt;=Hba_14,Input!Z$34&lt;&gt;""),Input!$B$34&amp;";",""),IF(AND($G83&lt;Hta_15,$G83&gt;=Hba_15,Input!Z$35&lt;&gt;""),Input!$B$35&amp;";",""),IF(AND($G83&lt;Hta_16,$G83&gt;=Hba_16,Input!Z$36&lt;&gt;""),Input!$B$36&amp;";",""),IF(AND($G83&lt;Hta_17,$G83&gt;=Hba_17,Input!Z$37&lt;&gt;""),Input!$B$37&amp;";",""),IF(AND($G83&lt;Hta_18,$G83&gt;=Hba_18,Input!Z$38&lt;&gt;""),Input!$B$38&amp;";",""),IF(AND($G83&lt;Hta_19,$G83&gt;=Hba_19,Input!Z$39&lt;&gt;""),Input!$B$39&amp;";",""),IF(AND($G83&lt;Hta_20,$G83&gt;=Hba_20,Input!Z$40&lt;&gt;""),Input!$B$40&amp;";",""),IF(AND($G83&lt;Hta_21,$G83&gt;=Hba_21,Input!Z$41&lt;&gt;""),Input!$B$41&amp;";",""),IF(AND($G83&lt;Hta_22,$G83&gt;=Hba_22,Input!Z$42&lt;&gt;""),Input!$B$42&amp;";",""),IF(AND($G83&lt;Hta_23,$G83&gt;=Hba_23,Input!Z$43&lt;&gt;""),Input!$B$43&amp;";",""),IF(AND($G83&lt;Hta_24,$G83&gt;=Hba_24,Input!Z$44&lt;&gt;""),Input!$B$44&amp;";",""),IF(AND($G83&lt;Hta_25,$G83&gt;=Hba_25,Input!Z$45&lt;&gt;""),Input!$B$45&amp;";",""),IF(AND($G83&lt;Hta_26,$G83&gt;=Hba_26,Input!Z$46&lt;&gt;""),Input!$B$46&amp;";",""),IF(AND($G83&lt;Hta_27,$G83&gt;=Hba_27,Input!Z$47&lt;&gt;""),Input!$B$47&amp;";",""),IF(AND($G83&lt;Hta_28,$G83&gt;=Hba_28,Input!Z$48&lt;&gt;""),Input!$B$48&amp;";",""),IF(AND($G83&lt;Hta_29,$G83&gt;=Hba_29,Input!Z$49&lt;&gt;""),Input!$B$49&amp;";",""),IF(AND($G83&lt;Hta_30,$G83&gt;=Hba_30,Input!Z$50&lt;&gt;""),Input!$B$50&amp;";","")),"")</f>
        <v/>
      </c>
      <c r="CB83" s="25" t="str">
        <f>IFERROR(CONCATENATE(IF(AND($G83&lt;Hta_1,$G83&gt;=Hba_1,Input!AA$21&lt;&gt;""),Input!$B$21&amp;";",""),IF(AND($G83&lt;Hta_2,$G83&gt;=Hba_2,Input!AA$22&lt;&gt;""),Input!$B$22&amp;";",""),IF(AND($G83&lt;Hta_3,$G83&gt;=Hba_3,Input!AA$23&lt;&gt;""),Input!$B$23&amp;";",""),IF(AND($G83&lt;Hta_4,$G83&gt;=Hba_4,Input!AA$24&lt;&gt;""),Input!$B$24&amp;";",""),IF(AND($G83&lt;Hta_5,$G83&gt;=Hba_5,Input!AA$25&lt;&gt;""),Input!$B$25&amp;";",""),IF(AND($G83&lt;Hta_6,$G83&gt;=Hba_6,Input!AA$26&lt;&gt;""),Input!$B$26&amp;";",""),IF(AND($G83&lt;Hta_7,$G83&gt;=Hba_7,Input!AA$27&lt;&gt;""),Input!$B$27&amp;";",""),IF(AND($G83&lt;Hta_8,$G83&gt;=Hba_8,Input!AA$28&lt;&gt;""),Input!$B$28&amp;";",""),IF(AND($G83&lt;Hta_9,$G83&gt;=Hba_9,Input!AA$29&lt;&gt;""),Input!$B$29&amp;";",""),IF(AND($G83&lt;Hta_10,$G83&gt;=Hba_10,Input!AA$30&lt;&gt;""),Input!$B$30&amp;";",""),IF(AND($G83&lt;Hta_11,$G83&gt;=Hba_11,Input!AA$31&lt;&gt;""),Input!$B$31&amp;";",""),IF(AND($G83&lt;Hta_12,$G83&gt;=Hba_12,Input!AA$32&lt;&gt;""),Input!$B$32&amp;";",""),IF(AND($G83&lt;Hta_13,$G83&gt;=Hba_13,Input!AA$33&lt;&gt;""),Input!$B$33&amp;";",""),IF(AND($G83&lt;Hta_14,$G83&gt;=Hba_14,Input!AA$34&lt;&gt;""),Input!$B$34&amp;";",""),IF(AND($G83&lt;Hta_15,$G83&gt;=Hba_15,Input!AA$35&lt;&gt;""),Input!$B$35&amp;";",""),IF(AND($G83&lt;Hta_16,$G83&gt;=Hba_16,Input!AA$36&lt;&gt;""),Input!$B$36&amp;";",""),IF(AND($G83&lt;Hta_17,$G83&gt;=Hba_17,Input!AA$37&lt;&gt;""),Input!$B$37&amp;";",""),IF(AND($G83&lt;Hta_18,$G83&gt;=Hba_18,Input!AA$38&lt;&gt;""),Input!$B$38&amp;";",""),IF(AND($G83&lt;Hta_19,$G83&gt;=Hba_19,Input!AA$39&lt;&gt;""),Input!$B$39&amp;";",""),IF(AND($G83&lt;Hta_20,$G83&gt;=Hba_20,Input!AA$40&lt;&gt;""),Input!$B$40&amp;";",""),IF(AND($G83&lt;Hta_21,$G83&gt;=Hba_21,Input!AA$41&lt;&gt;""),Input!$B$41&amp;";",""),IF(AND($G83&lt;Hta_22,$G83&gt;=Hba_22,Input!AA$42&lt;&gt;""),Input!$B$42&amp;";",""),IF(AND($G83&lt;Hta_23,$G83&gt;=Hba_23,Input!AA$43&lt;&gt;""),Input!$B$43&amp;";",""),IF(AND($G83&lt;Hta_24,$G83&gt;=Hba_24,Input!AA$44&lt;&gt;""),Input!$B$44&amp;";",""),IF(AND($G83&lt;Hta_25,$G83&gt;=Hba_25,Input!AA$45&lt;&gt;""),Input!$B$45&amp;";",""),IF(AND($G83&lt;Hta_26,$G83&gt;=Hba_26,Input!AA$46&lt;&gt;""),Input!$B$46&amp;";",""),IF(AND($G83&lt;Hta_27,$G83&gt;=Hba_27,Input!AA$47&lt;&gt;""),Input!$B$47&amp;";",""),IF(AND($G83&lt;Hta_28,$G83&gt;=Hba_28,Input!AA$48&lt;&gt;""),Input!$B$48&amp;";",""),IF(AND($G83&lt;Hta_29,$G83&gt;=Hba_29,Input!AA$49&lt;&gt;""),Input!$B$49&amp;";",""),IF(AND($G83&lt;Hta_30,$G83&gt;=Hba_30,Input!AA$50&lt;&gt;""),Input!$B$50&amp;";","")),"")</f>
        <v/>
      </c>
      <c r="CC83" s="25" t="str">
        <f>IFERROR(CONCATENATE(IF(AND($G83&lt;Hta_1,$G83&gt;=Hba_1,Input!AB$21&lt;&gt;""),Input!$B$21&amp;";",""),IF(AND($G83&lt;Hta_2,$G83&gt;=Hba_2,Input!AB$22&lt;&gt;""),Input!$B$22&amp;";",""),IF(AND($G83&lt;Hta_3,$G83&gt;=Hba_3,Input!AB$23&lt;&gt;""),Input!$B$23&amp;";",""),IF(AND($G83&lt;Hta_4,$G83&gt;=Hba_4,Input!AB$24&lt;&gt;""),Input!$B$24&amp;";",""),IF(AND($G83&lt;Hta_5,$G83&gt;=Hba_5,Input!AB$25&lt;&gt;""),Input!$B$25&amp;";",""),IF(AND($G83&lt;Hta_6,$G83&gt;=Hba_6,Input!AB$26&lt;&gt;""),Input!$B$26&amp;";",""),IF(AND($G83&lt;Hta_7,$G83&gt;=Hba_7,Input!AB$27&lt;&gt;""),Input!$B$27&amp;";",""),IF(AND($G83&lt;Hta_8,$G83&gt;=Hba_8,Input!AB$28&lt;&gt;""),Input!$B$28&amp;";",""),IF(AND($G83&lt;Hta_9,$G83&gt;=Hba_9,Input!AB$29&lt;&gt;""),Input!$B$29&amp;";",""),IF(AND($G83&lt;Hta_10,$G83&gt;=Hba_10,Input!AB$30&lt;&gt;""),Input!$B$30&amp;";",""),IF(AND($G83&lt;Hta_11,$G83&gt;=Hba_11,Input!AB$31&lt;&gt;""),Input!$B$31&amp;";",""),IF(AND($G83&lt;Hta_12,$G83&gt;=Hba_12,Input!AB$32&lt;&gt;""),Input!$B$32&amp;";",""),IF(AND($G83&lt;Hta_13,$G83&gt;=Hba_13,Input!AB$33&lt;&gt;""),Input!$B$33&amp;";",""),IF(AND($G83&lt;Hta_14,$G83&gt;=Hba_14,Input!AB$34&lt;&gt;""),Input!$B$34&amp;";",""),IF(AND($G83&lt;Hta_15,$G83&gt;=Hba_15,Input!AB$35&lt;&gt;""),Input!$B$35&amp;";",""),IF(AND($G83&lt;Hta_16,$G83&gt;=Hba_16,Input!AB$36&lt;&gt;""),Input!$B$36&amp;";",""),IF(AND($G83&lt;Hta_17,$G83&gt;=Hba_17,Input!AB$37&lt;&gt;""),Input!$B$37&amp;";",""),IF(AND($G83&lt;Hta_18,$G83&gt;=Hba_18,Input!AB$38&lt;&gt;""),Input!$B$38&amp;";",""),IF(AND($G83&lt;Hta_19,$G83&gt;=Hba_19,Input!AB$39&lt;&gt;""),Input!$B$39&amp;";",""),IF(AND($G83&lt;Hta_20,$G83&gt;=Hba_20,Input!AB$40&lt;&gt;""),Input!$B$40&amp;";",""),IF(AND($G83&lt;Hta_21,$G83&gt;=Hba_21,Input!AB$41&lt;&gt;""),Input!$B$41&amp;";",""),IF(AND($G83&lt;Hta_22,$G83&gt;=Hba_22,Input!AB$42&lt;&gt;""),Input!$B$42&amp;";",""),IF(AND($G83&lt;Hta_23,$G83&gt;=Hba_23,Input!AB$43&lt;&gt;""),Input!$B$43&amp;";",""),IF(AND($G83&lt;Hta_24,$G83&gt;=Hba_24,Input!AB$44&lt;&gt;""),Input!$B$44&amp;";",""),IF(AND($G83&lt;Hta_25,$G83&gt;=Hba_25,Input!AB$45&lt;&gt;""),Input!$B$45&amp;";",""),IF(AND($G83&lt;Hta_26,$G83&gt;=Hba_26,Input!AB$46&lt;&gt;""),Input!$B$46&amp;";",""),IF(AND($G83&lt;Hta_27,$G83&gt;=Hba_27,Input!AB$47&lt;&gt;""),Input!$B$47&amp;";",""),IF(AND($G83&lt;Hta_28,$G83&gt;=Hba_28,Input!AB$48&lt;&gt;""),Input!$B$48&amp;";",""),IF(AND($G83&lt;Hta_29,$G83&gt;=Hba_29,Input!AB$49&lt;&gt;""),Input!$B$49&amp;";",""),IF(AND($G83&lt;Hta_30,$G83&gt;=Hba_30,Input!AB$50&lt;&gt;""),Input!$B$50&amp;";","")),"")</f>
        <v/>
      </c>
      <c r="CD83" s="25" t="str">
        <f>IFERROR(CONCATENATE(IF(AND($G83&lt;Hta_1,$G83&gt;=Hba_1,Input!AC$21&lt;&gt;""),Input!$B$21&amp;";",""),IF(AND($G83&lt;Hta_2,$G83&gt;=Hba_2,Input!AC$22&lt;&gt;""),Input!$B$22&amp;";",""),IF(AND($G83&lt;Hta_3,$G83&gt;=Hba_3,Input!AC$23&lt;&gt;""),Input!$B$23&amp;";",""),IF(AND($G83&lt;Hta_4,$G83&gt;=Hba_4,Input!AC$24&lt;&gt;""),Input!$B$24&amp;";",""),IF(AND($G83&lt;Hta_5,$G83&gt;=Hba_5,Input!AC$25&lt;&gt;""),Input!$B$25&amp;";",""),IF(AND($G83&lt;Hta_6,$G83&gt;=Hba_6,Input!AC$26&lt;&gt;""),Input!$B$26&amp;";",""),IF(AND($G83&lt;Hta_7,$G83&gt;=Hba_7,Input!AC$27&lt;&gt;""),Input!$B$27&amp;";",""),IF(AND($G83&lt;Hta_8,$G83&gt;=Hba_8,Input!AC$28&lt;&gt;""),Input!$B$28&amp;";",""),IF(AND($G83&lt;Hta_9,$G83&gt;=Hba_9,Input!AC$29&lt;&gt;""),Input!$B$29&amp;";",""),IF(AND($G83&lt;Hta_10,$G83&gt;=Hba_10,Input!AC$30&lt;&gt;""),Input!$B$30&amp;";",""),IF(AND($G83&lt;Hta_11,$G83&gt;=Hba_11,Input!AC$31&lt;&gt;""),Input!$B$31&amp;";",""),IF(AND($G83&lt;Hta_12,$G83&gt;=Hba_12,Input!AC$32&lt;&gt;""),Input!$B$32&amp;";",""),IF(AND($G83&lt;Hta_13,$G83&gt;=Hba_13,Input!AC$33&lt;&gt;""),Input!$B$33&amp;";",""),IF(AND($G83&lt;Hta_14,$G83&gt;=Hba_14,Input!AC$34&lt;&gt;""),Input!$B$34&amp;";",""),IF(AND($G83&lt;Hta_15,$G83&gt;=Hba_15,Input!AC$35&lt;&gt;""),Input!$B$35&amp;";",""),IF(AND($G83&lt;Hta_16,$G83&gt;=Hba_16,Input!AC$36&lt;&gt;""),Input!$B$36&amp;";",""),IF(AND($G83&lt;Hta_17,$G83&gt;=Hba_17,Input!AC$37&lt;&gt;""),Input!$B$37&amp;";",""),IF(AND($G83&lt;Hta_18,$G83&gt;=Hba_18,Input!AC$38&lt;&gt;""),Input!$B$38&amp;";",""),IF(AND($G83&lt;Hta_19,$G83&gt;=Hba_19,Input!AC$39&lt;&gt;""),Input!$B$39&amp;";",""),IF(AND($G83&lt;Hta_20,$G83&gt;=Hba_20,Input!AC$40&lt;&gt;""),Input!$B$40&amp;";",""),IF(AND($G83&lt;Hta_21,$G83&gt;=Hba_21,Input!AC$41&lt;&gt;""),Input!$B$41&amp;";",""),IF(AND($G83&lt;Hta_22,$G83&gt;=Hba_22,Input!AC$42&lt;&gt;""),Input!$B$42&amp;";",""),IF(AND($G83&lt;Hta_23,$G83&gt;=Hba_23,Input!AC$43&lt;&gt;""),Input!$B$43&amp;";",""),IF(AND($G83&lt;Hta_24,$G83&gt;=Hba_24,Input!AC$44&lt;&gt;""),Input!$B$44&amp;";",""),IF(AND($G83&lt;Hta_25,$G83&gt;=Hba_25,Input!AC$45&lt;&gt;""),Input!$B$45&amp;";",""),IF(AND($G83&lt;Hta_26,$G83&gt;=Hba_26,Input!AC$46&lt;&gt;""),Input!$B$46&amp;";",""),IF(AND($G83&lt;Hta_27,$G83&gt;=Hba_27,Input!AC$47&lt;&gt;""),Input!$B$47&amp;";",""),IF(AND($G83&lt;Hta_28,$G83&gt;=Hba_28,Input!AC$48&lt;&gt;""),Input!$B$48&amp;";",""),IF(AND($G83&lt;Hta_29,$G83&gt;=Hba_29,Input!AC$49&lt;&gt;""),Input!$B$49&amp;";",""),IF(AND($G83&lt;Hta_30,$G83&gt;=Hba_30,Input!AC$50&lt;&gt;""),Input!$B$50&amp;";","")),"")</f>
        <v/>
      </c>
      <c r="CE83" s="25" t="str">
        <f>IFERROR(CONCATENATE(IF(AND($G83&lt;Hta_1,$G83&gt;=Hba_1,Input!AD$21&lt;&gt;""),Input!$B$21&amp;";",""),IF(AND($G83&lt;Hta_2,$G83&gt;=Hba_2,Input!AD$22&lt;&gt;""),Input!$B$22&amp;";",""),IF(AND($G83&lt;Hta_3,$G83&gt;=Hba_3,Input!AD$23&lt;&gt;""),Input!$B$23&amp;";",""),IF(AND($G83&lt;Hta_4,$G83&gt;=Hba_4,Input!AD$24&lt;&gt;""),Input!$B$24&amp;";",""),IF(AND($G83&lt;Hta_5,$G83&gt;=Hba_5,Input!AD$25&lt;&gt;""),Input!$B$25&amp;";",""),IF(AND($G83&lt;Hta_6,$G83&gt;=Hba_6,Input!AD$26&lt;&gt;""),Input!$B$26&amp;";",""),IF(AND($G83&lt;Hta_7,$G83&gt;=Hba_7,Input!AD$27&lt;&gt;""),Input!$B$27&amp;";",""),IF(AND($G83&lt;Hta_8,$G83&gt;=Hba_8,Input!AD$28&lt;&gt;""),Input!$B$28&amp;";",""),IF(AND($G83&lt;Hta_9,$G83&gt;=Hba_9,Input!AD$29&lt;&gt;""),Input!$B$29&amp;";",""),IF(AND($G83&lt;Hta_10,$G83&gt;=Hba_10,Input!AD$30&lt;&gt;""),Input!$B$30&amp;";",""),IF(AND($G83&lt;Hta_11,$G83&gt;=Hba_11,Input!AD$31&lt;&gt;""),Input!$B$31&amp;";",""),IF(AND($G83&lt;Hta_12,$G83&gt;=Hba_12,Input!AD$32&lt;&gt;""),Input!$B$32&amp;";",""),IF(AND($G83&lt;Hta_13,$G83&gt;=Hba_13,Input!AD$33&lt;&gt;""),Input!$B$33&amp;";",""),IF(AND($G83&lt;Hta_14,$G83&gt;=Hba_14,Input!AD$34&lt;&gt;""),Input!$B$34&amp;";",""),IF(AND($G83&lt;Hta_15,$G83&gt;=Hba_15,Input!AD$35&lt;&gt;""),Input!$B$35&amp;";",""),IF(AND($G83&lt;Hta_16,$G83&gt;=Hba_16,Input!AD$36&lt;&gt;""),Input!$B$36&amp;";",""),IF(AND($G83&lt;Hta_17,$G83&gt;=Hba_17,Input!AD$37&lt;&gt;""),Input!$B$37&amp;";",""),IF(AND($G83&lt;Hta_18,$G83&gt;=Hba_18,Input!AD$38&lt;&gt;""),Input!$B$38&amp;";",""),IF(AND($G83&lt;Hta_19,$G83&gt;=Hba_19,Input!AD$39&lt;&gt;""),Input!$B$39&amp;";",""),IF(AND($G83&lt;Hta_20,$G83&gt;=Hba_20,Input!AD$40&lt;&gt;""),Input!$B$40&amp;";",""),IF(AND($G83&lt;Hta_21,$G83&gt;=Hba_21,Input!AD$41&lt;&gt;""),Input!$B$41&amp;";",""),IF(AND($G83&lt;Hta_22,$G83&gt;=Hba_22,Input!AD$42&lt;&gt;""),Input!$B$42&amp;";",""),IF(AND($G83&lt;Hta_23,$G83&gt;=Hba_23,Input!AD$43&lt;&gt;""),Input!$B$43&amp;";",""),IF(AND($G83&lt;Hta_24,$G83&gt;=Hba_24,Input!AD$44&lt;&gt;""),Input!$B$44&amp;";",""),IF(AND($G83&lt;Hta_25,$G83&gt;=Hba_25,Input!AD$45&lt;&gt;""),Input!$B$45&amp;";",""),IF(AND($G83&lt;Hta_26,$G83&gt;=Hba_26,Input!AD$46&lt;&gt;""),Input!$B$46&amp;";",""),IF(AND($G83&lt;Hta_27,$G83&gt;=Hba_27,Input!AD$47&lt;&gt;""),Input!$B$47&amp;";",""),IF(AND($G83&lt;Hta_28,$G83&gt;=Hba_28,Input!AD$48&lt;&gt;""),Input!$B$48&amp;";",""),IF(AND($G83&lt;Hta_29,$G83&gt;=Hba_29,Input!AD$49&lt;&gt;""),Input!$B$49&amp;";",""),IF(AND($G83&lt;Hta_30,$G83&gt;=Hba_30,Input!AD$50&lt;&gt;""),Input!$B$50&amp;";","")),"")</f>
        <v/>
      </c>
      <c r="CF83" s="25" t="str">
        <f>IFERROR(CONCATENATE(IF(AND($G83&lt;Hta_1,$G83&gt;=Hba_1,Input!AE$21&lt;&gt;""),Input!$B$21&amp;";",""),IF(AND($G83&lt;Hta_2,$G83&gt;=Hba_2,Input!AE$22&lt;&gt;""),Input!$B$22&amp;";",""),IF(AND($G83&lt;Hta_3,$G83&gt;=Hba_3,Input!AE$23&lt;&gt;""),Input!$B$23&amp;";",""),IF(AND($G83&lt;Hta_4,$G83&gt;=Hba_4,Input!AE$24&lt;&gt;""),Input!$B$24&amp;";",""),IF(AND($G83&lt;Hta_5,$G83&gt;=Hba_5,Input!AE$25&lt;&gt;""),Input!$B$25&amp;";",""),IF(AND($G83&lt;Hta_6,$G83&gt;=Hba_6,Input!AE$26&lt;&gt;""),Input!$B$26&amp;";",""),IF(AND($G83&lt;Hta_7,$G83&gt;=Hba_7,Input!AE$27&lt;&gt;""),Input!$B$27&amp;";",""),IF(AND($G83&lt;Hta_8,$G83&gt;=Hba_8,Input!AE$28&lt;&gt;""),Input!$B$28&amp;";",""),IF(AND($G83&lt;Hta_9,$G83&gt;=Hba_9,Input!AE$29&lt;&gt;""),Input!$B$29&amp;";",""),IF(AND($G83&lt;Hta_10,$G83&gt;=Hba_10,Input!AE$30&lt;&gt;""),Input!$B$30&amp;";",""),IF(AND($G83&lt;Hta_11,$G83&gt;=Hba_11,Input!AE$31&lt;&gt;""),Input!$B$31&amp;";",""),IF(AND($G83&lt;Hta_12,$G83&gt;=Hba_12,Input!AE$32&lt;&gt;""),Input!$B$32&amp;";",""),IF(AND($G83&lt;Hta_13,$G83&gt;=Hba_13,Input!AE$33&lt;&gt;""),Input!$B$33&amp;";",""),IF(AND($G83&lt;Hta_14,$G83&gt;=Hba_14,Input!AE$34&lt;&gt;""),Input!$B$34&amp;";",""),IF(AND($G83&lt;Hta_15,$G83&gt;=Hba_15,Input!AE$35&lt;&gt;""),Input!$B$35&amp;";",""),IF(AND($G83&lt;Hta_16,$G83&gt;=Hba_16,Input!AE$36&lt;&gt;""),Input!$B$36&amp;";",""),IF(AND($G83&lt;Hta_17,$G83&gt;=Hba_17,Input!AE$37&lt;&gt;""),Input!$B$37&amp;";",""),IF(AND($G83&lt;Hta_18,$G83&gt;=Hba_18,Input!AE$38&lt;&gt;""),Input!$B$38&amp;";",""),IF(AND($G83&lt;Hta_19,$G83&gt;=Hba_19,Input!AE$39&lt;&gt;""),Input!$B$39&amp;";",""),IF(AND($G83&lt;Hta_20,$G83&gt;=Hba_20,Input!AE$40&lt;&gt;""),Input!$B$40&amp;";",""),IF(AND($G83&lt;Hta_21,$G83&gt;=Hba_21,Input!AE$41&lt;&gt;""),Input!$B$41&amp;";",""),IF(AND($G83&lt;Hta_22,$G83&gt;=Hba_22,Input!AE$42&lt;&gt;""),Input!$B$42&amp;";",""),IF(AND($G83&lt;Hta_23,$G83&gt;=Hba_23,Input!AE$43&lt;&gt;""),Input!$B$43&amp;";",""),IF(AND($G83&lt;Hta_24,$G83&gt;=Hba_24,Input!AE$44&lt;&gt;""),Input!$B$44&amp;";",""),IF(AND($G83&lt;Hta_25,$G83&gt;=Hba_25,Input!AE$45&lt;&gt;""),Input!$B$45&amp;";",""),IF(AND($G83&lt;Hta_26,$G83&gt;=Hba_26,Input!AE$46&lt;&gt;""),Input!$B$46&amp;";",""),IF(AND($G83&lt;Hta_27,$G83&gt;=Hba_27,Input!AE$47&lt;&gt;""),Input!$B$47&amp;";",""),IF(AND($G83&lt;Hta_28,$G83&gt;=Hba_28,Input!AE$48&lt;&gt;""),Input!$B$48&amp;";",""),IF(AND($G83&lt;Hta_29,$G83&gt;=Hba_29,Input!AE$49&lt;&gt;""),Input!$B$49&amp;";",""),IF(AND($G83&lt;Hta_30,$G83&gt;=Hba_30,Input!AE$50&lt;&gt;""),Input!$B$50&amp;";","")),"")</f>
        <v/>
      </c>
      <c r="CG83" s="25" t="str">
        <f>IFERROR(CONCATENATE(IF(AND($G83&lt;Hta_1,$G83&gt;=Hba_1,Input!AF$21&lt;&gt;""),Input!$B$21&amp;";",""),IF(AND($G83&lt;Hta_2,$G83&gt;=Hba_2,Input!AF$22&lt;&gt;""),Input!$B$22&amp;";",""),IF(AND($G83&lt;Hta_3,$G83&gt;=Hba_3,Input!AF$23&lt;&gt;""),Input!$B$23&amp;";",""),IF(AND($G83&lt;Hta_4,$G83&gt;=Hba_4,Input!AF$24&lt;&gt;""),Input!$B$24&amp;";",""),IF(AND($G83&lt;Hta_5,$G83&gt;=Hba_5,Input!AF$25&lt;&gt;""),Input!$B$25&amp;";",""),IF(AND($G83&lt;Hta_6,$G83&gt;=Hba_6,Input!AF$26&lt;&gt;""),Input!$B$26&amp;";",""),IF(AND($G83&lt;Hta_7,$G83&gt;=Hba_7,Input!AF$27&lt;&gt;""),Input!$B$27&amp;";",""),IF(AND($G83&lt;Hta_8,$G83&gt;=Hba_8,Input!AF$28&lt;&gt;""),Input!$B$28&amp;";",""),IF(AND($G83&lt;Hta_9,$G83&gt;=Hba_9,Input!AF$29&lt;&gt;""),Input!$B$29&amp;";",""),IF(AND($G83&lt;Hta_10,$G83&gt;=Hba_10,Input!AF$30&lt;&gt;""),Input!$B$30&amp;";",""),IF(AND($G83&lt;Hta_11,$G83&gt;=Hba_11,Input!AF$31&lt;&gt;""),Input!$B$31&amp;";",""),IF(AND($G83&lt;Hta_12,$G83&gt;=Hba_12,Input!AF$32&lt;&gt;""),Input!$B$32&amp;";",""),IF(AND($G83&lt;Hta_13,$G83&gt;=Hba_13,Input!AF$33&lt;&gt;""),Input!$B$33&amp;";",""),IF(AND($G83&lt;Hta_14,$G83&gt;=Hba_14,Input!AF$34&lt;&gt;""),Input!$B$34&amp;";",""),IF(AND($G83&lt;Hta_15,$G83&gt;=Hba_15,Input!AF$35&lt;&gt;""),Input!$B$35&amp;";",""),IF(AND($G83&lt;Hta_16,$G83&gt;=Hba_16,Input!AF$36&lt;&gt;""),Input!$B$36&amp;";",""),IF(AND($G83&lt;Hta_17,$G83&gt;=Hba_17,Input!AF$37&lt;&gt;""),Input!$B$37&amp;";",""),IF(AND($G83&lt;Hta_18,$G83&gt;=Hba_18,Input!AF$38&lt;&gt;""),Input!$B$38&amp;";",""),IF(AND($G83&lt;Hta_19,$G83&gt;=Hba_19,Input!AF$39&lt;&gt;""),Input!$B$39&amp;";",""),IF(AND($G83&lt;Hta_20,$G83&gt;=Hba_20,Input!AF$40&lt;&gt;""),Input!$B$40&amp;";",""),IF(AND($G83&lt;Hta_21,$G83&gt;=Hba_21,Input!AF$41&lt;&gt;""),Input!$B$41&amp;";",""),IF(AND($G83&lt;Hta_22,$G83&gt;=Hba_22,Input!AF$42&lt;&gt;""),Input!$B$42&amp;";",""),IF(AND($G83&lt;Hta_23,$G83&gt;=Hba_23,Input!AF$43&lt;&gt;""),Input!$B$43&amp;";",""),IF(AND($G83&lt;Hta_24,$G83&gt;=Hba_24,Input!AF$44&lt;&gt;""),Input!$B$44&amp;";",""),IF(AND($G83&lt;Hta_25,$G83&gt;=Hba_25,Input!AF$45&lt;&gt;""),Input!$B$45&amp;";",""),IF(AND($G83&lt;Hta_26,$G83&gt;=Hba_26,Input!AF$46&lt;&gt;""),Input!$B$46&amp;";",""),IF(AND($G83&lt;Hta_27,$G83&gt;=Hba_27,Input!AF$47&lt;&gt;""),Input!$B$47&amp;";",""),IF(AND($G83&lt;Hta_28,$G83&gt;=Hba_28,Input!AF$48&lt;&gt;""),Input!$B$48&amp;";",""),IF(AND($G83&lt;Hta_29,$G83&gt;=Hba_29,Input!AF$49&lt;&gt;""),Input!$B$49&amp;";",""),IF(AND($G83&lt;Hta_30,$G83&gt;=Hba_30,Input!AF$50&lt;&gt;""),Input!$B$50&amp;";","")),"")</f>
        <v/>
      </c>
      <c r="CH83" s="25" t="str">
        <f>IFERROR(CONCATENATE(IF(AND($G83&lt;Hta_1,$G83&gt;=Hba_1,Input!AG$21&lt;&gt;""),Input!$B$21&amp;";",""),IF(AND($G83&lt;Hta_2,$G83&gt;=Hba_2,Input!AG$22&lt;&gt;""),Input!$B$22&amp;";",""),IF(AND($G83&lt;Hta_3,$G83&gt;=Hba_3,Input!AG$23&lt;&gt;""),Input!$B$23&amp;";",""),IF(AND($G83&lt;Hta_4,$G83&gt;=Hba_4,Input!AG$24&lt;&gt;""),Input!$B$24&amp;";",""),IF(AND($G83&lt;Hta_5,$G83&gt;=Hba_5,Input!AG$25&lt;&gt;""),Input!$B$25&amp;";",""),IF(AND($G83&lt;Hta_6,$G83&gt;=Hba_6,Input!AG$26&lt;&gt;""),Input!$B$26&amp;";",""),IF(AND($G83&lt;Hta_7,$G83&gt;=Hba_7,Input!AG$27&lt;&gt;""),Input!$B$27&amp;";",""),IF(AND($G83&lt;Hta_8,$G83&gt;=Hba_8,Input!AG$28&lt;&gt;""),Input!$B$28&amp;";",""),IF(AND($G83&lt;Hta_9,$G83&gt;=Hba_9,Input!AG$29&lt;&gt;""),Input!$B$29&amp;";",""),IF(AND($G83&lt;Hta_10,$G83&gt;=Hba_10,Input!AG$30&lt;&gt;""),Input!$B$30&amp;";",""),IF(AND($G83&lt;Hta_11,$G83&gt;=Hba_11,Input!AG$31&lt;&gt;""),Input!$B$31&amp;";",""),IF(AND($G83&lt;Hta_12,$G83&gt;=Hba_12,Input!AG$32&lt;&gt;""),Input!$B$32&amp;";",""),IF(AND($G83&lt;Hta_13,$G83&gt;=Hba_13,Input!AG$33&lt;&gt;""),Input!$B$33&amp;";",""),IF(AND($G83&lt;Hta_14,$G83&gt;=Hba_14,Input!AG$34&lt;&gt;""),Input!$B$34&amp;";",""),IF(AND($G83&lt;Hta_15,$G83&gt;=Hba_15,Input!AG$35&lt;&gt;""),Input!$B$35&amp;";",""),IF(AND($G83&lt;Hta_16,$G83&gt;=Hba_16,Input!AG$36&lt;&gt;""),Input!$B$36&amp;";",""),IF(AND($G83&lt;Hta_17,$G83&gt;=Hba_17,Input!AG$37&lt;&gt;""),Input!$B$37&amp;";",""),IF(AND($G83&lt;Hta_18,$G83&gt;=Hba_18,Input!AG$38&lt;&gt;""),Input!$B$38&amp;";",""),IF(AND($G83&lt;Hta_19,$G83&gt;=Hba_19,Input!AG$39&lt;&gt;""),Input!$B$39&amp;";",""),IF(AND($G83&lt;Hta_20,$G83&gt;=Hba_20,Input!AG$40&lt;&gt;""),Input!$B$40&amp;";",""),IF(AND($G83&lt;Hta_21,$G83&gt;=Hba_21,Input!AG$41&lt;&gt;""),Input!$B$41&amp;";",""),IF(AND($G83&lt;Hta_22,$G83&gt;=Hba_22,Input!AG$42&lt;&gt;""),Input!$B$42&amp;";",""),IF(AND($G83&lt;Hta_23,$G83&gt;=Hba_23,Input!AG$43&lt;&gt;""),Input!$B$43&amp;";",""),IF(AND($G83&lt;Hta_24,$G83&gt;=Hba_24,Input!AG$44&lt;&gt;""),Input!$B$44&amp;";",""),IF(AND($G83&lt;Hta_25,$G83&gt;=Hba_25,Input!AG$45&lt;&gt;""),Input!$B$45&amp;";",""),IF(AND($G83&lt;Hta_26,$G83&gt;=Hba_26,Input!AG$46&lt;&gt;""),Input!$B$46&amp;";",""),IF(AND($G83&lt;Hta_27,$G83&gt;=Hba_27,Input!AG$47&lt;&gt;""),Input!$B$47&amp;";",""),IF(AND($G83&lt;Hta_28,$G83&gt;=Hba_28,Input!AG$48&lt;&gt;""),Input!$B$48&amp;";",""),IF(AND($G83&lt;Hta_29,$G83&gt;=Hba_29,Input!AG$49&lt;&gt;""),Input!$B$49&amp;";",""),IF(AND($G83&lt;Hta_30,$G83&gt;=Hba_30,Input!AG$50&lt;&gt;""),Input!$B$50&amp;";","")),"")</f>
        <v/>
      </c>
      <c r="CI83" s="25" t="str">
        <f>IFERROR(CONCATENATE(IF(AND($G83&lt;Hta_1,$G83&gt;=Hba_1,Input!AH$21&lt;&gt;""),Input!$B$21&amp;";",""),IF(AND($G83&lt;Hta_2,$G83&gt;=Hba_2,Input!AH$22&lt;&gt;""),Input!$B$22&amp;";",""),IF(AND($G83&lt;Hta_3,$G83&gt;=Hba_3,Input!AH$23&lt;&gt;""),Input!$B$23&amp;";",""),IF(AND($G83&lt;Hta_4,$G83&gt;=Hba_4,Input!AH$24&lt;&gt;""),Input!$B$24&amp;";",""),IF(AND($G83&lt;Hta_5,$G83&gt;=Hba_5,Input!AH$25&lt;&gt;""),Input!$B$25&amp;";",""),IF(AND($G83&lt;Hta_6,$G83&gt;=Hba_6,Input!AH$26&lt;&gt;""),Input!$B$26&amp;";",""),IF(AND($G83&lt;Hta_7,$G83&gt;=Hba_7,Input!AH$27&lt;&gt;""),Input!$B$27&amp;";",""),IF(AND($G83&lt;Hta_8,$G83&gt;=Hba_8,Input!AH$28&lt;&gt;""),Input!$B$28&amp;";",""),IF(AND($G83&lt;Hta_9,$G83&gt;=Hba_9,Input!AH$29&lt;&gt;""),Input!$B$29&amp;";",""),IF(AND($G83&lt;Hta_10,$G83&gt;=Hba_10,Input!AH$30&lt;&gt;""),Input!$B$30&amp;";",""),IF(AND($G83&lt;Hta_11,$G83&gt;=Hba_11,Input!AH$31&lt;&gt;""),Input!$B$31&amp;";",""),IF(AND($G83&lt;Hta_12,$G83&gt;=Hba_12,Input!AH$32&lt;&gt;""),Input!$B$32&amp;";",""),IF(AND($G83&lt;Hta_13,$G83&gt;=Hba_13,Input!AH$33&lt;&gt;""),Input!$B$33&amp;";",""),IF(AND($G83&lt;Hta_14,$G83&gt;=Hba_14,Input!AH$34&lt;&gt;""),Input!$B$34&amp;";",""),IF(AND($G83&lt;Hta_15,$G83&gt;=Hba_15,Input!AH$35&lt;&gt;""),Input!$B$35&amp;";",""),IF(AND($G83&lt;Hta_16,$G83&gt;=Hba_16,Input!AH$36&lt;&gt;""),Input!$B$36&amp;";",""),IF(AND($G83&lt;Hta_17,$G83&gt;=Hba_17,Input!AH$37&lt;&gt;""),Input!$B$37&amp;";",""),IF(AND($G83&lt;Hta_18,$G83&gt;=Hba_18,Input!AH$38&lt;&gt;""),Input!$B$38&amp;";",""),IF(AND($G83&lt;Hta_19,$G83&gt;=Hba_19,Input!AH$39&lt;&gt;""),Input!$B$39&amp;";",""),IF(AND($G83&lt;Hta_20,$G83&gt;=Hba_20,Input!AH$40&lt;&gt;""),Input!$B$40&amp;";",""),IF(AND($G83&lt;Hta_21,$G83&gt;=Hba_21,Input!AH$41&lt;&gt;""),Input!$B$41&amp;";",""),IF(AND($G83&lt;Hta_22,$G83&gt;=Hba_22,Input!AH$42&lt;&gt;""),Input!$B$42&amp;";",""),IF(AND($G83&lt;Hta_23,$G83&gt;=Hba_23,Input!AH$43&lt;&gt;""),Input!$B$43&amp;";",""),IF(AND($G83&lt;Hta_24,$G83&gt;=Hba_24,Input!AH$44&lt;&gt;""),Input!$B$44&amp;";",""),IF(AND($G83&lt;Hta_25,$G83&gt;=Hba_25,Input!AH$45&lt;&gt;""),Input!$B$45&amp;";",""),IF(AND($G83&lt;Hta_26,$G83&gt;=Hba_26,Input!AH$46&lt;&gt;""),Input!$B$46&amp;";",""),IF(AND($G83&lt;Hta_27,$G83&gt;=Hba_27,Input!AH$47&lt;&gt;""),Input!$B$47&amp;";",""),IF(AND($G83&lt;Hta_28,$G83&gt;=Hba_28,Input!AH$48&lt;&gt;""),Input!$B$48&amp;";",""),IF(AND($G83&lt;Hta_29,$G83&gt;=Hba_29,Input!AH$49&lt;&gt;""),Input!$B$49&amp;";",""),IF(AND($G83&lt;Hta_30,$G83&gt;=Hba_30,Input!AH$50&lt;&gt;""),Input!$B$50&amp;";","")),"")</f>
        <v/>
      </c>
      <c r="CJ83" s="25" t="str">
        <f>IFERROR(CONCATENATE(IF(AND($G83&lt;Hta_1,$G83&gt;=Hba_1,Input!AI$21&lt;&gt;""),Input!$B$21&amp;";",""),IF(AND($G83&lt;Hta_2,$G83&gt;=Hba_2,Input!AI$22&lt;&gt;""),Input!$B$22&amp;";",""),IF(AND($G83&lt;Hta_3,$G83&gt;=Hba_3,Input!AI$23&lt;&gt;""),Input!$B$23&amp;";",""),IF(AND($G83&lt;Hta_4,$G83&gt;=Hba_4,Input!AI$24&lt;&gt;""),Input!$B$24&amp;";",""),IF(AND($G83&lt;Hta_5,$G83&gt;=Hba_5,Input!AI$25&lt;&gt;""),Input!$B$25&amp;";",""),IF(AND($G83&lt;Hta_6,$G83&gt;=Hba_6,Input!AI$26&lt;&gt;""),Input!$B$26&amp;";",""),IF(AND($G83&lt;Hta_7,$G83&gt;=Hba_7,Input!AI$27&lt;&gt;""),Input!$B$27&amp;";",""),IF(AND($G83&lt;Hta_8,$G83&gt;=Hba_8,Input!AI$28&lt;&gt;""),Input!$B$28&amp;";",""),IF(AND($G83&lt;Hta_9,$G83&gt;=Hba_9,Input!AI$29&lt;&gt;""),Input!$B$29&amp;";",""),IF(AND($G83&lt;Hta_10,$G83&gt;=Hba_10,Input!AI$30&lt;&gt;""),Input!$B$30&amp;";",""),IF(AND($G83&lt;Hta_11,$G83&gt;=Hba_11,Input!AI$31&lt;&gt;""),Input!$B$31&amp;";",""),IF(AND($G83&lt;Hta_12,$G83&gt;=Hba_12,Input!AI$32&lt;&gt;""),Input!$B$32&amp;";",""),IF(AND($G83&lt;Hta_13,$G83&gt;=Hba_13,Input!AI$33&lt;&gt;""),Input!$B$33&amp;";",""),IF(AND($G83&lt;Hta_14,$G83&gt;=Hba_14,Input!AI$34&lt;&gt;""),Input!$B$34&amp;";",""),IF(AND($G83&lt;Hta_15,$G83&gt;=Hba_15,Input!AI$35&lt;&gt;""),Input!$B$35&amp;";",""),IF(AND($G83&lt;Hta_16,$G83&gt;=Hba_16,Input!AI$36&lt;&gt;""),Input!$B$36&amp;";",""),IF(AND($G83&lt;Hta_17,$G83&gt;=Hba_17,Input!AI$37&lt;&gt;""),Input!$B$37&amp;";",""),IF(AND($G83&lt;Hta_18,$G83&gt;=Hba_18,Input!AI$38&lt;&gt;""),Input!$B$38&amp;";",""),IF(AND($G83&lt;Hta_19,$G83&gt;=Hba_19,Input!AI$39&lt;&gt;""),Input!$B$39&amp;";",""),IF(AND($G83&lt;Hta_20,$G83&gt;=Hba_20,Input!AI$40&lt;&gt;""),Input!$B$40&amp;";",""),IF(AND($G83&lt;Hta_21,$G83&gt;=Hba_21,Input!AI$41&lt;&gt;""),Input!$B$41&amp;";",""),IF(AND($G83&lt;Hta_22,$G83&gt;=Hba_22,Input!AI$42&lt;&gt;""),Input!$B$42&amp;";",""),IF(AND($G83&lt;Hta_23,$G83&gt;=Hba_23,Input!AI$43&lt;&gt;""),Input!$B$43&amp;";",""),IF(AND($G83&lt;Hta_24,$G83&gt;=Hba_24,Input!AI$44&lt;&gt;""),Input!$B$44&amp;";",""),IF(AND($G83&lt;Hta_25,$G83&gt;=Hba_25,Input!AI$45&lt;&gt;""),Input!$B$45&amp;";",""),IF(AND($G83&lt;Hta_26,$G83&gt;=Hba_26,Input!AI$46&lt;&gt;""),Input!$B$46&amp;";",""),IF(AND($G83&lt;Hta_27,$G83&gt;=Hba_27,Input!AI$47&lt;&gt;""),Input!$B$47&amp;";",""),IF(AND($G83&lt;Hta_28,$G83&gt;=Hba_28,Input!AI$48&lt;&gt;""),Input!$B$48&amp;";",""),IF(AND($G83&lt;Hta_29,$G83&gt;=Hba_29,Input!AI$49&lt;&gt;""),Input!$B$49&amp;";",""),IF(AND($G83&lt;Hta_30,$G83&gt;=Hba_30,Input!AI$50&lt;&gt;""),Input!$B$50&amp;";","")),"")</f>
        <v/>
      </c>
      <c r="CK83" s="25" t="str">
        <f>IFERROR(CONCATENATE(IF(AND($G83&lt;Hta_1,$G83&gt;=Hba_1,Input!AJ$21&lt;&gt;""),Input!$B$21&amp;";",""),IF(AND($G83&lt;Hta_2,$G83&gt;=Hba_2,Input!AJ$22&lt;&gt;""),Input!$B$22&amp;";",""),IF(AND($G83&lt;Hta_3,$G83&gt;=Hba_3,Input!AJ$23&lt;&gt;""),Input!$B$23&amp;";",""),IF(AND($G83&lt;Hta_4,$G83&gt;=Hba_4,Input!AJ$24&lt;&gt;""),Input!$B$24&amp;";",""),IF(AND($G83&lt;Hta_5,$G83&gt;=Hba_5,Input!AJ$25&lt;&gt;""),Input!$B$25&amp;";",""),IF(AND($G83&lt;Hta_6,$G83&gt;=Hba_6,Input!AJ$26&lt;&gt;""),Input!$B$26&amp;";",""),IF(AND($G83&lt;Hta_7,$G83&gt;=Hba_7,Input!AJ$27&lt;&gt;""),Input!$B$27&amp;";",""),IF(AND($G83&lt;Hta_8,$G83&gt;=Hba_8,Input!AJ$28&lt;&gt;""),Input!$B$28&amp;";",""),IF(AND($G83&lt;Hta_9,$G83&gt;=Hba_9,Input!AJ$29&lt;&gt;""),Input!$B$29&amp;";",""),IF(AND($G83&lt;Hta_10,$G83&gt;=Hba_10,Input!AJ$30&lt;&gt;""),Input!$B$30&amp;";",""),IF(AND($G83&lt;Hta_11,$G83&gt;=Hba_11,Input!AJ$31&lt;&gt;""),Input!$B$31&amp;";",""),IF(AND($G83&lt;Hta_12,$G83&gt;=Hba_12,Input!AJ$32&lt;&gt;""),Input!$B$32&amp;";",""),IF(AND($G83&lt;Hta_13,$G83&gt;=Hba_13,Input!AJ$33&lt;&gt;""),Input!$B$33&amp;";",""),IF(AND($G83&lt;Hta_14,$G83&gt;=Hba_14,Input!AJ$34&lt;&gt;""),Input!$B$34&amp;";",""),IF(AND($G83&lt;Hta_15,$G83&gt;=Hba_15,Input!AJ$35&lt;&gt;""),Input!$B$35&amp;";",""),IF(AND($G83&lt;Hta_16,$G83&gt;=Hba_16,Input!AJ$36&lt;&gt;""),Input!$B$36&amp;";",""),IF(AND($G83&lt;Hta_17,$G83&gt;=Hba_17,Input!AJ$37&lt;&gt;""),Input!$B$37&amp;";",""),IF(AND($G83&lt;Hta_18,$G83&gt;=Hba_18,Input!AJ$38&lt;&gt;""),Input!$B$38&amp;";",""),IF(AND($G83&lt;Hta_19,$G83&gt;=Hba_19,Input!AJ$39&lt;&gt;""),Input!$B$39&amp;";",""),IF(AND($G83&lt;Hta_20,$G83&gt;=Hba_20,Input!AJ$40&lt;&gt;""),Input!$B$40&amp;";",""),IF(AND($G83&lt;Hta_21,$G83&gt;=Hba_21,Input!AJ$41&lt;&gt;""),Input!$B$41&amp;";",""),IF(AND($G83&lt;Hta_22,$G83&gt;=Hba_22,Input!AJ$42&lt;&gt;""),Input!$B$42&amp;";",""),IF(AND($G83&lt;Hta_23,$G83&gt;=Hba_23,Input!AJ$43&lt;&gt;""),Input!$B$43&amp;";",""),IF(AND($G83&lt;Hta_24,$G83&gt;=Hba_24,Input!AJ$44&lt;&gt;""),Input!$B$44&amp;";",""),IF(AND($G83&lt;Hta_25,$G83&gt;=Hba_25,Input!AJ$45&lt;&gt;""),Input!$B$45&amp;";",""),IF(AND($G83&lt;Hta_26,$G83&gt;=Hba_26,Input!AJ$46&lt;&gt;""),Input!$B$46&amp;";",""),IF(AND($G83&lt;Hta_27,$G83&gt;=Hba_27,Input!AJ$47&lt;&gt;""),Input!$B$47&amp;";",""),IF(AND($G83&lt;Hta_28,$G83&gt;=Hba_28,Input!AJ$48&lt;&gt;""),Input!$B$48&amp;";",""),IF(AND($G83&lt;Hta_29,$G83&gt;=Hba_29,Input!AJ$49&lt;&gt;""),Input!$B$49&amp;";",""),IF(AND($G83&lt;Hta_30,$G83&gt;=Hba_30,Input!AJ$50&lt;&gt;""),Input!$B$50&amp;";","")),"")</f>
        <v/>
      </c>
      <c r="CL83" s="25" t="str">
        <f>IFERROR(CONCATENATE(IF(AND($G83&lt;Hta_1,$G83&gt;=Hba_1,Input!AK$21&lt;&gt;""),Input!$B$21&amp;";",""),IF(AND($G83&lt;Hta_2,$G83&gt;=Hba_2,Input!AK$22&lt;&gt;""),Input!$B$22&amp;";",""),IF(AND($G83&lt;Hta_3,$G83&gt;=Hba_3,Input!AK$23&lt;&gt;""),Input!$B$23&amp;";",""),IF(AND($G83&lt;Hta_4,$G83&gt;=Hba_4,Input!AK$24&lt;&gt;""),Input!$B$24&amp;";",""),IF(AND($G83&lt;Hta_5,$G83&gt;=Hba_5,Input!AK$25&lt;&gt;""),Input!$B$25&amp;";",""),IF(AND($G83&lt;Hta_6,$G83&gt;=Hba_6,Input!AK$26&lt;&gt;""),Input!$B$26&amp;";",""),IF(AND($G83&lt;Hta_7,$G83&gt;=Hba_7,Input!AK$27&lt;&gt;""),Input!$B$27&amp;";",""),IF(AND($G83&lt;Hta_8,$G83&gt;=Hba_8,Input!AK$28&lt;&gt;""),Input!$B$28&amp;";",""),IF(AND($G83&lt;Hta_9,$G83&gt;=Hba_9,Input!AK$29&lt;&gt;""),Input!$B$29&amp;";",""),IF(AND($G83&lt;Hta_10,$G83&gt;=Hba_10,Input!AK$30&lt;&gt;""),Input!$B$30&amp;";",""),IF(AND($G83&lt;Hta_11,$G83&gt;=Hba_11,Input!AK$31&lt;&gt;""),Input!$B$31&amp;";",""),IF(AND($G83&lt;Hta_12,$G83&gt;=Hba_12,Input!AK$32&lt;&gt;""),Input!$B$32&amp;";",""),IF(AND($G83&lt;Hta_13,$G83&gt;=Hba_13,Input!AK$33&lt;&gt;""),Input!$B$33&amp;";",""),IF(AND($G83&lt;Hta_14,$G83&gt;=Hba_14,Input!AK$34&lt;&gt;""),Input!$B$34&amp;";",""),IF(AND($G83&lt;Hta_15,$G83&gt;=Hba_15,Input!AK$35&lt;&gt;""),Input!$B$35&amp;";",""),IF(AND($G83&lt;Hta_16,$G83&gt;=Hba_16,Input!AK$36&lt;&gt;""),Input!$B$36&amp;";",""),IF(AND($G83&lt;Hta_17,$G83&gt;=Hba_17,Input!AK$37&lt;&gt;""),Input!$B$37&amp;";",""),IF(AND($G83&lt;Hta_18,$G83&gt;=Hba_18,Input!AK$38&lt;&gt;""),Input!$B$38&amp;";",""),IF(AND($G83&lt;Hta_19,$G83&gt;=Hba_19,Input!AK$39&lt;&gt;""),Input!$B$39&amp;";",""),IF(AND($G83&lt;Hta_20,$G83&gt;=Hba_20,Input!AK$40&lt;&gt;""),Input!$B$40&amp;";",""),IF(AND($G83&lt;Hta_21,$G83&gt;=Hba_21,Input!AK$41&lt;&gt;""),Input!$B$41&amp;";",""),IF(AND($G83&lt;Hta_22,$G83&gt;=Hba_22,Input!AK$42&lt;&gt;""),Input!$B$42&amp;";",""),IF(AND($G83&lt;Hta_23,$G83&gt;=Hba_23,Input!AK$43&lt;&gt;""),Input!$B$43&amp;";",""),IF(AND($G83&lt;Hta_24,$G83&gt;=Hba_24,Input!AK$44&lt;&gt;""),Input!$B$44&amp;";",""),IF(AND($G83&lt;Hta_25,$G83&gt;=Hba_25,Input!AK$45&lt;&gt;""),Input!$B$45&amp;";",""),IF(AND($G83&lt;Hta_26,$G83&gt;=Hba_26,Input!AK$46&lt;&gt;""),Input!$B$46&amp;";",""),IF(AND($G83&lt;Hta_27,$G83&gt;=Hba_27,Input!AK$47&lt;&gt;""),Input!$B$47&amp;";",""),IF(AND($G83&lt;Hta_28,$G83&gt;=Hba_28,Input!AK$48&lt;&gt;""),Input!$B$48&amp;";",""),IF(AND($G83&lt;Hta_29,$G83&gt;=Hba_29,Input!AK$49&lt;&gt;""),Input!$B$49&amp;";",""),IF(AND($G83&lt;Hta_30,$G83&gt;=Hba_30,Input!AK$50&lt;&gt;""),Input!$B$50&amp;";","")),"")</f>
        <v/>
      </c>
      <c r="CM83" s="25" t="str">
        <f>IFERROR(CONCATENATE(IF(AND($G83&lt;Hta_1,$G83&gt;=Hba_1,Input!AL$21&lt;&gt;""),Input!$B$21&amp;";",""),IF(AND($G83&lt;Hta_2,$G83&gt;=Hba_2,Input!AL$22&lt;&gt;""),Input!$B$22&amp;";",""),IF(AND($G83&lt;Hta_3,$G83&gt;=Hba_3,Input!AL$23&lt;&gt;""),Input!$B$23&amp;";",""),IF(AND($G83&lt;Hta_4,$G83&gt;=Hba_4,Input!AL$24&lt;&gt;""),Input!$B$24&amp;";",""),IF(AND($G83&lt;Hta_5,$G83&gt;=Hba_5,Input!AL$25&lt;&gt;""),Input!$B$25&amp;";",""),IF(AND($G83&lt;Hta_6,$G83&gt;=Hba_6,Input!AL$26&lt;&gt;""),Input!$B$26&amp;";",""),IF(AND($G83&lt;Hta_7,$G83&gt;=Hba_7,Input!AL$27&lt;&gt;""),Input!$B$27&amp;";",""),IF(AND($G83&lt;Hta_8,$G83&gt;=Hba_8,Input!AL$28&lt;&gt;""),Input!$B$28&amp;";",""),IF(AND($G83&lt;Hta_9,$G83&gt;=Hba_9,Input!AL$29&lt;&gt;""),Input!$B$29&amp;";",""),IF(AND($G83&lt;Hta_10,$G83&gt;=Hba_10,Input!AL$30&lt;&gt;""),Input!$B$30&amp;";",""),IF(AND($G83&lt;Hta_11,$G83&gt;=Hba_11,Input!AL$31&lt;&gt;""),Input!$B$31&amp;";",""),IF(AND($G83&lt;Hta_12,$G83&gt;=Hba_12,Input!AL$32&lt;&gt;""),Input!$B$32&amp;";",""),IF(AND($G83&lt;Hta_13,$G83&gt;=Hba_13,Input!AL$33&lt;&gt;""),Input!$B$33&amp;";",""),IF(AND($G83&lt;Hta_14,$G83&gt;=Hba_14,Input!AL$34&lt;&gt;""),Input!$B$34&amp;";",""),IF(AND($G83&lt;Hta_15,$G83&gt;=Hba_15,Input!AL$35&lt;&gt;""),Input!$B$35&amp;";",""),IF(AND($G83&lt;Hta_16,$G83&gt;=Hba_16,Input!AL$36&lt;&gt;""),Input!$B$36&amp;";",""),IF(AND($G83&lt;Hta_17,$G83&gt;=Hba_17,Input!AL$37&lt;&gt;""),Input!$B$37&amp;";",""),IF(AND($G83&lt;Hta_18,$G83&gt;=Hba_18,Input!AL$38&lt;&gt;""),Input!$B$38&amp;";",""),IF(AND($G83&lt;Hta_19,$G83&gt;=Hba_19,Input!AL$39&lt;&gt;""),Input!$B$39&amp;";",""),IF(AND($G83&lt;Hta_20,$G83&gt;=Hba_20,Input!AL$40&lt;&gt;""),Input!$B$40&amp;";",""),IF(AND($G83&lt;Hta_21,$G83&gt;=Hba_21,Input!AL$41&lt;&gt;""),Input!$B$41&amp;";",""),IF(AND($G83&lt;Hta_22,$G83&gt;=Hba_22,Input!AL$42&lt;&gt;""),Input!$B$42&amp;";",""),IF(AND($G83&lt;Hta_23,$G83&gt;=Hba_23,Input!AL$43&lt;&gt;""),Input!$B$43&amp;";",""),IF(AND($G83&lt;Hta_24,$G83&gt;=Hba_24,Input!AL$44&lt;&gt;""),Input!$B$44&amp;";",""),IF(AND($G83&lt;Hta_25,$G83&gt;=Hba_25,Input!AL$45&lt;&gt;""),Input!$B$45&amp;";",""),IF(AND($G83&lt;Hta_26,$G83&gt;=Hba_26,Input!AL$46&lt;&gt;""),Input!$B$46&amp;";",""),IF(AND($G83&lt;Hta_27,$G83&gt;=Hba_27,Input!AL$47&lt;&gt;""),Input!$B$47&amp;";",""),IF(AND($G83&lt;Hta_28,$G83&gt;=Hba_28,Input!AL$48&lt;&gt;""),Input!$B$48&amp;";",""),IF(AND($G83&lt;Hta_29,$G83&gt;=Hba_29,Input!AL$49&lt;&gt;""),Input!$B$49&amp;";",""),IF(AND($G83&lt;Hta_30,$G83&gt;=Hba_30,Input!AL$50&lt;&gt;""),Input!$B$50&amp;";","")),"")</f>
        <v/>
      </c>
      <c r="CN83" s="60" t="str">
        <f t="shared" si="16"/>
        <v/>
      </c>
      <c r="CO83" s="798"/>
      <c r="CP83" s="799"/>
      <c r="CQ83" s="800"/>
      <c r="CR83" s="798"/>
      <c r="CS83" s="799"/>
      <c r="CT83" s="800"/>
      <c r="CU83" s="798" t="str">
        <f t="shared" si="17"/>
        <v/>
      </c>
      <c r="CV83" s="799"/>
      <c r="CW83" s="806"/>
      <c r="CX83" s="726"/>
      <c r="CY83" s="727"/>
      <c r="CZ83" s="732"/>
      <c r="DA83" s="726"/>
      <c r="DB83" s="727"/>
      <c r="DC83" s="732"/>
      <c r="DD83" s="726" t="str">
        <f t="shared" si="18"/>
        <v/>
      </c>
      <c r="DE83" s="727"/>
      <c r="DF83" s="728"/>
      <c r="DG83" s="53"/>
      <c r="DH83" s="54"/>
      <c r="DI83" s="54"/>
      <c r="DJ83" s="54"/>
      <c r="DK83" s="54"/>
      <c r="DL83" s="54"/>
      <c r="DM83" s="54"/>
      <c r="DN83" s="54"/>
      <c r="DO83" s="54"/>
      <c r="DP83" s="54"/>
      <c r="DQ83" s="57"/>
      <c r="DR83" s="57"/>
      <c r="DS83" s="57"/>
      <c r="DT83" s="57"/>
      <c r="DU83" s="57"/>
      <c r="DV83" s="57"/>
      <c r="DW83" s="57"/>
      <c r="DX83" s="57"/>
      <c r="DY83" s="57"/>
      <c r="DZ83" s="57"/>
      <c r="EA83" s="57"/>
      <c r="EB83" s="57"/>
      <c r="EC83" s="57"/>
      <c r="ED83" s="57"/>
      <c r="EE83" s="57"/>
      <c r="EF83" s="57"/>
      <c r="EG83" s="57"/>
      <c r="EH83" s="57"/>
      <c r="EI83" s="57"/>
      <c r="EJ83" s="57"/>
      <c r="EK83" s="57"/>
      <c r="EL83" s="133"/>
      <c r="EM83" s="133"/>
      <c r="EN83" s="133"/>
      <c r="EO83" s="133"/>
      <c r="EP83" s="133"/>
      <c r="EQ83" s="133"/>
      <c r="ER83" s="133"/>
      <c r="ES83" s="133"/>
      <c r="ET83" s="133"/>
      <c r="EU83" s="133"/>
      <c r="EV83" s="133"/>
      <c r="EW83" s="133"/>
      <c r="EX83" s="133"/>
      <c r="EY83" s="133"/>
      <c r="EZ83" s="133"/>
      <c r="FA83" s="133"/>
      <c r="FB83" s="133"/>
      <c r="FC83" s="133"/>
      <c r="FD83" s="133"/>
      <c r="FE83" s="133"/>
      <c r="FF83" s="133"/>
      <c r="FG83" s="133"/>
      <c r="FH83" s="133"/>
      <c r="FI83" s="133"/>
      <c r="FJ83" s="133"/>
      <c r="FK83" s="133"/>
      <c r="FL83" s="133"/>
      <c r="FM83" s="133"/>
      <c r="FN83" s="133"/>
      <c r="FO83" s="133"/>
      <c r="FQ83" s="125"/>
      <c r="FR83" s="123"/>
      <c r="FS83" s="121"/>
      <c r="FT83" s="119"/>
    </row>
    <row r="84" spans="2:176" ht="15.75" hidden="1" thickBot="1" x14ac:dyDescent="0.3">
      <c r="B84" s="62" t="b">
        <f>IF(OR(AND(G84&gt;='Geometry 2'!$AK$5,G84&lt;'Geometry 2'!$AL$5),AND(G84&gt;='Geometry 2'!$AK$6,G84&lt;'Geometry 2'!$AL$6),AND(G84&gt;='Geometry 2'!$AK$7,G84&lt;'Geometry 2'!$AL$7),AND(G84&gt;='Geometry 2'!$AK$8,G84&lt;'Geometry 2'!$AL$8),AND(G84&gt;='Geometry 2'!$AK$9,G84&lt;'Geometry 2'!$AL$9),AND(G84&gt;='Geometry 2'!$AK$10,G84&lt;'Geometry 2'!$AL$10),AND(G84&gt;='Geometry 2'!$AK$11,G84&lt;'Geometry 2'!$AL$11),AND(G84&gt;='Geometry 2'!$AK$12,G84&lt;'Geometry 2'!$AL$12),AND(G84&gt;='Geometry 2'!$AK$13,G84&lt;'Geometry 2'!$AL$13),AND(G84&gt;='Geometry 2'!$AK$14,G84&lt;'Geometry 2'!$AL$14)),TRUE,FALSE)</f>
        <v>0</v>
      </c>
      <c r="C84" s="4" t="str">
        <f t="shared" si="13"/>
        <v/>
      </c>
      <c r="D84" s="766" t="str">
        <f t="shared" si="14"/>
        <v/>
      </c>
      <c r="E84" s="767"/>
      <c r="F84" s="17" t="str">
        <f t="shared" si="12"/>
        <v/>
      </c>
      <c r="G84" s="768" t="str">
        <f>IF(D84="","",MAX(0,G83-IF(inc="n/a",999,inc),MAX(IF(G83&lt;=Hta_1,0,Hta_1),IF(G83&lt;=Hta_2,0,Hta_2),IF(G83&lt;=Hta_3,0,Hta_3),IF(G83&lt;=Hta_4,0,Hta_4),IF(G83&lt;=Hta_5,0,Hta_5),IF(G83&lt;=Hta_6,0,Hta_6),IF(G83&lt;=Hta_7,0,Hta_7),IF(G83&lt;=Hta_8,0,Hta_8),IF(G83&lt;=Hta_9,0,Hta_9),IF(G83&lt;=Hta_10,0,Hta_10),IF(G83&lt;=Hta_11,0,Hta_11),IF(G83&lt;=Hta_12,0,Hta_12),IF(G83&lt;=Hta_13,0,Hta_13),IF(G83&lt;=Hta_14,0,Hta_14),IF(G83&lt;=Hta_15,0,Hta_15),IF(G83&lt;=Hta_16,0,Hta_16),IF(G83&lt;=Hta_17,0,Hta_17),IF(G83&lt;=Hta_18,0,Hta_18),IF(G83&lt;=Hta_19,0,Hta_19),IF(G83&lt;=Hta_20,0,Hta_20),IF(G83&lt;=Hta_21,0,Hta_21),IF(G83&lt;=Hta_22,0,Hta_22),IF(G83&lt;=Hta_23,0,Hta_23),IF(G83&lt;=Hta_24,0,Hta_24),IF(G83&lt;=Hta_25,0,Hta_25),IF(G83&lt;=Hta_26,0,Hta_26),IF(G83&lt;=Hta_27,0,Hta_27),IF(G83&lt;=Hta_28,0,Hta_28),IF(G83&lt;=Hta_29,0,Hta_29),IF(G83&lt;=Hta_30,0,Hta_30)),MAX(IF(G83&lt;=Hta_1-0.25,0,Hta_1-0.25),IF(G83&lt;=Hta_2-0.25,0,Hta_2-0.25),IF(G83&lt;=Hta_3-0.25,0,Hta_3-0.25),IF(G83&lt;=Hta_4-0.25,0,Hta_4-0.25),IF(G83&lt;=Hta_5-0.25,0,Hta_5-0.25),IF(G83&lt;=Hta_6-0.25,0,Hta_6-0.25),IF(G83&lt;=Hta_7-0.25,0,Hta_7-0.25),IF(G83&lt;=Hta_8-0.25,0,Hta_8-0.25),IF(G83&lt;=Hta_9-0.25,0,Hta_9-0.25),IF(G83&lt;=Hta_10-0.25,0,Hta_10-0.25),IF(G83&lt;=Hta_11-0.25,0,Hta_11-0.25),IF(G83&lt;=Hta_12-0.25,0,Hta_12-0.25),IF(G83&lt;=Hta_13-0.25,0,Hta_13-0.25),IF(G83&lt;=Hta_14-0.25,0,Hta_14-0.25),IF(G83&lt;=Hta_15-0.25,0,Hta_15-0.25),IF(G83&lt;=Hta_16-0.25,0,Hta_16-0.25),IF(G83&lt;=Hta_17-0.25,0,Hta_17-0.25),IF(G83&lt;=Hta_18-0.25,0,Hta_18-0.25),IF(G83&lt;=Hta_19-0.25,0,Hta_19-0.25),IF(G83&lt;=Hta_20-0.25,0,Hta_20-0.25),IF(G83&lt;=Hta_21-0.25,0,Hta_21-0.25),IF(G83&lt;=Hta_22-0.25,0,Hta_22-0.25),IF(G83&lt;=Hta_23-0.25,0,Hta_23-0.25),IF(G83&lt;=Hta_24-0.25,0,Hta_24-0.25),IF(G83&lt;=Hta_25-0.25,0,Hta_25-0.25),IF(G83&lt;=Hta_26-0.25,0,Hta_26-0.25),IF(G83&lt;=Hta_27-0.25,0,Hta_27-0.25),IF(G83&lt;=Hta_28-0.25,0,Hta_28-0.25),IF(G83&lt;=Hta_29-0.25,0,Hta_29-0.25),IF(G83&lt;=Hta_30-0.25,0,Hta_30-0.25)),MAX(IF(G83&lt;=Hba_1,0,Hba_1),IF(G83&lt;=Hba_2,0,Hba_2),IF(G83&lt;=Hba_3,0,Hba_3),IF(G83&lt;=Hba_4,0,Hba_4),IF(G83&lt;=Hba_5,0,Hba_5),IF(G83&lt;=Hba_6,0,Hba_6),IF(G83&lt;=Hba_7,0,Hba_7),IF(G83&lt;=Hba_8,0,Hba_8),IF(G83&lt;=Hba_9,0,Hba_9),IF(G83&lt;=Hba_10,0,Hba_10),IF(G83&lt;=Hba_11,0,Hba_11),IF(G83&lt;=Hba_12,0,Hba_12),IF(G83&lt;=Hba_13,0,Hba_13),IF(G83&lt;=Hba_14,0,Hba_14),IF(G83&lt;=Hba_15,0,Hba_15),IF(G83&lt;=Hba_16,0,Hba_16),IF(G83&lt;=Hba_17,0,Hba_17),IF(G83&lt;=Hba_18,0,Hba_18),IF(G83&lt;=Hba_19,0,Hba_19),IF(G83&lt;=Hba_20,0,Hba_20),IF(G83&lt;=Hba_21,0,Hba_21),IF(G83&lt;=Hba_22,0,Hba_22),IF(G83&lt;=Hba_23,0,Hba_23),IF(G83&lt;=Hba_24,0,Hba_24),IF(G83&lt;=Hba_25,0,Hba_25),IF(G83&lt;=Hba_26,0,Hba_26),IF(G83&lt;=Hba_27,0,Hba_27),IF(G83&lt;=Hba_28,0,Hba_28),IF(G83&lt;=Hba_29,0,Hba_29),IF(G83&lt;=Hba_30,0,Hba_30)),MAX(IF(G83&lt;=Input!$C$8,0,Input!$C$8),IF(G83&lt;=Input!$C$9,0,Input!$C$9),IF(G83&lt;=Input!$C$10,0,Input!$C$10),IF(G83&lt;=Input!$C$11,0,Input!$C$11),IF(G83&lt;=Input!$C$12,0,Input!$C$12),IF(G83&lt;=Input!$C$13,0,Input!$C$13),IF(G83&lt;=Input!$C$14,0,Input!$C$14),IF(G83&lt;=Input!$C$15,0,Input!$C$15),IF(G83&lt;=Input!$C$16,0,Input!$C$16)),MAX(IF(G83&lt;=Hba_1-0.25,0,Hba_1-0.25),IF(G83&lt;=Hba_2-0.25,0,Hba_2-0.25),IF(G83&lt;=Hba_3-0.25,0,Hba_3-0.25),IF(G83&lt;=Hba_4-0.25,0,Hba_4-0.25),IF(G83&lt;=Hba_5-0.25,0,Hba_5-0.25),IF(G83&lt;=Hba_6-0.25,0,Hba_6-0.25),IF(G83&lt;=Hba_7-0.25,0,Hba_7-0.25),IF(G83&lt;=Hba_8-0.25,0,Hba_8-0.25),IF(G83&lt;=Hba_9-0.25,0,Hba_9-0.25),IF(G83&lt;=Hba_10-0.25,0,Hba_10-0.25),IF(G83&lt;=Hba_11-0.25,0,Hba_11-0.25),IF(G83&lt;=Hba_12-0.25,0,Hba_12-0.25),IF(G83&lt;=Hba_13-0.25,0,Hba_13-0.25),IF(G83&lt;=Hba_14-0.25,0,Hba_14-0.25),IF(G83&lt;=Hba_15-0.25,0,Hba_15-0.25),IF(G83&lt;=Hba_16-0.25,0,Hba_16-0.25),IF(G83&lt;=Hba_17-0.25,0,Hba_17-0.25),IF(G83&lt;=Hba_18-0.25,0,Hba_18-0.25),IF(G83&lt;=Hba_19-0.25,0,Hba_19-0.25),IF(G83&lt;=Hba_20-0.25,0,Hba_20-0.25),IF(G83&lt;=Hba_21-0.25,0,Hba_21-0.25),IF(G83&lt;=Hba_22-0.25,0,Hba_22-0.25),IF(G83&lt;=Hba_23-0.25,0,Hba_23-0.25),IF(G83&lt;=Hba_24-0.25,0,Hba_24-0.25),IF(G83&lt;=Hba_25-0.25,0,Hba_25-0.25),IF(G83&lt;=Hba_26-0.25,0,Hba_26-0.25),IF(G83&lt;=Hba_27-0.25,0,Hba_27-0.25),IF(G83&lt;=Hba_28-0.25,0,Hba_28-0.25),IF(G83&lt;=Hba_29-0.25,0,Hba_29-0.25),IF(G83&lt;=Hba_30-0.25,0,Hba_30-0.25)),IF(G83&lt;='Macro References'!$A$38,0,'Macro References'!$A$38)))</f>
        <v/>
      </c>
      <c r="H84" s="769"/>
      <c r="I84" s="228"/>
      <c r="J84" s="228"/>
      <c r="K84" s="228"/>
      <c r="L84" s="717" t="str">
        <f t="shared" si="11"/>
        <v/>
      </c>
      <c r="M84" s="717"/>
      <c r="N84" s="717"/>
      <c r="O84" s="717"/>
      <c r="P84" s="717" t="str">
        <f>IF(OR(G84=0,G84=""),"",IF(VLOOKUP(G84,'Geometry 2'!$C$4:$AI$14,1,TRUE)=VLOOKUP(G85,'Geometry 2'!$C$4:$AI$14,1,TRUE),"",IF(VLOOKUP(G84,'Geometry 2'!$C$4:$AI$14,33,TRUE)&lt;&gt;"n/a",MIN(G84,VLOOKUP(G84,'Geometry 2'!$C$4:$AI$14,1,TRUE))-VLOOKUP(G84,'Geometry 2'!$C$4:$AI$14,33,TRUE),"check")))</f>
        <v/>
      </c>
      <c r="Q84" s="717"/>
      <c r="R84" s="717"/>
      <c r="S84" s="717"/>
      <c r="T84" s="717" t="str">
        <f>IF($G84="","",VLOOKUP($G84,'Geometry 2'!$E$4:$AH$14,11,TRUE))</f>
        <v/>
      </c>
      <c r="U84" s="717"/>
      <c r="V84" s="717"/>
      <c r="W84" s="717"/>
      <c r="X84" s="716" t="str">
        <f>IF($G84="","",VLOOKUP($G84,'Geometry 2'!$E$4:$AJ$14,19,TRUE)-12*VLOOKUP($G84,'Geometry 2'!$E$4:$AJ$14,32,TRUE)*($D84-VLOOKUP($G84,'Geometry 2'!$E$5:$AH$14,1,TRUE)))</f>
        <v/>
      </c>
      <c r="Y84" s="716"/>
      <c r="Z84" s="716"/>
      <c r="AA84" s="716"/>
      <c r="AB84" s="757" t="str">
        <f>IF($G84="","",VLOOKUP($G84,'Geometry 2'!$E$4:$AJ$14,19,TRUE)-12*VLOOKUP($G84,'Geometry 2'!$E$4:$AJ$14,32,TRUE)*($G84-VLOOKUP($G84,'Geometry 2'!$E$5:$AH$14,1,TRUE)))</f>
        <v/>
      </c>
      <c r="AC84" s="758"/>
      <c r="AD84" s="758"/>
      <c r="AE84" s="759"/>
      <c r="AF84" s="716" t="str">
        <f>IF($G84="","",VLOOKUP($G84,'Geometry 2'!$E$4:$AJ$14,19,TRUE)-12*VLOOKUP($G84,'Geometry 2'!$E$4:$AJ$14,32,TRUE)*($G84-IF($P84="",0,$P84)-VLOOKUP($G84,'Geometry 2'!$E$5:$AH$14,1,TRUE)))</f>
        <v/>
      </c>
      <c r="AG84" s="716"/>
      <c r="AH84" s="716"/>
      <c r="AI84" s="716"/>
      <c r="AJ84" s="746" t="str">
        <f>IF($G84="","",VLOOKUP($G84,'Geometry 2'!$E$4:$AH$14,23,TRUE))</f>
        <v/>
      </c>
      <c r="AK84" s="747"/>
      <c r="AL84" s="747"/>
      <c r="AM84" s="748"/>
      <c r="AN84" s="717"/>
      <c r="AO84" s="717"/>
      <c r="AP84" s="717"/>
      <c r="AQ84" s="717"/>
      <c r="AR84" s="717" t="str">
        <f>IF($G84="","",VLOOKUP($G84,'Geometry 2'!$E$4:$AH$14,27,TRUE))</f>
        <v/>
      </c>
      <c r="AS84" s="717"/>
      <c r="AT84" s="717"/>
      <c r="AU84" s="718"/>
      <c r="AV84" s="715"/>
      <c r="AW84" s="716"/>
      <c r="AX84" s="716"/>
      <c r="AZ84" s="722" t="str">
        <f t="shared" si="15"/>
        <v/>
      </c>
      <c r="BA84" s="723"/>
      <c r="BB84" s="723"/>
      <c r="BC84" s="724"/>
      <c r="BD84" s="722"/>
      <c r="BE84" s="723"/>
      <c r="BF84" s="723"/>
      <c r="BG84" s="722" t="str">
        <f t="shared" ref="BG84:BG104" si="19">IF(AZ84="","","TP"&amp;ROUND(AF84,3)&amp;"x"&amp;ROUND(X84,3)&amp;"x"&amp;ROUND(AN84,4))</f>
        <v/>
      </c>
      <c r="BH84" s="723"/>
      <c r="BI84" s="723"/>
      <c r="BJ84" s="723"/>
      <c r="BK84" s="724"/>
      <c r="BL84" s="722"/>
      <c r="BM84" s="723"/>
      <c r="BN84" s="723"/>
      <c r="BO84" s="723"/>
      <c r="BP84" s="725"/>
      <c r="BQ84" s="725"/>
      <c r="BR84" s="722" t="str">
        <f>IF(BP84="","",IF(OR(AND(Rev="H",Calculations!$F$27=TRUE),AND(Rev&lt;&gt;"H",Calculations!$F$30=TRUE)),IF(BP84&lt;=1,"Pass","Fail"),IF(BP84&lt;=1.05,"Pass","Fail")))</f>
        <v/>
      </c>
      <c r="BS84" s="723"/>
      <c r="BT84" s="724"/>
      <c r="BU84" s="49"/>
      <c r="BV84" s="25" t="str">
        <f>IFERROR(CONCATENATE(IF(AND($G84&lt;Hta_1,$G84&gt;=Hba_1,Input!U$21&lt;&gt;""),Input!$B$21&amp;";",""),IF(AND($G84&lt;Hta_2,$G84&gt;=Hba_2,Input!U$22&lt;&gt;""),Input!$B$22&amp;";",""),IF(AND($G84&lt;Hta_3,$G84&gt;=Hba_3,Input!U$23&lt;&gt;""),Input!$B$23&amp;";",""),IF(AND($G84&lt;Hta_4,$G84&gt;=Hba_4,Input!U$24&lt;&gt;""),Input!$B$24&amp;";",""),IF(AND($G84&lt;Hta_5,$G84&gt;=Hba_5,Input!U$25&lt;&gt;""),Input!$B$25&amp;";",""),IF(AND($G84&lt;Hta_6,$G84&gt;=Hba_6,Input!U$26&lt;&gt;""),Input!$B$26&amp;";",""),IF(AND($G84&lt;Hta_7,$G84&gt;=Hba_7,Input!U$27&lt;&gt;""),Input!$B$27&amp;";",""),IF(AND($G84&lt;Hta_8,$G84&gt;=Hba_8,Input!U$28&lt;&gt;""),Input!$B$28&amp;";",""),IF(AND($G84&lt;Hta_9,$G84&gt;=Hba_9,Input!U$29&lt;&gt;""),Input!$B$29&amp;";",""),IF(AND($G84&lt;Hta_10,$G84&gt;=Hba_10,Input!U$30&lt;&gt;""),Input!$B$30&amp;";",""),IF(AND($G84&lt;Hta_11,$G84&gt;=Hba_11,Input!U$31&lt;&gt;""),Input!$B$31&amp;";",""),IF(AND($G84&lt;Hta_12,$G84&gt;=Hba_12,Input!U$32&lt;&gt;""),Input!$B$32&amp;";",""),IF(AND($G84&lt;Hta_13,$G84&gt;=Hba_13,Input!U$33&lt;&gt;""),Input!$B$33&amp;";",""),IF(AND($G84&lt;Hta_14,$G84&gt;=Hba_14,Input!U$34&lt;&gt;""),Input!$B$34&amp;";",""),IF(AND($G84&lt;Hta_15,$G84&gt;=Hba_15,Input!U$35&lt;&gt;""),Input!$B$35&amp;";",""),IF(AND($G84&lt;Hta_16,$G84&gt;=Hba_16,Input!U$36&lt;&gt;""),Input!$B$36&amp;";",""),IF(AND($G84&lt;Hta_17,$G84&gt;=Hba_17,Input!U$37&lt;&gt;""),Input!$B$37&amp;";",""),IF(AND($G84&lt;Hta_18,$G84&gt;=Hba_18,Input!U$38&lt;&gt;""),Input!$B$38&amp;";",""),IF(AND($G84&lt;Hta_19,$G84&gt;=Hba_19,Input!U$39&lt;&gt;""),Input!$B$39&amp;";",""),IF(AND($G84&lt;Hta_20,$G84&gt;=Hba_20,Input!U$40&lt;&gt;""),Input!$B$40&amp;";",""),IF(AND($G84&lt;Hta_21,$G84&gt;=Hba_21,Input!U$41&lt;&gt;""),Input!$B$41&amp;";",""),IF(AND($G84&lt;Hta_22,$G84&gt;=Hba_22,Input!U$42&lt;&gt;""),Input!$B$42&amp;";",""),IF(AND($G84&lt;Hta_23,$G84&gt;=Hba_23,Input!U$43&lt;&gt;""),Input!$B$43&amp;";",""),IF(AND($G84&lt;Hta_24,$G84&gt;=Hba_24,Input!U$44&lt;&gt;""),Input!$B$44&amp;";",""),IF(AND($G84&lt;Hta_25,$G84&gt;=Hba_25,Input!U$45&lt;&gt;""),Input!$B$45&amp;";",""),IF(AND($G84&lt;Hta_26,$G84&gt;=Hba_26,Input!U$46&lt;&gt;""),Input!$B$46&amp;";",""),IF(AND($G84&lt;Hta_27,$G84&gt;=Hba_27,Input!U$47&lt;&gt;""),Input!$B$47&amp;";",""),IF(AND($G84&lt;Hta_28,$G84&gt;=Hba_28,Input!U$48&lt;&gt;""),Input!$B$48&amp;";",""),IF(AND($G84&lt;Hta_29,$G84&gt;=Hba_29,Input!U$49&lt;&gt;""),Input!$B$49&amp;";",""),IF(AND($G84&lt;Hta_30,$G84&gt;=Hba_30,Input!U$50&lt;&gt;""),Input!$B$50&amp;";","")),"")</f>
        <v/>
      </c>
      <c r="BW84" s="25" t="str">
        <f>IFERROR(CONCATENATE(IF(AND($G84&lt;Hta_1,$G84&gt;=Hba_1,Input!V$21&lt;&gt;""),Input!$B$21&amp;";",""),IF(AND($G84&lt;Hta_2,$G84&gt;=Hba_2,Input!V$22&lt;&gt;""),Input!$B$22&amp;";",""),IF(AND($G84&lt;Hta_3,$G84&gt;=Hba_3,Input!V$23&lt;&gt;""),Input!$B$23&amp;";",""),IF(AND($G84&lt;Hta_4,$G84&gt;=Hba_4,Input!V$24&lt;&gt;""),Input!$B$24&amp;";",""),IF(AND($G84&lt;Hta_5,$G84&gt;=Hba_5,Input!V$25&lt;&gt;""),Input!$B$25&amp;";",""),IF(AND($G84&lt;Hta_6,$G84&gt;=Hba_6,Input!V$26&lt;&gt;""),Input!$B$26&amp;";",""),IF(AND($G84&lt;Hta_7,$G84&gt;=Hba_7,Input!V$27&lt;&gt;""),Input!$B$27&amp;";",""),IF(AND($G84&lt;Hta_8,$G84&gt;=Hba_8,Input!V$28&lt;&gt;""),Input!$B$28&amp;";",""),IF(AND($G84&lt;Hta_9,$G84&gt;=Hba_9,Input!V$29&lt;&gt;""),Input!$B$29&amp;";",""),IF(AND($G84&lt;Hta_10,$G84&gt;=Hba_10,Input!V$30&lt;&gt;""),Input!$B$30&amp;";",""),IF(AND($G84&lt;Hta_11,$G84&gt;=Hba_11,Input!V$31&lt;&gt;""),Input!$B$31&amp;";",""),IF(AND($G84&lt;Hta_12,$G84&gt;=Hba_12,Input!V$32&lt;&gt;""),Input!$B$32&amp;";",""),IF(AND($G84&lt;Hta_13,$G84&gt;=Hba_13,Input!V$33&lt;&gt;""),Input!$B$33&amp;";",""),IF(AND($G84&lt;Hta_14,$G84&gt;=Hba_14,Input!V$34&lt;&gt;""),Input!$B$34&amp;";",""),IF(AND($G84&lt;Hta_15,$G84&gt;=Hba_15,Input!V$35&lt;&gt;""),Input!$B$35&amp;";",""),IF(AND($G84&lt;Hta_16,$G84&gt;=Hba_16,Input!V$36&lt;&gt;""),Input!$B$36&amp;";",""),IF(AND($G84&lt;Hta_17,$G84&gt;=Hba_17,Input!V$37&lt;&gt;""),Input!$B$37&amp;";",""),IF(AND($G84&lt;Hta_18,$G84&gt;=Hba_18,Input!V$38&lt;&gt;""),Input!$B$38&amp;";",""),IF(AND($G84&lt;Hta_19,$G84&gt;=Hba_19,Input!V$39&lt;&gt;""),Input!$B$39&amp;";",""),IF(AND($G84&lt;Hta_20,$G84&gt;=Hba_20,Input!V$40&lt;&gt;""),Input!$B$40&amp;";",""),IF(AND($G84&lt;Hta_21,$G84&gt;=Hba_21,Input!V$41&lt;&gt;""),Input!$B$41&amp;";",""),IF(AND($G84&lt;Hta_22,$G84&gt;=Hba_22,Input!V$42&lt;&gt;""),Input!$B$42&amp;";",""),IF(AND($G84&lt;Hta_23,$G84&gt;=Hba_23,Input!V$43&lt;&gt;""),Input!$B$43&amp;";",""),IF(AND($G84&lt;Hta_24,$G84&gt;=Hba_24,Input!V$44&lt;&gt;""),Input!$B$44&amp;";",""),IF(AND($G84&lt;Hta_25,$G84&gt;=Hba_25,Input!V$45&lt;&gt;""),Input!$B$45&amp;";",""),IF(AND($G84&lt;Hta_26,$G84&gt;=Hba_26,Input!V$46&lt;&gt;""),Input!$B$46&amp;";",""),IF(AND($G84&lt;Hta_27,$G84&gt;=Hba_27,Input!V$47&lt;&gt;""),Input!$B$47&amp;";",""),IF(AND($G84&lt;Hta_28,$G84&gt;=Hba_28,Input!V$48&lt;&gt;""),Input!$B$48&amp;";",""),IF(AND($G84&lt;Hta_29,$G84&gt;=Hba_29,Input!V$49&lt;&gt;""),Input!$B$49&amp;";",""),IF(AND($G84&lt;Hta_30,$G84&gt;=Hba_30,Input!V$50&lt;&gt;""),Input!$B$50&amp;";","")),"")</f>
        <v/>
      </c>
      <c r="BX84" s="25" t="str">
        <f>IFERROR(CONCATENATE(IF(AND($G84&lt;Hta_1,$G84&gt;=Hba_1,Input!W$21&lt;&gt;""),Input!$B$21&amp;";",""),IF(AND($G84&lt;Hta_2,$G84&gt;=Hba_2,Input!W$22&lt;&gt;""),Input!$B$22&amp;";",""),IF(AND($G84&lt;Hta_3,$G84&gt;=Hba_3,Input!W$23&lt;&gt;""),Input!$B$23&amp;";",""),IF(AND($G84&lt;Hta_4,$G84&gt;=Hba_4,Input!W$24&lt;&gt;""),Input!$B$24&amp;";",""),IF(AND($G84&lt;Hta_5,$G84&gt;=Hba_5,Input!W$25&lt;&gt;""),Input!$B$25&amp;";",""),IF(AND($G84&lt;Hta_6,$G84&gt;=Hba_6,Input!W$26&lt;&gt;""),Input!$B$26&amp;";",""),IF(AND($G84&lt;Hta_7,$G84&gt;=Hba_7,Input!W$27&lt;&gt;""),Input!$B$27&amp;";",""),IF(AND($G84&lt;Hta_8,$G84&gt;=Hba_8,Input!W$28&lt;&gt;""),Input!$B$28&amp;";",""),IF(AND($G84&lt;Hta_9,$G84&gt;=Hba_9,Input!W$29&lt;&gt;""),Input!$B$29&amp;";",""),IF(AND($G84&lt;Hta_10,$G84&gt;=Hba_10,Input!W$30&lt;&gt;""),Input!$B$30&amp;";",""),IF(AND($G84&lt;Hta_11,$G84&gt;=Hba_11,Input!W$31&lt;&gt;""),Input!$B$31&amp;";",""),IF(AND($G84&lt;Hta_12,$G84&gt;=Hba_12,Input!W$32&lt;&gt;""),Input!$B$32&amp;";",""),IF(AND($G84&lt;Hta_13,$G84&gt;=Hba_13,Input!W$33&lt;&gt;""),Input!$B$33&amp;";",""),IF(AND($G84&lt;Hta_14,$G84&gt;=Hba_14,Input!W$34&lt;&gt;""),Input!$B$34&amp;";",""),IF(AND($G84&lt;Hta_15,$G84&gt;=Hba_15,Input!W$35&lt;&gt;""),Input!$B$35&amp;";",""),IF(AND($G84&lt;Hta_16,$G84&gt;=Hba_16,Input!W$36&lt;&gt;""),Input!$B$36&amp;";",""),IF(AND($G84&lt;Hta_17,$G84&gt;=Hba_17,Input!W$37&lt;&gt;""),Input!$B$37&amp;";",""),IF(AND($G84&lt;Hta_18,$G84&gt;=Hba_18,Input!W$38&lt;&gt;""),Input!$B$38&amp;";",""),IF(AND($G84&lt;Hta_19,$G84&gt;=Hba_19,Input!W$39&lt;&gt;""),Input!$B$39&amp;";",""),IF(AND($G84&lt;Hta_20,$G84&gt;=Hba_20,Input!W$40&lt;&gt;""),Input!$B$40&amp;";",""),IF(AND($G84&lt;Hta_21,$G84&gt;=Hba_21,Input!W$41&lt;&gt;""),Input!$B$41&amp;";",""),IF(AND($G84&lt;Hta_22,$G84&gt;=Hba_22,Input!W$42&lt;&gt;""),Input!$B$42&amp;";",""),IF(AND($G84&lt;Hta_23,$G84&gt;=Hba_23,Input!W$43&lt;&gt;""),Input!$B$43&amp;";",""),IF(AND($G84&lt;Hta_24,$G84&gt;=Hba_24,Input!W$44&lt;&gt;""),Input!$B$44&amp;";",""),IF(AND($G84&lt;Hta_25,$G84&gt;=Hba_25,Input!W$45&lt;&gt;""),Input!$B$45&amp;";",""),IF(AND($G84&lt;Hta_26,$G84&gt;=Hba_26,Input!W$46&lt;&gt;""),Input!$B$46&amp;";",""),IF(AND($G84&lt;Hta_27,$G84&gt;=Hba_27,Input!W$47&lt;&gt;""),Input!$B$47&amp;";",""),IF(AND($G84&lt;Hta_28,$G84&gt;=Hba_28,Input!W$48&lt;&gt;""),Input!$B$48&amp;";",""),IF(AND($G84&lt;Hta_29,$G84&gt;=Hba_29,Input!W$49&lt;&gt;""),Input!$B$49&amp;";",""),IF(AND($G84&lt;Hta_30,$G84&gt;=Hba_30,Input!W$50&lt;&gt;""),Input!$B$50&amp;";","")),"")</f>
        <v/>
      </c>
      <c r="BY84" s="25" t="str">
        <f>IFERROR(CONCATENATE(IF(AND($G84&lt;Hta_1,$G84&gt;=Hba_1,Input!X$21&lt;&gt;""),Input!$B$21&amp;";",""),IF(AND($G84&lt;Hta_2,$G84&gt;=Hba_2,Input!X$22&lt;&gt;""),Input!$B$22&amp;";",""),IF(AND($G84&lt;Hta_3,$G84&gt;=Hba_3,Input!X$23&lt;&gt;""),Input!$B$23&amp;";",""),IF(AND($G84&lt;Hta_4,$G84&gt;=Hba_4,Input!X$24&lt;&gt;""),Input!$B$24&amp;";",""),IF(AND($G84&lt;Hta_5,$G84&gt;=Hba_5,Input!X$25&lt;&gt;""),Input!$B$25&amp;";",""),IF(AND($G84&lt;Hta_6,$G84&gt;=Hba_6,Input!X$26&lt;&gt;""),Input!$B$26&amp;";",""),IF(AND($G84&lt;Hta_7,$G84&gt;=Hba_7,Input!X$27&lt;&gt;""),Input!$B$27&amp;";",""),IF(AND($G84&lt;Hta_8,$G84&gt;=Hba_8,Input!X$28&lt;&gt;""),Input!$B$28&amp;";",""),IF(AND($G84&lt;Hta_9,$G84&gt;=Hba_9,Input!X$29&lt;&gt;""),Input!$B$29&amp;";",""),IF(AND($G84&lt;Hta_10,$G84&gt;=Hba_10,Input!X$30&lt;&gt;""),Input!$B$30&amp;";",""),IF(AND($G84&lt;Hta_11,$G84&gt;=Hba_11,Input!X$31&lt;&gt;""),Input!$B$31&amp;";",""),IF(AND($G84&lt;Hta_12,$G84&gt;=Hba_12,Input!X$32&lt;&gt;""),Input!$B$32&amp;";",""),IF(AND($G84&lt;Hta_13,$G84&gt;=Hba_13,Input!X$33&lt;&gt;""),Input!$B$33&amp;";",""),IF(AND($G84&lt;Hta_14,$G84&gt;=Hba_14,Input!X$34&lt;&gt;""),Input!$B$34&amp;";",""),IF(AND($G84&lt;Hta_15,$G84&gt;=Hba_15,Input!X$35&lt;&gt;""),Input!$B$35&amp;";",""),IF(AND($G84&lt;Hta_16,$G84&gt;=Hba_16,Input!X$36&lt;&gt;""),Input!$B$36&amp;";",""),IF(AND($G84&lt;Hta_17,$G84&gt;=Hba_17,Input!X$37&lt;&gt;""),Input!$B$37&amp;";",""),IF(AND($G84&lt;Hta_18,$G84&gt;=Hba_18,Input!X$38&lt;&gt;""),Input!$B$38&amp;";",""),IF(AND($G84&lt;Hta_19,$G84&gt;=Hba_19,Input!X$39&lt;&gt;""),Input!$B$39&amp;";",""),IF(AND($G84&lt;Hta_20,$G84&gt;=Hba_20,Input!X$40&lt;&gt;""),Input!$B$40&amp;";",""),IF(AND($G84&lt;Hta_21,$G84&gt;=Hba_21,Input!X$41&lt;&gt;""),Input!$B$41&amp;";",""),IF(AND($G84&lt;Hta_22,$G84&gt;=Hba_22,Input!X$42&lt;&gt;""),Input!$B$42&amp;";",""),IF(AND($G84&lt;Hta_23,$G84&gt;=Hba_23,Input!X$43&lt;&gt;""),Input!$B$43&amp;";",""),IF(AND($G84&lt;Hta_24,$G84&gt;=Hba_24,Input!X$44&lt;&gt;""),Input!$B$44&amp;";",""),IF(AND($G84&lt;Hta_25,$G84&gt;=Hba_25,Input!X$45&lt;&gt;""),Input!$B$45&amp;";",""),IF(AND($G84&lt;Hta_26,$G84&gt;=Hba_26,Input!X$46&lt;&gt;""),Input!$B$46&amp;";",""),IF(AND($G84&lt;Hta_27,$G84&gt;=Hba_27,Input!X$47&lt;&gt;""),Input!$B$47&amp;";",""),IF(AND($G84&lt;Hta_28,$G84&gt;=Hba_28,Input!X$48&lt;&gt;""),Input!$B$48&amp;";",""),IF(AND($G84&lt;Hta_29,$G84&gt;=Hba_29,Input!X$49&lt;&gt;""),Input!$B$49&amp;";",""),IF(AND($G84&lt;Hta_30,$G84&gt;=Hba_30,Input!X$50&lt;&gt;""),Input!$B$50&amp;";","")),"")</f>
        <v/>
      </c>
      <c r="BZ84" s="25" t="str">
        <f>IFERROR(CONCATENATE(IF(AND($G84&lt;Hta_1,$G84&gt;=Hba_1,Input!Y$21&lt;&gt;""),Input!$B$21&amp;";",""),IF(AND($G84&lt;Hta_2,$G84&gt;=Hba_2,Input!Y$22&lt;&gt;""),Input!$B$22&amp;";",""),IF(AND($G84&lt;Hta_3,$G84&gt;=Hba_3,Input!Y$23&lt;&gt;""),Input!$B$23&amp;";",""),IF(AND($G84&lt;Hta_4,$G84&gt;=Hba_4,Input!Y$24&lt;&gt;""),Input!$B$24&amp;";",""),IF(AND($G84&lt;Hta_5,$G84&gt;=Hba_5,Input!Y$25&lt;&gt;""),Input!$B$25&amp;";",""),IF(AND($G84&lt;Hta_6,$G84&gt;=Hba_6,Input!Y$26&lt;&gt;""),Input!$B$26&amp;";",""),IF(AND($G84&lt;Hta_7,$G84&gt;=Hba_7,Input!Y$27&lt;&gt;""),Input!$B$27&amp;";",""),IF(AND($G84&lt;Hta_8,$G84&gt;=Hba_8,Input!Y$28&lt;&gt;""),Input!$B$28&amp;";",""),IF(AND($G84&lt;Hta_9,$G84&gt;=Hba_9,Input!Y$29&lt;&gt;""),Input!$B$29&amp;";",""),IF(AND($G84&lt;Hta_10,$G84&gt;=Hba_10,Input!Y$30&lt;&gt;""),Input!$B$30&amp;";",""),IF(AND($G84&lt;Hta_11,$G84&gt;=Hba_11,Input!Y$31&lt;&gt;""),Input!$B$31&amp;";",""),IF(AND($G84&lt;Hta_12,$G84&gt;=Hba_12,Input!Y$32&lt;&gt;""),Input!$B$32&amp;";",""),IF(AND($G84&lt;Hta_13,$G84&gt;=Hba_13,Input!Y$33&lt;&gt;""),Input!$B$33&amp;";",""),IF(AND($G84&lt;Hta_14,$G84&gt;=Hba_14,Input!Y$34&lt;&gt;""),Input!$B$34&amp;";",""),IF(AND($G84&lt;Hta_15,$G84&gt;=Hba_15,Input!Y$35&lt;&gt;""),Input!$B$35&amp;";",""),IF(AND($G84&lt;Hta_16,$G84&gt;=Hba_16,Input!Y$36&lt;&gt;""),Input!$B$36&amp;";",""),IF(AND($G84&lt;Hta_17,$G84&gt;=Hba_17,Input!Y$37&lt;&gt;""),Input!$B$37&amp;";",""),IF(AND($G84&lt;Hta_18,$G84&gt;=Hba_18,Input!Y$38&lt;&gt;""),Input!$B$38&amp;";",""),IF(AND($G84&lt;Hta_19,$G84&gt;=Hba_19,Input!Y$39&lt;&gt;""),Input!$B$39&amp;";",""),IF(AND($G84&lt;Hta_20,$G84&gt;=Hba_20,Input!Y$40&lt;&gt;""),Input!$B$40&amp;";",""),IF(AND($G84&lt;Hta_21,$G84&gt;=Hba_21,Input!Y$41&lt;&gt;""),Input!$B$41&amp;";",""),IF(AND($G84&lt;Hta_22,$G84&gt;=Hba_22,Input!Y$42&lt;&gt;""),Input!$B$42&amp;";",""),IF(AND($G84&lt;Hta_23,$G84&gt;=Hba_23,Input!Y$43&lt;&gt;""),Input!$B$43&amp;";",""),IF(AND($G84&lt;Hta_24,$G84&gt;=Hba_24,Input!Y$44&lt;&gt;""),Input!$B$44&amp;";",""),IF(AND($G84&lt;Hta_25,$G84&gt;=Hba_25,Input!Y$45&lt;&gt;""),Input!$B$45&amp;";",""),IF(AND($G84&lt;Hta_26,$G84&gt;=Hba_26,Input!Y$46&lt;&gt;""),Input!$B$46&amp;";",""),IF(AND($G84&lt;Hta_27,$G84&gt;=Hba_27,Input!Y$47&lt;&gt;""),Input!$B$47&amp;";",""),IF(AND($G84&lt;Hta_28,$G84&gt;=Hba_28,Input!Y$48&lt;&gt;""),Input!$B$48&amp;";",""),IF(AND($G84&lt;Hta_29,$G84&gt;=Hba_29,Input!Y$49&lt;&gt;""),Input!$B$49&amp;";",""),IF(AND($G84&lt;Hta_30,$G84&gt;=Hba_30,Input!Y$50&lt;&gt;""),Input!$B$50&amp;";","")),"")</f>
        <v/>
      </c>
      <c r="CA84" s="25" t="str">
        <f>IFERROR(CONCATENATE(IF(AND($G84&lt;Hta_1,$G84&gt;=Hba_1,Input!Z$21&lt;&gt;""),Input!$B$21&amp;";",""),IF(AND($G84&lt;Hta_2,$G84&gt;=Hba_2,Input!Z$22&lt;&gt;""),Input!$B$22&amp;";",""),IF(AND($G84&lt;Hta_3,$G84&gt;=Hba_3,Input!Z$23&lt;&gt;""),Input!$B$23&amp;";",""),IF(AND($G84&lt;Hta_4,$G84&gt;=Hba_4,Input!Z$24&lt;&gt;""),Input!$B$24&amp;";",""),IF(AND($G84&lt;Hta_5,$G84&gt;=Hba_5,Input!Z$25&lt;&gt;""),Input!$B$25&amp;";",""),IF(AND($G84&lt;Hta_6,$G84&gt;=Hba_6,Input!Z$26&lt;&gt;""),Input!$B$26&amp;";",""),IF(AND($G84&lt;Hta_7,$G84&gt;=Hba_7,Input!Z$27&lt;&gt;""),Input!$B$27&amp;";",""),IF(AND($G84&lt;Hta_8,$G84&gt;=Hba_8,Input!Z$28&lt;&gt;""),Input!$B$28&amp;";",""),IF(AND($G84&lt;Hta_9,$G84&gt;=Hba_9,Input!Z$29&lt;&gt;""),Input!$B$29&amp;";",""),IF(AND($G84&lt;Hta_10,$G84&gt;=Hba_10,Input!Z$30&lt;&gt;""),Input!$B$30&amp;";",""),IF(AND($G84&lt;Hta_11,$G84&gt;=Hba_11,Input!Z$31&lt;&gt;""),Input!$B$31&amp;";",""),IF(AND($G84&lt;Hta_12,$G84&gt;=Hba_12,Input!Z$32&lt;&gt;""),Input!$B$32&amp;";",""),IF(AND($G84&lt;Hta_13,$G84&gt;=Hba_13,Input!Z$33&lt;&gt;""),Input!$B$33&amp;";",""),IF(AND($G84&lt;Hta_14,$G84&gt;=Hba_14,Input!Z$34&lt;&gt;""),Input!$B$34&amp;";",""),IF(AND($G84&lt;Hta_15,$G84&gt;=Hba_15,Input!Z$35&lt;&gt;""),Input!$B$35&amp;";",""),IF(AND($G84&lt;Hta_16,$G84&gt;=Hba_16,Input!Z$36&lt;&gt;""),Input!$B$36&amp;";",""),IF(AND($G84&lt;Hta_17,$G84&gt;=Hba_17,Input!Z$37&lt;&gt;""),Input!$B$37&amp;";",""),IF(AND($G84&lt;Hta_18,$G84&gt;=Hba_18,Input!Z$38&lt;&gt;""),Input!$B$38&amp;";",""),IF(AND($G84&lt;Hta_19,$G84&gt;=Hba_19,Input!Z$39&lt;&gt;""),Input!$B$39&amp;";",""),IF(AND($G84&lt;Hta_20,$G84&gt;=Hba_20,Input!Z$40&lt;&gt;""),Input!$B$40&amp;";",""),IF(AND($G84&lt;Hta_21,$G84&gt;=Hba_21,Input!Z$41&lt;&gt;""),Input!$B$41&amp;";",""),IF(AND($G84&lt;Hta_22,$G84&gt;=Hba_22,Input!Z$42&lt;&gt;""),Input!$B$42&amp;";",""),IF(AND($G84&lt;Hta_23,$G84&gt;=Hba_23,Input!Z$43&lt;&gt;""),Input!$B$43&amp;";",""),IF(AND($G84&lt;Hta_24,$G84&gt;=Hba_24,Input!Z$44&lt;&gt;""),Input!$B$44&amp;";",""),IF(AND($G84&lt;Hta_25,$G84&gt;=Hba_25,Input!Z$45&lt;&gt;""),Input!$B$45&amp;";",""),IF(AND($G84&lt;Hta_26,$G84&gt;=Hba_26,Input!Z$46&lt;&gt;""),Input!$B$46&amp;";",""),IF(AND($G84&lt;Hta_27,$G84&gt;=Hba_27,Input!Z$47&lt;&gt;""),Input!$B$47&amp;";",""),IF(AND($G84&lt;Hta_28,$G84&gt;=Hba_28,Input!Z$48&lt;&gt;""),Input!$B$48&amp;";",""),IF(AND($G84&lt;Hta_29,$G84&gt;=Hba_29,Input!Z$49&lt;&gt;""),Input!$B$49&amp;";",""),IF(AND($G84&lt;Hta_30,$G84&gt;=Hba_30,Input!Z$50&lt;&gt;""),Input!$B$50&amp;";","")),"")</f>
        <v/>
      </c>
      <c r="CB84" s="25" t="str">
        <f>IFERROR(CONCATENATE(IF(AND($G84&lt;Hta_1,$G84&gt;=Hba_1,Input!AA$21&lt;&gt;""),Input!$B$21&amp;";",""),IF(AND($G84&lt;Hta_2,$G84&gt;=Hba_2,Input!AA$22&lt;&gt;""),Input!$B$22&amp;";",""),IF(AND($G84&lt;Hta_3,$G84&gt;=Hba_3,Input!AA$23&lt;&gt;""),Input!$B$23&amp;";",""),IF(AND($G84&lt;Hta_4,$G84&gt;=Hba_4,Input!AA$24&lt;&gt;""),Input!$B$24&amp;";",""),IF(AND($G84&lt;Hta_5,$G84&gt;=Hba_5,Input!AA$25&lt;&gt;""),Input!$B$25&amp;";",""),IF(AND($G84&lt;Hta_6,$G84&gt;=Hba_6,Input!AA$26&lt;&gt;""),Input!$B$26&amp;";",""),IF(AND($G84&lt;Hta_7,$G84&gt;=Hba_7,Input!AA$27&lt;&gt;""),Input!$B$27&amp;";",""),IF(AND($G84&lt;Hta_8,$G84&gt;=Hba_8,Input!AA$28&lt;&gt;""),Input!$B$28&amp;";",""),IF(AND($G84&lt;Hta_9,$G84&gt;=Hba_9,Input!AA$29&lt;&gt;""),Input!$B$29&amp;";",""),IF(AND($G84&lt;Hta_10,$G84&gt;=Hba_10,Input!AA$30&lt;&gt;""),Input!$B$30&amp;";",""),IF(AND($G84&lt;Hta_11,$G84&gt;=Hba_11,Input!AA$31&lt;&gt;""),Input!$B$31&amp;";",""),IF(AND($G84&lt;Hta_12,$G84&gt;=Hba_12,Input!AA$32&lt;&gt;""),Input!$B$32&amp;";",""),IF(AND($G84&lt;Hta_13,$G84&gt;=Hba_13,Input!AA$33&lt;&gt;""),Input!$B$33&amp;";",""),IF(AND($G84&lt;Hta_14,$G84&gt;=Hba_14,Input!AA$34&lt;&gt;""),Input!$B$34&amp;";",""),IF(AND($G84&lt;Hta_15,$G84&gt;=Hba_15,Input!AA$35&lt;&gt;""),Input!$B$35&amp;";",""),IF(AND($G84&lt;Hta_16,$G84&gt;=Hba_16,Input!AA$36&lt;&gt;""),Input!$B$36&amp;";",""),IF(AND($G84&lt;Hta_17,$G84&gt;=Hba_17,Input!AA$37&lt;&gt;""),Input!$B$37&amp;";",""),IF(AND($G84&lt;Hta_18,$G84&gt;=Hba_18,Input!AA$38&lt;&gt;""),Input!$B$38&amp;";",""),IF(AND($G84&lt;Hta_19,$G84&gt;=Hba_19,Input!AA$39&lt;&gt;""),Input!$B$39&amp;";",""),IF(AND($G84&lt;Hta_20,$G84&gt;=Hba_20,Input!AA$40&lt;&gt;""),Input!$B$40&amp;";",""),IF(AND($G84&lt;Hta_21,$G84&gt;=Hba_21,Input!AA$41&lt;&gt;""),Input!$B$41&amp;";",""),IF(AND($G84&lt;Hta_22,$G84&gt;=Hba_22,Input!AA$42&lt;&gt;""),Input!$B$42&amp;";",""),IF(AND($G84&lt;Hta_23,$G84&gt;=Hba_23,Input!AA$43&lt;&gt;""),Input!$B$43&amp;";",""),IF(AND($G84&lt;Hta_24,$G84&gt;=Hba_24,Input!AA$44&lt;&gt;""),Input!$B$44&amp;";",""),IF(AND($G84&lt;Hta_25,$G84&gt;=Hba_25,Input!AA$45&lt;&gt;""),Input!$B$45&amp;";",""),IF(AND($G84&lt;Hta_26,$G84&gt;=Hba_26,Input!AA$46&lt;&gt;""),Input!$B$46&amp;";",""),IF(AND($G84&lt;Hta_27,$G84&gt;=Hba_27,Input!AA$47&lt;&gt;""),Input!$B$47&amp;";",""),IF(AND($G84&lt;Hta_28,$G84&gt;=Hba_28,Input!AA$48&lt;&gt;""),Input!$B$48&amp;";",""),IF(AND($G84&lt;Hta_29,$G84&gt;=Hba_29,Input!AA$49&lt;&gt;""),Input!$B$49&amp;";",""),IF(AND($G84&lt;Hta_30,$G84&gt;=Hba_30,Input!AA$50&lt;&gt;""),Input!$B$50&amp;";","")),"")</f>
        <v/>
      </c>
      <c r="CC84" s="25" t="str">
        <f>IFERROR(CONCATENATE(IF(AND($G84&lt;Hta_1,$G84&gt;=Hba_1,Input!AB$21&lt;&gt;""),Input!$B$21&amp;";",""),IF(AND($G84&lt;Hta_2,$G84&gt;=Hba_2,Input!AB$22&lt;&gt;""),Input!$B$22&amp;";",""),IF(AND($G84&lt;Hta_3,$G84&gt;=Hba_3,Input!AB$23&lt;&gt;""),Input!$B$23&amp;";",""),IF(AND($G84&lt;Hta_4,$G84&gt;=Hba_4,Input!AB$24&lt;&gt;""),Input!$B$24&amp;";",""),IF(AND($G84&lt;Hta_5,$G84&gt;=Hba_5,Input!AB$25&lt;&gt;""),Input!$B$25&amp;";",""),IF(AND($G84&lt;Hta_6,$G84&gt;=Hba_6,Input!AB$26&lt;&gt;""),Input!$B$26&amp;";",""),IF(AND($G84&lt;Hta_7,$G84&gt;=Hba_7,Input!AB$27&lt;&gt;""),Input!$B$27&amp;";",""),IF(AND($G84&lt;Hta_8,$G84&gt;=Hba_8,Input!AB$28&lt;&gt;""),Input!$B$28&amp;";",""),IF(AND($G84&lt;Hta_9,$G84&gt;=Hba_9,Input!AB$29&lt;&gt;""),Input!$B$29&amp;";",""),IF(AND($G84&lt;Hta_10,$G84&gt;=Hba_10,Input!AB$30&lt;&gt;""),Input!$B$30&amp;";",""),IF(AND($G84&lt;Hta_11,$G84&gt;=Hba_11,Input!AB$31&lt;&gt;""),Input!$B$31&amp;";",""),IF(AND($G84&lt;Hta_12,$G84&gt;=Hba_12,Input!AB$32&lt;&gt;""),Input!$B$32&amp;";",""),IF(AND($G84&lt;Hta_13,$G84&gt;=Hba_13,Input!AB$33&lt;&gt;""),Input!$B$33&amp;";",""),IF(AND($G84&lt;Hta_14,$G84&gt;=Hba_14,Input!AB$34&lt;&gt;""),Input!$B$34&amp;";",""),IF(AND($G84&lt;Hta_15,$G84&gt;=Hba_15,Input!AB$35&lt;&gt;""),Input!$B$35&amp;";",""),IF(AND($G84&lt;Hta_16,$G84&gt;=Hba_16,Input!AB$36&lt;&gt;""),Input!$B$36&amp;";",""),IF(AND($G84&lt;Hta_17,$G84&gt;=Hba_17,Input!AB$37&lt;&gt;""),Input!$B$37&amp;";",""),IF(AND($G84&lt;Hta_18,$G84&gt;=Hba_18,Input!AB$38&lt;&gt;""),Input!$B$38&amp;";",""),IF(AND($G84&lt;Hta_19,$G84&gt;=Hba_19,Input!AB$39&lt;&gt;""),Input!$B$39&amp;";",""),IF(AND($G84&lt;Hta_20,$G84&gt;=Hba_20,Input!AB$40&lt;&gt;""),Input!$B$40&amp;";",""),IF(AND($G84&lt;Hta_21,$G84&gt;=Hba_21,Input!AB$41&lt;&gt;""),Input!$B$41&amp;";",""),IF(AND($G84&lt;Hta_22,$G84&gt;=Hba_22,Input!AB$42&lt;&gt;""),Input!$B$42&amp;";",""),IF(AND($G84&lt;Hta_23,$G84&gt;=Hba_23,Input!AB$43&lt;&gt;""),Input!$B$43&amp;";",""),IF(AND($G84&lt;Hta_24,$G84&gt;=Hba_24,Input!AB$44&lt;&gt;""),Input!$B$44&amp;";",""),IF(AND($G84&lt;Hta_25,$G84&gt;=Hba_25,Input!AB$45&lt;&gt;""),Input!$B$45&amp;";",""),IF(AND($G84&lt;Hta_26,$G84&gt;=Hba_26,Input!AB$46&lt;&gt;""),Input!$B$46&amp;";",""),IF(AND($G84&lt;Hta_27,$G84&gt;=Hba_27,Input!AB$47&lt;&gt;""),Input!$B$47&amp;";",""),IF(AND($G84&lt;Hta_28,$G84&gt;=Hba_28,Input!AB$48&lt;&gt;""),Input!$B$48&amp;";",""),IF(AND($G84&lt;Hta_29,$G84&gt;=Hba_29,Input!AB$49&lt;&gt;""),Input!$B$49&amp;";",""),IF(AND($G84&lt;Hta_30,$G84&gt;=Hba_30,Input!AB$50&lt;&gt;""),Input!$B$50&amp;";","")),"")</f>
        <v/>
      </c>
      <c r="CD84" s="25" t="str">
        <f>IFERROR(CONCATENATE(IF(AND($G84&lt;Hta_1,$G84&gt;=Hba_1,Input!AC$21&lt;&gt;""),Input!$B$21&amp;";",""),IF(AND($G84&lt;Hta_2,$G84&gt;=Hba_2,Input!AC$22&lt;&gt;""),Input!$B$22&amp;";",""),IF(AND($G84&lt;Hta_3,$G84&gt;=Hba_3,Input!AC$23&lt;&gt;""),Input!$B$23&amp;";",""),IF(AND($G84&lt;Hta_4,$G84&gt;=Hba_4,Input!AC$24&lt;&gt;""),Input!$B$24&amp;";",""),IF(AND($G84&lt;Hta_5,$G84&gt;=Hba_5,Input!AC$25&lt;&gt;""),Input!$B$25&amp;";",""),IF(AND($G84&lt;Hta_6,$G84&gt;=Hba_6,Input!AC$26&lt;&gt;""),Input!$B$26&amp;";",""),IF(AND($G84&lt;Hta_7,$G84&gt;=Hba_7,Input!AC$27&lt;&gt;""),Input!$B$27&amp;";",""),IF(AND($G84&lt;Hta_8,$G84&gt;=Hba_8,Input!AC$28&lt;&gt;""),Input!$B$28&amp;";",""),IF(AND($G84&lt;Hta_9,$G84&gt;=Hba_9,Input!AC$29&lt;&gt;""),Input!$B$29&amp;";",""),IF(AND($G84&lt;Hta_10,$G84&gt;=Hba_10,Input!AC$30&lt;&gt;""),Input!$B$30&amp;";",""),IF(AND($G84&lt;Hta_11,$G84&gt;=Hba_11,Input!AC$31&lt;&gt;""),Input!$B$31&amp;";",""),IF(AND($G84&lt;Hta_12,$G84&gt;=Hba_12,Input!AC$32&lt;&gt;""),Input!$B$32&amp;";",""),IF(AND($G84&lt;Hta_13,$G84&gt;=Hba_13,Input!AC$33&lt;&gt;""),Input!$B$33&amp;";",""),IF(AND($G84&lt;Hta_14,$G84&gt;=Hba_14,Input!AC$34&lt;&gt;""),Input!$B$34&amp;";",""),IF(AND($G84&lt;Hta_15,$G84&gt;=Hba_15,Input!AC$35&lt;&gt;""),Input!$B$35&amp;";",""),IF(AND($G84&lt;Hta_16,$G84&gt;=Hba_16,Input!AC$36&lt;&gt;""),Input!$B$36&amp;";",""),IF(AND($G84&lt;Hta_17,$G84&gt;=Hba_17,Input!AC$37&lt;&gt;""),Input!$B$37&amp;";",""),IF(AND($G84&lt;Hta_18,$G84&gt;=Hba_18,Input!AC$38&lt;&gt;""),Input!$B$38&amp;";",""),IF(AND($G84&lt;Hta_19,$G84&gt;=Hba_19,Input!AC$39&lt;&gt;""),Input!$B$39&amp;";",""),IF(AND($G84&lt;Hta_20,$G84&gt;=Hba_20,Input!AC$40&lt;&gt;""),Input!$B$40&amp;";",""),IF(AND($G84&lt;Hta_21,$G84&gt;=Hba_21,Input!AC$41&lt;&gt;""),Input!$B$41&amp;";",""),IF(AND($G84&lt;Hta_22,$G84&gt;=Hba_22,Input!AC$42&lt;&gt;""),Input!$B$42&amp;";",""),IF(AND($G84&lt;Hta_23,$G84&gt;=Hba_23,Input!AC$43&lt;&gt;""),Input!$B$43&amp;";",""),IF(AND($G84&lt;Hta_24,$G84&gt;=Hba_24,Input!AC$44&lt;&gt;""),Input!$B$44&amp;";",""),IF(AND($G84&lt;Hta_25,$G84&gt;=Hba_25,Input!AC$45&lt;&gt;""),Input!$B$45&amp;";",""),IF(AND($G84&lt;Hta_26,$G84&gt;=Hba_26,Input!AC$46&lt;&gt;""),Input!$B$46&amp;";",""),IF(AND($G84&lt;Hta_27,$G84&gt;=Hba_27,Input!AC$47&lt;&gt;""),Input!$B$47&amp;";",""),IF(AND($G84&lt;Hta_28,$G84&gt;=Hba_28,Input!AC$48&lt;&gt;""),Input!$B$48&amp;";",""),IF(AND($G84&lt;Hta_29,$G84&gt;=Hba_29,Input!AC$49&lt;&gt;""),Input!$B$49&amp;";",""),IF(AND($G84&lt;Hta_30,$G84&gt;=Hba_30,Input!AC$50&lt;&gt;""),Input!$B$50&amp;";","")),"")</f>
        <v/>
      </c>
      <c r="CE84" s="25" t="str">
        <f>IFERROR(CONCATENATE(IF(AND($G84&lt;Hta_1,$G84&gt;=Hba_1,Input!AD$21&lt;&gt;""),Input!$B$21&amp;";",""),IF(AND($G84&lt;Hta_2,$G84&gt;=Hba_2,Input!AD$22&lt;&gt;""),Input!$B$22&amp;";",""),IF(AND($G84&lt;Hta_3,$G84&gt;=Hba_3,Input!AD$23&lt;&gt;""),Input!$B$23&amp;";",""),IF(AND($G84&lt;Hta_4,$G84&gt;=Hba_4,Input!AD$24&lt;&gt;""),Input!$B$24&amp;";",""),IF(AND($G84&lt;Hta_5,$G84&gt;=Hba_5,Input!AD$25&lt;&gt;""),Input!$B$25&amp;";",""),IF(AND($G84&lt;Hta_6,$G84&gt;=Hba_6,Input!AD$26&lt;&gt;""),Input!$B$26&amp;";",""),IF(AND($G84&lt;Hta_7,$G84&gt;=Hba_7,Input!AD$27&lt;&gt;""),Input!$B$27&amp;";",""),IF(AND($G84&lt;Hta_8,$G84&gt;=Hba_8,Input!AD$28&lt;&gt;""),Input!$B$28&amp;";",""),IF(AND($G84&lt;Hta_9,$G84&gt;=Hba_9,Input!AD$29&lt;&gt;""),Input!$B$29&amp;";",""),IF(AND($G84&lt;Hta_10,$G84&gt;=Hba_10,Input!AD$30&lt;&gt;""),Input!$B$30&amp;";",""),IF(AND($G84&lt;Hta_11,$G84&gt;=Hba_11,Input!AD$31&lt;&gt;""),Input!$B$31&amp;";",""),IF(AND($G84&lt;Hta_12,$G84&gt;=Hba_12,Input!AD$32&lt;&gt;""),Input!$B$32&amp;";",""),IF(AND($G84&lt;Hta_13,$G84&gt;=Hba_13,Input!AD$33&lt;&gt;""),Input!$B$33&amp;";",""),IF(AND($G84&lt;Hta_14,$G84&gt;=Hba_14,Input!AD$34&lt;&gt;""),Input!$B$34&amp;";",""),IF(AND($G84&lt;Hta_15,$G84&gt;=Hba_15,Input!AD$35&lt;&gt;""),Input!$B$35&amp;";",""),IF(AND($G84&lt;Hta_16,$G84&gt;=Hba_16,Input!AD$36&lt;&gt;""),Input!$B$36&amp;";",""),IF(AND($G84&lt;Hta_17,$G84&gt;=Hba_17,Input!AD$37&lt;&gt;""),Input!$B$37&amp;";",""),IF(AND($G84&lt;Hta_18,$G84&gt;=Hba_18,Input!AD$38&lt;&gt;""),Input!$B$38&amp;";",""),IF(AND($G84&lt;Hta_19,$G84&gt;=Hba_19,Input!AD$39&lt;&gt;""),Input!$B$39&amp;";",""),IF(AND($G84&lt;Hta_20,$G84&gt;=Hba_20,Input!AD$40&lt;&gt;""),Input!$B$40&amp;";",""),IF(AND($G84&lt;Hta_21,$G84&gt;=Hba_21,Input!AD$41&lt;&gt;""),Input!$B$41&amp;";",""),IF(AND($G84&lt;Hta_22,$G84&gt;=Hba_22,Input!AD$42&lt;&gt;""),Input!$B$42&amp;";",""),IF(AND($G84&lt;Hta_23,$G84&gt;=Hba_23,Input!AD$43&lt;&gt;""),Input!$B$43&amp;";",""),IF(AND($G84&lt;Hta_24,$G84&gt;=Hba_24,Input!AD$44&lt;&gt;""),Input!$B$44&amp;";",""),IF(AND($G84&lt;Hta_25,$G84&gt;=Hba_25,Input!AD$45&lt;&gt;""),Input!$B$45&amp;";",""),IF(AND($G84&lt;Hta_26,$G84&gt;=Hba_26,Input!AD$46&lt;&gt;""),Input!$B$46&amp;";",""),IF(AND($G84&lt;Hta_27,$G84&gt;=Hba_27,Input!AD$47&lt;&gt;""),Input!$B$47&amp;";",""),IF(AND($G84&lt;Hta_28,$G84&gt;=Hba_28,Input!AD$48&lt;&gt;""),Input!$B$48&amp;";",""),IF(AND($G84&lt;Hta_29,$G84&gt;=Hba_29,Input!AD$49&lt;&gt;""),Input!$B$49&amp;";",""),IF(AND($G84&lt;Hta_30,$G84&gt;=Hba_30,Input!AD$50&lt;&gt;""),Input!$B$50&amp;";","")),"")</f>
        <v/>
      </c>
      <c r="CF84" s="25" t="str">
        <f>IFERROR(CONCATENATE(IF(AND($G84&lt;Hta_1,$G84&gt;=Hba_1,Input!AE$21&lt;&gt;""),Input!$B$21&amp;";",""),IF(AND($G84&lt;Hta_2,$G84&gt;=Hba_2,Input!AE$22&lt;&gt;""),Input!$B$22&amp;";",""),IF(AND($G84&lt;Hta_3,$G84&gt;=Hba_3,Input!AE$23&lt;&gt;""),Input!$B$23&amp;";",""),IF(AND($G84&lt;Hta_4,$G84&gt;=Hba_4,Input!AE$24&lt;&gt;""),Input!$B$24&amp;";",""),IF(AND($G84&lt;Hta_5,$G84&gt;=Hba_5,Input!AE$25&lt;&gt;""),Input!$B$25&amp;";",""),IF(AND($G84&lt;Hta_6,$G84&gt;=Hba_6,Input!AE$26&lt;&gt;""),Input!$B$26&amp;";",""),IF(AND($G84&lt;Hta_7,$G84&gt;=Hba_7,Input!AE$27&lt;&gt;""),Input!$B$27&amp;";",""),IF(AND($G84&lt;Hta_8,$G84&gt;=Hba_8,Input!AE$28&lt;&gt;""),Input!$B$28&amp;";",""),IF(AND($G84&lt;Hta_9,$G84&gt;=Hba_9,Input!AE$29&lt;&gt;""),Input!$B$29&amp;";",""),IF(AND($G84&lt;Hta_10,$G84&gt;=Hba_10,Input!AE$30&lt;&gt;""),Input!$B$30&amp;";",""),IF(AND($G84&lt;Hta_11,$G84&gt;=Hba_11,Input!AE$31&lt;&gt;""),Input!$B$31&amp;";",""),IF(AND($G84&lt;Hta_12,$G84&gt;=Hba_12,Input!AE$32&lt;&gt;""),Input!$B$32&amp;";",""),IF(AND($G84&lt;Hta_13,$G84&gt;=Hba_13,Input!AE$33&lt;&gt;""),Input!$B$33&amp;";",""),IF(AND($G84&lt;Hta_14,$G84&gt;=Hba_14,Input!AE$34&lt;&gt;""),Input!$B$34&amp;";",""),IF(AND($G84&lt;Hta_15,$G84&gt;=Hba_15,Input!AE$35&lt;&gt;""),Input!$B$35&amp;";",""),IF(AND($G84&lt;Hta_16,$G84&gt;=Hba_16,Input!AE$36&lt;&gt;""),Input!$B$36&amp;";",""),IF(AND($G84&lt;Hta_17,$G84&gt;=Hba_17,Input!AE$37&lt;&gt;""),Input!$B$37&amp;";",""),IF(AND($G84&lt;Hta_18,$G84&gt;=Hba_18,Input!AE$38&lt;&gt;""),Input!$B$38&amp;";",""),IF(AND($G84&lt;Hta_19,$G84&gt;=Hba_19,Input!AE$39&lt;&gt;""),Input!$B$39&amp;";",""),IF(AND($G84&lt;Hta_20,$G84&gt;=Hba_20,Input!AE$40&lt;&gt;""),Input!$B$40&amp;";",""),IF(AND($G84&lt;Hta_21,$G84&gt;=Hba_21,Input!AE$41&lt;&gt;""),Input!$B$41&amp;";",""),IF(AND($G84&lt;Hta_22,$G84&gt;=Hba_22,Input!AE$42&lt;&gt;""),Input!$B$42&amp;";",""),IF(AND($G84&lt;Hta_23,$G84&gt;=Hba_23,Input!AE$43&lt;&gt;""),Input!$B$43&amp;";",""),IF(AND($G84&lt;Hta_24,$G84&gt;=Hba_24,Input!AE$44&lt;&gt;""),Input!$B$44&amp;";",""),IF(AND($G84&lt;Hta_25,$G84&gt;=Hba_25,Input!AE$45&lt;&gt;""),Input!$B$45&amp;";",""),IF(AND($G84&lt;Hta_26,$G84&gt;=Hba_26,Input!AE$46&lt;&gt;""),Input!$B$46&amp;";",""),IF(AND($G84&lt;Hta_27,$G84&gt;=Hba_27,Input!AE$47&lt;&gt;""),Input!$B$47&amp;";",""),IF(AND($G84&lt;Hta_28,$G84&gt;=Hba_28,Input!AE$48&lt;&gt;""),Input!$B$48&amp;";",""),IF(AND($G84&lt;Hta_29,$G84&gt;=Hba_29,Input!AE$49&lt;&gt;""),Input!$B$49&amp;";",""),IF(AND($G84&lt;Hta_30,$G84&gt;=Hba_30,Input!AE$50&lt;&gt;""),Input!$B$50&amp;";","")),"")</f>
        <v/>
      </c>
      <c r="CG84" s="25" t="str">
        <f>IFERROR(CONCATENATE(IF(AND($G84&lt;Hta_1,$G84&gt;=Hba_1,Input!AF$21&lt;&gt;""),Input!$B$21&amp;";",""),IF(AND($G84&lt;Hta_2,$G84&gt;=Hba_2,Input!AF$22&lt;&gt;""),Input!$B$22&amp;";",""),IF(AND($G84&lt;Hta_3,$G84&gt;=Hba_3,Input!AF$23&lt;&gt;""),Input!$B$23&amp;";",""),IF(AND($G84&lt;Hta_4,$G84&gt;=Hba_4,Input!AF$24&lt;&gt;""),Input!$B$24&amp;";",""),IF(AND($G84&lt;Hta_5,$G84&gt;=Hba_5,Input!AF$25&lt;&gt;""),Input!$B$25&amp;";",""),IF(AND($G84&lt;Hta_6,$G84&gt;=Hba_6,Input!AF$26&lt;&gt;""),Input!$B$26&amp;";",""),IF(AND($G84&lt;Hta_7,$G84&gt;=Hba_7,Input!AF$27&lt;&gt;""),Input!$B$27&amp;";",""),IF(AND($G84&lt;Hta_8,$G84&gt;=Hba_8,Input!AF$28&lt;&gt;""),Input!$B$28&amp;";",""),IF(AND($G84&lt;Hta_9,$G84&gt;=Hba_9,Input!AF$29&lt;&gt;""),Input!$B$29&amp;";",""),IF(AND($G84&lt;Hta_10,$G84&gt;=Hba_10,Input!AF$30&lt;&gt;""),Input!$B$30&amp;";",""),IF(AND($G84&lt;Hta_11,$G84&gt;=Hba_11,Input!AF$31&lt;&gt;""),Input!$B$31&amp;";",""),IF(AND($G84&lt;Hta_12,$G84&gt;=Hba_12,Input!AF$32&lt;&gt;""),Input!$B$32&amp;";",""),IF(AND($G84&lt;Hta_13,$G84&gt;=Hba_13,Input!AF$33&lt;&gt;""),Input!$B$33&amp;";",""),IF(AND($G84&lt;Hta_14,$G84&gt;=Hba_14,Input!AF$34&lt;&gt;""),Input!$B$34&amp;";",""),IF(AND($G84&lt;Hta_15,$G84&gt;=Hba_15,Input!AF$35&lt;&gt;""),Input!$B$35&amp;";",""),IF(AND($G84&lt;Hta_16,$G84&gt;=Hba_16,Input!AF$36&lt;&gt;""),Input!$B$36&amp;";",""),IF(AND($G84&lt;Hta_17,$G84&gt;=Hba_17,Input!AF$37&lt;&gt;""),Input!$B$37&amp;";",""),IF(AND($G84&lt;Hta_18,$G84&gt;=Hba_18,Input!AF$38&lt;&gt;""),Input!$B$38&amp;";",""),IF(AND($G84&lt;Hta_19,$G84&gt;=Hba_19,Input!AF$39&lt;&gt;""),Input!$B$39&amp;";",""),IF(AND($G84&lt;Hta_20,$G84&gt;=Hba_20,Input!AF$40&lt;&gt;""),Input!$B$40&amp;";",""),IF(AND($G84&lt;Hta_21,$G84&gt;=Hba_21,Input!AF$41&lt;&gt;""),Input!$B$41&amp;";",""),IF(AND($G84&lt;Hta_22,$G84&gt;=Hba_22,Input!AF$42&lt;&gt;""),Input!$B$42&amp;";",""),IF(AND($G84&lt;Hta_23,$G84&gt;=Hba_23,Input!AF$43&lt;&gt;""),Input!$B$43&amp;";",""),IF(AND($G84&lt;Hta_24,$G84&gt;=Hba_24,Input!AF$44&lt;&gt;""),Input!$B$44&amp;";",""),IF(AND($G84&lt;Hta_25,$G84&gt;=Hba_25,Input!AF$45&lt;&gt;""),Input!$B$45&amp;";",""),IF(AND($G84&lt;Hta_26,$G84&gt;=Hba_26,Input!AF$46&lt;&gt;""),Input!$B$46&amp;";",""),IF(AND($G84&lt;Hta_27,$G84&gt;=Hba_27,Input!AF$47&lt;&gt;""),Input!$B$47&amp;";",""),IF(AND($G84&lt;Hta_28,$G84&gt;=Hba_28,Input!AF$48&lt;&gt;""),Input!$B$48&amp;";",""),IF(AND($G84&lt;Hta_29,$G84&gt;=Hba_29,Input!AF$49&lt;&gt;""),Input!$B$49&amp;";",""),IF(AND($G84&lt;Hta_30,$G84&gt;=Hba_30,Input!AF$50&lt;&gt;""),Input!$B$50&amp;";","")),"")</f>
        <v/>
      </c>
      <c r="CH84" s="25" t="str">
        <f>IFERROR(CONCATENATE(IF(AND($G84&lt;Hta_1,$G84&gt;=Hba_1,Input!AG$21&lt;&gt;""),Input!$B$21&amp;";",""),IF(AND($G84&lt;Hta_2,$G84&gt;=Hba_2,Input!AG$22&lt;&gt;""),Input!$B$22&amp;";",""),IF(AND($G84&lt;Hta_3,$G84&gt;=Hba_3,Input!AG$23&lt;&gt;""),Input!$B$23&amp;";",""),IF(AND($G84&lt;Hta_4,$G84&gt;=Hba_4,Input!AG$24&lt;&gt;""),Input!$B$24&amp;";",""),IF(AND($G84&lt;Hta_5,$G84&gt;=Hba_5,Input!AG$25&lt;&gt;""),Input!$B$25&amp;";",""),IF(AND($G84&lt;Hta_6,$G84&gt;=Hba_6,Input!AG$26&lt;&gt;""),Input!$B$26&amp;";",""),IF(AND($G84&lt;Hta_7,$G84&gt;=Hba_7,Input!AG$27&lt;&gt;""),Input!$B$27&amp;";",""),IF(AND($G84&lt;Hta_8,$G84&gt;=Hba_8,Input!AG$28&lt;&gt;""),Input!$B$28&amp;";",""),IF(AND($G84&lt;Hta_9,$G84&gt;=Hba_9,Input!AG$29&lt;&gt;""),Input!$B$29&amp;";",""),IF(AND($G84&lt;Hta_10,$G84&gt;=Hba_10,Input!AG$30&lt;&gt;""),Input!$B$30&amp;";",""),IF(AND($G84&lt;Hta_11,$G84&gt;=Hba_11,Input!AG$31&lt;&gt;""),Input!$B$31&amp;";",""),IF(AND($G84&lt;Hta_12,$G84&gt;=Hba_12,Input!AG$32&lt;&gt;""),Input!$B$32&amp;";",""),IF(AND($G84&lt;Hta_13,$G84&gt;=Hba_13,Input!AG$33&lt;&gt;""),Input!$B$33&amp;";",""),IF(AND($G84&lt;Hta_14,$G84&gt;=Hba_14,Input!AG$34&lt;&gt;""),Input!$B$34&amp;";",""),IF(AND($G84&lt;Hta_15,$G84&gt;=Hba_15,Input!AG$35&lt;&gt;""),Input!$B$35&amp;";",""),IF(AND($G84&lt;Hta_16,$G84&gt;=Hba_16,Input!AG$36&lt;&gt;""),Input!$B$36&amp;";",""),IF(AND($G84&lt;Hta_17,$G84&gt;=Hba_17,Input!AG$37&lt;&gt;""),Input!$B$37&amp;";",""),IF(AND($G84&lt;Hta_18,$G84&gt;=Hba_18,Input!AG$38&lt;&gt;""),Input!$B$38&amp;";",""),IF(AND($G84&lt;Hta_19,$G84&gt;=Hba_19,Input!AG$39&lt;&gt;""),Input!$B$39&amp;";",""),IF(AND($G84&lt;Hta_20,$G84&gt;=Hba_20,Input!AG$40&lt;&gt;""),Input!$B$40&amp;";",""),IF(AND($G84&lt;Hta_21,$G84&gt;=Hba_21,Input!AG$41&lt;&gt;""),Input!$B$41&amp;";",""),IF(AND($G84&lt;Hta_22,$G84&gt;=Hba_22,Input!AG$42&lt;&gt;""),Input!$B$42&amp;";",""),IF(AND($G84&lt;Hta_23,$G84&gt;=Hba_23,Input!AG$43&lt;&gt;""),Input!$B$43&amp;";",""),IF(AND($G84&lt;Hta_24,$G84&gt;=Hba_24,Input!AG$44&lt;&gt;""),Input!$B$44&amp;";",""),IF(AND($G84&lt;Hta_25,$G84&gt;=Hba_25,Input!AG$45&lt;&gt;""),Input!$B$45&amp;";",""),IF(AND($G84&lt;Hta_26,$G84&gt;=Hba_26,Input!AG$46&lt;&gt;""),Input!$B$46&amp;";",""),IF(AND($G84&lt;Hta_27,$G84&gt;=Hba_27,Input!AG$47&lt;&gt;""),Input!$B$47&amp;";",""),IF(AND($G84&lt;Hta_28,$G84&gt;=Hba_28,Input!AG$48&lt;&gt;""),Input!$B$48&amp;";",""),IF(AND($G84&lt;Hta_29,$G84&gt;=Hba_29,Input!AG$49&lt;&gt;""),Input!$B$49&amp;";",""),IF(AND($G84&lt;Hta_30,$G84&gt;=Hba_30,Input!AG$50&lt;&gt;""),Input!$B$50&amp;";","")),"")</f>
        <v/>
      </c>
      <c r="CI84" s="25" t="str">
        <f>IFERROR(CONCATENATE(IF(AND($G84&lt;Hta_1,$G84&gt;=Hba_1,Input!AH$21&lt;&gt;""),Input!$B$21&amp;";",""),IF(AND($G84&lt;Hta_2,$G84&gt;=Hba_2,Input!AH$22&lt;&gt;""),Input!$B$22&amp;";",""),IF(AND($G84&lt;Hta_3,$G84&gt;=Hba_3,Input!AH$23&lt;&gt;""),Input!$B$23&amp;";",""),IF(AND($G84&lt;Hta_4,$G84&gt;=Hba_4,Input!AH$24&lt;&gt;""),Input!$B$24&amp;";",""),IF(AND($G84&lt;Hta_5,$G84&gt;=Hba_5,Input!AH$25&lt;&gt;""),Input!$B$25&amp;";",""),IF(AND($G84&lt;Hta_6,$G84&gt;=Hba_6,Input!AH$26&lt;&gt;""),Input!$B$26&amp;";",""),IF(AND($G84&lt;Hta_7,$G84&gt;=Hba_7,Input!AH$27&lt;&gt;""),Input!$B$27&amp;";",""),IF(AND($G84&lt;Hta_8,$G84&gt;=Hba_8,Input!AH$28&lt;&gt;""),Input!$B$28&amp;";",""),IF(AND($G84&lt;Hta_9,$G84&gt;=Hba_9,Input!AH$29&lt;&gt;""),Input!$B$29&amp;";",""),IF(AND($G84&lt;Hta_10,$G84&gt;=Hba_10,Input!AH$30&lt;&gt;""),Input!$B$30&amp;";",""),IF(AND($G84&lt;Hta_11,$G84&gt;=Hba_11,Input!AH$31&lt;&gt;""),Input!$B$31&amp;";",""),IF(AND($G84&lt;Hta_12,$G84&gt;=Hba_12,Input!AH$32&lt;&gt;""),Input!$B$32&amp;";",""),IF(AND($G84&lt;Hta_13,$G84&gt;=Hba_13,Input!AH$33&lt;&gt;""),Input!$B$33&amp;";",""),IF(AND($G84&lt;Hta_14,$G84&gt;=Hba_14,Input!AH$34&lt;&gt;""),Input!$B$34&amp;";",""),IF(AND($G84&lt;Hta_15,$G84&gt;=Hba_15,Input!AH$35&lt;&gt;""),Input!$B$35&amp;";",""),IF(AND($G84&lt;Hta_16,$G84&gt;=Hba_16,Input!AH$36&lt;&gt;""),Input!$B$36&amp;";",""),IF(AND($G84&lt;Hta_17,$G84&gt;=Hba_17,Input!AH$37&lt;&gt;""),Input!$B$37&amp;";",""),IF(AND($G84&lt;Hta_18,$G84&gt;=Hba_18,Input!AH$38&lt;&gt;""),Input!$B$38&amp;";",""),IF(AND($G84&lt;Hta_19,$G84&gt;=Hba_19,Input!AH$39&lt;&gt;""),Input!$B$39&amp;";",""),IF(AND($G84&lt;Hta_20,$G84&gt;=Hba_20,Input!AH$40&lt;&gt;""),Input!$B$40&amp;";",""),IF(AND($G84&lt;Hta_21,$G84&gt;=Hba_21,Input!AH$41&lt;&gt;""),Input!$B$41&amp;";",""),IF(AND($G84&lt;Hta_22,$G84&gt;=Hba_22,Input!AH$42&lt;&gt;""),Input!$B$42&amp;";",""),IF(AND($G84&lt;Hta_23,$G84&gt;=Hba_23,Input!AH$43&lt;&gt;""),Input!$B$43&amp;";",""),IF(AND($G84&lt;Hta_24,$G84&gt;=Hba_24,Input!AH$44&lt;&gt;""),Input!$B$44&amp;";",""),IF(AND($G84&lt;Hta_25,$G84&gt;=Hba_25,Input!AH$45&lt;&gt;""),Input!$B$45&amp;";",""),IF(AND($G84&lt;Hta_26,$G84&gt;=Hba_26,Input!AH$46&lt;&gt;""),Input!$B$46&amp;";",""),IF(AND($G84&lt;Hta_27,$G84&gt;=Hba_27,Input!AH$47&lt;&gt;""),Input!$B$47&amp;";",""),IF(AND($G84&lt;Hta_28,$G84&gt;=Hba_28,Input!AH$48&lt;&gt;""),Input!$B$48&amp;";",""),IF(AND($G84&lt;Hta_29,$G84&gt;=Hba_29,Input!AH$49&lt;&gt;""),Input!$B$49&amp;";",""),IF(AND($G84&lt;Hta_30,$G84&gt;=Hba_30,Input!AH$50&lt;&gt;""),Input!$B$50&amp;";","")),"")</f>
        <v/>
      </c>
      <c r="CJ84" s="25" t="str">
        <f>IFERROR(CONCATENATE(IF(AND($G84&lt;Hta_1,$G84&gt;=Hba_1,Input!AI$21&lt;&gt;""),Input!$B$21&amp;";",""),IF(AND($G84&lt;Hta_2,$G84&gt;=Hba_2,Input!AI$22&lt;&gt;""),Input!$B$22&amp;";",""),IF(AND($G84&lt;Hta_3,$G84&gt;=Hba_3,Input!AI$23&lt;&gt;""),Input!$B$23&amp;";",""),IF(AND($G84&lt;Hta_4,$G84&gt;=Hba_4,Input!AI$24&lt;&gt;""),Input!$B$24&amp;";",""),IF(AND($G84&lt;Hta_5,$G84&gt;=Hba_5,Input!AI$25&lt;&gt;""),Input!$B$25&amp;";",""),IF(AND($G84&lt;Hta_6,$G84&gt;=Hba_6,Input!AI$26&lt;&gt;""),Input!$B$26&amp;";",""),IF(AND($G84&lt;Hta_7,$G84&gt;=Hba_7,Input!AI$27&lt;&gt;""),Input!$B$27&amp;";",""),IF(AND($G84&lt;Hta_8,$G84&gt;=Hba_8,Input!AI$28&lt;&gt;""),Input!$B$28&amp;";",""),IF(AND($G84&lt;Hta_9,$G84&gt;=Hba_9,Input!AI$29&lt;&gt;""),Input!$B$29&amp;";",""),IF(AND($G84&lt;Hta_10,$G84&gt;=Hba_10,Input!AI$30&lt;&gt;""),Input!$B$30&amp;";",""),IF(AND($G84&lt;Hta_11,$G84&gt;=Hba_11,Input!AI$31&lt;&gt;""),Input!$B$31&amp;";",""),IF(AND($G84&lt;Hta_12,$G84&gt;=Hba_12,Input!AI$32&lt;&gt;""),Input!$B$32&amp;";",""),IF(AND($G84&lt;Hta_13,$G84&gt;=Hba_13,Input!AI$33&lt;&gt;""),Input!$B$33&amp;";",""),IF(AND($G84&lt;Hta_14,$G84&gt;=Hba_14,Input!AI$34&lt;&gt;""),Input!$B$34&amp;";",""),IF(AND($G84&lt;Hta_15,$G84&gt;=Hba_15,Input!AI$35&lt;&gt;""),Input!$B$35&amp;";",""),IF(AND($G84&lt;Hta_16,$G84&gt;=Hba_16,Input!AI$36&lt;&gt;""),Input!$B$36&amp;";",""),IF(AND($G84&lt;Hta_17,$G84&gt;=Hba_17,Input!AI$37&lt;&gt;""),Input!$B$37&amp;";",""),IF(AND($G84&lt;Hta_18,$G84&gt;=Hba_18,Input!AI$38&lt;&gt;""),Input!$B$38&amp;";",""),IF(AND($G84&lt;Hta_19,$G84&gt;=Hba_19,Input!AI$39&lt;&gt;""),Input!$B$39&amp;";",""),IF(AND($G84&lt;Hta_20,$G84&gt;=Hba_20,Input!AI$40&lt;&gt;""),Input!$B$40&amp;";",""),IF(AND($G84&lt;Hta_21,$G84&gt;=Hba_21,Input!AI$41&lt;&gt;""),Input!$B$41&amp;";",""),IF(AND($G84&lt;Hta_22,$G84&gt;=Hba_22,Input!AI$42&lt;&gt;""),Input!$B$42&amp;";",""),IF(AND($G84&lt;Hta_23,$G84&gt;=Hba_23,Input!AI$43&lt;&gt;""),Input!$B$43&amp;";",""),IF(AND($G84&lt;Hta_24,$G84&gt;=Hba_24,Input!AI$44&lt;&gt;""),Input!$B$44&amp;";",""),IF(AND($G84&lt;Hta_25,$G84&gt;=Hba_25,Input!AI$45&lt;&gt;""),Input!$B$45&amp;";",""),IF(AND($G84&lt;Hta_26,$G84&gt;=Hba_26,Input!AI$46&lt;&gt;""),Input!$B$46&amp;";",""),IF(AND($G84&lt;Hta_27,$G84&gt;=Hba_27,Input!AI$47&lt;&gt;""),Input!$B$47&amp;";",""),IF(AND($G84&lt;Hta_28,$G84&gt;=Hba_28,Input!AI$48&lt;&gt;""),Input!$B$48&amp;";",""),IF(AND($G84&lt;Hta_29,$G84&gt;=Hba_29,Input!AI$49&lt;&gt;""),Input!$B$49&amp;";",""),IF(AND($G84&lt;Hta_30,$G84&gt;=Hba_30,Input!AI$50&lt;&gt;""),Input!$B$50&amp;";","")),"")</f>
        <v/>
      </c>
      <c r="CK84" s="25" t="str">
        <f>IFERROR(CONCATENATE(IF(AND($G84&lt;Hta_1,$G84&gt;=Hba_1,Input!AJ$21&lt;&gt;""),Input!$B$21&amp;";",""),IF(AND($G84&lt;Hta_2,$G84&gt;=Hba_2,Input!AJ$22&lt;&gt;""),Input!$B$22&amp;";",""),IF(AND($G84&lt;Hta_3,$G84&gt;=Hba_3,Input!AJ$23&lt;&gt;""),Input!$B$23&amp;";",""),IF(AND($G84&lt;Hta_4,$G84&gt;=Hba_4,Input!AJ$24&lt;&gt;""),Input!$B$24&amp;";",""),IF(AND($G84&lt;Hta_5,$G84&gt;=Hba_5,Input!AJ$25&lt;&gt;""),Input!$B$25&amp;";",""),IF(AND($G84&lt;Hta_6,$G84&gt;=Hba_6,Input!AJ$26&lt;&gt;""),Input!$B$26&amp;";",""),IF(AND($G84&lt;Hta_7,$G84&gt;=Hba_7,Input!AJ$27&lt;&gt;""),Input!$B$27&amp;";",""),IF(AND($G84&lt;Hta_8,$G84&gt;=Hba_8,Input!AJ$28&lt;&gt;""),Input!$B$28&amp;";",""),IF(AND($G84&lt;Hta_9,$G84&gt;=Hba_9,Input!AJ$29&lt;&gt;""),Input!$B$29&amp;";",""),IF(AND($G84&lt;Hta_10,$G84&gt;=Hba_10,Input!AJ$30&lt;&gt;""),Input!$B$30&amp;";",""),IF(AND($G84&lt;Hta_11,$G84&gt;=Hba_11,Input!AJ$31&lt;&gt;""),Input!$B$31&amp;";",""),IF(AND($G84&lt;Hta_12,$G84&gt;=Hba_12,Input!AJ$32&lt;&gt;""),Input!$B$32&amp;";",""),IF(AND($G84&lt;Hta_13,$G84&gt;=Hba_13,Input!AJ$33&lt;&gt;""),Input!$B$33&amp;";",""),IF(AND($G84&lt;Hta_14,$G84&gt;=Hba_14,Input!AJ$34&lt;&gt;""),Input!$B$34&amp;";",""),IF(AND($G84&lt;Hta_15,$G84&gt;=Hba_15,Input!AJ$35&lt;&gt;""),Input!$B$35&amp;";",""),IF(AND($G84&lt;Hta_16,$G84&gt;=Hba_16,Input!AJ$36&lt;&gt;""),Input!$B$36&amp;";",""),IF(AND($G84&lt;Hta_17,$G84&gt;=Hba_17,Input!AJ$37&lt;&gt;""),Input!$B$37&amp;";",""),IF(AND($G84&lt;Hta_18,$G84&gt;=Hba_18,Input!AJ$38&lt;&gt;""),Input!$B$38&amp;";",""),IF(AND($G84&lt;Hta_19,$G84&gt;=Hba_19,Input!AJ$39&lt;&gt;""),Input!$B$39&amp;";",""),IF(AND($G84&lt;Hta_20,$G84&gt;=Hba_20,Input!AJ$40&lt;&gt;""),Input!$B$40&amp;";",""),IF(AND($G84&lt;Hta_21,$G84&gt;=Hba_21,Input!AJ$41&lt;&gt;""),Input!$B$41&amp;";",""),IF(AND($G84&lt;Hta_22,$G84&gt;=Hba_22,Input!AJ$42&lt;&gt;""),Input!$B$42&amp;";",""),IF(AND($G84&lt;Hta_23,$G84&gt;=Hba_23,Input!AJ$43&lt;&gt;""),Input!$B$43&amp;";",""),IF(AND($G84&lt;Hta_24,$G84&gt;=Hba_24,Input!AJ$44&lt;&gt;""),Input!$B$44&amp;";",""),IF(AND($G84&lt;Hta_25,$G84&gt;=Hba_25,Input!AJ$45&lt;&gt;""),Input!$B$45&amp;";",""),IF(AND($G84&lt;Hta_26,$G84&gt;=Hba_26,Input!AJ$46&lt;&gt;""),Input!$B$46&amp;";",""),IF(AND($G84&lt;Hta_27,$G84&gt;=Hba_27,Input!AJ$47&lt;&gt;""),Input!$B$47&amp;";",""),IF(AND($G84&lt;Hta_28,$G84&gt;=Hba_28,Input!AJ$48&lt;&gt;""),Input!$B$48&amp;";",""),IF(AND($G84&lt;Hta_29,$G84&gt;=Hba_29,Input!AJ$49&lt;&gt;""),Input!$B$49&amp;";",""),IF(AND($G84&lt;Hta_30,$G84&gt;=Hba_30,Input!AJ$50&lt;&gt;""),Input!$B$50&amp;";","")),"")</f>
        <v/>
      </c>
      <c r="CL84" s="25" t="str">
        <f>IFERROR(CONCATENATE(IF(AND($G84&lt;Hta_1,$G84&gt;=Hba_1,Input!AK$21&lt;&gt;""),Input!$B$21&amp;";",""),IF(AND($G84&lt;Hta_2,$G84&gt;=Hba_2,Input!AK$22&lt;&gt;""),Input!$B$22&amp;";",""),IF(AND($G84&lt;Hta_3,$G84&gt;=Hba_3,Input!AK$23&lt;&gt;""),Input!$B$23&amp;";",""),IF(AND($G84&lt;Hta_4,$G84&gt;=Hba_4,Input!AK$24&lt;&gt;""),Input!$B$24&amp;";",""),IF(AND($G84&lt;Hta_5,$G84&gt;=Hba_5,Input!AK$25&lt;&gt;""),Input!$B$25&amp;";",""),IF(AND($G84&lt;Hta_6,$G84&gt;=Hba_6,Input!AK$26&lt;&gt;""),Input!$B$26&amp;";",""),IF(AND($G84&lt;Hta_7,$G84&gt;=Hba_7,Input!AK$27&lt;&gt;""),Input!$B$27&amp;";",""),IF(AND($G84&lt;Hta_8,$G84&gt;=Hba_8,Input!AK$28&lt;&gt;""),Input!$B$28&amp;";",""),IF(AND($G84&lt;Hta_9,$G84&gt;=Hba_9,Input!AK$29&lt;&gt;""),Input!$B$29&amp;";",""),IF(AND($G84&lt;Hta_10,$G84&gt;=Hba_10,Input!AK$30&lt;&gt;""),Input!$B$30&amp;";",""),IF(AND($G84&lt;Hta_11,$G84&gt;=Hba_11,Input!AK$31&lt;&gt;""),Input!$B$31&amp;";",""),IF(AND($G84&lt;Hta_12,$G84&gt;=Hba_12,Input!AK$32&lt;&gt;""),Input!$B$32&amp;";",""),IF(AND($G84&lt;Hta_13,$G84&gt;=Hba_13,Input!AK$33&lt;&gt;""),Input!$B$33&amp;";",""),IF(AND($G84&lt;Hta_14,$G84&gt;=Hba_14,Input!AK$34&lt;&gt;""),Input!$B$34&amp;";",""),IF(AND($G84&lt;Hta_15,$G84&gt;=Hba_15,Input!AK$35&lt;&gt;""),Input!$B$35&amp;";",""),IF(AND($G84&lt;Hta_16,$G84&gt;=Hba_16,Input!AK$36&lt;&gt;""),Input!$B$36&amp;";",""),IF(AND($G84&lt;Hta_17,$G84&gt;=Hba_17,Input!AK$37&lt;&gt;""),Input!$B$37&amp;";",""),IF(AND($G84&lt;Hta_18,$G84&gt;=Hba_18,Input!AK$38&lt;&gt;""),Input!$B$38&amp;";",""),IF(AND($G84&lt;Hta_19,$G84&gt;=Hba_19,Input!AK$39&lt;&gt;""),Input!$B$39&amp;";",""),IF(AND($G84&lt;Hta_20,$G84&gt;=Hba_20,Input!AK$40&lt;&gt;""),Input!$B$40&amp;";",""),IF(AND($G84&lt;Hta_21,$G84&gt;=Hba_21,Input!AK$41&lt;&gt;""),Input!$B$41&amp;";",""),IF(AND($G84&lt;Hta_22,$G84&gt;=Hba_22,Input!AK$42&lt;&gt;""),Input!$B$42&amp;";",""),IF(AND($G84&lt;Hta_23,$G84&gt;=Hba_23,Input!AK$43&lt;&gt;""),Input!$B$43&amp;";",""),IF(AND($G84&lt;Hta_24,$G84&gt;=Hba_24,Input!AK$44&lt;&gt;""),Input!$B$44&amp;";",""),IF(AND($G84&lt;Hta_25,$G84&gt;=Hba_25,Input!AK$45&lt;&gt;""),Input!$B$45&amp;";",""),IF(AND($G84&lt;Hta_26,$G84&gt;=Hba_26,Input!AK$46&lt;&gt;""),Input!$B$46&amp;";",""),IF(AND($G84&lt;Hta_27,$G84&gt;=Hba_27,Input!AK$47&lt;&gt;""),Input!$B$47&amp;";",""),IF(AND($G84&lt;Hta_28,$G84&gt;=Hba_28,Input!AK$48&lt;&gt;""),Input!$B$48&amp;";",""),IF(AND($G84&lt;Hta_29,$G84&gt;=Hba_29,Input!AK$49&lt;&gt;""),Input!$B$49&amp;";",""),IF(AND($G84&lt;Hta_30,$G84&gt;=Hba_30,Input!AK$50&lt;&gt;""),Input!$B$50&amp;";","")),"")</f>
        <v/>
      </c>
      <c r="CM84" s="25" t="str">
        <f>IFERROR(CONCATENATE(IF(AND($G84&lt;Hta_1,$G84&gt;=Hba_1,Input!AL$21&lt;&gt;""),Input!$B$21&amp;";",""),IF(AND($G84&lt;Hta_2,$G84&gt;=Hba_2,Input!AL$22&lt;&gt;""),Input!$B$22&amp;";",""),IF(AND($G84&lt;Hta_3,$G84&gt;=Hba_3,Input!AL$23&lt;&gt;""),Input!$B$23&amp;";",""),IF(AND($G84&lt;Hta_4,$G84&gt;=Hba_4,Input!AL$24&lt;&gt;""),Input!$B$24&amp;";",""),IF(AND($G84&lt;Hta_5,$G84&gt;=Hba_5,Input!AL$25&lt;&gt;""),Input!$B$25&amp;";",""),IF(AND($G84&lt;Hta_6,$G84&gt;=Hba_6,Input!AL$26&lt;&gt;""),Input!$B$26&amp;";",""),IF(AND($G84&lt;Hta_7,$G84&gt;=Hba_7,Input!AL$27&lt;&gt;""),Input!$B$27&amp;";",""),IF(AND($G84&lt;Hta_8,$G84&gt;=Hba_8,Input!AL$28&lt;&gt;""),Input!$B$28&amp;";",""),IF(AND($G84&lt;Hta_9,$G84&gt;=Hba_9,Input!AL$29&lt;&gt;""),Input!$B$29&amp;";",""),IF(AND($G84&lt;Hta_10,$G84&gt;=Hba_10,Input!AL$30&lt;&gt;""),Input!$B$30&amp;";",""),IF(AND($G84&lt;Hta_11,$G84&gt;=Hba_11,Input!AL$31&lt;&gt;""),Input!$B$31&amp;";",""),IF(AND($G84&lt;Hta_12,$G84&gt;=Hba_12,Input!AL$32&lt;&gt;""),Input!$B$32&amp;";",""),IF(AND($G84&lt;Hta_13,$G84&gt;=Hba_13,Input!AL$33&lt;&gt;""),Input!$B$33&amp;";",""),IF(AND($G84&lt;Hta_14,$G84&gt;=Hba_14,Input!AL$34&lt;&gt;""),Input!$B$34&amp;";",""),IF(AND($G84&lt;Hta_15,$G84&gt;=Hba_15,Input!AL$35&lt;&gt;""),Input!$B$35&amp;";",""),IF(AND($G84&lt;Hta_16,$G84&gt;=Hba_16,Input!AL$36&lt;&gt;""),Input!$B$36&amp;";",""),IF(AND($G84&lt;Hta_17,$G84&gt;=Hba_17,Input!AL$37&lt;&gt;""),Input!$B$37&amp;";",""),IF(AND($G84&lt;Hta_18,$G84&gt;=Hba_18,Input!AL$38&lt;&gt;""),Input!$B$38&amp;";",""),IF(AND($G84&lt;Hta_19,$G84&gt;=Hba_19,Input!AL$39&lt;&gt;""),Input!$B$39&amp;";",""),IF(AND($G84&lt;Hta_20,$G84&gt;=Hba_20,Input!AL$40&lt;&gt;""),Input!$B$40&amp;";",""),IF(AND($G84&lt;Hta_21,$G84&gt;=Hba_21,Input!AL$41&lt;&gt;""),Input!$B$41&amp;";",""),IF(AND($G84&lt;Hta_22,$G84&gt;=Hba_22,Input!AL$42&lt;&gt;""),Input!$B$42&amp;";",""),IF(AND($G84&lt;Hta_23,$G84&gt;=Hba_23,Input!AL$43&lt;&gt;""),Input!$B$43&amp;";",""),IF(AND($G84&lt;Hta_24,$G84&gt;=Hba_24,Input!AL$44&lt;&gt;""),Input!$B$44&amp;";",""),IF(AND($G84&lt;Hta_25,$G84&gt;=Hba_25,Input!AL$45&lt;&gt;""),Input!$B$45&amp;";",""),IF(AND($G84&lt;Hta_26,$G84&gt;=Hba_26,Input!AL$46&lt;&gt;""),Input!$B$46&amp;";",""),IF(AND($G84&lt;Hta_27,$G84&gt;=Hba_27,Input!AL$47&lt;&gt;""),Input!$B$47&amp;";",""),IF(AND($G84&lt;Hta_28,$G84&gt;=Hba_28,Input!AL$48&lt;&gt;""),Input!$B$48&amp;";",""),IF(AND($G84&lt;Hta_29,$G84&gt;=Hba_29,Input!AL$49&lt;&gt;""),Input!$B$49&amp;";",""),IF(AND($G84&lt;Hta_30,$G84&gt;=Hba_30,Input!AL$50&lt;&gt;""),Input!$B$50&amp;";","")),"")</f>
        <v/>
      </c>
      <c r="CN84" s="59" t="str">
        <f t="shared" si="16"/>
        <v/>
      </c>
      <c r="CO84" s="791"/>
      <c r="CP84" s="792"/>
      <c r="CQ84" s="793"/>
      <c r="CR84" s="791"/>
      <c r="CS84" s="792"/>
      <c r="CT84" s="793"/>
      <c r="CU84" s="791" t="str">
        <f t="shared" si="17"/>
        <v/>
      </c>
      <c r="CV84" s="792"/>
      <c r="CW84" s="807"/>
      <c r="CX84" s="808"/>
      <c r="CY84" s="730"/>
      <c r="CZ84" s="809"/>
      <c r="DA84" s="733"/>
      <c r="DB84" s="734"/>
      <c r="DC84" s="735"/>
      <c r="DD84" s="729" t="str">
        <f t="shared" si="18"/>
        <v/>
      </c>
      <c r="DE84" s="730"/>
      <c r="DF84" s="731"/>
      <c r="DG84" s="55"/>
      <c r="DH84" s="56"/>
      <c r="DI84" s="56"/>
      <c r="DJ84" s="56"/>
      <c r="DK84" s="56"/>
      <c r="DL84" s="56"/>
      <c r="DM84" s="56"/>
      <c r="DN84" s="56"/>
      <c r="DO84" s="56"/>
      <c r="DP84" s="56"/>
      <c r="DQ84" s="58"/>
      <c r="DR84" s="58"/>
      <c r="DS84" s="58"/>
      <c r="DT84" s="58"/>
      <c r="DU84" s="58"/>
      <c r="DV84" s="58"/>
      <c r="DW84" s="58"/>
      <c r="DX84" s="58"/>
      <c r="DY84" s="58"/>
      <c r="DZ84" s="58"/>
      <c r="EA84" s="58"/>
      <c r="EB84" s="58"/>
      <c r="EC84" s="58"/>
      <c r="ED84" s="58"/>
      <c r="EE84" s="58"/>
      <c r="EF84" s="58"/>
      <c r="EG84" s="58"/>
      <c r="EH84" s="58"/>
      <c r="EI84" s="58"/>
      <c r="EJ84" s="58"/>
      <c r="EK84" s="58"/>
      <c r="EL84" s="134"/>
      <c r="EM84" s="134"/>
      <c r="EN84" s="134"/>
      <c r="EO84" s="134"/>
      <c r="EP84" s="134"/>
      <c r="EQ84" s="134"/>
      <c r="ER84" s="134"/>
      <c r="ES84" s="134"/>
      <c r="ET84" s="134"/>
      <c r="EU84" s="134"/>
      <c r="EV84" s="134"/>
      <c r="EW84" s="134"/>
      <c r="EX84" s="134"/>
      <c r="EY84" s="134"/>
      <c r="EZ84" s="134"/>
      <c r="FA84" s="134"/>
      <c r="FB84" s="134"/>
      <c r="FC84" s="134"/>
      <c r="FD84" s="134"/>
      <c r="FE84" s="134"/>
      <c r="FF84" s="134"/>
      <c r="FG84" s="134"/>
      <c r="FH84" s="134"/>
      <c r="FI84" s="134"/>
      <c r="FJ84" s="134"/>
      <c r="FK84" s="134"/>
      <c r="FL84" s="134"/>
      <c r="FM84" s="134"/>
      <c r="FN84" s="134"/>
      <c r="FO84" s="134"/>
      <c r="FQ84" s="124"/>
      <c r="FR84" s="122"/>
      <c r="FS84" s="120"/>
      <c r="FT84" s="119"/>
    </row>
    <row r="85" spans="2:176" ht="15.75" hidden="1" thickBot="1" x14ac:dyDescent="0.3">
      <c r="B85" s="62" t="b">
        <f>IF(OR(AND(G85&gt;='Geometry 2'!$AK$5,G85&lt;'Geometry 2'!$AL$5),AND(G85&gt;='Geometry 2'!$AK$6,G85&lt;'Geometry 2'!$AL$6),AND(G85&gt;='Geometry 2'!$AK$7,G85&lt;'Geometry 2'!$AL$7),AND(G85&gt;='Geometry 2'!$AK$8,G85&lt;'Geometry 2'!$AL$8),AND(G85&gt;='Geometry 2'!$AK$9,G85&lt;'Geometry 2'!$AL$9),AND(G85&gt;='Geometry 2'!$AK$10,G85&lt;'Geometry 2'!$AL$10),AND(G85&gt;='Geometry 2'!$AK$11,G85&lt;'Geometry 2'!$AL$11),AND(G85&gt;='Geometry 2'!$AK$12,G85&lt;'Geometry 2'!$AL$12),AND(G85&gt;='Geometry 2'!$AK$13,G85&lt;'Geometry 2'!$AL$13),AND(G85&gt;='Geometry 2'!$AK$14,G85&lt;'Geometry 2'!$AL$14)),TRUE,FALSE)</f>
        <v>0</v>
      </c>
      <c r="C85" s="4" t="str">
        <f t="shared" si="13"/>
        <v/>
      </c>
      <c r="D85" s="766" t="str">
        <f t="shared" si="14"/>
        <v/>
      </c>
      <c r="E85" s="767"/>
      <c r="F85" s="17" t="str">
        <f t="shared" si="12"/>
        <v/>
      </c>
      <c r="G85" s="768" t="str">
        <f>IF(D85="","",MAX(0,G84-IF(inc="n/a",999,inc),MAX(IF(G84&lt;=Hta_1,0,Hta_1),IF(G84&lt;=Hta_2,0,Hta_2),IF(G84&lt;=Hta_3,0,Hta_3),IF(G84&lt;=Hta_4,0,Hta_4),IF(G84&lt;=Hta_5,0,Hta_5),IF(G84&lt;=Hta_6,0,Hta_6),IF(G84&lt;=Hta_7,0,Hta_7),IF(G84&lt;=Hta_8,0,Hta_8),IF(G84&lt;=Hta_9,0,Hta_9),IF(G84&lt;=Hta_10,0,Hta_10),IF(G84&lt;=Hta_11,0,Hta_11),IF(G84&lt;=Hta_12,0,Hta_12),IF(G84&lt;=Hta_13,0,Hta_13),IF(G84&lt;=Hta_14,0,Hta_14),IF(G84&lt;=Hta_15,0,Hta_15),IF(G84&lt;=Hta_16,0,Hta_16),IF(G84&lt;=Hta_17,0,Hta_17),IF(G84&lt;=Hta_18,0,Hta_18),IF(G84&lt;=Hta_19,0,Hta_19),IF(G84&lt;=Hta_20,0,Hta_20),IF(G84&lt;=Hta_21,0,Hta_21),IF(G84&lt;=Hta_22,0,Hta_22),IF(G84&lt;=Hta_23,0,Hta_23),IF(G84&lt;=Hta_24,0,Hta_24),IF(G84&lt;=Hta_25,0,Hta_25),IF(G84&lt;=Hta_26,0,Hta_26),IF(G84&lt;=Hta_27,0,Hta_27),IF(G84&lt;=Hta_28,0,Hta_28),IF(G84&lt;=Hta_29,0,Hta_29),IF(G84&lt;=Hta_30,0,Hta_30)),MAX(IF(G84&lt;=Hta_1-0.25,0,Hta_1-0.25),IF(G84&lt;=Hta_2-0.25,0,Hta_2-0.25),IF(G84&lt;=Hta_3-0.25,0,Hta_3-0.25),IF(G84&lt;=Hta_4-0.25,0,Hta_4-0.25),IF(G84&lt;=Hta_5-0.25,0,Hta_5-0.25),IF(G84&lt;=Hta_6-0.25,0,Hta_6-0.25),IF(G84&lt;=Hta_7-0.25,0,Hta_7-0.25),IF(G84&lt;=Hta_8-0.25,0,Hta_8-0.25),IF(G84&lt;=Hta_9-0.25,0,Hta_9-0.25),IF(G84&lt;=Hta_10-0.25,0,Hta_10-0.25),IF(G84&lt;=Hta_11-0.25,0,Hta_11-0.25),IF(G84&lt;=Hta_12-0.25,0,Hta_12-0.25),IF(G84&lt;=Hta_13-0.25,0,Hta_13-0.25),IF(G84&lt;=Hta_14-0.25,0,Hta_14-0.25),IF(G84&lt;=Hta_15-0.25,0,Hta_15-0.25),IF(G84&lt;=Hta_16-0.25,0,Hta_16-0.25),IF(G84&lt;=Hta_17-0.25,0,Hta_17-0.25),IF(G84&lt;=Hta_18-0.25,0,Hta_18-0.25),IF(G84&lt;=Hta_19-0.25,0,Hta_19-0.25),IF(G84&lt;=Hta_20-0.25,0,Hta_20-0.25),IF(G84&lt;=Hta_21-0.25,0,Hta_21-0.25),IF(G84&lt;=Hta_22-0.25,0,Hta_22-0.25),IF(G84&lt;=Hta_23-0.25,0,Hta_23-0.25),IF(G84&lt;=Hta_24-0.25,0,Hta_24-0.25),IF(G84&lt;=Hta_25-0.25,0,Hta_25-0.25),IF(G84&lt;=Hta_26-0.25,0,Hta_26-0.25),IF(G84&lt;=Hta_27-0.25,0,Hta_27-0.25),IF(G84&lt;=Hta_28-0.25,0,Hta_28-0.25),IF(G84&lt;=Hta_29-0.25,0,Hta_29-0.25),IF(G84&lt;=Hta_30-0.25,0,Hta_30-0.25)),MAX(IF(G84&lt;=Hba_1,0,Hba_1),IF(G84&lt;=Hba_2,0,Hba_2),IF(G84&lt;=Hba_3,0,Hba_3),IF(G84&lt;=Hba_4,0,Hba_4),IF(G84&lt;=Hba_5,0,Hba_5),IF(G84&lt;=Hba_6,0,Hba_6),IF(G84&lt;=Hba_7,0,Hba_7),IF(G84&lt;=Hba_8,0,Hba_8),IF(G84&lt;=Hba_9,0,Hba_9),IF(G84&lt;=Hba_10,0,Hba_10),IF(G84&lt;=Hba_11,0,Hba_11),IF(G84&lt;=Hba_12,0,Hba_12),IF(G84&lt;=Hba_13,0,Hba_13),IF(G84&lt;=Hba_14,0,Hba_14),IF(G84&lt;=Hba_15,0,Hba_15),IF(G84&lt;=Hba_16,0,Hba_16),IF(G84&lt;=Hba_17,0,Hba_17),IF(G84&lt;=Hba_18,0,Hba_18),IF(G84&lt;=Hba_19,0,Hba_19),IF(G84&lt;=Hba_20,0,Hba_20),IF(G84&lt;=Hba_21,0,Hba_21),IF(G84&lt;=Hba_22,0,Hba_22),IF(G84&lt;=Hba_23,0,Hba_23),IF(G84&lt;=Hba_24,0,Hba_24),IF(G84&lt;=Hba_25,0,Hba_25),IF(G84&lt;=Hba_26,0,Hba_26),IF(G84&lt;=Hba_27,0,Hba_27),IF(G84&lt;=Hba_28,0,Hba_28),IF(G84&lt;=Hba_29,0,Hba_29),IF(G84&lt;=Hba_30,0,Hba_30)),MAX(IF(G84&lt;=Input!$C$8,0,Input!$C$8),IF(G84&lt;=Input!$C$9,0,Input!$C$9),IF(G84&lt;=Input!$C$10,0,Input!$C$10),IF(G84&lt;=Input!$C$11,0,Input!$C$11),IF(G84&lt;=Input!$C$12,0,Input!$C$12),IF(G84&lt;=Input!$C$13,0,Input!$C$13),IF(G84&lt;=Input!$C$14,0,Input!$C$14),IF(G84&lt;=Input!$C$15,0,Input!$C$15),IF(G84&lt;=Input!$C$16,0,Input!$C$16)),MAX(IF(G84&lt;=Hba_1-0.25,0,Hba_1-0.25),IF(G84&lt;=Hba_2-0.25,0,Hba_2-0.25),IF(G84&lt;=Hba_3-0.25,0,Hba_3-0.25),IF(G84&lt;=Hba_4-0.25,0,Hba_4-0.25),IF(G84&lt;=Hba_5-0.25,0,Hba_5-0.25),IF(G84&lt;=Hba_6-0.25,0,Hba_6-0.25),IF(G84&lt;=Hba_7-0.25,0,Hba_7-0.25),IF(G84&lt;=Hba_8-0.25,0,Hba_8-0.25),IF(G84&lt;=Hba_9-0.25,0,Hba_9-0.25),IF(G84&lt;=Hba_10-0.25,0,Hba_10-0.25),IF(G84&lt;=Hba_11-0.25,0,Hba_11-0.25),IF(G84&lt;=Hba_12-0.25,0,Hba_12-0.25),IF(G84&lt;=Hba_13-0.25,0,Hba_13-0.25),IF(G84&lt;=Hba_14-0.25,0,Hba_14-0.25),IF(G84&lt;=Hba_15-0.25,0,Hba_15-0.25),IF(G84&lt;=Hba_16-0.25,0,Hba_16-0.25),IF(G84&lt;=Hba_17-0.25,0,Hba_17-0.25),IF(G84&lt;=Hba_18-0.25,0,Hba_18-0.25),IF(G84&lt;=Hba_19-0.25,0,Hba_19-0.25),IF(G84&lt;=Hba_20-0.25,0,Hba_20-0.25),IF(G84&lt;=Hba_21-0.25,0,Hba_21-0.25),IF(G84&lt;=Hba_22-0.25,0,Hba_22-0.25),IF(G84&lt;=Hba_23-0.25,0,Hba_23-0.25),IF(G84&lt;=Hba_24-0.25,0,Hba_24-0.25),IF(G84&lt;=Hba_25-0.25,0,Hba_25-0.25),IF(G84&lt;=Hba_26-0.25,0,Hba_26-0.25),IF(G84&lt;=Hba_27-0.25,0,Hba_27-0.25),IF(G84&lt;=Hba_28-0.25,0,Hba_28-0.25),IF(G84&lt;=Hba_29-0.25,0,Hba_29-0.25),IF(G84&lt;=Hba_30-0.25,0,Hba_30-0.25)),IF(G84&lt;='Macro References'!$A$38,0,'Macro References'!$A$38)))</f>
        <v/>
      </c>
      <c r="H85" s="769"/>
      <c r="I85" s="228"/>
      <c r="J85" s="228"/>
      <c r="K85" s="228"/>
      <c r="L85" s="717" t="str">
        <f t="shared" si="11"/>
        <v/>
      </c>
      <c r="M85" s="717"/>
      <c r="N85" s="717"/>
      <c r="O85" s="717"/>
      <c r="P85" s="717" t="str">
        <f>IF(OR(G85=0,G85=""),"",IF(VLOOKUP(G85,'Geometry 2'!$C$4:$AI$14,1,TRUE)=VLOOKUP(G86,'Geometry 2'!$C$4:$AI$14,1,TRUE),"",IF(VLOOKUP(G85,'Geometry 2'!$C$4:$AI$14,33,TRUE)&lt;&gt;"n/a",MIN(G85,VLOOKUP(G85,'Geometry 2'!$C$4:$AI$14,1,TRUE))-VLOOKUP(G85,'Geometry 2'!$C$4:$AI$14,33,TRUE),"check")))</f>
        <v/>
      </c>
      <c r="Q85" s="717"/>
      <c r="R85" s="717"/>
      <c r="S85" s="717"/>
      <c r="T85" s="717" t="str">
        <f>IF($G85="","",VLOOKUP($G85,'Geometry 2'!$E$4:$AH$14,11,TRUE))</f>
        <v/>
      </c>
      <c r="U85" s="717"/>
      <c r="V85" s="717"/>
      <c r="W85" s="717"/>
      <c r="X85" s="716" t="str">
        <f>IF($G85="","",VLOOKUP($G85,'Geometry 2'!$E$4:$AJ$14,19,TRUE)-12*VLOOKUP($G85,'Geometry 2'!$E$4:$AJ$14,32,TRUE)*($D85-VLOOKUP($G85,'Geometry 2'!$E$5:$AH$14,1,TRUE)))</f>
        <v/>
      </c>
      <c r="Y85" s="716"/>
      <c r="Z85" s="716"/>
      <c r="AA85" s="716"/>
      <c r="AB85" s="757" t="str">
        <f>IF($G85="","",VLOOKUP($G85,'Geometry 2'!$E$4:$AJ$14,19,TRUE)-12*VLOOKUP($G85,'Geometry 2'!$E$4:$AJ$14,32,TRUE)*($G85-VLOOKUP($G85,'Geometry 2'!$E$5:$AH$14,1,TRUE)))</f>
        <v/>
      </c>
      <c r="AC85" s="758"/>
      <c r="AD85" s="758"/>
      <c r="AE85" s="759"/>
      <c r="AF85" s="716" t="str">
        <f>IF($G85="","",VLOOKUP($G85,'Geometry 2'!$E$4:$AJ$14,19,TRUE)-12*VLOOKUP($G85,'Geometry 2'!$E$4:$AJ$14,32,TRUE)*($G85-IF($P85="",0,$P85)-VLOOKUP($G85,'Geometry 2'!$E$5:$AH$14,1,TRUE)))</f>
        <v/>
      </c>
      <c r="AG85" s="716"/>
      <c r="AH85" s="716"/>
      <c r="AI85" s="716"/>
      <c r="AJ85" s="746" t="str">
        <f>IF($G85="","",VLOOKUP($G85,'Geometry 2'!$E$4:$AH$14,23,TRUE))</f>
        <v/>
      </c>
      <c r="AK85" s="747"/>
      <c r="AL85" s="747"/>
      <c r="AM85" s="748"/>
      <c r="AN85" s="717"/>
      <c r="AO85" s="717"/>
      <c r="AP85" s="717"/>
      <c r="AQ85" s="717"/>
      <c r="AR85" s="717" t="str">
        <f>IF($G85="","",VLOOKUP($G85,'Geometry 2'!$E$4:$AH$14,27,TRUE))</f>
        <v/>
      </c>
      <c r="AS85" s="717"/>
      <c r="AT85" s="717"/>
      <c r="AU85" s="718"/>
      <c r="AV85" s="715"/>
      <c r="AW85" s="716"/>
      <c r="AX85" s="716"/>
      <c r="AZ85" s="722" t="str">
        <f t="shared" si="15"/>
        <v/>
      </c>
      <c r="BA85" s="723"/>
      <c r="BB85" s="723"/>
      <c r="BC85" s="724"/>
      <c r="BD85" s="722"/>
      <c r="BE85" s="723"/>
      <c r="BF85" s="723"/>
      <c r="BG85" s="722" t="str">
        <f t="shared" si="19"/>
        <v/>
      </c>
      <c r="BH85" s="723"/>
      <c r="BI85" s="723"/>
      <c r="BJ85" s="723"/>
      <c r="BK85" s="724"/>
      <c r="BL85" s="722"/>
      <c r="BM85" s="723"/>
      <c r="BN85" s="723"/>
      <c r="BO85" s="723"/>
      <c r="BP85" s="725"/>
      <c r="BQ85" s="725"/>
      <c r="BR85" s="722" t="str">
        <f>IF(BP85="","",IF(OR(AND(Rev="H",Calculations!$F$27=TRUE),AND(Rev&lt;&gt;"H",Calculations!$F$30=TRUE)),IF(BP85&lt;=1,"Pass","Fail"),IF(BP85&lt;=1.05,"Pass","Fail")))</f>
        <v/>
      </c>
      <c r="BS85" s="723"/>
      <c r="BT85" s="724"/>
      <c r="BU85" s="49"/>
      <c r="BV85" s="25" t="str">
        <f>IFERROR(CONCATENATE(IF(AND($G85&lt;Hta_1,$G85&gt;=Hba_1,Input!U$21&lt;&gt;""),Input!$B$21&amp;";",""),IF(AND($G85&lt;Hta_2,$G85&gt;=Hba_2,Input!U$22&lt;&gt;""),Input!$B$22&amp;";",""),IF(AND($G85&lt;Hta_3,$G85&gt;=Hba_3,Input!U$23&lt;&gt;""),Input!$B$23&amp;";",""),IF(AND($G85&lt;Hta_4,$G85&gt;=Hba_4,Input!U$24&lt;&gt;""),Input!$B$24&amp;";",""),IF(AND($G85&lt;Hta_5,$G85&gt;=Hba_5,Input!U$25&lt;&gt;""),Input!$B$25&amp;";",""),IF(AND($G85&lt;Hta_6,$G85&gt;=Hba_6,Input!U$26&lt;&gt;""),Input!$B$26&amp;";",""),IF(AND($G85&lt;Hta_7,$G85&gt;=Hba_7,Input!U$27&lt;&gt;""),Input!$B$27&amp;";",""),IF(AND($G85&lt;Hta_8,$G85&gt;=Hba_8,Input!U$28&lt;&gt;""),Input!$B$28&amp;";",""),IF(AND($G85&lt;Hta_9,$G85&gt;=Hba_9,Input!U$29&lt;&gt;""),Input!$B$29&amp;";",""),IF(AND($G85&lt;Hta_10,$G85&gt;=Hba_10,Input!U$30&lt;&gt;""),Input!$B$30&amp;";",""),IF(AND($G85&lt;Hta_11,$G85&gt;=Hba_11,Input!U$31&lt;&gt;""),Input!$B$31&amp;";",""),IF(AND($G85&lt;Hta_12,$G85&gt;=Hba_12,Input!U$32&lt;&gt;""),Input!$B$32&amp;";",""),IF(AND($G85&lt;Hta_13,$G85&gt;=Hba_13,Input!U$33&lt;&gt;""),Input!$B$33&amp;";",""),IF(AND($G85&lt;Hta_14,$G85&gt;=Hba_14,Input!U$34&lt;&gt;""),Input!$B$34&amp;";",""),IF(AND($G85&lt;Hta_15,$G85&gt;=Hba_15,Input!U$35&lt;&gt;""),Input!$B$35&amp;";",""),IF(AND($G85&lt;Hta_16,$G85&gt;=Hba_16,Input!U$36&lt;&gt;""),Input!$B$36&amp;";",""),IF(AND($G85&lt;Hta_17,$G85&gt;=Hba_17,Input!U$37&lt;&gt;""),Input!$B$37&amp;";",""),IF(AND($G85&lt;Hta_18,$G85&gt;=Hba_18,Input!U$38&lt;&gt;""),Input!$B$38&amp;";",""),IF(AND($G85&lt;Hta_19,$G85&gt;=Hba_19,Input!U$39&lt;&gt;""),Input!$B$39&amp;";",""),IF(AND($G85&lt;Hta_20,$G85&gt;=Hba_20,Input!U$40&lt;&gt;""),Input!$B$40&amp;";",""),IF(AND($G85&lt;Hta_21,$G85&gt;=Hba_21,Input!U$41&lt;&gt;""),Input!$B$41&amp;";",""),IF(AND($G85&lt;Hta_22,$G85&gt;=Hba_22,Input!U$42&lt;&gt;""),Input!$B$42&amp;";",""),IF(AND($G85&lt;Hta_23,$G85&gt;=Hba_23,Input!U$43&lt;&gt;""),Input!$B$43&amp;";",""),IF(AND($G85&lt;Hta_24,$G85&gt;=Hba_24,Input!U$44&lt;&gt;""),Input!$B$44&amp;";",""),IF(AND($G85&lt;Hta_25,$G85&gt;=Hba_25,Input!U$45&lt;&gt;""),Input!$B$45&amp;";",""),IF(AND($G85&lt;Hta_26,$G85&gt;=Hba_26,Input!U$46&lt;&gt;""),Input!$B$46&amp;";",""),IF(AND($G85&lt;Hta_27,$G85&gt;=Hba_27,Input!U$47&lt;&gt;""),Input!$B$47&amp;";",""),IF(AND($G85&lt;Hta_28,$G85&gt;=Hba_28,Input!U$48&lt;&gt;""),Input!$B$48&amp;";",""),IF(AND($G85&lt;Hta_29,$G85&gt;=Hba_29,Input!U$49&lt;&gt;""),Input!$B$49&amp;";",""),IF(AND($G85&lt;Hta_30,$G85&gt;=Hba_30,Input!U$50&lt;&gt;""),Input!$B$50&amp;";","")),"")</f>
        <v/>
      </c>
      <c r="BW85" s="25" t="str">
        <f>IFERROR(CONCATENATE(IF(AND($G85&lt;Hta_1,$G85&gt;=Hba_1,Input!V$21&lt;&gt;""),Input!$B$21&amp;";",""),IF(AND($G85&lt;Hta_2,$G85&gt;=Hba_2,Input!V$22&lt;&gt;""),Input!$B$22&amp;";",""),IF(AND($G85&lt;Hta_3,$G85&gt;=Hba_3,Input!V$23&lt;&gt;""),Input!$B$23&amp;";",""),IF(AND($G85&lt;Hta_4,$G85&gt;=Hba_4,Input!V$24&lt;&gt;""),Input!$B$24&amp;";",""),IF(AND($G85&lt;Hta_5,$G85&gt;=Hba_5,Input!V$25&lt;&gt;""),Input!$B$25&amp;";",""),IF(AND($G85&lt;Hta_6,$G85&gt;=Hba_6,Input!V$26&lt;&gt;""),Input!$B$26&amp;";",""),IF(AND($G85&lt;Hta_7,$G85&gt;=Hba_7,Input!V$27&lt;&gt;""),Input!$B$27&amp;";",""),IF(AND($G85&lt;Hta_8,$G85&gt;=Hba_8,Input!V$28&lt;&gt;""),Input!$B$28&amp;";",""),IF(AND($G85&lt;Hta_9,$G85&gt;=Hba_9,Input!V$29&lt;&gt;""),Input!$B$29&amp;";",""),IF(AND($G85&lt;Hta_10,$G85&gt;=Hba_10,Input!V$30&lt;&gt;""),Input!$B$30&amp;";",""),IF(AND($G85&lt;Hta_11,$G85&gt;=Hba_11,Input!V$31&lt;&gt;""),Input!$B$31&amp;";",""),IF(AND($G85&lt;Hta_12,$G85&gt;=Hba_12,Input!V$32&lt;&gt;""),Input!$B$32&amp;";",""),IF(AND($G85&lt;Hta_13,$G85&gt;=Hba_13,Input!V$33&lt;&gt;""),Input!$B$33&amp;";",""),IF(AND($G85&lt;Hta_14,$G85&gt;=Hba_14,Input!V$34&lt;&gt;""),Input!$B$34&amp;";",""),IF(AND($G85&lt;Hta_15,$G85&gt;=Hba_15,Input!V$35&lt;&gt;""),Input!$B$35&amp;";",""),IF(AND($G85&lt;Hta_16,$G85&gt;=Hba_16,Input!V$36&lt;&gt;""),Input!$B$36&amp;";",""),IF(AND($G85&lt;Hta_17,$G85&gt;=Hba_17,Input!V$37&lt;&gt;""),Input!$B$37&amp;";",""),IF(AND($G85&lt;Hta_18,$G85&gt;=Hba_18,Input!V$38&lt;&gt;""),Input!$B$38&amp;";",""),IF(AND($G85&lt;Hta_19,$G85&gt;=Hba_19,Input!V$39&lt;&gt;""),Input!$B$39&amp;";",""),IF(AND($G85&lt;Hta_20,$G85&gt;=Hba_20,Input!V$40&lt;&gt;""),Input!$B$40&amp;";",""),IF(AND($G85&lt;Hta_21,$G85&gt;=Hba_21,Input!V$41&lt;&gt;""),Input!$B$41&amp;";",""),IF(AND($G85&lt;Hta_22,$G85&gt;=Hba_22,Input!V$42&lt;&gt;""),Input!$B$42&amp;";",""),IF(AND($G85&lt;Hta_23,$G85&gt;=Hba_23,Input!V$43&lt;&gt;""),Input!$B$43&amp;";",""),IF(AND($G85&lt;Hta_24,$G85&gt;=Hba_24,Input!V$44&lt;&gt;""),Input!$B$44&amp;";",""),IF(AND($G85&lt;Hta_25,$G85&gt;=Hba_25,Input!V$45&lt;&gt;""),Input!$B$45&amp;";",""),IF(AND($G85&lt;Hta_26,$G85&gt;=Hba_26,Input!V$46&lt;&gt;""),Input!$B$46&amp;";",""),IF(AND($G85&lt;Hta_27,$G85&gt;=Hba_27,Input!V$47&lt;&gt;""),Input!$B$47&amp;";",""),IF(AND($G85&lt;Hta_28,$G85&gt;=Hba_28,Input!V$48&lt;&gt;""),Input!$B$48&amp;";",""),IF(AND($G85&lt;Hta_29,$G85&gt;=Hba_29,Input!V$49&lt;&gt;""),Input!$B$49&amp;";",""),IF(AND($G85&lt;Hta_30,$G85&gt;=Hba_30,Input!V$50&lt;&gt;""),Input!$B$50&amp;";","")),"")</f>
        <v/>
      </c>
      <c r="BX85" s="25" t="str">
        <f>IFERROR(CONCATENATE(IF(AND($G85&lt;Hta_1,$G85&gt;=Hba_1,Input!W$21&lt;&gt;""),Input!$B$21&amp;";",""),IF(AND($G85&lt;Hta_2,$G85&gt;=Hba_2,Input!W$22&lt;&gt;""),Input!$B$22&amp;";",""),IF(AND($G85&lt;Hta_3,$G85&gt;=Hba_3,Input!W$23&lt;&gt;""),Input!$B$23&amp;";",""),IF(AND($G85&lt;Hta_4,$G85&gt;=Hba_4,Input!W$24&lt;&gt;""),Input!$B$24&amp;";",""),IF(AND($G85&lt;Hta_5,$G85&gt;=Hba_5,Input!W$25&lt;&gt;""),Input!$B$25&amp;";",""),IF(AND($G85&lt;Hta_6,$G85&gt;=Hba_6,Input!W$26&lt;&gt;""),Input!$B$26&amp;";",""),IF(AND($G85&lt;Hta_7,$G85&gt;=Hba_7,Input!W$27&lt;&gt;""),Input!$B$27&amp;";",""),IF(AND($G85&lt;Hta_8,$G85&gt;=Hba_8,Input!W$28&lt;&gt;""),Input!$B$28&amp;";",""),IF(AND($G85&lt;Hta_9,$G85&gt;=Hba_9,Input!W$29&lt;&gt;""),Input!$B$29&amp;";",""),IF(AND($G85&lt;Hta_10,$G85&gt;=Hba_10,Input!W$30&lt;&gt;""),Input!$B$30&amp;";",""),IF(AND($G85&lt;Hta_11,$G85&gt;=Hba_11,Input!W$31&lt;&gt;""),Input!$B$31&amp;";",""),IF(AND($G85&lt;Hta_12,$G85&gt;=Hba_12,Input!W$32&lt;&gt;""),Input!$B$32&amp;";",""),IF(AND($G85&lt;Hta_13,$G85&gt;=Hba_13,Input!W$33&lt;&gt;""),Input!$B$33&amp;";",""),IF(AND($G85&lt;Hta_14,$G85&gt;=Hba_14,Input!W$34&lt;&gt;""),Input!$B$34&amp;";",""),IF(AND($G85&lt;Hta_15,$G85&gt;=Hba_15,Input!W$35&lt;&gt;""),Input!$B$35&amp;";",""),IF(AND($G85&lt;Hta_16,$G85&gt;=Hba_16,Input!W$36&lt;&gt;""),Input!$B$36&amp;";",""),IF(AND($G85&lt;Hta_17,$G85&gt;=Hba_17,Input!W$37&lt;&gt;""),Input!$B$37&amp;";",""),IF(AND($G85&lt;Hta_18,$G85&gt;=Hba_18,Input!W$38&lt;&gt;""),Input!$B$38&amp;";",""),IF(AND($G85&lt;Hta_19,$G85&gt;=Hba_19,Input!W$39&lt;&gt;""),Input!$B$39&amp;";",""),IF(AND($G85&lt;Hta_20,$G85&gt;=Hba_20,Input!W$40&lt;&gt;""),Input!$B$40&amp;";",""),IF(AND($G85&lt;Hta_21,$G85&gt;=Hba_21,Input!W$41&lt;&gt;""),Input!$B$41&amp;";",""),IF(AND($G85&lt;Hta_22,$G85&gt;=Hba_22,Input!W$42&lt;&gt;""),Input!$B$42&amp;";",""),IF(AND($G85&lt;Hta_23,$G85&gt;=Hba_23,Input!W$43&lt;&gt;""),Input!$B$43&amp;";",""),IF(AND($G85&lt;Hta_24,$G85&gt;=Hba_24,Input!W$44&lt;&gt;""),Input!$B$44&amp;";",""),IF(AND($G85&lt;Hta_25,$G85&gt;=Hba_25,Input!W$45&lt;&gt;""),Input!$B$45&amp;";",""),IF(AND($G85&lt;Hta_26,$G85&gt;=Hba_26,Input!W$46&lt;&gt;""),Input!$B$46&amp;";",""),IF(AND($G85&lt;Hta_27,$G85&gt;=Hba_27,Input!W$47&lt;&gt;""),Input!$B$47&amp;";",""),IF(AND($G85&lt;Hta_28,$G85&gt;=Hba_28,Input!W$48&lt;&gt;""),Input!$B$48&amp;";",""),IF(AND($G85&lt;Hta_29,$G85&gt;=Hba_29,Input!W$49&lt;&gt;""),Input!$B$49&amp;";",""),IF(AND($G85&lt;Hta_30,$G85&gt;=Hba_30,Input!W$50&lt;&gt;""),Input!$B$50&amp;";","")),"")</f>
        <v/>
      </c>
      <c r="BY85" s="25" t="str">
        <f>IFERROR(CONCATENATE(IF(AND($G85&lt;Hta_1,$G85&gt;=Hba_1,Input!X$21&lt;&gt;""),Input!$B$21&amp;";",""),IF(AND($G85&lt;Hta_2,$G85&gt;=Hba_2,Input!X$22&lt;&gt;""),Input!$B$22&amp;";",""),IF(AND($G85&lt;Hta_3,$G85&gt;=Hba_3,Input!X$23&lt;&gt;""),Input!$B$23&amp;";",""),IF(AND($G85&lt;Hta_4,$G85&gt;=Hba_4,Input!X$24&lt;&gt;""),Input!$B$24&amp;";",""),IF(AND($G85&lt;Hta_5,$G85&gt;=Hba_5,Input!X$25&lt;&gt;""),Input!$B$25&amp;";",""),IF(AND($G85&lt;Hta_6,$G85&gt;=Hba_6,Input!X$26&lt;&gt;""),Input!$B$26&amp;";",""),IF(AND($G85&lt;Hta_7,$G85&gt;=Hba_7,Input!X$27&lt;&gt;""),Input!$B$27&amp;";",""),IF(AND($G85&lt;Hta_8,$G85&gt;=Hba_8,Input!X$28&lt;&gt;""),Input!$B$28&amp;";",""),IF(AND($G85&lt;Hta_9,$G85&gt;=Hba_9,Input!X$29&lt;&gt;""),Input!$B$29&amp;";",""),IF(AND($G85&lt;Hta_10,$G85&gt;=Hba_10,Input!X$30&lt;&gt;""),Input!$B$30&amp;";",""),IF(AND($G85&lt;Hta_11,$G85&gt;=Hba_11,Input!X$31&lt;&gt;""),Input!$B$31&amp;";",""),IF(AND($G85&lt;Hta_12,$G85&gt;=Hba_12,Input!X$32&lt;&gt;""),Input!$B$32&amp;";",""),IF(AND($G85&lt;Hta_13,$G85&gt;=Hba_13,Input!X$33&lt;&gt;""),Input!$B$33&amp;";",""),IF(AND($G85&lt;Hta_14,$G85&gt;=Hba_14,Input!X$34&lt;&gt;""),Input!$B$34&amp;";",""),IF(AND($G85&lt;Hta_15,$G85&gt;=Hba_15,Input!X$35&lt;&gt;""),Input!$B$35&amp;";",""),IF(AND($G85&lt;Hta_16,$G85&gt;=Hba_16,Input!X$36&lt;&gt;""),Input!$B$36&amp;";",""),IF(AND($G85&lt;Hta_17,$G85&gt;=Hba_17,Input!X$37&lt;&gt;""),Input!$B$37&amp;";",""),IF(AND($G85&lt;Hta_18,$G85&gt;=Hba_18,Input!X$38&lt;&gt;""),Input!$B$38&amp;";",""),IF(AND($G85&lt;Hta_19,$G85&gt;=Hba_19,Input!X$39&lt;&gt;""),Input!$B$39&amp;";",""),IF(AND($G85&lt;Hta_20,$G85&gt;=Hba_20,Input!X$40&lt;&gt;""),Input!$B$40&amp;";",""),IF(AND($G85&lt;Hta_21,$G85&gt;=Hba_21,Input!X$41&lt;&gt;""),Input!$B$41&amp;";",""),IF(AND($G85&lt;Hta_22,$G85&gt;=Hba_22,Input!X$42&lt;&gt;""),Input!$B$42&amp;";",""),IF(AND($G85&lt;Hta_23,$G85&gt;=Hba_23,Input!X$43&lt;&gt;""),Input!$B$43&amp;";",""),IF(AND($G85&lt;Hta_24,$G85&gt;=Hba_24,Input!X$44&lt;&gt;""),Input!$B$44&amp;";",""),IF(AND($G85&lt;Hta_25,$G85&gt;=Hba_25,Input!X$45&lt;&gt;""),Input!$B$45&amp;";",""),IF(AND($G85&lt;Hta_26,$G85&gt;=Hba_26,Input!X$46&lt;&gt;""),Input!$B$46&amp;";",""),IF(AND($G85&lt;Hta_27,$G85&gt;=Hba_27,Input!X$47&lt;&gt;""),Input!$B$47&amp;";",""),IF(AND($G85&lt;Hta_28,$G85&gt;=Hba_28,Input!X$48&lt;&gt;""),Input!$B$48&amp;";",""),IF(AND($G85&lt;Hta_29,$G85&gt;=Hba_29,Input!X$49&lt;&gt;""),Input!$B$49&amp;";",""),IF(AND($G85&lt;Hta_30,$G85&gt;=Hba_30,Input!X$50&lt;&gt;""),Input!$B$50&amp;";","")),"")</f>
        <v/>
      </c>
      <c r="BZ85" s="25" t="str">
        <f>IFERROR(CONCATENATE(IF(AND($G85&lt;Hta_1,$G85&gt;=Hba_1,Input!Y$21&lt;&gt;""),Input!$B$21&amp;";",""),IF(AND($G85&lt;Hta_2,$G85&gt;=Hba_2,Input!Y$22&lt;&gt;""),Input!$B$22&amp;";",""),IF(AND($G85&lt;Hta_3,$G85&gt;=Hba_3,Input!Y$23&lt;&gt;""),Input!$B$23&amp;";",""),IF(AND($G85&lt;Hta_4,$G85&gt;=Hba_4,Input!Y$24&lt;&gt;""),Input!$B$24&amp;";",""),IF(AND($G85&lt;Hta_5,$G85&gt;=Hba_5,Input!Y$25&lt;&gt;""),Input!$B$25&amp;";",""),IF(AND($G85&lt;Hta_6,$G85&gt;=Hba_6,Input!Y$26&lt;&gt;""),Input!$B$26&amp;";",""),IF(AND($G85&lt;Hta_7,$G85&gt;=Hba_7,Input!Y$27&lt;&gt;""),Input!$B$27&amp;";",""),IF(AND($G85&lt;Hta_8,$G85&gt;=Hba_8,Input!Y$28&lt;&gt;""),Input!$B$28&amp;";",""),IF(AND($G85&lt;Hta_9,$G85&gt;=Hba_9,Input!Y$29&lt;&gt;""),Input!$B$29&amp;";",""),IF(AND($G85&lt;Hta_10,$G85&gt;=Hba_10,Input!Y$30&lt;&gt;""),Input!$B$30&amp;";",""),IF(AND($G85&lt;Hta_11,$G85&gt;=Hba_11,Input!Y$31&lt;&gt;""),Input!$B$31&amp;";",""),IF(AND($G85&lt;Hta_12,$G85&gt;=Hba_12,Input!Y$32&lt;&gt;""),Input!$B$32&amp;";",""),IF(AND($G85&lt;Hta_13,$G85&gt;=Hba_13,Input!Y$33&lt;&gt;""),Input!$B$33&amp;";",""),IF(AND($G85&lt;Hta_14,$G85&gt;=Hba_14,Input!Y$34&lt;&gt;""),Input!$B$34&amp;";",""),IF(AND($G85&lt;Hta_15,$G85&gt;=Hba_15,Input!Y$35&lt;&gt;""),Input!$B$35&amp;";",""),IF(AND($G85&lt;Hta_16,$G85&gt;=Hba_16,Input!Y$36&lt;&gt;""),Input!$B$36&amp;";",""),IF(AND($G85&lt;Hta_17,$G85&gt;=Hba_17,Input!Y$37&lt;&gt;""),Input!$B$37&amp;";",""),IF(AND($G85&lt;Hta_18,$G85&gt;=Hba_18,Input!Y$38&lt;&gt;""),Input!$B$38&amp;";",""),IF(AND($G85&lt;Hta_19,$G85&gt;=Hba_19,Input!Y$39&lt;&gt;""),Input!$B$39&amp;";",""),IF(AND($G85&lt;Hta_20,$G85&gt;=Hba_20,Input!Y$40&lt;&gt;""),Input!$B$40&amp;";",""),IF(AND($G85&lt;Hta_21,$G85&gt;=Hba_21,Input!Y$41&lt;&gt;""),Input!$B$41&amp;";",""),IF(AND($G85&lt;Hta_22,$G85&gt;=Hba_22,Input!Y$42&lt;&gt;""),Input!$B$42&amp;";",""),IF(AND($G85&lt;Hta_23,$G85&gt;=Hba_23,Input!Y$43&lt;&gt;""),Input!$B$43&amp;";",""),IF(AND($G85&lt;Hta_24,$G85&gt;=Hba_24,Input!Y$44&lt;&gt;""),Input!$B$44&amp;";",""),IF(AND($G85&lt;Hta_25,$G85&gt;=Hba_25,Input!Y$45&lt;&gt;""),Input!$B$45&amp;";",""),IF(AND($G85&lt;Hta_26,$G85&gt;=Hba_26,Input!Y$46&lt;&gt;""),Input!$B$46&amp;";",""),IF(AND($G85&lt;Hta_27,$G85&gt;=Hba_27,Input!Y$47&lt;&gt;""),Input!$B$47&amp;";",""),IF(AND($G85&lt;Hta_28,$G85&gt;=Hba_28,Input!Y$48&lt;&gt;""),Input!$B$48&amp;";",""),IF(AND($G85&lt;Hta_29,$G85&gt;=Hba_29,Input!Y$49&lt;&gt;""),Input!$B$49&amp;";",""),IF(AND($G85&lt;Hta_30,$G85&gt;=Hba_30,Input!Y$50&lt;&gt;""),Input!$B$50&amp;";","")),"")</f>
        <v/>
      </c>
      <c r="CA85" s="25" t="str">
        <f>IFERROR(CONCATENATE(IF(AND($G85&lt;Hta_1,$G85&gt;=Hba_1,Input!Z$21&lt;&gt;""),Input!$B$21&amp;";",""),IF(AND($G85&lt;Hta_2,$G85&gt;=Hba_2,Input!Z$22&lt;&gt;""),Input!$B$22&amp;";",""),IF(AND($G85&lt;Hta_3,$G85&gt;=Hba_3,Input!Z$23&lt;&gt;""),Input!$B$23&amp;";",""),IF(AND($G85&lt;Hta_4,$G85&gt;=Hba_4,Input!Z$24&lt;&gt;""),Input!$B$24&amp;";",""),IF(AND($G85&lt;Hta_5,$G85&gt;=Hba_5,Input!Z$25&lt;&gt;""),Input!$B$25&amp;";",""),IF(AND($G85&lt;Hta_6,$G85&gt;=Hba_6,Input!Z$26&lt;&gt;""),Input!$B$26&amp;";",""),IF(AND($G85&lt;Hta_7,$G85&gt;=Hba_7,Input!Z$27&lt;&gt;""),Input!$B$27&amp;";",""),IF(AND($G85&lt;Hta_8,$G85&gt;=Hba_8,Input!Z$28&lt;&gt;""),Input!$B$28&amp;";",""),IF(AND($G85&lt;Hta_9,$G85&gt;=Hba_9,Input!Z$29&lt;&gt;""),Input!$B$29&amp;";",""),IF(AND($G85&lt;Hta_10,$G85&gt;=Hba_10,Input!Z$30&lt;&gt;""),Input!$B$30&amp;";",""),IF(AND($G85&lt;Hta_11,$G85&gt;=Hba_11,Input!Z$31&lt;&gt;""),Input!$B$31&amp;";",""),IF(AND($G85&lt;Hta_12,$G85&gt;=Hba_12,Input!Z$32&lt;&gt;""),Input!$B$32&amp;";",""),IF(AND($G85&lt;Hta_13,$G85&gt;=Hba_13,Input!Z$33&lt;&gt;""),Input!$B$33&amp;";",""),IF(AND($G85&lt;Hta_14,$G85&gt;=Hba_14,Input!Z$34&lt;&gt;""),Input!$B$34&amp;";",""),IF(AND($G85&lt;Hta_15,$G85&gt;=Hba_15,Input!Z$35&lt;&gt;""),Input!$B$35&amp;";",""),IF(AND($G85&lt;Hta_16,$G85&gt;=Hba_16,Input!Z$36&lt;&gt;""),Input!$B$36&amp;";",""),IF(AND($G85&lt;Hta_17,$G85&gt;=Hba_17,Input!Z$37&lt;&gt;""),Input!$B$37&amp;";",""),IF(AND($G85&lt;Hta_18,$G85&gt;=Hba_18,Input!Z$38&lt;&gt;""),Input!$B$38&amp;";",""),IF(AND($G85&lt;Hta_19,$G85&gt;=Hba_19,Input!Z$39&lt;&gt;""),Input!$B$39&amp;";",""),IF(AND($G85&lt;Hta_20,$G85&gt;=Hba_20,Input!Z$40&lt;&gt;""),Input!$B$40&amp;";",""),IF(AND($G85&lt;Hta_21,$G85&gt;=Hba_21,Input!Z$41&lt;&gt;""),Input!$B$41&amp;";",""),IF(AND($G85&lt;Hta_22,$G85&gt;=Hba_22,Input!Z$42&lt;&gt;""),Input!$B$42&amp;";",""),IF(AND($G85&lt;Hta_23,$G85&gt;=Hba_23,Input!Z$43&lt;&gt;""),Input!$B$43&amp;";",""),IF(AND($G85&lt;Hta_24,$G85&gt;=Hba_24,Input!Z$44&lt;&gt;""),Input!$B$44&amp;";",""),IF(AND($G85&lt;Hta_25,$G85&gt;=Hba_25,Input!Z$45&lt;&gt;""),Input!$B$45&amp;";",""),IF(AND($G85&lt;Hta_26,$G85&gt;=Hba_26,Input!Z$46&lt;&gt;""),Input!$B$46&amp;";",""),IF(AND($G85&lt;Hta_27,$G85&gt;=Hba_27,Input!Z$47&lt;&gt;""),Input!$B$47&amp;";",""),IF(AND($G85&lt;Hta_28,$G85&gt;=Hba_28,Input!Z$48&lt;&gt;""),Input!$B$48&amp;";",""),IF(AND($G85&lt;Hta_29,$G85&gt;=Hba_29,Input!Z$49&lt;&gt;""),Input!$B$49&amp;";",""),IF(AND($G85&lt;Hta_30,$G85&gt;=Hba_30,Input!Z$50&lt;&gt;""),Input!$B$50&amp;";","")),"")</f>
        <v/>
      </c>
      <c r="CB85" s="25" t="str">
        <f>IFERROR(CONCATENATE(IF(AND($G85&lt;Hta_1,$G85&gt;=Hba_1,Input!AA$21&lt;&gt;""),Input!$B$21&amp;";",""),IF(AND($G85&lt;Hta_2,$G85&gt;=Hba_2,Input!AA$22&lt;&gt;""),Input!$B$22&amp;";",""),IF(AND($G85&lt;Hta_3,$G85&gt;=Hba_3,Input!AA$23&lt;&gt;""),Input!$B$23&amp;";",""),IF(AND($G85&lt;Hta_4,$G85&gt;=Hba_4,Input!AA$24&lt;&gt;""),Input!$B$24&amp;";",""),IF(AND($G85&lt;Hta_5,$G85&gt;=Hba_5,Input!AA$25&lt;&gt;""),Input!$B$25&amp;";",""),IF(AND($G85&lt;Hta_6,$G85&gt;=Hba_6,Input!AA$26&lt;&gt;""),Input!$B$26&amp;";",""),IF(AND($G85&lt;Hta_7,$G85&gt;=Hba_7,Input!AA$27&lt;&gt;""),Input!$B$27&amp;";",""),IF(AND($G85&lt;Hta_8,$G85&gt;=Hba_8,Input!AA$28&lt;&gt;""),Input!$B$28&amp;";",""),IF(AND($G85&lt;Hta_9,$G85&gt;=Hba_9,Input!AA$29&lt;&gt;""),Input!$B$29&amp;";",""),IF(AND($G85&lt;Hta_10,$G85&gt;=Hba_10,Input!AA$30&lt;&gt;""),Input!$B$30&amp;";",""),IF(AND($G85&lt;Hta_11,$G85&gt;=Hba_11,Input!AA$31&lt;&gt;""),Input!$B$31&amp;";",""),IF(AND($G85&lt;Hta_12,$G85&gt;=Hba_12,Input!AA$32&lt;&gt;""),Input!$B$32&amp;";",""),IF(AND($G85&lt;Hta_13,$G85&gt;=Hba_13,Input!AA$33&lt;&gt;""),Input!$B$33&amp;";",""),IF(AND($G85&lt;Hta_14,$G85&gt;=Hba_14,Input!AA$34&lt;&gt;""),Input!$B$34&amp;";",""),IF(AND($G85&lt;Hta_15,$G85&gt;=Hba_15,Input!AA$35&lt;&gt;""),Input!$B$35&amp;";",""),IF(AND($G85&lt;Hta_16,$G85&gt;=Hba_16,Input!AA$36&lt;&gt;""),Input!$B$36&amp;";",""),IF(AND($G85&lt;Hta_17,$G85&gt;=Hba_17,Input!AA$37&lt;&gt;""),Input!$B$37&amp;";",""),IF(AND($G85&lt;Hta_18,$G85&gt;=Hba_18,Input!AA$38&lt;&gt;""),Input!$B$38&amp;";",""),IF(AND($G85&lt;Hta_19,$G85&gt;=Hba_19,Input!AA$39&lt;&gt;""),Input!$B$39&amp;";",""),IF(AND($G85&lt;Hta_20,$G85&gt;=Hba_20,Input!AA$40&lt;&gt;""),Input!$B$40&amp;";",""),IF(AND($G85&lt;Hta_21,$G85&gt;=Hba_21,Input!AA$41&lt;&gt;""),Input!$B$41&amp;";",""),IF(AND($G85&lt;Hta_22,$G85&gt;=Hba_22,Input!AA$42&lt;&gt;""),Input!$B$42&amp;";",""),IF(AND($G85&lt;Hta_23,$G85&gt;=Hba_23,Input!AA$43&lt;&gt;""),Input!$B$43&amp;";",""),IF(AND($G85&lt;Hta_24,$G85&gt;=Hba_24,Input!AA$44&lt;&gt;""),Input!$B$44&amp;";",""),IF(AND($G85&lt;Hta_25,$G85&gt;=Hba_25,Input!AA$45&lt;&gt;""),Input!$B$45&amp;";",""),IF(AND($G85&lt;Hta_26,$G85&gt;=Hba_26,Input!AA$46&lt;&gt;""),Input!$B$46&amp;";",""),IF(AND($G85&lt;Hta_27,$G85&gt;=Hba_27,Input!AA$47&lt;&gt;""),Input!$B$47&amp;";",""),IF(AND($G85&lt;Hta_28,$G85&gt;=Hba_28,Input!AA$48&lt;&gt;""),Input!$B$48&amp;";",""),IF(AND($G85&lt;Hta_29,$G85&gt;=Hba_29,Input!AA$49&lt;&gt;""),Input!$B$49&amp;";",""),IF(AND($G85&lt;Hta_30,$G85&gt;=Hba_30,Input!AA$50&lt;&gt;""),Input!$B$50&amp;";","")),"")</f>
        <v/>
      </c>
      <c r="CC85" s="25" t="str">
        <f>IFERROR(CONCATENATE(IF(AND($G85&lt;Hta_1,$G85&gt;=Hba_1,Input!AB$21&lt;&gt;""),Input!$B$21&amp;";",""),IF(AND($G85&lt;Hta_2,$G85&gt;=Hba_2,Input!AB$22&lt;&gt;""),Input!$B$22&amp;";",""),IF(AND($G85&lt;Hta_3,$G85&gt;=Hba_3,Input!AB$23&lt;&gt;""),Input!$B$23&amp;";",""),IF(AND($G85&lt;Hta_4,$G85&gt;=Hba_4,Input!AB$24&lt;&gt;""),Input!$B$24&amp;";",""),IF(AND($G85&lt;Hta_5,$G85&gt;=Hba_5,Input!AB$25&lt;&gt;""),Input!$B$25&amp;";",""),IF(AND($G85&lt;Hta_6,$G85&gt;=Hba_6,Input!AB$26&lt;&gt;""),Input!$B$26&amp;";",""),IF(AND($G85&lt;Hta_7,$G85&gt;=Hba_7,Input!AB$27&lt;&gt;""),Input!$B$27&amp;";",""),IF(AND($G85&lt;Hta_8,$G85&gt;=Hba_8,Input!AB$28&lt;&gt;""),Input!$B$28&amp;";",""),IF(AND($G85&lt;Hta_9,$G85&gt;=Hba_9,Input!AB$29&lt;&gt;""),Input!$B$29&amp;";",""),IF(AND($G85&lt;Hta_10,$G85&gt;=Hba_10,Input!AB$30&lt;&gt;""),Input!$B$30&amp;";",""),IF(AND($G85&lt;Hta_11,$G85&gt;=Hba_11,Input!AB$31&lt;&gt;""),Input!$B$31&amp;";",""),IF(AND($G85&lt;Hta_12,$G85&gt;=Hba_12,Input!AB$32&lt;&gt;""),Input!$B$32&amp;";",""),IF(AND($G85&lt;Hta_13,$G85&gt;=Hba_13,Input!AB$33&lt;&gt;""),Input!$B$33&amp;";",""),IF(AND($G85&lt;Hta_14,$G85&gt;=Hba_14,Input!AB$34&lt;&gt;""),Input!$B$34&amp;";",""),IF(AND($G85&lt;Hta_15,$G85&gt;=Hba_15,Input!AB$35&lt;&gt;""),Input!$B$35&amp;";",""),IF(AND($G85&lt;Hta_16,$G85&gt;=Hba_16,Input!AB$36&lt;&gt;""),Input!$B$36&amp;";",""),IF(AND($G85&lt;Hta_17,$G85&gt;=Hba_17,Input!AB$37&lt;&gt;""),Input!$B$37&amp;";",""),IF(AND($G85&lt;Hta_18,$G85&gt;=Hba_18,Input!AB$38&lt;&gt;""),Input!$B$38&amp;";",""),IF(AND($G85&lt;Hta_19,$G85&gt;=Hba_19,Input!AB$39&lt;&gt;""),Input!$B$39&amp;";",""),IF(AND($G85&lt;Hta_20,$G85&gt;=Hba_20,Input!AB$40&lt;&gt;""),Input!$B$40&amp;";",""),IF(AND($G85&lt;Hta_21,$G85&gt;=Hba_21,Input!AB$41&lt;&gt;""),Input!$B$41&amp;";",""),IF(AND($G85&lt;Hta_22,$G85&gt;=Hba_22,Input!AB$42&lt;&gt;""),Input!$B$42&amp;";",""),IF(AND($G85&lt;Hta_23,$G85&gt;=Hba_23,Input!AB$43&lt;&gt;""),Input!$B$43&amp;";",""),IF(AND($G85&lt;Hta_24,$G85&gt;=Hba_24,Input!AB$44&lt;&gt;""),Input!$B$44&amp;";",""),IF(AND($G85&lt;Hta_25,$G85&gt;=Hba_25,Input!AB$45&lt;&gt;""),Input!$B$45&amp;";",""),IF(AND($G85&lt;Hta_26,$G85&gt;=Hba_26,Input!AB$46&lt;&gt;""),Input!$B$46&amp;";",""),IF(AND($G85&lt;Hta_27,$G85&gt;=Hba_27,Input!AB$47&lt;&gt;""),Input!$B$47&amp;";",""),IF(AND($G85&lt;Hta_28,$G85&gt;=Hba_28,Input!AB$48&lt;&gt;""),Input!$B$48&amp;";",""),IF(AND($G85&lt;Hta_29,$G85&gt;=Hba_29,Input!AB$49&lt;&gt;""),Input!$B$49&amp;";",""),IF(AND($G85&lt;Hta_30,$G85&gt;=Hba_30,Input!AB$50&lt;&gt;""),Input!$B$50&amp;";","")),"")</f>
        <v/>
      </c>
      <c r="CD85" s="25" t="str">
        <f>IFERROR(CONCATENATE(IF(AND($G85&lt;Hta_1,$G85&gt;=Hba_1,Input!AC$21&lt;&gt;""),Input!$B$21&amp;";",""),IF(AND($G85&lt;Hta_2,$G85&gt;=Hba_2,Input!AC$22&lt;&gt;""),Input!$B$22&amp;";",""),IF(AND($G85&lt;Hta_3,$G85&gt;=Hba_3,Input!AC$23&lt;&gt;""),Input!$B$23&amp;";",""),IF(AND($G85&lt;Hta_4,$G85&gt;=Hba_4,Input!AC$24&lt;&gt;""),Input!$B$24&amp;";",""),IF(AND($G85&lt;Hta_5,$G85&gt;=Hba_5,Input!AC$25&lt;&gt;""),Input!$B$25&amp;";",""),IF(AND($G85&lt;Hta_6,$G85&gt;=Hba_6,Input!AC$26&lt;&gt;""),Input!$B$26&amp;";",""),IF(AND($G85&lt;Hta_7,$G85&gt;=Hba_7,Input!AC$27&lt;&gt;""),Input!$B$27&amp;";",""),IF(AND($G85&lt;Hta_8,$G85&gt;=Hba_8,Input!AC$28&lt;&gt;""),Input!$B$28&amp;";",""),IF(AND($G85&lt;Hta_9,$G85&gt;=Hba_9,Input!AC$29&lt;&gt;""),Input!$B$29&amp;";",""),IF(AND($G85&lt;Hta_10,$G85&gt;=Hba_10,Input!AC$30&lt;&gt;""),Input!$B$30&amp;";",""),IF(AND($G85&lt;Hta_11,$G85&gt;=Hba_11,Input!AC$31&lt;&gt;""),Input!$B$31&amp;";",""),IF(AND($G85&lt;Hta_12,$G85&gt;=Hba_12,Input!AC$32&lt;&gt;""),Input!$B$32&amp;";",""),IF(AND($G85&lt;Hta_13,$G85&gt;=Hba_13,Input!AC$33&lt;&gt;""),Input!$B$33&amp;";",""),IF(AND($G85&lt;Hta_14,$G85&gt;=Hba_14,Input!AC$34&lt;&gt;""),Input!$B$34&amp;";",""),IF(AND($G85&lt;Hta_15,$G85&gt;=Hba_15,Input!AC$35&lt;&gt;""),Input!$B$35&amp;";",""),IF(AND($G85&lt;Hta_16,$G85&gt;=Hba_16,Input!AC$36&lt;&gt;""),Input!$B$36&amp;";",""),IF(AND($G85&lt;Hta_17,$G85&gt;=Hba_17,Input!AC$37&lt;&gt;""),Input!$B$37&amp;";",""),IF(AND($G85&lt;Hta_18,$G85&gt;=Hba_18,Input!AC$38&lt;&gt;""),Input!$B$38&amp;";",""),IF(AND($G85&lt;Hta_19,$G85&gt;=Hba_19,Input!AC$39&lt;&gt;""),Input!$B$39&amp;";",""),IF(AND($G85&lt;Hta_20,$G85&gt;=Hba_20,Input!AC$40&lt;&gt;""),Input!$B$40&amp;";",""),IF(AND($G85&lt;Hta_21,$G85&gt;=Hba_21,Input!AC$41&lt;&gt;""),Input!$B$41&amp;";",""),IF(AND($G85&lt;Hta_22,$G85&gt;=Hba_22,Input!AC$42&lt;&gt;""),Input!$B$42&amp;";",""),IF(AND($G85&lt;Hta_23,$G85&gt;=Hba_23,Input!AC$43&lt;&gt;""),Input!$B$43&amp;";",""),IF(AND($G85&lt;Hta_24,$G85&gt;=Hba_24,Input!AC$44&lt;&gt;""),Input!$B$44&amp;";",""),IF(AND($G85&lt;Hta_25,$G85&gt;=Hba_25,Input!AC$45&lt;&gt;""),Input!$B$45&amp;";",""),IF(AND($G85&lt;Hta_26,$G85&gt;=Hba_26,Input!AC$46&lt;&gt;""),Input!$B$46&amp;";",""),IF(AND($G85&lt;Hta_27,$G85&gt;=Hba_27,Input!AC$47&lt;&gt;""),Input!$B$47&amp;";",""),IF(AND($G85&lt;Hta_28,$G85&gt;=Hba_28,Input!AC$48&lt;&gt;""),Input!$B$48&amp;";",""),IF(AND($G85&lt;Hta_29,$G85&gt;=Hba_29,Input!AC$49&lt;&gt;""),Input!$B$49&amp;";",""),IF(AND($G85&lt;Hta_30,$G85&gt;=Hba_30,Input!AC$50&lt;&gt;""),Input!$B$50&amp;";","")),"")</f>
        <v/>
      </c>
      <c r="CE85" s="25" t="str">
        <f>IFERROR(CONCATENATE(IF(AND($G85&lt;Hta_1,$G85&gt;=Hba_1,Input!AD$21&lt;&gt;""),Input!$B$21&amp;";",""),IF(AND($G85&lt;Hta_2,$G85&gt;=Hba_2,Input!AD$22&lt;&gt;""),Input!$B$22&amp;";",""),IF(AND($G85&lt;Hta_3,$G85&gt;=Hba_3,Input!AD$23&lt;&gt;""),Input!$B$23&amp;";",""),IF(AND($G85&lt;Hta_4,$G85&gt;=Hba_4,Input!AD$24&lt;&gt;""),Input!$B$24&amp;";",""),IF(AND($G85&lt;Hta_5,$G85&gt;=Hba_5,Input!AD$25&lt;&gt;""),Input!$B$25&amp;";",""),IF(AND($G85&lt;Hta_6,$G85&gt;=Hba_6,Input!AD$26&lt;&gt;""),Input!$B$26&amp;";",""),IF(AND($G85&lt;Hta_7,$G85&gt;=Hba_7,Input!AD$27&lt;&gt;""),Input!$B$27&amp;";",""),IF(AND($G85&lt;Hta_8,$G85&gt;=Hba_8,Input!AD$28&lt;&gt;""),Input!$B$28&amp;";",""),IF(AND($G85&lt;Hta_9,$G85&gt;=Hba_9,Input!AD$29&lt;&gt;""),Input!$B$29&amp;";",""),IF(AND($G85&lt;Hta_10,$G85&gt;=Hba_10,Input!AD$30&lt;&gt;""),Input!$B$30&amp;";",""),IF(AND($G85&lt;Hta_11,$G85&gt;=Hba_11,Input!AD$31&lt;&gt;""),Input!$B$31&amp;";",""),IF(AND($G85&lt;Hta_12,$G85&gt;=Hba_12,Input!AD$32&lt;&gt;""),Input!$B$32&amp;";",""),IF(AND($G85&lt;Hta_13,$G85&gt;=Hba_13,Input!AD$33&lt;&gt;""),Input!$B$33&amp;";",""),IF(AND($G85&lt;Hta_14,$G85&gt;=Hba_14,Input!AD$34&lt;&gt;""),Input!$B$34&amp;";",""),IF(AND($G85&lt;Hta_15,$G85&gt;=Hba_15,Input!AD$35&lt;&gt;""),Input!$B$35&amp;";",""),IF(AND($G85&lt;Hta_16,$G85&gt;=Hba_16,Input!AD$36&lt;&gt;""),Input!$B$36&amp;";",""),IF(AND($G85&lt;Hta_17,$G85&gt;=Hba_17,Input!AD$37&lt;&gt;""),Input!$B$37&amp;";",""),IF(AND($G85&lt;Hta_18,$G85&gt;=Hba_18,Input!AD$38&lt;&gt;""),Input!$B$38&amp;";",""),IF(AND($G85&lt;Hta_19,$G85&gt;=Hba_19,Input!AD$39&lt;&gt;""),Input!$B$39&amp;";",""),IF(AND($G85&lt;Hta_20,$G85&gt;=Hba_20,Input!AD$40&lt;&gt;""),Input!$B$40&amp;";",""),IF(AND($G85&lt;Hta_21,$G85&gt;=Hba_21,Input!AD$41&lt;&gt;""),Input!$B$41&amp;";",""),IF(AND($G85&lt;Hta_22,$G85&gt;=Hba_22,Input!AD$42&lt;&gt;""),Input!$B$42&amp;";",""),IF(AND($G85&lt;Hta_23,$G85&gt;=Hba_23,Input!AD$43&lt;&gt;""),Input!$B$43&amp;";",""),IF(AND($G85&lt;Hta_24,$G85&gt;=Hba_24,Input!AD$44&lt;&gt;""),Input!$B$44&amp;";",""),IF(AND($G85&lt;Hta_25,$G85&gt;=Hba_25,Input!AD$45&lt;&gt;""),Input!$B$45&amp;";",""),IF(AND($G85&lt;Hta_26,$G85&gt;=Hba_26,Input!AD$46&lt;&gt;""),Input!$B$46&amp;";",""),IF(AND($G85&lt;Hta_27,$G85&gt;=Hba_27,Input!AD$47&lt;&gt;""),Input!$B$47&amp;";",""),IF(AND($G85&lt;Hta_28,$G85&gt;=Hba_28,Input!AD$48&lt;&gt;""),Input!$B$48&amp;";",""),IF(AND($G85&lt;Hta_29,$G85&gt;=Hba_29,Input!AD$49&lt;&gt;""),Input!$B$49&amp;";",""),IF(AND($G85&lt;Hta_30,$G85&gt;=Hba_30,Input!AD$50&lt;&gt;""),Input!$B$50&amp;";","")),"")</f>
        <v/>
      </c>
      <c r="CF85" s="25" t="str">
        <f>IFERROR(CONCATENATE(IF(AND($G85&lt;Hta_1,$G85&gt;=Hba_1,Input!AE$21&lt;&gt;""),Input!$B$21&amp;";",""),IF(AND($G85&lt;Hta_2,$G85&gt;=Hba_2,Input!AE$22&lt;&gt;""),Input!$B$22&amp;";",""),IF(AND($G85&lt;Hta_3,$G85&gt;=Hba_3,Input!AE$23&lt;&gt;""),Input!$B$23&amp;";",""),IF(AND($G85&lt;Hta_4,$G85&gt;=Hba_4,Input!AE$24&lt;&gt;""),Input!$B$24&amp;";",""),IF(AND($G85&lt;Hta_5,$G85&gt;=Hba_5,Input!AE$25&lt;&gt;""),Input!$B$25&amp;";",""),IF(AND($G85&lt;Hta_6,$G85&gt;=Hba_6,Input!AE$26&lt;&gt;""),Input!$B$26&amp;";",""),IF(AND($G85&lt;Hta_7,$G85&gt;=Hba_7,Input!AE$27&lt;&gt;""),Input!$B$27&amp;";",""),IF(AND($G85&lt;Hta_8,$G85&gt;=Hba_8,Input!AE$28&lt;&gt;""),Input!$B$28&amp;";",""),IF(AND($G85&lt;Hta_9,$G85&gt;=Hba_9,Input!AE$29&lt;&gt;""),Input!$B$29&amp;";",""),IF(AND($G85&lt;Hta_10,$G85&gt;=Hba_10,Input!AE$30&lt;&gt;""),Input!$B$30&amp;";",""),IF(AND($G85&lt;Hta_11,$G85&gt;=Hba_11,Input!AE$31&lt;&gt;""),Input!$B$31&amp;";",""),IF(AND($G85&lt;Hta_12,$G85&gt;=Hba_12,Input!AE$32&lt;&gt;""),Input!$B$32&amp;";",""),IF(AND($G85&lt;Hta_13,$G85&gt;=Hba_13,Input!AE$33&lt;&gt;""),Input!$B$33&amp;";",""),IF(AND($G85&lt;Hta_14,$G85&gt;=Hba_14,Input!AE$34&lt;&gt;""),Input!$B$34&amp;";",""),IF(AND($G85&lt;Hta_15,$G85&gt;=Hba_15,Input!AE$35&lt;&gt;""),Input!$B$35&amp;";",""),IF(AND($G85&lt;Hta_16,$G85&gt;=Hba_16,Input!AE$36&lt;&gt;""),Input!$B$36&amp;";",""),IF(AND($G85&lt;Hta_17,$G85&gt;=Hba_17,Input!AE$37&lt;&gt;""),Input!$B$37&amp;";",""),IF(AND($G85&lt;Hta_18,$G85&gt;=Hba_18,Input!AE$38&lt;&gt;""),Input!$B$38&amp;";",""),IF(AND($G85&lt;Hta_19,$G85&gt;=Hba_19,Input!AE$39&lt;&gt;""),Input!$B$39&amp;";",""),IF(AND($G85&lt;Hta_20,$G85&gt;=Hba_20,Input!AE$40&lt;&gt;""),Input!$B$40&amp;";",""),IF(AND($G85&lt;Hta_21,$G85&gt;=Hba_21,Input!AE$41&lt;&gt;""),Input!$B$41&amp;";",""),IF(AND($G85&lt;Hta_22,$G85&gt;=Hba_22,Input!AE$42&lt;&gt;""),Input!$B$42&amp;";",""),IF(AND($G85&lt;Hta_23,$G85&gt;=Hba_23,Input!AE$43&lt;&gt;""),Input!$B$43&amp;";",""),IF(AND($G85&lt;Hta_24,$G85&gt;=Hba_24,Input!AE$44&lt;&gt;""),Input!$B$44&amp;";",""),IF(AND($G85&lt;Hta_25,$G85&gt;=Hba_25,Input!AE$45&lt;&gt;""),Input!$B$45&amp;";",""),IF(AND($G85&lt;Hta_26,$G85&gt;=Hba_26,Input!AE$46&lt;&gt;""),Input!$B$46&amp;";",""),IF(AND($G85&lt;Hta_27,$G85&gt;=Hba_27,Input!AE$47&lt;&gt;""),Input!$B$47&amp;";",""),IF(AND($G85&lt;Hta_28,$G85&gt;=Hba_28,Input!AE$48&lt;&gt;""),Input!$B$48&amp;";",""),IF(AND($G85&lt;Hta_29,$G85&gt;=Hba_29,Input!AE$49&lt;&gt;""),Input!$B$49&amp;";",""),IF(AND($G85&lt;Hta_30,$G85&gt;=Hba_30,Input!AE$50&lt;&gt;""),Input!$B$50&amp;";","")),"")</f>
        <v/>
      </c>
      <c r="CG85" s="25" t="str">
        <f>IFERROR(CONCATENATE(IF(AND($G85&lt;Hta_1,$G85&gt;=Hba_1,Input!AF$21&lt;&gt;""),Input!$B$21&amp;";",""),IF(AND($G85&lt;Hta_2,$G85&gt;=Hba_2,Input!AF$22&lt;&gt;""),Input!$B$22&amp;";",""),IF(AND($G85&lt;Hta_3,$G85&gt;=Hba_3,Input!AF$23&lt;&gt;""),Input!$B$23&amp;";",""),IF(AND($G85&lt;Hta_4,$G85&gt;=Hba_4,Input!AF$24&lt;&gt;""),Input!$B$24&amp;";",""),IF(AND($G85&lt;Hta_5,$G85&gt;=Hba_5,Input!AF$25&lt;&gt;""),Input!$B$25&amp;";",""),IF(AND($G85&lt;Hta_6,$G85&gt;=Hba_6,Input!AF$26&lt;&gt;""),Input!$B$26&amp;";",""),IF(AND($G85&lt;Hta_7,$G85&gt;=Hba_7,Input!AF$27&lt;&gt;""),Input!$B$27&amp;";",""),IF(AND($G85&lt;Hta_8,$G85&gt;=Hba_8,Input!AF$28&lt;&gt;""),Input!$B$28&amp;";",""),IF(AND($G85&lt;Hta_9,$G85&gt;=Hba_9,Input!AF$29&lt;&gt;""),Input!$B$29&amp;";",""),IF(AND($G85&lt;Hta_10,$G85&gt;=Hba_10,Input!AF$30&lt;&gt;""),Input!$B$30&amp;";",""),IF(AND($G85&lt;Hta_11,$G85&gt;=Hba_11,Input!AF$31&lt;&gt;""),Input!$B$31&amp;";",""),IF(AND($G85&lt;Hta_12,$G85&gt;=Hba_12,Input!AF$32&lt;&gt;""),Input!$B$32&amp;";",""),IF(AND($G85&lt;Hta_13,$G85&gt;=Hba_13,Input!AF$33&lt;&gt;""),Input!$B$33&amp;";",""),IF(AND($G85&lt;Hta_14,$G85&gt;=Hba_14,Input!AF$34&lt;&gt;""),Input!$B$34&amp;";",""),IF(AND($G85&lt;Hta_15,$G85&gt;=Hba_15,Input!AF$35&lt;&gt;""),Input!$B$35&amp;";",""),IF(AND($G85&lt;Hta_16,$G85&gt;=Hba_16,Input!AF$36&lt;&gt;""),Input!$B$36&amp;";",""),IF(AND($G85&lt;Hta_17,$G85&gt;=Hba_17,Input!AF$37&lt;&gt;""),Input!$B$37&amp;";",""),IF(AND($G85&lt;Hta_18,$G85&gt;=Hba_18,Input!AF$38&lt;&gt;""),Input!$B$38&amp;";",""),IF(AND($G85&lt;Hta_19,$G85&gt;=Hba_19,Input!AF$39&lt;&gt;""),Input!$B$39&amp;";",""),IF(AND($G85&lt;Hta_20,$G85&gt;=Hba_20,Input!AF$40&lt;&gt;""),Input!$B$40&amp;";",""),IF(AND($G85&lt;Hta_21,$G85&gt;=Hba_21,Input!AF$41&lt;&gt;""),Input!$B$41&amp;";",""),IF(AND($G85&lt;Hta_22,$G85&gt;=Hba_22,Input!AF$42&lt;&gt;""),Input!$B$42&amp;";",""),IF(AND($G85&lt;Hta_23,$G85&gt;=Hba_23,Input!AF$43&lt;&gt;""),Input!$B$43&amp;";",""),IF(AND($G85&lt;Hta_24,$G85&gt;=Hba_24,Input!AF$44&lt;&gt;""),Input!$B$44&amp;";",""),IF(AND($G85&lt;Hta_25,$G85&gt;=Hba_25,Input!AF$45&lt;&gt;""),Input!$B$45&amp;";",""),IF(AND($G85&lt;Hta_26,$G85&gt;=Hba_26,Input!AF$46&lt;&gt;""),Input!$B$46&amp;";",""),IF(AND($G85&lt;Hta_27,$G85&gt;=Hba_27,Input!AF$47&lt;&gt;""),Input!$B$47&amp;";",""),IF(AND($G85&lt;Hta_28,$G85&gt;=Hba_28,Input!AF$48&lt;&gt;""),Input!$B$48&amp;";",""),IF(AND($G85&lt;Hta_29,$G85&gt;=Hba_29,Input!AF$49&lt;&gt;""),Input!$B$49&amp;";",""),IF(AND($G85&lt;Hta_30,$G85&gt;=Hba_30,Input!AF$50&lt;&gt;""),Input!$B$50&amp;";","")),"")</f>
        <v/>
      </c>
      <c r="CH85" s="25" t="str">
        <f>IFERROR(CONCATENATE(IF(AND($G85&lt;Hta_1,$G85&gt;=Hba_1,Input!AG$21&lt;&gt;""),Input!$B$21&amp;";",""),IF(AND($G85&lt;Hta_2,$G85&gt;=Hba_2,Input!AG$22&lt;&gt;""),Input!$B$22&amp;";",""),IF(AND($G85&lt;Hta_3,$G85&gt;=Hba_3,Input!AG$23&lt;&gt;""),Input!$B$23&amp;";",""),IF(AND($G85&lt;Hta_4,$G85&gt;=Hba_4,Input!AG$24&lt;&gt;""),Input!$B$24&amp;";",""),IF(AND($G85&lt;Hta_5,$G85&gt;=Hba_5,Input!AG$25&lt;&gt;""),Input!$B$25&amp;";",""),IF(AND($G85&lt;Hta_6,$G85&gt;=Hba_6,Input!AG$26&lt;&gt;""),Input!$B$26&amp;";",""),IF(AND($G85&lt;Hta_7,$G85&gt;=Hba_7,Input!AG$27&lt;&gt;""),Input!$B$27&amp;";",""),IF(AND($G85&lt;Hta_8,$G85&gt;=Hba_8,Input!AG$28&lt;&gt;""),Input!$B$28&amp;";",""),IF(AND($G85&lt;Hta_9,$G85&gt;=Hba_9,Input!AG$29&lt;&gt;""),Input!$B$29&amp;";",""),IF(AND($G85&lt;Hta_10,$G85&gt;=Hba_10,Input!AG$30&lt;&gt;""),Input!$B$30&amp;";",""),IF(AND($G85&lt;Hta_11,$G85&gt;=Hba_11,Input!AG$31&lt;&gt;""),Input!$B$31&amp;";",""),IF(AND($G85&lt;Hta_12,$G85&gt;=Hba_12,Input!AG$32&lt;&gt;""),Input!$B$32&amp;";",""),IF(AND($G85&lt;Hta_13,$G85&gt;=Hba_13,Input!AG$33&lt;&gt;""),Input!$B$33&amp;";",""),IF(AND($G85&lt;Hta_14,$G85&gt;=Hba_14,Input!AG$34&lt;&gt;""),Input!$B$34&amp;";",""),IF(AND($G85&lt;Hta_15,$G85&gt;=Hba_15,Input!AG$35&lt;&gt;""),Input!$B$35&amp;";",""),IF(AND($G85&lt;Hta_16,$G85&gt;=Hba_16,Input!AG$36&lt;&gt;""),Input!$B$36&amp;";",""),IF(AND($G85&lt;Hta_17,$G85&gt;=Hba_17,Input!AG$37&lt;&gt;""),Input!$B$37&amp;";",""),IF(AND($G85&lt;Hta_18,$G85&gt;=Hba_18,Input!AG$38&lt;&gt;""),Input!$B$38&amp;";",""),IF(AND($G85&lt;Hta_19,$G85&gt;=Hba_19,Input!AG$39&lt;&gt;""),Input!$B$39&amp;";",""),IF(AND($G85&lt;Hta_20,$G85&gt;=Hba_20,Input!AG$40&lt;&gt;""),Input!$B$40&amp;";",""),IF(AND($G85&lt;Hta_21,$G85&gt;=Hba_21,Input!AG$41&lt;&gt;""),Input!$B$41&amp;";",""),IF(AND($G85&lt;Hta_22,$G85&gt;=Hba_22,Input!AG$42&lt;&gt;""),Input!$B$42&amp;";",""),IF(AND($G85&lt;Hta_23,$G85&gt;=Hba_23,Input!AG$43&lt;&gt;""),Input!$B$43&amp;";",""),IF(AND($G85&lt;Hta_24,$G85&gt;=Hba_24,Input!AG$44&lt;&gt;""),Input!$B$44&amp;";",""),IF(AND($G85&lt;Hta_25,$G85&gt;=Hba_25,Input!AG$45&lt;&gt;""),Input!$B$45&amp;";",""),IF(AND($G85&lt;Hta_26,$G85&gt;=Hba_26,Input!AG$46&lt;&gt;""),Input!$B$46&amp;";",""),IF(AND($G85&lt;Hta_27,$G85&gt;=Hba_27,Input!AG$47&lt;&gt;""),Input!$B$47&amp;";",""),IF(AND($G85&lt;Hta_28,$G85&gt;=Hba_28,Input!AG$48&lt;&gt;""),Input!$B$48&amp;";",""),IF(AND($G85&lt;Hta_29,$G85&gt;=Hba_29,Input!AG$49&lt;&gt;""),Input!$B$49&amp;";",""),IF(AND($G85&lt;Hta_30,$G85&gt;=Hba_30,Input!AG$50&lt;&gt;""),Input!$B$50&amp;";","")),"")</f>
        <v/>
      </c>
      <c r="CI85" s="25" t="str">
        <f>IFERROR(CONCATENATE(IF(AND($G85&lt;Hta_1,$G85&gt;=Hba_1,Input!AH$21&lt;&gt;""),Input!$B$21&amp;";",""),IF(AND($G85&lt;Hta_2,$G85&gt;=Hba_2,Input!AH$22&lt;&gt;""),Input!$B$22&amp;";",""),IF(AND($G85&lt;Hta_3,$G85&gt;=Hba_3,Input!AH$23&lt;&gt;""),Input!$B$23&amp;";",""),IF(AND($G85&lt;Hta_4,$G85&gt;=Hba_4,Input!AH$24&lt;&gt;""),Input!$B$24&amp;";",""),IF(AND($G85&lt;Hta_5,$G85&gt;=Hba_5,Input!AH$25&lt;&gt;""),Input!$B$25&amp;";",""),IF(AND($G85&lt;Hta_6,$G85&gt;=Hba_6,Input!AH$26&lt;&gt;""),Input!$B$26&amp;";",""),IF(AND($G85&lt;Hta_7,$G85&gt;=Hba_7,Input!AH$27&lt;&gt;""),Input!$B$27&amp;";",""),IF(AND($G85&lt;Hta_8,$G85&gt;=Hba_8,Input!AH$28&lt;&gt;""),Input!$B$28&amp;";",""),IF(AND($G85&lt;Hta_9,$G85&gt;=Hba_9,Input!AH$29&lt;&gt;""),Input!$B$29&amp;";",""),IF(AND($G85&lt;Hta_10,$G85&gt;=Hba_10,Input!AH$30&lt;&gt;""),Input!$B$30&amp;";",""),IF(AND($G85&lt;Hta_11,$G85&gt;=Hba_11,Input!AH$31&lt;&gt;""),Input!$B$31&amp;";",""),IF(AND($G85&lt;Hta_12,$G85&gt;=Hba_12,Input!AH$32&lt;&gt;""),Input!$B$32&amp;";",""),IF(AND($G85&lt;Hta_13,$G85&gt;=Hba_13,Input!AH$33&lt;&gt;""),Input!$B$33&amp;";",""),IF(AND($G85&lt;Hta_14,$G85&gt;=Hba_14,Input!AH$34&lt;&gt;""),Input!$B$34&amp;";",""),IF(AND($G85&lt;Hta_15,$G85&gt;=Hba_15,Input!AH$35&lt;&gt;""),Input!$B$35&amp;";",""),IF(AND($G85&lt;Hta_16,$G85&gt;=Hba_16,Input!AH$36&lt;&gt;""),Input!$B$36&amp;";",""),IF(AND($G85&lt;Hta_17,$G85&gt;=Hba_17,Input!AH$37&lt;&gt;""),Input!$B$37&amp;";",""),IF(AND($G85&lt;Hta_18,$G85&gt;=Hba_18,Input!AH$38&lt;&gt;""),Input!$B$38&amp;";",""),IF(AND($G85&lt;Hta_19,$G85&gt;=Hba_19,Input!AH$39&lt;&gt;""),Input!$B$39&amp;";",""),IF(AND($G85&lt;Hta_20,$G85&gt;=Hba_20,Input!AH$40&lt;&gt;""),Input!$B$40&amp;";",""),IF(AND($G85&lt;Hta_21,$G85&gt;=Hba_21,Input!AH$41&lt;&gt;""),Input!$B$41&amp;";",""),IF(AND($G85&lt;Hta_22,$G85&gt;=Hba_22,Input!AH$42&lt;&gt;""),Input!$B$42&amp;";",""),IF(AND($G85&lt;Hta_23,$G85&gt;=Hba_23,Input!AH$43&lt;&gt;""),Input!$B$43&amp;";",""),IF(AND($G85&lt;Hta_24,$G85&gt;=Hba_24,Input!AH$44&lt;&gt;""),Input!$B$44&amp;";",""),IF(AND($G85&lt;Hta_25,$G85&gt;=Hba_25,Input!AH$45&lt;&gt;""),Input!$B$45&amp;";",""),IF(AND($G85&lt;Hta_26,$G85&gt;=Hba_26,Input!AH$46&lt;&gt;""),Input!$B$46&amp;";",""),IF(AND($G85&lt;Hta_27,$G85&gt;=Hba_27,Input!AH$47&lt;&gt;""),Input!$B$47&amp;";",""),IF(AND($G85&lt;Hta_28,$G85&gt;=Hba_28,Input!AH$48&lt;&gt;""),Input!$B$48&amp;";",""),IF(AND($G85&lt;Hta_29,$G85&gt;=Hba_29,Input!AH$49&lt;&gt;""),Input!$B$49&amp;";",""),IF(AND($G85&lt;Hta_30,$G85&gt;=Hba_30,Input!AH$50&lt;&gt;""),Input!$B$50&amp;";","")),"")</f>
        <v/>
      </c>
      <c r="CJ85" s="25" t="str">
        <f>IFERROR(CONCATENATE(IF(AND($G85&lt;Hta_1,$G85&gt;=Hba_1,Input!AI$21&lt;&gt;""),Input!$B$21&amp;";",""),IF(AND($G85&lt;Hta_2,$G85&gt;=Hba_2,Input!AI$22&lt;&gt;""),Input!$B$22&amp;";",""),IF(AND($G85&lt;Hta_3,$G85&gt;=Hba_3,Input!AI$23&lt;&gt;""),Input!$B$23&amp;";",""),IF(AND($G85&lt;Hta_4,$G85&gt;=Hba_4,Input!AI$24&lt;&gt;""),Input!$B$24&amp;";",""),IF(AND($G85&lt;Hta_5,$G85&gt;=Hba_5,Input!AI$25&lt;&gt;""),Input!$B$25&amp;";",""),IF(AND($G85&lt;Hta_6,$G85&gt;=Hba_6,Input!AI$26&lt;&gt;""),Input!$B$26&amp;";",""),IF(AND($G85&lt;Hta_7,$G85&gt;=Hba_7,Input!AI$27&lt;&gt;""),Input!$B$27&amp;";",""),IF(AND($G85&lt;Hta_8,$G85&gt;=Hba_8,Input!AI$28&lt;&gt;""),Input!$B$28&amp;";",""),IF(AND($G85&lt;Hta_9,$G85&gt;=Hba_9,Input!AI$29&lt;&gt;""),Input!$B$29&amp;";",""),IF(AND($G85&lt;Hta_10,$G85&gt;=Hba_10,Input!AI$30&lt;&gt;""),Input!$B$30&amp;";",""),IF(AND($G85&lt;Hta_11,$G85&gt;=Hba_11,Input!AI$31&lt;&gt;""),Input!$B$31&amp;";",""),IF(AND($G85&lt;Hta_12,$G85&gt;=Hba_12,Input!AI$32&lt;&gt;""),Input!$B$32&amp;";",""),IF(AND($G85&lt;Hta_13,$G85&gt;=Hba_13,Input!AI$33&lt;&gt;""),Input!$B$33&amp;";",""),IF(AND($G85&lt;Hta_14,$G85&gt;=Hba_14,Input!AI$34&lt;&gt;""),Input!$B$34&amp;";",""),IF(AND($G85&lt;Hta_15,$G85&gt;=Hba_15,Input!AI$35&lt;&gt;""),Input!$B$35&amp;";",""),IF(AND($G85&lt;Hta_16,$G85&gt;=Hba_16,Input!AI$36&lt;&gt;""),Input!$B$36&amp;";",""),IF(AND($G85&lt;Hta_17,$G85&gt;=Hba_17,Input!AI$37&lt;&gt;""),Input!$B$37&amp;";",""),IF(AND($G85&lt;Hta_18,$G85&gt;=Hba_18,Input!AI$38&lt;&gt;""),Input!$B$38&amp;";",""),IF(AND($G85&lt;Hta_19,$G85&gt;=Hba_19,Input!AI$39&lt;&gt;""),Input!$B$39&amp;";",""),IF(AND($G85&lt;Hta_20,$G85&gt;=Hba_20,Input!AI$40&lt;&gt;""),Input!$B$40&amp;";",""),IF(AND($G85&lt;Hta_21,$G85&gt;=Hba_21,Input!AI$41&lt;&gt;""),Input!$B$41&amp;";",""),IF(AND($G85&lt;Hta_22,$G85&gt;=Hba_22,Input!AI$42&lt;&gt;""),Input!$B$42&amp;";",""),IF(AND($G85&lt;Hta_23,$G85&gt;=Hba_23,Input!AI$43&lt;&gt;""),Input!$B$43&amp;";",""),IF(AND($G85&lt;Hta_24,$G85&gt;=Hba_24,Input!AI$44&lt;&gt;""),Input!$B$44&amp;";",""),IF(AND($G85&lt;Hta_25,$G85&gt;=Hba_25,Input!AI$45&lt;&gt;""),Input!$B$45&amp;";",""),IF(AND($G85&lt;Hta_26,$G85&gt;=Hba_26,Input!AI$46&lt;&gt;""),Input!$B$46&amp;";",""),IF(AND($G85&lt;Hta_27,$G85&gt;=Hba_27,Input!AI$47&lt;&gt;""),Input!$B$47&amp;";",""),IF(AND($G85&lt;Hta_28,$G85&gt;=Hba_28,Input!AI$48&lt;&gt;""),Input!$B$48&amp;";",""),IF(AND($G85&lt;Hta_29,$G85&gt;=Hba_29,Input!AI$49&lt;&gt;""),Input!$B$49&amp;";",""),IF(AND($G85&lt;Hta_30,$G85&gt;=Hba_30,Input!AI$50&lt;&gt;""),Input!$B$50&amp;";","")),"")</f>
        <v/>
      </c>
      <c r="CK85" s="25" t="str">
        <f>IFERROR(CONCATENATE(IF(AND($G85&lt;Hta_1,$G85&gt;=Hba_1,Input!AJ$21&lt;&gt;""),Input!$B$21&amp;";",""),IF(AND($G85&lt;Hta_2,$G85&gt;=Hba_2,Input!AJ$22&lt;&gt;""),Input!$B$22&amp;";",""),IF(AND($G85&lt;Hta_3,$G85&gt;=Hba_3,Input!AJ$23&lt;&gt;""),Input!$B$23&amp;";",""),IF(AND($G85&lt;Hta_4,$G85&gt;=Hba_4,Input!AJ$24&lt;&gt;""),Input!$B$24&amp;";",""),IF(AND($G85&lt;Hta_5,$G85&gt;=Hba_5,Input!AJ$25&lt;&gt;""),Input!$B$25&amp;";",""),IF(AND($G85&lt;Hta_6,$G85&gt;=Hba_6,Input!AJ$26&lt;&gt;""),Input!$B$26&amp;";",""),IF(AND($G85&lt;Hta_7,$G85&gt;=Hba_7,Input!AJ$27&lt;&gt;""),Input!$B$27&amp;";",""),IF(AND($G85&lt;Hta_8,$G85&gt;=Hba_8,Input!AJ$28&lt;&gt;""),Input!$B$28&amp;";",""),IF(AND($G85&lt;Hta_9,$G85&gt;=Hba_9,Input!AJ$29&lt;&gt;""),Input!$B$29&amp;";",""),IF(AND($G85&lt;Hta_10,$G85&gt;=Hba_10,Input!AJ$30&lt;&gt;""),Input!$B$30&amp;";",""),IF(AND($G85&lt;Hta_11,$G85&gt;=Hba_11,Input!AJ$31&lt;&gt;""),Input!$B$31&amp;";",""),IF(AND($G85&lt;Hta_12,$G85&gt;=Hba_12,Input!AJ$32&lt;&gt;""),Input!$B$32&amp;";",""),IF(AND($G85&lt;Hta_13,$G85&gt;=Hba_13,Input!AJ$33&lt;&gt;""),Input!$B$33&amp;";",""),IF(AND($G85&lt;Hta_14,$G85&gt;=Hba_14,Input!AJ$34&lt;&gt;""),Input!$B$34&amp;";",""),IF(AND($G85&lt;Hta_15,$G85&gt;=Hba_15,Input!AJ$35&lt;&gt;""),Input!$B$35&amp;";",""),IF(AND($G85&lt;Hta_16,$G85&gt;=Hba_16,Input!AJ$36&lt;&gt;""),Input!$B$36&amp;";",""),IF(AND($G85&lt;Hta_17,$G85&gt;=Hba_17,Input!AJ$37&lt;&gt;""),Input!$B$37&amp;";",""),IF(AND($G85&lt;Hta_18,$G85&gt;=Hba_18,Input!AJ$38&lt;&gt;""),Input!$B$38&amp;";",""),IF(AND($G85&lt;Hta_19,$G85&gt;=Hba_19,Input!AJ$39&lt;&gt;""),Input!$B$39&amp;";",""),IF(AND($G85&lt;Hta_20,$G85&gt;=Hba_20,Input!AJ$40&lt;&gt;""),Input!$B$40&amp;";",""),IF(AND($G85&lt;Hta_21,$G85&gt;=Hba_21,Input!AJ$41&lt;&gt;""),Input!$B$41&amp;";",""),IF(AND($G85&lt;Hta_22,$G85&gt;=Hba_22,Input!AJ$42&lt;&gt;""),Input!$B$42&amp;";",""),IF(AND($G85&lt;Hta_23,$G85&gt;=Hba_23,Input!AJ$43&lt;&gt;""),Input!$B$43&amp;";",""),IF(AND($G85&lt;Hta_24,$G85&gt;=Hba_24,Input!AJ$44&lt;&gt;""),Input!$B$44&amp;";",""),IF(AND($G85&lt;Hta_25,$G85&gt;=Hba_25,Input!AJ$45&lt;&gt;""),Input!$B$45&amp;";",""),IF(AND($G85&lt;Hta_26,$G85&gt;=Hba_26,Input!AJ$46&lt;&gt;""),Input!$B$46&amp;";",""),IF(AND($G85&lt;Hta_27,$G85&gt;=Hba_27,Input!AJ$47&lt;&gt;""),Input!$B$47&amp;";",""),IF(AND($G85&lt;Hta_28,$G85&gt;=Hba_28,Input!AJ$48&lt;&gt;""),Input!$B$48&amp;";",""),IF(AND($G85&lt;Hta_29,$G85&gt;=Hba_29,Input!AJ$49&lt;&gt;""),Input!$B$49&amp;";",""),IF(AND($G85&lt;Hta_30,$G85&gt;=Hba_30,Input!AJ$50&lt;&gt;""),Input!$B$50&amp;";","")),"")</f>
        <v/>
      </c>
      <c r="CL85" s="25" t="str">
        <f>IFERROR(CONCATENATE(IF(AND($G85&lt;Hta_1,$G85&gt;=Hba_1,Input!AK$21&lt;&gt;""),Input!$B$21&amp;";",""),IF(AND($G85&lt;Hta_2,$G85&gt;=Hba_2,Input!AK$22&lt;&gt;""),Input!$B$22&amp;";",""),IF(AND($G85&lt;Hta_3,$G85&gt;=Hba_3,Input!AK$23&lt;&gt;""),Input!$B$23&amp;";",""),IF(AND($G85&lt;Hta_4,$G85&gt;=Hba_4,Input!AK$24&lt;&gt;""),Input!$B$24&amp;";",""),IF(AND($G85&lt;Hta_5,$G85&gt;=Hba_5,Input!AK$25&lt;&gt;""),Input!$B$25&amp;";",""),IF(AND($G85&lt;Hta_6,$G85&gt;=Hba_6,Input!AK$26&lt;&gt;""),Input!$B$26&amp;";",""),IF(AND($G85&lt;Hta_7,$G85&gt;=Hba_7,Input!AK$27&lt;&gt;""),Input!$B$27&amp;";",""),IF(AND($G85&lt;Hta_8,$G85&gt;=Hba_8,Input!AK$28&lt;&gt;""),Input!$B$28&amp;";",""),IF(AND($G85&lt;Hta_9,$G85&gt;=Hba_9,Input!AK$29&lt;&gt;""),Input!$B$29&amp;";",""),IF(AND($G85&lt;Hta_10,$G85&gt;=Hba_10,Input!AK$30&lt;&gt;""),Input!$B$30&amp;";",""),IF(AND($G85&lt;Hta_11,$G85&gt;=Hba_11,Input!AK$31&lt;&gt;""),Input!$B$31&amp;";",""),IF(AND($G85&lt;Hta_12,$G85&gt;=Hba_12,Input!AK$32&lt;&gt;""),Input!$B$32&amp;";",""),IF(AND($G85&lt;Hta_13,$G85&gt;=Hba_13,Input!AK$33&lt;&gt;""),Input!$B$33&amp;";",""),IF(AND($G85&lt;Hta_14,$G85&gt;=Hba_14,Input!AK$34&lt;&gt;""),Input!$B$34&amp;";",""),IF(AND($G85&lt;Hta_15,$G85&gt;=Hba_15,Input!AK$35&lt;&gt;""),Input!$B$35&amp;";",""),IF(AND($G85&lt;Hta_16,$G85&gt;=Hba_16,Input!AK$36&lt;&gt;""),Input!$B$36&amp;";",""),IF(AND($G85&lt;Hta_17,$G85&gt;=Hba_17,Input!AK$37&lt;&gt;""),Input!$B$37&amp;";",""),IF(AND($G85&lt;Hta_18,$G85&gt;=Hba_18,Input!AK$38&lt;&gt;""),Input!$B$38&amp;";",""),IF(AND($G85&lt;Hta_19,$G85&gt;=Hba_19,Input!AK$39&lt;&gt;""),Input!$B$39&amp;";",""),IF(AND($G85&lt;Hta_20,$G85&gt;=Hba_20,Input!AK$40&lt;&gt;""),Input!$B$40&amp;";",""),IF(AND($G85&lt;Hta_21,$G85&gt;=Hba_21,Input!AK$41&lt;&gt;""),Input!$B$41&amp;";",""),IF(AND($G85&lt;Hta_22,$G85&gt;=Hba_22,Input!AK$42&lt;&gt;""),Input!$B$42&amp;";",""),IF(AND($G85&lt;Hta_23,$G85&gt;=Hba_23,Input!AK$43&lt;&gt;""),Input!$B$43&amp;";",""),IF(AND($G85&lt;Hta_24,$G85&gt;=Hba_24,Input!AK$44&lt;&gt;""),Input!$B$44&amp;";",""),IF(AND($G85&lt;Hta_25,$G85&gt;=Hba_25,Input!AK$45&lt;&gt;""),Input!$B$45&amp;";",""),IF(AND($G85&lt;Hta_26,$G85&gt;=Hba_26,Input!AK$46&lt;&gt;""),Input!$B$46&amp;";",""),IF(AND($G85&lt;Hta_27,$G85&gt;=Hba_27,Input!AK$47&lt;&gt;""),Input!$B$47&amp;";",""),IF(AND($G85&lt;Hta_28,$G85&gt;=Hba_28,Input!AK$48&lt;&gt;""),Input!$B$48&amp;";",""),IF(AND($G85&lt;Hta_29,$G85&gt;=Hba_29,Input!AK$49&lt;&gt;""),Input!$B$49&amp;";",""),IF(AND($G85&lt;Hta_30,$G85&gt;=Hba_30,Input!AK$50&lt;&gt;""),Input!$B$50&amp;";","")),"")</f>
        <v/>
      </c>
      <c r="CM85" s="25" t="str">
        <f>IFERROR(CONCATENATE(IF(AND($G85&lt;Hta_1,$G85&gt;=Hba_1,Input!AL$21&lt;&gt;""),Input!$B$21&amp;";",""),IF(AND($G85&lt;Hta_2,$G85&gt;=Hba_2,Input!AL$22&lt;&gt;""),Input!$B$22&amp;";",""),IF(AND($G85&lt;Hta_3,$G85&gt;=Hba_3,Input!AL$23&lt;&gt;""),Input!$B$23&amp;";",""),IF(AND($G85&lt;Hta_4,$G85&gt;=Hba_4,Input!AL$24&lt;&gt;""),Input!$B$24&amp;";",""),IF(AND($G85&lt;Hta_5,$G85&gt;=Hba_5,Input!AL$25&lt;&gt;""),Input!$B$25&amp;";",""),IF(AND($G85&lt;Hta_6,$G85&gt;=Hba_6,Input!AL$26&lt;&gt;""),Input!$B$26&amp;";",""),IF(AND($G85&lt;Hta_7,$G85&gt;=Hba_7,Input!AL$27&lt;&gt;""),Input!$B$27&amp;";",""),IF(AND($G85&lt;Hta_8,$G85&gt;=Hba_8,Input!AL$28&lt;&gt;""),Input!$B$28&amp;";",""),IF(AND($G85&lt;Hta_9,$G85&gt;=Hba_9,Input!AL$29&lt;&gt;""),Input!$B$29&amp;";",""),IF(AND($G85&lt;Hta_10,$G85&gt;=Hba_10,Input!AL$30&lt;&gt;""),Input!$B$30&amp;";",""),IF(AND($G85&lt;Hta_11,$G85&gt;=Hba_11,Input!AL$31&lt;&gt;""),Input!$B$31&amp;";",""),IF(AND($G85&lt;Hta_12,$G85&gt;=Hba_12,Input!AL$32&lt;&gt;""),Input!$B$32&amp;";",""),IF(AND($G85&lt;Hta_13,$G85&gt;=Hba_13,Input!AL$33&lt;&gt;""),Input!$B$33&amp;";",""),IF(AND($G85&lt;Hta_14,$G85&gt;=Hba_14,Input!AL$34&lt;&gt;""),Input!$B$34&amp;";",""),IF(AND($G85&lt;Hta_15,$G85&gt;=Hba_15,Input!AL$35&lt;&gt;""),Input!$B$35&amp;";",""),IF(AND($G85&lt;Hta_16,$G85&gt;=Hba_16,Input!AL$36&lt;&gt;""),Input!$B$36&amp;";",""),IF(AND($G85&lt;Hta_17,$G85&gt;=Hba_17,Input!AL$37&lt;&gt;""),Input!$B$37&amp;";",""),IF(AND($G85&lt;Hta_18,$G85&gt;=Hba_18,Input!AL$38&lt;&gt;""),Input!$B$38&amp;";",""),IF(AND($G85&lt;Hta_19,$G85&gt;=Hba_19,Input!AL$39&lt;&gt;""),Input!$B$39&amp;";",""),IF(AND($G85&lt;Hta_20,$G85&gt;=Hba_20,Input!AL$40&lt;&gt;""),Input!$B$40&amp;";",""),IF(AND($G85&lt;Hta_21,$G85&gt;=Hba_21,Input!AL$41&lt;&gt;""),Input!$B$41&amp;";",""),IF(AND($G85&lt;Hta_22,$G85&gt;=Hba_22,Input!AL$42&lt;&gt;""),Input!$B$42&amp;";",""),IF(AND($G85&lt;Hta_23,$G85&gt;=Hba_23,Input!AL$43&lt;&gt;""),Input!$B$43&amp;";",""),IF(AND($G85&lt;Hta_24,$G85&gt;=Hba_24,Input!AL$44&lt;&gt;""),Input!$B$44&amp;";",""),IF(AND($G85&lt;Hta_25,$G85&gt;=Hba_25,Input!AL$45&lt;&gt;""),Input!$B$45&amp;";",""),IF(AND($G85&lt;Hta_26,$G85&gt;=Hba_26,Input!AL$46&lt;&gt;""),Input!$B$46&amp;";",""),IF(AND($G85&lt;Hta_27,$G85&gt;=Hba_27,Input!AL$47&lt;&gt;""),Input!$B$47&amp;";",""),IF(AND($G85&lt;Hta_28,$G85&gt;=Hba_28,Input!AL$48&lt;&gt;""),Input!$B$48&amp;";",""),IF(AND($G85&lt;Hta_29,$G85&gt;=Hba_29,Input!AL$49&lt;&gt;""),Input!$B$49&amp;";",""),IF(AND($G85&lt;Hta_30,$G85&gt;=Hba_30,Input!AL$50&lt;&gt;""),Input!$B$50&amp;";","")),"")</f>
        <v/>
      </c>
      <c r="CN85" s="60" t="str">
        <f t="shared" si="16"/>
        <v/>
      </c>
      <c r="CO85" s="798"/>
      <c r="CP85" s="799"/>
      <c r="CQ85" s="800"/>
      <c r="CR85" s="798"/>
      <c r="CS85" s="799"/>
      <c r="CT85" s="800"/>
      <c r="CU85" s="798" t="str">
        <f t="shared" si="17"/>
        <v/>
      </c>
      <c r="CV85" s="799"/>
      <c r="CW85" s="806"/>
      <c r="CX85" s="726"/>
      <c r="CY85" s="727"/>
      <c r="CZ85" s="732"/>
      <c r="DA85" s="726"/>
      <c r="DB85" s="727"/>
      <c r="DC85" s="732"/>
      <c r="DD85" s="726" t="str">
        <f t="shared" si="18"/>
        <v/>
      </c>
      <c r="DE85" s="727"/>
      <c r="DF85" s="728"/>
      <c r="DG85" s="53"/>
      <c r="DH85" s="54"/>
      <c r="DI85" s="54"/>
      <c r="DJ85" s="54"/>
      <c r="DK85" s="54"/>
      <c r="DL85" s="54"/>
      <c r="DM85" s="54"/>
      <c r="DN85" s="54"/>
      <c r="DO85" s="54"/>
      <c r="DP85" s="54"/>
      <c r="DQ85" s="57"/>
      <c r="DR85" s="57"/>
      <c r="DS85" s="57"/>
      <c r="DT85" s="57"/>
      <c r="DU85" s="57"/>
      <c r="DV85" s="57"/>
      <c r="DW85" s="57"/>
      <c r="DX85" s="57"/>
      <c r="DY85" s="57"/>
      <c r="DZ85" s="57"/>
      <c r="EA85" s="57"/>
      <c r="EB85" s="57"/>
      <c r="EC85" s="57"/>
      <c r="ED85" s="57"/>
      <c r="EE85" s="57"/>
      <c r="EF85" s="57"/>
      <c r="EG85" s="57"/>
      <c r="EH85" s="57"/>
      <c r="EI85" s="57"/>
      <c r="EJ85" s="57"/>
      <c r="EK85" s="57"/>
      <c r="EL85" s="133"/>
      <c r="EM85" s="133"/>
      <c r="EN85" s="133"/>
      <c r="EO85" s="133"/>
      <c r="EP85" s="133"/>
      <c r="EQ85" s="133"/>
      <c r="ER85" s="133"/>
      <c r="ES85" s="133"/>
      <c r="ET85" s="133"/>
      <c r="EU85" s="133"/>
      <c r="EV85" s="133"/>
      <c r="EW85" s="133"/>
      <c r="EX85" s="133"/>
      <c r="EY85" s="133"/>
      <c r="EZ85" s="133"/>
      <c r="FA85" s="133"/>
      <c r="FB85" s="133"/>
      <c r="FC85" s="133"/>
      <c r="FD85" s="133"/>
      <c r="FE85" s="133"/>
      <c r="FF85" s="133"/>
      <c r="FG85" s="133"/>
      <c r="FH85" s="133"/>
      <c r="FI85" s="133"/>
      <c r="FJ85" s="133"/>
      <c r="FK85" s="133"/>
      <c r="FL85" s="133"/>
      <c r="FM85" s="133"/>
      <c r="FN85" s="133"/>
      <c r="FO85" s="133"/>
      <c r="FQ85" s="125"/>
      <c r="FR85" s="123"/>
      <c r="FS85" s="121"/>
      <c r="FT85" s="119"/>
    </row>
    <row r="86" spans="2:176" ht="15.75" hidden="1" thickBot="1" x14ac:dyDescent="0.3">
      <c r="B86" s="62" t="b">
        <f>IF(OR(AND(G86&gt;='Geometry 2'!$AK$5,G86&lt;'Geometry 2'!$AL$5),AND(G86&gt;='Geometry 2'!$AK$6,G86&lt;'Geometry 2'!$AL$6),AND(G86&gt;='Geometry 2'!$AK$7,G86&lt;'Geometry 2'!$AL$7),AND(G86&gt;='Geometry 2'!$AK$8,G86&lt;'Geometry 2'!$AL$8),AND(G86&gt;='Geometry 2'!$AK$9,G86&lt;'Geometry 2'!$AL$9),AND(G86&gt;='Geometry 2'!$AK$10,G86&lt;'Geometry 2'!$AL$10),AND(G86&gt;='Geometry 2'!$AK$11,G86&lt;'Geometry 2'!$AL$11),AND(G86&gt;='Geometry 2'!$AK$12,G86&lt;'Geometry 2'!$AL$12),AND(G86&gt;='Geometry 2'!$AK$13,G86&lt;'Geometry 2'!$AL$13),AND(G86&gt;='Geometry 2'!$AK$14,G86&lt;'Geometry 2'!$AL$14)),TRUE,FALSE)</f>
        <v>0</v>
      </c>
      <c r="C86" s="4" t="str">
        <f t="shared" si="13"/>
        <v/>
      </c>
      <c r="D86" s="766" t="str">
        <f t="shared" si="14"/>
        <v/>
      </c>
      <c r="E86" s="767"/>
      <c r="F86" s="17" t="str">
        <f t="shared" si="12"/>
        <v/>
      </c>
      <c r="G86" s="768" t="str">
        <f>IF(D86="","",MAX(0,G85-IF(inc="n/a",999,inc),MAX(IF(G85&lt;=Hta_1,0,Hta_1),IF(G85&lt;=Hta_2,0,Hta_2),IF(G85&lt;=Hta_3,0,Hta_3),IF(G85&lt;=Hta_4,0,Hta_4),IF(G85&lt;=Hta_5,0,Hta_5),IF(G85&lt;=Hta_6,0,Hta_6),IF(G85&lt;=Hta_7,0,Hta_7),IF(G85&lt;=Hta_8,0,Hta_8),IF(G85&lt;=Hta_9,0,Hta_9),IF(G85&lt;=Hta_10,0,Hta_10),IF(G85&lt;=Hta_11,0,Hta_11),IF(G85&lt;=Hta_12,0,Hta_12),IF(G85&lt;=Hta_13,0,Hta_13),IF(G85&lt;=Hta_14,0,Hta_14),IF(G85&lt;=Hta_15,0,Hta_15),IF(G85&lt;=Hta_16,0,Hta_16),IF(G85&lt;=Hta_17,0,Hta_17),IF(G85&lt;=Hta_18,0,Hta_18),IF(G85&lt;=Hta_19,0,Hta_19),IF(G85&lt;=Hta_20,0,Hta_20),IF(G85&lt;=Hta_21,0,Hta_21),IF(G85&lt;=Hta_22,0,Hta_22),IF(G85&lt;=Hta_23,0,Hta_23),IF(G85&lt;=Hta_24,0,Hta_24),IF(G85&lt;=Hta_25,0,Hta_25),IF(G85&lt;=Hta_26,0,Hta_26),IF(G85&lt;=Hta_27,0,Hta_27),IF(G85&lt;=Hta_28,0,Hta_28),IF(G85&lt;=Hta_29,0,Hta_29),IF(G85&lt;=Hta_30,0,Hta_30)),MAX(IF(G85&lt;=Hta_1-0.25,0,Hta_1-0.25),IF(G85&lt;=Hta_2-0.25,0,Hta_2-0.25),IF(G85&lt;=Hta_3-0.25,0,Hta_3-0.25),IF(G85&lt;=Hta_4-0.25,0,Hta_4-0.25),IF(G85&lt;=Hta_5-0.25,0,Hta_5-0.25),IF(G85&lt;=Hta_6-0.25,0,Hta_6-0.25),IF(G85&lt;=Hta_7-0.25,0,Hta_7-0.25),IF(G85&lt;=Hta_8-0.25,0,Hta_8-0.25),IF(G85&lt;=Hta_9-0.25,0,Hta_9-0.25),IF(G85&lt;=Hta_10-0.25,0,Hta_10-0.25),IF(G85&lt;=Hta_11-0.25,0,Hta_11-0.25),IF(G85&lt;=Hta_12-0.25,0,Hta_12-0.25),IF(G85&lt;=Hta_13-0.25,0,Hta_13-0.25),IF(G85&lt;=Hta_14-0.25,0,Hta_14-0.25),IF(G85&lt;=Hta_15-0.25,0,Hta_15-0.25),IF(G85&lt;=Hta_16-0.25,0,Hta_16-0.25),IF(G85&lt;=Hta_17-0.25,0,Hta_17-0.25),IF(G85&lt;=Hta_18-0.25,0,Hta_18-0.25),IF(G85&lt;=Hta_19-0.25,0,Hta_19-0.25),IF(G85&lt;=Hta_20-0.25,0,Hta_20-0.25),IF(G85&lt;=Hta_21-0.25,0,Hta_21-0.25),IF(G85&lt;=Hta_22-0.25,0,Hta_22-0.25),IF(G85&lt;=Hta_23-0.25,0,Hta_23-0.25),IF(G85&lt;=Hta_24-0.25,0,Hta_24-0.25),IF(G85&lt;=Hta_25-0.25,0,Hta_25-0.25),IF(G85&lt;=Hta_26-0.25,0,Hta_26-0.25),IF(G85&lt;=Hta_27-0.25,0,Hta_27-0.25),IF(G85&lt;=Hta_28-0.25,0,Hta_28-0.25),IF(G85&lt;=Hta_29-0.25,0,Hta_29-0.25),IF(G85&lt;=Hta_30-0.25,0,Hta_30-0.25)),MAX(IF(G85&lt;=Hba_1,0,Hba_1),IF(G85&lt;=Hba_2,0,Hba_2),IF(G85&lt;=Hba_3,0,Hba_3),IF(G85&lt;=Hba_4,0,Hba_4),IF(G85&lt;=Hba_5,0,Hba_5),IF(G85&lt;=Hba_6,0,Hba_6),IF(G85&lt;=Hba_7,0,Hba_7),IF(G85&lt;=Hba_8,0,Hba_8),IF(G85&lt;=Hba_9,0,Hba_9),IF(G85&lt;=Hba_10,0,Hba_10),IF(G85&lt;=Hba_11,0,Hba_11),IF(G85&lt;=Hba_12,0,Hba_12),IF(G85&lt;=Hba_13,0,Hba_13),IF(G85&lt;=Hba_14,0,Hba_14),IF(G85&lt;=Hba_15,0,Hba_15),IF(G85&lt;=Hba_16,0,Hba_16),IF(G85&lt;=Hba_17,0,Hba_17),IF(G85&lt;=Hba_18,0,Hba_18),IF(G85&lt;=Hba_19,0,Hba_19),IF(G85&lt;=Hba_20,0,Hba_20),IF(G85&lt;=Hba_21,0,Hba_21),IF(G85&lt;=Hba_22,0,Hba_22),IF(G85&lt;=Hba_23,0,Hba_23),IF(G85&lt;=Hba_24,0,Hba_24),IF(G85&lt;=Hba_25,0,Hba_25),IF(G85&lt;=Hba_26,0,Hba_26),IF(G85&lt;=Hba_27,0,Hba_27),IF(G85&lt;=Hba_28,0,Hba_28),IF(G85&lt;=Hba_29,0,Hba_29),IF(G85&lt;=Hba_30,0,Hba_30)),MAX(IF(G85&lt;=Input!$C$8,0,Input!$C$8),IF(G85&lt;=Input!$C$9,0,Input!$C$9),IF(G85&lt;=Input!$C$10,0,Input!$C$10),IF(G85&lt;=Input!$C$11,0,Input!$C$11),IF(G85&lt;=Input!$C$12,0,Input!$C$12),IF(G85&lt;=Input!$C$13,0,Input!$C$13),IF(G85&lt;=Input!$C$14,0,Input!$C$14),IF(G85&lt;=Input!$C$15,0,Input!$C$15),IF(G85&lt;=Input!$C$16,0,Input!$C$16)),MAX(IF(G85&lt;=Hba_1-0.25,0,Hba_1-0.25),IF(G85&lt;=Hba_2-0.25,0,Hba_2-0.25),IF(G85&lt;=Hba_3-0.25,0,Hba_3-0.25),IF(G85&lt;=Hba_4-0.25,0,Hba_4-0.25),IF(G85&lt;=Hba_5-0.25,0,Hba_5-0.25),IF(G85&lt;=Hba_6-0.25,0,Hba_6-0.25),IF(G85&lt;=Hba_7-0.25,0,Hba_7-0.25),IF(G85&lt;=Hba_8-0.25,0,Hba_8-0.25),IF(G85&lt;=Hba_9-0.25,0,Hba_9-0.25),IF(G85&lt;=Hba_10-0.25,0,Hba_10-0.25),IF(G85&lt;=Hba_11-0.25,0,Hba_11-0.25),IF(G85&lt;=Hba_12-0.25,0,Hba_12-0.25),IF(G85&lt;=Hba_13-0.25,0,Hba_13-0.25),IF(G85&lt;=Hba_14-0.25,0,Hba_14-0.25),IF(G85&lt;=Hba_15-0.25,0,Hba_15-0.25),IF(G85&lt;=Hba_16-0.25,0,Hba_16-0.25),IF(G85&lt;=Hba_17-0.25,0,Hba_17-0.25),IF(G85&lt;=Hba_18-0.25,0,Hba_18-0.25),IF(G85&lt;=Hba_19-0.25,0,Hba_19-0.25),IF(G85&lt;=Hba_20-0.25,0,Hba_20-0.25),IF(G85&lt;=Hba_21-0.25,0,Hba_21-0.25),IF(G85&lt;=Hba_22-0.25,0,Hba_22-0.25),IF(G85&lt;=Hba_23-0.25,0,Hba_23-0.25),IF(G85&lt;=Hba_24-0.25,0,Hba_24-0.25),IF(G85&lt;=Hba_25-0.25,0,Hba_25-0.25),IF(G85&lt;=Hba_26-0.25,0,Hba_26-0.25),IF(G85&lt;=Hba_27-0.25,0,Hba_27-0.25),IF(G85&lt;=Hba_28-0.25,0,Hba_28-0.25),IF(G85&lt;=Hba_29-0.25,0,Hba_29-0.25),IF(G85&lt;=Hba_30-0.25,0,Hba_30-0.25)),IF(G85&lt;='Macro References'!$A$38,0,'Macro References'!$A$38)))</f>
        <v/>
      </c>
      <c r="H86" s="769"/>
      <c r="I86" s="228"/>
      <c r="J86" s="228"/>
      <c r="K86" s="228"/>
      <c r="L86" s="717" t="str">
        <f t="shared" si="11"/>
        <v/>
      </c>
      <c r="M86" s="717"/>
      <c r="N86" s="717"/>
      <c r="O86" s="717"/>
      <c r="P86" s="717" t="str">
        <f>IF(OR(G86=0,G86=""),"",IF(VLOOKUP(G86,'Geometry 2'!$C$4:$AI$14,1,TRUE)=VLOOKUP(G87,'Geometry 2'!$C$4:$AI$14,1,TRUE),"",IF(VLOOKUP(G86,'Geometry 2'!$C$4:$AI$14,33,TRUE)&lt;&gt;"n/a",MIN(G86,VLOOKUP(G86,'Geometry 2'!$C$4:$AI$14,1,TRUE))-VLOOKUP(G86,'Geometry 2'!$C$4:$AI$14,33,TRUE),"check")))</f>
        <v/>
      </c>
      <c r="Q86" s="717"/>
      <c r="R86" s="717"/>
      <c r="S86" s="717"/>
      <c r="T86" s="717" t="str">
        <f>IF($G86="","",VLOOKUP($G86,'Geometry 2'!$E$4:$AH$14,11,TRUE))</f>
        <v/>
      </c>
      <c r="U86" s="717"/>
      <c r="V86" s="717"/>
      <c r="W86" s="717"/>
      <c r="X86" s="716" t="str">
        <f>IF($G86="","",VLOOKUP($G86,'Geometry 2'!$E$4:$AJ$14,19,TRUE)-12*VLOOKUP($G86,'Geometry 2'!$E$4:$AJ$14,32,TRUE)*($D86-VLOOKUP($G86,'Geometry 2'!$E$5:$AH$14,1,TRUE)))</f>
        <v/>
      </c>
      <c r="Y86" s="716"/>
      <c r="Z86" s="716"/>
      <c r="AA86" s="716"/>
      <c r="AB86" s="757" t="str">
        <f>IF($G86="","",VLOOKUP($G86,'Geometry 2'!$E$4:$AJ$14,19,TRUE)-12*VLOOKUP($G86,'Geometry 2'!$E$4:$AJ$14,32,TRUE)*($G86-VLOOKUP($G86,'Geometry 2'!$E$5:$AH$14,1,TRUE)))</f>
        <v/>
      </c>
      <c r="AC86" s="758"/>
      <c r="AD86" s="758"/>
      <c r="AE86" s="759"/>
      <c r="AF86" s="716" t="str">
        <f>IF($G86="","",VLOOKUP($G86,'Geometry 2'!$E$4:$AJ$14,19,TRUE)-12*VLOOKUP($G86,'Geometry 2'!$E$4:$AJ$14,32,TRUE)*($G86-IF($P86="",0,$P86)-VLOOKUP($G86,'Geometry 2'!$E$5:$AH$14,1,TRUE)))</f>
        <v/>
      </c>
      <c r="AG86" s="716"/>
      <c r="AH86" s="716"/>
      <c r="AI86" s="716"/>
      <c r="AJ86" s="746" t="str">
        <f>IF($G86="","",VLOOKUP($G86,'Geometry 2'!$E$4:$AH$14,23,TRUE))</f>
        <v/>
      </c>
      <c r="AK86" s="747"/>
      <c r="AL86" s="747"/>
      <c r="AM86" s="748"/>
      <c r="AN86" s="717"/>
      <c r="AO86" s="717"/>
      <c r="AP86" s="717"/>
      <c r="AQ86" s="717"/>
      <c r="AR86" s="717" t="str">
        <f>IF($G86="","",VLOOKUP($G86,'Geometry 2'!$E$4:$AH$14,27,TRUE))</f>
        <v/>
      </c>
      <c r="AS86" s="717"/>
      <c r="AT86" s="717"/>
      <c r="AU86" s="718"/>
      <c r="AV86" s="715"/>
      <c r="AW86" s="716"/>
      <c r="AX86" s="716"/>
      <c r="AZ86" s="722" t="str">
        <f t="shared" si="15"/>
        <v/>
      </c>
      <c r="BA86" s="723"/>
      <c r="BB86" s="723"/>
      <c r="BC86" s="724"/>
      <c r="BD86" s="722"/>
      <c r="BE86" s="723"/>
      <c r="BF86" s="723"/>
      <c r="BG86" s="722" t="str">
        <f t="shared" si="19"/>
        <v/>
      </c>
      <c r="BH86" s="723"/>
      <c r="BI86" s="723"/>
      <c r="BJ86" s="723"/>
      <c r="BK86" s="724"/>
      <c r="BL86" s="722"/>
      <c r="BM86" s="723"/>
      <c r="BN86" s="723"/>
      <c r="BO86" s="723"/>
      <c r="BP86" s="725"/>
      <c r="BQ86" s="725"/>
      <c r="BR86" s="722" t="str">
        <f>IF(BP86="","",IF(OR(AND(Rev="H",Calculations!$F$27=TRUE),AND(Rev&lt;&gt;"H",Calculations!$F$30=TRUE)),IF(BP86&lt;=1,"Pass","Fail"),IF(BP86&lt;=1.05,"Pass","Fail")))</f>
        <v/>
      </c>
      <c r="BS86" s="723"/>
      <c r="BT86" s="724"/>
      <c r="BU86" s="49"/>
      <c r="BV86" s="25" t="str">
        <f>IFERROR(CONCATENATE(IF(AND($G86&lt;Hta_1,$G86&gt;=Hba_1,Input!U$21&lt;&gt;""),Input!$B$21&amp;";",""),IF(AND($G86&lt;Hta_2,$G86&gt;=Hba_2,Input!U$22&lt;&gt;""),Input!$B$22&amp;";",""),IF(AND($G86&lt;Hta_3,$G86&gt;=Hba_3,Input!U$23&lt;&gt;""),Input!$B$23&amp;";",""),IF(AND($G86&lt;Hta_4,$G86&gt;=Hba_4,Input!U$24&lt;&gt;""),Input!$B$24&amp;";",""),IF(AND($G86&lt;Hta_5,$G86&gt;=Hba_5,Input!U$25&lt;&gt;""),Input!$B$25&amp;";",""),IF(AND($G86&lt;Hta_6,$G86&gt;=Hba_6,Input!U$26&lt;&gt;""),Input!$B$26&amp;";",""),IF(AND($G86&lt;Hta_7,$G86&gt;=Hba_7,Input!U$27&lt;&gt;""),Input!$B$27&amp;";",""),IF(AND($G86&lt;Hta_8,$G86&gt;=Hba_8,Input!U$28&lt;&gt;""),Input!$B$28&amp;";",""),IF(AND($G86&lt;Hta_9,$G86&gt;=Hba_9,Input!U$29&lt;&gt;""),Input!$B$29&amp;";",""),IF(AND($G86&lt;Hta_10,$G86&gt;=Hba_10,Input!U$30&lt;&gt;""),Input!$B$30&amp;";",""),IF(AND($G86&lt;Hta_11,$G86&gt;=Hba_11,Input!U$31&lt;&gt;""),Input!$B$31&amp;";",""),IF(AND($G86&lt;Hta_12,$G86&gt;=Hba_12,Input!U$32&lt;&gt;""),Input!$B$32&amp;";",""),IF(AND($G86&lt;Hta_13,$G86&gt;=Hba_13,Input!U$33&lt;&gt;""),Input!$B$33&amp;";",""),IF(AND($G86&lt;Hta_14,$G86&gt;=Hba_14,Input!U$34&lt;&gt;""),Input!$B$34&amp;";",""),IF(AND($G86&lt;Hta_15,$G86&gt;=Hba_15,Input!U$35&lt;&gt;""),Input!$B$35&amp;";",""),IF(AND($G86&lt;Hta_16,$G86&gt;=Hba_16,Input!U$36&lt;&gt;""),Input!$B$36&amp;";",""),IF(AND($G86&lt;Hta_17,$G86&gt;=Hba_17,Input!U$37&lt;&gt;""),Input!$B$37&amp;";",""),IF(AND($G86&lt;Hta_18,$G86&gt;=Hba_18,Input!U$38&lt;&gt;""),Input!$B$38&amp;";",""),IF(AND($G86&lt;Hta_19,$G86&gt;=Hba_19,Input!U$39&lt;&gt;""),Input!$B$39&amp;";",""),IF(AND($G86&lt;Hta_20,$G86&gt;=Hba_20,Input!U$40&lt;&gt;""),Input!$B$40&amp;";",""),IF(AND($G86&lt;Hta_21,$G86&gt;=Hba_21,Input!U$41&lt;&gt;""),Input!$B$41&amp;";",""),IF(AND($G86&lt;Hta_22,$G86&gt;=Hba_22,Input!U$42&lt;&gt;""),Input!$B$42&amp;";",""),IF(AND($G86&lt;Hta_23,$G86&gt;=Hba_23,Input!U$43&lt;&gt;""),Input!$B$43&amp;";",""),IF(AND($G86&lt;Hta_24,$G86&gt;=Hba_24,Input!U$44&lt;&gt;""),Input!$B$44&amp;";",""),IF(AND($G86&lt;Hta_25,$G86&gt;=Hba_25,Input!U$45&lt;&gt;""),Input!$B$45&amp;";",""),IF(AND($G86&lt;Hta_26,$G86&gt;=Hba_26,Input!U$46&lt;&gt;""),Input!$B$46&amp;";",""),IF(AND($G86&lt;Hta_27,$G86&gt;=Hba_27,Input!U$47&lt;&gt;""),Input!$B$47&amp;";",""),IF(AND($G86&lt;Hta_28,$G86&gt;=Hba_28,Input!U$48&lt;&gt;""),Input!$B$48&amp;";",""),IF(AND($G86&lt;Hta_29,$G86&gt;=Hba_29,Input!U$49&lt;&gt;""),Input!$B$49&amp;";",""),IF(AND($G86&lt;Hta_30,$G86&gt;=Hba_30,Input!U$50&lt;&gt;""),Input!$B$50&amp;";","")),"")</f>
        <v/>
      </c>
      <c r="BW86" s="25" t="str">
        <f>IFERROR(CONCATENATE(IF(AND($G86&lt;Hta_1,$G86&gt;=Hba_1,Input!V$21&lt;&gt;""),Input!$B$21&amp;";",""),IF(AND($G86&lt;Hta_2,$G86&gt;=Hba_2,Input!V$22&lt;&gt;""),Input!$B$22&amp;";",""),IF(AND($G86&lt;Hta_3,$G86&gt;=Hba_3,Input!V$23&lt;&gt;""),Input!$B$23&amp;";",""),IF(AND($G86&lt;Hta_4,$G86&gt;=Hba_4,Input!V$24&lt;&gt;""),Input!$B$24&amp;";",""),IF(AND($G86&lt;Hta_5,$G86&gt;=Hba_5,Input!V$25&lt;&gt;""),Input!$B$25&amp;";",""),IF(AND($G86&lt;Hta_6,$G86&gt;=Hba_6,Input!V$26&lt;&gt;""),Input!$B$26&amp;";",""),IF(AND($G86&lt;Hta_7,$G86&gt;=Hba_7,Input!V$27&lt;&gt;""),Input!$B$27&amp;";",""),IF(AND($G86&lt;Hta_8,$G86&gt;=Hba_8,Input!V$28&lt;&gt;""),Input!$B$28&amp;";",""),IF(AND($G86&lt;Hta_9,$G86&gt;=Hba_9,Input!V$29&lt;&gt;""),Input!$B$29&amp;";",""),IF(AND($G86&lt;Hta_10,$G86&gt;=Hba_10,Input!V$30&lt;&gt;""),Input!$B$30&amp;";",""),IF(AND($G86&lt;Hta_11,$G86&gt;=Hba_11,Input!V$31&lt;&gt;""),Input!$B$31&amp;";",""),IF(AND($G86&lt;Hta_12,$G86&gt;=Hba_12,Input!V$32&lt;&gt;""),Input!$B$32&amp;";",""),IF(AND($G86&lt;Hta_13,$G86&gt;=Hba_13,Input!V$33&lt;&gt;""),Input!$B$33&amp;";",""),IF(AND($G86&lt;Hta_14,$G86&gt;=Hba_14,Input!V$34&lt;&gt;""),Input!$B$34&amp;";",""),IF(AND($G86&lt;Hta_15,$G86&gt;=Hba_15,Input!V$35&lt;&gt;""),Input!$B$35&amp;";",""),IF(AND($G86&lt;Hta_16,$G86&gt;=Hba_16,Input!V$36&lt;&gt;""),Input!$B$36&amp;";",""),IF(AND($G86&lt;Hta_17,$G86&gt;=Hba_17,Input!V$37&lt;&gt;""),Input!$B$37&amp;";",""),IF(AND($G86&lt;Hta_18,$G86&gt;=Hba_18,Input!V$38&lt;&gt;""),Input!$B$38&amp;";",""),IF(AND($G86&lt;Hta_19,$G86&gt;=Hba_19,Input!V$39&lt;&gt;""),Input!$B$39&amp;";",""),IF(AND($G86&lt;Hta_20,$G86&gt;=Hba_20,Input!V$40&lt;&gt;""),Input!$B$40&amp;";",""),IF(AND($G86&lt;Hta_21,$G86&gt;=Hba_21,Input!V$41&lt;&gt;""),Input!$B$41&amp;";",""),IF(AND($G86&lt;Hta_22,$G86&gt;=Hba_22,Input!V$42&lt;&gt;""),Input!$B$42&amp;";",""),IF(AND($G86&lt;Hta_23,$G86&gt;=Hba_23,Input!V$43&lt;&gt;""),Input!$B$43&amp;";",""),IF(AND($G86&lt;Hta_24,$G86&gt;=Hba_24,Input!V$44&lt;&gt;""),Input!$B$44&amp;";",""),IF(AND($G86&lt;Hta_25,$G86&gt;=Hba_25,Input!V$45&lt;&gt;""),Input!$B$45&amp;";",""),IF(AND($G86&lt;Hta_26,$G86&gt;=Hba_26,Input!V$46&lt;&gt;""),Input!$B$46&amp;";",""),IF(AND($G86&lt;Hta_27,$G86&gt;=Hba_27,Input!V$47&lt;&gt;""),Input!$B$47&amp;";",""),IF(AND($G86&lt;Hta_28,$G86&gt;=Hba_28,Input!V$48&lt;&gt;""),Input!$B$48&amp;";",""),IF(AND($G86&lt;Hta_29,$G86&gt;=Hba_29,Input!V$49&lt;&gt;""),Input!$B$49&amp;";",""),IF(AND($G86&lt;Hta_30,$G86&gt;=Hba_30,Input!V$50&lt;&gt;""),Input!$B$50&amp;";","")),"")</f>
        <v/>
      </c>
      <c r="BX86" s="25" t="str">
        <f>IFERROR(CONCATENATE(IF(AND($G86&lt;Hta_1,$G86&gt;=Hba_1,Input!W$21&lt;&gt;""),Input!$B$21&amp;";",""),IF(AND($G86&lt;Hta_2,$G86&gt;=Hba_2,Input!W$22&lt;&gt;""),Input!$B$22&amp;";",""),IF(AND($G86&lt;Hta_3,$G86&gt;=Hba_3,Input!W$23&lt;&gt;""),Input!$B$23&amp;";",""),IF(AND($G86&lt;Hta_4,$G86&gt;=Hba_4,Input!W$24&lt;&gt;""),Input!$B$24&amp;";",""),IF(AND($G86&lt;Hta_5,$G86&gt;=Hba_5,Input!W$25&lt;&gt;""),Input!$B$25&amp;";",""),IF(AND($G86&lt;Hta_6,$G86&gt;=Hba_6,Input!W$26&lt;&gt;""),Input!$B$26&amp;";",""),IF(AND($G86&lt;Hta_7,$G86&gt;=Hba_7,Input!W$27&lt;&gt;""),Input!$B$27&amp;";",""),IF(AND($G86&lt;Hta_8,$G86&gt;=Hba_8,Input!W$28&lt;&gt;""),Input!$B$28&amp;";",""),IF(AND($G86&lt;Hta_9,$G86&gt;=Hba_9,Input!W$29&lt;&gt;""),Input!$B$29&amp;";",""),IF(AND($G86&lt;Hta_10,$G86&gt;=Hba_10,Input!W$30&lt;&gt;""),Input!$B$30&amp;";",""),IF(AND($G86&lt;Hta_11,$G86&gt;=Hba_11,Input!W$31&lt;&gt;""),Input!$B$31&amp;";",""),IF(AND($G86&lt;Hta_12,$G86&gt;=Hba_12,Input!W$32&lt;&gt;""),Input!$B$32&amp;";",""),IF(AND($G86&lt;Hta_13,$G86&gt;=Hba_13,Input!W$33&lt;&gt;""),Input!$B$33&amp;";",""),IF(AND($G86&lt;Hta_14,$G86&gt;=Hba_14,Input!W$34&lt;&gt;""),Input!$B$34&amp;";",""),IF(AND($G86&lt;Hta_15,$G86&gt;=Hba_15,Input!W$35&lt;&gt;""),Input!$B$35&amp;";",""),IF(AND($G86&lt;Hta_16,$G86&gt;=Hba_16,Input!W$36&lt;&gt;""),Input!$B$36&amp;";",""),IF(AND($G86&lt;Hta_17,$G86&gt;=Hba_17,Input!W$37&lt;&gt;""),Input!$B$37&amp;";",""),IF(AND($G86&lt;Hta_18,$G86&gt;=Hba_18,Input!W$38&lt;&gt;""),Input!$B$38&amp;";",""),IF(AND($G86&lt;Hta_19,$G86&gt;=Hba_19,Input!W$39&lt;&gt;""),Input!$B$39&amp;";",""),IF(AND($G86&lt;Hta_20,$G86&gt;=Hba_20,Input!W$40&lt;&gt;""),Input!$B$40&amp;";",""),IF(AND($G86&lt;Hta_21,$G86&gt;=Hba_21,Input!W$41&lt;&gt;""),Input!$B$41&amp;";",""),IF(AND($G86&lt;Hta_22,$G86&gt;=Hba_22,Input!W$42&lt;&gt;""),Input!$B$42&amp;";",""),IF(AND($G86&lt;Hta_23,$G86&gt;=Hba_23,Input!W$43&lt;&gt;""),Input!$B$43&amp;";",""),IF(AND($G86&lt;Hta_24,$G86&gt;=Hba_24,Input!W$44&lt;&gt;""),Input!$B$44&amp;";",""),IF(AND($G86&lt;Hta_25,$G86&gt;=Hba_25,Input!W$45&lt;&gt;""),Input!$B$45&amp;";",""),IF(AND($G86&lt;Hta_26,$G86&gt;=Hba_26,Input!W$46&lt;&gt;""),Input!$B$46&amp;";",""),IF(AND($G86&lt;Hta_27,$G86&gt;=Hba_27,Input!W$47&lt;&gt;""),Input!$B$47&amp;";",""),IF(AND($G86&lt;Hta_28,$G86&gt;=Hba_28,Input!W$48&lt;&gt;""),Input!$B$48&amp;";",""),IF(AND($G86&lt;Hta_29,$G86&gt;=Hba_29,Input!W$49&lt;&gt;""),Input!$B$49&amp;";",""),IF(AND($G86&lt;Hta_30,$G86&gt;=Hba_30,Input!W$50&lt;&gt;""),Input!$B$50&amp;";","")),"")</f>
        <v/>
      </c>
      <c r="BY86" s="25" t="str">
        <f>IFERROR(CONCATENATE(IF(AND($G86&lt;Hta_1,$G86&gt;=Hba_1,Input!X$21&lt;&gt;""),Input!$B$21&amp;";",""),IF(AND($G86&lt;Hta_2,$G86&gt;=Hba_2,Input!X$22&lt;&gt;""),Input!$B$22&amp;";",""),IF(AND($G86&lt;Hta_3,$G86&gt;=Hba_3,Input!X$23&lt;&gt;""),Input!$B$23&amp;";",""),IF(AND($G86&lt;Hta_4,$G86&gt;=Hba_4,Input!X$24&lt;&gt;""),Input!$B$24&amp;";",""),IF(AND($G86&lt;Hta_5,$G86&gt;=Hba_5,Input!X$25&lt;&gt;""),Input!$B$25&amp;";",""),IF(AND($G86&lt;Hta_6,$G86&gt;=Hba_6,Input!X$26&lt;&gt;""),Input!$B$26&amp;";",""),IF(AND($G86&lt;Hta_7,$G86&gt;=Hba_7,Input!X$27&lt;&gt;""),Input!$B$27&amp;";",""),IF(AND($G86&lt;Hta_8,$G86&gt;=Hba_8,Input!X$28&lt;&gt;""),Input!$B$28&amp;";",""),IF(AND($G86&lt;Hta_9,$G86&gt;=Hba_9,Input!X$29&lt;&gt;""),Input!$B$29&amp;";",""),IF(AND($G86&lt;Hta_10,$G86&gt;=Hba_10,Input!X$30&lt;&gt;""),Input!$B$30&amp;";",""),IF(AND($G86&lt;Hta_11,$G86&gt;=Hba_11,Input!X$31&lt;&gt;""),Input!$B$31&amp;";",""),IF(AND($G86&lt;Hta_12,$G86&gt;=Hba_12,Input!X$32&lt;&gt;""),Input!$B$32&amp;";",""),IF(AND($G86&lt;Hta_13,$G86&gt;=Hba_13,Input!X$33&lt;&gt;""),Input!$B$33&amp;";",""),IF(AND($G86&lt;Hta_14,$G86&gt;=Hba_14,Input!X$34&lt;&gt;""),Input!$B$34&amp;";",""),IF(AND($G86&lt;Hta_15,$G86&gt;=Hba_15,Input!X$35&lt;&gt;""),Input!$B$35&amp;";",""),IF(AND($G86&lt;Hta_16,$G86&gt;=Hba_16,Input!X$36&lt;&gt;""),Input!$B$36&amp;";",""),IF(AND($G86&lt;Hta_17,$G86&gt;=Hba_17,Input!X$37&lt;&gt;""),Input!$B$37&amp;";",""),IF(AND($G86&lt;Hta_18,$G86&gt;=Hba_18,Input!X$38&lt;&gt;""),Input!$B$38&amp;";",""),IF(AND($G86&lt;Hta_19,$G86&gt;=Hba_19,Input!X$39&lt;&gt;""),Input!$B$39&amp;";",""),IF(AND($G86&lt;Hta_20,$G86&gt;=Hba_20,Input!X$40&lt;&gt;""),Input!$B$40&amp;";",""),IF(AND($G86&lt;Hta_21,$G86&gt;=Hba_21,Input!X$41&lt;&gt;""),Input!$B$41&amp;";",""),IF(AND($G86&lt;Hta_22,$G86&gt;=Hba_22,Input!X$42&lt;&gt;""),Input!$B$42&amp;";",""),IF(AND($G86&lt;Hta_23,$G86&gt;=Hba_23,Input!X$43&lt;&gt;""),Input!$B$43&amp;";",""),IF(AND($G86&lt;Hta_24,$G86&gt;=Hba_24,Input!X$44&lt;&gt;""),Input!$B$44&amp;";",""),IF(AND($G86&lt;Hta_25,$G86&gt;=Hba_25,Input!X$45&lt;&gt;""),Input!$B$45&amp;";",""),IF(AND($G86&lt;Hta_26,$G86&gt;=Hba_26,Input!X$46&lt;&gt;""),Input!$B$46&amp;";",""),IF(AND($G86&lt;Hta_27,$G86&gt;=Hba_27,Input!X$47&lt;&gt;""),Input!$B$47&amp;";",""),IF(AND($G86&lt;Hta_28,$G86&gt;=Hba_28,Input!X$48&lt;&gt;""),Input!$B$48&amp;";",""),IF(AND($G86&lt;Hta_29,$G86&gt;=Hba_29,Input!X$49&lt;&gt;""),Input!$B$49&amp;";",""),IF(AND($G86&lt;Hta_30,$G86&gt;=Hba_30,Input!X$50&lt;&gt;""),Input!$B$50&amp;";","")),"")</f>
        <v/>
      </c>
      <c r="BZ86" s="25" t="str">
        <f>IFERROR(CONCATENATE(IF(AND($G86&lt;Hta_1,$G86&gt;=Hba_1,Input!Y$21&lt;&gt;""),Input!$B$21&amp;";",""),IF(AND($G86&lt;Hta_2,$G86&gt;=Hba_2,Input!Y$22&lt;&gt;""),Input!$B$22&amp;";",""),IF(AND($G86&lt;Hta_3,$G86&gt;=Hba_3,Input!Y$23&lt;&gt;""),Input!$B$23&amp;";",""),IF(AND($G86&lt;Hta_4,$G86&gt;=Hba_4,Input!Y$24&lt;&gt;""),Input!$B$24&amp;";",""),IF(AND($G86&lt;Hta_5,$G86&gt;=Hba_5,Input!Y$25&lt;&gt;""),Input!$B$25&amp;";",""),IF(AND($G86&lt;Hta_6,$G86&gt;=Hba_6,Input!Y$26&lt;&gt;""),Input!$B$26&amp;";",""),IF(AND($G86&lt;Hta_7,$G86&gt;=Hba_7,Input!Y$27&lt;&gt;""),Input!$B$27&amp;";",""),IF(AND($G86&lt;Hta_8,$G86&gt;=Hba_8,Input!Y$28&lt;&gt;""),Input!$B$28&amp;";",""),IF(AND($G86&lt;Hta_9,$G86&gt;=Hba_9,Input!Y$29&lt;&gt;""),Input!$B$29&amp;";",""),IF(AND($G86&lt;Hta_10,$G86&gt;=Hba_10,Input!Y$30&lt;&gt;""),Input!$B$30&amp;";",""),IF(AND($G86&lt;Hta_11,$G86&gt;=Hba_11,Input!Y$31&lt;&gt;""),Input!$B$31&amp;";",""),IF(AND($G86&lt;Hta_12,$G86&gt;=Hba_12,Input!Y$32&lt;&gt;""),Input!$B$32&amp;";",""),IF(AND($G86&lt;Hta_13,$G86&gt;=Hba_13,Input!Y$33&lt;&gt;""),Input!$B$33&amp;";",""),IF(AND($G86&lt;Hta_14,$G86&gt;=Hba_14,Input!Y$34&lt;&gt;""),Input!$B$34&amp;";",""),IF(AND($G86&lt;Hta_15,$G86&gt;=Hba_15,Input!Y$35&lt;&gt;""),Input!$B$35&amp;";",""),IF(AND($G86&lt;Hta_16,$G86&gt;=Hba_16,Input!Y$36&lt;&gt;""),Input!$B$36&amp;";",""),IF(AND($G86&lt;Hta_17,$G86&gt;=Hba_17,Input!Y$37&lt;&gt;""),Input!$B$37&amp;";",""),IF(AND($G86&lt;Hta_18,$G86&gt;=Hba_18,Input!Y$38&lt;&gt;""),Input!$B$38&amp;";",""),IF(AND($G86&lt;Hta_19,$G86&gt;=Hba_19,Input!Y$39&lt;&gt;""),Input!$B$39&amp;";",""),IF(AND($G86&lt;Hta_20,$G86&gt;=Hba_20,Input!Y$40&lt;&gt;""),Input!$B$40&amp;";",""),IF(AND($G86&lt;Hta_21,$G86&gt;=Hba_21,Input!Y$41&lt;&gt;""),Input!$B$41&amp;";",""),IF(AND($G86&lt;Hta_22,$G86&gt;=Hba_22,Input!Y$42&lt;&gt;""),Input!$B$42&amp;";",""),IF(AND($G86&lt;Hta_23,$G86&gt;=Hba_23,Input!Y$43&lt;&gt;""),Input!$B$43&amp;";",""),IF(AND($G86&lt;Hta_24,$G86&gt;=Hba_24,Input!Y$44&lt;&gt;""),Input!$B$44&amp;";",""),IF(AND($G86&lt;Hta_25,$G86&gt;=Hba_25,Input!Y$45&lt;&gt;""),Input!$B$45&amp;";",""),IF(AND($G86&lt;Hta_26,$G86&gt;=Hba_26,Input!Y$46&lt;&gt;""),Input!$B$46&amp;";",""),IF(AND($G86&lt;Hta_27,$G86&gt;=Hba_27,Input!Y$47&lt;&gt;""),Input!$B$47&amp;";",""),IF(AND($G86&lt;Hta_28,$G86&gt;=Hba_28,Input!Y$48&lt;&gt;""),Input!$B$48&amp;";",""),IF(AND($G86&lt;Hta_29,$G86&gt;=Hba_29,Input!Y$49&lt;&gt;""),Input!$B$49&amp;";",""),IF(AND($G86&lt;Hta_30,$G86&gt;=Hba_30,Input!Y$50&lt;&gt;""),Input!$B$50&amp;";","")),"")</f>
        <v/>
      </c>
      <c r="CA86" s="25" t="str">
        <f>IFERROR(CONCATENATE(IF(AND($G86&lt;Hta_1,$G86&gt;=Hba_1,Input!Z$21&lt;&gt;""),Input!$B$21&amp;";",""),IF(AND($G86&lt;Hta_2,$G86&gt;=Hba_2,Input!Z$22&lt;&gt;""),Input!$B$22&amp;";",""),IF(AND($G86&lt;Hta_3,$G86&gt;=Hba_3,Input!Z$23&lt;&gt;""),Input!$B$23&amp;";",""),IF(AND($G86&lt;Hta_4,$G86&gt;=Hba_4,Input!Z$24&lt;&gt;""),Input!$B$24&amp;";",""),IF(AND($G86&lt;Hta_5,$G86&gt;=Hba_5,Input!Z$25&lt;&gt;""),Input!$B$25&amp;";",""),IF(AND($G86&lt;Hta_6,$G86&gt;=Hba_6,Input!Z$26&lt;&gt;""),Input!$B$26&amp;";",""),IF(AND($G86&lt;Hta_7,$G86&gt;=Hba_7,Input!Z$27&lt;&gt;""),Input!$B$27&amp;";",""),IF(AND($G86&lt;Hta_8,$G86&gt;=Hba_8,Input!Z$28&lt;&gt;""),Input!$B$28&amp;";",""),IF(AND($G86&lt;Hta_9,$G86&gt;=Hba_9,Input!Z$29&lt;&gt;""),Input!$B$29&amp;";",""),IF(AND($G86&lt;Hta_10,$G86&gt;=Hba_10,Input!Z$30&lt;&gt;""),Input!$B$30&amp;";",""),IF(AND($G86&lt;Hta_11,$G86&gt;=Hba_11,Input!Z$31&lt;&gt;""),Input!$B$31&amp;";",""),IF(AND($G86&lt;Hta_12,$G86&gt;=Hba_12,Input!Z$32&lt;&gt;""),Input!$B$32&amp;";",""),IF(AND($G86&lt;Hta_13,$G86&gt;=Hba_13,Input!Z$33&lt;&gt;""),Input!$B$33&amp;";",""),IF(AND($G86&lt;Hta_14,$G86&gt;=Hba_14,Input!Z$34&lt;&gt;""),Input!$B$34&amp;";",""),IF(AND($G86&lt;Hta_15,$G86&gt;=Hba_15,Input!Z$35&lt;&gt;""),Input!$B$35&amp;";",""),IF(AND($G86&lt;Hta_16,$G86&gt;=Hba_16,Input!Z$36&lt;&gt;""),Input!$B$36&amp;";",""),IF(AND($G86&lt;Hta_17,$G86&gt;=Hba_17,Input!Z$37&lt;&gt;""),Input!$B$37&amp;";",""),IF(AND($G86&lt;Hta_18,$G86&gt;=Hba_18,Input!Z$38&lt;&gt;""),Input!$B$38&amp;";",""),IF(AND($G86&lt;Hta_19,$G86&gt;=Hba_19,Input!Z$39&lt;&gt;""),Input!$B$39&amp;";",""),IF(AND($G86&lt;Hta_20,$G86&gt;=Hba_20,Input!Z$40&lt;&gt;""),Input!$B$40&amp;";",""),IF(AND($G86&lt;Hta_21,$G86&gt;=Hba_21,Input!Z$41&lt;&gt;""),Input!$B$41&amp;";",""),IF(AND($G86&lt;Hta_22,$G86&gt;=Hba_22,Input!Z$42&lt;&gt;""),Input!$B$42&amp;";",""),IF(AND($G86&lt;Hta_23,$G86&gt;=Hba_23,Input!Z$43&lt;&gt;""),Input!$B$43&amp;";",""),IF(AND($G86&lt;Hta_24,$G86&gt;=Hba_24,Input!Z$44&lt;&gt;""),Input!$B$44&amp;";",""),IF(AND($G86&lt;Hta_25,$G86&gt;=Hba_25,Input!Z$45&lt;&gt;""),Input!$B$45&amp;";",""),IF(AND($G86&lt;Hta_26,$G86&gt;=Hba_26,Input!Z$46&lt;&gt;""),Input!$B$46&amp;";",""),IF(AND($G86&lt;Hta_27,$G86&gt;=Hba_27,Input!Z$47&lt;&gt;""),Input!$B$47&amp;";",""),IF(AND($G86&lt;Hta_28,$G86&gt;=Hba_28,Input!Z$48&lt;&gt;""),Input!$B$48&amp;";",""),IF(AND($G86&lt;Hta_29,$G86&gt;=Hba_29,Input!Z$49&lt;&gt;""),Input!$B$49&amp;";",""),IF(AND($G86&lt;Hta_30,$G86&gt;=Hba_30,Input!Z$50&lt;&gt;""),Input!$B$50&amp;";","")),"")</f>
        <v/>
      </c>
      <c r="CB86" s="25" t="str">
        <f>IFERROR(CONCATENATE(IF(AND($G86&lt;Hta_1,$G86&gt;=Hba_1,Input!AA$21&lt;&gt;""),Input!$B$21&amp;";",""),IF(AND($G86&lt;Hta_2,$G86&gt;=Hba_2,Input!AA$22&lt;&gt;""),Input!$B$22&amp;";",""),IF(AND($G86&lt;Hta_3,$G86&gt;=Hba_3,Input!AA$23&lt;&gt;""),Input!$B$23&amp;";",""),IF(AND($G86&lt;Hta_4,$G86&gt;=Hba_4,Input!AA$24&lt;&gt;""),Input!$B$24&amp;";",""),IF(AND($G86&lt;Hta_5,$G86&gt;=Hba_5,Input!AA$25&lt;&gt;""),Input!$B$25&amp;";",""),IF(AND($G86&lt;Hta_6,$G86&gt;=Hba_6,Input!AA$26&lt;&gt;""),Input!$B$26&amp;";",""),IF(AND($G86&lt;Hta_7,$G86&gt;=Hba_7,Input!AA$27&lt;&gt;""),Input!$B$27&amp;";",""),IF(AND($G86&lt;Hta_8,$G86&gt;=Hba_8,Input!AA$28&lt;&gt;""),Input!$B$28&amp;";",""),IF(AND($G86&lt;Hta_9,$G86&gt;=Hba_9,Input!AA$29&lt;&gt;""),Input!$B$29&amp;";",""),IF(AND($G86&lt;Hta_10,$G86&gt;=Hba_10,Input!AA$30&lt;&gt;""),Input!$B$30&amp;";",""),IF(AND($G86&lt;Hta_11,$G86&gt;=Hba_11,Input!AA$31&lt;&gt;""),Input!$B$31&amp;";",""),IF(AND($G86&lt;Hta_12,$G86&gt;=Hba_12,Input!AA$32&lt;&gt;""),Input!$B$32&amp;";",""),IF(AND($G86&lt;Hta_13,$G86&gt;=Hba_13,Input!AA$33&lt;&gt;""),Input!$B$33&amp;";",""),IF(AND($G86&lt;Hta_14,$G86&gt;=Hba_14,Input!AA$34&lt;&gt;""),Input!$B$34&amp;";",""),IF(AND($G86&lt;Hta_15,$G86&gt;=Hba_15,Input!AA$35&lt;&gt;""),Input!$B$35&amp;";",""),IF(AND($G86&lt;Hta_16,$G86&gt;=Hba_16,Input!AA$36&lt;&gt;""),Input!$B$36&amp;";",""),IF(AND($G86&lt;Hta_17,$G86&gt;=Hba_17,Input!AA$37&lt;&gt;""),Input!$B$37&amp;";",""),IF(AND($G86&lt;Hta_18,$G86&gt;=Hba_18,Input!AA$38&lt;&gt;""),Input!$B$38&amp;";",""),IF(AND($G86&lt;Hta_19,$G86&gt;=Hba_19,Input!AA$39&lt;&gt;""),Input!$B$39&amp;";",""),IF(AND($G86&lt;Hta_20,$G86&gt;=Hba_20,Input!AA$40&lt;&gt;""),Input!$B$40&amp;";",""),IF(AND($G86&lt;Hta_21,$G86&gt;=Hba_21,Input!AA$41&lt;&gt;""),Input!$B$41&amp;";",""),IF(AND($G86&lt;Hta_22,$G86&gt;=Hba_22,Input!AA$42&lt;&gt;""),Input!$B$42&amp;";",""),IF(AND($G86&lt;Hta_23,$G86&gt;=Hba_23,Input!AA$43&lt;&gt;""),Input!$B$43&amp;";",""),IF(AND($G86&lt;Hta_24,$G86&gt;=Hba_24,Input!AA$44&lt;&gt;""),Input!$B$44&amp;";",""),IF(AND($G86&lt;Hta_25,$G86&gt;=Hba_25,Input!AA$45&lt;&gt;""),Input!$B$45&amp;";",""),IF(AND($G86&lt;Hta_26,$G86&gt;=Hba_26,Input!AA$46&lt;&gt;""),Input!$B$46&amp;";",""),IF(AND($G86&lt;Hta_27,$G86&gt;=Hba_27,Input!AA$47&lt;&gt;""),Input!$B$47&amp;";",""),IF(AND($G86&lt;Hta_28,$G86&gt;=Hba_28,Input!AA$48&lt;&gt;""),Input!$B$48&amp;";",""),IF(AND($G86&lt;Hta_29,$G86&gt;=Hba_29,Input!AA$49&lt;&gt;""),Input!$B$49&amp;";",""),IF(AND($G86&lt;Hta_30,$G86&gt;=Hba_30,Input!AA$50&lt;&gt;""),Input!$B$50&amp;";","")),"")</f>
        <v/>
      </c>
      <c r="CC86" s="25" t="str">
        <f>IFERROR(CONCATENATE(IF(AND($G86&lt;Hta_1,$G86&gt;=Hba_1,Input!AB$21&lt;&gt;""),Input!$B$21&amp;";",""),IF(AND($G86&lt;Hta_2,$G86&gt;=Hba_2,Input!AB$22&lt;&gt;""),Input!$B$22&amp;";",""),IF(AND($G86&lt;Hta_3,$G86&gt;=Hba_3,Input!AB$23&lt;&gt;""),Input!$B$23&amp;";",""),IF(AND($G86&lt;Hta_4,$G86&gt;=Hba_4,Input!AB$24&lt;&gt;""),Input!$B$24&amp;";",""),IF(AND($G86&lt;Hta_5,$G86&gt;=Hba_5,Input!AB$25&lt;&gt;""),Input!$B$25&amp;";",""),IF(AND($G86&lt;Hta_6,$G86&gt;=Hba_6,Input!AB$26&lt;&gt;""),Input!$B$26&amp;";",""),IF(AND($G86&lt;Hta_7,$G86&gt;=Hba_7,Input!AB$27&lt;&gt;""),Input!$B$27&amp;";",""),IF(AND($G86&lt;Hta_8,$G86&gt;=Hba_8,Input!AB$28&lt;&gt;""),Input!$B$28&amp;";",""),IF(AND($G86&lt;Hta_9,$G86&gt;=Hba_9,Input!AB$29&lt;&gt;""),Input!$B$29&amp;";",""),IF(AND($G86&lt;Hta_10,$G86&gt;=Hba_10,Input!AB$30&lt;&gt;""),Input!$B$30&amp;";",""),IF(AND($G86&lt;Hta_11,$G86&gt;=Hba_11,Input!AB$31&lt;&gt;""),Input!$B$31&amp;";",""),IF(AND($G86&lt;Hta_12,$G86&gt;=Hba_12,Input!AB$32&lt;&gt;""),Input!$B$32&amp;";",""),IF(AND($G86&lt;Hta_13,$G86&gt;=Hba_13,Input!AB$33&lt;&gt;""),Input!$B$33&amp;";",""),IF(AND($G86&lt;Hta_14,$G86&gt;=Hba_14,Input!AB$34&lt;&gt;""),Input!$B$34&amp;";",""),IF(AND($G86&lt;Hta_15,$G86&gt;=Hba_15,Input!AB$35&lt;&gt;""),Input!$B$35&amp;";",""),IF(AND($G86&lt;Hta_16,$G86&gt;=Hba_16,Input!AB$36&lt;&gt;""),Input!$B$36&amp;";",""),IF(AND($G86&lt;Hta_17,$G86&gt;=Hba_17,Input!AB$37&lt;&gt;""),Input!$B$37&amp;";",""),IF(AND($G86&lt;Hta_18,$G86&gt;=Hba_18,Input!AB$38&lt;&gt;""),Input!$B$38&amp;";",""),IF(AND($G86&lt;Hta_19,$G86&gt;=Hba_19,Input!AB$39&lt;&gt;""),Input!$B$39&amp;";",""),IF(AND($G86&lt;Hta_20,$G86&gt;=Hba_20,Input!AB$40&lt;&gt;""),Input!$B$40&amp;";",""),IF(AND($G86&lt;Hta_21,$G86&gt;=Hba_21,Input!AB$41&lt;&gt;""),Input!$B$41&amp;";",""),IF(AND($G86&lt;Hta_22,$G86&gt;=Hba_22,Input!AB$42&lt;&gt;""),Input!$B$42&amp;";",""),IF(AND($G86&lt;Hta_23,$G86&gt;=Hba_23,Input!AB$43&lt;&gt;""),Input!$B$43&amp;";",""),IF(AND($G86&lt;Hta_24,$G86&gt;=Hba_24,Input!AB$44&lt;&gt;""),Input!$B$44&amp;";",""),IF(AND($G86&lt;Hta_25,$G86&gt;=Hba_25,Input!AB$45&lt;&gt;""),Input!$B$45&amp;";",""),IF(AND($G86&lt;Hta_26,$G86&gt;=Hba_26,Input!AB$46&lt;&gt;""),Input!$B$46&amp;";",""),IF(AND($G86&lt;Hta_27,$G86&gt;=Hba_27,Input!AB$47&lt;&gt;""),Input!$B$47&amp;";",""),IF(AND($G86&lt;Hta_28,$G86&gt;=Hba_28,Input!AB$48&lt;&gt;""),Input!$B$48&amp;";",""),IF(AND($G86&lt;Hta_29,$G86&gt;=Hba_29,Input!AB$49&lt;&gt;""),Input!$B$49&amp;";",""),IF(AND($G86&lt;Hta_30,$G86&gt;=Hba_30,Input!AB$50&lt;&gt;""),Input!$B$50&amp;";","")),"")</f>
        <v/>
      </c>
      <c r="CD86" s="25" t="str">
        <f>IFERROR(CONCATENATE(IF(AND($G86&lt;Hta_1,$G86&gt;=Hba_1,Input!AC$21&lt;&gt;""),Input!$B$21&amp;";",""),IF(AND($G86&lt;Hta_2,$G86&gt;=Hba_2,Input!AC$22&lt;&gt;""),Input!$B$22&amp;";",""),IF(AND($G86&lt;Hta_3,$G86&gt;=Hba_3,Input!AC$23&lt;&gt;""),Input!$B$23&amp;";",""),IF(AND($G86&lt;Hta_4,$G86&gt;=Hba_4,Input!AC$24&lt;&gt;""),Input!$B$24&amp;";",""),IF(AND($G86&lt;Hta_5,$G86&gt;=Hba_5,Input!AC$25&lt;&gt;""),Input!$B$25&amp;";",""),IF(AND($G86&lt;Hta_6,$G86&gt;=Hba_6,Input!AC$26&lt;&gt;""),Input!$B$26&amp;";",""),IF(AND($G86&lt;Hta_7,$G86&gt;=Hba_7,Input!AC$27&lt;&gt;""),Input!$B$27&amp;";",""),IF(AND($G86&lt;Hta_8,$G86&gt;=Hba_8,Input!AC$28&lt;&gt;""),Input!$B$28&amp;";",""),IF(AND($G86&lt;Hta_9,$G86&gt;=Hba_9,Input!AC$29&lt;&gt;""),Input!$B$29&amp;";",""),IF(AND($G86&lt;Hta_10,$G86&gt;=Hba_10,Input!AC$30&lt;&gt;""),Input!$B$30&amp;";",""),IF(AND($G86&lt;Hta_11,$G86&gt;=Hba_11,Input!AC$31&lt;&gt;""),Input!$B$31&amp;";",""),IF(AND($G86&lt;Hta_12,$G86&gt;=Hba_12,Input!AC$32&lt;&gt;""),Input!$B$32&amp;";",""),IF(AND($G86&lt;Hta_13,$G86&gt;=Hba_13,Input!AC$33&lt;&gt;""),Input!$B$33&amp;";",""),IF(AND($G86&lt;Hta_14,$G86&gt;=Hba_14,Input!AC$34&lt;&gt;""),Input!$B$34&amp;";",""),IF(AND($G86&lt;Hta_15,$G86&gt;=Hba_15,Input!AC$35&lt;&gt;""),Input!$B$35&amp;";",""),IF(AND($G86&lt;Hta_16,$G86&gt;=Hba_16,Input!AC$36&lt;&gt;""),Input!$B$36&amp;";",""),IF(AND($G86&lt;Hta_17,$G86&gt;=Hba_17,Input!AC$37&lt;&gt;""),Input!$B$37&amp;";",""),IF(AND($G86&lt;Hta_18,$G86&gt;=Hba_18,Input!AC$38&lt;&gt;""),Input!$B$38&amp;";",""),IF(AND($G86&lt;Hta_19,$G86&gt;=Hba_19,Input!AC$39&lt;&gt;""),Input!$B$39&amp;";",""),IF(AND($G86&lt;Hta_20,$G86&gt;=Hba_20,Input!AC$40&lt;&gt;""),Input!$B$40&amp;";",""),IF(AND($G86&lt;Hta_21,$G86&gt;=Hba_21,Input!AC$41&lt;&gt;""),Input!$B$41&amp;";",""),IF(AND($G86&lt;Hta_22,$G86&gt;=Hba_22,Input!AC$42&lt;&gt;""),Input!$B$42&amp;";",""),IF(AND($G86&lt;Hta_23,$G86&gt;=Hba_23,Input!AC$43&lt;&gt;""),Input!$B$43&amp;";",""),IF(AND($G86&lt;Hta_24,$G86&gt;=Hba_24,Input!AC$44&lt;&gt;""),Input!$B$44&amp;";",""),IF(AND($G86&lt;Hta_25,$G86&gt;=Hba_25,Input!AC$45&lt;&gt;""),Input!$B$45&amp;";",""),IF(AND($G86&lt;Hta_26,$G86&gt;=Hba_26,Input!AC$46&lt;&gt;""),Input!$B$46&amp;";",""),IF(AND($G86&lt;Hta_27,$G86&gt;=Hba_27,Input!AC$47&lt;&gt;""),Input!$B$47&amp;";",""),IF(AND($G86&lt;Hta_28,$G86&gt;=Hba_28,Input!AC$48&lt;&gt;""),Input!$B$48&amp;";",""),IF(AND($G86&lt;Hta_29,$G86&gt;=Hba_29,Input!AC$49&lt;&gt;""),Input!$B$49&amp;";",""),IF(AND($G86&lt;Hta_30,$G86&gt;=Hba_30,Input!AC$50&lt;&gt;""),Input!$B$50&amp;";","")),"")</f>
        <v/>
      </c>
      <c r="CE86" s="25" t="str">
        <f>IFERROR(CONCATENATE(IF(AND($G86&lt;Hta_1,$G86&gt;=Hba_1,Input!AD$21&lt;&gt;""),Input!$B$21&amp;";",""),IF(AND($G86&lt;Hta_2,$G86&gt;=Hba_2,Input!AD$22&lt;&gt;""),Input!$B$22&amp;";",""),IF(AND($G86&lt;Hta_3,$G86&gt;=Hba_3,Input!AD$23&lt;&gt;""),Input!$B$23&amp;";",""),IF(AND($G86&lt;Hta_4,$G86&gt;=Hba_4,Input!AD$24&lt;&gt;""),Input!$B$24&amp;";",""),IF(AND($G86&lt;Hta_5,$G86&gt;=Hba_5,Input!AD$25&lt;&gt;""),Input!$B$25&amp;";",""),IF(AND($G86&lt;Hta_6,$G86&gt;=Hba_6,Input!AD$26&lt;&gt;""),Input!$B$26&amp;";",""),IF(AND($G86&lt;Hta_7,$G86&gt;=Hba_7,Input!AD$27&lt;&gt;""),Input!$B$27&amp;";",""),IF(AND($G86&lt;Hta_8,$G86&gt;=Hba_8,Input!AD$28&lt;&gt;""),Input!$B$28&amp;";",""),IF(AND($G86&lt;Hta_9,$G86&gt;=Hba_9,Input!AD$29&lt;&gt;""),Input!$B$29&amp;";",""),IF(AND($G86&lt;Hta_10,$G86&gt;=Hba_10,Input!AD$30&lt;&gt;""),Input!$B$30&amp;";",""),IF(AND($G86&lt;Hta_11,$G86&gt;=Hba_11,Input!AD$31&lt;&gt;""),Input!$B$31&amp;";",""),IF(AND($G86&lt;Hta_12,$G86&gt;=Hba_12,Input!AD$32&lt;&gt;""),Input!$B$32&amp;";",""),IF(AND($G86&lt;Hta_13,$G86&gt;=Hba_13,Input!AD$33&lt;&gt;""),Input!$B$33&amp;";",""),IF(AND($G86&lt;Hta_14,$G86&gt;=Hba_14,Input!AD$34&lt;&gt;""),Input!$B$34&amp;";",""),IF(AND($G86&lt;Hta_15,$G86&gt;=Hba_15,Input!AD$35&lt;&gt;""),Input!$B$35&amp;";",""),IF(AND($G86&lt;Hta_16,$G86&gt;=Hba_16,Input!AD$36&lt;&gt;""),Input!$B$36&amp;";",""),IF(AND($G86&lt;Hta_17,$G86&gt;=Hba_17,Input!AD$37&lt;&gt;""),Input!$B$37&amp;";",""),IF(AND($G86&lt;Hta_18,$G86&gt;=Hba_18,Input!AD$38&lt;&gt;""),Input!$B$38&amp;";",""),IF(AND($G86&lt;Hta_19,$G86&gt;=Hba_19,Input!AD$39&lt;&gt;""),Input!$B$39&amp;";",""),IF(AND($G86&lt;Hta_20,$G86&gt;=Hba_20,Input!AD$40&lt;&gt;""),Input!$B$40&amp;";",""),IF(AND($G86&lt;Hta_21,$G86&gt;=Hba_21,Input!AD$41&lt;&gt;""),Input!$B$41&amp;";",""),IF(AND($G86&lt;Hta_22,$G86&gt;=Hba_22,Input!AD$42&lt;&gt;""),Input!$B$42&amp;";",""),IF(AND($G86&lt;Hta_23,$G86&gt;=Hba_23,Input!AD$43&lt;&gt;""),Input!$B$43&amp;";",""),IF(AND($G86&lt;Hta_24,$G86&gt;=Hba_24,Input!AD$44&lt;&gt;""),Input!$B$44&amp;";",""),IF(AND($G86&lt;Hta_25,$G86&gt;=Hba_25,Input!AD$45&lt;&gt;""),Input!$B$45&amp;";",""),IF(AND($G86&lt;Hta_26,$G86&gt;=Hba_26,Input!AD$46&lt;&gt;""),Input!$B$46&amp;";",""),IF(AND($G86&lt;Hta_27,$G86&gt;=Hba_27,Input!AD$47&lt;&gt;""),Input!$B$47&amp;";",""),IF(AND($G86&lt;Hta_28,$G86&gt;=Hba_28,Input!AD$48&lt;&gt;""),Input!$B$48&amp;";",""),IF(AND($G86&lt;Hta_29,$G86&gt;=Hba_29,Input!AD$49&lt;&gt;""),Input!$B$49&amp;";",""),IF(AND($G86&lt;Hta_30,$G86&gt;=Hba_30,Input!AD$50&lt;&gt;""),Input!$B$50&amp;";","")),"")</f>
        <v/>
      </c>
      <c r="CF86" s="25" t="str">
        <f>IFERROR(CONCATENATE(IF(AND($G86&lt;Hta_1,$G86&gt;=Hba_1,Input!AE$21&lt;&gt;""),Input!$B$21&amp;";",""),IF(AND($G86&lt;Hta_2,$G86&gt;=Hba_2,Input!AE$22&lt;&gt;""),Input!$B$22&amp;";",""),IF(AND($G86&lt;Hta_3,$G86&gt;=Hba_3,Input!AE$23&lt;&gt;""),Input!$B$23&amp;";",""),IF(AND($G86&lt;Hta_4,$G86&gt;=Hba_4,Input!AE$24&lt;&gt;""),Input!$B$24&amp;";",""),IF(AND($G86&lt;Hta_5,$G86&gt;=Hba_5,Input!AE$25&lt;&gt;""),Input!$B$25&amp;";",""),IF(AND($G86&lt;Hta_6,$G86&gt;=Hba_6,Input!AE$26&lt;&gt;""),Input!$B$26&amp;";",""),IF(AND($G86&lt;Hta_7,$G86&gt;=Hba_7,Input!AE$27&lt;&gt;""),Input!$B$27&amp;";",""),IF(AND($G86&lt;Hta_8,$G86&gt;=Hba_8,Input!AE$28&lt;&gt;""),Input!$B$28&amp;";",""),IF(AND($G86&lt;Hta_9,$G86&gt;=Hba_9,Input!AE$29&lt;&gt;""),Input!$B$29&amp;";",""),IF(AND($G86&lt;Hta_10,$G86&gt;=Hba_10,Input!AE$30&lt;&gt;""),Input!$B$30&amp;";",""),IF(AND($G86&lt;Hta_11,$G86&gt;=Hba_11,Input!AE$31&lt;&gt;""),Input!$B$31&amp;";",""),IF(AND($G86&lt;Hta_12,$G86&gt;=Hba_12,Input!AE$32&lt;&gt;""),Input!$B$32&amp;";",""),IF(AND($G86&lt;Hta_13,$G86&gt;=Hba_13,Input!AE$33&lt;&gt;""),Input!$B$33&amp;";",""),IF(AND($G86&lt;Hta_14,$G86&gt;=Hba_14,Input!AE$34&lt;&gt;""),Input!$B$34&amp;";",""),IF(AND($G86&lt;Hta_15,$G86&gt;=Hba_15,Input!AE$35&lt;&gt;""),Input!$B$35&amp;";",""),IF(AND($G86&lt;Hta_16,$G86&gt;=Hba_16,Input!AE$36&lt;&gt;""),Input!$B$36&amp;";",""),IF(AND($G86&lt;Hta_17,$G86&gt;=Hba_17,Input!AE$37&lt;&gt;""),Input!$B$37&amp;";",""),IF(AND($G86&lt;Hta_18,$G86&gt;=Hba_18,Input!AE$38&lt;&gt;""),Input!$B$38&amp;";",""),IF(AND($G86&lt;Hta_19,$G86&gt;=Hba_19,Input!AE$39&lt;&gt;""),Input!$B$39&amp;";",""),IF(AND($G86&lt;Hta_20,$G86&gt;=Hba_20,Input!AE$40&lt;&gt;""),Input!$B$40&amp;";",""),IF(AND($G86&lt;Hta_21,$G86&gt;=Hba_21,Input!AE$41&lt;&gt;""),Input!$B$41&amp;";",""),IF(AND($G86&lt;Hta_22,$G86&gt;=Hba_22,Input!AE$42&lt;&gt;""),Input!$B$42&amp;";",""),IF(AND($G86&lt;Hta_23,$G86&gt;=Hba_23,Input!AE$43&lt;&gt;""),Input!$B$43&amp;";",""),IF(AND($G86&lt;Hta_24,$G86&gt;=Hba_24,Input!AE$44&lt;&gt;""),Input!$B$44&amp;";",""),IF(AND($G86&lt;Hta_25,$G86&gt;=Hba_25,Input!AE$45&lt;&gt;""),Input!$B$45&amp;";",""),IF(AND($G86&lt;Hta_26,$G86&gt;=Hba_26,Input!AE$46&lt;&gt;""),Input!$B$46&amp;";",""),IF(AND($G86&lt;Hta_27,$G86&gt;=Hba_27,Input!AE$47&lt;&gt;""),Input!$B$47&amp;";",""),IF(AND($G86&lt;Hta_28,$G86&gt;=Hba_28,Input!AE$48&lt;&gt;""),Input!$B$48&amp;";",""),IF(AND($G86&lt;Hta_29,$G86&gt;=Hba_29,Input!AE$49&lt;&gt;""),Input!$B$49&amp;";",""),IF(AND($G86&lt;Hta_30,$G86&gt;=Hba_30,Input!AE$50&lt;&gt;""),Input!$B$50&amp;";","")),"")</f>
        <v/>
      </c>
      <c r="CG86" s="25" t="str">
        <f>IFERROR(CONCATENATE(IF(AND($G86&lt;Hta_1,$G86&gt;=Hba_1,Input!AF$21&lt;&gt;""),Input!$B$21&amp;";",""),IF(AND($G86&lt;Hta_2,$G86&gt;=Hba_2,Input!AF$22&lt;&gt;""),Input!$B$22&amp;";",""),IF(AND($G86&lt;Hta_3,$G86&gt;=Hba_3,Input!AF$23&lt;&gt;""),Input!$B$23&amp;";",""),IF(AND($G86&lt;Hta_4,$G86&gt;=Hba_4,Input!AF$24&lt;&gt;""),Input!$B$24&amp;";",""),IF(AND($G86&lt;Hta_5,$G86&gt;=Hba_5,Input!AF$25&lt;&gt;""),Input!$B$25&amp;";",""),IF(AND($G86&lt;Hta_6,$G86&gt;=Hba_6,Input!AF$26&lt;&gt;""),Input!$B$26&amp;";",""),IF(AND($G86&lt;Hta_7,$G86&gt;=Hba_7,Input!AF$27&lt;&gt;""),Input!$B$27&amp;";",""),IF(AND($G86&lt;Hta_8,$G86&gt;=Hba_8,Input!AF$28&lt;&gt;""),Input!$B$28&amp;";",""),IF(AND($G86&lt;Hta_9,$G86&gt;=Hba_9,Input!AF$29&lt;&gt;""),Input!$B$29&amp;";",""),IF(AND($G86&lt;Hta_10,$G86&gt;=Hba_10,Input!AF$30&lt;&gt;""),Input!$B$30&amp;";",""),IF(AND($G86&lt;Hta_11,$G86&gt;=Hba_11,Input!AF$31&lt;&gt;""),Input!$B$31&amp;";",""),IF(AND($G86&lt;Hta_12,$G86&gt;=Hba_12,Input!AF$32&lt;&gt;""),Input!$B$32&amp;";",""),IF(AND($G86&lt;Hta_13,$G86&gt;=Hba_13,Input!AF$33&lt;&gt;""),Input!$B$33&amp;";",""),IF(AND($G86&lt;Hta_14,$G86&gt;=Hba_14,Input!AF$34&lt;&gt;""),Input!$B$34&amp;";",""),IF(AND($G86&lt;Hta_15,$G86&gt;=Hba_15,Input!AF$35&lt;&gt;""),Input!$B$35&amp;";",""),IF(AND($G86&lt;Hta_16,$G86&gt;=Hba_16,Input!AF$36&lt;&gt;""),Input!$B$36&amp;";",""),IF(AND($G86&lt;Hta_17,$G86&gt;=Hba_17,Input!AF$37&lt;&gt;""),Input!$B$37&amp;";",""),IF(AND($G86&lt;Hta_18,$G86&gt;=Hba_18,Input!AF$38&lt;&gt;""),Input!$B$38&amp;";",""),IF(AND($G86&lt;Hta_19,$G86&gt;=Hba_19,Input!AF$39&lt;&gt;""),Input!$B$39&amp;";",""),IF(AND($G86&lt;Hta_20,$G86&gt;=Hba_20,Input!AF$40&lt;&gt;""),Input!$B$40&amp;";",""),IF(AND($G86&lt;Hta_21,$G86&gt;=Hba_21,Input!AF$41&lt;&gt;""),Input!$B$41&amp;";",""),IF(AND($G86&lt;Hta_22,$G86&gt;=Hba_22,Input!AF$42&lt;&gt;""),Input!$B$42&amp;";",""),IF(AND($G86&lt;Hta_23,$G86&gt;=Hba_23,Input!AF$43&lt;&gt;""),Input!$B$43&amp;";",""),IF(AND($G86&lt;Hta_24,$G86&gt;=Hba_24,Input!AF$44&lt;&gt;""),Input!$B$44&amp;";",""),IF(AND($G86&lt;Hta_25,$G86&gt;=Hba_25,Input!AF$45&lt;&gt;""),Input!$B$45&amp;";",""),IF(AND($G86&lt;Hta_26,$G86&gt;=Hba_26,Input!AF$46&lt;&gt;""),Input!$B$46&amp;";",""),IF(AND($G86&lt;Hta_27,$G86&gt;=Hba_27,Input!AF$47&lt;&gt;""),Input!$B$47&amp;";",""),IF(AND($G86&lt;Hta_28,$G86&gt;=Hba_28,Input!AF$48&lt;&gt;""),Input!$B$48&amp;";",""),IF(AND($G86&lt;Hta_29,$G86&gt;=Hba_29,Input!AF$49&lt;&gt;""),Input!$B$49&amp;";",""),IF(AND($G86&lt;Hta_30,$G86&gt;=Hba_30,Input!AF$50&lt;&gt;""),Input!$B$50&amp;";","")),"")</f>
        <v/>
      </c>
      <c r="CH86" s="25" t="str">
        <f>IFERROR(CONCATENATE(IF(AND($G86&lt;Hta_1,$G86&gt;=Hba_1,Input!AG$21&lt;&gt;""),Input!$B$21&amp;";",""),IF(AND($G86&lt;Hta_2,$G86&gt;=Hba_2,Input!AG$22&lt;&gt;""),Input!$B$22&amp;";",""),IF(AND($G86&lt;Hta_3,$G86&gt;=Hba_3,Input!AG$23&lt;&gt;""),Input!$B$23&amp;";",""),IF(AND($G86&lt;Hta_4,$G86&gt;=Hba_4,Input!AG$24&lt;&gt;""),Input!$B$24&amp;";",""),IF(AND($G86&lt;Hta_5,$G86&gt;=Hba_5,Input!AG$25&lt;&gt;""),Input!$B$25&amp;";",""),IF(AND($G86&lt;Hta_6,$G86&gt;=Hba_6,Input!AG$26&lt;&gt;""),Input!$B$26&amp;";",""),IF(AND($G86&lt;Hta_7,$G86&gt;=Hba_7,Input!AG$27&lt;&gt;""),Input!$B$27&amp;";",""),IF(AND($G86&lt;Hta_8,$G86&gt;=Hba_8,Input!AG$28&lt;&gt;""),Input!$B$28&amp;";",""),IF(AND($G86&lt;Hta_9,$G86&gt;=Hba_9,Input!AG$29&lt;&gt;""),Input!$B$29&amp;";",""),IF(AND($G86&lt;Hta_10,$G86&gt;=Hba_10,Input!AG$30&lt;&gt;""),Input!$B$30&amp;";",""),IF(AND($G86&lt;Hta_11,$G86&gt;=Hba_11,Input!AG$31&lt;&gt;""),Input!$B$31&amp;";",""),IF(AND($G86&lt;Hta_12,$G86&gt;=Hba_12,Input!AG$32&lt;&gt;""),Input!$B$32&amp;";",""),IF(AND($G86&lt;Hta_13,$G86&gt;=Hba_13,Input!AG$33&lt;&gt;""),Input!$B$33&amp;";",""),IF(AND($G86&lt;Hta_14,$G86&gt;=Hba_14,Input!AG$34&lt;&gt;""),Input!$B$34&amp;";",""),IF(AND($G86&lt;Hta_15,$G86&gt;=Hba_15,Input!AG$35&lt;&gt;""),Input!$B$35&amp;";",""),IF(AND($G86&lt;Hta_16,$G86&gt;=Hba_16,Input!AG$36&lt;&gt;""),Input!$B$36&amp;";",""),IF(AND($G86&lt;Hta_17,$G86&gt;=Hba_17,Input!AG$37&lt;&gt;""),Input!$B$37&amp;";",""),IF(AND($G86&lt;Hta_18,$G86&gt;=Hba_18,Input!AG$38&lt;&gt;""),Input!$B$38&amp;";",""),IF(AND($G86&lt;Hta_19,$G86&gt;=Hba_19,Input!AG$39&lt;&gt;""),Input!$B$39&amp;";",""),IF(AND($G86&lt;Hta_20,$G86&gt;=Hba_20,Input!AG$40&lt;&gt;""),Input!$B$40&amp;";",""),IF(AND($G86&lt;Hta_21,$G86&gt;=Hba_21,Input!AG$41&lt;&gt;""),Input!$B$41&amp;";",""),IF(AND($G86&lt;Hta_22,$G86&gt;=Hba_22,Input!AG$42&lt;&gt;""),Input!$B$42&amp;";",""),IF(AND($G86&lt;Hta_23,$G86&gt;=Hba_23,Input!AG$43&lt;&gt;""),Input!$B$43&amp;";",""),IF(AND($G86&lt;Hta_24,$G86&gt;=Hba_24,Input!AG$44&lt;&gt;""),Input!$B$44&amp;";",""),IF(AND($G86&lt;Hta_25,$G86&gt;=Hba_25,Input!AG$45&lt;&gt;""),Input!$B$45&amp;";",""),IF(AND($G86&lt;Hta_26,$G86&gt;=Hba_26,Input!AG$46&lt;&gt;""),Input!$B$46&amp;";",""),IF(AND($G86&lt;Hta_27,$G86&gt;=Hba_27,Input!AG$47&lt;&gt;""),Input!$B$47&amp;";",""),IF(AND($G86&lt;Hta_28,$G86&gt;=Hba_28,Input!AG$48&lt;&gt;""),Input!$B$48&amp;";",""),IF(AND($G86&lt;Hta_29,$G86&gt;=Hba_29,Input!AG$49&lt;&gt;""),Input!$B$49&amp;";",""),IF(AND($G86&lt;Hta_30,$G86&gt;=Hba_30,Input!AG$50&lt;&gt;""),Input!$B$50&amp;";","")),"")</f>
        <v/>
      </c>
      <c r="CI86" s="25" t="str">
        <f>IFERROR(CONCATENATE(IF(AND($G86&lt;Hta_1,$G86&gt;=Hba_1,Input!AH$21&lt;&gt;""),Input!$B$21&amp;";",""),IF(AND($G86&lt;Hta_2,$G86&gt;=Hba_2,Input!AH$22&lt;&gt;""),Input!$B$22&amp;";",""),IF(AND($G86&lt;Hta_3,$G86&gt;=Hba_3,Input!AH$23&lt;&gt;""),Input!$B$23&amp;";",""),IF(AND($G86&lt;Hta_4,$G86&gt;=Hba_4,Input!AH$24&lt;&gt;""),Input!$B$24&amp;";",""),IF(AND($G86&lt;Hta_5,$G86&gt;=Hba_5,Input!AH$25&lt;&gt;""),Input!$B$25&amp;";",""),IF(AND($G86&lt;Hta_6,$G86&gt;=Hba_6,Input!AH$26&lt;&gt;""),Input!$B$26&amp;";",""),IF(AND($G86&lt;Hta_7,$G86&gt;=Hba_7,Input!AH$27&lt;&gt;""),Input!$B$27&amp;";",""),IF(AND($G86&lt;Hta_8,$G86&gt;=Hba_8,Input!AH$28&lt;&gt;""),Input!$B$28&amp;";",""),IF(AND($G86&lt;Hta_9,$G86&gt;=Hba_9,Input!AH$29&lt;&gt;""),Input!$B$29&amp;";",""),IF(AND($G86&lt;Hta_10,$G86&gt;=Hba_10,Input!AH$30&lt;&gt;""),Input!$B$30&amp;";",""),IF(AND($G86&lt;Hta_11,$G86&gt;=Hba_11,Input!AH$31&lt;&gt;""),Input!$B$31&amp;";",""),IF(AND($G86&lt;Hta_12,$G86&gt;=Hba_12,Input!AH$32&lt;&gt;""),Input!$B$32&amp;";",""),IF(AND($G86&lt;Hta_13,$G86&gt;=Hba_13,Input!AH$33&lt;&gt;""),Input!$B$33&amp;";",""),IF(AND($G86&lt;Hta_14,$G86&gt;=Hba_14,Input!AH$34&lt;&gt;""),Input!$B$34&amp;";",""),IF(AND($G86&lt;Hta_15,$G86&gt;=Hba_15,Input!AH$35&lt;&gt;""),Input!$B$35&amp;";",""),IF(AND($G86&lt;Hta_16,$G86&gt;=Hba_16,Input!AH$36&lt;&gt;""),Input!$B$36&amp;";",""),IF(AND($G86&lt;Hta_17,$G86&gt;=Hba_17,Input!AH$37&lt;&gt;""),Input!$B$37&amp;";",""),IF(AND($G86&lt;Hta_18,$G86&gt;=Hba_18,Input!AH$38&lt;&gt;""),Input!$B$38&amp;";",""),IF(AND($G86&lt;Hta_19,$G86&gt;=Hba_19,Input!AH$39&lt;&gt;""),Input!$B$39&amp;";",""),IF(AND($G86&lt;Hta_20,$G86&gt;=Hba_20,Input!AH$40&lt;&gt;""),Input!$B$40&amp;";",""),IF(AND($G86&lt;Hta_21,$G86&gt;=Hba_21,Input!AH$41&lt;&gt;""),Input!$B$41&amp;";",""),IF(AND($G86&lt;Hta_22,$G86&gt;=Hba_22,Input!AH$42&lt;&gt;""),Input!$B$42&amp;";",""),IF(AND($G86&lt;Hta_23,$G86&gt;=Hba_23,Input!AH$43&lt;&gt;""),Input!$B$43&amp;";",""),IF(AND($G86&lt;Hta_24,$G86&gt;=Hba_24,Input!AH$44&lt;&gt;""),Input!$B$44&amp;";",""),IF(AND($G86&lt;Hta_25,$G86&gt;=Hba_25,Input!AH$45&lt;&gt;""),Input!$B$45&amp;";",""),IF(AND($G86&lt;Hta_26,$G86&gt;=Hba_26,Input!AH$46&lt;&gt;""),Input!$B$46&amp;";",""),IF(AND($G86&lt;Hta_27,$G86&gt;=Hba_27,Input!AH$47&lt;&gt;""),Input!$B$47&amp;";",""),IF(AND($G86&lt;Hta_28,$G86&gt;=Hba_28,Input!AH$48&lt;&gt;""),Input!$B$48&amp;";",""),IF(AND($G86&lt;Hta_29,$G86&gt;=Hba_29,Input!AH$49&lt;&gt;""),Input!$B$49&amp;";",""),IF(AND($G86&lt;Hta_30,$G86&gt;=Hba_30,Input!AH$50&lt;&gt;""),Input!$B$50&amp;";","")),"")</f>
        <v/>
      </c>
      <c r="CJ86" s="25" t="str">
        <f>IFERROR(CONCATENATE(IF(AND($G86&lt;Hta_1,$G86&gt;=Hba_1,Input!AI$21&lt;&gt;""),Input!$B$21&amp;";",""),IF(AND($G86&lt;Hta_2,$G86&gt;=Hba_2,Input!AI$22&lt;&gt;""),Input!$B$22&amp;";",""),IF(AND($G86&lt;Hta_3,$G86&gt;=Hba_3,Input!AI$23&lt;&gt;""),Input!$B$23&amp;";",""),IF(AND($G86&lt;Hta_4,$G86&gt;=Hba_4,Input!AI$24&lt;&gt;""),Input!$B$24&amp;";",""),IF(AND($G86&lt;Hta_5,$G86&gt;=Hba_5,Input!AI$25&lt;&gt;""),Input!$B$25&amp;";",""),IF(AND($G86&lt;Hta_6,$G86&gt;=Hba_6,Input!AI$26&lt;&gt;""),Input!$B$26&amp;";",""),IF(AND($G86&lt;Hta_7,$G86&gt;=Hba_7,Input!AI$27&lt;&gt;""),Input!$B$27&amp;";",""),IF(AND($G86&lt;Hta_8,$G86&gt;=Hba_8,Input!AI$28&lt;&gt;""),Input!$B$28&amp;";",""),IF(AND($G86&lt;Hta_9,$G86&gt;=Hba_9,Input!AI$29&lt;&gt;""),Input!$B$29&amp;";",""),IF(AND($G86&lt;Hta_10,$G86&gt;=Hba_10,Input!AI$30&lt;&gt;""),Input!$B$30&amp;";",""),IF(AND($G86&lt;Hta_11,$G86&gt;=Hba_11,Input!AI$31&lt;&gt;""),Input!$B$31&amp;";",""),IF(AND($G86&lt;Hta_12,$G86&gt;=Hba_12,Input!AI$32&lt;&gt;""),Input!$B$32&amp;";",""),IF(AND($G86&lt;Hta_13,$G86&gt;=Hba_13,Input!AI$33&lt;&gt;""),Input!$B$33&amp;";",""),IF(AND($G86&lt;Hta_14,$G86&gt;=Hba_14,Input!AI$34&lt;&gt;""),Input!$B$34&amp;";",""),IF(AND($G86&lt;Hta_15,$G86&gt;=Hba_15,Input!AI$35&lt;&gt;""),Input!$B$35&amp;";",""),IF(AND($G86&lt;Hta_16,$G86&gt;=Hba_16,Input!AI$36&lt;&gt;""),Input!$B$36&amp;";",""),IF(AND($G86&lt;Hta_17,$G86&gt;=Hba_17,Input!AI$37&lt;&gt;""),Input!$B$37&amp;";",""),IF(AND($G86&lt;Hta_18,$G86&gt;=Hba_18,Input!AI$38&lt;&gt;""),Input!$B$38&amp;";",""),IF(AND($G86&lt;Hta_19,$G86&gt;=Hba_19,Input!AI$39&lt;&gt;""),Input!$B$39&amp;";",""),IF(AND($G86&lt;Hta_20,$G86&gt;=Hba_20,Input!AI$40&lt;&gt;""),Input!$B$40&amp;";",""),IF(AND($G86&lt;Hta_21,$G86&gt;=Hba_21,Input!AI$41&lt;&gt;""),Input!$B$41&amp;";",""),IF(AND($G86&lt;Hta_22,$G86&gt;=Hba_22,Input!AI$42&lt;&gt;""),Input!$B$42&amp;";",""),IF(AND($G86&lt;Hta_23,$G86&gt;=Hba_23,Input!AI$43&lt;&gt;""),Input!$B$43&amp;";",""),IF(AND($G86&lt;Hta_24,$G86&gt;=Hba_24,Input!AI$44&lt;&gt;""),Input!$B$44&amp;";",""),IF(AND($G86&lt;Hta_25,$G86&gt;=Hba_25,Input!AI$45&lt;&gt;""),Input!$B$45&amp;";",""),IF(AND($G86&lt;Hta_26,$G86&gt;=Hba_26,Input!AI$46&lt;&gt;""),Input!$B$46&amp;";",""),IF(AND($G86&lt;Hta_27,$G86&gt;=Hba_27,Input!AI$47&lt;&gt;""),Input!$B$47&amp;";",""),IF(AND($G86&lt;Hta_28,$G86&gt;=Hba_28,Input!AI$48&lt;&gt;""),Input!$B$48&amp;";",""),IF(AND($G86&lt;Hta_29,$G86&gt;=Hba_29,Input!AI$49&lt;&gt;""),Input!$B$49&amp;";",""),IF(AND($G86&lt;Hta_30,$G86&gt;=Hba_30,Input!AI$50&lt;&gt;""),Input!$B$50&amp;";","")),"")</f>
        <v/>
      </c>
      <c r="CK86" s="25" t="str">
        <f>IFERROR(CONCATENATE(IF(AND($G86&lt;Hta_1,$G86&gt;=Hba_1,Input!AJ$21&lt;&gt;""),Input!$B$21&amp;";",""),IF(AND($G86&lt;Hta_2,$G86&gt;=Hba_2,Input!AJ$22&lt;&gt;""),Input!$B$22&amp;";",""),IF(AND($G86&lt;Hta_3,$G86&gt;=Hba_3,Input!AJ$23&lt;&gt;""),Input!$B$23&amp;";",""),IF(AND($G86&lt;Hta_4,$G86&gt;=Hba_4,Input!AJ$24&lt;&gt;""),Input!$B$24&amp;";",""),IF(AND($G86&lt;Hta_5,$G86&gt;=Hba_5,Input!AJ$25&lt;&gt;""),Input!$B$25&amp;";",""),IF(AND($G86&lt;Hta_6,$G86&gt;=Hba_6,Input!AJ$26&lt;&gt;""),Input!$B$26&amp;";",""),IF(AND($G86&lt;Hta_7,$G86&gt;=Hba_7,Input!AJ$27&lt;&gt;""),Input!$B$27&amp;";",""),IF(AND($G86&lt;Hta_8,$G86&gt;=Hba_8,Input!AJ$28&lt;&gt;""),Input!$B$28&amp;";",""),IF(AND($G86&lt;Hta_9,$G86&gt;=Hba_9,Input!AJ$29&lt;&gt;""),Input!$B$29&amp;";",""),IF(AND($G86&lt;Hta_10,$G86&gt;=Hba_10,Input!AJ$30&lt;&gt;""),Input!$B$30&amp;";",""),IF(AND($G86&lt;Hta_11,$G86&gt;=Hba_11,Input!AJ$31&lt;&gt;""),Input!$B$31&amp;";",""),IF(AND($G86&lt;Hta_12,$G86&gt;=Hba_12,Input!AJ$32&lt;&gt;""),Input!$B$32&amp;";",""),IF(AND($G86&lt;Hta_13,$G86&gt;=Hba_13,Input!AJ$33&lt;&gt;""),Input!$B$33&amp;";",""),IF(AND($G86&lt;Hta_14,$G86&gt;=Hba_14,Input!AJ$34&lt;&gt;""),Input!$B$34&amp;";",""),IF(AND($G86&lt;Hta_15,$G86&gt;=Hba_15,Input!AJ$35&lt;&gt;""),Input!$B$35&amp;";",""),IF(AND($G86&lt;Hta_16,$G86&gt;=Hba_16,Input!AJ$36&lt;&gt;""),Input!$B$36&amp;";",""),IF(AND($G86&lt;Hta_17,$G86&gt;=Hba_17,Input!AJ$37&lt;&gt;""),Input!$B$37&amp;";",""),IF(AND($G86&lt;Hta_18,$G86&gt;=Hba_18,Input!AJ$38&lt;&gt;""),Input!$B$38&amp;";",""),IF(AND($G86&lt;Hta_19,$G86&gt;=Hba_19,Input!AJ$39&lt;&gt;""),Input!$B$39&amp;";",""),IF(AND($G86&lt;Hta_20,$G86&gt;=Hba_20,Input!AJ$40&lt;&gt;""),Input!$B$40&amp;";",""),IF(AND($G86&lt;Hta_21,$G86&gt;=Hba_21,Input!AJ$41&lt;&gt;""),Input!$B$41&amp;";",""),IF(AND($G86&lt;Hta_22,$G86&gt;=Hba_22,Input!AJ$42&lt;&gt;""),Input!$B$42&amp;";",""),IF(AND($G86&lt;Hta_23,$G86&gt;=Hba_23,Input!AJ$43&lt;&gt;""),Input!$B$43&amp;";",""),IF(AND($G86&lt;Hta_24,$G86&gt;=Hba_24,Input!AJ$44&lt;&gt;""),Input!$B$44&amp;";",""),IF(AND($G86&lt;Hta_25,$G86&gt;=Hba_25,Input!AJ$45&lt;&gt;""),Input!$B$45&amp;";",""),IF(AND($G86&lt;Hta_26,$G86&gt;=Hba_26,Input!AJ$46&lt;&gt;""),Input!$B$46&amp;";",""),IF(AND($G86&lt;Hta_27,$G86&gt;=Hba_27,Input!AJ$47&lt;&gt;""),Input!$B$47&amp;";",""),IF(AND($G86&lt;Hta_28,$G86&gt;=Hba_28,Input!AJ$48&lt;&gt;""),Input!$B$48&amp;";",""),IF(AND($G86&lt;Hta_29,$G86&gt;=Hba_29,Input!AJ$49&lt;&gt;""),Input!$B$49&amp;";",""),IF(AND($G86&lt;Hta_30,$G86&gt;=Hba_30,Input!AJ$50&lt;&gt;""),Input!$B$50&amp;";","")),"")</f>
        <v/>
      </c>
      <c r="CL86" s="25" t="str">
        <f>IFERROR(CONCATENATE(IF(AND($G86&lt;Hta_1,$G86&gt;=Hba_1,Input!AK$21&lt;&gt;""),Input!$B$21&amp;";",""),IF(AND($G86&lt;Hta_2,$G86&gt;=Hba_2,Input!AK$22&lt;&gt;""),Input!$B$22&amp;";",""),IF(AND($G86&lt;Hta_3,$G86&gt;=Hba_3,Input!AK$23&lt;&gt;""),Input!$B$23&amp;";",""),IF(AND($G86&lt;Hta_4,$G86&gt;=Hba_4,Input!AK$24&lt;&gt;""),Input!$B$24&amp;";",""),IF(AND($G86&lt;Hta_5,$G86&gt;=Hba_5,Input!AK$25&lt;&gt;""),Input!$B$25&amp;";",""),IF(AND($G86&lt;Hta_6,$G86&gt;=Hba_6,Input!AK$26&lt;&gt;""),Input!$B$26&amp;";",""),IF(AND($G86&lt;Hta_7,$G86&gt;=Hba_7,Input!AK$27&lt;&gt;""),Input!$B$27&amp;";",""),IF(AND($G86&lt;Hta_8,$G86&gt;=Hba_8,Input!AK$28&lt;&gt;""),Input!$B$28&amp;";",""),IF(AND($G86&lt;Hta_9,$G86&gt;=Hba_9,Input!AK$29&lt;&gt;""),Input!$B$29&amp;";",""),IF(AND($G86&lt;Hta_10,$G86&gt;=Hba_10,Input!AK$30&lt;&gt;""),Input!$B$30&amp;";",""),IF(AND($G86&lt;Hta_11,$G86&gt;=Hba_11,Input!AK$31&lt;&gt;""),Input!$B$31&amp;";",""),IF(AND($G86&lt;Hta_12,$G86&gt;=Hba_12,Input!AK$32&lt;&gt;""),Input!$B$32&amp;";",""),IF(AND($G86&lt;Hta_13,$G86&gt;=Hba_13,Input!AK$33&lt;&gt;""),Input!$B$33&amp;";",""),IF(AND($G86&lt;Hta_14,$G86&gt;=Hba_14,Input!AK$34&lt;&gt;""),Input!$B$34&amp;";",""),IF(AND($G86&lt;Hta_15,$G86&gt;=Hba_15,Input!AK$35&lt;&gt;""),Input!$B$35&amp;";",""),IF(AND($G86&lt;Hta_16,$G86&gt;=Hba_16,Input!AK$36&lt;&gt;""),Input!$B$36&amp;";",""),IF(AND($G86&lt;Hta_17,$G86&gt;=Hba_17,Input!AK$37&lt;&gt;""),Input!$B$37&amp;";",""),IF(AND($G86&lt;Hta_18,$G86&gt;=Hba_18,Input!AK$38&lt;&gt;""),Input!$B$38&amp;";",""),IF(AND($G86&lt;Hta_19,$G86&gt;=Hba_19,Input!AK$39&lt;&gt;""),Input!$B$39&amp;";",""),IF(AND($G86&lt;Hta_20,$G86&gt;=Hba_20,Input!AK$40&lt;&gt;""),Input!$B$40&amp;";",""),IF(AND($G86&lt;Hta_21,$G86&gt;=Hba_21,Input!AK$41&lt;&gt;""),Input!$B$41&amp;";",""),IF(AND($G86&lt;Hta_22,$G86&gt;=Hba_22,Input!AK$42&lt;&gt;""),Input!$B$42&amp;";",""),IF(AND($G86&lt;Hta_23,$G86&gt;=Hba_23,Input!AK$43&lt;&gt;""),Input!$B$43&amp;";",""),IF(AND($G86&lt;Hta_24,$G86&gt;=Hba_24,Input!AK$44&lt;&gt;""),Input!$B$44&amp;";",""),IF(AND($G86&lt;Hta_25,$G86&gt;=Hba_25,Input!AK$45&lt;&gt;""),Input!$B$45&amp;";",""),IF(AND($G86&lt;Hta_26,$G86&gt;=Hba_26,Input!AK$46&lt;&gt;""),Input!$B$46&amp;";",""),IF(AND($G86&lt;Hta_27,$G86&gt;=Hba_27,Input!AK$47&lt;&gt;""),Input!$B$47&amp;";",""),IF(AND($G86&lt;Hta_28,$G86&gt;=Hba_28,Input!AK$48&lt;&gt;""),Input!$B$48&amp;";",""),IF(AND($G86&lt;Hta_29,$G86&gt;=Hba_29,Input!AK$49&lt;&gt;""),Input!$B$49&amp;";",""),IF(AND($G86&lt;Hta_30,$G86&gt;=Hba_30,Input!AK$50&lt;&gt;""),Input!$B$50&amp;";","")),"")</f>
        <v/>
      </c>
      <c r="CM86" s="25" t="str">
        <f>IFERROR(CONCATENATE(IF(AND($G86&lt;Hta_1,$G86&gt;=Hba_1,Input!AL$21&lt;&gt;""),Input!$B$21&amp;";",""),IF(AND($G86&lt;Hta_2,$G86&gt;=Hba_2,Input!AL$22&lt;&gt;""),Input!$B$22&amp;";",""),IF(AND($G86&lt;Hta_3,$G86&gt;=Hba_3,Input!AL$23&lt;&gt;""),Input!$B$23&amp;";",""),IF(AND($G86&lt;Hta_4,$G86&gt;=Hba_4,Input!AL$24&lt;&gt;""),Input!$B$24&amp;";",""),IF(AND($G86&lt;Hta_5,$G86&gt;=Hba_5,Input!AL$25&lt;&gt;""),Input!$B$25&amp;";",""),IF(AND($G86&lt;Hta_6,$G86&gt;=Hba_6,Input!AL$26&lt;&gt;""),Input!$B$26&amp;";",""),IF(AND($G86&lt;Hta_7,$G86&gt;=Hba_7,Input!AL$27&lt;&gt;""),Input!$B$27&amp;";",""),IF(AND($G86&lt;Hta_8,$G86&gt;=Hba_8,Input!AL$28&lt;&gt;""),Input!$B$28&amp;";",""),IF(AND($G86&lt;Hta_9,$G86&gt;=Hba_9,Input!AL$29&lt;&gt;""),Input!$B$29&amp;";",""),IF(AND($G86&lt;Hta_10,$G86&gt;=Hba_10,Input!AL$30&lt;&gt;""),Input!$B$30&amp;";",""),IF(AND($G86&lt;Hta_11,$G86&gt;=Hba_11,Input!AL$31&lt;&gt;""),Input!$B$31&amp;";",""),IF(AND($G86&lt;Hta_12,$G86&gt;=Hba_12,Input!AL$32&lt;&gt;""),Input!$B$32&amp;";",""),IF(AND($G86&lt;Hta_13,$G86&gt;=Hba_13,Input!AL$33&lt;&gt;""),Input!$B$33&amp;";",""),IF(AND($G86&lt;Hta_14,$G86&gt;=Hba_14,Input!AL$34&lt;&gt;""),Input!$B$34&amp;";",""),IF(AND($G86&lt;Hta_15,$G86&gt;=Hba_15,Input!AL$35&lt;&gt;""),Input!$B$35&amp;";",""),IF(AND($G86&lt;Hta_16,$G86&gt;=Hba_16,Input!AL$36&lt;&gt;""),Input!$B$36&amp;";",""),IF(AND($G86&lt;Hta_17,$G86&gt;=Hba_17,Input!AL$37&lt;&gt;""),Input!$B$37&amp;";",""),IF(AND($G86&lt;Hta_18,$G86&gt;=Hba_18,Input!AL$38&lt;&gt;""),Input!$B$38&amp;";",""),IF(AND($G86&lt;Hta_19,$G86&gt;=Hba_19,Input!AL$39&lt;&gt;""),Input!$B$39&amp;";",""),IF(AND($G86&lt;Hta_20,$G86&gt;=Hba_20,Input!AL$40&lt;&gt;""),Input!$B$40&amp;";",""),IF(AND($G86&lt;Hta_21,$G86&gt;=Hba_21,Input!AL$41&lt;&gt;""),Input!$B$41&amp;";",""),IF(AND($G86&lt;Hta_22,$G86&gt;=Hba_22,Input!AL$42&lt;&gt;""),Input!$B$42&amp;";",""),IF(AND($G86&lt;Hta_23,$G86&gt;=Hba_23,Input!AL$43&lt;&gt;""),Input!$B$43&amp;";",""),IF(AND($G86&lt;Hta_24,$G86&gt;=Hba_24,Input!AL$44&lt;&gt;""),Input!$B$44&amp;";",""),IF(AND($G86&lt;Hta_25,$G86&gt;=Hba_25,Input!AL$45&lt;&gt;""),Input!$B$45&amp;";",""),IF(AND($G86&lt;Hta_26,$G86&gt;=Hba_26,Input!AL$46&lt;&gt;""),Input!$B$46&amp;";",""),IF(AND($G86&lt;Hta_27,$G86&gt;=Hba_27,Input!AL$47&lt;&gt;""),Input!$B$47&amp;";",""),IF(AND($G86&lt;Hta_28,$G86&gt;=Hba_28,Input!AL$48&lt;&gt;""),Input!$B$48&amp;";",""),IF(AND($G86&lt;Hta_29,$G86&gt;=Hba_29,Input!AL$49&lt;&gt;""),Input!$B$49&amp;";",""),IF(AND($G86&lt;Hta_30,$G86&gt;=Hba_30,Input!AL$50&lt;&gt;""),Input!$B$50&amp;";","")),"")</f>
        <v/>
      </c>
      <c r="CN86" s="59" t="str">
        <f t="shared" si="16"/>
        <v/>
      </c>
      <c r="CO86" s="791"/>
      <c r="CP86" s="792"/>
      <c r="CQ86" s="793"/>
      <c r="CR86" s="791"/>
      <c r="CS86" s="792"/>
      <c r="CT86" s="793"/>
      <c r="CU86" s="791" t="str">
        <f t="shared" si="17"/>
        <v/>
      </c>
      <c r="CV86" s="792"/>
      <c r="CW86" s="807"/>
      <c r="CX86" s="808"/>
      <c r="CY86" s="730"/>
      <c r="CZ86" s="809"/>
      <c r="DA86" s="733"/>
      <c r="DB86" s="734"/>
      <c r="DC86" s="735"/>
      <c r="DD86" s="729" t="str">
        <f t="shared" si="18"/>
        <v/>
      </c>
      <c r="DE86" s="730"/>
      <c r="DF86" s="731"/>
      <c r="DG86" s="55"/>
      <c r="DH86" s="56"/>
      <c r="DI86" s="56"/>
      <c r="DJ86" s="56"/>
      <c r="DK86" s="56"/>
      <c r="DL86" s="56"/>
      <c r="DM86" s="56"/>
      <c r="DN86" s="56"/>
      <c r="DO86" s="56"/>
      <c r="DP86" s="56"/>
      <c r="DQ86" s="58"/>
      <c r="DR86" s="58"/>
      <c r="DS86" s="58"/>
      <c r="DT86" s="58"/>
      <c r="DU86" s="58"/>
      <c r="DV86" s="58"/>
      <c r="DW86" s="58"/>
      <c r="DX86" s="58"/>
      <c r="DY86" s="58"/>
      <c r="DZ86" s="58"/>
      <c r="EA86" s="58"/>
      <c r="EB86" s="58"/>
      <c r="EC86" s="58"/>
      <c r="ED86" s="58"/>
      <c r="EE86" s="58"/>
      <c r="EF86" s="58"/>
      <c r="EG86" s="58"/>
      <c r="EH86" s="58"/>
      <c r="EI86" s="58"/>
      <c r="EJ86" s="58"/>
      <c r="EK86" s="58"/>
      <c r="EL86" s="134"/>
      <c r="EM86" s="134"/>
      <c r="EN86" s="134"/>
      <c r="EO86" s="134"/>
      <c r="EP86" s="134"/>
      <c r="EQ86" s="134"/>
      <c r="ER86" s="134"/>
      <c r="ES86" s="134"/>
      <c r="ET86" s="134"/>
      <c r="EU86" s="134"/>
      <c r="EV86" s="134"/>
      <c r="EW86" s="134"/>
      <c r="EX86" s="134"/>
      <c r="EY86" s="134"/>
      <c r="EZ86" s="134"/>
      <c r="FA86" s="134"/>
      <c r="FB86" s="134"/>
      <c r="FC86" s="134"/>
      <c r="FD86" s="134"/>
      <c r="FE86" s="134"/>
      <c r="FF86" s="134"/>
      <c r="FG86" s="134"/>
      <c r="FH86" s="134"/>
      <c r="FI86" s="134"/>
      <c r="FJ86" s="134"/>
      <c r="FK86" s="134"/>
      <c r="FL86" s="134"/>
      <c r="FM86" s="134"/>
      <c r="FN86" s="134"/>
      <c r="FO86" s="134"/>
      <c r="FQ86" s="124"/>
      <c r="FR86" s="122"/>
      <c r="FS86" s="120"/>
      <c r="FT86" s="119"/>
    </row>
    <row r="87" spans="2:176" ht="15.75" hidden="1" thickBot="1" x14ac:dyDescent="0.3">
      <c r="B87" s="62" t="b">
        <f>IF(OR(AND(G87&gt;='Geometry 2'!$AK$5,G87&lt;'Geometry 2'!$AL$5),AND(G87&gt;='Geometry 2'!$AK$6,G87&lt;'Geometry 2'!$AL$6),AND(G87&gt;='Geometry 2'!$AK$7,G87&lt;'Geometry 2'!$AL$7),AND(G87&gt;='Geometry 2'!$AK$8,G87&lt;'Geometry 2'!$AL$8),AND(G87&gt;='Geometry 2'!$AK$9,G87&lt;'Geometry 2'!$AL$9),AND(G87&gt;='Geometry 2'!$AK$10,G87&lt;'Geometry 2'!$AL$10),AND(G87&gt;='Geometry 2'!$AK$11,G87&lt;'Geometry 2'!$AL$11),AND(G87&gt;='Geometry 2'!$AK$12,G87&lt;'Geometry 2'!$AL$12),AND(G87&gt;='Geometry 2'!$AK$13,G87&lt;'Geometry 2'!$AL$13),AND(G87&gt;='Geometry 2'!$AK$14,G87&lt;'Geometry 2'!$AL$14)),TRUE,FALSE)</f>
        <v>0</v>
      </c>
      <c r="C87" s="4" t="str">
        <f t="shared" si="13"/>
        <v/>
      </c>
      <c r="D87" s="766" t="str">
        <f t="shared" si="14"/>
        <v/>
      </c>
      <c r="E87" s="767"/>
      <c r="F87" s="17" t="str">
        <f t="shared" si="12"/>
        <v/>
      </c>
      <c r="G87" s="768" t="str">
        <f>IF(D87="","",MAX(0,G86-IF(inc="n/a",999,inc),MAX(IF(G86&lt;=Hta_1,0,Hta_1),IF(G86&lt;=Hta_2,0,Hta_2),IF(G86&lt;=Hta_3,0,Hta_3),IF(G86&lt;=Hta_4,0,Hta_4),IF(G86&lt;=Hta_5,0,Hta_5),IF(G86&lt;=Hta_6,0,Hta_6),IF(G86&lt;=Hta_7,0,Hta_7),IF(G86&lt;=Hta_8,0,Hta_8),IF(G86&lt;=Hta_9,0,Hta_9),IF(G86&lt;=Hta_10,0,Hta_10),IF(G86&lt;=Hta_11,0,Hta_11),IF(G86&lt;=Hta_12,0,Hta_12),IF(G86&lt;=Hta_13,0,Hta_13),IF(G86&lt;=Hta_14,0,Hta_14),IF(G86&lt;=Hta_15,0,Hta_15),IF(G86&lt;=Hta_16,0,Hta_16),IF(G86&lt;=Hta_17,0,Hta_17),IF(G86&lt;=Hta_18,0,Hta_18),IF(G86&lt;=Hta_19,0,Hta_19),IF(G86&lt;=Hta_20,0,Hta_20),IF(G86&lt;=Hta_21,0,Hta_21),IF(G86&lt;=Hta_22,0,Hta_22),IF(G86&lt;=Hta_23,0,Hta_23),IF(G86&lt;=Hta_24,0,Hta_24),IF(G86&lt;=Hta_25,0,Hta_25),IF(G86&lt;=Hta_26,0,Hta_26),IF(G86&lt;=Hta_27,0,Hta_27),IF(G86&lt;=Hta_28,0,Hta_28),IF(G86&lt;=Hta_29,0,Hta_29),IF(G86&lt;=Hta_30,0,Hta_30)),MAX(IF(G86&lt;=Hta_1-0.25,0,Hta_1-0.25),IF(G86&lt;=Hta_2-0.25,0,Hta_2-0.25),IF(G86&lt;=Hta_3-0.25,0,Hta_3-0.25),IF(G86&lt;=Hta_4-0.25,0,Hta_4-0.25),IF(G86&lt;=Hta_5-0.25,0,Hta_5-0.25),IF(G86&lt;=Hta_6-0.25,0,Hta_6-0.25),IF(G86&lt;=Hta_7-0.25,0,Hta_7-0.25),IF(G86&lt;=Hta_8-0.25,0,Hta_8-0.25),IF(G86&lt;=Hta_9-0.25,0,Hta_9-0.25),IF(G86&lt;=Hta_10-0.25,0,Hta_10-0.25),IF(G86&lt;=Hta_11-0.25,0,Hta_11-0.25),IF(G86&lt;=Hta_12-0.25,0,Hta_12-0.25),IF(G86&lt;=Hta_13-0.25,0,Hta_13-0.25),IF(G86&lt;=Hta_14-0.25,0,Hta_14-0.25),IF(G86&lt;=Hta_15-0.25,0,Hta_15-0.25),IF(G86&lt;=Hta_16-0.25,0,Hta_16-0.25),IF(G86&lt;=Hta_17-0.25,0,Hta_17-0.25),IF(G86&lt;=Hta_18-0.25,0,Hta_18-0.25),IF(G86&lt;=Hta_19-0.25,0,Hta_19-0.25),IF(G86&lt;=Hta_20-0.25,0,Hta_20-0.25),IF(G86&lt;=Hta_21-0.25,0,Hta_21-0.25),IF(G86&lt;=Hta_22-0.25,0,Hta_22-0.25),IF(G86&lt;=Hta_23-0.25,0,Hta_23-0.25),IF(G86&lt;=Hta_24-0.25,0,Hta_24-0.25),IF(G86&lt;=Hta_25-0.25,0,Hta_25-0.25),IF(G86&lt;=Hta_26-0.25,0,Hta_26-0.25),IF(G86&lt;=Hta_27-0.25,0,Hta_27-0.25),IF(G86&lt;=Hta_28-0.25,0,Hta_28-0.25),IF(G86&lt;=Hta_29-0.25,0,Hta_29-0.25),IF(G86&lt;=Hta_30-0.25,0,Hta_30-0.25)),MAX(IF(G86&lt;=Hba_1,0,Hba_1),IF(G86&lt;=Hba_2,0,Hba_2),IF(G86&lt;=Hba_3,0,Hba_3),IF(G86&lt;=Hba_4,0,Hba_4),IF(G86&lt;=Hba_5,0,Hba_5),IF(G86&lt;=Hba_6,0,Hba_6),IF(G86&lt;=Hba_7,0,Hba_7),IF(G86&lt;=Hba_8,0,Hba_8),IF(G86&lt;=Hba_9,0,Hba_9),IF(G86&lt;=Hba_10,0,Hba_10),IF(G86&lt;=Hba_11,0,Hba_11),IF(G86&lt;=Hba_12,0,Hba_12),IF(G86&lt;=Hba_13,0,Hba_13),IF(G86&lt;=Hba_14,0,Hba_14),IF(G86&lt;=Hba_15,0,Hba_15),IF(G86&lt;=Hba_16,0,Hba_16),IF(G86&lt;=Hba_17,0,Hba_17),IF(G86&lt;=Hba_18,0,Hba_18),IF(G86&lt;=Hba_19,0,Hba_19),IF(G86&lt;=Hba_20,0,Hba_20),IF(G86&lt;=Hba_21,0,Hba_21),IF(G86&lt;=Hba_22,0,Hba_22),IF(G86&lt;=Hba_23,0,Hba_23),IF(G86&lt;=Hba_24,0,Hba_24),IF(G86&lt;=Hba_25,0,Hba_25),IF(G86&lt;=Hba_26,0,Hba_26),IF(G86&lt;=Hba_27,0,Hba_27),IF(G86&lt;=Hba_28,0,Hba_28),IF(G86&lt;=Hba_29,0,Hba_29),IF(G86&lt;=Hba_30,0,Hba_30)),MAX(IF(G86&lt;=Input!$C$8,0,Input!$C$8),IF(G86&lt;=Input!$C$9,0,Input!$C$9),IF(G86&lt;=Input!$C$10,0,Input!$C$10),IF(G86&lt;=Input!$C$11,0,Input!$C$11),IF(G86&lt;=Input!$C$12,0,Input!$C$12),IF(G86&lt;=Input!$C$13,0,Input!$C$13),IF(G86&lt;=Input!$C$14,0,Input!$C$14),IF(G86&lt;=Input!$C$15,0,Input!$C$15),IF(G86&lt;=Input!$C$16,0,Input!$C$16)),MAX(IF(G86&lt;=Hba_1-0.25,0,Hba_1-0.25),IF(G86&lt;=Hba_2-0.25,0,Hba_2-0.25),IF(G86&lt;=Hba_3-0.25,0,Hba_3-0.25),IF(G86&lt;=Hba_4-0.25,0,Hba_4-0.25),IF(G86&lt;=Hba_5-0.25,0,Hba_5-0.25),IF(G86&lt;=Hba_6-0.25,0,Hba_6-0.25),IF(G86&lt;=Hba_7-0.25,0,Hba_7-0.25),IF(G86&lt;=Hba_8-0.25,0,Hba_8-0.25),IF(G86&lt;=Hba_9-0.25,0,Hba_9-0.25),IF(G86&lt;=Hba_10-0.25,0,Hba_10-0.25),IF(G86&lt;=Hba_11-0.25,0,Hba_11-0.25),IF(G86&lt;=Hba_12-0.25,0,Hba_12-0.25),IF(G86&lt;=Hba_13-0.25,0,Hba_13-0.25),IF(G86&lt;=Hba_14-0.25,0,Hba_14-0.25),IF(G86&lt;=Hba_15-0.25,0,Hba_15-0.25),IF(G86&lt;=Hba_16-0.25,0,Hba_16-0.25),IF(G86&lt;=Hba_17-0.25,0,Hba_17-0.25),IF(G86&lt;=Hba_18-0.25,0,Hba_18-0.25),IF(G86&lt;=Hba_19-0.25,0,Hba_19-0.25),IF(G86&lt;=Hba_20-0.25,0,Hba_20-0.25),IF(G86&lt;=Hba_21-0.25,0,Hba_21-0.25),IF(G86&lt;=Hba_22-0.25,0,Hba_22-0.25),IF(G86&lt;=Hba_23-0.25,0,Hba_23-0.25),IF(G86&lt;=Hba_24-0.25,0,Hba_24-0.25),IF(G86&lt;=Hba_25-0.25,0,Hba_25-0.25),IF(G86&lt;=Hba_26-0.25,0,Hba_26-0.25),IF(G86&lt;=Hba_27-0.25,0,Hba_27-0.25),IF(G86&lt;=Hba_28-0.25,0,Hba_28-0.25),IF(G86&lt;=Hba_29-0.25,0,Hba_29-0.25),IF(G86&lt;=Hba_30-0.25,0,Hba_30-0.25)),IF(G86&lt;='Macro References'!$A$38,0,'Macro References'!$A$38)))</f>
        <v/>
      </c>
      <c r="H87" s="769"/>
      <c r="I87" s="228"/>
      <c r="J87" s="228"/>
      <c r="K87" s="228"/>
      <c r="L87" s="717" t="str">
        <f t="shared" si="11"/>
        <v/>
      </c>
      <c r="M87" s="717"/>
      <c r="N87" s="717"/>
      <c r="O87" s="717"/>
      <c r="P87" s="717" t="str">
        <f>IF(OR(G87=0,G87=""),"",IF(VLOOKUP(G87,'Geometry 2'!$C$4:$AI$14,1,TRUE)=VLOOKUP(G88,'Geometry 2'!$C$4:$AI$14,1,TRUE),"",IF(VLOOKUP(G87,'Geometry 2'!$C$4:$AI$14,33,TRUE)&lt;&gt;"n/a",MIN(G87,VLOOKUP(G87,'Geometry 2'!$C$4:$AI$14,1,TRUE))-VLOOKUP(G87,'Geometry 2'!$C$4:$AI$14,33,TRUE),"check")))</f>
        <v/>
      </c>
      <c r="Q87" s="717"/>
      <c r="R87" s="717"/>
      <c r="S87" s="717"/>
      <c r="T87" s="717" t="str">
        <f>IF($G87="","",VLOOKUP($G87,'Geometry 2'!$E$4:$AH$14,11,TRUE))</f>
        <v/>
      </c>
      <c r="U87" s="717"/>
      <c r="V87" s="717"/>
      <c r="W87" s="717"/>
      <c r="X87" s="716" t="str">
        <f>IF($G87="","",VLOOKUP($G87,'Geometry 2'!$E$4:$AJ$14,19,TRUE)-12*VLOOKUP($G87,'Geometry 2'!$E$4:$AJ$14,32,TRUE)*($D87-VLOOKUP($G87,'Geometry 2'!$E$5:$AH$14,1,TRUE)))</f>
        <v/>
      </c>
      <c r="Y87" s="716"/>
      <c r="Z87" s="716"/>
      <c r="AA87" s="716"/>
      <c r="AB87" s="757" t="str">
        <f>IF($G87="","",VLOOKUP($G87,'Geometry 2'!$E$4:$AJ$14,19,TRUE)-12*VLOOKUP($G87,'Geometry 2'!$E$4:$AJ$14,32,TRUE)*($G87-VLOOKUP($G87,'Geometry 2'!$E$5:$AH$14,1,TRUE)))</f>
        <v/>
      </c>
      <c r="AC87" s="758"/>
      <c r="AD87" s="758"/>
      <c r="AE87" s="759"/>
      <c r="AF87" s="716" t="str">
        <f>IF($G87="","",VLOOKUP($G87,'Geometry 2'!$E$4:$AJ$14,19,TRUE)-12*VLOOKUP($G87,'Geometry 2'!$E$4:$AJ$14,32,TRUE)*($G87-IF($P87="",0,$P87)-VLOOKUP($G87,'Geometry 2'!$E$5:$AH$14,1,TRUE)))</f>
        <v/>
      </c>
      <c r="AG87" s="716"/>
      <c r="AH87" s="716"/>
      <c r="AI87" s="716"/>
      <c r="AJ87" s="746" t="str">
        <f>IF($G87="","",VLOOKUP($G87,'Geometry 2'!$E$4:$AH$14,23,TRUE))</f>
        <v/>
      </c>
      <c r="AK87" s="747"/>
      <c r="AL87" s="747"/>
      <c r="AM87" s="748"/>
      <c r="AN87" s="717"/>
      <c r="AO87" s="717"/>
      <c r="AP87" s="717"/>
      <c r="AQ87" s="717"/>
      <c r="AR87" s="717" t="str">
        <f>IF($G87="","",VLOOKUP($G87,'Geometry 2'!$E$4:$AH$14,27,TRUE))</f>
        <v/>
      </c>
      <c r="AS87" s="717"/>
      <c r="AT87" s="717"/>
      <c r="AU87" s="718"/>
      <c r="AV87" s="715"/>
      <c r="AW87" s="716"/>
      <c r="AX87" s="716"/>
      <c r="AZ87" s="722" t="str">
        <f t="shared" si="15"/>
        <v/>
      </c>
      <c r="BA87" s="723"/>
      <c r="BB87" s="723"/>
      <c r="BC87" s="724"/>
      <c r="BD87" s="722"/>
      <c r="BE87" s="723"/>
      <c r="BF87" s="723"/>
      <c r="BG87" s="722" t="str">
        <f t="shared" si="19"/>
        <v/>
      </c>
      <c r="BH87" s="723"/>
      <c r="BI87" s="723"/>
      <c r="BJ87" s="723"/>
      <c r="BK87" s="724"/>
      <c r="BL87" s="722"/>
      <c r="BM87" s="723"/>
      <c r="BN87" s="723"/>
      <c r="BO87" s="723"/>
      <c r="BP87" s="725"/>
      <c r="BQ87" s="725"/>
      <c r="BR87" s="722" t="str">
        <f>IF(BP87="","",IF(OR(AND(Rev="H",Calculations!$F$27=TRUE),AND(Rev&lt;&gt;"H",Calculations!$F$30=TRUE)),IF(BP87&lt;=1,"Pass","Fail"),IF(BP87&lt;=1.05,"Pass","Fail")))</f>
        <v/>
      </c>
      <c r="BS87" s="723"/>
      <c r="BT87" s="724"/>
      <c r="BU87" s="49"/>
      <c r="BV87" s="25" t="str">
        <f>IFERROR(CONCATENATE(IF(AND($G87&lt;Hta_1,$G87&gt;=Hba_1,Input!U$21&lt;&gt;""),Input!$B$21&amp;";",""),IF(AND($G87&lt;Hta_2,$G87&gt;=Hba_2,Input!U$22&lt;&gt;""),Input!$B$22&amp;";",""),IF(AND($G87&lt;Hta_3,$G87&gt;=Hba_3,Input!U$23&lt;&gt;""),Input!$B$23&amp;";",""),IF(AND($G87&lt;Hta_4,$G87&gt;=Hba_4,Input!U$24&lt;&gt;""),Input!$B$24&amp;";",""),IF(AND($G87&lt;Hta_5,$G87&gt;=Hba_5,Input!U$25&lt;&gt;""),Input!$B$25&amp;";",""),IF(AND($G87&lt;Hta_6,$G87&gt;=Hba_6,Input!U$26&lt;&gt;""),Input!$B$26&amp;";",""),IF(AND($G87&lt;Hta_7,$G87&gt;=Hba_7,Input!U$27&lt;&gt;""),Input!$B$27&amp;";",""),IF(AND($G87&lt;Hta_8,$G87&gt;=Hba_8,Input!U$28&lt;&gt;""),Input!$B$28&amp;";",""),IF(AND($G87&lt;Hta_9,$G87&gt;=Hba_9,Input!U$29&lt;&gt;""),Input!$B$29&amp;";",""),IF(AND($G87&lt;Hta_10,$G87&gt;=Hba_10,Input!U$30&lt;&gt;""),Input!$B$30&amp;";",""),IF(AND($G87&lt;Hta_11,$G87&gt;=Hba_11,Input!U$31&lt;&gt;""),Input!$B$31&amp;";",""),IF(AND($G87&lt;Hta_12,$G87&gt;=Hba_12,Input!U$32&lt;&gt;""),Input!$B$32&amp;";",""),IF(AND($G87&lt;Hta_13,$G87&gt;=Hba_13,Input!U$33&lt;&gt;""),Input!$B$33&amp;";",""),IF(AND($G87&lt;Hta_14,$G87&gt;=Hba_14,Input!U$34&lt;&gt;""),Input!$B$34&amp;";",""),IF(AND($G87&lt;Hta_15,$G87&gt;=Hba_15,Input!U$35&lt;&gt;""),Input!$B$35&amp;";",""),IF(AND($G87&lt;Hta_16,$G87&gt;=Hba_16,Input!U$36&lt;&gt;""),Input!$B$36&amp;";",""),IF(AND($G87&lt;Hta_17,$G87&gt;=Hba_17,Input!U$37&lt;&gt;""),Input!$B$37&amp;";",""),IF(AND($G87&lt;Hta_18,$G87&gt;=Hba_18,Input!U$38&lt;&gt;""),Input!$B$38&amp;";",""),IF(AND($G87&lt;Hta_19,$G87&gt;=Hba_19,Input!U$39&lt;&gt;""),Input!$B$39&amp;";",""),IF(AND($G87&lt;Hta_20,$G87&gt;=Hba_20,Input!U$40&lt;&gt;""),Input!$B$40&amp;";",""),IF(AND($G87&lt;Hta_21,$G87&gt;=Hba_21,Input!U$41&lt;&gt;""),Input!$B$41&amp;";",""),IF(AND($G87&lt;Hta_22,$G87&gt;=Hba_22,Input!U$42&lt;&gt;""),Input!$B$42&amp;";",""),IF(AND($G87&lt;Hta_23,$G87&gt;=Hba_23,Input!U$43&lt;&gt;""),Input!$B$43&amp;";",""),IF(AND($G87&lt;Hta_24,$G87&gt;=Hba_24,Input!U$44&lt;&gt;""),Input!$B$44&amp;";",""),IF(AND($G87&lt;Hta_25,$G87&gt;=Hba_25,Input!U$45&lt;&gt;""),Input!$B$45&amp;";",""),IF(AND($G87&lt;Hta_26,$G87&gt;=Hba_26,Input!U$46&lt;&gt;""),Input!$B$46&amp;";",""),IF(AND($G87&lt;Hta_27,$G87&gt;=Hba_27,Input!U$47&lt;&gt;""),Input!$B$47&amp;";",""),IF(AND($G87&lt;Hta_28,$G87&gt;=Hba_28,Input!U$48&lt;&gt;""),Input!$B$48&amp;";",""),IF(AND($G87&lt;Hta_29,$G87&gt;=Hba_29,Input!U$49&lt;&gt;""),Input!$B$49&amp;";",""),IF(AND($G87&lt;Hta_30,$G87&gt;=Hba_30,Input!U$50&lt;&gt;""),Input!$B$50&amp;";","")),"")</f>
        <v/>
      </c>
      <c r="BW87" s="25" t="str">
        <f>IFERROR(CONCATENATE(IF(AND($G87&lt;Hta_1,$G87&gt;=Hba_1,Input!V$21&lt;&gt;""),Input!$B$21&amp;";",""),IF(AND($G87&lt;Hta_2,$G87&gt;=Hba_2,Input!V$22&lt;&gt;""),Input!$B$22&amp;";",""),IF(AND($G87&lt;Hta_3,$G87&gt;=Hba_3,Input!V$23&lt;&gt;""),Input!$B$23&amp;";",""),IF(AND($G87&lt;Hta_4,$G87&gt;=Hba_4,Input!V$24&lt;&gt;""),Input!$B$24&amp;";",""),IF(AND($G87&lt;Hta_5,$G87&gt;=Hba_5,Input!V$25&lt;&gt;""),Input!$B$25&amp;";",""),IF(AND($G87&lt;Hta_6,$G87&gt;=Hba_6,Input!V$26&lt;&gt;""),Input!$B$26&amp;";",""),IF(AND($G87&lt;Hta_7,$G87&gt;=Hba_7,Input!V$27&lt;&gt;""),Input!$B$27&amp;";",""),IF(AND($G87&lt;Hta_8,$G87&gt;=Hba_8,Input!V$28&lt;&gt;""),Input!$B$28&amp;";",""),IF(AND($G87&lt;Hta_9,$G87&gt;=Hba_9,Input!V$29&lt;&gt;""),Input!$B$29&amp;";",""),IF(AND($G87&lt;Hta_10,$G87&gt;=Hba_10,Input!V$30&lt;&gt;""),Input!$B$30&amp;";",""),IF(AND($G87&lt;Hta_11,$G87&gt;=Hba_11,Input!V$31&lt;&gt;""),Input!$B$31&amp;";",""),IF(AND($G87&lt;Hta_12,$G87&gt;=Hba_12,Input!V$32&lt;&gt;""),Input!$B$32&amp;";",""),IF(AND($G87&lt;Hta_13,$G87&gt;=Hba_13,Input!V$33&lt;&gt;""),Input!$B$33&amp;";",""),IF(AND($G87&lt;Hta_14,$G87&gt;=Hba_14,Input!V$34&lt;&gt;""),Input!$B$34&amp;";",""),IF(AND($G87&lt;Hta_15,$G87&gt;=Hba_15,Input!V$35&lt;&gt;""),Input!$B$35&amp;";",""),IF(AND($G87&lt;Hta_16,$G87&gt;=Hba_16,Input!V$36&lt;&gt;""),Input!$B$36&amp;";",""),IF(AND($G87&lt;Hta_17,$G87&gt;=Hba_17,Input!V$37&lt;&gt;""),Input!$B$37&amp;";",""),IF(AND($G87&lt;Hta_18,$G87&gt;=Hba_18,Input!V$38&lt;&gt;""),Input!$B$38&amp;";",""),IF(AND($G87&lt;Hta_19,$G87&gt;=Hba_19,Input!V$39&lt;&gt;""),Input!$B$39&amp;";",""),IF(AND($G87&lt;Hta_20,$G87&gt;=Hba_20,Input!V$40&lt;&gt;""),Input!$B$40&amp;";",""),IF(AND($G87&lt;Hta_21,$G87&gt;=Hba_21,Input!V$41&lt;&gt;""),Input!$B$41&amp;";",""),IF(AND($G87&lt;Hta_22,$G87&gt;=Hba_22,Input!V$42&lt;&gt;""),Input!$B$42&amp;";",""),IF(AND($G87&lt;Hta_23,$G87&gt;=Hba_23,Input!V$43&lt;&gt;""),Input!$B$43&amp;";",""),IF(AND($G87&lt;Hta_24,$G87&gt;=Hba_24,Input!V$44&lt;&gt;""),Input!$B$44&amp;";",""),IF(AND($G87&lt;Hta_25,$G87&gt;=Hba_25,Input!V$45&lt;&gt;""),Input!$B$45&amp;";",""),IF(AND($G87&lt;Hta_26,$G87&gt;=Hba_26,Input!V$46&lt;&gt;""),Input!$B$46&amp;";",""),IF(AND($G87&lt;Hta_27,$G87&gt;=Hba_27,Input!V$47&lt;&gt;""),Input!$B$47&amp;";",""),IF(AND($G87&lt;Hta_28,$G87&gt;=Hba_28,Input!V$48&lt;&gt;""),Input!$B$48&amp;";",""),IF(AND($G87&lt;Hta_29,$G87&gt;=Hba_29,Input!V$49&lt;&gt;""),Input!$B$49&amp;";",""),IF(AND($G87&lt;Hta_30,$G87&gt;=Hba_30,Input!V$50&lt;&gt;""),Input!$B$50&amp;";","")),"")</f>
        <v/>
      </c>
      <c r="BX87" s="25" t="str">
        <f>IFERROR(CONCATENATE(IF(AND($G87&lt;Hta_1,$G87&gt;=Hba_1,Input!W$21&lt;&gt;""),Input!$B$21&amp;";",""),IF(AND($G87&lt;Hta_2,$G87&gt;=Hba_2,Input!W$22&lt;&gt;""),Input!$B$22&amp;";",""),IF(AND($G87&lt;Hta_3,$G87&gt;=Hba_3,Input!W$23&lt;&gt;""),Input!$B$23&amp;";",""),IF(AND($G87&lt;Hta_4,$G87&gt;=Hba_4,Input!W$24&lt;&gt;""),Input!$B$24&amp;";",""),IF(AND($G87&lt;Hta_5,$G87&gt;=Hba_5,Input!W$25&lt;&gt;""),Input!$B$25&amp;";",""),IF(AND($G87&lt;Hta_6,$G87&gt;=Hba_6,Input!W$26&lt;&gt;""),Input!$B$26&amp;";",""),IF(AND($G87&lt;Hta_7,$G87&gt;=Hba_7,Input!W$27&lt;&gt;""),Input!$B$27&amp;";",""),IF(AND($G87&lt;Hta_8,$G87&gt;=Hba_8,Input!W$28&lt;&gt;""),Input!$B$28&amp;";",""),IF(AND($G87&lt;Hta_9,$G87&gt;=Hba_9,Input!W$29&lt;&gt;""),Input!$B$29&amp;";",""),IF(AND($G87&lt;Hta_10,$G87&gt;=Hba_10,Input!W$30&lt;&gt;""),Input!$B$30&amp;";",""),IF(AND($G87&lt;Hta_11,$G87&gt;=Hba_11,Input!W$31&lt;&gt;""),Input!$B$31&amp;";",""),IF(AND($G87&lt;Hta_12,$G87&gt;=Hba_12,Input!W$32&lt;&gt;""),Input!$B$32&amp;";",""),IF(AND($G87&lt;Hta_13,$G87&gt;=Hba_13,Input!W$33&lt;&gt;""),Input!$B$33&amp;";",""),IF(AND($G87&lt;Hta_14,$G87&gt;=Hba_14,Input!W$34&lt;&gt;""),Input!$B$34&amp;";",""),IF(AND($G87&lt;Hta_15,$G87&gt;=Hba_15,Input!W$35&lt;&gt;""),Input!$B$35&amp;";",""),IF(AND($G87&lt;Hta_16,$G87&gt;=Hba_16,Input!W$36&lt;&gt;""),Input!$B$36&amp;";",""),IF(AND($G87&lt;Hta_17,$G87&gt;=Hba_17,Input!W$37&lt;&gt;""),Input!$B$37&amp;";",""),IF(AND($G87&lt;Hta_18,$G87&gt;=Hba_18,Input!W$38&lt;&gt;""),Input!$B$38&amp;";",""),IF(AND($G87&lt;Hta_19,$G87&gt;=Hba_19,Input!W$39&lt;&gt;""),Input!$B$39&amp;";",""),IF(AND($G87&lt;Hta_20,$G87&gt;=Hba_20,Input!W$40&lt;&gt;""),Input!$B$40&amp;";",""),IF(AND($G87&lt;Hta_21,$G87&gt;=Hba_21,Input!W$41&lt;&gt;""),Input!$B$41&amp;";",""),IF(AND($G87&lt;Hta_22,$G87&gt;=Hba_22,Input!W$42&lt;&gt;""),Input!$B$42&amp;";",""),IF(AND($G87&lt;Hta_23,$G87&gt;=Hba_23,Input!W$43&lt;&gt;""),Input!$B$43&amp;";",""),IF(AND($G87&lt;Hta_24,$G87&gt;=Hba_24,Input!W$44&lt;&gt;""),Input!$B$44&amp;";",""),IF(AND($G87&lt;Hta_25,$G87&gt;=Hba_25,Input!W$45&lt;&gt;""),Input!$B$45&amp;";",""),IF(AND($G87&lt;Hta_26,$G87&gt;=Hba_26,Input!W$46&lt;&gt;""),Input!$B$46&amp;";",""),IF(AND($G87&lt;Hta_27,$G87&gt;=Hba_27,Input!W$47&lt;&gt;""),Input!$B$47&amp;";",""),IF(AND($G87&lt;Hta_28,$G87&gt;=Hba_28,Input!W$48&lt;&gt;""),Input!$B$48&amp;";",""),IF(AND($G87&lt;Hta_29,$G87&gt;=Hba_29,Input!W$49&lt;&gt;""),Input!$B$49&amp;";",""),IF(AND($G87&lt;Hta_30,$G87&gt;=Hba_30,Input!W$50&lt;&gt;""),Input!$B$50&amp;";","")),"")</f>
        <v/>
      </c>
      <c r="BY87" s="25" t="str">
        <f>IFERROR(CONCATENATE(IF(AND($G87&lt;Hta_1,$G87&gt;=Hba_1,Input!X$21&lt;&gt;""),Input!$B$21&amp;";",""),IF(AND($G87&lt;Hta_2,$G87&gt;=Hba_2,Input!X$22&lt;&gt;""),Input!$B$22&amp;";",""),IF(AND($G87&lt;Hta_3,$G87&gt;=Hba_3,Input!X$23&lt;&gt;""),Input!$B$23&amp;";",""),IF(AND($G87&lt;Hta_4,$G87&gt;=Hba_4,Input!X$24&lt;&gt;""),Input!$B$24&amp;";",""),IF(AND($G87&lt;Hta_5,$G87&gt;=Hba_5,Input!X$25&lt;&gt;""),Input!$B$25&amp;";",""),IF(AND($G87&lt;Hta_6,$G87&gt;=Hba_6,Input!X$26&lt;&gt;""),Input!$B$26&amp;";",""),IF(AND($G87&lt;Hta_7,$G87&gt;=Hba_7,Input!X$27&lt;&gt;""),Input!$B$27&amp;";",""),IF(AND($G87&lt;Hta_8,$G87&gt;=Hba_8,Input!X$28&lt;&gt;""),Input!$B$28&amp;";",""),IF(AND($G87&lt;Hta_9,$G87&gt;=Hba_9,Input!X$29&lt;&gt;""),Input!$B$29&amp;";",""),IF(AND($G87&lt;Hta_10,$G87&gt;=Hba_10,Input!X$30&lt;&gt;""),Input!$B$30&amp;";",""),IF(AND($G87&lt;Hta_11,$G87&gt;=Hba_11,Input!X$31&lt;&gt;""),Input!$B$31&amp;";",""),IF(AND($G87&lt;Hta_12,$G87&gt;=Hba_12,Input!X$32&lt;&gt;""),Input!$B$32&amp;";",""),IF(AND($G87&lt;Hta_13,$G87&gt;=Hba_13,Input!X$33&lt;&gt;""),Input!$B$33&amp;";",""),IF(AND($G87&lt;Hta_14,$G87&gt;=Hba_14,Input!X$34&lt;&gt;""),Input!$B$34&amp;";",""),IF(AND($G87&lt;Hta_15,$G87&gt;=Hba_15,Input!X$35&lt;&gt;""),Input!$B$35&amp;";",""),IF(AND($G87&lt;Hta_16,$G87&gt;=Hba_16,Input!X$36&lt;&gt;""),Input!$B$36&amp;";",""),IF(AND($G87&lt;Hta_17,$G87&gt;=Hba_17,Input!X$37&lt;&gt;""),Input!$B$37&amp;";",""),IF(AND($G87&lt;Hta_18,$G87&gt;=Hba_18,Input!X$38&lt;&gt;""),Input!$B$38&amp;";",""),IF(AND($G87&lt;Hta_19,$G87&gt;=Hba_19,Input!X$39&lt;&gt;""),Input!$B$39&amp;";",""),IF(AND($G87&lt;Hta_20,$G87&gt;=Hba_20,Input!X$40&lt;&gt;""),Input!$B$40&amp;";",""),IF(AND($G87&lt;Hta_21,$G87&gt;=Hba_21,Input!X$41&lt;&gt;""),Input!$B$41&amp;";",""),IF(AND($G87&lt;Hta_22,$G87&gt;=Hba_22,Input!X$42&lt;&gt;""),Input!$B$42&amp;";",""),IF(AND($G87&lt;Hta_23,$G87&gt;=Hba_23,Input!X$43&lt;&gt;""),Input!$B$43&amp;";",""),IF(AND($G87&lt;Hta_24,$G87&gt;=Hba_24,Input!X$44&lt;&gt;""),Input!$B$44&amp;";",""),IF(AND($G87&lt;Hta_25,$G87&gt;=Hba_25,Input!X$45&lt;&gt;""),Input!$B$45&amp;";",""),IF(AND($G87&lt;Hta_26,$G87&gt;=Hba_26,Input!X$46&lt;&gt;""),Input!$B$46&amp;";",""),IF(AND($G87&lt;Hta_27,$G87&gt;=Hba_27,Input!X$47&lt;&gt;""),Input!$B$47&amp;";",""),IF(AND($G87&lt;Hta_28,$G87&gt;=Hba_28,Input!X$48&lt;&gt;""),Input!$B$48&amp;";",""),IF(AND($G87&lt;Hta_29,$G87&gt;=Hba_29,Input!X$49&lt;&gt;""),Input!$B$49&amp;";",""),IF(AND($G87&lt;Hta_30,$G87&gt;=Hba_30,Input!X$50&lt;&gt;""),Input!$B$50&amp;";","")),"")</f>
        <v/>
      </c>
      <c r="BZ87" s="25" t="str">
        <f>IFERROR(CONCATENATE(IF(AND($G87&lt;Hta_1,$G87&gt;=Hba_1,Input!Y$21&lt;&gt;""),Input!$B$21&amp;";",""),IF(AND($G87&lt;Hta_2,$G87&gt;=Hba_2,Input!Y$22&lt;&gt;""),Input!$B$22&amp;";",""),IF(AND($G87&lt;Hta_3,$G87&gt;=Hba_3,Input!Y$23&lt;&gt;""),Input!$B$23&amp;";",""),IF(AND($G87&lt;Hta_4,$G87&gt;=Hba_4,Input!Y$24&lt;&gt;""),Input!$B$24&amp;";",""),IF(AND($G87&lt;Hta_5,$G87&gt;=Hba_5,Input!Y$25&lt;&gt;""),Input!$B$25&amp;";",""),IF(AND($G87&lt;Hta_6,$G87&gt;=Hba_6,Input!Y$26&lt;&gt;""),Input!$B$26&amp;";",""),IF(AND($G87&lt;Hta_7,$G87&gt;=Hba_7,Input!Y$27&lt;&gt;""),Input!$B$27&amp;";",""),IF(AND($G87&lt;Hta_8,$G87&gt;=Hba_8,Input!Y$28&lt;&gt;""),Input!$B$28&amp;";",""),IF(AND($G87&lt;Hta_9,$G87&gt;=Hba_9,Input!Y$29&lt;&gt;""),Input!$B$29&amp;";",""),IF(AND($G87&lt;Hta_10,$G87&gt;=Hba_10,Input!Y$30&lt;&gt;""),Input!$B$30&amp;";",""),IF(AND($G87&lt;Hta_11,$G87&gt;=Hba_11,Input!Y$31&lt;&gt;""),Input!$B$31&amp;";",""),IF(AND($G87&lt;Hta_12,$G87&gt;=Hba_12,Input!Y$32&lt;&gt;""),Input!$B$32&amp;";",""),IF(AND($G87&lt;Hta_13,$G87&gt;=Hba_13,Input!Y$33&lt;&gt;""),Input!$B$33&amp;";",""),IF(AND($G87&lt;Hta_14,$G87&gt;=Hba_14,Input!Y$34&lt;&gt;""),Input!$B$34&amp;";",""),IF(AND($G87&lt;Hta_15,$G87&gt;=Hba_15,Input!Y$35&lt;&gt;""),Input!$B$35&amp;";",""),IF(AND($G87&lt;Hta_16,$G87&gt;=Hba_16,Input!Y$36&lt;&gt;""),Input!$B$36&amp;";",""),IF(AND($G87&lt;Hta_17,$G87&gt;=Hba_17,Input!Y$37&lt;&gt;""),Input!$B$37&amp;";",""),IF(AND($G87&lt;Hta_18,$G87&gt;=Hba_18,Input!Y$38&lt;&gt;""),Input!$B$38&amp;";",""),IF(AND($G87&lt;Hta_19,$G87&gt;=Hba_19,Input!Y$39&lt;&gt;""),Input!$B$39&amp;";",""),IF(AND($G87&lt;Hta_20,$G87&gt;=Hba_20,Input!Y$40&lt;&gt;""),Input!$B$40&amp;";",""),IF(AND($G87&lt;Hta_21,$G87&gt;=Hba_21,Input!Y$41&lt;&gt;""),Input!$B$41&amp;";",""),IF(AND($G87&lt;Hta_22,$G87&gt;=Hba_22,Input!Y$42&lt;&gt;""),Input!$B$42&amp;";",""),IF(AND($G87&lt;Hta_23,$G87&gt;=Hba_23,Input!Y$43&lt;&gt;""),Input!$B$43&amp;";",""),IF(AND($G87&lt;Hta_24,$G87&gt;=Hba_24,Input!Y$44&lt;&gt;""),Input!$B$44&amp;";",""),IF(AND($G87&lt;Hta_25,$G87&gt;=Hba_25,Input!Y$45&lt;&gt;""),Input!$B$45&amp;";",""),IF(AND($G87&lt;Hta_26,$G87&gt;=Hba_26,Input!Y$46&lt;&gt;""),Input!$B$46&amp;";",""),IF(AND($G87&lt;Hta_27,$G87&gt;=Hba_27,Input!Y$47&lt;&gt;""),Input!$B$47&amp;";",""),IF(AND($G87&lt;Hta_28,$G87&gt;=Hba_28,Input!Y$48&lt;&gt;""),Input!$B$48&amp;";",""),IF(AND($G87&lt;Hta_29,$G87&gt;=Hba_29,Input!Y$49&lt;&gt;""),Input!$B$49&amp;";",""),IF(AND($G87&lt;Hta_30,$G87&gt;=Hba_30,Input!Y$50&lt;&gt;""),Input!$B$50&amp;";","")),"")</f>
        <v/>
      </c>
      <c r="CA87" s="25" t="str">
        <f>IFERROR(CONCATENATE(IF(AND($G87&lt;Hta_1,$G87&gt;=Hba_1,Input!Z$21&lt;&gt;""),Input!$B$21&amp;";",""),IF(AND($G87&lt;Hta_2,$G87&gt;=Hba_2,Input!Z$22&lt;&gt;""),Input!$B$22&amp;";",""),IF(AND($G87&lt;Hta_3,$G87&gt;=Hba_3,Input!Z$23&lt;&gt;""),Input!$B$23&amp;";",""),IF(AND($G87&lt;Hta_4,$G87&gt;=Hba_4,Input!Z$24&lt;&gt;""),Input!$B$24&amp;";",""),IF(AND($G87&lt;Hta_5,$G87&gt;=Hba_5,Input!Z$25&lt;&gt;""),Input!$B$25&amp;";",""),IF(AND($G87&lt;Hta_6,$G87&gt;=Hba_6,Input!Z$26&lt;&gt;""),Input!$B$26&amp;";",""),IF(AND($G87&lt;Hta_7,$G87&gt;=Hba_7,Input!Z$27&lt;&gt;""),Input!$B$27&amp;";",""),IF(AND($G87&lt;Hta_8,$G87&gt;=Hba_8,Input!Z$28&lt;&gt;""),Input!$B$28&amp;";",""),IF(AND($G87&lt;Hta_9,$G87&gt;=Hba_9,Input!Z$29&lt;&gt;""),Input!$B$29&amp;";",""),IF(AND($G87&lt;Hta_10,$G87&gt;=Hba_10,Input!Z$30&lt;&gt;""),Input!$B$30&amp;";",""),IF(AND($G87&lt;Hta_11,$G87&gt;=Hba_11,Input!Z$31&lt;&gt;""),Input!$B$31&amp;";",""),IF(AND($G87&lt;Hta_12,$G87&gt;=Hba_12,Input!Z$32&lt;&gt;""),Input!$B$32&amp;";",""),IF(AND($G87&lt;Hta_13,$G87&gt;=Hba_13,Input!Z$33&lt;&gt;""),Input!$B$33&amp;";",""),IF(AND($G87&lt;Hta_14,$G87&gt;=Hba_14,Input!Z$34&lt;&gt;""),Input!$B$34&amp;";",""),IF(AND($G87&lt;Hta_15,$G87&gt;=Hba_15,Input!Z$35&lt;&gt;""),Input!$B$35&amp;";",""),IF(AND($G87&lt;Hta_16,$G87&gt;=Hba_16,Input!Z$36&lt;&gt;""),Input!$B$36&amp;";",""),IF(AND($G87&lt;Hta_17,$G87&gt;=Hba_17,Input!Z$37&lt;&gt;""),Input!$B$37&amp;";",""),IF(AND($G87&lt;Hta_18,$G87&gt;=Hba_18,Input!Z$38&lt;&gt;""),Input!$B$38&amp;";",""),IF(AND($G87&lt;Hta_19,$G87&gt;=Hba_19,Input!Z$39&lt;&gt;""),Input!$B$39&amp;";",""),IF(AND($G87&lt;Hta_20,$G87&gt;=Hba_20,Input!Z$40&lt;&gt;""),Input!$B$40&amp;";",""),IF(AND($G87&lt;Hta_21,$G87&gt;=Hba_21,Input!Z$41&lt;&gt;""),Input!$B$41&amp;";",""),IF(AND($G87&lt;Hta_22,$G87&gt;=Hba_22,Input!Z$42&lt;&gt;""),Input!$B$42&amp;";",""),IF(AND($G87&lt;Hta_23,$G87&gt;=Hba_23,Input!Z$43&lt;&gt;""),Input!$B$43&amp;";",""),IF(AND($G87&lt;Hta_24,$G87&gt;=Hba_24,Input!Z$44&lt;&gt;""),Input!$B$44&amp;";",""),IF(AND($G87&lt;Hta_25,$G87&gt;=Hba_25,Input!Z$45&lt;&gt;""),Input!$B$45&amp;";",""),IF(AND($G87&lt;Hta_26,$G87&gt;=Hba_26,Input!Z$46&lt;&gt;""),Input!$B$46&amp;";",""),IF(AND($G87&lt;Hta_27,$G87&gt;=Hba_27,Input!Z$47&lt;&gt;""),Input!$B$47&amp;";",""),IF(AND($G87&lt;Hta_28,$G87&gt;=Hba_28,Input!Z$48&lt;&gt;""),Input!$B$48&amp;";",""),IF(AND($G87&lt;Hta_29,$G87&gt;=Hba_29,Input!Z$49&lt;&gt;""),Input!$B$49&amp;";",""),IF(AND($G87&lt;Hta_30,$G87&gt;=Hba_30,Input!Z$50&lt;&gt;""),Input!$B$50&amp;";","")),"")</f>
        <v/>
      </c>
      <c r="CB87" s="25" t="str">
        <f>IFERROR(CONCATENATE(IF(AND($G87&lt;Hta_1,$G87&gt;=Hba_1,Input!AA$21&lt;&gt;""),Input!$B$21&amp;";",""),IF(AND($G87&lt;Hta_2,$G87&gt;=Hba_2,Input!AA$22&lt;&gt;""),Input!$B$22&amp;";",""),IF(AND($G87&lt;Hta_3,$G87&gt;=Hba_3,Input!AA$23&lt;&gt;""),Input!$B$23&amp;";",""),IF(AND($G87&lt;Hta_4,$G87&gt;=Hba_4,Input!AA$24&lt;&gt;""),Input!$B$24&amp;";",""),IF(AND($G87&lt;Hta_5,$G87&gt;=Hba_5,Input!AA$25&lt;&gt;""),Input!$B$25&amp;";",""),IF(AND($G87&lt;Hta_6,$G87&gt;=Hba_6,Input!AA$26&lt;&gt;""),Input!$B$26&amp;";",""),IF(AND($G87&lt;Hta_7,$G87&gt;=Hba_7,Input!AA$27&lt;&gt;""),Input!$B$27&amp;";",""),IF(AND($G87&lt;Hta_8,$G87&gt;=Hba_8,Input!AA$28&lt;&gt;""),Input!$B$28&amp;";",""),IF(AND($G87&lt;Hta_9,$G87&gt;=Hba_9,Input!AA$29&lt;&gt;""),Input!$B$29&amp;";",""),IF(AND($G87&lt;Hta_10,$G87&gt;=Hba_10,Input!AA$30&lt;&gt;""),Input!$B$30&amp;";",""),IF(AND($G87&lt;Hta_11,$G87&gt;=Hba_11,Input!AA$31&lt;&gt;""),Input!$B$31&amp;";",""),IF(AND($G87&lt;Hta_12,$G87&gt;=Hba_12,Input!AA$32&lt;&gt;""),Input!$B$32&amp;";",""),IF(AND($G87&lt;Hta_13,$G87&gt;=Hba_13,Input!AA$33&lt;&gt;""),Input!$B$33&amp;";",""),IF(AND($G87&lt;Hta_14,$G87&gt;=Hba_14,Input!AA$34&lt;&gt;""),Input!$B$34&amp;";",""),IF(AND($G87&lt;Hta_15,$G87&gt;=Hba_15,Input!AA$35&lt;&gt;""),Input!$B$35&amp;";",""),IF(AND($G87&lt;Hta_16,$G87&gt;=Hba_16,Input!AA$36&lt;&gt;""),Input!$B$36&amp;";",""),IF(AND($G87&lt;Hta_17,$G87&gt;=Hba_17,Input!AA$37&lt;&gt;""),Input!$B$37&amp;";",""),IF(AND($G87&lt;Hta_18,$G87&gt;=Hba_18,Input!AA$38&lt;&gt;""),Input!$B$38&amp;";",""),IF(AND($G87&lt;Hta_19,$G87&gt;=Hba_19,Input!AA$39&lt;&gt;""),Input!$B$39&amp;";",""),IF(AND($G87&lt;Hta_20,$G87&gt;=Hba_20,Input!AA$40&lt;&gt;""),Input!$B$40&amp;";",""),IF(AND($G87&lt;Hta_21,$G87&gt;=Hba_21,Input!AA$41&lt;&gt;""),Input!$B$41&amp;";",""),IF(AND($G87&lt;Hta_22,$G87&gt;=Hba_22,Input!AA$42&lt;&gt;""),Input!$B$42&amp;";",""),IF(AND($G87&lt;Hta_23,$G87&gt;=Hba_23,Input!AA$43&lt;&gt;""),Input!$B$43&amp;";",""),IF(AND($G87&lt;Hta_24,$G87&gt;=Hba_24,Input!AA$44&lt;&gt;""),Input!$B$44&amp;";",""),IF(AND($G87&lt;Hta_25,$G87&gt;=Hba_25,Input!AA$45&lt;&gt;""),Input!$B$45&amp;";",""),IF(AND($G87&lt;Hta_26,$G87&gt;=Hba_26,Input!AA$46&lt;&gt;""),Input!$B$46&amp;";",""),IF(AND($G87&lt;Hta_27,$G87&gt;=Hba_27,Input!AA$47&lt;&gt;""),Input!$B$47&amp;";",""),IF(AND($G87&lt;Hta_28,$G87&gt;=Hba_28,Input!AA$48&lt;&gt;""),Input!$B$48&amp;";",""),IF(AND($G87&lt;Hta_29,$G87&gt;=Hba_29,Input!AA$49&lt;&gt;""),Input!$B$49&amp;";",""),IF(AND($G87&lt;Hta_30,$G87&gt;=Hba_30,Input!AA$50&lt;&gt;""),Input!$B$50&amp;";","")),"")</f>
        <v/>
      </c>
      <c r="CC87" s="25" t="str">
        <f>IFERROR(CONCATENATE(IF(AND($G87&lt;Hta_1,$G87&gt;=Hba_1,Input!AB$21&lt;&gt;""),Input!$B$21&amp;";",""),IF(AND($G87&lt;Hta_2,$G87&gt;=Hba_2,Input!AB$22&lt;&gt;""),Input!$B$22&amp;";",""),IF(AND($G87&lt;Hta_3,$G87&gt;=Hba_3,Input!AB$23&lt;&gt;""),Input!$B$23&amp;";",""),IF(AND($G87&lt;Hta_4,$G87&gt;=Hba_4,Input!AB$24&lt;&gt;""),Input!$B$24&amp;";",""),IF(AND($G87&lt;Hta_5,$G87&gt;=Hba_5,Input!AB$25&lt;&gt;""),Input!$B$25&amp;";",""),IF(AND($G87&lt;Hta_6,$G87&gt;=Hba_6,Input!AB$26&lt;&gt;""),Input!$B$26&amp;";",""),IF(AND($G87&lt;Hta_7,$G87&gt;=Hba_7,Input!AB$27&lt;&gt;""),Input!$B$27&amp;";",""),IF(AND($G87&lt;Hta_8,$G87&gt;=Hba_8,Input!AB$28&lt;&gt;""),Input!$B$28&amp;";",""),IF(AND($G87&lt;Hta_9,$G87&gt;=Hba_9,Input!AB$29&lt;&gt;""),Input!$B$29&amp;";",""),IF(AND($G87&lt;Hta_10,$G87&gt;=Hba_10,Input!AB$30&lt;&gt;""),Input!$B$30&amp;";",""),IF(AND($G87&lt;Hta_11,$G87&gt;=Hba_11,Input!AB$31&lt;&gt;""),Input!$B$31&amp;";",""),IF(AND($G87&lt;Hta_12,$G87&gt;=Hba_12,Input!AB$32&lt;&gt;""),Input!$B$32&amp;";",""),IF(AND($G87&lt;Hta_13,$G87&gt;=Hba_13,Input!AB$33&lt;&gt;""),Input!$B$33&amp;";",""),IF(AND($G87&lt;Hta_14,$G87&gt;=Hba_14,Input!AB$34&lt;&gt;""),Input!$B$34&amp;";",""),IF(AND($G87&lt;Hta_15,$G87&gt;=Hba_15,Input!AB$35&lt;&gt;""),Input!$B$35&amp;";",""),IF(AND($G87&lt;Hta_16,$G87&gt;=Hba_16,Input!AB$36&lt;&gt;""),Input!$B$36&amp;";",""),IF(AND($G87&lt;Hta_17,$G87&gt;=Hba_17,Input!AB$37&lt;&gt;""),Input!$B$37&amp;";",""),IF(AND($G87&lt;Hta_18,$G87&gt;=Hba_18,Input!AB$38&lt;&gt;""),Input!$B$38&amp;";",""),IF(AND($G87&lt;Hta_19,$G87&gt;=Hba_19,Input!AB$39&lt;&gt;""),Input!$B$39&amp;";",""),IF(AND($G87&lt;Hta_20,$G87&gt;=Hba_20,Input!AB$40&lt;&gt;""),Input!$B$40&amp;";",""),IF(AND($G87&lt;Hta_21,$G87&gt;=Hba_21,Input!AB$41&lt;&gt;""),Input!$B$41&amp;";",""),IF(AND($G87&lt;Hta_22,$G87&gt;=Hba_22,Input!AB$42&lt;&gt;""),Input!$B$42&amp;";",""),IF(AND($G87&lt;Hta_23,$G87&gt;=Hba_23,Input!AB$43&lt;&gt;""),Input!$B$43&amp;";",""),IF(AND($G87&lt;Hta_24,$G87&gt;=Hba_24,Input!AB$44&lt;&gt;""),Input!$B$44&amp;";",""),IF(AND($G87&lt;Hta_25,$G87&gt;=Hba_25,Input!AB$45&lt;&gt;""),Input!$B$45&amp;";",""),IF(AND($G87&lt;Hta_26,$G87&gt;=Hba_26,Input!AB$46&lt;&gt;""),Input!$B$46&amp;";",""),IF(AND($G87&lt;Hta_27,$G87&gt;=Hba_27,Input!AB$47&lt;&gt;""),Input!$B$47&amp;";",""),IF(AND($G87&lt;Hta_28,$G87&gt;=Hba_28,Input!AB$48&lt;&gt;""),Input!$B$48&amp;";",""),IF(AND($G87&lt;Hta_29,$G87&gt;=Hba_29,Input!AB$49&lt;&gt;""),Input!$B$49&amp;";",""),IF(AND($G87&lt;Hta_30,$G87&gt;=Hba_30,Input!AB$50&lt;&gt;""),Input!$B$50&amp;";","")),"")</f>
        <v/>
      </c>
      <c r="CD87" s="25" t="str">
        <f>IFERROR(CONCATENATE(IF(AND($G87&lt;Hta_1,$G87&gt;=Hba_1,Input!AC$21&lt;&gt;""),Input!$B$21&amp;";",""),IF(AND($G87&lt;Hta_2,$G87&gt;=Hba_2,Input!AC$22&lt;&gt;""),Input!$B$22&amp;";",""),IF(AND($G87&lt;Hta_3,$G87&gt;=Hba_3,Input!AC$23&lt;&gt;""),Input!$B$23&amp;";",""),IF(AND($G87&lt;Hta_4,$G87&gt;=Hba_4,Input!AC$24&lt;&gt;""),Input!$B$24&amp;";",""),IF(AND($G87&lt;Hta_5,$G87&gt;=Hba_5,Input!AC$25&lt;&gt;""),Input!$B$25&amp;";",""),IF(AND($G87&lt;Hta_6,$G87&gt;=Hba_6,Input!AC$26&lt;&gt;""),Input!$B$26&amp;";",""),IF(AND($G87&lt;Hta_7,$G87&gt;=Hba_7,Input!AC$27&lt;&gt;""),Input!$B$27&amp;";",""),IF(AND($G87&lt;Hta_8,$G87&gt;=Hba_8,Input!AC$28&lt;&gt;""),Input!$B$28&amp;";",""),IF(AND($G87&lt;Hta_9,$G87&gt;=Hba_9,Input!AC$29&lt;&gt;""),Input!$B$29&amp;";",""),IF(AND($G87&lt;Hta_10,$G87&gt;=Hba_10,Input!AC$30&lt;&gt;""),Input!$B$30&amp;";",""),IF(AND($G87&lt;Hta_11,$G87&gt;=Hba_11,Input!AC$31&lt;&gt;""),Input!$B$31&amp;";",""),IF(AND($G87&lt;Hta_12,$G87&gt;=Hba_12,Input!AC$32&lt;&gt;""),Input!$B$32&amp;";",""),IF(AND($G87&lt;Hta_13,$G87&gt;=Hba_13,Input!AC$33&lt;&gt;""),Input!$B$33&amp;";",""),IF(AND($G87&lt;Hta_14,$G87&gt;=Hba_14,Input!AC$34&lt;&gt;""),Input!$B$34&amp;";",""),IF(AND($G87&lt;Hta_15,$G87&gt;=Hba_15,Input!AC$35&lt;&gt;""),Input!$B$35&amp;";",""),IF(AND($G87&lt;Hta_16,$G87&gt;=Hba_16,Input!AC$36&lt;&gt;""),Input!$B$36&amp;";",""),IF(AND($G87&lt;Hta_17,$G87&gt;=Hba_17,Input!AC$37&lt;&gt;""),Input!$B$37&amp;";",""),IF(AND($G87&lt;Hta_18,$G87&gt;=Hba_18,Input!AC$38&lt;&gt;""),Input!$B$38&amp;";",""),IF(AND($G87&lt;Hta_19,$G87&gt;=Hba_19,Input!AC$39&lt;&gt;""),Input!$B$39&amp;";",""),IF(AND($G87&lt;Hta_20,$G87&gt;=Hba_20,Input!AC$40&lt;&gt;""),Input!$B$40&amp;";",""),IF(AND($G87&lt;Hta_21,$G87&gt;=Hba_21,Input!AC$41&lt;&gt;""),Input!$B$41&amp;";",""),IF(AND($G87&lt;Hta_22,$G87&gt;=Hba_22,Input!AC$42&lt;&gt;""),Input!$B$42&amp;";",""),IF(AND($G87&lt;Hta_23,$G87&gt;=Hba_23,Input!AC$43&lt;&gt;""),Input!$B$43&amp;";",""),IF(AND($G87&lt;Hta_24,$G87&gt;=Hba_24,Input!AC$44&lt;&gt;""),Input!$B$44&amp;";",""),IF(AND($G87&lt;Hta_25,$G87&gt;=Hba_25,Input!AC$45&lt;&gt;""),Input!$B$45&amp;";",""),IF(AND($G87&lt;Hta_26,$G87&gt;=Hba_26,Input!AC$46&lt;&gt;""),Input!$B$46&amp;";",""),IF(AND($G87&lt;Hta_27,$G87&gt;=Hba_27,Input!AC$47&lt;&gt;""),Input!$B$47&amp;";",""),IF(AND($G87&lt;Hta_28,$G87&gt;=Hba_28,Input!AC$48&lt;&gt;""),Input!$B$48&amp;";",""),IF(AND($G87&lt;Hta_29,$G87&gt;=Hba_29,Input!AC$49&lt;&gt;""),Input!$B$49&amp;";",""),IF(AND($G87&lt;Hta_30,$G87&gt;=Hba_30,Input!AC$50&lt;&gt;""),Input!$B$50&amp;";","")),"")</f>
        <v/>
      </c>
      <c r="CE87" s="25" t="str">
        <f>IFERROR(CONCATENATE(IF(AND($G87&lt;Hta_1,$G87&gt;=Hba_1,Input!AD$21&lt;&gt;""),Input!$B$21&amp;";",""),IF(AND($G87&lt;Hta_2,$G87&gt;=Hba_2,Input!AD$22&lt;&gt;""),Input!$B$22&amp;";",""),IF(AND($G87&lt;Hta_3,$G87&gt;=Hba_3,Input!AD$23&lt;&gt;""),Input!$B$23&amp;";",""),IF(AND($G87&lt;Hta_4,$G87&gt;=Hba_4,Input!AD$24&lt;&gt;""),Input!$B$24&amp;";",""),IF(AND($G87&lt;Hta_5,$G87&gt;=Hba_5,Input!AD$25&lt;&gt;""),Input!$B$25&amp;";",""),IF(AND($G87&lt;Hta_6,$G87&gt;=Hba_6,Input!AD$26&lt;&gt;""),Input!$B$26&amp;";",""),IF(AND($G87&lt;Hta_7,$G87&gt;=Hba_7,Input!AD$27&lt;&gt;""),Input!$B$27&amp;";",""),IF(AND($G87&lt;Hta_8,$G87&gt;=Hba_8,Input!AD$28&lt;&gt;""),Input!$B$28&amp;";",""),IF(AND($G87&lt;Hta_9,$G87&gt;=Hba_9,Input!AD$29&lt;&gt;""),Input!$B$29&amp;";",""),IF(AND($G87&lt;Hta_10,$G87&gt;=Hba_10,Input!AD$30&lt;&gt;""),Input!$B$30&amp;";",""),IF(AND($G87&lt;Hta_11,$G87&gt;=Hba_11,Input!AD$31&lt;&gt;""),Input!$B$31&amp;";",""),IF(AND($G87&lt;Hta_12,$G87&gt;=Hba_12,Input!AD$32&lt;&gt;""),Input!$B$32&amp;";",""),IF(AND($G87&lt;Hta_13,$G87&gt;=Hba_13,Input!AD$33&lt;&gt;""),Input!$B$33&amp;";",""),IF(AND($G87&lt;Hta_14,$G87&gt;=Hba_14,Input!AD$34&lt;&gt;""),Input!$B$34&amp;";",""),IF(AND($G87&lt;Hta_15,$G87&gt;=Hba_15,Input!AD$35&lt;&gt;""),Input!$B$35&amp;";",""),IF(AND($G87&lt;Hta_16,$G87&gt;=Hba_16,Input!AD$36&lt;&gt;""),Input!$B$36&amp;";",""),IF(AND($G87&lt;Hta_17,$G87&gt;=Hba_17,Input!AD$37&lt;&gt;""),Input!$B$37&amp;";",""),IF(AND($G87&lt;Hta_18,$G87&gt;=Hba_18,Input!AD$38&lt;&gt;""),Input!$B$38&amp;";",""),IF(AND($G87&lt;Hta_19,$G87&gt;=Hba_19,Input!AD$39&lt;&gt;""),Input!$B$39&amp;";",""),IF(AND($G87&lt;Hta_20,$G87&gt;=Hba_20,Input!AD$40&lt;&gt;""),Input!$B$40&amp;";",""),IF(AND($G87&lt;Hta_21,$G87&gt;=Hba_21,Input!AD$41&lt;&gt;""),Input!$B$41&amp;";",""),IF(AND($G87&lt;Hta_22,$G87&gt;=Hba_22,Input!AD$42&lt;&gt;""),Input!$B$42&amp;";",""),IF(AND($G87&lt;Hta_23,$G87&gt;=Hba_23,Input!AD$43&lt;&gt;""),Input!$B$43&amp;";",""),IF(AND($G87&lt;Hta_24,$G87&gt;=Hba_24,Input!AD$44&lt;&gt;""),Input!$B$44&amp;";",""),IF(AND($G87&lt;Hta_25,$G87&gt;=Hba_25,Input!AD$45&lt;&gt;""),Input!$B$45&amp;";",""),IF(AND($G87&lt;Hta_26,$G87&gt;=Hba_26,Input!AD$46&lt;&gt;""),Input!$B$46&amp;";",""),IF(AND($G87&lt;Hta_27,$G87&gt;=Hba_27,Input!AD$47&lt;&gt;""),Input!$B$47&amp;";",""),IF(AND($G87&lt;Hta_28,$G87&gt;=Hba_28,Input!AD$48&lt;&gt;""),Input!$B$48&amp;";",""),IF(AND($G87&lt;Hta_29,$G87&gt;=Hba_29,Input!AD$49&lt;&gt;""),Input!$B$49&amp;";",""),IF(AND($G87&lt;Hta_30,$G87&gt;=Hba_30,Input!AD$50&lt;&gt;""),Input!$B$50&amp;";","")),"")</f>
        <v/>
      </c>
      <c r="CF87" s="25" t="str">
        <f>IFERROR(CONCATENATE(IF(AND($G87&lt;Hta_1,$G87&gt;=Hba_1,Input!AE$21&lt;&gt;""),Input!$B$21&amp;";",""),IF(AND($G87&lt;Hta_2,$G87&gt;=Hba_2,Input!AE$22&lt;&gt;""),Input!$B$22&amp;";",""),IF(AND($G87&lt;Hta_3,$G87&gt;=Hba_3,Input!AE$23&lt;&gt;""),Input!$B$23&amp;";",""),IF(AND($G87&lt;Hta_4,$G87&gt;=Hba_4,Input!AE$24&lt;&gt;""),Input!$B$24&amp;";",""),IF(AND($G87&lt;Hta_5,$G87&gt;=Hba_5,Input!AE$25&lt;&gt;""),Input!$B$25&amp;";",""),IF(AND($G87&lt;Hta_6,$G87&gt;=Hba_6,Input!AE$26&lt;&gt;""),Input!$B$26&amp;";",""),IF(AND($G87&lt;Hta_7,$G87&gt;=Hba_7,Input!AE$27&lt;&gt;""),Input!$B$27&amp;";",""),IF(AND($G87&lt;Hta_8,$G87&gt;=Hba_8,Input!AE$28&lt;&gt;""),Input!$B$28&amp;";",""),IF(AND($G87&lt;Hta_9,$G87&gt;=Hba_9,Input!AE$29&lt;&gt;""),Input!$B$29&amp;";",""),IF(AND($G87&lt;Hta_10,$G87&gt;=Hba_10,Input!AE$30&lt;&gt;""),Input!$B$30&amp;";",""),IF(AND($G87&lt;Hta_11,$G87&gt;=Hba_11,Input!AE$31&lt;&gt;""),Input!$B$31&amp;";",""),IF(AND($G87&lt;Hta_12,$G87&gt;=Hba_12,Input!AE$32&lt;&gt;""),Input!$B$32&amp;";",""),IF(AND($G87&lt;Hta_13,$G87&gt;=Hba_13,Input!AE$33&lt;&gt;""),Input!$B$33&amp;";",""),IF(AND($G87&lt;Hta_14,$G87&gt;=Hba_14,Input!AE$34&lt;&gt;""),Input!$B$34&amp;";",""),IF(AND($G87&lt;Hta_15,$G87&gt;=Hba_15,Input!AE$35&lt;&gt;""),Input!$B$35&amp;";",""),IF(AND($G87&lt;Hta_16,$G87&gt;=Hba_16,Input!AE$36&lt;&gt;""),Input!$B$36&amp;";",""),IF(AND($G87&lt;Hta_17,$G87&gt;=Hba_17,Input!AE$37&lt;&gt;""),Input!$B$37&amp;";",""),IF(AND($G87&lt;Hta_18,$G87&gt;=Hba_18,Input!AE$38&lt;&gt;""),Input!$B$38&amp;";",""),IF(AND($G87&lt;Hta_19,$G87&gt;=Hba_19,Input!AE$39&lt;&gt;""),Input!$B$39&amp;";",""),IF(AND($G87&lt;Hta_20,$G87&gt;=Hba_20,Input!AE$40&lt;&gt;""),Input!$B$40&amp;";",""),IF(AND($G87&lt;Hta_21,$G87&gt;=Hba_21,Input!AE$41&lt;&gt;""),Input!$B$41&amp;";",""),IF(AND($G87&lt;Hta_22,$G87&gt;=Hba_22,Input!AE$42&lt;&gt;""),Input!$B$42&amp;";",""),IF(AND($G87&lt;Hta_23,$G87&gt;=Hba_23,Input!AE$43&lt;&gt;""),Input!$B$43&amp;";",""),IF(AND($G87&lt;Hta_24,$G87&gt;=Hba_24,Input!AE$44&lt;&gt;""),Input!$B$44&amp;";",""),IF(AND($G87&lt;Hta_25,$G87&gt;=Hba_25,Input!AE$45&lt;&gt;""),Input!$B$45&amp;";",""),IF(AND($G87&lt;Hta_26,$G87&gt;=Hba_26,Input!AE$46&lt;&gt;""),Input!$B$46&amp;";",""),IF(AND($G87&lt;Hta_27,$G87&gt;=Hba_27,Input!AE$47&lt;&gt;""),Input!$B$47&amp;";",""),IF(AND($G87&lt;Hta_28,$G87&gt;=Hba_28,Input!AE$48&lt;&gt;""),Input!$B$48&amp;";",""),IF(AND($G87&lt;Hta_29,$G87&gt;=Hba_29,Input!AE$49&lt;&gt;""),Input!$B$49&amp;";",""),IF(AND($G87&lt;Hta_30,$G87&gt;=Hba_30,Input!AE$50&lt;&gt;""),Input!$B$50&amp;";","")),"")</f>
        <v/>
      </c>
      <c r="CG87" s="25" t="str">
        <f>IFERROR(CONCATENATE(IF(AND($G87&lt;Hta_1,$G87&gt;=Hba_1,Input!AF$21&lt;&gt;""),Input!$B$21&amp;";",""),IF(AND($G87&lt;Hta_2,$G87&gt;=Hba_2,Input!AF$22&lt;&gt;""),Input!$B$22&amp;";",""),IF(AND($G87&lt;Hta_3,$G87&gt;=Hba_3,Input!AF$23&lt;&gt;""),Input!$B$23&amp;";",""),IF(AND($G87&lt;Hta_4,$G87&gt;=Hba_4,Input!AF$24&lt;&gt;""),Input!$B$24&amp;";",""),IF(AND($G87&lt;Hta_5,$G87&gt;=Hba_5,Input!AF$25&lt;&gt;""),Input!$B$25&amp;";",""),IF(AND($G87&lt;Hta_6,$G87&gt;=Hba_6,Input!AF$26&lt;&gt;""),Input!$B$26&amp;";",""),IF(AND($G87&lt;Hta_7,$G87&gt;=Hba_7,Input!AF$27&lt;&gt;""),Input!$B$27&amp;";",""),IF(AND($G87&lt;Hta_8,$G87&gt;=Hba_8,Input!AF$28&lt;&gt;""),Input!$B$28&amp;";",""),IF(AND($G87&lt;Hta_9,$G87&gt;=Hba_9,Input!AF$29&lt;&gt;""),Input!$B$29&amp;";",""),IF(AND($G87&lt;Hta_10,$G87&gt;=Hba_10,Input!AF$30&lt;&gt;""),Input!$B$30&amp;";",""),IF(AND($G87&lt;Hta_11,$G87&gt;=Hba_11,Input!AF$31&lt;&gt;""),Input!$B$31&amp;";",""),IF(AND($G87&lt;Hta_12,$G87&gt;=Hba_12,Input!AF$32&lt;&gt;""),Input!$B$32&amp;";",""),IF(AND($G87&lt;Hta_13,$G87&gt;=Hba_13,Input!AF$33&lt;&gt;""),Input!$B$33&amp;";",""),IF(AND($G87&lt;Hta_14,$G87&gt;=Hba_14,Input!AF$34&lt;&gt;""),Input!$B$34&amp;";",""),IF(AND($G87&lt;Hta_15,$G87&gt;=Hba_15,Input!AF$35&lt;&gt;""),Input!$B$35&amp;";",""),IF(AND($G87&lt;Hta_16,$G87&gt;=Hba_16,Input!AF$36&lt;&gt;""),Input!$B$36&amp;";",""),IF(AND($G87&lt;Hta_17,$G87&gt;=Hba_17,Input!AF$37&lt;&gt;""),Input!$B$37&amp;";",""),IF(AND($G87&lt;Hta_18,$G87&gt;=Hba_18,Input!AF$38&lt;&gt;""),Input!$B$38&amp;";",""),IF(AND($G87&lt;Hta_19,$G87&gt;=Hba_19,Input!AF$39&lt;&gt;""),Input!$B$39&amp;";",""),IF(AND($G87&lt;Hta_20,$G87&gt;=Hba_20,Input!AF$40&lt;&gt;""),Input!$B$40&amp;";",""),IF(AND($G87&lt;Hta_21,$G87&gt;=Hba_21,Input!AF$41&lt;&gt;""),Input!$B$41&amp;";",""),IF(AND($G87&lt;Hta_22,$G87&gt;=Hba_22,Input!AF$42&lt;&gt;""),Input!$B$42&amp;";",""),IF(AND($G87&lt;Hta_23,$G87&gt;=Hba_23,Input!AF$43&lt;&gt;""),Input!$B$43&amp;";",""),IF(AND($G87&lt;Hta_24,$G87&gt;=Hba_24,Input!AF$44&lt;&gt;""),Input!$B$44&amp;";",""),IF(AND($G87&lt;Hta_25,$G87&gt;=Hba_25,Input!AF$45&lt;&gt;""),Input!$B$45&amp;";",""),IF(AND($G87&lt;Hta_26,$G87&gt;=Hba_26,Input!AF$46&lt;&gt;""),Input!$B$46&amp;";",""),IF(AND($G87&lt;Hta_27,$G87&gt;=Hba_27,Input!AF$47&lt;&gt;""),Input!$B$47&amp;";",""),IF(AND($G87&lt;Hta_28,$G87&gt;=Hba_28,Input!AF$48&lt;&gt;""),Input!$B$48&amp;";",""),IF(AND($G87&lt;Hta_29,$G87&gt;=Hba_29,Input!AF$49&lt;&gt;""),Input!$B$49&amp;";",""),IF(AND($G87&lt;Hta_30,$G87&gt;=Hba_30,Input!AF$50&lt;&gt;""),Input!$B$50&amp;";","")),"")</f>
        <v/>
      </c>
      <c r="CH87" s="25" t="str">
        <f>IFERROR(CONCATENATE(IF(AND($G87&lt;Hta_1,$G87&gt;=Hba_1,Input!AG$21&lt;&gt;""),Input!$B$21&amp;";",""),IF(AND($G87&lt;Hta_2,$G87&gt;=Hba_2,Input!AG$22&lt;&gt;""),Input!$B$22&amp;";",""),IF(AND($G87&lt;Hta_3,$G87&gt;=Hba_3,Input!AG$23&lt;&gt;""),Input!$B$23&amp;";",""),IF(AND($G87&lt;Hta_4,$G87&gt;=Hba_4,Input!AG$24&lt;&gt;""),Input!$B$24&amp;";",""),IF(AND($G87&lt;Hta_5,$G87&gt;=Hba_5,Input!AG$25&lt;&gt;""),Input!$B$25&amp;";",""),IF(AND($G87&lt;Hta_6,$G87&gt;=Hba_6,Input!AG$26&lt;&gt;""),Input!$B$26&amp;";",""),IF(AND($G87&lt;Hta_7,$G87&gt;=Hba_7,Input!AG$27&lt;&gt;""),Input!$B$27&amp;";",""),IF(AND($G87&lt;Hta_8,$G87&gt;=Hba_8,Input!AG$28&lt;&gt;""),Input!$B$28&amp;";",""),IF(AND($G87&lt;Hta_9,$G87&gt;=Hba_9,Input!AG$29&lt;&gt;""),Input!$B$29&amp;";",""),IF(AND($G87&lt;Hta_10,$G87&gt;=Hba_10,Input!AG$30&lt;&gt;""),Input!$B$30&amp;";",""),IF(AND($G87&lt;Hta_11,$G87&gt;=Hba_11,Input!AG$31&lt;&gt;""),Input!$B$31&amp;";",""),IF(AND($G87&lt;Hta_12,$G87&gt;=Hba_12,Input!AG$32&lt;&gt;""),Input!$B$32&amp;";",""),IF(AND($G87&lt;Hta_13,$G87&gt;=Hba_13,Input!AG$33&lt;&gt;""),Input!$B$33&amp;";",""),IF(AND($G87&lt;Hta_14,$G87&gt;=Hba_14,Input!AG$34&lt;&gt;""),Input!$B$34&amp;";",""),IF(AND($G87&lt;Hta_15,$G87&gt;=Hba_15,Input!AG$35&lt;&gt;""),Input!$B$35&amp;";",""),IF(AND($G87&lt;Hta_16,$G87&gt;=Hba_16,Input!AG$36&lt;&gt;""),Input!$B$36&amp;";",""),IF(AND($G87&lt;Hta_17,$G87&gt;=Hba_17,Input!AG$37&lt;&gt;""),Input!$B$37&amp;";",""),IF(AND($G87&lt;Hta_18,$G87&gt;=Hba_18,Input!AG$38&lt;&gt;""),Input!$B$38&amp;";",""),IF(AND($G87&lt;Hta_19,$G87&gt;=Hba_19,Input!AG$39&lt;&gt;""),Input!$B$39&amp;";",""),IF(AND($G87&lt;Hta_20,$G87&gt;=Hba_20,Input!AG$40&lt;&gt;""),Input!$B$40&amp;";",""),IF(AND($G87&lt;Hta_21,$G87&gt;=Hba_21,Input!AG$41&lt;&gt;""),Input!$B$41&amp;";",""),IF(AND($G87&lt;Hta_22,$G87&gt;=Hba_22,Input!AG$42&lt;&gt;""),Input!$B$42&amp;";",""),IF(AND($G87&lt;Hta_23,$G87&gt;=Hba_23,Input!AG$43&lt;&gt;""),Input!$B$43&amp;";",""),IF(AND($G87&lt;Hta_24,$G87&gt;=Hba_24,Input!AG$44&lt;&gt;""),Input!$B$44&amp;";",""),IF(AND($G87&lt;Hta_25,$G87&gt;=Hba_25,Input!AG$45&lt;&gt;""),Input!$B$45&amp;";",""),IF(AND($G87&lt;Hta_26,$G87&gt;=Hba_26,Input!AG$46&lt;&gt;""),Input!$B$46&amp;";",""),IF(AND($G87&lt;Hta_27,$G87&gt;=Hba_27,Input!AG$47&lt;&gt;""),Input!$B$47&amp;";",""),IF(AND($G87&lt;Hta_28,$G87&gt;=Hba_28,Input!AG$48&lt;&gt;""),Input!$B$48&amp;";",""),IF(AND($G87&lt;Hta_29,$G87&gt;=Hba_29,Input!AG$49&lt;&gt;""),Input!$B$49&amp;";",""),IF(AND($G87&lt;Hta_30,$G87&gt;=Hba_30,Input!AG$50&lt;&gt;""),Input!$B$50&amp;";","")),"")</f>
        <v/>
      </c>
      <c r="CI87" s="25" t="str">
        <f>IFERROR(CONCATENATE(IF(AND($G87&lt;Hta_1,$G87&gt;=Hba_1,Input!AH$21&lt;&gt;""),Input!$B$21&amp;";",""),IF(AND($G87&lt;Hta_2,$G87&gt;=Hba_2,Input!AH$22&lt;&gt;""),Input!$B$22&amp;";",""),IF(AND($G87&lt;Hta_3,$G87&gt;=Hba_3,Input!AH$23&lt;&gt;""),Input!$B$23&amp;";",""),IF(AND($G87&lt;Hta_4,$G87&gt;=Hba_4,Input!AH$24&lt;&gt;""),Input!$B$24&amp;";",""),IF(AND($G87&lt;Hta_5,$G87&gt;=Hba_5,Input!AH$25&lt;&gt;""),Input!$B$25&amp;";",""),IF(AND($G87&lt;Hta_6,$G87&gt;=Hba_6,Input!AH$26&lt;&gt;""),Input!$B$26&amp;";",""),IF(AND($G87&lt;Hta_7,$G87&gt;=Hba_7,Input!AH$27&lt;&gt;""),Input!$B$27&amp;";",""),IF(AND($G87&lt;Hta_8,$G87&gt;=Hba_8,Input!AH$28&lt;&gt;""),Input!$B$28&amp;";",""),IF(AND($G87&lt;Hta_9,$G87&gt;=Hba_9,Input!AH$29&lt;&gt;""),Input!$B$29&amp;";",""),IF(AND($G87&lt;Hta_10,$G87&gt;=Hba_10,Input!AH$30&lt;&gt;""),Input!$B$30&amp;";",""),IF(AND($G87&lt;Hta_11,$G87&gt;=Hba_11,Input!AH$31&lt;&gt;""),Input!$B$31&amp;";",""),IF(AND($G87&lt;Hta_12,$G87&gt;=Hba_12,Input!AH$32&lt;&gt;""),Input!$B$32&amp;";",""),IF(AND($G87&lt;Hta_13,$G87&gt;=Hba_13,Input!AH$33&lt;&gt;""),Input!$B$33&amp;";",""),IF(AND($G87&lt;Hta_14,$G87&gt;=Hba_14,Input!AH$34&lt;&gt;""),Input!$B$34&amp;";",""),IF(AND($G87&lt;Hta_15,$G87&gt;=Hba_15,Input!AH$35&lt;&gt;""),Input!$B$35&amp;";",""),IF(AND($G87&lt;Hta_16,$G87&gt;=Hba_16,Input!AH$36&lt;&gt;""),Input!$B$36&amp;";",""),IF(AND($G87&lt;Hta_17,$G87&gt;=Hba_17,Input!AH$37&lt;&gt;""),Input!$B$37&amp;";",""),IF(AND($G87&lt;Hta_18,$G87&gt;=Hba_18,Input!AH$38&lt;&gt;""),Input!$B$38&amp;";",""),IF(AND($G87&lt;Hta_19,$G87&gt;=Hba_19,Input!AH$39&lt;&gt;""),Input!$B$39&amp;";",""),IF(AND($G87&lt;Hta_20,$G87&gt;=Hba_20,Input!AH$40&lt;&gt;""),Input!$B$40&amp;";",""),IF(AND($G87&lt;Hta_21,$G87&gt;=Hba_21,Input!AH$41&lt;&gt;""),Input!$B$41&amp;";",""),IF(AND($G87&lt;Hta_22,$G87&gt;=Hba_22,Input!AH$42&lt;&gt;""),Input!$B$42&amp;";",""),IF(AND($G87&lt;Hta_23,$G87&gt;=Hba_23,Input!AH$43&lt;&gt;""),Input!$B$43&amp;";",""),IF(AND($G87&lt;Hta_24,$G87&gt;=Hba_24,Input!AH$44&lt;&gt;""),Input!$B$44&amp;";",""),IF(AND($G87&lt;Hta_25,$G87&gt;=Hba_25,Input!AH$45&lt;&gt;""),Input!$B$45&amp;";",""),IF(AND($G87&lt;Hta_26,$G87&gt;=Hba_26,Input!AH$46&lt;&gt;""),Input!$B$46&amp;";",""),IF(AND($G87&lt;Hta_27,$G87&gt;=Hba_27,Input!AH$47&lt;&gt;""),Input!$B$47&amp;";",""),IF(AND($G87&lt;Hta_28,$G87&gt;=Hba_28,Input!AH$48&lt;&gt;""),Input!$B$48&amp;";",""),IF(AND($G87&lt;Hta_29,$G87&gt;=Hba_29,Input!AH$49&lt;&gt;""),Input!$B$49&amp;";",""),IF(AND($G87&lt;Hta_30,$G87&gt;=Hba_30,Input!AH$50&lt;&gt;""),Input!$B$50&amp;";","")),"")</f>
        <v/>
      </c>
      <c r="CJ87" s="25" t="str">
        <f>IFERROR(CONCATENATE(IF(AND($G87&lt;Hta_1,$G87&gt;=Hba_1,Input!AI$21&lt;&gt;""),Input!$B$21&amp;";",""),IF(AND($G87&lt;Hta_2,$G87&gt;=Hba_2,Input!AI$22&lt;&gt;""),Input!$B$22&amp;";",""),IF(AND($G87&lt;Hta_3,$G87&gt;=Hba_3,Input!AI$23&lt;&gt;""),Input!$B$23&amp;";",""),IF(AND($G87&lt;Hta_4,$G87&gt;=Hba_4,Input!AI$24&lt;&gt;""),Input!$B$24&amp;";",""),IF(AND($G87&lt;Hta_5,$G87&gt;=Hba_5,Input!AI$25&lt;&gt;""),Input!$B$25&amp;";",""),IF(AND($G87&lt;Hta_6,$G87&gt;=Hba_6,Input!AI$26&lt;&gt;""),Input!$B$26&amp;";",""),IF(AND($G87&lt;Hta_7,$G87&gt;=Hba_7,Input!AI$27&lt;&gt;""),Input!$B$27&amp;";",""),IF(AND($G87&lt;Hta_8,$G87&gt;=Hba_8,Input!AI$28&lt;&gt;""),Input!$B$28&amp;";",""),IF(AND($G87&lt;Hta_9,$G87&gt;=Hba_9,Input!AI$29&lt;&gt;""),Input!$B$29&amp;";",""),IF(AND($G87&lt;Hta_10,$G87&gt;=Hba_10,Input!AI$30&lt;&gt;""),Input!$B$30&amp;";",""),IF(AND($G87&lt;Hta_11,$G87&gt;=Hba_11,Input!AI$31&lt;&gt;""),Input!$B$31&amp;";",""),IF(AND($G87&lt;Hta_12,$G87&gt;=Hba_12,Input!AI$32&lt;&gt;""),Input!$B$32&amp;";",""),IF(AND($G87&lt;Hta_13,$G87&gt;=Hba_13,Input!AI$33&lt;&gt;""),Input!$B$33&amp;";",""),IF(AND($G87&lt;Hta_14,$G87&gt;=Hba_14,Input!AI$34&lt;&gt;""),Input!$B$34&amp;";",""),IF(AND($G87&lt;Hta_15,$G87&gt;=Hba_15,Input!AI$35&lt;&gt;""),Input!$B$35&amp;";",""),IF(AND($G87&lt;Hta_16,$G87&gt;=Hba_16,Input!AI$36&lt;&gt;""),Input!$B$36&amp;";",""),IF(AND($G87&lt;Hta_17,$G87&gt;=Hba_17,Input!AI$37&lt;&gt;""),Input!$B$37&amp;";",""),IF(AND($G87&lt;Hta_18,$G87&gt;=Hba_18,Input!AI$38&lt;&gt;""),Input!$B$38&amp;";",""),IF(AND($G87&lt;Hta_19,$G87&gt;=Hba_19,Input!AI$39&lt;&gt;""),Input!$B$39&amp;";",""),IF(AND($G87&lt;Hta_20,$G87&gt;=Hba_20,Input!AI$40&lt;&gt;""),Input!$B$40&amp;";",""),IF(AND($G87&lt;Hta_21,$G87&gt;=Hba_21,Input!AI$41&lt;&gt;""),Input!$B$41&amp;";",""),IF(AND($G87&lt;Hta_22,$G87&gt;=Hba_22,Input!AI$42&lt;&gt;""),Input!$B$42&amp;";",""),IF(AND($G87&lt;Hta_23,$G87&gt;=Hba_23,Input!AI$43&lt;&gt;""),Input!$B$43&amp;";",""),IF(AND($G87&lt;Hta_24,$G87&gt;=Hba_24,Input!AI$44&lt;&gt;""),Input!$B$44&amp;";",""),IF(AND($G87&lt;Hta_25,$G87&gt;=Hba_25,Input!AI$45&lt;&gt;""),Input!$B$45&amp;";",""),IF(AND($G87&lt;Hta_26,$G87&gt;=Hba_26,Input!AI$46&lt;&gt;""),Input!$B$46&amp;";",""),IF(AND($G87&lt;Hta_27,$G87&gt;=Hba_27,Input!AI$47&lt;&gt;""),Input!$B$47&amp;";",""),IF(AND($G87&lt;Hta_28,$G87&gt;=Hba_28,Input!AI$48&lt;&gt;""),Input!$B$48&amp;";",""),IF(AND($G87&lt;Hta_29,$G87&gt;=Hba_29,Input!AI$49&lt;&gt;""),Input!$B$49&amp;";",""),IF(AND($G87&lt;Hta_30,$G87&gt;=Hba_30,Input!AI$50&lt;&gt;""),Input!$B$50&amp;";","")),"")</f>
        <v/>
      </c>
      <c r="CK87" s="25" t="str">
        <f>IFERROR(CONCATENATE(IF(AND($G87&lt;Hta_1,$G87&gt;=Hba_1,Input!AJ$21&lt;&gt;""),Input!$B$21&amp;";",""),IF(AND($G87&lt;Hta_2,$G87&gt;=Hba_2,Input!AJ$22&lt;&gt;""),Input!$B$22&amp;";",""),IF(AND($G87&lt;Hta_3,$G87&gt;=Hba_3,Input!AJ$23&lt;&gt;""),Input!$B$23&amp;";",""),IF(AND($G87&lt;Hta_4,$G87&gt;=Hba_4,Input!AJ$24&lt;&gt;""),Input!$B$24&amp;";",""),IF(AND($G87&lt;Hta_5,$G87&gt;=Hba_5,Input!AJ$25&lt;&gt;""),Input!$B$25&amp;";",""),IF(AND($G87&lt;Hta_6,$G87&gt;=Hba_6,Input!AJ$26&lt;&gt;""),Input!$B$26&amp;";",""),IF(AND($G87&lt;Hta_7,$G87&gt;=Hba_7,Input!AJ$27&lt;&gt;""),Input!$B$27&amp;";",""),IF(AND($G87&lt;Hta_8,$G87&gt;=Hba_8,Input!AJ$28&lt;&gt;""),Input!$B$28&amp;";",""),IF(AND($G87&lt;Hta_9,$G87&gt;=Hba_9,Input!AJ$29&lt;&gt;""),Input!$B$29&amp;";",""),IF(AND($G87&lt;Hta_10,$G87&gt;=Hba_10,Input!AJ$30&lt;&gt;""),Input!$B$30&amp;";",""),IF(AND($G87&lt;Hta_11,$G87&gt;=Hba_11,Input!AJ$31&lt;&gt;""),Input!$B$31&amp;";",""),IF(AND($G87&lt;Hta_12,$G87&gt;=Hba_12,Input!AJ$32&lt;&gt;""),Input!$B$32&amp;";",""),IF(AND($G87&lt;Hta_13,$G87&gt;=Hba_13,Input!AJ$33&lt;&gt;""),Input!$B$33&amp;";",""),IF(AND($G87&lt;Hta_14,$G87&gt;=Hba_14,Input!AJ$34&lt;&gt;""),Input!$B$34&amp;";",""),IF(AND($G87&lt;Hta_15,$G87&gt;=Hba_15,Input!AJ$35&lt;&gt;""),Input!$B$35&amp;";",""),IF(AND($G87&lt;Hta_16,$G87&gt;=Hba_16,Input!AJ$36&lt;&gt;""),Input!$B$36&amp;";",""),IF(AND($G87&lt;Hta_17,$G87&gt;=Hba_17,Input!AJ$37&lt;&gt;""),Input!$B$37&amp;";",""),IF(AND($G87&lt;Hta_18,$G87&gt;=Hba_18,Input!AJ$38&lt;&gt;""),Input!$B$38&amp;";",""),IF(AND($G87&lt;Hta_19,$G87&gt;=Hba_19,Input!AJ$39&lt;&gt;""),Input!$B$39&amp;";",""),IF(AND($G87&lt;Hta_20,$G87&gt;=Hba_20,Input!AJ$40&lt;&gt;""),Input!$B$40&amp;";",""),IF(AND($G87&lt;Hta_21,$G87&gt;=Hba_21,Input!AJ$41&lt;&gt;""),Input!$B$41&amp;";",""),IF(AND($G87&lt;Hta_22,$G87&gt;=Hba_22,Input!AJ$42&lt;&gt;""),Input!$B$42&amp;";",""),IF(AND($G87&lt;Hta_23,$G87&gt;=Hba_23,Input!AJ$43&lt;&gt;""),Input!$B$43&amp;";",""),IF(AND($G87&lt;Hta_24,$G87&gt;=Hba_24,Input!AJ$44&lt;&gt;""),Input!$B$44&amp;";",""),IF(AND($G87&lt;Hta_25,$G87&gt;=Hba_25,Input!AJ$45&lt;&gt;""),Input!$B$45&amp;";",""),IF(AND($G87&lt;Hta_26,$G87&gt;=Hba_26,Input!AJ$46&lt;&gt;""),Input!$B$46&amp;";",""),IF(AND($G87&lt;Hta_27,$G87&gt;=Hba_27,Input!AJ$47&lt;&gt;""),Input!$B$47&amp;";",""),IF(AND($G87&lt;Hta_28,$G87&gt;=Hba_28,Input!AJ$48&lt;&gt;""),Input!$B$48&amp;";",""),IF(AND($G87&lt;Hta_29,$G87&gt;=Hba_29,Input!AJ$49&lt;&gt;""),Input!$B$49&amp;";",""),IF(AND($G87&lt;Hta_30,$G87&gt;=Hba_30,Input!AJ$50&lt;&gt;""),Input!$B$50&amp;";","")),"")</f>
        <v/>
      </c>
      <c r="CL87" s="25" t="str">
        <f>IFERROR(CONCATENATE(IF(AND($G87&lt;Hta_1,$G87&gt;=Hba_1,Input!AK$21&lt;&gt;""),Input!$B$21&amp;";",""),IF(AND($G87&lt;Hta_2,$G87&gt;=Hba_2,Input!AK$22&lt;&gt;""),Input!$B$22&amp;";",""),IF(AND($G87&lt;Hta_3,$G87&gt;=Hba_3,Input!AK$23&lt;&gt;""),Input!$B$23&amp;";",""),IF(AND($G87&lt;Hta_4,$G87&gt;=Hba_4,Input!AK$24&lt;&gt;""),Input!$B$24&amp;";",""),IF(AND($G87&lt;Hta_5,$G87&gt;=Hba_5,Input!AK$25&lt;&gt;""),Input!$B$25&amp;";",""),IF(AND($G87&lt;Hta_6,$G87&gt;=Hba_6,Input!AK$26&lt;&gt;""),Input!$B$26&amp;";",""),IF(AND($G87&lt;Hta_7,$G87&gt;=Hba_7,Input!AK$27&lt;&gt;""),Input!$B$27&amp;";",""),IF(AND($G87&lt;Hta_8,$G87&gt;=Hba_8,Input!AK$28&lt;&gt;""),Input!$B$28&amp;";",""),IF(AND($G87&lt;Hta_9,$G87&gt;=Hba_9,Input!AK$29&lt;&gt;""),Input!$B$29&amp;";",""),IF(AND($G87&lt;Hta_10,$G87&gt;=Hba_10,Input!AK$30&lt;&gt;""),Input!$B$30&amp;";",""),IF(AND($G87&lt;Hta_11,$G87&gt;=Hba_11,Input!AK$31&lt;&gt;""),Input!$B$31&amp;";",""),IF(AND($G87&lt;Hta_12,$G87&gt;=Hba_12,Input!AK$32&lt;&gt;""),Input!$B$32&amp;";",""),IF(AND($G87&lt;Hta_13,$G87&gt;=Hba_13,Input!AK$33&lt;&gt;""),Input!$B$33&amp;";",""),IF(AND($G87&lt;Hta_14,$G87&gt;=Hba_14,Input!AK$34&lt;&gt;""),Input!$B$34&amp;";",""),IF(AND($G87&lt;Hta_15,$G87&gt;=Hba_15,Input!AK$35&lt;&gt;""),Input!$B$35&amp;";",""),IF(AND($G87&lt;Hta_16,$G87&gt;=Hba_16,Input!AK$36&lt;&gt;""),Input!$B$36&amp;";",""),IF(AND($G87&lt;Hta_17,$G87&gt;=Hba_17,Input!AK$37&lt;&gt;""),Input!$B$37&amp;";",""),IF(AND($G87&lt;Hta_18,$G87&gt;=Hba_18,Input!AK$38&lt;&gt;""),Input!$B$38&amp;";",""),IF(AND($G87&lt;Hta_19,$G87&gt;=Hba_19,Input!AK$39&lt;&gt;""),Input!$B$39&amp;";",""),IF(AND($G87&lt;Hta_20,$G87&gt;=Hba_20,Input!AK$40&lt;&gt;""),Input!$B$40&amp;";",""),IF(AND($G87&lt;Hta_21,$G87&gt;=Hba_21,Input!AK$41&lt;&gt;""),Input!$B$41&amp;";",""),IF(AND($G87&lt;Hta_22,$G87&gt;=Hba_22,Input!AK$42&lt;&gt;""),Input!$B$42&amp;";",""),IF(AND($G87&lt;Hta_23,$G87&gt;=Hba_23,Input!AK$43&lt;&gt;""),Input!$B$43&amp;";",""),IF(AND($G87&lt;Hta_24,$G87&gt;=Hba_24,Input!AK$44&lt;&gt;""),Input!$B$44&amp;";",""),IF(AND($G87&lt;Hta_25,$G87&gt;=Hba_25,Input!AK$45&lt;&gt;""),Input!$B$45&amp;";",""),IF(AND($G87&lt;Hta_26,$G87&gt;=Hba_26,Input!AK$46&lt;&gt;""),Input!$B$46&amp;";",""),IF(AND($G87&lt;Hta_27,$G87&gt;=Hba_27,Input!AK$47&lt;&gt;""),Input!$B$47&amp;";",""),IF(AND($G87&lt;Hta_28,$G87&gt;=Hba_28,Input!AK$48&lt;&gt;""),Input!$B$48&amp;";",""),IF(AND($G87&lt;Hta_29,$G87&gt;=Hba_29,Input!AK$49&lt;&gt;""),Input!$B$49&amp;";",""),IF(AND($G87&lt;Hta_30,$G87&gt;=Hba_30,Input!AK$50&lt;&gt;""),Input!$B$50&amp;";","")),"")</f>
        <v/>
      </c>
      <c r="CM87" s="25" t="str">
        <f>IFERROR(CONCATENATE(IF(AND($G87&lt;Hta_1,$G87&gt;=Hba_1,Input!AL$21&lt;&gt;""),Input!$B$21&amp;";",""),IF(AND($G87&lt;Hta_2,$G87&gt;=Hba_2,Input!AL$22&lt;&gt;""),Input!$B$22&amp;";",""),IF(AND($G87&lt;Hta_3,$G87&gt;=Hba_3,Input!AL$23&lt;&gt;""),Input!$B$23&amp;";",""),IF(AND($G87&lt;Hta_4,$G87&gt;=Hba_4,Input!AL$24&lt;&gt;""),Input!$B$24&amp;";",""),IF(AND($G87&lt;Hta_5,$G87&gt;=Hba_5,Input!AL$25&lt;&gt;""),Input!$B$25&amp;";",""),IF(AND($G87&lt;Hta_6,$G87&gt;=Hba_6,Input!AL$26&lt;&gt;""),Input!$B$26&amp;";",""),IF(AND($G87&lt;Hta_7,$G87&gt;=Hba_7,Input!AL$27&lt;&gt;""),Input!$B$27&amp;";",""),IF(AND($G87&lt;Hta_8,$G87&gt;=Hba_8,Input!AL$28&lt;&gt;""),Input!$B$28&amp;";",""),IF(AND($G87&lt;Hta_9,$G87&gt;=Hba_9,Input!AL$29&lt;&gt;""),Input!$B$29&amp;";",""),IF(AND($G87&lt;Hta_10,$G87&gt;=Hba_10,Input!AL$30&lt;&gt;""),Input!$B$30&amp;";",""),IF(AND($G87&lt;Hta_11,$G87&gt;=Hba_11,Input!AL$31&lt;&gt;""),Input!$B$31&amp;";",""),IF(AND($G87&lt;Hta_12,$G87&gt;=Hba_12,Input!AL$32&lt;&gt;""),Input!$B$32&amp;";",""),IF(AND($G87&lt;Hta_13,$G87&gt;=Hba_13,Input!AL$33&lt;&gt;""),Input!$B$33&amp;";",""),IF(AND($G87&lt;Hta_14,$G87&gt;=Hba_14,Input!AL$34&lt;&gt;""),Input!$B$34&amp;";",""),IF(AND($G87&lt;Hta_15,$G87&gt;=Hba_15,Input!AL$35&lt;&gt;""),Input!$B$35&amp;";",""),IF(AND($G87&lt;Hta_16,$G87&gt;=Hba_16,Input!AL$36&lt;&gt;""),Input!$B$36&amp;";",""),IF(AND($G87&lt;Hta_17,$G87&gt;=Hba_17,Input!AL$37&lt;&gt;""),Input!$B$37&amp;";",""),IF(AND($G87&lt;Hta_18,$G87&gt;=Hba_18,Input!AL$38&lt;&gt;""),Input!$B$38&amp;";",""),IF(AND($G87&lt;Hta_19,$G87&gt;=Hba_19,Input!AL$39&lt;&gt;""),Input!$B$39&amp;";",""),IF(AND($G87&lt;Hta_20,$G87&gt;=Hba_20,Input!AL$40&lt;&gt;""),Input!$B$40&amp;";",""),IF(AND($G87&lt;Hta_21,$G87&gt;=Hba_21,Input!AL$41&lt;&gt;""),Input!$B$41&amp;";",""),IF(AND($G87&lt;Hta_22,$G87&gt;=Hba_22,Input!AL$42&lt;&gt;""),Input!$B$42&amp;";",""),IF(AND($G87&lt;Hta_23,$G87&gt;=Hba_23,Input!AL$43&lt;&gt;""),Input!$B$43&amp;";",""),IF(AND($G87&lt;Hta_24,$G87&gt;=Hba_24,Input!AL$44&lt;&gt;""),Input!$B$44&amp;";",""),IF(AND($G87&lt;Hta_25,$G87&gt;=Hba_25,Input!AL$45&lt;&gt;""),Input!$B$45&amp;";",""),IF(AND($G87&lt;Hta_26,$G87&gt;=Hba_26,Input!AL$46&lt;&gt;""),Input!$B$46&amp;";",""),IF(AND($G87&lt;Hta_27,$G87&gt;=Hba_27,Input!AL$47&lt;&gt;""),Input!$B$47&amp;";",""),IF(AND($G87&lt;Hta_28,$G87&gt;=Hba_28,Input!AL$48&lt;&gt;""),Input!$B$48&amp;";",""),IF(AND($G87&lt;Hta_29,$G87&gt;=Hba_29,Input!AL$49&lt;&gt;""),Input!$B$49&amp;";",""),IF(AND($G87&lt;Hta_30,$G87&gt;=Hba_30,Input!AL$50&lt;&gt;""),Input!$B$50&amp;";","")),"")</f>
        <v/>
      </c>
      <c r="CN87" s="60" t="str">
        <f t="shared" si="16"/>
        <v/>
      </c>
      <c r="CO87" s="798"/>
      <c r="CP87" s="799"/>
      <c r="CQ87" s="800"/>
      <c r="CR87" s="798"/>
      <c r="CS87" s="799"/>
      <c r="CT87" s="800"/>
      <c r="CU87" s="798" t="str">
        <f t="shared" si="17"/>
        <v/>
      </c>
      <c r="CV87" s="799"/>
      <c r="CW87" s="806"/>
      <c r="CX87" s="726"/>
      <c r="CY87" s="727"/>
      <c r="CZ87" s="732"/>
      <c r="DA87" s="726"/>
      <c r="DB87" s="727"/>
      <c r="DC87" s="732"/>
      <c r="DD87" s="726" t="str">
        <f t="shared" si="18"/>
        <v/>
      </c>
      <c r="DE87" s="727"/>
      <c r="DF87" s="728"/>
      <c r="DG87" s="53"/>
      <c r="DH87" s="54"/>
      <c r="DI87" s="54"/>
      <c r="DJ87" s="54"/>
      <c r="DK87" s="54"/>
      <c r="DL87" s="54"/>
      <c r="DM87" s="54"/>
      <c r="DN87" s="54"/>
      <c r="DO87" s="54"/>
      <c r="DP87" s="54"/>
      <c r="DQ87" s="57"/>
      <c r="DR87" s="57"/>
      <c r="DS87" s="57"/>
      <c r="DT87" s="57"/>
      <c r="DU87" s="57"/>
      <c r="DV87" s="57"/>
      <c r="DW87" s="57"/>
      <c r="DX87" s="57"/>
      <c r="DY87" s="57"/>
      <c r="DZ87" s="57"/>
      <c r="EA87" s="57"/>
      <c r="EB87" s="57"/>
      <c r="EC87" s="57"/>
      <c r="ED87" s="57"/>
      <c r="EE87" s="57"/>
      <c r="EF87" s="57"/>
      <c r="EG87" s="57"/>
      <c r="EH87" s="57"/>
      <c r="EI87" s="57"/>
      <c r="EJ87" s="57"/>
      <c r="EK87" s="57"/>
      <c r="EL87" s="133"/>
      <c r="EM87" s="133"/>
      <c r="EN87" s="133"/>
      <c r="EO87" s="133"/>
      <c r="EP87" s="133"/>
      <c r="EQ87" s="133"/>
      <c r="ER87" s="133"/>
      <c r="ES87" s="133"/>
      <c r="ET87" s="133"/>
      <c r="EU87" s="133"/>
      <c r="EV87" s="133"/>
      <c r="EW87" s="133"/>
      <c r="EX87" s="133"/>
      <c r="EY87" s="133"/>
      <c r="EZ87" s="133"/>
      <c r="FA87" s="133"/>
      <c r="FB87" s="133"/>
      <c r="FC87" s="133"/>
      <c r="FD87" s="133"/>
      <c r="FE87" s="133"/>
      <c r="FF87" s="133"/>
      <c r="FG87" s="133"/>
      <c r="FH87" s="133"/>
      <c r="FI87" s="133"/>
      <c r="FJ87" s="133"/>
      <c r="FK87" s="133"/>
      <c r="FL87" s="133"/>
      <c r="FM87" s="133"/>
      <c r="FN87" s="133"/>
      <c r="FO87" s="133"/>
      <c r="FQ87" s="125"/>
      <c r="FR87" s="123"/>
      <c r="FS87" s="121"/>
      <c r="FT87" s="119"/>
    </row>
    <row r="88" spans="2:176" ht="15.75" hidden="1" thickBot="1" x14ac:dyDescent="0.3">
      <c r="B88" s="62" t="b">
        <f>IF(OR(AND(G88&gt;='Geometry 2'!$AK$5,G88&lt;'Geometry 2'!$AL$5),AND(G88&gt;='Geometry 2'!$AK$6,G88&lt;'Geometry 2'!$AL$6),AND(G88&gt;='Geometry 2'!$AK$7,G88&lt;'Geometry 2'!$AL$7),AND(G88&gt;='Geometry 2'!$AK$8,G88&lt;'Geometry 2'!$AL$8),AND(G88&gt;='Geometry 2'!$AK$9,G88&lt;'Geometry 2'!$AL$9),AND(G88&gt;='Geometry 2'!$AK$10,G88&lt;'Geometry 2'!$AL$10),AND(G88&gt;='Geometry 2'!$AK$11,G88&lt;'Geometry 2'!$AL$11),AND(G88&gt;='Geometry 2'!$AK$12,G88&lt;'Geometry 2'!$AL$12),AND(G88&gt;='Geometry 2'!$AK$13,G88&lt;'Geometry 2'!$AL$13),AND(G88&gt;='Geometry 2'!$AK$14,G88&lt;'Geometry 2'!$AL$14)),TRUE,FALSE)</f>
        <v>0</v>
      </c>
      <c r="C88" s="4" t="str">
        <f t="shared" si="13"/>
        <v/>
      </c>
      <c r="D88" s="766" t="str">
        <f t="shared" si="14"/>
        <v/>
      </c>
      <c r="E88" s="767"/>
      <c r="F88" s="17" t="str">
        <f t="shared" si="12"/>
        <v/>
      </c>
      <c r="G88" s="768" t="str">
        <f>IF(D88="","",MAX(0,G87-IF(inc="n/a",999,inc),MAX(IF(G87&lt;=Hta_1,0,Hta_1),IF(G87&lt;=Hta_2,0,Hta_2),IF(G87&lt;=Hta_3,0,Hta_3),IF(G87&lt;=Hta_4,0,Hta_4),IF(G87&lt;=Hta_5,0,Hta_5),IF(G87&lt;=Hta_6,0,Hta_6),IF(G87&lt;=Hta_7,0,Hta_7),IF(G87&lt;=Hta_8,0,Hta_8),IF(G87&lt;=Hta_9,0,Hta_9),IF(G87&lt;=Hta_10,0,Hta_10),IF(G87&lt;=Hta_11,0,Hta_11),IF(G87&lt;=Hta_12,0,Hta_12),IF(G87&lt;=Hta_13,0,Hta_13),IF(G87&lt;=Hta_14,0,Hta_14),IF(G87&lt;=Hta_15,0,Hta_15),IF(G87&lt;=Hta_16,0,Hta_16),IF(G87&lt;=Hta_17,0,Hta_17),IF(G87&lt;=Hta_18,0,Hta_18),IF(G87&lt;=Hta_19,0,Hta_19),IF(G87&lt;=Hta_20,0,Hta_20),IF(G87&lt;=Hta_21,0,Hta_21),IF(G87&lt;=Hta_22,0,Hta_22),IF(G87&lt;=Hta_23,0,Hta_23),IF(G87&lt;=Hta_24,0,Hta_24),IF(G87&lt;=Hta_25,0,Hta_25),IF(G87&lt;=Hta_26,0,Hta_26),IF(G87&lt;=Hta_27,0,Hta_27),IF(G87&lt;=Hta_28,0,Hta_28),IF(G87&lt;=Hta_29,0,Hta_29),IF(G87&lt;=Hta_30,0,Hta_30)),MAX(IF(G87&lt;=Hta_1-0.25,0,Hta_1-0.25),IF(G87&lt;=Hta_2-0.25,0,Hta_2-0.25),IF(G87&lt;=Hta_3-0.25,0,Hta_3-0.25),IF(G87&lt;=Hta_4-0.25,0,Hta_4-0.25),IF(G87&lt;=Hta_5-0.25,0,Hta_5-0.25),IF(G87&lt;=Hta_6-0.25,0,Hta_6-0.25),IF(G87&lt;=Hta_7-0.25,0,Hta_7-0.25),IF(G87&lt;=Hta_8-0.25,0,Hta_8-0.25),IF(G87&lt;=Hta_9-0.25,0,Hta_9-0.25),IF(G87&lt;=Hta_10-0.25,0,Hta_10-0.25),IF(G87&lt;=Hta_11-0.25,0,Hta_11-0.25),IF(G87&lt;=Hta_12-0.25,0,Hta_12-0.25),IF(G87&lt;=Hta_13-0.25,0,Hta_13-0.25),IF(G87&lt;=Hta_14-0.25,0,Hta_14-0.25),IF(G87&lt;=Hta_15-0.25,0,Hta_15-0.25),IF(G87&lt;=Hta_16-0.25,0,Hta_16-0.25),IF(G87&lt;=Hta_17-0.25,0,Hta_17-0.25),IF(G87&lt;=Hta_18-0.25,0,Hta_18-0.25),IF(G87&lt;=Hta_19-0.25,0,Hta_19-0.25),IF(G87&lt;=Hta_20-0.25,0,Hta_20-0.25),IF(G87&lt;=Hta_21-0.25,0,Hta_21-0.25),IF(G87&lt;=Hta_22-0.25,0,Hta_22-0.25),IF(G87&lt;=Hta_23-0.25,0,Hta_23-0.25),IF(G87&lt;=Hta_24-0.25,0,Hta_24-0.25),IF(G87&lt;=Hta_25-0.25,0,Hta_25-0.25),IF(G87&lt;=Hta_26-0.25,0,Hta_26-0.25),IF(G87&lt;=Hta_27-0.25,0,Hta_27-0.25),IF(G87&lt;=Hta_28-0.25,0,Hta_28-0.25),IF(G87&lt;=Hta_29-0.25,0,Hta_29-0.25),IF(G87&lt;=Hta_30-0.25,0,Hta_30-0.25)),MAX(IF(G87&lt;=Hba_1,0,Hba_1),IF(G87&lt;=Hba_2,0,Hba_2),IF(G87&lt;=Hba_3,0,Hba_3),IF(G87&lt;=Hba_4,0,Hba_4),IF(G87&lt;=Hba_5,0,Hba_5),IF(G87&lt;=Hba_6,0,Hba_6),IF(G87&lt;=Hba_7,0,Hba_7),IF(G87&lt;=Hba_8,0,Hba_8),IF(G87&lt;=Hba_9,0,Hba_9),IF(G87&lt;=Hba_10,0,Hba_10),IF(G87&lt;=Hba_11,0,Hba_11),IF(G87&lt;=Hba_12,0,Hba_12),IF(G87&lt;=Hba_13,0,Hba_13),IF(G87&lt;=Hba_14,0,Hba_14),IF(G87&lt;=Hba_15,0,Hba_15),IF(G87&lt;=Hba_16,0,Hba_16),IF(G87&lt;=Hba_17,0,Hba_17),IF(G87&lt;=Hba_18,0,Hba_18),IF(G87&lt;=Hba_19,0,Hba_19),IF(G87&lt;=Hba_20,0,Hba_20),IF(G87&lt;=Hba_21,0,Hba_21),IF(G87&lt;=Hba_22,0,Hba_22),IF(G87&lt;=Hba_23,0,Hba_23),IF(G87&lt;=Hba_24,0,Hba_24),IF(G87&lt;=Hba_25,0,Hba_25),IF(G87&lt;=Hba_26,0,Hba_26),IF(G87&lt;=Hba_27,0,Hba_27),IF(G87&lt;=Hba_28,0,Hba_28),IF(G87&lt;=Hba_29,0,Hba_29),IF(G87&lt;=Hba_30,0,Hba_30)),MAX(IF(G87&lt;=Input!$C$8,0,Input!$C$8),IF(G87&lt;=Input!$C$9,0,Input!$C$9),IF(G87&lt;=Input!$C$10,0,Input!$C$10),IF(G87&lt;=Input!$C$11,0,Input!$C$11),IF(G87&lt;=Input!$C$12,0,Input!$C$12),IF(G87&lt;=Input!$C$13,0,Input!$C$13),IF(G87&lt;=Input!$C$14,0,Input!$C$14),IF(G87&lt;=Input!$C$15,0,Input!$C$15),IF(G87&lt;=Input!$C$16,0,Input!$C$16)),MAX(IF(G87&lt;=Hba_1-0.25,0,Hba_1-0.25),IF(G87&lt;=Hba_2-0.25,0,Hba_2-0.25),IF(G87&lt;=Hba_3-0.25,0,Hba_3-0.25),IF(G87&lt;=Hba_4-0.25,0,Hba_4-0.25),IF(G87&lt;=Hba_5-0.25,0,Hba_5-0.25),IF(G87&lt;=Hba_6-0.25,0,Hba_6-0.25),IF(G87&lt;=Hba_7-0.25,0,Hba_7-0.25),IF(G87&lt;=Hba_8-0.25,0,Hba_8-0.25),IF(G87&lt;=Hba_9-0.25,0,Hba_9-0.25),IF(G87&lt;=Hba_10-0.25,0,Hba_10-0.25),IF(G87&lt;=Hba_11-0.25,0,Hba_11-0.25),IF(G87&lt;=Hba_12-0.25,0,Hba_12-0.25),IF(G87&lt;=Hba_13-0.25,0,Hba_13-0.25),IF(G87&lt;=Hba_14-0.25,0,Hba_14-0.25),IF(G87&lt;=Hba_15-0.25,0,Hba_15-0.25),IF(G87&lt;=Hba_16-0.25,0,Hba_16-0.25),IF(G87&lt;=Hba_17-0.25,0,Hba_17-0.25),IF(G87&lt;=Hba_18-0.25,0,Hba_18-0.25),IF(G87&lt;=Hba_19-0.25,0,Hba_19-0.25),IF(G87&lt;=Hba_20-0.25,0,Hba_20-0.25),IF(G87&lt;=Hba_21-0.25,0,Hba_21-0.25),IF(G87&lt;=Hba_22-0.25,0,Hba_22-0.25),IF(G87&lt;=Hba_23-0.25,0,Hba_23-0.25),IF(G87&lt;=Hba_24-0.25,0,Hba_24-0.25),IF(G87&lt;=Hba_25-0.25,0,Hba_25-0.25),IF(G87&lt;=Hba_26-0.25,0,Hba_26-0.25),IF(G87&lt;=Hba_27-0.25,0,Hba_27-0.25),IF(G87&lt;=Hba_28-0.25,0,Hba_28-0.25),IF(G87&lt;=Hba_29-0.25,0,Hba_29-0.25),IF(G87&lt;=Hba_30-0.25,0,Hba_30-0.25)),IF(G87&lt;='Macro References'!$A$38,0,'Macro References'!$A$38)))</f>
        <v/>
      </c>
      <c r="H88" s="769"/>
      <c r="I88" s="228"/>
      <c r="J88" s="228"/>
      <c r="K88" s="228"/>
      <c r="L88" s="717" t="str">
        <f t="shared" si="11"/>
        <v/>
      </c>
      <c r="M88" s="717"/>
      <c r="N88" s="717"/>
      <c r="O88" s="717"/>
      <c r="P88" s="717" t="str">
        <f>IF(OR(G88=0,G88=""),"",IF(VLOOKUP(G88,'Geometry 2'!$C$4:$AI$14,1,TRUE)=VLOOKUP(G89,'Geometry 2'!$C$4:$AI$14,1,TRUE),"",IF(VLOOKUP(G88,'Geometry 2'!$C$4:$AI$14,33,TRUE)&lt;&gt;"n/a",MIN(G88,VLOOKUP(G88,'Geometry 2'!$C$4:$AI$14,1,TRUE))-VLOOKUP(G88,'Geometry 2'!$C$4:$AI$14,33,TRUE),"check")))</f>
        <v/>
      </c>
      <c r="Q88" s="717"/>
      <c r="R88" s="717"/>
      <c r="S88" s="717"/>
      <c r="T88" s="717" t="str">
        <f>IF($G88="","",VLOOKUP($G88,'Geometry 2'!$E$4:$AH$14,11,TRUE))</f>
        <v/>
      </c>
      <c r="U88" s="717"/>
      <c r="V88" s="717"/>
      <c r="W88" s="717"/>
      <c r="X88" s="716" t="str">
        <f>IF($G88="","",VLOOKUP($G88,'Geometry 2'!$E$4:$AJ$14,19,TRUE)-12*VLOOKUP($G88,'Geometry 2'!$E$4:$AJ$14,32,TRUE)*($D88-VLOOKUP($G88,'Geometry 2'!$E$5:$AH$14,1,TRUE)))</f>
        <v/>
      </c>
      <c r="Y88" s="716"/>
      <c r="Z88" s="716"/>
      <c r="AA88" s="716"/>
      <c r="AB88" s="757" t="str">
        <f>IF($G88="","",VLOOKUP($G88,'Geometry 2'!$E$4:$AJ$14,19,TRUE)-12*VLOOKUP($G88,'Geometry 2'!$E$4:$AJ$14,32,TRUE)*($G88-VLOOKUP($G88,'Geometry 2'!$E$5:$AH$14,1,TRUE)))</f>
        <v/>
      </c>
      <c r="AC88" s="758"/>
      <c r="AD88" s="758"/>
      <c r="AE88" s="759"/>
      <c r="AF88" s="716" t="str">
        <f>IF($G88="","",VLOOKUP($G88,'Geometry 2'!$E$4:$AJ$14,19,TRUE)-12*VLOOKUP($G88,'Geometry 2'!$E$4:$AJ$14,32,TRUE)*($G88-IF($P88="",0,$P88)-VLOOKUP($G88,'Geometry 2'!$E$5:$AH$14,1,TRUE)))</f>
        <v/>
      </c>
      <c r="AG88" s="716"/>
      <c r="AH88" s="716"/>
      <c r="AI88" s="716"/>
      <c r="AJ88" s="746" t="str">
        <f>IF($G88="","",VLOOKUP($G88,'Geometry 2'!$E$4:$AH$14,23,TRUE))</f>
        <v/>
      </c>
      <c r="AK88" s="747"/>
      <c r="AL88" s="747"/>
      <c r="AM88" s="748"/>
      <c r="AN88" s="717"/>
      <c r="AO88" s="717"/>
      <c r="AP88" s="717"/>
      <c r="AQ88" s="717"/>
      <c r="AR88" s="717" t="str">
        <f>IF($G88="","",VLOOKUP($G88,'Geometry 2'!$E$4:$AH$14,27,TRUE))</f>
        <v/>
      </c>
      <c r="AS88" s="717"/>
      <c r="AT88" s="717"/>
      <c r="AU88" s="718"/>
      <c r="AV88" s="715"/>
      <c r="AW88" s="716"/>
      <c r="AX88" s="716"/>
      <c r="AZ88" s="722" t="str">
        <f t="shared" si="15"/>
        <v/>
      </c>
      <c r="BA88" s="723"/>
      <c r="BB88" s="723"/>
      <c r="BC88" s="724"/>
      <c r="BD88" s="722"/>
      <c r="BE88" s="723"/>
      <c r="BF88" s="723"/>
      <c r="BG88" s="722" t="str">
        <f t="shared" si="19"/>
        <v/>
      </c>
      <c r="BH88" s="723"/>
      <c r="BI88" s="723"/>
      <c r="BJ88" s="723"/>
      <c r="BK88" s="724"/>
      <c r="BL88" s="722"/>
      <c r="BM88" s="723"/>
      <c r="BN88" s="723"/>
      <c r="BO88" s="723"/>
      <c r="BP88" s="725"/>
      <c r="BQ88" s="725"/>
      <c r="BR88" s="722" t="str">
        <f>IF(BP88="","",IF(OR(AND(Rev="H",Calculations!$F$27=TRUE),AND(Rev&lt;&gt;"H",Calculations!$F$30=TRUE)),IF(BP88&lt;=1,"Pass","Fail"),IF(BP88&lt;=1.05,"Pass","Fail")))</f>
        <v/>
      </c>
      <c r="BS88" s="723"/>
      <c r="BT88" s="724"/>
      <c r="BU88" s="49"/>
      <c r="BV88" s="25" t="str">
        <f>IFERROR(CONCATENATE(IF(AND($G88&lt;Hta_1,$G88&gt;=Hba_1,Input!U$21&lt;&gt;""),Input!$B$21&amp;";",""),IF(AND($G88&lt;Hta_2,$G88&gt;=Hba_2,Input!U$22&lt;&gt;""),Input!$B$22&amp;";",""),IF(AND($G88&lt;Hta_3,$G88&gt;=Hba_3,Input!U$23&lt;&gt;""),Input!$B$23&amp;";",""),IF(AND($G88&lt;Hta_4,$G88&gt;=Hba_4,Input!U$24&lt;&gt;""),Input!$B$24&amp;";",""),IF(AND($G88&lt;Hta_5,$G88&gt;=Hba_5,Input!U$25&lt;&gt;""),Input!$B$25&amp;";",""),IF(AND($G88&lt;Hta_6,$G88&gt;=Hba_6,Input!U$26&lt;&gt;""),Input!$B$26&amp;";",""),IF(AND($G88&lt;Hta_7,$G88&gt;=Hba_7,Input!U$27&lt;&gt;""),Input!$B$27&amp;";",""),IF(AND($G88&lt;Hta_8,$G88&gt;=Hba_8,Input!U$28&lt;&gt;""),Input!$B$28&amp;";",""),IF(AND($G88&lt;Hta_9,$G88&gt;=Hba_9,Input!U$29&lt;&gt;""),Input!$B$29&amp;";",""),IF(AND($G88&lt;Hta_10,$G88&gt;=Hba_10,Input!U$30&lt;&gt;""),Input!$B$30&amp;";",""),IF(AND($G88&lt;Hta_11,$G88&gt;=Hba_11,Input!U$31&lt;&gt;""),Input!$B$31&amp;";",""),IF(AND($G88&lt;Hta_12,$G88&gt;=Hba_12,Input!U$32&lt;&gt;""),Input!$B$32&amp;";",""),IF(AND($G88&lt;Hta_13,$G88&gt;=Hba_13,Input!U$33&lt;&gt;""),Input!$B$33&amp;";",""),IF(AND($G88&lt;Hta_14,$G88&gt;=Hba_14,Input!U$34&lt;&gt;""),Input!$B$34&amp;";",""),IF(AND($G88&lt;Hta_15,$G88&gt;=Hba_15,Input!U$35&lt;&gt;""),Input!$B$35&amp;";",""),IF(AND($G88&lt;Hta_16,$G88&gt;=Hba_16,Input!U$36&lt;&gt;""),Input!$B$36&amp;";",""),IF(AND($G88&lt;Hta_17,$G88&gt;=Hba_17,Input!U$37&lt;&gt;""),Input!$B$37&amp;";",""),IF(AND($G88&lt;Hta_18,$G88&gt;=Hba_18,Input!U$38&lt;&gt;""),Input!$B$38&amp;";",""),IF(AND($G88&lt;Hta_19,$G88&gt;=Hba_19,Input!U$39&lt;&gt;""),Input!$B$39&amp;";",""),IF(AND($G88&lt;Hta_20,$G88&gt;=Hba_20,Input!U$40&lt;&gt;""),Input!$B$40&amp;";",""),IF(AND($G88&lt;Hta_21,$G88&gt;=Hba_21,Input!U$41&lt;&gt;""),Input!$B$41&amp;";",""),IF(AND($G88&lt;Hta_22,$G88&gt;=Hba_22,Input!U$42&lt;&gt;""),Input!$B$42&amp;";",""),IF(AND($G88&lt;Hta_23,$G88&gt;=Hba_23,Input!U$43&lt;&gt;""),Input!$B$43&amp;";",""),IF(AND($G88&lt;Hta_24,$G88&gt;=Hba_24,Input!U$44&lt;&gt;""),Input!$B$44&amp;";",""),IF(AND($G88&lt;Hta_25,$G88&gt;=Hba_25,Input!U$45&lt;&gt;""),Input!$B$45&amp;";",""),IF(AND($G88&lt;Hta_26,$G88&gt;=Hba_26,Input!U$46&lt;&gt;""),Input!$B$46&amp;";",""),IF(AND($G88&lt;Hta_27,$G88&gt;=Hba_27,Input!U$47&lt;&gt;""),Input!$B$47&amp;";",""),IF(AND($G88&lt;Hta_28,$G88&gt;=Hba_28,Input!U$48&lt;&gt;""),Input!$B$48&amp;";",""),IF(AND($G88&lt;Hta_29,$G88&gt;=Hba_29,Input!U$49&lt;&gt;""),Input!$B$49&amp;";",""),IF(AND($G88&lt;Hta_30,$G88&gt;=Hba_30,Input!U$50&lt;&gt;""),Input!$B$50&amp;";","")),"")</f>
        <v/>
      </c>
      <c r="BW88" s="25" t="str">
        <f>IFERROR(CONCATENATE(IF(AND($G88&lt;Hta_1,$G88&gt;=Hba_1,Input!V$21&lt;&gt;""),Input!$B$21&amp;";",""),IF(AND($G88&lt;Hta_2,$G88&gt;=Hba_2,Input!V$22&lt;&gt;""),Input!$B$22&amp;";",""),IF(AND($G88&lt;Hta_3,$G88&gt;=Hba_3,Input!V$23&lt;&gt;""),Input!$B$23&amp;";",""),IF(AND($G88&lt;Hta_4,$G88&gt;=Hba_4,Input!V$24&lt;&gt;""),Input!$B$24&amp;";",""),IF(AND($G88&lt;Hta_5,$G88&gt;=Hba_5,Input!V$25&lt;&gt;""),Input!$B$25&amp;";",""),IF(AND($G88&lt;Hta_6,$G88&gt;=Hba_6,Input!V$26&lt;&gt;""),Input!$B$26&amp;";",""),IF(AND($G88&lt;Hta_7,$G88&gt;=Hba_7,Input!V$27&lt;&gt;""),Input!$B$27&amp;";",""),IF(AND($G88&lt;Hta_8,$G88&gt;=Hba_8,Input!V$28&lt;&gt;""),Input!$B$28&amp;";",""),IF(AND($G88&lt;Hta_9,$G88&gt;=Hba_9,Input!V$29&lt;&gt;""),Input!$B$29&amp;";",""),IF(AND($G88&lt;Hta_10,$G88&gt;=Hba_10,Input!V$30&lt;&gt;""),Input!$B$30&amp;";",""),IF(AND($G88&lt;Hta_11,$G88&gt;=Hba_11,Input!V$31&lt;&gt;""),Input!$B$31&amp;";",""),IF(AND($G88&lt;Hta_12,$G88&gt;=Hba_12,Input!V$32&lt;&gt;""),Input!$B$32&amp;";",""),IF(AND($G88&lt;Hta_13,$G88&gt;=Hba_13,Input!V$33&lt;&gt;""),Input!$B$33&amp;";",""),IF(AND($G88&lt;Hta_14,$G88&gt;=Hba_14,Input!V$34&lt;&gt;""),Input!$B$34&amp;";",""),IF(AND($G88&lt;Hta_15,$G88&gt;=Hba_15,Input!V$35&lt;&gt;""),Input!$B$35&amp;";",""),IF(AND($G88&lt;Hta_16,$G88&gt;=Hba_16,Input!V$36&lt;&gt;""),Input!$B$36&amp;";",""),IF(AND($G88&lt;Hta_17,$G88&gt;=Hba_17,Input!V$37&lt;&gt;""),Input!$B$37&amp;";",""),IF(AND($G88&lt;Hta_18,$G88&gt;=Hba_18,Input!V$38&lt;&gt;""),Input!$B$38&amp;";",""),IF(AND($G88&lt;Hta_19,$G88&gt;=Hba_19,Input!V$39&lt;&gt;""),Input!$B$39&amp;";",""),IF(AND($G88&lt;Hta_20,$G88&gt;=Hba_20,Input!V$40&lt;&gt;""),Input!$B$40&amp;";",""),IF(AND($G88&lt;Hta_21,$G88&gt;=Hba_21,Input!V$41&lt;&gt;""),Input!$B$41&amp;";",""),IF(AND($G88&lt;Hta_22,$G88&gt;=Hba_22,Input!V$42&lt;&gt;""),Input!$B$42&amp;";",""),IF(AND($G88&lt;Hta_23,$G88&gt;=Hba_23,Input!V$43&lt;&gt;""),Input!$B$43&amp;";",""),IF(AND($G88&lt;Hta_24,$G88&gt;=Hba_24,Input!V$44&lt;&gt;""),Input!$B$44&amp;";",""),IF(AND($G88&lt;Hta_25,$G88&gt;=Hba_25,Input!V$45&lt;&gt;""),Input!$B$45&amp;";",""),IF(AND($G88&lt;Hta_26,$G88&gt;=Hba_26,Input!V$46&lt;&gt;""),Input!$B$46&amp;";",""),IF(AND($G88&lt;Hta_27,$G88&gt;=Hba_27,Input!V$47&lt;&gt;""),Input!$B$47&amp;";",""),IF(AND($G88&lt;Hta_28,$G88&gt;=Hba_28,Input!V$48&lt;&gt;""),Input!$B$48&amp;";",""),IF(AND($G88&lt;Hta_29,$G88&gt;=Hba_29,Input!V$49&lt;&gt;""),Input!$B$49&amp;";",""),IF(AND($G88&lt;Hta_30,$G88&gt;=Hba_30,Input!V$50&lt;&gt;""),Input!$B$50&amp;";","")),"")</f>
        <v/>
      </c>
      <c r="BX88" s="25" t="str">
        <f>IFERROR(CONCATENATE(IF(AND($G88&lt;Hta_1,$G88&gt;=Hba_1,Input!W$21&lt;&gt;""),Input!$B$21&amp;";",""),IF(AND($G88&lt;Hta_2,$G88&gt;=Hba_2,Input!W$22&lt;&gt;""),Input!$B$22&amp;";",""),IF(AND($G88&lt;Hta_3,$G88&gt;=Hba_3,Input!W$23&lt;&gt;""),Input!$B$23&amp;";",""),IF(AND($G88&lt;Hta_4,$G88&gt;=Hba_4,Input!W$24&lt;&gt;""),Input!$B$24&amp;";",""),IF(AND($G88&lt;Hta_5,$G88&gt;=Hba_5,Input!W$25&lt;&gt;""),Input!$B$25&amp;";",""),IF(AND($G88&lt;Hta_6,$G88&gt;=Hba_6,Input!W$26&lt;&gt;""),Input!$B$26&amp;";",""),IF(AND($G88&lt;Hta_7,$G88&gt;=Hba_7,Input!W$27&lt;&gt;""),Input!$B$27&amp;";",""),IF(AND($G88&lt;Hta_8,$G88&gt;=Hba_8,Input!W$28&lt;&gt;""),Input!$B$28&amp;";",""),IF(AND($G88&lt;Hta_9,$G88&gt;=Hba_9,Input!W$29&lt;&gt;""),Input!$B$29&amp;";",""),IF(AND($G88&lt;Hta_10,$G88&gt;=Hba_10,Input!W$30&lt;&gt;""),Input!$B$30&amp;";",""),IF(AND($G88&lt;Hta_11,$G88&gt;=Hba_11,Input!W$31&lt;&gt;""),Input!$B$31&amp;";",""),IF(AND($G88&lt;Hta_12,$G88&gt;=Hba_12,Input!W$32&lt;&gt;""),Input!$B$32&amp;";",""),IF(AND($G88&lt;Hta_13,$G88&gt;=Hba_13,Input!W$33&lt;&gt;""),Input!$B$33&amp;";",""),IF(AND($G88&lt;Hta_14,$G88&gt;=Hba_14,Input!W$34&lt;&gt;""),Input!$B$34&amp;";",""),IF(AND($G88&lt;Hta_15,$G88&gt;=Hba_15,Input!W$35&lt;&gt;""),Input!$B$35&amp;";",""),IF(AND($G88&lt;Hta_16,$G88&gt;=Hba_16,Input!W$36&lt;&gt;""),Input!$B$36&amp;";",""),IF(AND($G88&lt;Hta_17,$G88&gt;=Hba_17,Input!W$37&lt;&gt;""),Input!$B$37&amp;";",""),IF(AND($G88&lt;Hta_18,$G88&gt;=Hba_18,Input!W$38&lt;&gt;""),Input!$B$38&amp;";",""),IF(AND($G88&lt;Hta_19,$G88&gt;=Hba_19,Input!W$39&lt;&gt;""),Input!$B$39&amp;";",""),IF(AND($G88&lt;Hta_20,$G88&gt;=Hba_20,Input!W$40&lt;&gt;""),Input!$B$40&amp;";",""),IF(AND($G88&lt;Hta_21,$G88&gt;=Hba_21,Input!W$41&lt;&gt;""),Input!$B$41&amp;";",""),IF(AND($G88&lt;Hta_22,$G88&gt;=Hba_22,Input!W$42&lt;&gt;""),Input!$B$42&amp;";",""),IF(AND($G88&lt;Hta_23,$G88&gt;=Hba_23,Input!W$43&lt;&gt;""),Input!$B$43&amp;";",""),IF(AND($G88&lt;Hta_24,$G88&gt;=Hba_24,Input!W$44&lt;&gt;""),Input!$B$44&amp;";",""),IF(AND($G88&lt;Hta_25,$G88&gt;=Hba_25,Input!W$45&lt;&gt;""),Input!$B$45&amp;";",""),IF(AND($G88&lt;Hta_26,$G88&gt;=Hba_26,Input!W$46&lt;&gt;""),Input!$B$46&amp;";",""),IF(AND($G88&lt;Hta_27,$G88&gt;=Hba_27,Input!W$47&lt;&gt;""),Input!$B$47&amp;";",""),IF(AND($G88&lt;Hta_28,$G88&gt;=Hba_28,Input!W$48&lt;&gt;""),Input!$B$48&amp;";",""),IF(AND($G88&lt;Hta_29,$G88&gt;=Hba_29,Input!W$49&lt;&gt;""),Input!$B$49&amp;";",""),IF(AND($G88&lt;Hta_30,$G88&gt;=Hba_30,Input!W$50&lt;&gt;""),Input!$B$50&amp;";","")),"")</f>
        <v/>
      </c>
      <c r="BY88" s="25" t="str">
        <f>IFERROR(CONCATENATE(IF(AND($G88&lt;Hta_1,$G88&gt;=Hba_1,Input!X$21&lt;&gt;""),Input!$B$21&amp;";",""),IF(AND($G88&lt;Hta_2,$G88&gt;=Hba_2,Input!X$22&lt;&gt;""),Input!$B$22&amp;";",""),IF(AND($G88&lt;Hta_3,$G88&gt;=Hba_3,Input!X$23&lt;&gt;""),Input!$B$23&amp;";",""),IF(AND($G88&lt;Hta_4,$G88&gt;=Hba_4,Input!X$24&lt;&gt;""),Input!$B$24&amp;";",""),IF(AND($G88&lt;Hta_5,$G88&gt;=Hba_5,Input!X$25&lt;&gt;""),Input!$B$25&amp;";",""),IF(AND($G88&lt;Hta_6,$G88&gt;=Hba_6,Input!X$26&lt;&gt;""),Input!$B$26&amp;";",""),IF(AND($G88&lt;Hta_7,$G88&gt;=Hba_7,Input!X$27&lt;&gt;""),Input!$B$27&amp;";",""),IF(AND($G88&lt;Hta_8,$G88&gt;=Hba_8,Input!X$28&lt;&gt;""),Input!$B$28&amp;";",""),IF(AND($G88&lt;Hta_9,$G88&gt;=Hba_9,Input!X$29&lt;&gt;""),Input!$B$29&amp;";",""),IF(AND($G88&lt;Hta_10,$G88&gt;=Hba_10,Input!X$30&lt;&gt;""),Input!$B$30&amp;";",""),IF(AND($G88&lt;Hta_11,$G88&gt;=Hba_11,Input!X$31&lt;&gt;""),Input!$B$31&amp;";",""),IF(AND($G88&lt;Hta_12,$G88&gt;=Hba_12,Input!X$32&lt;&gt;""),Input!$B$32&amp;";",""),IF(AND($G88&lt;Hta_13,$G88&gt;=Hba_13,Input!X$33&lt;&gt;""),Input!$B$33&amp;";",""),IF(AND($G88&lt;Hta_14,$G88&gt;=Hba_14,Input!X$34&lt;&gt;""),Input!$B$34&amp;";",""),IF(AND($G88&lt;Hta_15,$G88&gt;=Hba_15,Input!X$35&lt;&gt;""),Input!$B$35&amp;";",""),IF(AND($G88&lt;Hta_16,$G88&gt;=Hba_16,Input!X$36&lt;&gt;""),Input!$B$36&amp;";",""),IF(AND($G88&lt;Hta_17,$G88&gt;=Hba_17,Input!X$37&lt;&gt;""),Input!$B$37&amp;";",""),IF(AND($G88&lt;Hta_18,$G88&gt;=Hba_18,Input!X$38&lt;&gt;""),Input!$B$38&amp;";",""),IF(AND($G88&lt;Hta_19,$G88&gt;=Hba_19,Input!X$39&lt;&gt;""),Input!$B$39&amp;";",""),IF(AND($G88&lt;Hta_20,$G88&gt;=Hba_20,Input!X$40&lt;&gt;""),Input!$B$40&amp;";",""),IF(AND($G88&lt;Hta_21,$G88&gt;=Hba_21,Input!X$41&lt;&gt;""),Input!$B$41&amp;";",""),IF(AND($G88&lt;Hta_22,$G88&gt;=Hba_22,Input!X$42&lt;&gt;""),Input!$B$42&amp;";",""),IF(AND($G88&lt;Hta_23,$G88&gt;=Hba_23,Input!X$43&lt;&gt;""),Input!$B$43&amp;";",""),IF(AND($G88&lt;Hta_24,$G88&gt;=Hba_24,Input!X$44&lt;&gt;""),Input!$B$44&amp;";",""),IF(AND($G88&lt;Hta_25,$G88&gt;=Hba_25,Input!X$45&lt;&gt;""),Input!$B$45&amp;";",""),IF(AND($G88&lt;Hta_26,$G88&gt;=Hba_26,Input!X$46&lt;&gt;""),Input!$B$46&amp;";",""),IF(AND($G88&lt;Hta_27,$G88&gt;=Hba_27,Input!X$47&lt;&gt;""),Input!$B$47&amp;";",""),IF(AND($G88&lt;Hta_28,$G88&gt;=Hba_28,Input!X$48&lt;&gt;""),Input!$B$48&amp;";",""),IF(AND($G88&lt;Hta_29,$G88&gt;=Hba_29,Input!X$49&lt;&gt;""),Input!$B$49&amp;";",""),IF(AND($G88&lt;Hta_30,$G88&gt;=Hba_30,Input!X$50&lt;&gt;""),Input!$B$50&amp;";","")),"")</f>
        <v/>
      </c>
      <c r="BZ88" s="25" t="str">
        <f>IFERROR(CONCATENATE(IF(AND($G88&lt;Hta_1,$G88&gt;=Hba_1,Input!Y$21&lt;&gt;""),Input!$B$21&amp;";",""),IF(AND($G88&lt;Hta_2,$G88&gt;=Hba_2,Input!Y$22&lt;&gt;""),Input!$B$22&amp;";",""),IF(AND($G88&lt;Hta_3,$G88&gt;=Hba_3,Input!Y$23&lt;&gt;""),Input!$B$23&amp;";",""),IF(AND($G88&lt;Hta_4,$G88&gt;=Hba_4,Input!Y$24&lt;&gt;""),Input!$B$24&amp;";",""),IF(AND($G88&lt;Hta_5,$G88&gt;=Hba_5,Input!Y$25&lt;&gt;""),Input!$B$25&amp;";",""),IF(AND($G88&lt;Hta_6,$G88&gt;=Hba_6,Input!Y$26&lt;&gt;""),Input!$B$26&amp;";",""),IF(AND($G88&lt;Hta_7,$G88&gt;=Hba_7,Input!Y$27&lt;&gt;""),Input!$B$27&amp;";",""),IF(AND($G88&lt;Hta_8,$G88&gt;=Hba_8,Input!Y$28&lt;&gt;""),Input!$B$28&amp;";",""),IF(AND($G88&lt;Hta_9,$G88&gt;=Hba_9,Input!Y$29&lt;&gt;""),Input!$B$29&amp;";",""),IF(AND($G88&lt;Hta_10,$G88&gt;=Hba_10,Input!Y$30&lt;&gt;""),Input!$B$30&amp;";",""),IF(AND($G88&lt;Hta_11,$G88&gt;=Hba_11,Input!Y$31&lt;&gt;""),Input!$B$31&amp;";",""),IF(AND($G88&lt;Hta_12,$G88&gt;=Hba_12,Input!Y$32&lt;&gt;""),Input!$B$32&amp;";",""),IF(AND($G88&lt;Hta_13,$G88&gt;=Hba_13,Input!Y$33&lt;&gt;""),Input!$B$33&amp;";",""),IF(AND($G88&lt;Hta_14,$G88&gt;=Hba_14,Input!Y$34&lt;&gt;""),Input!$B$34&amp;";",""),IF(AND($G88&lt;Hta_15,$G88&gt;=Hba_15,Input!Y$35&lt;&gt;""),Input!$B$35&amp;";",""),IF(AND($G88&lt;Hta_16,$G88&gt;=Hba_16,Input!Y$36&lt;&gt;""),Input!$B$36&amp;";",""),IF(AND($G88&lt;Hta_17,$G88&gt;=Hba_17,Input!Y$37&lt;&gt;""),Input!$B$37&amp;";",""),IF(AND($G88&lt;Hta_18,$G88&gt;=Hba_18,Input!Y$38&lt;&gt;""),Input!$B$38&amp;";",""),IF(AND($G88&lt;Hta_19,$G88&gt;=Hba_19,Input!Y$39&lt;&gt;""),Input!$B$39&amp;";",""),IF(AND($G88&lt;Hta_20,$G88&gt;=Hba_20,Input!Y$40&lt;&gt;""),Input!$B$40&amp;";",""),IF(AND($G88&lt;Hta_21,$G88&gt;=Hba_21,Input!Y$41&lt;&gt;""),Input!$B$41&amp;";",""),IF(AND($G88&lt;Hta_22,$G88&gt;=Hba_22,Input!Y$42&lt;&gt;""),Input!$B$42&amp;";",""),IF(AND($G88&lt;Hta_23,$G88&gt;=Hba_23,Input!Y$43&lt;&gt;""),Input!$B$43&amp;";",""),IF(AND($G88&lt;Hta_24,$G88&gt;=Hba_24,Input!Y$44&lt;&gt;""),Input!$B$44&amp;";",""),IF(AND($G88&lt;Hta_25,$G88&gt;=Hba_25,Input!Y$45&lt;&gt;""),Input!$B$45&amp;";",""),IF(AND($G88&lt;Hta_26,$G88&gt;=Hba_26,Input!Y$46&lt;&gt;""),Input!$B$46&amp;";",""),IF(AND($G88&lt;Hta_27,$G88&gt;=Hba_27,Input!Y$47&lt;&gt;""),Input!$B$47&amp;";",""),IF(AND($G88&lt;Hta_28,$G88&gt;=Hba_28,Input!Y$48&lt;&gt;""),Input!$B$48&amp;";",""),IF(AND($G88&lt;Hta_29,$G88&gt;=Hba_29,Input!Y$49&lt;&gt;""),Input!$B$49&amp;";",""),IF(AND($G88&lt;Hta_30,$G88&gt;=Hba_30,Input!Y$50&lt;&gt;""),Input!$B$50&amp;";","")),"")</f>
        <v/>
      </c>
      <c r="CA88" s="25" t="str">
        <f>IFERROR(CONCATENATE(IF(AND($G88&lt;Hta_1,$G88&gt;=Hba_1,Input!Z$21&lt;&gt;""),Input!$B$21&amp;";",""),IF(AND($G88&lt;Hta_2,$G88&gt;=Hba_2,Input!Z$22&lt;&gt;""),Input!$B$22&amp;";",""),IF(AND($G88&lt;Hta_3,$G88&gt;=Hba_3,Input!Z$23&lt;&gt;""),Input!$B$23&amp;";",""),IF(AND($G88&lt;Hta_4,$G88&gt;=Hba_4,Input!Z$24&lt;&gt;""),Input!$B$24&amp;";",""),IF(AND($G88&lt;Hta_5,$G88&gt;=Hba_5,Input!Z$25&lt;&gt;""),Input!$B$25&amp;";",""),IF(AND($G88&lt;Hta_6,$G88&gt;=Hba_6,Input!Z$26&lt;&gt;""),Input!$B$26&amp;";",""),IF(AND($G88&lt;Hta_7,$G88&gt;=Hba_7,Input!Z$27&lt;&gt;""),Input!$B$27&amp;";",""),IF(AND($G88&lt;Hta_8,$G88&gt;=Hba_8,Input!Z$28&lt;&gt;""),Input!$B$28&amp;";",""),IF(AND($G88&lt;Hta_9,$G88&gt;=Hba_9,Input!Z$29&lt;&gt;""),Input!$B$29&amp;";",""),IF(AND($G88&lt;Hta_10,$G88&gt;=Hba_10,Input!Z$30&lt;&gt;""),Input!$B$30&amp;";",""),IF(AND($G88&lt;Hta_11,$G88&gt;=Hba_11,Input!Z$31&lt;&gt;""),Input!$B$31&amp;";",""),IF(AND($G88&lt;Hta_12,$G88&gt;=Hba_12,Input!Z$32&lt;&gt;""),Input!$B$32&amp;";",""),IF(AND($G88&lt;Hta_13,$G88&gt;=Hba_13,Input!Z$33&lt;&gt;""),Input!$B$33&amp;";",""),IF(AND($G88&lt;Hta_14,$G88&gt;=Hba_14,Input!Z$34&lt;&gt;""),Input!$B$34&amp;";",""),IF(AND($G88&lt;Hta_15,$G88&gt;=Hba_15,Input!Z$35&lt;&gt;""),Input!$B$35&amp;";",""),IF(AND($G88&lt;Hta_16,$G88&gt;=Hba_16,Input!Z$36&lt;&gt;""),Input!$B$36&amp;";",""),IF(AND($G88&lt;Hta_17,$G88&gt;=Hba_17,Input!Z$37&lt;&gt;""),Input!$B$37&amp;";",""),IF(AND($G88&lt;Hta_18,$G88&gt;=Hba_18,Input!Z$38&lt;&gt;""),Input!$B$38&amp;";",""),IF(AND($G88&lt;Hta_19,$G88&gt;=Hba_19,Input!Z$39&lt;&gt;""),Input!$B$39&amp;";",""),IF(AND($G88&lt;Hta_20,$G88&gt;=Hba_20,Input!Z$40&lt;&gt;""),Input!$B$40&amp;";",""),IF(AND($G88&lt;Hta_21,$G88&gt;=Hba_21,Input!Z$41&lt;&gt;""),Input!$B$41&amp;";",""),IF(AND($G88&lt;Hta_22,$G88&gt;=Hba_22,Input!Z$42&lt;&gt;""),Input!$B$42&amp;";",""),IF(AND($G88&lt;Hta_23,$G88&gt;=Hba_23,Input!Z$43&lt;&gt;""),Input!$B$43&amp;";",""),IF(AND($G88&lt;Hta_24,$G88&gt;=Hba_24,Input!Z$44&lt;&gt;""),Input!$B$44&amp;";",""),IF(AND($G88&lt;Hta_25,$G88&gt;=Hba_25,Input!Z$45&lt;&gt;""),Input!$B$45&amp;";",""),IF(AND($G88&lt;Hta_26,$G88&gt;=Hba_26,Input!Z$46&lt;&gt;""),Input!$B$46&amp;";",""),IF(AND($G88&lt;Hta_27,$G88&gt;=Hba_27,Input!Z$47&lt;&gt;""),Input!$B$47&amp;";",""),IF(AND($G88&lt;Hta_28,$G88&gt;=Hba_28,Input!Z$48&lt;&gt;""),Input!$B$48&amp;";",""),IF(AND($G88&lt;Hta_29,$G88&gt;=Hba_29,Input!Z$49&lt;&gt;""),Input!$B$49&amp;";",""),IF(AND($G88&lt;Hta_30,$G88&gt;=Hba_30,Input!Z$50&lt;&gt;""),Input!$B$50&amp;";","")),"")</f>
        <v/>
      </c>
      <c r="CB88" s="25" t="str">
        <f>IFERROR(CONCATENATE(IF(AND($G88&lt;Hta_1,$G88&gt;=Hba_1,Input!AA$21&lt;&gt;""),Input!$B$21&amp;";",""),IF(AND($G88&lt;Hta_2,$G88&gt;=Hba_2,Input!AA$22&lt;&gt;""),Input!$B$22&amp;";",""),IF(AND($G88&lt;Hta_3,$G88&gt;=Hba_3,Input!AA$23&lt;&gt;""),Input!$B$23&amp;";",""),IF(AND($G88&lt;Hta_4,$G88&gt;=Hba_4,Input!AA$24&lt;&gt;""),Input!$B$24&amp;";",""),IF(AND($G88&lt;Hta_5,$G88&gt;=Hba_5,Input!AA$25&lt;&gt;""),Input!$B$25&amp;";",""),IF(AND($G88&lt;Hta_6,$G88&gt;=Hba_6,Input!AA$26&lt;&gt;""),Input!$B$26&amp;";",""),IF(AND($G88&lt;Hta_7,$G88&gt;=Hba_7,Input!AA$27&lt;&gt;""),Input!$B$27&amp;";",""),IF(AND($G88&lt;Hta_8,$G88&gt;=Hba_8,Input!AA$28&lt;&gt;""),Input!$B$28&amp;";",""),IF(AND($G88&lt;Hta_9,$G88&gt;=Hba_9,Input!AA$29&lt;&gt;""),Input!$B$29&amp;";",""),IF(AND($G88&lt;Hta_10,$G88&gt;=Hba_10,Input!AA$30&lt;&gt;""),Input!$B$30&amp;";",""),IF(AND($G88&lt;Hta_11,$G88&gt;=Hba_11,Input!AA$31&lt;&gt;""),Input!$B$31&amp;";",""),IF(AND($G88&lt;Hta_12,$G88&gt;=Hba_12,Input!AA$32&lt;&gt;""),Input!$B$32&amp;";",""),IF(AND($G88&lt;Hta_13,$G88&gt;=Hba_13,Input!AA$33&lt;&gt;""),Input!$B$33&amp;";",""),IF(AND($G88&lt;Hta_14,$G88&gt;=Hba_14,Input!AA$34&lt;&gt;""),Input!$B$34&amp;";",""),IF(AND($G88&lt;Hta_15,$G88&gt;=Hba_15,Input!AA$35&lt;&gt;""),Input!$B$35&amp;";",""),IF(AND($G88&lt;Hta_16,$G88&gt;=Hba_16,Input!AA$36&lt;&gt;""),Input!$B$36&amp;";",""),IF(AND($G88&lt;Hta_17,$G88&gt;=Hba_17,Input!AA$37&lt;&gt;""),Input!$B$37&amp;";",""),IF(AND($G88&lt;Hta_18,$G88&gt;=Hba_18,Input!AA$38&lt;&gt;""),Input!$B$38&amp;";",""),IF(AND($G88&lt;Hta_19,$G88&gt;=Hba_19,Input!AA$39&lt;&gt;""),Input!$B$39&amp;";",""),IF(AND($G88&lt;Hta_20,$G88&gt;=Hba_20,Input!AA$40&lt;&gt;""),Input!$B$40&amp;";",""),IF(AND($G88&lt;Hta_21,$G88&gt;=Hba_21,Input!AA$41&lt;&gt;""),Input!$B$41&amp;";",""),IF(AND($G88&lt;Hta_22,$G88&gt;=Hba_22,Input!AA$42&lt;&gt;""),Input!$B$42&amp;";",""),IF(AND($G88&lt;Hta_23,$G88&gt;=Hba_23,Input!AA$43&lt;&gt;""),Input!$B$43&amp;";",""),IF(AND($G88&lt;Hta_24,$G88&gt;=Hba_24,Input!AA$44&lt;&gt;""),Input!$B$44&amp;";",""),IF(AND($G88&lt;Hta_25,$G88&gt;=Hba_25,Input!AA$45&lt;&gt;""),Input!$B$45&amp;";",""),IF(AND($G88&lt;Hta_26,$G88&gt;=Hba_26,Input!AA$46&lt;&gt;""),Input!$B$46&amp;";",""),IF(AND($G88&lt;Hta_27,$G88&gt;=Hba_27,Input!AA$47&lt;&gt;""),Input!$B$47&amp;";",""),IF(AND($G88&lt;Hta_28,$G88&gt;=Hba_28,Input!AA$48&lt;&gt;""),Input!$B$48&amp;";",""),IF(AND($G88&lt;Hta_29,$G88&gt;=Hba_29,Input!AA$49&lt;&gt;""),Input!$B$49&amp;";",""),IF(AND($G88&lt;Hta_30,$G88&gt;=Hba_30,Input!AA$50&lt;&gt;""),Input!$B$50&amp;";","")),"")</f>
        <v/>
      </c>
      <c r="CC88" s="25" t="str">
        <f>IFERROR(CONCATENATE(IF(AND($G88&lt;Hta_1,$G88&gt;=Hba_1,Input!AB$21&lt;&gt;""),Input!$B$21&amp;";",""),IF(AND($G88&lt;Hta_2,$G88&gt;=Hba_2,Input!AB$22&lt;&gt;""),Input!$B$22&amp;";",""),IF(AND($G88&lt;Hta_3,$G88&gt;=Hba_3,Input!AB$23&lt;&gt;""),Input!$B$23&amp;";",""),IF(AND($G88&lt;Hta_4,$G88&gt;=Hba_4,Input!AB$24&lt;&gt;""),Input!$B$24&amp;";",""),IF(AND($G88&lt;Hta_5,$G88&gt;=Hba_5,Input!AB$25&lt;&gt;""),Input!$B$25&amp;";",""),IF(AND($G88&lt;Hta_6,$G88&gt;=Hba_6,Input!AB$26&lt;&gt;""),Input!$B$26&amp;";",""),IF(AND($G88&lt;Hta_7,$G88&gt;=Hba_7,Input!AB$27&lt;&gt;""),Input!$B$27&amp;";",""),IF(AND($G88&lt;Hta_8,$G88&gt;=Hba_8,Input!AB$28&lt;&gt;""),Input!$B$28&amp;";",""),IF(AND($G88&lt;Hta_9,$G88&gt;=Hba_9,Input!AB$29&lt;&gt;""),Input!$B$29&amp;";",""),IF(AND($G88&lt;Hta_10,$G88&gt;=Hba_10,Input!AB$30&lt;&gt;""),Input!$B$30&amp;";",""),IF(AND($G88&lt;Hta_11,$G88&gt;=Hba_11,Input!AB$31&lt;&gt;""),Input!$B$31&amp;";",""),IF(AND($G88&lt;Hta_12,$G88&gt;=Hba_12,Input!AB$32&lt;&gt;""),Input!$B$32&amp;";",""),IF(AND($G88&lt;Hta_13,$G88&gt;=Hba_13,Input!AB$33&lt;&gt;""),Input!$B$33&amp;";",""),IF(AND($G88&lt;Hta_14,$G88&gt;=Hba_14,Input!AB$34&lt;&gt;""),Input!$B$34&amp;";",""),IF(AND($G88&lt;Hta_15,$G88&gt;=Hba_15,Input!AB$35&lt;&gt;""),Input!$B$35&amp;";",""),IF(AND($G88&lt;Hta_16,$G88&gt;=Hba_16,Input!AB$36&lt;&gt;""),Input!$B$36&amp;";",""),IF(AND($G88&lt;Hta_17,$G88&gt;=Hba_17,Input!AB$37&lt;&gt;""),Input!$B$37&amp;";",""),IF(AND($G88&lt;Hta_18,$G88&gt;=Hba_18,Input!AB$38&lt;&gt;""),Input!$B$38&amp;";",""),IF(AND($G88&lt;Hta_19,$G88&gt;=Hba_19,Input!AB$39&lt;&gt;""),Input!$B$39&amp;";",""),IF(AND($G88&lt;Hta_20,$G88&gt;=Hba_20,Input!AB$40&lt;&gt;""),Input!$B$40&amp;";",""),IF(AND($G88&lt;Hta_21,$G88&gt;=Hba_21,Input!AB$41&lt;&gt;""),Input!$B$41&amp;";",""),IF(AND($G88&lt;Hta_22,$G88&gt;=Hba_22,Input!AB$42&lt;&gt;""),Input!$B$42&amp;";",""),IF(AND($G88&lt;Hta_23,$G88&gt;=Hba_23,Input!AB$43&lt;&gt;""),Input!$B$43&amp;";",""),IF(AND($G88&lt;Hta_24,$G88&gt;=Hba_24,Input!AB$44&lt;&gt;""),Input!$B$44&amp;";",""),IF(AND($G88&lt;Hta_25,$G88&gt;=Hba_25,Input!AB$45&lt;&gt;""),Input!$B$45&amp;";",""),IF(AND($G88&lt;Hta_26,$G88&gt;=Hba_26,Input!AB$46&lt;&gt;""),Input!$B$46&amp;";",""),IF(AND($G88&lt;Hta_27,$G88&gt;=Hba_27,Input!AB$47&lt;&gt;""),Input!$B$47&amp;";",""),IF(AND($G88&lt;Hta_28,$G88&gt;=Hba_28,Input!AB$48&lt;&gt;""),Input!$B$48&amp;";",""),IF(AND($G88&lt;Hta_29,$G88&gt;=Hba_29,Input!AB$49&lt;&gt;""),Input!$B$49&amp;";",""),IF(AND($G88&lt;Hta_30,$G88&gt;=Hba_30,Input!AB$50&lt;&gt;""),Input!$B$50&amp;";","")),"")</f>
        <v/>
      </c>
      <c r="CD88" s="25" t="str">
        <f>IFERROR(CONCATENATE(IF(AND($G88&lt;Hta_1,$G88&gt;=Hba_1,Input!AC$21&lt;&gt;""),Input!$B$21&amp;";",""),IF(AND($G88&lt;Hta_2,$G88&gt;=Hba_2,Input!AC$22&lt;&gt;""),Input!$B$22&amp;";",""),IF(AND($G88&lt;Hta_3,$G88&gt;=Hba_3,Input!AC$23&lt;&gt;""),Input!$B$23&amp;";",""),IF(AND($G88&lt;Hta_4,$G88&gt;=Hba_4,Input!AC$24&lt;&gt;""),Input!$B$24&amp;";",""),IF(AND($G88&lt;Hta_5,$G88&gt;=Hba_5,Input!AC$25&lt;&gt;""),Input!$B$25&amp;";",""),IF(AND($G88&lt;Hta_6,$G88&gt;=Hba_6,Input!AC$26&lt;&gt;""),Input!$B$26&amp;";",""),IF(AND($G88&lt;Hta_7,$G88&gt;=Hba_7,Input!AC$27&lt;&gt;""),Input!$B$27&amp;";",""),IF(AND($G88&lt;Hta_8,$G88&gt;=Hba_8,Input!AC$28&lt;&gt;""),Input!$B$28&amp;";",""),IF(AND($G88&lt;Hta_9,$G88&gt;=Hba_9,Input!AC$29&lt;&gt;""),Input!$B$29&amp;";",""),IF(AND($G88&lt;Hta_10,$G88&gt;=Hba_10,Input!AC$30&lt;&gt;""),Input!$B$30&amp;";",""),IF(AND($G88&lt;Hta_11,$G88&gt;=Hba_11,Input!AC$31&lt;&gt;""),Input!$B$31&amp;";",""),IF(AND($G88&lt;Hta_12,$G88&gt;=Hba_12,Input!AC$32&lt;&gt;""),Input!$B$32&amp;";",""),IF(AND($G88&lt;Hta_13,$G88&gt;=Hba_13,Input!AC$33&lt;&gt;""),Input!$B$33&amp;";",""),IF(AND($G88&lt;Hta_14,$G88&gt;=Hba_14,Input!AC$34&lt;&gt;""),Input!$B$34&amp;";",""),IF(AND($G88&lt;Hta_15,$G88&gt;=Hba_15,Input!AC$35&lt;&gt;""),Input!$B$35&amp;";",""),IF(AND($G88&lt;Hta_16,$G88&gt;=Hba_16,Input!AC$36&lt;&gt;""),Input!$B$36&amp;";",""),IF(AND($G88&lt;Hta_17,$G88&gt;=Hba_17,Input!AC$37&lt;&gt;""),Input!$B$37&amp;";",""),IF(AND($G88&lt;Hta_18,$G88&gt;=Hba_18,Input!AC$38&lt;&gt;""),Input!$B$38&amp;";",""),IF(AND($G88&lt;Hta_19,$G88&gt;=Hba_19,Input!AC$39&lt;&gt;""),Input!$B$39&amp;";",""),IF(AND($G88&lt;Hta_20,$G88&gt;=Hba_20,Input!AC$40&lt;&gt;""),Input!$B$40&amp;";",""),IF(AND($G88&lt;Hta_21,$G88&gt;=Hba_21,Input!AC$41&lt;&gt;""),Input!$B$41&amp;";",""),IF(AND($G88&lt;Hta_22,$G88&gt;=Hba_22,Input!AC$42&lt;&gt;""),Input!$B$42&amp;";",""),IF(AND($G88&lt;Hta_23,$G88&gt;=Hba_23,Input!AC$43&lt;&gt;""),Input!$B$43&amp;";",""),IF(AND($G88&lt;Hta_24,$G88&gt;=Hba_24,Input!AC$44&lt;&gt;""),Input!$B$44&amp;";",""),IF(AND($G88&lt;Hta_25,$G88&gt;=Hba_25,Input!AC$45&lt;&gt;""),Input!$B$45&amp;";",""),IF(AND($G88&lt;Hta_26,$G88&gt;=Hba_26,Input!AC$46&lt;&gt;""),Input!$B$46&amp;";",""),IF(AND($G88&lt;Hta_27,$G88&gt;=Hba_27,Input!AC$47&lt;&gt;""),Input!$B$47&amp;";",""),IF(AND($G88&lt;Hta_28,$G88&gt;=Hba_28,Input!AC$48&lt;&gt;""),Input!$B$48&amp;";",""),IF(AND($G88&lt;Hta_29,$G88&gt;=Hba_29,Input!AC$49&lt;&gt;""),Input!$B$49&amp;";",""),IF(AND($G88&lt;Hta_30,$G88&gt;=Hba_30,Input!AC$50&lt;&gt;""),Input!$B$50&amp;";","")),"")</f>
        <v/>
      </c>
      <c r="CE88" s="25" t="str">
        <f>IFERROR(CONCATENATE(IF(AND($G88&lt;Hta_1,$G88&gt;=Hba_1,Input!AD$21&lt;&gt;""),Input!$B$21&amp;";",""),IF(AND($G88&lt;Hta_2,$G88&gt;=Hba_2,Input!AD$22&lt;&gt;""),Input!$B$22&amp;";",""),IF(AND($G88&lt;Hta_3,$G88&gt;=Hba_3,Input!AD$23&lt;&gt;""),Input!$B$23&amp;";",""),IF(AND($G88&lt;Hta_4,$G88&gt;=Hba_4,Input!AD$24&lt;&gt;""),Input!$B$24&amp;";",""),IF(AND($G88&lt;Hta_5,$G88&gt;=Hba_5,Input!AD$25&lt;&gt;""),Input!$B$25&amp;";",""),IF(AND($G88&lt;Hta_6,$G88&gt;=Hba_6,Input!AD$26&lt;&gt;""),Input!$B$26&amp;";",""),IF(AND($G88&lt;Hta_7,$G88&gt;=Hba_7,Input!AD$27&lt;&gt;""),Input!$B$27&amp;";",""),IF(AND($G88&lt;Hta_8,$G88&gt;=Hba_8,Input!AD$28&lt;&gt;""),Input!$B$28&amp;";",""),IF(AND($G88&lt;Hta_9,$G88&gt;=Hba_9,Input!AD$29&lt;&gt;""),Input!$B$29&amp;";",""),IF(AND($G88&lt;Hta_10,$G88&gt;=Hba_10,Input!AD$30&lt;&gt;""),Input!$B$30&amp;";",""),IF(AND($G88&lt;Hta_11,$G88&gt;=Hba_11,Input!AD$31&lt;&gt;""),Input!$B$31&amp;";",""),IF(AND($G88&lt;Hta_12,$G88&gt;=Hba_12,Input!AD$32&lt;&gt;""),Input!$B$32&amp;";",""),IF(AND($G88&lt;Hta_13,$G88&gt;=Hba_13,Input!AD$33&lt;&gt;""),Input!$B$33&amp;";",""),IF(AND($G88&lt;Hta_14,$G88&gt;=Hba_14,Input!AD$34&lt;&gt;""),Input!$B$34&amp;";",""),IF(AND($G88&lt;Hta_15,$G88&gt;=Hba_15,Input!AD$35&lt;&gt;""),Input!$B$35&amp;";",""),IF(AND($G88&lt;Hta_16,$G88&gt;=Hba_16,Input!AD$36&lt;&gt;""),Input!$B$36&amp;";",""),IF(AND($G88&lt;Hta_17,$G88&gt;=Hba_17,Input!AD$37&lt;&gt;""),Input!$B$37&amp;";",""),IF(AND($G88&lt;Hta_18,$G88&gt;=Hba_18,Input!AD$38&lt;&gt;""),Input!$B$38&amp;";",""),IF(AND($G88&lt;Hta_19,$G88&gt;=Hba_19,Input!AD$39&lt;&gt;""),Input!$B$39&amp;";",""),IF(AND($G88&lt;Hta_20,$G88&gt;=Hba_20,Input!AD$40&lt;&gt;""),Input!$B$40&amp;";",""),IF(AND($G88&lt;Hta_21,$G88&gt;=Hba_21,Input!AD$41&lt;&gt;""),Input!$B$41&amp;";",""),IF(AND($G88&lt;Hta_22,$G88&gt;=Hba_22,Input!AD$42&lt;&gt;""),Input!$B$42&amp;";",""),IF(AND($G88&lt;Hta_23,$G88&gt;=Hba_23,Input!AD$43&lt;&gt;""),Input!$B$43&amp;";",""),IF(AND($G88&lt;Hta_24,$G88&gt;=Hba_24,Input!AD$44&lt;&gt;""),Input!$B$44&amp;";",""),IF(AND($G88&lt;Hta_25,$G88&gt;=Hba_25,Input!AD$45&lt;&gt;""),Input!$B$45&amp;";",""),IF(AND($G88&lt;Hta_26,$G88&gt;=Hba_26,Input!AD$46&lt;&gt;""),Input!$B$46&amp;";",""),IF(AND($G88&lt;Hta_27,$G88&gt;=Hba_27,Input!AD$47&lt;&gt;""),Input!$B$47&amp;";",""),IF(AND($G88&lt;Hta_28,$G88&gt;=Hba_28,Input!AD$48&lt;&gt;""),Input!$B$48&amp;";",""),IF(AND($G88&lt;Hta_29,$G88&gt;=Hba_29,Input!AD$49&lt;&gt;""),Input!$B$49&amp;";",""),IF(AND($G88&lt;Hta_30,$G88&gt;=Hba_30,Input!AD$50&lt;&gt;""),Input!$B$50&amp;";","")),"")</f>
        <v/>
      </c>
      <c r="CF88" s="25" t="str">
        <f>IFERROR(CONCATENATE(IF(AND($G88&lt;Hta_1,$G88&gt;=Hba_1,Input!AE$21&lt;&gt;""),Input!$B$21&amp;";",""),IF(AND($G88&lt;Hta_2,$G88&gt;=Hba_2,Input!AE$22&lt;&gt;""),Input!$B$22&amp;";",""),IF(AND($G88&lt;Hta_3,$G88&gt;=Hba_3,Input!AE$23&lt;&gt;""),Input!$B$23&amp;";",""),IF(AND($G88&lt;Hta_4,$G88&gt;=Hba_4,Input!AE$24&lt;&gt;""),Input!$B$24&amp;";",""),IF(AND($G88&lt;Hta_5,$G88&gt;=Hba_5,Input!AE$25&lt;&gt;""),Input!$B$25&amp;";",""),IF(AND($G88&lt;Hta_6,$G88&gt;=Hba_6,Input!AE$26&lt;&gt;""),Input!$B$26&amp;";",""),IF(AND($G88&lt;Hta_7,$G88&gt;=Hba_7,Input!AE$27&lt;&gt;""),Input!$B$27&amp;";",""),IF(AND($G88&lt;Hta_8,$G88&gt;=Hba_8,Input!AE$28&lt;&gt;""),Input!$B$28&amp;";",""),IF(AND($G88&lt;Hta_9,$G88&gt;=Hba_9,Input!AE$29&lt;&gt;""),Input!$B$29&amp;";",""),IF(AND($G88&lt;Hta_10,$G88&gt;=Hba_10,Input!AE$30&lt;&gt;""),Input!$B$30&amp;";",""),IF(AND($G88&lt;Hta_11,$G88&gt;=Hba_11,Input!AE$31&lt;&gt;""),Input!$B$31&amp;";",""),IF(AND($G88&lt;Hta_12,$G88&gt;=Hba_12,Input!AE$32&lt;&gt;""),Input!$B$32&amp;";",""),IF(AND($G88&lt;Hta_13,$G88&gt;=Hba_13,Input!AE$33&lt;&gt;""),Input!$B$33&amp;";",""),IF(AND($G88&lt;Hta_14,$G88&gt;=Hba_14,Input!AE$34&lt;&gt;""),Input!$B$34&amp;";",""),IF(AND($G88&lt;Hta_15,$G88&gt;=Hba_15,Input!AE$35&lt;&gt;""),Input!$B$35&amp;";",""),IF(AND($G88&lt;Hta_16,$G88&gt;=Hba_16,Input!AE$36&lt;&gt;""),Input!$B$36&amp;";",""),IF(AND($G88&lt;Hta_17,$G88&gt;=Hba_17,Input!AE$37&lt;&gt;""),Input!$B$37&amp;";",""),IF(AND($G88&lt;Hta_18,$G88&gt;=Hba_18,Input!AE$38&lt;&gt;""),Input!$B$38&amp;";",""),IF(AND($G88&lt;Hta_19,$G88&gt;=Hba_19,Input!AE$39&lt;&gt;""),Input!$B$39&amp;";",""),IF(AND($G88&lt;Hta_20,$G88&gt;=Hba_20,Input!AE$40&lt;&gt;""),Input!$B$40&amp;";",""),IF(AND($G88&lt;Hta_21,$G88&gt;=Hba_21,Input!AE$41&lt;&gt;""),Input!$B$41&amp;";",""),IF(AND($G88&lt;Hta_22,$G88&gt;=Hba_22,Input!AE$42&lt;&gt;""),Input!$B$42&amp;";",""),IF(AND($G88&lt;Hta_23,$G88&gt;=Hba_23,Input!AE$43&lt;&gt;""),Input!$B$43&amp;";",""),IF(AND($G88&lt;Hta_24,$G88&gt;=Hba_24,Input!AE$44&lt;&gt;""),Input!$B$44&amp;";",""),IF(AND($G88&lt;Hta_25,$G88&gt;=Hba_25,Input!AE$45&lt;&gt;""),Input!$B$45&amp;";",""),IF(AND($G88&lt;Hta_26,$G88&gt;=Hba_26,Input!AE$46&lt;&gt;""),Input!$B$46&amp;";",""),IF(AND($G88&lt;Hta_27,$G88&gt;=Hba_27,Input!AE$47&lt;&gt;""),Input!$B$47&amp;";",""),IF(AND($G88&lt;Hta_28,$G88&gt;=Hba_28,Input!AE$48&lt;&gt;""),Input!$B$48&amp;";",""),IF(AND($G88&lt;Hta_29,$G88&gt;=Hba_29,Input!AE$49&lt;&gt;""),Input!$B$49&amp;";",""),IF(AND($G88&lt;Hta_30,$G88&gt;=Hba_30,Input!AE$50&lt;&gt;""),Input!$B$50&amp;";","")),"")</f>
        <v/>
      </c>
      <c r="CG88" s="25" t="str">
        <f>IFERROR(CONCATENATE(IF(AND($G88&lt;Hta_1,$G88&gt;=Hba_1,Input!AF$21&lt;&gt;""),Input!$B$21&amp;";",""),IF(AND($G88&lt;Hta_2,$G88&gt;=Hba_2,Input!AF$22&lt;&gt;""),Input!$B$22&amp;";",""),IF(AND($G88&lt;Hta_3,$G88&gt;=Hba_3,Input!AF$23&lt;&gt;""),Input!$B$23&amp;";",""),IF(AND($G88&lt;Hta_4,$G88&gt;=Hba_4,Input!AF$24&lt;&gt;""),Input!$B$24&amp;";",""),IF(AND($G88&lt;Hta_5,$G88&gt;=Hba_5,Input!AF$25&lt;&gt;""),Input!$B$25&amp;";",""),IF(AND($G88&lt;Hta_6,$G88&gt;=Hba_6,Input!AF$26&lt;&gt;""),Input!$B$26&amp;";",""),IF(AND($G88&lt;Hta_7,$G88&gt;=Hba_7,Input!AF$27&lt;&gt;""),Input!$B$27&amp;";",""),IF(AND($G88&lt;Hta_8,$G88&gt;=Hba_8,Input!AF$28&lt;&gt;""),Input!$B$28&amp;";",""),IF(AND($G88&lt;Hta_9,$G88&gt;=Hba_9,Input!AF$29&lt;&gt;""),Input!$B$29&amp;";",""),IF(AND($G88&lt;Hta_10,$G88&gt;=Hba_10,Input!AF$30&lt;&gt;""),Input!$B$30&amp;";",""),IF(AND($G88&lt;Hta_11,$G88&gt;=Hba_11,Input!AF$31&lt;&gt;""),Input!$B$31&amp;";",""),IF(AND($G88&lt;Hta_12,$G88&gt;=Hba_12,Input!AF$32&lt;&gt;""),Input!$B$32&amp;";",""),IF(AND($G88&lt;Hta_13,$G88&gt;=Hba_13,Input!AF$33&lt;&gt;""),Input!$B$33&amp;";",""),IF(AND($G88&lt;Hta_14,$G88&gt;=Hba_14,Input!AF$34&lt;&gt;""),Input!$B$34&amp;";",""),IF(AND($G88&lt;Hta_15,$G88&gt;=Hba_15,Input!AF$35&lt;&gt;""),Input!$B$35&amp;";",""),IF(AND($G88&lt;Hta_16,$G88&gt;=Hba_16,Input!AF$36&lt;&gt;""),Input!$B$36&amp;";",""),IF(AND($G88&lt;Hta_17,$G88&gt;=Hba_17,Input!AF$37&lt;&gt;""),Input!$B$37&amp;";",""),IF(AND($G88&lt;Hta_18,$G88&gt;=Hba_18,Input!AF$38&lt;&gt;""),Input!$B$38&amp;";",""),IF(AND($G88&lt;Hta_19,$G88&gt;=Hba_19,Input!AF$39&lt;&gt;""),Input!$B$39&amp;";",""),IF(AND($G88&lt;Hta_20,$G88&gt;=Hba_20,Input!AF$40&lt;&gt;""),Input!$B$40&amp;";",""),IF(AND($G88&lt;Hta_21,$G88&gt;=Hba_21,Input!AF$41&lt;&gt;""),Input!$B$41&amp;";",""),IF(AND($G88&lt;Hta_22,$G88&gt;=Hba_22,Input!AF$42&lt;&gt;""),Input!$B$42&amp;";",""),IF(AND($G88&lt;Hta_23,$G88&gt;=Hba_23,Input!AF$43&lt;&gt;""),Input!$B$43&amp;";",""),IF(AND($G88&lt;Hta_24,$G88&gt;=Hba_24,Input!AF$44&lt;&gt;""),Input!$B$44&amp;";",""),IF(AND($G88&lt;Hta_25,$G88&gt;=Hba_25,Input!AF$45&lt;&gt;""),Input!$B$45&amp;";",""),IF(AND($G88&lt;Hta_26,$G88&gt;=Hba_26,Input!AF$46&lt;&gt;""),Input!$B$46&amp;";",""),IF(AND($G88&lt;Hta_27,$G88&gt;=Hba_27,Input!AF$47&lt;&gt;""),Input!$B$47&amp;";",""),IF(AND($G88&lt;Hta_28,$G88&gt;=Hba_28,Input!AF$48&lt;&gt;""),Input!$B$48&amp;";",""),IF(AND($G88&lt;Hta_29,$G88&gt;=Hba_29,Input!AF$49&lt;&gt;""),Input!$B$49&amp;";",""),IF(AND($G88&lt;Hta_30,$G88&gt;=Hba_30,Input!AF$50&lt;&gt;""),Input!$B$50&amp;";","")),"")</f>
        <v/>
      </c>
      <c r="CH88" s="25" t="str">
        <f>IFERROR(CONCATENATE(IF(AND($G88&lt;Hta_1,$G88&gt;=Hba_1,Input!AG$21&lt;&gt;""),Input!$B$21&amp;";",""),IF(AND($G88&lt;Hta_2,$G88&gt;=Hba_2,Input!AG$22&lt;&gt;""),Input!$B$22&amp;";",""),IF(AND($G88&lt;Hta_3,$G88&gt;=Hba_3,Input!AG$23&lt;&gt;""),Input!$B$23&amp;";",""),IF(AND($G88&lt;Hta_4,$G88&gt;=Hba_4,Input!AG$24&lt;&gt;""),Input!$B$24&amp;";",""),IF(AND($G88&lt;Hta_5,$G88&gt;=Hba_5,Input!AG$25&lt;&gt;""),Input!$B$25&amp;";",""),IF(AND($G88&lt;Hta_6,$G88&gt;=Hba_6,Input!AG$26&lt;&gt;""),Input!$B$26&amp;";",""),IF(AND($G88&lt;Hta_7,$G88&gt;=Hba_7,Input!AG$27&lt;&gt;""),Input!$B$27&amp;";",""),IF(AND($G88&lt;Hta_8,$G88&gt;=Hba_8,Input!AG$28&lt;&gt;""),Input!$B$28&amp;";",""),IF(AND($G88&lt;Hta_9,$G88&gt;=Hba_9,Input!AG$29&lt;&gt;""),Input!$B$29&amp;";",""),IF(AND($G88&lt;Hta_10,$G88&gt;=Hba_10,Input!AG$30&lt;&gt;""),Input!$B$30&amp;";",""),IF(AND($G88&lt;Hta_11,$G88&gt;=Hba_11,Input!AG$31&lt;&gt;""),Input!$B$31&amp;";",""),IF(AND($G88&lt;Hta_12,$G88&gt;=Hba_12,Input!AG$32&lt;&gt;""),Input!$B$32&amp;";",""),IF(AND($G88&lt;Hta_13,$G88&gt;=Hba_13,Input!AG$33&lt;&gt;""),Input!$B$33&amp;";",""),IF(AND($G88&lt;Hta_14,$G88&gt;=Hba_14,Input!AG$34&lt;&gt;""),Input!$B$34&amp;";",""),IF(AND($G88&lt;Hta_15,$G88&gt;=Hba_15,Input!AG$35&lt;&gt;""),Input!$B$35&amp;";",""),IF(AND($G88&lt;Hta_16,$G88&gt;=Hba_16,Input!AG$36&lt;&gt;""),Input!$B$36&amp;";",""),IF(AND($G88&lt;Hta_17,$G88&gt;=Hba_17,Input!AG$37&lt;&gt;""),Input!$B$37&amp;";",""),IF(AND($G88&lt;Hta_18,$G88&gt;=Hba_18,Input!AG$38&lt;&gt;""),Input!$B$38&amp;";",""),IF(AND($G88&lt;Hta_19,$G88&gt;=Hba_19,Input!AG$39&lt;&gt;""),Input!$B$39&amp;";",""),IF(AND($G88&lt;Hta_20,$G88&gt;=Hba_20,Input!AG$40&lt;&gt;""),Input!$B$40&amp;";",""),IF(AND($G88&lt;Hta_21,$G88&gt;=Hba_21,Input!AG$41&lt;&gt;""),Input!$B$41&amp;";",""),IF(AND($G88&lt;Hta_22,$G88&gt;=Hba_22,Input!AG$42&lt;&gt;""),Input!$B$42&amp;";",""),IF(AND($G88&lt;Hta_23,$G88&gt;=Hba_23,Input!AG$43&lt;&gt;""),Input!$B$43&amp;";",""),IF(AND($G88&lt;Hta_24,$G88&gt;=Hba_24,Input!AG$44&lt;&gt;""),Input!$B$44&amp;";",""),IF(AND($G88&lt;Hta_25,$G88&gt;=Hba_25,Input!AG$45&lt;&gt;""),Input!$B$45&amp;";",""),IF(AND($G88&lt;Hta_26,$G88&gt;=Hba_26,Input!AG$46&lt;&gt;""),Input!$B$46&amp;";",""),IF(AND($G88&lt;Hta_27,$G88&gt;=Hba_27,Input!AG$47&lt;&gt;""),Input!$B$47&amp;";",""),IF(AND($G88&lt;Hta_28,$G88&gt;=Hba_28,Input!AG$48&lt;&gt;""),Input!$B$48&amp;";",""),IF(AND($G88&lt;Hta_29,$G88&gt;=Hba_29,Input!AG$49&lt;&gt;""),Input!$B$49&amp;";",""),IF(AND($G88&lt;Hta_30,$G88&gt;=Hba_30,Input!AG$50&lt;&gt;""),Input!$B$50&amp;";","")),"")</f>
        <v/>
      </c>
      <c r="CI88" s="25" t="str">
        <f>IFERROR(CONCATENATE(IF(AND($G88&lt;Hta_1,$G88&gt;=Hba_1,Input!AH$21&lt;&gt;""),Input!$B$21&amp;";",""),IF(AND($G88&lt;Hta_2,$G88&gt;=Hba_2,Input!AH$22&lt;&gt;""),Input!$B$22&amp;";",""),IF(AND($G88&lt;Hta_3,$G88&gt;=Hba_3,Input!AH$23&lt;&gt;""),Input!$B$23&amp;";",""),IF(AND($G88&lt;Hta_4,$G88&gt;=Hba_4,Input!AH$24&lt;&gt;""),Input!$B$24&amp;";",""),IF(AND($G88&lt;Hta_5,$G88&gt;=Hba_5,Input!AH$25&lt;&gt;""),Input!$B$25&amp;";",""),IF(AND($G88&lt;Hta_6,$G88&gt;=Hba_6,Input!AH$26&lt;&gt;""),Input!$B$26&amp;";",""),IF(AND($G88&lt;Hta_7,$G88&gt;=Hba_7,Input!AH$27&lt;&gt;""),Input!$B$27&amp;";",""),IF(AND($G88&lt;Hta_8,$G88&gt;=Hba_8,Input!AH$28&lt;&gt;""),Input!$B$28&amp;";",""),IF(AND($G88&lt;Hta_9,$G88&gt;=Hba_9,Input!AH$29&lt;&gt;""),Input!$B$29&amp;";",""),IF(AND($G88&lt;Hta_10,$G88&gt;=Hba_10,Input!AH$30&lt;&gt;""),Input!$B$30&amp;";",""),IF(AND($G88&lt;Hta_11,$G88&gt;=Hba_11,Input!AH$31&lt;&gt;""),Input!$B$31&amp;";",""),IF(AND($G88&lt;Hta_12,$G88&gt;=Hba_12,Input!AH$32&lt;&gt;""),Input!$B$32&amp;";",""),IF(AND($G88&lt;Hta_13,$G88&gt;=Hba_13,Input!AH$33&lt;&gt;""),Input!$B$33&amp;";",""),IF(AND($G88&lt;Hta_14,$G88&gt;=Hba_14,Input!AH$34&lt;&gt;""),Input!$B$34&amp;";",""),IF(AND($G88&lt;Hta_15,$G88&gt;=Hba_15,Input!AH$35&lt;&gt;""),Input!$B$35&amp;";",""),IF(AND($G88&lt;Hta_16,$G88&gt;=Hba_16,Input!AH$36&lt;&gt;""),Input!$B$36&amp;";",""),IF(AND($G88&lt;Hta_17,$G88&gt;=Hba_17,Input!AH$37&lt;&gt;""),Input!$B$37&amp;";",""),IF(AND($G88&lt;Hta_18,$G88&gt;=Hba_18,Input!AH$38&lt;&gt;""),Input!$B$38&amp;";",""),IF(AND($G88&lt;Hta_19,$G88&gt;=Hba_19,Input!AH$39&lt;&gt;""),Input!$B$39&amp;";",""),IF(AND($G88&lt;Hta_20,$G88&gt;=Hba_20,Input!AH$40&lt;&gt;""),Input!$B$40&amp;";",""),IF(AND($G88&lt;Hta_21,$G88&gt;=Hba_21,Input!AH$41&lt;&gt;""),Input!$B$41&amp;";",""),IF(AND($G88&lt;Hta_22,$G88&gt;=Hba_22,Input!AH$42&lt;&gt;""),Input!$B$42&amp;";",""),IF(AND($G88&lt;Hta_23,$G88&gt;=Hba_23,Input!AH$43&lt;&gt;""),Input!$B$43&amp;";",""),IF(AND($G88&lt;Hta_24,$G88&gt;=Hba_24,Input!AH$44&lt;&gt;""),Input!$B$44&amp;";",""),IF(AND($G88&lt;Hta_25,$G88&gt;=Hba_25,Input!AH$45&lt;&gt;""),Input!$B$45&amp;";",""),IF(AND($G88&lt;Hta_26,$G88&gt;=Hba_26,Input!AH$46&lt;&gt;""),Input!$B$46&amp;";",""),IF(AND($G88&lt;Hta_27,$G88&gt;=Hba_27,Input!AH$47&lt;&gt;""),Input!$B$47&amp;";",""),IF(AND($G88&lt;Hta_28,$G88&gt;=Hba_28,Input!AH$48&lt;&gt;""),Input!$B$48&amp;";",""),IF(AND($G88&lt;Hta_29,$G88&gt;=Hba_29,Input!AH$49&lt;&gt;""),Input!$B$49&amp;";",""),IF(AND($G88&lt;Hta_30,$G88&gt;=Hba_30,Input!AH$50&lt;&gt;""),Input!$B$50&amp;";","")),"")</f>
        <v/>
      </c>
      <c r="CJ88" s="25" t="str">
        <f>IFERROR(CONCATENATE(IF(AND($G88&lt;Hta_1,$G88&gt;=Hba_1,Input!AI$21&lt;&gt;""),Input!$B$21&amp;";",""),IF(AND($G88&lt;Hta_2,$G88&gt;=Hba_2,Input!AI$22&lt;&gt;""),Input!$B$22&amp;";",""),IF(AND($G88&lt;Hta_3,$G88&gt;=Hba_3,Input!AI$23&lt;&gt;""),Input!$B$23&amp;";",""),IF(AND($G88&lt;Hta_4,$G88&gt;=Hba_4,Input!AI$24&lt;&gt;""),Input!$B$24&amp;";",""),IF(AND($G88&lt;Hta_5,$G88&gt;=Hba_5,Input!AI$25&lt;&gt;""),Input!$B$25&amp;";",""),IF(AND($G88&lt;Hta_6,$G88&gt;=Hba_6,Input!AI$26&lt;&gt;""),Input!$B$26&amp;";",""),IF(AND($G88&lt;Hta_7,$G88&gt;=Hba_7,Input!AI$27&lt;&gt;""),Input!$B$27&amp;";",""),IF(AND($G88&lt;Hta_8,$G88&gt;=Hba_8,Input!AI$28&lt;&gt;""),Input!$B$28&amp;";",""),IF(AND($G88&lt;Hta_9,$G88&gt;=Hba_9,Input!AI$29&lt;&gt;""),Input!$B$29&amp;";",""),IF(AND($G88&lt;Hta_10,$G88&gt;=Hba_10,Input!AI$30&lt;&gt;""),Input!$B$30&amp;";",""),IF(AND($G88&lt;Hta_11,$G88&gt;=Hba_11,Input!AI$31&lt;&gt;""),Input!$B$31&amp;";",""),IF(AND($G88&lt;Hta_12,$G88&gt;=Hba_12,Input!AI$32&lt;&gt;""),Input!$B$32&amp;";",""),IF(AND($G88&lt;Hta_13,$G88&gt;=Hba_13,Input!AI$33&lt;&gt;""),Input!$B$33&amp;";",""),IF(AND($G88&lt;Hta_14,$G88&gt;=Hba_14,Input!AI$34&lt;&gt;""),Input!$B$34&amp;";",""),IF(AND($G88&lt;Hta_15,$G88&gt;=Hba_15,Input!AI$35&lt;&gt;""),Input!$B$35&amp;";",""),IF(AND($G88&lt;Hta_16,$G88&gt;=Hba_16,Input!AI$36&lt;&gt;""),Input!$B$36&amp;";",""),IF(AND($G88&lt;Hta_17,$G88&gt;=Hba_17,Input!AI$37&lt;&gt;""),Input!$B$37&amp;";",""),IF(AND($G88&lt;Hta_18,$G88&gt;=Hba_18,Input!AI$38&lt;&gt;""),Input!$B$38&amp;";",""),IF(AND($G88&lt;Hta_19,$G88&gt;=Hba_19,Input!AI$39&lt;&gt;""),Input!$B$39&amp;";",""),IF(AND($G88&lt;Hta_20,$G88&gt;=Hba_20,Input!AI$40&lt;&gt;""),Input!$B$40&amp;";",""),IF(AND($G88&lt;Hta_21,$G88&gt;=Hba_21,Input!AI$41&lt;&gt;""),Input!$B$41&amp;";",""),IF(AND($G88&lt;Hta_22,$G88&gt;=Hba_22,Input!AI$42&lt;&gt;""),Input!$B$42&amp;";",""),IF(AND($G88&lt;Hta_23,$G88&gt;=Hba_23,Input!AI$43&lt;&gt;""),Input!$B$43&amp;";",""),IF(AND($G88&lt;Hta_24,$G88&gt;=Hba_24,Input!AI$44&lt;&gt;""),Input!$B$44&amp;";",""),IF(AND($G88&lt;Hta_25,$G88&gt;=Hba_25,Input!AI$45&lt;&gt;""),Input!$B$45&amp;";",""),IF(AND($G88&lt;Hta_26,$G88&gt;=Hba_26,Input!AI$46&lt;&gt;""),Input!$B$46&amp;";",""),IF(AND($G88&lt;Hta_27,$G88&gt;=Hba_27,Input!AI$47&lt;&gt;""),Input!$B$47&amp;";",""),IF(AND($G88&lt;Hta_28,$G88&gt;=Hba_28,Input!AI$48&lt;&gt;""),Input!$B$48&amp;";",""),IF(AND($G88&lt;Hta_29,$G88&gt;=Hba_29,Input!AI$49&lt;&gt;""),Input!$B$49&amp;";",""),IF(AND($G88&lt;Hta_30,$G88&gt;=Hba_30,Input!AI$50&lt;&gt;""),Input!$B$50&amp;";","")),"")</f>
        <v/>
      </c>
      <c r="CK88" s="25" t="str">
        <f>IFERROR(CONCATENATE(IF(AND($G88&lt;Hta_1,$G88&gt;=Hba_1,Input!AJ$21&lt;&gt;""),Input!$B$21&amp;";",""),IF(AND($G88&lt;Hta_2,$G88&gt;=Hba_2,Input!AJ$22&lt;&gt;""),Input!$B$22&amp;";",""),IF(AND($G88&lt;Hta_3,$G88&gt;=Hba_3,Input!AJ$23&lt;&gt;""),Input!$B$23&amp;";",""),IF(AND($G88&lt;Hta_4,$G88&gt;=Hba_4,Input!AJ$24&lt;&gt;""),Input!$B$24&amp;";",""),IF(AND($G88&lt;Hta_5,$G88&gt;=Hba_5,Input!AJ$25&lt;&gt;""),Input!$B$25&amp;";",""),IF(AND($G88&lt;Hta_6,$G88&gt;=Hba_6,Input!AJ$26&lt;&gt;""),Input!$B$26&amp;";",""),IF(AND($G88&lt;Hta_7,$G88&gt;=Hba_7,Input!AJ$27&lt;&gt;""),Input!$B$27&amp;";",""),IF(AND($G88&lt;Hta_8,$G88&gt;=Hba_8,Input!AJ$28&lt;&gt;""),Input!$B$28&amp;";",""),IF(AND($G88&lt;Hta_9,$G88&gt;=Hba_9,Input!AJ$29&lt;&gt;""),Input!$B$29&amp;";",""),IF(AND($G88&lt;Hta_10,$G88&gt;=Hba_10,Input!AJ$30&lt;&gt;""),Input!$B$30&amp;";",""),IF(AND($G88&lt;Hta_11,$G88&gt;=Hba_11,Input!AJ$31&lt;&gt;""),Input!$B$31&amp;";",""),IF(AND($G88&lt;Hta_12,$G88&gt;=Hba_12,Input!AJ$32&lt;&gt;""),Input!$B$32&amp;";",""),IF(AND($G88&lt;Hta_13,$G88&gt;=Hba_13,Input!AJ$33&lt;&gt;""),Input!$B$33&amp;";",""),IF(AND($G88&lt;Hta_14,$G88&gt;=Hba_14,Input!AJ$34&lt;&gt;""),Input!$B$34&amp;";",""),IF(AND($G88&lt;Hta_15,$G88&gt;=Hba_15,Input!AJ$35&lt;&gt;""),Input!$B$35&amp;";",""),IF(AND($G88&lt;Hta_16,$G88&gt;=Hba_16,Input!AJ$36&lt;&gt;""),Input!$B$36&amp;";",""),IF(AND($G88&lt;Hta_17,$G88&gt;=Hba_17,Input!AJ$37&lt;&gt;""),Input!$B$37&amp;";",""),IF(AND($G88&lt;Hta_18,$G88&gt;=Hba_18,Input!AJ$38&lt;&gt;""),Input!$B$38&amp;";",""),IF(AND($G88&lt;Hta_19,$G88&gt;=Hba_19,Input!AJ$39&lt;&gt;""),Input!$B$39&amp;";",""),IF(AND($G88&lt;Hta_20,$G88&gt;=Hba_20,Input!AJ$40&lt;&gt;""),Input!$B$40&amp;";",""),IF(AND($G88&lt;Hta_21,$G88&gt;=Hba_21,Input!AJ$41&lt;&gt;""),Input!$B$41&amp;";",""),IF(AND($G88&lt;Hta_22,$G88&gt;=Hba_22,Input!AJ$42&lt;&gt;""),Input!$B$42&amp;";",""),IF(AND($G88&lt;Hta_23,$G88&gt;=Hba_23,Input!AJ$43&lt;&gt;""),Input!$B$43&amp;";",""),IF(AND($G88&lt;Hta_24,$G88&gt;=Hba_24,Input!AJ$44&lt;&gt;""),Input!$B$44&amp;";",""),IF(AND($G88&lt;Hta_25,$G88&gt;=Hba_25,Input!AJ$45&lt;&gt;""),Input!$B$45&amp;";",""),IF(AND($G88&lt;Hta_26,$G88&gt;=Hba_26,Input!AJ$46&lt;&gt;""),Input!$B$46&amp;";",""),IF(AND($G88&lt;Hta_27,$G88&gt;=Hba_27,Input!AJ$47&lt;&gt;""),Input!$B$47&amp;";",""),IF(AND($G88&lt;Hta_28,$G88&gt;=Hba_28,Input!AJ$48&lt;&gt;""),Input!$B$48&amp;";",""),IF(AND($G88&lt;Hta_29,$G88&gt;=Hba_29,Input!AJ$49&lt;&gt;""),Input!$B$49&amp;";",""),IF(AND($G88&lt;Hta_30,$G88&gt;=Hba_30,Input!AJ$50&lt;&gt;""),Input!$B$50&amp;";","")),"")</f>
        <v/>
      </c>
      <c r="CL88" s="25" t="str">
        <f>IFERROR(CONCATENATE(IF(AND($G88&lt;Hta_1,$G88&gt;=Hba_1,Input!AK$21&lt;&gt;""),Input!$B$21&amp;";",""),IF(AND($G88&lt;Hta_2,$G88&gt;=Hba_2,Input!AK$22&lt;&gt;""),Input!$B$22&amp;";",""),IF(AND($G88&lt;Hta_3,$G88&gt;=Hba_3,Input!AK$23&lt;&gt;""),Input!$B$23&amp;";",""),IF(AND($G88&lt;Hta_4,$G88&gt;=Hba_4,Input!AK$24&lt;&gt;""),Input!$B$24&amp;";",""),IF(AND($G88&lt;Hta_5,$G88&gt;=Hba_5,Input!AK$25&lt;&gt;""),Input!$B$25&amp;";",""),IF(AND($G88&lt;Hta_6,$G88&gt;=Hba_6,Input!AK$26&lt;&gt;""),Input!$B$26&amp;";",""),IF(AND($G88&lt;Hta_7,$G88&gt;=Hba_7,Input!AK$27&lt;&gt;""),Input!$B$27&amp;";",""),IF(AND($G88&lt;Hta_8,$G88&gt;=Hba_8,Input!AK$28&lt;&gt;""),Input!$B$28&amp;";",""),IF(AND($G88&lt;Hta_9,$G88&gt;=Hba_9,Input!AK$29&lt;&gt;""),Input!$B$29&amp;";",""),IF(AND($G88&lt;Hta_10,$G88&gt;=Hba_10,Input!AK$30&lt;&gt;""),Input!$B$30&amp;";",""),IF(AND($G88&lt;Hta_11,$G88&gt;=Hba_11,Input!AK$31&lt;&gt;""),Input!$B$31&amp;";",""),IF(AND($G88&lt;Hta_12,$G88&gt;=Hba_12,Input!AK$32&lt;&gt;""),Input!$B$32&amp;";",""),IF(AND($G88&lt;Hta_13,$G88&gt;=Hba_13,Input!AK$33&lt;&gt;""),Input!$B$33&amp;";",""),IF(AND($G88&lt;Hta_14,$G88&gt;=Hba_14,Input!AK$34&lt;&gt;""),Input!$B$34&amp;";",""),IF(AND($G88&lt;Hta_15,$G88&gt;=Hba_15,Input!AK$35&lt;&gt;""),Input!$B$35&amp;";",""),IF(AND($G88&lt;Hta_16,$G88&gt;=Hba_16,Input!AK$36&lt;&gt;""),Input!$B$36&amp;";",""),IF(AND($G88&lt;Hta_17,$G88&gt;=Hba_17,Input!AK$37&lt;&gt;""),Input!$B$37&amp;";",""),IF(AND($G88&lt;Hta_18,$G88&gt;=Hba_18,Input!AK$38&lt;&gt;""),Input!$B$38&amp;";",""),IF(AND($G88&lt;Hta_19,$G88&gt;=Hba_19,Input!AK$39&lt;&gt;""),Input!$B$39&amp;";",""),IF(AND($G88&lt;Hta_20,$G88&gt;=Hba_20,Input!AK$40&lt;&gt;""),Input!$B$40&amp;";",""),IF(AND($G88&lt;Hta_21,$G88&gt;=Hba_21,Input!AK$41&lt;&gt;""),Input!$B$41&amp;";",""),IF(AND($G88&lt;Hta_22,$G88&gt;=Hba_22,Input!AK$42&lt;&gt;""),Input!$B$42&amp;";",""),IF(AND($G88&lt;Hta_23,$G88&gt;=Hba_23,Input!AK$43&lt;&gt;""),Input!$B$43&amp;";",""),IF(AND($G88&lt;Hta_24,$G88&gt;=Hba_24,Input!AK$44&lt;&gt;""),Input!$B$44&amp;";",""),IF(AND($G88&lt;Hta_25,$G88&gt;=Hba_25,Input!AK$45&lt;&gt;""),Input!$B$45&amp;";",""),IF(AND($G88&lt;Hta_26,$G88&gt;=Hba_26,Input!AK$46&lt;&gt;""),Input!$B$46&amp;";",""),IF(AND($G88&lt;Hta_27,$G88&gt;=Hba_27,Input!AK$47&lt;&gt;""),Input!$B$47&amp;";",""),IF(AND($G88&lt;Hta_28,$G88&gt;=Hba_28,Input!AK$48&lt;&gt;""),Input!$B$48&amp;";",""),IF(AND($G88&lt;Hta_29,$G88&gt;=Hba_29,Input!AK$49&lt;&gt;""),Input!$B$49&amp;";",""),IF(AND($G88&lt;Hta_30,$G88&gt;=Hba_30,Input!AK$50&lt;&gt;""),Input!$B$50&amp;";","")),"")</f>
        <v/>
      </c>
      <c r="CM88" s="25" t="str">
        <f>IFERROR(CONCATENATE(IF(AND($G88&lt;Hta_1,$G88&gt;=Hba_1,Input!AL$21&lt;&gt;""),Input!$B$21&amp;";",""),IF(AND($G88&lt;Hta_2,$G88&gt;=Hba_2,Input!AL$22&lt;&gt;""),Input!$B$22&amp;";",""),IF(AND($G88&lt;Hta_3,$G88&gt;=Hba_3,Input!AL$23&lt;&gt;""),Input!$B$23&amp;";",""),IF(AND($G88&lt;Hta_4,$G88&gt;=Hba_4,Input!AL$24&lt;&gt;""),Input!$B$24&amp;";",""),IF(AND($G88&lt;Hta_5,$G88&gt;=Hba_5,Input!AL$25&lt;&gt;""),Input!$B$25&amp;";",""),IF(AND($G88&lt;Hta_6,$G88&gt;=Hba_6,Input!AL$26&lt;&gt;""),Input!$B$26&amp;";",""),IF(AND($G88&lt;Hta_7,$G88&gt;=Hba_7,Input!AL$27&lt;&gt;""),Input!$B$27&amp;";",""),IF(AND($G88&lt;Hta_8,$G88&gt;=Hba_8,Input!AL$28&lt;&gt;""),Input!$B$28&amp;";",""),IF(AND($G88&lt;Hta_9,$G88&gt;=Hba_9,Input!AL$29&lt;&gt;""),Input!$B$29&amp;";",""),IF(AND($G88&lt;Hta_10,$G88&gt;=Hba_10,Input!AL$30&lt;&gt;""),Input!$B$30&amp;";",""),IF(AND($G88&lt;Hta_11,$G88&gt;=Hba_11,Input!AL$31&lt;&gt;""),Input!$B$31&amp;";",""),IF(AND($G88&lt;Hta_12,$G88&gt;=Hba_12,Input!AL$32&lt;&gt;""),Input!$B$32&amp;";",""),IF(AND($G88&lt;Hta_13,$G88&gt;=Hba_13,Input!AL$33&lt;&gt;""),Input!$B$33&amp;";",""),IF(AND($G88&lt;Hta_14,$G88&gt;=Hba_14,Input!AL$34&lt;&gt;""),Input!$B$34&amp;";",""),IF(AND($G88&lt;Hta_15,$G88&gt;=Hba_15,Input!AL$35&lt;&gt;""),Input!$B$35&amp;";",""),IF(AND($G88&lt;Hta_16,$G88&gt;=Hba_16,Input!AL$36&lt;&gt;""),Input!$B$36&amp;";",""),IF(AND($G88&lt;Hta_17,$G88&gt;=Hba_17,Input!AL$37&lt;&gt;""),Input!$B$37&amp;";",""),IF(AND($G88&lt;Hta_18,$G88&gt;=Hba_18,Input!AL$38&lt;&gt;""),Input!$B$38&amp;";",""),IF(AND($G88&lt;Hta_19,$G88&gt;=Hba_19,Input!AL$39&lt;&gt;""),Input!$B$39&amp;";",""),IF(AND($G88&lt;Hta_20,$G88&gt;=Hba_20,Input!AL$40&lt;&gt;""),Input!$B$40&amp;";",""),IF(AND($G88&lt;Hta_21,$G88&gt;=Hba_21,Input!AL$41&lt;&gt;""),Input!$B$41&amp;";",""),IF(AND($G88&lt;Hta_22,$G88&gt;=Hba_22,Input!AL$42&lt;&gt;""),Input!$B$42&amp;";",""),IF(AND($G88&lt;Hta_23,$G88&gt;=Hba_23,Input!AL$43&lt;&gt;""),Input!$B$43&amp;";",""),IF(AND($G88&lt;Hta_24,$G88&gt;=Hba_24,Input!AL$44&lt;&gt;""),Input!$B$44&amp;";",""),IF(AND($G88&lt;Hta_25,$G88&gt;=Hba_25,Input!AL$45&lt;&gt;""),Input!$B$45&amp;";",""),IF(AND($G88&lt;Hta_26,$G88&gt;=Hba_26,Input!AL$46&lt;&gt;""),Input!$B$46&amp;";",""),IF(AND($G88&lt;Hta_27,$G88&gt;=Hba_27,Input!AL$47&lt;&gt;""),Input!$B$47&amp;";",""),IF(AND($G88&lt;Hta_28,$G88&gt;=Hba_28,Input!AL$48&lt;&gt;""),Input!$B$48&amp;";",""),IF(AND($G88&lt;Hta_29,$G88&gt;=Hba_29,Input!AL$49&lt;&gt;""),Input!$B$49&amp;";",""),IF(AND($G88&lt;Hta_30,$G88&gt;=Hba_30,Input!AL$50&lt;&gt;""),Input!$B$50&amp;";","")),"")</f>
        <v/>
      </c>
      <c r="CN88" s="59" t="str">
        <f t="shared" si="16"/>
        <v/>
      </c>
      <c r="CO88" s="791"/>
      <c r="CP88" s="792"/>
      <c r="CQ88" s="793"/>
      <c r="CR88" s="791"/>
      <c r="CS88" s="792"/>
      <c r="CT88" s="793"/>
      <c r="CU88" s="791" t="str">
        <f t="shared" si="17"/>
        <v/>
      </c>
      <c r="CV88" s="792"/>
      <c r="CW88" s="807"/>
      <c r="CX88" s="808"/>
      <c r="CY88" s="730"/>
      <c r="CZ88" s="809"/>
      <c r="DA88" s="733"/>
      <c r="DB88" s="734"/>
      <c r="DC88" s="735"/>
      <c r="DD88" s="729" t="str">
        <f t="shared" si="18"/>
        <v/>
      </c>
      <c r="DE88" s="730"/>
      <c r="DF88" s="731"/>
      <c r="DG88" s="55"/>
      <c r="DH88" s="56"/>
      <c r="DI88" s="56"/>
      <c r="DJ88" s="56"/>
      <c r="DK88" s="56"/>
      <c r="DL88" s="56"/>
      <c r="DM88" s="56"/>
      <c r="DN88" s="56"/>
      <c r="DO88" s="56"/>
      <c r="DP88" s="56"/>
      <c r="DQ88" s="58"/>
      <c r="DR88" s="58"/>
      <c r="DS88" s="58"/>
      <c r="DT88" s="58"/>
      <c r="DU88" s="58"/>
      <c r="DV88" s="58"/>
      <c r="DW88" s="58"/>
      <c r="DX88" s="58"/>
      <c r="DY88" s="58"/>
      <c r="DZ88" s="58"/>
      <c r="EA88" s="58"/>
      <c r="EB88" s="58"/>
      <c r="EC88" s="58"/>
      <c r="ED88" s="58"/>
      <c r="EE88" s="58"/>
      <c r="EF88" s="58"/>
      <c r="EG88" s="58"/>
      <c r="EH88" s="58"/>
      <c r="EI88" s="58"/>
      <c r="EJ88" s="58"/>
      <c r="EK88" s="58"/>
      <c r="EL88" s="134"/>
      <c r="EM88" s="134"/>
      <c r="EN88" s="134"/>
      <c r="EO88" s="134"/>
      <c r="EP88" s="134"/>
      <c r="EQ88" s="134"/>
      <c r="ER88" s="134"/>
      <c r="ES88" s="134"/>
      <c r="ET88" s="134"/>
      <c r="EU88" s="134"/>
      <c r="EV88" s="134"/>
      <c r="EW88" s="134"/>
      <c r="EX88" s="134"/>
      <c r="EY88" s="134"/>
      <c r="EZ88" s="134"/>
      <c r="FA88" s="134"/>
      <c r="FB88" s="134"/>
      <c r="FC88" s="134"/>
      <c r="FD88" s="134"/>
      <c r="FE88" s="134"/>
      <c r="FF88" s="134"/>
      <c r="FG88" s="134"/>
      <c r="FH88" s="134"/>
      <c r="FI88" s="134"/>
      <c r="FJ88" s="134"/>
      <c r="FK88" s="134"/>
      <c r="FL88" s="134"/>
      <c r="FM88" s="134"/>
      <c r="FN88" s="134"/>
      <c r="FO88" s="134"/>
      <c r="FQ88" s="124"/>
      <c r="FR88" s="122"/>
      <c r="FS88" s="120"/>
      <c r="FT88" s="119"/>
    </row>
    <row r="89" spans="2:176" ht="15.75" hidden="1" thickBot="1" x14ac:dyDescent="0.3">
      <c r="B89" s="62" t="b">
        <f>IF(OR(AND(G89&gt;='Geometry 2'!$AK$5,G89&lt;'Geometry 2'!$AL$5),AND(G89&gt;='Geometry 2'!$AK$6,G89&lt;'Geometry 2'!$AL$6),AND(G89&gt;='Geometry 2'!$AK$7,G89&lt;'Geometry 2'!$AL$7),AND(G89&gt;='Geometry 2'!$AK$8,G89&lt;'Geometry 2'!$AL$8),AND(G89&gt;='Geometry 2'!$AK$9,G89&lt;'Geometry 2'!$AL$9),AND(G89&gt;='Geometry 2'!$AK$10,G89&lt;'Geometry 2'!$AL$10),AND(G89&gt;='Geometry 2'!$AK$11,G89&lt;'Geometry 2'!$AL$11),AND(G89&gt;='Geometry 2'!$AK$12,G89&lt;'Geometry 2'!$AL$12),AND(G89&gt;='Geometry 2'!$AK$13,G89&lt;'Geometry 2'!$AL$13),AND(G89&gt;='Geometry 2'!$AK$14,G89&lt;'Geometry 2'!$AL$14)),TRUE,FALSE)</f>
        <v>0</v>
      </c>
      <c r="C89" s="4" t="str">
        <f t="shared" si="13"/>
        <v/>
      </c>
      <c r="D89" s="766" t="str">
        <f t="shared" si="14"/>
        <v/>
      </c>
      <c r="E89" s="767"/>
      <c r="F89" s="17" t="str">
        <f t="shared" si="12"/>
        <v/>
      </c>
      <c r="G89" s="768" t="str">
        <f>IF(D89="","",MAX(0,G88-IF(inc="n/a",999,inc),MAX(IF(G88&lt;=Hta_1,0,Hta_1),IF(G88&lt;=Hta_2,0,Hta_2),IF(G88&lt;=Hta_3,0,Hta_3),IF(G88&lt;=Hta_4,0,Hta_4),IF(G88&lt;=Hta_5,0,Hta_5),IF(G88&lt;=Hta_6,0,Hta_6),IF(G88&lt;=Hta_7,0,Hta_7),IF(G88&lt;=Hta_8,0,Hta_8),IF(G88&lt;=Hta_9,0,Hta_9),IF(G88&lt;=Hta_10,0,Hta_10),IF(G88&lt;=Hta_11,0,Hta_11),IF(G88&lt;=Hta_12,0,Hta_12),IF(G88&lt;=Hta_13,0,Hta_13),IF(G88&lt;=Hta_14,0,Hta_14),IF(G88&lt;=Hta_15,0,Hta_15),IF(G88&lt;=Hta_16,0,Hta_16),IF(G88&lt;=Hta_17,0,Hta_17),IF(G88&lt;=Hta_18,0,Hta_18),IF(G88&lt;=Hta_19,0,Hta_19),IF(G88&lt;=Hta_20,0,Hta_20),IF(G88&lt;=Hta_21,0,Hta_21),IF(G88&lt;=Hta_22,0,Hta_22),IF(G88&lt;=Hta_23,0,Hta_23),IF(G88&lt;=Hta_24,0,Hta_24),IF(G88&lt;=Hta_25,0,Hta_25),IF(G88&lt;=Hta_26,0,Hta_26),IF(G88&lt;=Hta_27,0,Hta_27),IF(G88&lt;=Hta_28,0,Hta_28),IF(G88&lt;=Hta_29,0,Hta_29),IF(G88&lt;=Hta_30,0,Hta_30)),MAX(IF(G88&lt;=Hta_1-0.25,0,Hta_1-0.25),IF(G88&lt;=Hta_2-0.25,0,Hta_2-0.25),IF(G88&lt;=Hta_3-0.25,0,Hta_3-0.25),IF(G88&lt;=Hta_4-0.25,0,Hta_4-0.25),IF(G88&lt;=Hta_5-0.25,0,Hta_5-0.25),IF(G88&lt;=Hta_6-0.25,0,Hta_6-0.25),IF(G88&lt;=Hta_7-0.25,0,Hta_7-0.25),IF(G88&lt;=Hta_8-0.25,0,Hta_8-0.25),IF(G88&lt;=Hta_9-0.25,0,Hta_9-0.25),IF(G88&lt;=Hta_10-0.25,0,Hta_10-0.25),IF(G88&lt;=Hta_11-0.25,0,Hta_11-0.25),IF(G88&lt;=Hta_12-0.25,0,Hta_12-0.25),IF(G88&lt;=Hta_13-0.25,0,Hta_13-0.25),IF(G88&lt;=Hta_14-0.25,0,Hta_14-0.25),IF(G88&lt;=Hta_15-0.25,0,Hta_15-0.25),IF(G88&lt;=Hta_16-0.25,0,Hta_16-0.25),IF(G88&lt;=Hta_17-0.25,0,Hta_17-0.25),IF(G88&lt;=Hta_18-0.25,0,Hta_18-0.25),IF(G88&lt;=Hta_19-0.25,0,Hta_19-0.25),IF(G88&lt;=Hta_20-0.25,0,Hta_20-0.25),IF(G88&lt;=Hta_21-0.25,0,Hta_21-0.25),IF(G88&lt;=Hta_22-0.25,0,Hta_22-0.25),IF(G88&lt;=Hta_23-0.25,0,Hta_23-0.25),IF(G88&lt;=Hta_24-0.25,0,Hta_24-0.25),IF(G88&lt;=Hta_25-0.25,0,Hta_25-0.25),IF(G88&lt;=Hta_26-0.25,0,Hta_26-0.25),IF(G88&lt;=Hta_27-0.25,0,Hta_27-0.25),IF(G88&lt;=Hta_28-0.25,0,Hta_28-0.25),IF(G88&lt;=Hta_29-0.25,0,Hta_29-0.25),IF(G88&lt;=Hta_30-0.25,0,Hta_30-0.25)),MAX(IF(G88&lt;=Hba_1,0,Hba_1),IF(G88&lt;=Hba_2,0,Hba_2),IF(G88&lt;=Hba_3,0,Hba_3),IF(G88&lt;=Hba_4,0,Hba_4),IF(G88&lt;=Hba_5,0,Hba_5),IF(G88&lt;=Hba_6,0,Hba_6),IF(G88&lt;=Hba_7,0,Hba_7),IF(G88&lt;=Hba_8,0,Hba_8),IF(G88&lt;=Hba_9,0,Hba_9),IF(G88&lt;=Hba_10,0,Hba_10),IF(G88&lt;=Hba_11,0,Hba_11),IF(G88&lt;=Hba_12,0,Hba_12),IF(G88&lt;=Hba_13,0,Hba_13),IF(G88&lt;=Hba_14,0,Hba_14),IF(G88&lt;=Hba_15,0,Hba_15),IF(G88&lt;=Hba_16,0,Hba_16),IF(G88&lt;=Hba_17,0,Hba_17),IF(G88&lt;=Hba_18,0,Hba_18),IF(G88&lt;=Hba_19,0,Hba_19),IF(G88&lt;=Hba_20,0,Hba_20),IF(G88&lt;=Hba_21,0,Hba_21),IF(G88&lt;=Hba_22,0,Hba_22),IF(G88&lt;=Hba_23,0,Hba_23),IF(G88&lt;=Hba_24,0,Hba_24),IF(G88&lt;=Hba_25,0,Hba_25),IF(G88&lt;=Hba_26,0,Hba_26),IF(G88&lt;=Hba_27,0,Hba_27),IF(G88&lt;=Hba_28,0,Hba_28),IF(G88&lt;=Hba_29,0,Hba_29),IF(G88&lt;=Hba_30,0,Hba_30)),MAX(IF(G88&lt;=Input!$C$8,0,Input!$C$8),IF(G88&lt;=Input!$C$9,0,Input!$C$9),IF(G88&lt;=Input!$C$10,0,Input!$C$10),IF(G88&lt;=Input!$C$11,0,Input!$C$11),IF(G88&lt;=Input!$C$12,0,Input!$C$12),IF(G88&lt;=Input!$C$13,0,Input!$C$13),IF(G88&lt;=Input!$C$14,0,Input!$C$14),IF(G88&lt;=Input!$C$15,0,Input!$C$15),IF(G88&lt;=Input!$C$16,0,Input!$C$16)),MAX(IF(G88&lt;=Hba_1-0.25,0,Hba_1-0.25),IF(G88&lt;=Hba_2-0.25,0,Hba_2-0.25),IF(G88&lt;=Hba_3-0.25,0,Hba_3-0.25),IF(G88&lt;=Hba_4-0.25,0,Hba_4-0.25),IF(G88&lt;=Hba_5-0.25,0,Hba_5-0.25),IF(G88&lt;=Hba_6-0.25,0,Hba_6-0.25),IF(G88&lt;=Hba_7-0.25,0,Hba_7-0.25),IF(G88&lt;=Hba_8-0.25,0,Hba_8-0.25),IF(G88&lt;=Hba_9-0.25,0,Hba_9-0.25),IF(G88&lt;=Hba_10-0.25,0,Hba_10-0.25),IF(G88&lt;=Hba_11-0.25,0,Hba_11-0.25),IF(G88&lt;=Hba_12-0.25,0,Hba_12-0.25),IF(G88&lt;=Hba_13-0.25,0,Hba_13-0.25),IF(G88&lt;=Hba_14-0.25,0,Hba_14-0.25),IF(G88&lt;=Hba_15-0.25,0,Hba_15-0.25),IF(G88&lt;=Hba_16-0.25,0,Hba_16-0.25),IF(G88&lt;=Hba_17-0.25,0,Hba_17-0.25),IF(G88&lt;=Hba_18-0.25,0,Hba_18-0.25),IF(G88&lt;=Hba_19-0.25,0,Hba_19-0.25),IF(G88&lt;=Hba_20-0.25,0,Hba_20-0.25),IF(G88&lt;=Hba_21-0.25,0,Hba_21-0.25),IF(G88&lt;=Hba_22-0.25,0,Hba_22-0.25),IF(G88&lt;=Hba_23-0.25,0,Hba_23-0.25),IF(G88&lt;=Hba_24-0.25,0,Hba_24-0.25),IF(G88&lt;=Hba_25-0.25,0,Hba_25-0.25),IF(G88&lt;=Hba_26-0.25,0,Hba_26-0.25),IF(G88&lt;=Hba_27-0.25,0,Hba_27-0.25),IF(G88&lt;=Hba_28-0.25,0,Hba_28-0.25),IF(G88&lt;=Hba_29-0.25,0,Hba_29-0.25),IF(G88&lt;=Hba_30-0.25,0,Hba_30-0.25)),IF(G88&lt;='Macro References'!$A$38,0,'Macro References'!$A$38)))</f>
        <v/>
      </c>
      <c r="H89" s="769"/>
      <c r="I89" s="228"/>
      <c r="J89" s="228"/>
      <c r="K89" s="228"/>
      <c r="L89" s="717" t="str">
        <f t="shared" si="11"/>
        <v/>
      </c>
      <c r="M89" s="717"/>
      <c r="N89" s="717"/>
      <c r="O89" s="717"/>
      <c r="P89" s="717" t="str">
        <f>IF(OR(G89=0,G89=""),"",IF(VLOOKUP(G89,'Geometry 2'!$C$4:$AI$14,1,TRUE)=VLOOKUP(G90,'Geometry 2'!$C$4:$AI$14,1,TRUE),"",IF(VLOOKUP(G89,'Geometry 2'!$C$4:$AI$14,33,TRUE)&lt;&gt;"n/a",MIN(G89,VLOOKUP(G89,'Geometry 2'!$C$4:$AI$14,1,TRUE))-VLOOKUP(G89,'Geometry 2'!$C$4:$AI$14,33,TRUE),"check")))</f>
        <v/>
      </c>
      <c r="Q89" s="717"/>
      <c r="R89" s="717"/>
      <c r="S89" s="717"/>
      <c r="T89" s="717" t="str">
        <f>IF($G89="","",VLOOKUP($G89,'Geometry 2'!$E$4:$AH$14,11,TRUE))</f>
        <v/>
      </c>
      <c r="U89" s="717"/>
      <c r="V89" s="717"/>
      <c r="W89" s="717"/>
      <c r="X89" s="716" t="str">
        <f>IF($G89="","",VLOOKUP($G89,'Geometry 2'!$E$4:$AJ$14,19,TRUE)-12*VLOOKUP($G89,'Geometry 2'!$E$4:$AJ$14,32,TRUE)*($D89-VLOOKUP($G89,'Geometry 2'!$E$5:$AH$14,1,TRUE)))</f>
        <v/>
      </c>
      <c r="Y89" s="716"/>
      <c r="Z89" s="716"/>
      <c r="AA89" s="716"/>
      <c r="AB89" s="757" t="str">
        <f>IF($G89="","",VLOOKUP($G89,'Geometry 2'!$E$4:$AJ$14,19,TRUE)-12*VLOOKUP($G89,'Geometry 2'!$E$4:$AJ$14,32,TRUE)*($G89-VLOOKUP($G89,'Geometry 2'!$E$5:$AH$14,1,TRUE)))</f>
        <v/>
      </c>
      <c r="AC89" s="758"/>
      <c r="AD89" s="758"/>
      <c r="AE89" s="759"/>
      <c r="AF89" s="716" t="str">
        <f>IF($G89="","",VLOOKUP($G89,'Geometry 2'!$E$4:$AJ$14,19,TRUE)-12*VLOOKUP($G89,'Geometry 2'!$E$4:$AJ$14,32,TRUE)*($G89-IF($P89="",0,$P89)-VLOOKUP($G89,'Geometry 2'!$E$5:$AH$14,1,TRUE)))</f>
        <v/>
      </c>
      <c r="AG89" s="716"/>
      <c r="AH89" s="716"/>
      <c r="AI89" s="716"/>
      <c r="AJ89" s="746" t="str">
        <f>IF($G89="","",VLOOKUP($G89,'Geometry 2'!$E$4:$AH$14,23,TRUE))</f>
        <v/>
      </c>
      <c r="AK89" s="747"/>
      <c r="AL89" s="747"/>
      <c r="AM89" s="748"/>
      <c r="AN89" s="717"/>
      <c r="AO89" s="717"/>
      <c r="AP89" s="717"/>
      <c r="AQ89" s="717"/>
      <c r="AR89" s="717" t="str">
        <f>IF($G89="","",VLOOKUP($G89,'Geometry 2'!$E$4:$AH$14,27,TRUE))</f>
        <v/>
      </c>
      <c r="AS89" s="717"/>
      <c r="AT89" s="717"/>
      <c r="AU89" s="718"/>
      <c r="AV89" s="715"/>
      <c r="AW89" s="716"/>
      <c r="AX89" s="716"/>
      <c r="AZ89" s="722" t="str">
        <f t="shared" si="15"/>
        <v/>
      </c>
      <c r="BA89" s="723"/>
      <c r="BB89" s="723"/>
      <c r="BC89" s="724"/>
      <c r="BD89" s="722"/>
      <c r="BE89" s="723"/>
      <c r="BF89" s="723"/>
      <c r="BG89" s="722" t="str">
        <f t="shared" si="19"/>
        <v/>
      </c>
      <c r="BH89" s="723"/>
      <c r="BI89" s="723"/>
      <c r="BJ89" s="723"/>
      <c r="BK89" s="724"/>
      <c r="BL89" s="722"/>
      <c r="BM89" s="723"/>
      <c r="BN89" s="723"/>
      <c r="BO89" s="723"/>
      <c r="BP89" s="725"/>
      <c r="BQ89" s="725"/>
      <c r="BR89" s="722" t="str">
        <f>IF(BP89="","",IF(OR(AND(Rev="H",Calculations!$F$27=TRUE),AND(Rev&lt;&gt;"H",Calculations!$F$30=TRUE)),IF(BP89&lt;=1,"Pass","Fail"),IF(BP89&lt;=1.05,"Pass","Fail")))</f>
        <v/>
      </c>
      <c r="BS89" s="723"/>
      <c r="BT89" s="724"/>
      <c r="BU89" s="49"/>
      <c r="BV89" s="25" t="str">
        <f>IFERROR(CONCATENATE(IF(AND($G89&lt;Hta_1,$G89&gt;=Hba_1,Input!U$21&lt;&gt;""),Input!$B$21&amp;";",""),IF(AND($G89&lt;Hta_2,$G89&gt;=Hba_2,Input!U$22&lt;&gt;""),Input!$B$22&amp;";",""),IF(AND($G89&lt;Hta_3,$G89&gt;=Hba_3,Input!U$23&lt;&gt;""),Input!$B$23&amp;";",""),IF(AND($G89&lt;Hta_4,$G89&gt;=Hba_4,Input!U$24&lt;&gt;""),Input!$B$24&amp;";",""),IF(AND($G89&lt;Hta_5,$G89&gt;=Hba_5,Input!U$25&lt;&gt;""),Input!$B$25&amp;";",""),IF(AND($G89&lt;Hta_6,$G89&gt;=Hba_6,Input!U$26&lt;&gt;""),Input!$B$26&amp;";",""),IF(AND($G89&lt;Hta_7,$G89&gt;=Hba_7,Input!U$27&lt;&gt;""),Input!$B$27&amp;";",""),IF(AND($G89&lt;Hta_8,$G89&gt;=Hba_8,Input!U$28&lt;&gt;""),Input!$B$28&amp;";",""),IF(AND($G89&lt;Hta_9,$G89&gt;=Hba_9,Input!U$29&lt;&gt;""),Input!$B$29&amp;";",""),IF(AND($G89&lt;Hta_10,$G89&gt;=Hba_10,Input!U$30&lt;&gt;""),Input!$B$30&amp;";",""),IF(AND($G89&lt;Hta_11,$G89&gt;=Hba_11,Input!U$31&lt;&gt;""),Input!$B$31&amp;";",""),IF(AND($G89&lt;Hta_12,$G89&gt;=Hba_12,Input!U$32&lt;&gt;""),Input!$B$32&amp;";",""),IF(AND($G89&lt;Hta_13,$G89&gt;=Hba_13,Input!U$33&lt;&gt;""),Input!$B$33&amp;";",""),IF(AND($G89&lt;Hta_14,$G89&gt;=Hba_14,Input!U$34&lt;&gt;""),Input!$B$34&amp;";",""),IF(AND($G89&lt;Hta_15,$G89&gt;=Hba_15,Input!U$35&lt;&gt;""),Input!$B$35&amp;";",""),IF(AND($G89&lt;Hta_16,$G89&gt;=Hba_16,Input!U$36&lt;&gt;""),Input!$B$36&amp;";",""),IF(AND($G89&lt;Hta_17,$G89&gt;=Hba_17,Input!U$37&lt;&gt;""),Input!$B$37&amp;";",""),IF(AND($G89&lt;Hta_18,$G89&gt;=Hba_18,Input!U$38&lt;&gt;""),Input!$B$38&amp;";",""),IF(AND($G89&lt;Hta_19,$G89&gt;=Hba_19,Input!U$39&lt;&gt;""),Input!$B$39&amp;";",""),IF(AND($G89&lt;Hta_20,$G89&gt;=Hba_20,Input!U$40&lt;&gt;""),Input!$B$40&amp;";",""),IF(AND($G89&lt;Hta_21,$G89&gt;=Hba_21,Input!U$41&lt;&gt;""),Input!$B$41&amp;";",""),IF(AND($G89&lt;Hta_22,$G89&gt;=Hba_22,Input!U$42&lt;&gt;""),Input!$B$42&amp;";",""),IF(AND($G89&lt;Hta_23,$G89&gt;=Hba_23,Input!U$43&lt;&gt;""),Input!$B$43&amp;";",""),IF(AND($G89&lt;Hta_24,$G89&gt;=Hba_24,Input!U$44&lt;&gt;""),Input!$B$44&amp;";",""),IF(AND($G89&lt;Hta_25,$G89&gt;=Hba_25,Input!U$45&lt;&gt;""),Input!$B$45&amp;";",""),IF(AND($G89&lt;Hta_26,$G89&gt;=Hba_26,Input!U$46&lt;&gt;""),Input!$B$46&amp;";",""),IF(AND($G89&lt;Hta_27,$G89&gt;=Hba_27,Input!U$47&lt;&gt;""),Input!$B$47&amp;";",""),IF(AND($G89&lt;Hta_28,$G89&gt;=Hba_28,Input!U$48&lt;&gt;""),Input!$B$48&amp;";",""),IF(AND($G89&lt;Hta_29,$G89&gt;=Hba_29,Input!U$49&lt;&gt;""),Input!$B$49&amp;";",""),IF(AND($G89&lt;Hta_30,$G89&gt;=Hba_30,Input!U$50&lt;&gt;""),Input!$B$50&amp;";","")),"")</f>
        <v/>
      </c>
      <c r="BW89" s="25" t="str">
        <f>IFERROR(CONCATENATE(IF(AND($G89&lt;Hta_1,$G89&gt;=Hba_1,Input!V$21&lt;&gt;""),Input!$B$21&amp;";",""),IF(AND($G89&lt;Hta_2,$G89&gt;=Hba_2,Input!V$22&lt;&gt;""),Input!$B$22&amp;";",""),IF(AND($G89&lt;Hta_3,$G89&gt;=Hba_3,Input!V$23&lt;&gt;""),Input!$B$23&amp;";",""),IF(AND($G89&lt;Hta_4,$G89&gt;=Hba_4,Input!V$24&lt;&gt;""),Input!$B$24&amp;";",""),IF(AND($G89&lt;Hta_5,$G89&gt;=Hba_5,Input!V$25&lt;&gt;""),Input!$B$25&amp;";",""),IF(AND($G89&lt;Hta_6,$G89&gt;=Hba_6,Input!V$26&lt;&gt;""),Input!$B$26&amp;";",""),IF(AND($G89&lt;Hta_7,$G89&gt;=Hba_7,Input!V$27&lt;&gt;""),Input!$B$27&amp;";",""),IF(AND($G89&lt;Hta_8,$G89&gt;=Hba_8,Input!V$28&lt;&gt;""),Input!$B$28&amp;";",""),IF(AND($G89&lt;Hta_9,$G89&gt;=Hba_9,Input!V$29&lt;&gt;""),Input!$B$29&amp;";",""),IF(AND($G89&lt;Hta_10,$G89&gt;=Hba_10,Input!V$30&lt;&gt;""),Input!$B$30&amp;";",""),IF(AND($G89&lt;Hta_11,$G89&gt;=Hba_11,Input!V$31&lt;&gt;""),Input!$B$31&amp;";",""),IF(AND($G89&lt;Hta_12,$G89&gt;=Hba_12,Input!V$32&lt;&gt;""),Input!$B$32&amp;";",""),IF(AND($G89&lt;Hta_13,$G89&gt;=Hba_13,Input!V$33&lt;&gt;""),Input!$B$33&amp;";",""),IF(AND($G89&lt;Hta_14,$G89&gt;=Hba_14,Input!V$34&lt;&gt;""),Input!$B$34&amp;";",""),IF(AND($G89&lt;Hta_15,$G89&gt;=Hba_15,Input!V$35&lt;&gt;""),Input!$B$35&amp;";",""),IF(AND($G89&lt;Hta_16,$G89&gt;=Hba_16,Input!V$36&lt;&gt;""),Input!$B$36&amp;";",""),IF(AND($G89&lt;Hta_17,$G89&gt;=Hba_17,Input!V$37&lt;&gt;""),Input!$B$37&amp;";",""),IF(AND($G89&lt;Hta_18,$G89&gt;=Hba_18,Input!V$38&lt;&gt;""),Input!$B$38&amp;";",""),IF(AND($G89&lt;Hta_19,$G89&gt;=Hba_19,Input!V$39&lt;&gt;""),Input!$B$39&amp;";",""),IF(AND($G89&lt;Hta_20,$G89&gt;=Hba_20,Input!V$40&lt;&gt;""),Input!$B$40&amp;";",""),IF(AND($G89&lt;Hta_21,$G89&gt;=Hba_21,Input!V$41&lt;&gt;""),Input!$B$41&amp;";",""),IF(AND($G89&lt;Hta_22,$G89&gt;=Hba_22,Input!V$42&lt;&gt;""),Input!$B$42&amp;";",""),IF(AND($G89&lt;Hta_23,$G89&gt;=Hba_23,Input!V$43&lt;&gt;""),Input!$B$43&amp;";",""),IF(AND($G89&lt;Hta_24,$G89&gt;=Hba_24,Input!V$44&lt;&gt;""),Input!$B$44&amp;";",""),IF(AND($G89&lt;Hta_25,$G89&gt;=Hba_25,Input!V$45&lt;&gt;""),Input!$B$45&amp;";",""),IF(AND($G89&lt;Hta_26,$G89&gt;=Hba_26,Input!V$46&lt;&gt;""),Input!$B$46&amp;";",""),IF(AND($G89&lt;Hta_27,$G89&gt;=Hba_27,Input!V$47&lt;&gt;""),Input!$B$47&amp;";",""),IF(AND($G89&lt;Hta_28,$G89&gt;=Hba_28,Input!V$48&lt;&gt;""),Input!$B$48&amp;";",""),IF(AND($G89&lt;Hta_29,$G89&gt;=Hba_29,Input!V$49&lt;&gt;""),Input!$B$49&amp;";",""),IF(AND($G89&lt;Hta_30,$G89&gt;=Hba_30,Input!V$50&lt;&gt;""),Input!$B$50&amp;";","")),"")</f>
        <v/>
      </c>
      <c r="BX89" s="25" t="str">
        <f>IFERROR(CONCATENATE(IF(AND($G89&lt;Hta_1,$G89&gt;=Hba_1,Input!W$21&lt;&gt;""),Input!$B$21&amp;";",""),IF(AND($G89&lt;Hta_2,$G89&gt;=Hba_2,Input!W$22&lt;&gt;""),Input!$B$22&amp;";",""),IF(AND($G89&lt;Hta_3,$G89&gt;=Hba_3,Input!W$23&lt;&gt;""),Input!$B$23&amp;";",""),IF(AND($G89&lt;Hta_4,$G89&gt;=Hba_4,Input!W$24&lt;&gt;""),Input!$B$24&amp;";",""),IF(AND($G89&lt;Hta_5,$G89&gt;=Hba_5,Input!W$25&lt;&gt;""),Input!$B$25&amp;";",""),IF(AND($G89&lt;Hta_6,$G89&gt;=Hba_6,Input!W$26&lt;&gt;""),Input!$B$26&amp;";",""),IF(AND($G89&lt;Hta_7,$G89&gt;=Hba_7,Input!W$27&lt;&gt;""),Input!$B$27&amp;";",""),IF(AND($G89&lt;Hta_8,$G89&gt;=Hba_8,Input!W$28&lt;&gt;""),Input!$B$28&amp;";",""),IF(AND($G89&lt;Hta_9,$G89&gt;=Hba_9,Input!W$29&lt;&gt;""),Input!$B$29&amp;";",""),IF(AND($G89&lt;Hta_10,$G89&gt;=Hba_10,Input!W$30&lt;&gt;""),Input!$B$30&amp;";",""),IF(AND($G89&lt;Hta_11,$G89&gt;=Hba_11,Input!W$31&lt;&gt;""),Input!$B$31&amp;";",""),IF(AND($G89&lt;Hta_12,$G89&gt;=Hba_12,Input!W$32&lt;&gt;""),Input!$B$32&amp;";",""),IF(AND($G89&lt;Hta_13,$G89&gt;=Hba_13,Input!W$33&lt;&gt;""),Input!$B$33&amp;";",""),IF(AND($G89&lt;Hta_14,$G89&gt;=Hba_14,Input!W$34&lt;&gt;""),Input!$B$34&amp;";",""),IF(AND($G89&lt;Hta_15,$G89&gt;=Hba_15,Input!W$35&lt;&gt;""),Input!$B$35&amp;";",""),IF(AND($G89&lt;Hta_16,$G89&gt;=Hba_16,Input!W$36&lt;&gt;""),Input!$B$36&amp;";",""),IF(AND($G89&lt;Hta_17,$G89&gt;=Hba_17,Input!W$37&lt;&gt;""),Input!$B$37&amp;";",""),IF(AND($G89&lt;Hta_18,$G89&gt;=Hba_18,Input!W$38&lt;&gt;""),Input!$B$38&amp;";",""),IF(AND($G89&lt;Hta_19,$G89&gt;=Hba_19,Input!W$39&lt;&gt;""),Input!$B$39&amp;";",""),IF(AND($G89&lt;Hta_20,$G89&gt;=Hba_20,Input!W$40&lt;&gt;""),Input!$B$40&amp;";",""),IF(AND($G89&lt;Hta_21,$G89&gt;=Hba_21,Input!W$41&lt;&gt;""),Input!$B$41&amp;";",""),IF(AND($G89&lt;Hta_22,$G89&gt;=Hba_22,Input!W$42&lt;&gt;""),Input!$B$42&amp;";",""),IF(AND($G89&lt;Hta_23,$G89&gt;=Hba_23,Input!W$43&lt;&gt;""),Input!$B$43&amp;";",""),IF(AND($G89&lt;Hta_24,$G89&gt;=Hba_24,Input!W$44&lt;&gt;""),Input!$B$44&amp;";",""),IF(AND($G89&lt;Hta_25,$G89&gt;=Hba_25,Input!W$45&lt;&gt;""),Input!$B$45&amp;";",""),IF(AND($G89&lt;Hta_26,$G89&gt;=Hba_26,Input!W$46&lt;&gt;""),Input!$B$46&amp;";",""),IF(AND($G89&lt;Hta_27,$G89&gt;=Hba_27,Input!W$47&lt;&gt;""),Input!$B$47&amp;";",""),IF(AND($G89&lt;Hta_28,$G89&gt;=Hba_28,Input!W$48&lt;&gt;""),Input!$B$48&amp;";",""),IF(AND($G89&lt;Hta_29,$G89&gt;=Hba_29,Input!W$49&lt;&gt;""),Input!$B$49&amp;";",""),IF(AND($G89&lt;Hta_30,$G89&gt;=Hba_30,Input!W$50&lt;&gt;""),Input!$B$50&amp;";","")),"")</f>
        <v/>
      </c>
      <c r="BY89" s="25" t="str">
        <f>IFERROR(CONCATENATE(IF(AND($G89&lt;Hta_1,$G89&gt;=Hba_1,Input!X$21&lt;&gt;""),Input!$B$21&amp;";",""),IF(AND($G89&lt;Hta_2,$G89&gt;=Hba_2,Input!X$22&lt;&gt;""),Input!$B$22&amp;";",""),IF(AND($G89&lt;Hta_3,$G89&gt;=Hba_3,Input!X$23&lt;&gt;""),Input!$B$23&amp;";",""),IF(AND($G89&lt;Hta_4,$G89&gt;=Hba_4,Input!X$24&lt;&gt;""),Input!$B$24&amp;";",""),IF(AND($G89&lt;Hta_5,$G89&gt;=Hba_5,Input!X$25&lt;&gt;""),Input!$B$25&amp;";",""),IF(AND($G89&lt;Hta_6,$G89&gt;=Hba_6,Input!X$26&lt;&gt;""),Input!$B$26&amp;";",""),IF(AND($G89&lt;Hta_7,$G89&gt;=Hba_7,Input!X$27&lt;&gt;""),Input!$B$27&amp;";",""),IF(AND($G89&lt;Hta_8,$G89&gt;=Hba_8,Input!X$28&lt;&gt;""),Input!$B$28&amp;";",""),IF(AND($G89&lt;Hta_9,$G89&gt;=Hba_9,Input!X$29&lt;&gt;""),Input!$B$29&amp;";",""),IF(AND($G89&lt;Hta_10,$G89&gt;=Hba_10,Input!X$30&lt;&gt;""),Input!$B$30&amp;";",""),IF(AND($G89&lt;Hta_11,$G89&gt;=Hba_11,Input!X$31&lt;&gt;""),Input!$B$31&amp;";",""),IF(AND($G89&lt;Hta_12,$G89&gt;=Hba_12,Input!X$32&lt;&gt;""),Input!$B$32&amp;";",""),IF(AND($G89&lt;Hta_13,$G89&gt;=Hba_13,Input!X$33&lt;&gt;""),Input!$B$33&amp;";",""),IF(AND($G89&lt;Hta_14,$G89&gt;=Hba_14,Input!X$34&lt;&gt;""),Input!$B$34&amp;";",""),IF(AND($G89&lt;Hta_15,$G89&gt;=Hba_15,Input!X$35&lt;&gt;""),Input!$B$35&amp;";",""),IF(AND($G89&lt;Hta_16,$G89&gt;=Hba_16,Input!X$36&lt;&gt;""),Input!$B$36&amp;";",""),IF(AND($G89&lt;Hta_17,$G89&gt;=Hba_17,Input!X$37&lt;&gt;""),Input!$B$37&amp;";",""),IF(AND($G89&lt;Hta_18,$G89&gt;=Hba_18,Input!X$38&lt;&gt;""),Input!$B$38&amp;";",""),IF(AND($G89&lt;Hta_19,$G89&gt;=Hba_19,Input!X$39&lt;&gt;""),Input!$B$39&amp;";",""),IF(AND($G89&lt;Hta_20,$G89&gt;=Hba_20,Input!X$40&lt;&gt;""),Input!$B$40&amp;";",""),IF(AND($G89&lt;Hta_21,$G89&gt;=Hba_21,Input!X$41&lt;&gt;""),Input!$B$41&amp;";",""),IF(AND($G89&lt;Hta_22,$G89&gt;=Hba_22,Input!X$42&lt;&gt;""),Input!$B$42&amp;";",""),IF(AND($G89&lt;Hta_23,$G89&gt;=Hba_23,Input!X$43&lt;&gt;""),Input!$B$43&amp;";",""),IF(AND($G89&lt;Hta_24,$G89&gt;=Hba_24,Input!X$44&lt;&gt;""),Input!$B$44&amp;";",""),IF(AND($G89&lt;Hta_25,$G89&gt;=Hba_25,Input!X$45&lt;&gt;""),Input!$B$45&amp;";",""),IF(AND($G89&lt;Hta_26,$G89&gt;=Hba_26,Input!X$46&lt;&gt;""),Input!$B$46&amp;";",""),IF(AND($G89&lt;Hta_27,$G89&gt;=Hba_27,Input!X$47&lt;&gt;""),Input!$B$47&amp;";",""),IF(AND($G89&lt;Hta_28,$G89&gt;=Hba_28,Input!X$48&lt;&gt;""),Input!$B$48&amp;";",""),IF(AND($G89&lt;Hta_29,$G89&gt;=Hba_29,Input!X$49&lt;&gt;""),Input!$B$49&amp;";",""),IF(AND($G89&lt;Hta_30,$G89&gt;=Hba_30,Input!X$50&lt;&gt;""),Input!$B$50&amp;";","")),"")</f>
        <v/>
      </c>
      <c r="BZ89" s="25" t="str">
        <f>IFERROR(CONCATENATE(IF(AND($G89&lt;Hta_1,$G89&gt;=Hba_1,Input!Y$21&lt;&gt;""),Input!$B$21&amp;";",""),IF(AND($G89&lt;Hta_2,$G89&gt;=Hba_2,Input!Y$22&lt;&gt;""),Input!$B$22&amp;";",""),IF(AND($G89&lt;Hta_3,$G89&gt;=Hba_3,Input!Y$23&lt;&gt;""),Input!$B$23&amp;";",""),IF(AND($G89&lt;Hta_4,$G89&gt;=Hba_4,Input!Y$24&lt;&gt;""),Input!$B$24&amp;";",""),IF(AND($G89&lt;Hta_5,$G89&gt;=Hba_5,Input!Y$25&lt;&gt;""),Input!$B$25&amp;";",""),IF(AND($G89&lt;Hta_6,$G89&gt;=Hba_6,Input!Y$26&lt;&gt;""),Input!$B$26&amp;";",""),IF(AND($G89&lt;Hta_7,$G89&gt;=Hba_7,Input!Y$27&lt;&gt;""),Input!$B$27&amp;";",""),IF(AND($G89&lt;Hta_8,$G89&gt;=Hba_8,Input!Y$28&lt;&gt;""),Input!$B$28&amp;";",""),IF(AND($G89&lt;Hta_9,$G89&gt;=Hba_9,Input!Y$29&lt;&gt;""),Input!$B$29&amp;";",""),IF(AND($G89&lt;Hta_10,$G89&gt;=Hba_10,Input!Y$30&lt;&gt;""),Input!$B$30&amp;";",""),IF(AND($G89&lt;Hta_11,$G89&gt;=Hba_11,Input!Y$31&lt;&gt;""),Input!$B$31&amp;";",""),IF(AND($G89&lt;Hta_12,$G89&gt;=Hba_12,Input!Y$32&lt;&gt;""),Input!$B$32&amp;";",""),IF(AND($G89&lt;Hta_13,$G89&gt;=Hba_13,Input!Y$33&lt;&gt;""),Input!$B$33&amp;";",""),IF(AND($G89&lt;Hta_14,$G89&gt;=Hba_14,Input!Y$34&lt;&gt;""),Input!$B$34&amp;";",""),IF(AND($G89&lt;Hta_15,$G89&gt;=Hba_15,Input!Y$35&lt;&gt;""),Input!$B$35&amp;";",""),IF(AND($G89&lt;Hta_16,$G89&gt;=Hba_16,Input!Y$36&lt;&gt;""),Input!$B$36&amp;";",""),IF(AND($G89&lt;Hta_17,$G89&gt;=Hba_17,Input!Y$37&lt;&gt;""),Input!$B$37&amp;";",""),IF(AND($G89&lt;Hta_18,$G89&gt;=Hba_18,Input!Y$38&lt;&gt;""),Input!$B$38&amp;";",""),IF(AND($G89&lt;Hta_19,$G89&gt;=Hba_19,Input!Y$39&lt;&gt;""),Input!$B$39&amp;";",""),IF(AND($G89&lt;Hta_20,$G89&gt;=Hba_20,Input!Y$40&lt;&gt;""),Input!$B$40&amp;";",""),IF(AND($G89&lt;Hta_21,$G89&gt;=Hba_21,Input!Y$41&lt;&gt;""),Input!$B$41&amp;";",""),IF(AND($G89&lt;Hta_22,$G89&gt;=Hba_22,Input!Y$42&lt;&gt;""),Input!$B$42&amp;";",""),IF(AND($G89&lt;Hta_23,$G89&gt;=Hba_23,Input!Y$43&lt;&gt;""),Input!$B$43&amp;";",""),IF(AND($G89&lt;Hta_24,$G89&gt;=Hba_24,Input!Y$44&lt;&gt;""),Input!$B$44&amp;";",""),IF(AND($G89&lt;Hta_25,$G89&gt;=Hba_25,Input!Y$45&lt;&gt;""),Input!$B$45&amp;";",""),IF(AND($G89&lt;Hta_26,$G89&gt;=Hba_26,Input!Y$46&lt;&gt;""),Input!$B$46&amp;";",""),IF(AND($G89&lt;Hta_27,$G89&gt;=Hba_27,Input!Y$47&lt;&gt;""),Input!$B$47&amp;";",""),IF(AND($G89&lt;Hta_28,$G89&gt;=Hba_28,Input!Y$48&lt;&gt;""),Input!$B$48&amp;";",""),IF(AND($G89&lt;Hta_29,$G89&gt;=Hba_29,Input!Y$49&lt;&gt;""),Input!$B$49&amp;";",""),IF(AND($G89&lt;Hta_30,$G89&gt;=Hba_30,Input!Y$50&lt;&gt;""),Input!$B$50&amp;";","")),"")</f>
        <v/>
      </c>
      <c r="CA89" s="25" t="str">
        <f>IFERROR(CONCATENATE(IF(AND($G89&lt;Hta_1,$G89&gt;=Hba_1,Input!Z$21&lt;&gt;""),Input!$B$21&amp;";",""),IF(AND($G89&lt;Hta_2,$G89&gt;=Hba_2,Input!Z$22&lt;&gt;""),Input!$B$22&amp;";",""),IF(AND($G89&lt;Hta_3,$G89&gt;=Hba_3,Input!Z$23&lt;&gt;""),Input!$B$23&amp;";",""),IF(AND($G89&lt;Hta_4,$G89&gt;=Hba_4,Input!Z$24&lt;&gt;""),Input!$B$24&amp;";",""),IF(AND($G89&lt;Hta_5,$G89&gt;=Hba_5,Input!Z$25&lt;&gt;""),Input!$B$25&amp;";",""),IF(AND($G89&lt;Hta_6,$G89&gt;=Hba_6,Input!Z$26&lt;&gt;""),Input!$B$26&amp;";",""),IF(AND($G89&lt;Hta_7,$G89&gt;=Hba_7,Input!Z$27&lt;&gt;""),Input!$B$27&amp;";",""),IF(AND($G89&lt;Hta_8,$G89&gt;=Hba_8,Input!Z$28&lt;&gt;""),Input!$B$28&amp;";",""),IF(AND($G89&lt;Hta_9,$G89&gt;=Hba_9,Input!Z$29&lt;&gt;""),Input!$B$29&amp;";",""),IF(AND($G89&lt;Hta_10,$G89&gt;=Hba_10,Input!Z$30&lt;&gt;""),Input!$B$30&amp;";",""),IF(AND($G89&lt;Hta_11,$G89&gt;=Hba_11,Input!Z$31&lt;&gt;""),Input!$B$31&amp;";",""),IF(AND($G89&lt;Hta_12,$G89&gt;=Hba_12,Input!Z$32&lt;&gt;""),Input!$B$32&amp;";",""),IF(AND($G89&lt;Hta_13,$G89&gt;=Hba_13,Input!Z$33&lt;&gt;""),Input!$B$33&amp;";",""),IF(AND($G89&lt;Hta_14,$G89&gt;=Hba_14,Input!Z$34&lt;&gt;""),Input!$B$34&amp;";",""),IF(AND($G89&lt;Hta_15,$G89&gt;=Hba_15,Input!Z$35&lt;&gt;""),Input!$B$35&amp;";",""),IF(AND($G89&lt;Hta_16,$G89&gt;=Hba_16,Input!Z$36&lt;&gt;""),Input!$B$36&amp;";",""),IF(AND($G89&lt;Hta_17,$G89&gt;=Hba_17,Input!Z$37&lt;&gt;""),Input!$B$37&amp;";",""),IF(AND($G89&lt;Hta_18,$G89&gt;=Hba_18,Input!Z$38&lt;&gt;""),Input!$B$38&amp;";",""),IF(AND($G89&lt;Hta_19,$G89&gt;=Hba_19,Input!Z$39&lt;&gt;""),Input!$B$39&amp;";",""),IF(AND($G89&lt;Hta_20,$G89&gt;=Hba_20,Input!Z$40&lt;&gt;""),Input!$B$40&amp;";",""),IF(AND($G89&lt;Hta_21,$G89&gt;=Hba_21,Input!Z$41&lt;&gt;""),Input!$B$41&amp;";",""),IF(AND($G89&lt;Hta_22,$G89&gt;=Hba_22,Input!Z$42&lt;&gt;""),Input!$B$42&amp;";",""),IF(AND($G89&lt;Hta_23,$G89&gt;=Hba_23,Input!Z$43&lt;&gt;""),Input!$B$43&amp;";",""),IF(AND($G89&lt;Hta_24,$G89&gt;=Hba_24,Input!Z$44&lt;&gt;""),Input!$B$44&amp;";",""),IF(AND($G89&lt;Hta_25,$G89&gt;=Hba_25,Input!Z$45&lt;&gt;""),Input!$B$45&amp;";",""),IF(AND($G89&lt;Hta_26,$G89&gt;=Hba_26,Input!Z$46&lt;&gt;""),Input!$B$46&amp;";",""),IF(AND($G89&lt;Hta_27,$G89&gt;=Hba_27,Input!Z$47&lt;&gt;""),Input!$B$47&amp;";",""),IF(AND($G89&lt;Hta_28,$G89&gt;=Hba_28,Input!Z$48&lt;&gt;""),Input!$B$48&amp;";",""),IF(AND($G89&lt;Hta_29,$G89&gt;=Hba_29,Input!Z$49&lt;&gt;""),Input!$B$49&amp;";",""),IF(AND($G89&lt;Hta_30,$G89&gt;=Hba_30,Input!Z$50&lt;&gt;""),Input!$B$50&amp;";","")),"")</f>
        <v/>
      </c>
      <c r="CB89" s="25" t="str">
        <f>IFERROR(CONCATENATE(IF(AND($G89&lt;Hta_1,$G89&gt;=Hba_1,Input!AA$21&lt;&gt;""),Input!$B$21&amp;";",""),IF(AND($G89&lt;Hta_2,$G89&gt;=Hba_2,Input!AA$22&lt;&gt;""),Input!$B$22&amp;";",""),IF(AND($G89&lt;Hta_3,$G89&gt;=Hba_3,Input!AA$23&lt;&gt;""),Input!$B$23&amp;";",""),IF(AND($G89&lt;Hta_4,$G89&gt;=Hba_4,Input!AA$24&lt;&gt;""),Input!$B$24&amp;";",""),IF(AND($G89&lt;Hta_5,$G89&gt;=Hba_5,Input!AA$25&lt;&gt;""),Input!$B$25&amp;";",""),IF(AND($G89&lt;Hta_6,$G89&gt;=Hba_6,Input!AA$26&lt;&gt;""),Input!$B$26&amp;";",""),IF(AND($G89&lt;Hta_7,$G89&gt;=Hba_7,Input!AA$27&lt;&gt;""),Input!$B$27&amp;";",""),IF(AND($G89&lt;Hta_8,$G89&gt;=Hba_8,Input!AA$28&lt;&gt;""),Input!$B$28&amp;";",""),IF(AND($G89&lt;Hta_9,$G89&gt;=Hba_9,Input!AA$29&lt;&gt;""),Input!$B$29&amp;";",""),IF(AND($G89&lt;Hta_10,$G89&gt;=Hba_10,Input!AA$30&lt;&gt;""),Input!$B$30&amp;";",""),IF(AND($G89&lt;Hta_11,$G89&gt;=Hba_11,Input!AA$31&lt;&gt;""),Input!$B$31&amp;";",""),IF(AND($G89&lt;Hta_12,$G89&gt;=Hba_12,Input!AA$32&lt;&gt;""),Input!$B$32&amp;";",""),IF(AND($G89&lt;Hta_13,$G89&gt;=Hba_13,Input!AA$33&lt;&gt;""),Input!$B$33&amp;";",""),IF(AND($G89&lt;Hta_14,$G89&gt;=Hba_14,Input!AA$34&lt;&gt;""),Input!$B$34&amp;";",""),IF(AND($G89&lt;Hta_15,$G89&gt;=Hba_15,Input!AA$35&lt;&gt;""),Input!$B$35&amp;";",""),IF(AND($G89&lt;Hta_16,$G89&gt;=Hba_16,Input!AA$36&lt;&gt;""),Input!$B$36&amp;";",""),IF(AND($G89&lt;Hta_17,$G89&gt;=Hba_17,Input!AA$37&lt;&gt;""),Input!$B$37&amp;";",""),IF(AND($G89&lt;Hta_18,$G89&gt;=Hba_18,Input!AA$38&lt;&gt;""),Input!$B$38&amp;";",""),IF(AND($G89&lt;Hta_19,$G89&gt;=Hba_19,Input!AA$39&lt;&gt;""),Input!$B$39&amp;";",""),IF(AND($G89&lt;Hta_20,$G89&gt;=Hba_20,Input!AA$40&lt;&gt;""),Input!$B$40&amp;";",""),IF(AND($G89&lt;Hta_21,$G89&gt;=Hba_21,Input!AA$41&lt;&gt;""),Input!$B$41&amp;";",""),IF(AND($G89&lt;Hta_22,$G89&gt;=Hba_22,Input!AA$42&lt;&gt;""),Input!$B$42&amp;";",""),IF(AND($G89&lt;Hta_23,$G89&gt;=Hba_23,Input!AA$43&lt;&gt;""),Input!$B$43&amp;";",""),IF(AND($G89&lt;Hta_24,$G89&gt;=Hba_24,Input!AA$44&lt;&gt;""),Input!$B$44&amp;";",""),IF(AND($G89&lt;Hta_25,$G89&gt;=Hba_25,Input!AA$45&lt;&gt;""),Input!$B$45&amp;";",""),IF(AND($G89&lt;Hta_26,$G89&gt;=Hba_26,Input!AA$46&lt;&gt;""),Input!$B$46&amp;";",""),IF(AND($G89&lt;Hta_27,$G89&gt;=Hba_27,Input!AA$47&lt;&gt;""),Input!$B$47&amp;";",""),IF(AND($G89&lt;Hta_28,$G89&gt;=Hba_28,Input!AA$48&lt;&gt;""),Input!$B$48&amp;";",""),IF(AND($G89&lt;Hta_29,$G89&gt;=Hba_29,Input!AA$49&lt;&gt;""),Input!$B$49&amp;";",""),IF(AND($G89&lt;Hta_30,$G89&gt;=Hba_30,Input!AA$50&lt;&gt;""),Input!$B$50&amp;";","")),"")</f>
        <v/>
      </c>
      <c r="CC89" s="25" t="str">
        <f>IFERROR(CONCATENATE(IF(AND($G89&lt;Hta_1,$G89&gt;=Hba_1,Input!AB$21&lt;&gt;""),Input!$B$21&amp;";",""),IF(AND($G89&lt;Hta_2,$G89&gt;=Hba_2,Input!AB$22&lt;&gt;""),Input!$B$22&amp;";",""),IF(AND($G89&lt;Hta_3,$G89&gt;=Hba_3,Input!AB$23&lt;&gt;""),Input!$B$23&amp;";",""),IF(AND($G89&lt;Hta_4,$G89&gt;=Hba_4,Input!AB$24&lt;&gt;""),Input!$B$24&amp;";",""),IF(AND($G89&lt;Hta_5,$G89&gt;=Hba_5,Input!AB$25&lt;&gt;""),Input!$B$25&amp;";",""),IF(AND($G89&lt;Hta_6,$G89&gt;=Hba_6,Input!AB$26&lt;&gt;""),Input!$B$26&amp;";",""),IF(AND($G89&lt;Hta_7,$G89&gt;=Hba_7,Input!AB$27&lt;&gt;""),Input!$B$27&amp;";",""),IF(AND($G89&lt;Hta_8,$G89&gt;=Hba_8,Input!AB$28&lt;&gt;""),Input!$B$28&amp;";",""),IF(AND($G89&lt;Hta_9,$G89&gt;=Hba_9,Input!AB$29&lt;&gt;""),Input!$B$29&amp;";",""),IF(AND($G89&lt;Hta_10,$G89&gt;=Hba_10,Input!AB$30&lt;&gt;""),Input!$B$30&amp;";",""),IF(AND($G89&lt;Hta_11,$G89&gt;=Hba_11,Input!AB$31&lt;&gt;""),Input!$B$31&amp;";",""),IF(AND($G89&lt;Hta_12,$G89&gt;=Hba_12,Input!AB$32&lt;&gt;""),Input!$B$32&amp;";",""),IF(AND($G89&lt;Hta_13,$G89&gt;=Hba_13,Input!AB$33&lt;&gt;""),Input!$B$33&amp;";",""),IF(AND($G89&lt;Hta_14,$G89&gt;=Hba_14,Input!AB$34&lt;&gt;""),Input!$B$34&amp;";",""),IF(AND($G89&lt;Hta_15,$G89&gt;=Hba_15,Input!AB$35&lt;&gt;""),Input!$B$35&amp;";",""),IF(AND($G89&lt;Hta_16,$G89&gt;=Hba_16,Input!AB$36&lt;&gt;""),Input!$B$36&amp;";",""),IF(AND($G89&lt;Hta_17,$G89&gt;=Hba_17,Input!AB$37&lt;&gt;""),Input!$B$37&amp;";",""),IF(AND($G89&lt;Hta_18,$G89&gt;=Hba_18,Input!AB$38&lt;&gt;""),Input!$B$38&amp;";",""),IF(AND($G89&lt;Hta_19,$G89&gt;=Hba_19,Input!AB$39&lt;&gt;""),Input!$B$39&amp;";",""),IF(AND($G89&lt;Hta_20,$G89&gt;=Hba_20,Input!AB$40&lt;&gt;""),Input!$B$40&amp;";",""),IF(AND($G89&lt;Hta_21,$G89&gt;=Hba_21,Input!AB$41&lt;&gt;""),Input!$B$41&amp;";",""),IF(AND($G89&lt;Hta_22,$G89&gt;=Hba_22,Input!AB$42&lt;&gt;""),Input!$B$42&amp;";",""),IF(AND($G89&lt;Hta_23,$G89&gt;=Hba_23,Input!AB$43&lt;&gt;""),Input!$B$43&amp;";",""),IF(AND($G89&lt;Hta_24,$G89&gt;=Hba_24,Input!AB$44&lt;&gt;""),Input!$B$44&amp;";",""),IF(AND($G89&lt;Hta_25,$G89&gt;=Hba_25,Input!AB$45&lt;&gt;""),Input!$B$45&amp;";",""),IF(AND($G89&lt;Hta_26,$G89&gt;=Hba_26,Input!AB$46&lt;&gt;""),Input!$B$46&amp;";",""),IF(AND($G89&lt;Hta_27,$G89&gt;=Hba_27,Input!AB$47&lt;&gt;""),Input!$B$47&amp;";",""),IF(AND($G89&lt;Hta_28,$G89&gt;=Hba_28,Input!AB$48&lt;&gt;""),Input!$B$48&amp;";",""),IF(AND($G89&lt;Hta_29,$G89&gt;=Hba_29,Input!AB$49&lt;&gt;""),Input!$B$49&amp;";",""),IF(AND($G89&lt;Hta_30,$G89&gt;=Hba_30,Input!AB$50&lt;&gt;""),Input!$B$50&amp;";","")),"")</f>
        <v/>
      </c>
      <c r="CD89" s="25" t="str">
        <f>IFERROR(CONCATENATE(IF(AND($G89&lt;Hta_1,$G89&gt;=Hba_1,Input!AC$21&lt;&gt;""),Input!$B$21&amp;";",""),IF(AND($G89&lt;Hta_2,$G89&gt;=Hba_2,Input!AC$22&lt;&gt;""),Input!$B$22&amp;";",""),IF(AND($G89&lt;Hta_3,$G89&gt;=Hba_3,Input!AC$23&lt;&gt;""),Input!$B$23&amp;";",""),IF(AND($G89&lt;Hta_4,$G89&gt;=Hba_4,Input!AC$24&lt;&gt;""),Input!$B$24&amp;";",""),IF(AND($G89&lt;Hta_5,$G89&gt;=Hba_5,Input!AC$25&lt;&gt;""),Input!$B$25&amp;";",""),IF(AND($G89&lt;Hta_6,$G89&gt;=Hba_6,Input!AC$26&lt;&gt;""),Input!$B$26&amp;";",""),IF(AND($G89&lt;Hta_7,$G89&gt;=Hba_7,Input!AC$27&lt;&gt;""),Input!$B$27&amp;";",""),IF(AND($G89&lt;Hta_8,$G89&gt;=Hba_8,Input!AC$28&lt;&gt;""),Input!$B$28&amp;";",""),IF(AND($G89&lt;Hta_9,$G89&gt;=Hba_9,Input!AC$29&lt;&gt;""),Input!$B$29&amp;";",""),IF(AND($G89&lt;Hta_10,$G89&gt;=Hba_10,Input!AC$30&lt;&gt;""),Input!$B$30&amp;";",""),IF(AND($G89&lt;Hta_11,$G89&gt;=Hba_11,Input!AC$31&lt;&gt;""),Input!$B$31&amp;";",""),IF(AND($G89&lt;Hta_12,$G89&gt;=Hba_12,Input!AC$32&lt;&gt;""),Input!$B$32&amp;";",""),IF(AND($G89&lt;Hta_13,$G89&gt;=Hba_13,Input!AC$33&lt;&gt;""),Input!$B$33&amp;";",""),IF(AND($G89&lt;Hta_14,$G89&gt;=Hba_14,Input!AC$34&lt;&gt;""),Input!$B$34&amp;";",""),IF(AND($G89&lt;Hta_15,$G89&gt;=Hba_15,Input!AC$35&lt;&gt;""),Input!$B$35&amp;";",""),IF(AND($G89&lt;Hta_16,$G89&gt;=Hba_16,Input!AC$36&lt;&gt;""),Input!$B$36&amp;";",""),IF(AND($G89&lt;Hta_17,$G89&gt;=Hba_17,Input!AC$37&lt;&gt;""),Input!$B$37&amp;";",""),IF(AND($G89&lt;Hta_18,$G89&gt;=Hba_18,Input!AC$38&lt;&gt;""),Input!$B$38&amp;";",""),IF(AND($G89&lt;Hta_19,$G89&gt;=Hba_19,Input!AC$39&lt;&gt;""),Input!$B$39&amp;";",""),IF(AND($G89&lt;Hta_20,$G89&gt;=Hba_20,Input!AC$40&lt;&gt;""),Input!$B$40&amp;";",""),IF(AND($G89&lt;Hta_21,$G89&gt;=Hba_21,Input!AC$41&lt;&gt;""),Input!$B$41&amp;";",""),IF(AND($G89&lt;Hta_22,$G89&gt;=Hba_22,Input!AC$42&lt;&gt;""),Input!$B$42&amp;";",""),IF(AND($G89&lt;Hta_23,$G89&gt;=Hba_23,Input!AC$43&lt;&gt;""),Input!$B$43&amp;";",""),IF(AND($G89&lt;Hta_24,$G89&gt;=Hba_24,Input!AC$44&lt;&gt;""),Input!$B$44&amp;";",""),IF(AND($G89&lt;Hta_25,$G89&gt;=Hba_25,Input!AC$45&lt;&gt;""),Input!$B$45&amp;";",""),IF(AND($G89&lt;Hta_26,$G89&gt;=Hba_26,Input!AC$46&lt;&gt;""),Input!$B$46&amp;";",""),IF(AND($G89&lt;Hta_27,$G89&gt;=Hba_27,Input!AC$47&lt;&gt;""),Input!$B$47&amp;";",""),IF(AND($G89&lt;Hta_28,$G89&gt;=Hba_28,Input!AC$48&lt;&gt;""),Input!$B$48&amp;";",""),IF(AND($G89&lt;Hta_29,$G89&gt;=Hba_29,Input!AC$49&lt;&gt;""),Input!$B$49&amp;";",""),IF(AND($G89&lt;Hta_30,$G89&gt;=Hba_30,Input!AC$50&lt;&gt;""),Input!$B$50&amp;";","")),"")</f>
        <v/>
      </c>
      <c r="CE89" s="25" t="str">
        <f>IFERROR(CONCATENATE(IF(AND($G89&lt;Hta_1,$G89&gt;=Hba_1,Input!AD$21&lt;&gt;""),Input!$B$21&amp;";",""),IF(AND($G89&lt;Hta_2,$G89&gt;=Hba_2,Input!AD$22&lt;&gt;""),Input!$B$22&amp;";",""),IF(AND($G89&lt;Hta_3,$G89&gt;=Hba_3,Input!AD$23&lt;&gt;""),Input!$B$23&amp;";",""),IF(AND($G89&lt;Hta_4,$G89&gt;=Hba_4,Input!AD$24&lt;&gt;""),Input!$B$24&amp;";",""),IF(AND($G89&lt;Hta_5,$G89&gt;=Hba_5,Input!AD$25&lt;&gt;""),Input!$B$25&amp;";",""),IF(AND($G89&lt;Hta_6,$G89&gt;=Hba_6,Input!AD$26&lt;&gt;""),Input!$B$26&amp;";",""),IF(AND($G89&lt;Hta_7,$G89&gt;=Hba_7,Input!AD$27&lt;&gt;""),Input!$B$27&amp;";",""),IF(AND($G89&lt;Hta_8,$G89&gt;=Hba_8,Input!AD$28&lt;&gt;""),Input!$B$28&amp;";",""),IF(AND($G89&lt;Hta_9,$G89&gt;=Hba_9,Input!AD$29&lt;&gt;""),Input!$B$29&amp;";",""),IF(AND($G89&lt;Hta_10,$G89&gt;=Hba_10,Input!AD$30&lt;&gt;""),Input!$B$30&amp;";",""),IF(AND($G89&lt;Hta_11,$G89&gt;=Hba_11,Input!AD$31&lt;&gt;""),Input!$B$31&amp;";",""),IF(AND($G89&lt;Hta_12,$G89&gt;=Hba_12,Input!AD$32&lt;&gt;""),Input!$B$32&amp;";",""),IF(AND($G89&lt;Hta_13,$G89&gt;=Hba_13,Input!AD$33&lt;&gt;""),Input!$B$33&amp;";",""),IF(AND($G89&lt;Hta_14,$G89&gt;=Hba_14,Input!AD$34&lt;&gt;""),Input!$B$34&amp;";",""),IF(AND($G89&lt;Hta_15,$G89&gt;=Hba_15,Input!AD$35&lt;&gt;""),Input!$B$35&amp;";",""),IF(AND($G89&lt;Hta_16,$G89&gt;=Hba_16,Input!AD$36&lt;&gt;""),Input!$B$36&amp;";",""),IF(AND($G89&lt;Hta_17,$G89&gt;=Hba_17,Input!AD$37&lt;&gt;""),Input!$B$37&amp;";",""),IF(AND($G89&lt;Hta_18,$G89&gt;=Hba_18,Input!AD$38&lt;&gt;""),Input!$B$38&amp;";",""),IF(AND($G89&lt;Hta_19,$G89&gt;=Hba_19,Input!AD$39&lt;&gt;""),Input!$B$39&amp;";",""),IF(AND($G89&lt;Hta_20,$G89&gt;=Hba_20,Input!AD$40&lt;&gt;""),Input!$B$40&amp;";",""),IF(AND($G89&lt;Hta_21,$G89&gt;=Hba_21,Input!AD$41&lt;&gt;""),Input!$B$41&amp;";",""),IF(AND($G89&lt;Hta_22,$G89&gt;=Hba_22,Input!AD$42&lt;&gt;""),Input!$B$42&amp;";",""),IF(AND($G89&lt;Hta_23,$G89&gt;=Hba_23,Input!AD$43&lt;&gt;""),Input!$B$43&amp;";",""),IF(AND($G89&lt;Hta_24,$G89&gt;=Hba_24,Input!AD$44&lt;&gt;""),Input!$B$44&amp;";",""),IF(AND($G89&lt;Hta_25,$G89&gt;=Hba_25,Input!AD$45&lt;&gt;""),Input!$B$45&amp;";",""),IF(AND($G89&lt;Hta_26,$G89&gt;=Hba_26,Input!AD$46&lt;&gt;""),Input!$B$46&amp;";",""),IF(AND($G89&lt;Hta_27,$G89&gt;=Hba_27,Input!AD$47&lt;&gt;""),Input!$B$47&amp;";",""),IF(AND($G89&lt;Hta_28,$G89&gt;=Hba_28,Input!AD$48&lt;&gt;""),Input!$B$48&amp;";",""),IF(AND($G89&lt;Hta_29,$G89&gt;=Hba_29,Input!AD$49&lt;&gt;""),Input!$B$49&amp;";",""),IF(AND($G89&lt;Hta_30,$G89&gt;=Hba_30,Input!AD$50&lt;&gt;""),Input!$B$50&amp;";","")),"")</f>
        <v/>
      </c>
      <c r="CF89" s="25" t="str">
        <f>IFERROR(CONCATENATE(IF(AND($G89&lt;Hta_1,$G89&gt;=Hba_1,Input!AE$21&lt;&gt;""),Input!$B$21&amp;";",""),IF(AND($G89&lt;Hta_2,$G89&gt;=Hba_2,Input!AE$22&lt;&gt;""),Input!$B$22&amp;";",""),IF(AND($G89&lt;Hta_3,$G89&gt;=Hba_3,Input!AE$23&lt;&gt;""),Input!$B$23&amp;";",""),IF(AND($G89&lt;Hta_4,$G89&gt;=Hba_4,Input!AE$24&lt;&gt;""),Input!$B$24&amp;";",""),IF(AND($G89&lt;Hta_5,$G89&gt;=Hba_5,Input!AE$25&lt;&gt;""),Input!$B$25&amp;";",""),IF(AND($G89&lt;Hta_6,$G89&gt;=Hba_6,Input!AE$26&lt;&gt;""),Input!$B$26&amp;";",""),IF(AND($G89&lt;Hta_7,$G89&gt;=Hba_7,Input!AE$27&lt;&gt;""),Input!$B$27&amp;";",""),IF(AND($G89&lt;Hta_8,$G89&gt;=Hba_8,Input!AE$28&lt;&gt;""),Input!$B$28&amp;";",""),IF(AND($G89&lt;Hta_9,$G89&gt;=Hba_9,Input!AE$29&lt;&gt;""),Input!$B$29&amp;";",""),IF(AND($G89&lt;Hta_10,$G89&gt;=Hba_10,Input!AE$30&lt;&gt;""),Input!$B$30&amp;";",""),IF(AND($G89&lt;Hta_11,$G89&gt;=Hba_11,Input!AE$31&lt;&gt;""),Input!$B$31&amp;";",""),IF(AND($G89&lt;Hta_12,$G89&gt;=Hba_12,Input!AE$32&lt;&gt;""),Input!$B$32&amp;";",""),IF(AND($G89&lt;Hta_13,$G89&gt;=Hba_13,Input!AE$33&lt;&gt;""),Input!$B$33&amp;";",""),IF(AND($G89&lt;Hta_14,$G89&gt;=Hba_14,Input!AE$34&lt;&gt;""),Input!$B$34&amp;";",""),IF(AND($G89&lt;Hta_15,$G89&gt;=Hba_15,Input!AE$35&lt;&gt;""),Input!$B$35&amp;";",""),IF(AND($G89&lt;Hta_16,$G89&gt;=Hba_16,Input!AE$36&lt;&gt;""),Input!$B$36&amp;";",""),IF(AND($G89&lt;Hta_17,$G89&gt;=Hba_17,Input!AE$37&lt;&gt;""),Input!$B$37&amp;";",""),IF(AND($G89&lt;Hta_18,$G89&gt;=Hba_18,Input!AE$38&lt;&gt;""),Input!$B$38&amp;";",""),IF(AND($G89&lt;Hta_19,$G89&gt;=Hba_19,Input!AE$39&lt;&gt;""),Input!$B$39&amp;";",""),IF(AND($G89&lt;Hta_20,$G89&gt;=Hba_20,Input!AE$40&lt;&gt;""),Input!$B$40&amp;";",""),IF(AND($G89&lt;Hta_21,$G89&gt;=Hba_21,Input!AE$41&lt;&gt;""),Input!$B$41&amp;";",""),IF(AND($G89&lt;Hta_22,$G89&gt;=Hba_22,Input!AE$42&lt;&gt;""),Input!$B$42&amp;";",""),IF(AND($G89&lt;Hta_23,$G89&gt;=Hba_23,Input!AE$43&lt;&gt;""),Input!$B$43&amp;";",""),IF(AND($G89&lt;Hta_24,$G89&gt;=Hba_24,Input!AE$44&lt;&gt;""),Input!$B$44&amp;";",""),IF(AND($G89&lt;Hta_25,$G89&gt;=Hba_25,Input!AE$45&lt;&gt;""),Input!$B$45&amp;";",""),IF(AND($G89&lt;Hta_26,$G89&gt;=Hba_26,Input!AE$46&lt;&gt;""),Input!$B$46&amp;";",""),IF(AND($G89&lt;Hta_27,$G89&gt;=Hba_27,Input!AE$47&lt;&gt;""),Input!$B$47&amp;";",""),IF(AND($G89&lt;Hta_28,$G89&gt;=Hba_28,Input!AE$48&lt;&gt;""),Input!$B$48&amp;";",""),IF(AND($G89&lt;Hta_29,$G89&gt;=Hba_29,Input!AE$49&lt;&gt;""),Input!$B$49&amp;";",""),IF(AND($G89&lt;Hta_30,$G89&gt;=Hba_30,Input!AE$50&lt;&gt;""),Input!$B$50&amp;";","")),"")</f>
        <v/>
      </c>
      <c r="CG89" s="25" t="str">
        <f>IFERROR(CONCATENATE(IF(AND($G89&lt;Hta_1,$G89&gt;=Hba_1,Input!AF$21&lt;&gt;""),Input!$B$21&amp;";",""),IF(AND($G89&lt;Hta_2,$G89&gt;=Hba_2,Input!AF$22&lt;&gt;""),Input!$B$22&amp;";",""),IF(AND($G89&lt;Hta_3,$G89&gt;=Hba_3,Input!AF$23&lt;&gt;""),Input!$B$23&amp;";",""),IF(AND($G89&lt;Hta_4,$G89&gt;=Hba_4,Input!AF$24&lt;&gt;""),Input!$B$24&amp;";",""),IF(AND($G89&lt;Hta_5,$G89&gt;=Hba_5,Input!AF$25&lt;&gt;""),Input!$B$25&amp;";",""),IF(AND($G89&lt;Hta_6,$G89&gt;=Hba_6,Input!AF$26&lt;&gt;""),Input!$B$26&amp;";",""),IF(AND($G89&lt;Hta_7,$G89&gt;=Hba_7,Input!AF$27&lt;&gt;""),Input!$B$27&amp;";",""),IF(AND($G89&lt;Hta_8,$G89&gt;=Hba_8,Input!AF$28&lt;&gt;""),Input!$B$28&amp;";",""),IF(AND($G89&lt;Hta_9,$G89&gt;=Hba_9,Input!AF$29&lt;&gt;""),Input!$B$29&amp;";",""),IF(AND($G89&lt;Hta_10,$G89&gt;=Hba_10,Input!AF$30&lt;&gt;""),Input!$B$30&amp;";",""),IF(AND($G89&lt;Hta_11,$G89&gt;=Hba_11,Input!AF$31&lt;&gt;""),Input!$B$31&amp;";",""),IF(AND($G89&lt;Hta_12,$G89&gt;=Hba_12,Input!AF$32&lt;&gt;""),Input!$B$32&amp;";",""),IF(AND($G89&lt;Hta_13,$G89&gt;=Hba_13,Input!AF$33&lt;&gt;""),Input!$B$33&amp;";",""),IF(AND($G89&lt;Hta_14,$G89&gt;=Hba_14,Input!AF$34&lt;&gt;""),Input!$B$34&amp;";",""),IF(AND($G89&lt;Hta_15,$G89&gt;=Hba_15,Input!AF$35&lt;&gt;""),Input!$B$35&amp;";",""),IF(AND($G89&lt;Hta_16,$G89&gt;=Hba_16,Input!AF$36&lt;&gt;""),Input!$B$36&amp;";",""),IF(AND($G89&lt;Hta_17,$G89&gt;=Hba_17,Input!AF$37&lt;&gt;""),Input!$B$37&amp;";",""),IF(AND($G89&lt;Hta_18,$G89&gt;=Hba_18,Input!AF$38&lt;&gt;""),Input!$B$38&amp;";",""),IF(AND($G89&lt;Hta_19,$G89&gt;=Hba_19,Input!AF$39&lt;&gt;""),Input!$B$39&amp;";",""),IF(AND($G89&lt;Hta_20,$G89&gt;=Hba_20,Input!AF$40&lt;&gt;""),Input!$B$40&amp;";",""),IF(AND($G89&lt;Hta_21,$G89&gt;=Hba_21,Input!AF$41&lt;&gt;""),Input!$B$41&amp;";",""),IF(AND($G89&lt;Hta_22,$G89&gt;=Hba_22,Input!AF$42&lt;&gt;""),Input!$B$42&amp;";",""),IF(AND($G89&lt;Hta_23,$G89&gt;=Hba_23,Input!AF$43&lt;&gt;""),Input!$B$43&amp;";",""),IF(AND($G89&lt;Hta_24,$G89&gt;=Hba_24,Input!AF$44&lt;&gt;""),Input!$B$44&amp;";",""),IF(AND($G89&lt;Hta_25,$G89&gt;=Hba_25,Input!AF$45&lt;&gt;""),Input!$B$45&amp;";",""),IF(AND($G89&lt;Hta_26,$G89&gt;=Hba_26,Input!AF$46&lt;&gt;""),Input!$B$46&amp;";",""),IF(AND($G89&lt;Hta_27,$G89&gt;=Hba_27,Input!AF$47&lt;&gt;""),Input!$B$47&amp;";",""),IF(AND($G89&lt;Hta_28,$G89&gt;=Hba_28,Input!AF$48&lt;&gt;""),Input!$B$48&amp;";",""),IF(AND($G89&lt;Hta_29,$G89&gt;=Hba_29,Input!AF$49&lt;&gt;""),Input!$B$49&amp;";",""),IF(AND($G89&lt;Hta_30,$G89&gt;=Hba_30,Input!AF$50&lt;&gt;""),Input!$B$50&amp;";","")),"")</f>
        <v/>
      </c>
      <c r="CH89" s="25" t="str">
        <f>IFERROR(CONCATENATE(IF(AND($G89&lt;Hta_1,$G89&gt;=Hba_1,Input!AG$21&lt;&gt;""),Input!$B$21&amp;";",""),IF(AND($G89&lt;Hta_2,$G89&gt;=Hba_2,Input!AG$22&lt;&gt;""),Input!$B$22&amp;";",""),IF(AND($G89&lt;Hta_3,$G89&gt;=Hba_3,Input!AG$23&lt;&gt;""),Input!$B$23&amp;";",""),IF(AND($G89&lt;Hta_4,$G89&gt;=Hba_4,Input!AG$24&lt;&gt;""),Input!$B$24&amp;";",""),IF(AND($G89&lt;Hta_5,$G89&gt;=Hba_5,Input!AG$25&lt;&gt;""),Input!$B$25&amp;";",""),IF(AND($G89&lt;Hta_6,$G89&gt;=Hba_6,Input!AG$26&lt;&gt;""),Input!$B$26&amp;";",""),IF(AND($G89&lt;Hta_7,$G89&gt;=Hba_7,Input!AG$27&lt;&gt;""),Input!$B$27&amp;";",""),IF(AND($G89&lt;Hta_8,$G89&gt;=Hba_8,Input!AG$28&lt;&gt;""),Input!$B$28&amp;";",""),IF(AND($G89&lt;Hta_9,$G89&gt;=Hba_9,Input!AG$29&lt;&gt;""),Input!$B$29&amp;";",""),IF(AND($G89&lt;Hta_10,$G89&gt;=Hba_10,Input!AG$30&lt;&gt;""),Input!$B$30&amp;";",""),IF(AND($G89&lt;Hta_11,$G89&gt;=Hba_11,Input!AG$31&lt;&gt;""),Input!$B$31&amp;";",""),IF(AND($G89&lt;Hta_12,$G89&gt;=Hba_12,Input!AG$32&lt;&gt;""),Input!$B$32&amp;";",""),IF(AND($G89&lt;Hta_13,$G89&gt;=Hba_13,Input!AG$33&lt;&gt;""),Input!$B$33&amp;";",""),IF(AND($G89&lt;Hta_14,$G89&gt;=Hba_14,Input!AG$34&lt;&gt;""),Input!$B$34&amp;";",""),IF(AND($G89&lt;Hta_15,$G89&gt;=Hba_15,Input!AG$35&lt;&gt;""),Input!$B$35&amp;";",""),IF(AND($G89&lt;Hta_16,$G89&gt;=Hba_16,Input!AG$36&lt;&gt;""),Input!$B$36&amp;";",""),IF(AND($G89&lt;Hta_17,$G89&gt;=Hba_17,Input!AG$37&lt;&gt;""),Input!$B$37&amp;";",""),IF(AND($G89&lt;Hta_18,$G89&gt;=Hba_18,Input!AG$38&lt;&gt;""),Input!$B$38&amp;";",""),IF(AND($G89&lt;Hta_19,$G89&gt;=Hba_19,Input!AG$39&lt;&gt;""),Input!$B$39&amp;";",""),IF(AND($G89&lt;Hta_20,$G89&gt;=Hba_20,Input!AG$40&lt;&gt;""),Input!$B$40&amp;";",""),IF(AND($G89&lt;Hta_21,$G89&gt;=Hba_21,Input!AG$41&lt;&gt;""),Input!$B$41&amp;";",""),IF(AND($G89&lt;Hta_22,$G89&gt;=Hba_22,Input!AG$42&lt;&gt;""),Input!$B$42&amp;";",""),IF(AND($G89&lt;Hta_23,$G89&gt;=Hba_23,Input!AG$43&lt;&gt;""),Input!$B$43&amp;";",""),IF(AND($G89&lt;Hta_24,$G89&gt;=Hba_24,Input!AG$44&lt;&gt;""),Input!$B$44&amp;";",""),IF(AND($G89&lt;Hta_25,$G89&gt;=Hba_25,Input!AG$45&lt;&gt;""),Input!$B$45&amp;";",""),IF(AND($G89&lt;Hta_26,$G89&gt;=Hba_26,Input!AG$46&lt;&gt;""),Input!$B$46&amp;";",""),IF(AND($G89&lt;Hta_27,$G89&gt;=Hba_27,Input!AG$47&lt;&gt;""),Input!$B$47&amp;";",""),IF(AND($G89&lt;Hta_28,$G89&gt;=Hba_28,Input!AG$48&lt;&gt;""),Input!$B$48&amp;";",""),IF(AND($G89&lt;Hta_29,$G89&gt;=Hba_29,Input!AG$49&lt;&gt;""),Input!$B$49&amp;";",""),IF(AND($G89&lt;Hta_30,$G89&gt;=Hba_30,Input!AG$50&lt;&gt;""),Input!$B$50&amp;";","")),"")</f>
        <v/>
      </c>
      <c r="CI89" s="25" t="str">
        <f>IFERROR(CONCATENATE(IF(AND($G89&lt;Hta_1,$G89&gt;=Hba_1,Input!AH$21&lt;&gt;""),Input!$B$21&amp;";",""),IF(AND($G89&lt;Hta_2,$G89&gt;=Hba_2,Input!AH$22&lt;&gt;""),Input!$B$22&amp;";",""),IF(AND($G89&lt;Hta_3,$G89&gt;=Hba_3,Input!AH$23&lt;&gt;""),Input!$B$23&amp;";",""),IF(AND($G89&lt;Hta_4,$G89&gt;=Hba_4,Input!AH$24&lt;&gt;""),Input!$B$24&amp;";",""),IF(AND($G89&lt;Hta_5,$G89&gt;=Hba_5,Input!AH$25&lt;&gt;""),Input!$B$25&amp;";",""),IF(AND($G89&lt;Hta_6,$G89&gt;=Hba_6,Input!AH$26&lt;&gt;""),Input!$B$26&amp;";",""),IF(AND($G89&lt;Hta_7,$G89&gt;=Hba_7,Input!AH$27&lt;&gt;""),Input!$B$27&amp;";",""),IF(AND($G89&lt;Hta_8,$G89&gt;=Hba_8,Input!AH$28&lt;&gt;""),Input!$B$28&amp;";",""),IF(AND($G89&lt;Hta_9,$G89&gt;=Hba_9,Input!AH$29&lt;&gt;""),Input!$B$29&amp;";",""),IF(AND($G89&lt;Hta_10,$G89&gt;=Hba_10,Input!AH$30&lt;&gt;""),Input!$B$30&amp;";",""),IF(AND($G89&lt;Hta_11,$G89&gt;=Hba_11,Input!AH$31&lt;&gt;""),Input!$B$31&amp;";",""),IF(AND($G89&lt;Hta_12,$G89&gt;=Hba_12,Input!AH$32&lt;&gt;""),Input!$B$32&amp;";",""),IF(AND($G89&lt;Hta_13,$G89&gt;=Hba_13,Input!AH$33&lt;&gt;""),Input!$B$33&amp;";",""),IF(AND($G89&lt;Hta_14,$G89&gt;=Hba_14,Input!AH$34&lt;&gt;""),Input!$B$34&amp;";",""),IF(AND($G89&lt;Hta_15,$G89&gt;=Hba_15,Input!AH$35&lt;&gt;""),Input!$B$35&amp;";",""),IF(AND($G89&lt;Hta_16,$G89&gt;=Hba_16,Input!AH$36&lt;&gt;""),Input!$B$36&amp;";",""),IF(AND($G89&lt;Hta_17,$G89&gt;=Hba_17,Input!AH$37&lt;&gt;""),Input!$B$37&amp;";",""),IF(AND($G89&lt;Hta_18,$G89&gt;=Hba_18,Input!AH$38&lt;&gt;""),Input!$B$38&amp;";",""),IF(AND($G89&lt;Hta_19,$G89&gt;=Hba_19,Input!AH$39&lt;&gt;""),Input!$B$39&amp;";",""),IF(AND($G89&lt;Hta_20,$G89&gt;=Hba_20,Input!AH$40&lt;&gt;""),Input!$B$40&amp;";",""),IF(AND($G89&lt;Hta_21,$G89&gt;=Hba_21,Input!AH$41&lt;&gt;""),Input!$B$41&amp;";",""),IF(AND($G89&lt;Hta_22,$G89&gt;=Hba_22,Input!AH$42&lt;&gt;""),Input!$B$42&amp;";",""),IF(AND($G89&lt;Hta_23,$G89&gt;=Hba_23,Input!AH$43&lt;&gt;""),Input!$B$43&amp;";",""),IF(AND($G89&lt;Hta_24,$G89&gt;=Hba_24,Input!AH$44&lt;&gt;""),Input!$B$44&amp;";",""),IF(AND($G89&lt;Hta_25,$G89&gt;=Hba_25,Input!AH$45&lt;&gt;""),Input!$B$45&amp;";",""),IF(AND($G89&lt;Hta_26,$G89&gt;=Hba_26,Input!AH$46&lt;&gt;""),Input!$B$46&amp;";",""),IF(AND($G89&lt;Hta_27,$G89&gt;=Hba_27,Input!AH$47&lt;&gt;""),Input!$B$47&amp;";",""),IF(AND($G89&lt;Hta_28,$G89&gt;=Hba_28,Input!AH$48&lt;&gt;""),Input!$B$48&amp;";",""),IF(AND($G89&lt;Hta_29,$G89&gt;=Hba_29,Input!AH$49&lt;&gt;""),Input!$B$49&amp;";",""),IF(AND($G89&lt;Hta_30,$G89&gt;=Hba_30,Input!AH$50&lt;&gt;""),Input!$B$50&amp;";","")),"")</f>
        <v/>
      </c>
      <c r="CJ89" s="25" t="str">
        <f>IFERROR(CONCATENATE(IF(AND($G89&lt;Hta_1,$G89&gt;=Hba_1,Input!AI$21&lt;&gt;""),Input!$B$21&amp;";",""),IF(AND($G89&lt;Hta_2,$G89&gt;=Hba_2,Input!AI$22&lt;&gt;""),Input!$B$22&amp;";",""),IF(AND($G89&lt;Hta_3,$G89&gt;=Hba_3,Input!AI$23&lt;&gt;""),Input!$B$23&amp;";",""),IF(AND($G89&lt;Hta_4,$G89&gt;=Hba_4,Input!AI$24&lt;&gt;""),Input!$B$24&amp;";",""),IF(AND($G89&lt;Hta_5,$G89&gt;=Hba_5,Input!AI$25&lt;&gt;""),Input!$B$25&amp;";",""),IF(AND($G89&lt;Hta_6,$G89&gt;=Hba_6,Input!AI$26&lt;&gt;""),Input!$B$26&amp;";",""),IF(AND($G89&lt;Hta_7,$G89&gt;=Hba_7,Input!AI$27&lt;&gt;""),Input!$B$27&amp;";",""),IF(AND($G89&lt;Hta_8,$G89&gt;=Hba_8,Input!AI$28&lt;&gt;""),Input!$B$28&amp;";",""),IF(AND($G89&lt;Hta_9,$G89&gt;=Hba_9,Input!AI$29&lt;&gt;""),Input!$B$29&amp;";",""),IF(AND($G89&lt;Hta_10,$G89&gt;=Hba_10,Input!AI$30&lt;&gt;""),Input!$B$30&amp;";",""),IF(AND($G89&lt;Hta_11,$G89&gt;=Hba_11,Input!AI$31&lt;&gt;""),Input!$B$31&amp;";",""),IF(AND($G89&lt;Hta_12,$G89&gt;=Hba_12,Input!AI$32&lt;&gt;""),Input!$B$32&amp;";",""),IF(AND($G89&lt;Hta_13,$G89&gt;=Hba_13,Input!AI$33&lt;&gt;""),Input!$B$33&amp;";",""),IF(AND($G89&lt;Hta_14,$G89&gt;=Hba_14,Input!AI$34&lt;&gt;""),Input!$B$34&amp;";",""),IF(AND($G89&lt;Hta_15,$G89&gt;=Hba_15,Input!AI$35&lt;&gt;""),Input!$B$35&amp;";",""),IF(AND($G89&lt;Hta_16,$G89&gt;=Hba_16,Input!AI$36&lt;&gt;""),Input!$B$36&amp;";",""),IF(AND($G89&lt;Hta_17,$G89&gt;=Hba_17,Input!AI$37&lt;&gt;""),Input!$B$37&amp;";",""),IF(AND($G89&lt;Hta_18,$G89&gt;=Hba_18,Input!AI$38&lt;&gt;""),Input!$B$38&amp;";",""),IF(AND($G89&lt;Hta_19,$G89&gt;=Hba_19,Input!AI$39&lt;&gt;""),Input!$B$39&amp;";",""),IF(AND($G89&lt;Hta_20,$G89&gt;=Hba_20,Input!AI$40&lt;&gt;""),Input!$B$40&amp;";",""),IF(AND($G89&lt;Hta_21,$G89&gt;=Hba_21,Input!AI$41&lt;&gt;""),Input!$B$41&amp;";",""),IF(AND($G89&lt;Hta_22,$G89&gt;=Hba_22,Input!AI$42&lt;&gt;""),Input!$B$42&amp;";",""),IF(AND($G89&lt;Hta_23,$G89&gt;=Hba_23,Input!AI$43&lt;&gt;""),Input!$B$43&amp;";",""),IF(AND($G89&lt;Hta_24,$G89&gt;=Hba_24,Input!AI$44&lt;&gt;""),Input!$B$44&amp;";",""),IF(AND($G89&lt;Hta_25,$G89&gt;=Hba_25,Input!AI$45&lt;&gt;""),Input!$B$45&amp;";",""),IF(AND($G89&lt;Hta_26,$G89&gt;=Hba_26,Input!AI$46&lt;&gt;""),Input!$B$46&amp;";",""),IF(AND($G89&lt;Hta_27,$G89&gt;=Hba_27,Input!AI$47&lt;&gt;""),Input!$B$47&amp;";",""),IF(AND($G89&lt;Hta_28,$G89&gt;=Hba_28,Input!AI$48&lt;&gt;""),Input!$B$48&amp;";",""),IF(AND($G89&lt;Hta_29,$G89&gt;=Hba_29,Input!AI$49&lt;&gt;""),Input!$B$49&amp;";",""),IF(AND($G89&lt;Hta_30,$G89&gt;=Hba_30,Input!AI$50&lt;&gt;""),Input!$B$50&amp;";","")),"")</f>
        <v/>
      </c>
      <c r="CK89" s="25" t="str">
        <f>IFERROR(CONCATENATE(IF(AND($G89&lt;Hta_1,$G89&gt;=Hba_1,Input!AJ$21&lt;&gt;""),Input!$B$21&amp;";",""),IF(AND($G89&lt;Hta_2,$G89&gt;=Hba_2,Input!AJ$22&lt;&gt;""),Input!$B$22&amp;";",""),IF(AND($G89&lt;Hta_3,$G89&gt;=Hba_3,Input!AJ$23&lt;&gt;""),Input!$B$23&amp;";",""),IF(AND($G89&lt;Hta_4,$G89&gt;=Hba_4,Input!AJ$24&lt;&gt;""),Input!$B$24&amp;";",""),IF(AND($G89&lt;Hta_5,$G89&gt;=Hba_5,Input!AJ$25&lt;&gt;""),Input!$B$25&amp;";",""),IF(AND($G89&lt;Hta_6,$G89&gt;=Hba_6,Input!AJ$26&lt;&gt;""),Input!$B$26&amp;";",""),IF(AND($G89&lt;Hta_7,$G89&gt;=Hba_7,Input!AJ$27&lt;&gt;""),Input!$B$27&amp;";",""),IF(AND($G89&lt;Hta_8,$G89&gt;=Hba_8,Input!AJ$28&lt;&gt;""),Input!$B$28&amp;";",""),IF(AND($G89&lt;Hta_9,$G89&gt;=Hba_9,Input!AJ$29&lt;&gt;""),Input!$B$29&amp;";",""),IF(AND($G89&lt;Hta_10,$G89&gt;=Hba_10,Input!AJ$30&lt;&gt;""),Input!$B$30&amp;";",""),IF(AND($G89&lt;Hta_11,$G89&gt;=Hba_11,Input!AJ$31&lt;&gt;""),Input!$B$31&amp;";",""),IF(AND($G89&lt;Hta_12,$G89&gt;=Hba_12,Input!AJ$32&lt;&gt;""),Input!$B$32&amp;";",""),IF(AND($G89&lt;Hta_13,$G89&gt;=Hba_13,Input!AJ$33&lt;&gt;""),Input!$B$33&amp;";",""),IF(AND($G89&lt;Hta_14,$G89&gt;=Hba_14,Input!AJ$34&lt;&gt;""),Input!$B$34&amp;";",""),IF(AND($G89&lt;Hta_15,$G89&gt;=Hba_15,Input!AJ$35&lt;&gt;""),Input!$B$35&amp;";",""),IF(AND($G89&lt;Hta_16,$G89&gt;=Hba_16,Input!AJ$36&lt;&gt;""),Input!$B$36&amp;";",""),IF(AND($G89&lt;Hta_17,$G89&gt;=Hba_17,Input!AJ$37&lt;&gt;""),Input!$B$37&amp;";",""),IF(AND($G89&lt;Hta_18,$G89&gt;=Hba_18,Input!AJ$38&lt;&gt;""),Input!$B$38&amp;";",""),IF(AND($G89&lt;Hta_19,$G89&gt;=Hba_19,Input!AJ$39&lt;&gt;""),Input!$B$39&amp;";",""),IF(AND($G89&lt;Hta_20,$G89&gt;=Hba_20,Input!AJ$40&lt;&gt;""),Input!$B$40&amp;";",""),IF(AND($G89&lt;Hta_21,$G89&gt;=Hba_21,Input!AJ$41&lt;&gt;""),Input!$B$41&amp;";",""),IF(AND($G89&lt;Hta_22,$G89&gt;=Hba_22,Input!AJ$42&lt;&gt;""),Input!$B$42&amp;";",""),IF(AND($G89&lt;Hta_23,$G89&gt;=Hba_23,Input!AJ$43&lt;&gt;""),Input!$B$43&amp;";",""),IF(AND($G89&lt;Hta_24,$G89&gt;=Hba_24,Input!AJ$44&lt;&gt;""),Input!$B$44&amp;";",""),IF(AND($G89&lt;Hta_25,$G89&gt;=Hba_25,Input!AJ$45&lt;&gt;""),Input!$B$45&amp;";",""),IF(AND($G89&lt;Hta_26,$G89&gt;=Hba_26,Input!AJ$46&lt;&gt;""),Input!$B$46&amp;";",""),IF(AND($G89&lt;Hta_27,$G89&gt;=Hba_27,Input!AJ$47&lt;&gt;""),Input!$B$47&amp;";",""),IF(AND($G89&lt;Hta_28,$G89&gt;=Hba_28,Input!AJ$48&lt;&gt;""),Input!$B$48&amp;";",""),IF(AND($G89&lt;Hta_29,$G89&gt;=Hba_29,Input!AJ$49&lt;&gt;""),Input!$B$49&amp;";",""),IF(AND($G89&lt;Hta_30,$G89&gt;=Hba_30,Input!AJ$50&lt;&gt;""),Input!$B$50&amp;";","")),"")</f>
        <v/>
      </c>
      <c r="CL89" s="25" t="str">
        <f>IFERROR(CONCATENATE(IF(AND($G89&lt;Hta_1,$G89&gt;=Hba_1,Input!AK$21&lt;&gt;""),Input!$B$21&amp;";",""),IF(AND($G89&lt;Hta_2,$G89&gt;=Hba_2,Input!AK$22&lt;&gt;""),Input!$B$22&amp;";",""),IF(AND($G89&lt;Hta_3,$G89&gt;=Hba_3,Input!AK$23&lt;&gt;""),Input!$B$23&amp;";",""),IF(AND($G89&lt;Hta_4,$G89&gt;=Hba_4,Input!AK$24&lt;&gt;""),Input!$B$24&amp;";",""),IF(AND($G89&lt;Hta_5,$G89&gt;=Hba_5,Input!AK$25&lt;&gt;""),Input!$B$25&amp;";",""),IF(AND($G89&lt;Hta_6,$G89&gt;=Hba_6,Input!AK$26&lt;&gt;""),Input!$B$26&amp;";",""),IF(AND($G89&lt;Hta_7,$G89&gt;=Hba_7,Input!AK$27&lt;&gt;""),Input!$B$27&amp;";",""),IF(AND($G89&lt;Hta_8,$G89&gt;=Hba_8,Input!AK$28&lt;&gt;""),Input!$B$28&amp;";",""),IF(AND($G89&lt;Hta_9,$G89&gt;=Hba_9,Input!AK$29&lt;&gt;""),Input!$B$29&amp;";",""),IF(AND($G89&lt;Hta_10,$G89&gt;=Hba_10,Input!AK$30&lt;&gt;""),Input!$B$30&amp;";",""),IF(AND($G89&lt;Hta_11,$G89&gt;=Hba_11,Input!AK$31&lt;&gt;""),Input!$B$31&amp;";",""),IF(AND($G89&lt;Hta_12,$G89&gt;=Hba_12,Input!AK$32&lt;&gt;""),Input!$B$32&amp;";",""),IF(AND($G89&lt;Hta_13,$G89&gt;=Hba_13,Input!AK$33&lt;&gt;""),Input!$B$33&amp;";",""),IF(AND($G89&lt;Hta_14,$G89&gt;=Hba_14,Input!AK$34&lt;&gt;""),Input!$B$34&amp;";",""),IF(AND($G89&lt;Hta_15,$G89&gt;=Hba_15,Input!AK$35&lt;&gt;""),Input!$B$35&amp;";",""),IF(AND($G89&lt;Hta_16,$G89&gt;=Hba_16,Input!AK$36&lt;&gt;""),Input!$B$36&amp;";",""),IF(AND($G89&lt;Hta_17,$G89&gt;=Hba_17,Input!AK$37&lt;&gt;""),Input!$B$37&amp;";",""),IF(AND($G89&lt;Hta_18,$G89&gt;=Hba_18,Input!AK$38&lt;&gt;""),Input!$B$38&amp;";",""),IF(AND($G89&lt;Hta_19,$G89&gt;=Hba_19,Input!AK$39&lt;&gt;""),Input!$B$39&amp;";",""),IF(AND($G89&lt;Hta_20,$G89&gt;=Hba_20,Input!AK$40&lt;&gt;""),Input!$B$40&amp;";",""),IF(AND($G89&lt;Hta_21,$G89&gt;=Hba_21,Input!AK$41&lt;&gt;""),Input!$B$41&amp;";",""),IF(AND($G89&lt;Hta_22,$G89&gt;=Hba_22,Input!AK$42&lt;&gt;""),Input!$B$42&amp;";",""),IF(AND($G89&lt;Hta_23,$G89&gt;=Hba_23,Input!AK$43&lt;&gt;""),Input!$B$43&amp;";",""),IF(AND($G89&lt;Hta_24,$G89&gt;=Hba_24,Input!AK$44&lt;&gt;""),Input!$B$44&amp;";",""),IF(AND($G89&lt;Hta_25,$G89&gt;=Hba_25,Input!AK$45&lt;&gt;""),Input!$B$45&amp;";",""),IF(AND($G89&lt;Hta_26,$G89&gt;=Hba_26,Input!AK$46&lt;&gt;""),Input!$B$46&amp;";",""),IF(AND($G89&lt;Hta_27,$G89&gt;=Hba_27,Input!AK$47&lt;&gt;""),Input!$B$47&amp;";",""),IF(AND($G89&lt;Hta_28,$G89&gt;=Hba_28,Input!AK$48&lt;&gt;""),Input!$B$48&amp;";",""),IF(AND($G89&lt;Hta_29,$G89&gt;=Hba_29,Input!AK$49&lt;&gt;""),Input!$B$49&amp;";",""),IF(AND($G89&lt;Hta_30,$G89&gt;=Hba_30,Input!AK$50&lt;&gt;""),Input!$B$50&amp;";","")),"")</f>
        <v/>
      </c>
      <c r="CM89" s="25" t="str">
        <f>IFERROR(CONCATENATE(IF(AND($G89&lt;Hta_1,$G89&gt;=Hba_1,Input!AL$21&lt;&gt;""),Input!$B$21&amp;";",""),IF(AND($G89&lt;Hta_2,$G89&gt;=Hba_2,Input!AL$22&lt;&gt;""),Input!$B$22&amp;";",""),IF(AND($G89&lt;Hta_3,$G89&gt;=Hba_3,Input!AL$23&lt;&gt;""),Input!$B$23&amp;";",""),IF(AND($G89&lt;Hta_4,$G89&gt;=Hba_4,Input!AL$24&lt;&gt;""),Input!$B$24&amp;";",""),IF(AND($G89&lt;Hta_5,$G89&gt;=Hba_5,Input!AL$25&lt;&gt;""),Input!$B$25&amp;";",""),IF(AND($G89&lt;Hta_6,$G89&gt;=Hba_6,Input!AL$26&lt;&gt;""),Input!$B$26&amp;";",""),IF(AND($G89&lt;Hta_7,$G89&gt;=Hba_7,Input!AL$27&lt;&gt;""),Input!$B$27&amp;";",""),IF(AND($G89&lt;Hta_8,$G89&gt;=Hba_8,Input!AL$28&lt;&gt;""),Input!$B$28&amp;";",""),IF(AND($G89&lt;Hta_9,$G89&gt;=Hba_9,Input!AL$29&lt;&gt;""),Input!$B$29&amp;";",""),IF(AND($G89&lt;Hta_10,$G89&gt;=Hba_10,Input!AL$30&lt;&gt;""),Input!$B$30&amp;";",""),IF(AND($G89&lt;Hta_11,$G89&gt;=Hba_11,Input!AL$31&lt;&gt;""),Input!$B$31&amp;";",""),IF(AND($G89&lt;Hta_12,$G89&gt;=Hba_12,Input!AL$32&lt;&gt;""),Input!$B$32&amp;";",""),IF(AND($G89&lt;Hta_13,$G89&gt;=Hba_13,Input!AL$33&lt;&gt;""),Input!$B$33&amp;";",""),IF(AND($G89&lt;Hta_14,$G89&gt;=Hba_14,Input!AL$34&lt;&gt;""),Input!$B$34&amp;";",""),IF(AND($G89&lt;Hta_15,$G89&gt;=Hba_15,Input!AL$35&lt;&gt;""),Input!$B$35&amp;";",""),IF(AND($G89&lt;Hta_16,$G89&gt;=Hba_16,Input!AL$36&lt;&gt;""),Input!$B$36&amp;";",""),IF(AND($G89&lt;Hta_17,$G89&gt;=Hba_17,Input!AL$37&lt;&gt;""),Input!$B$37&amp;";",""),IF(AND($G89&lt;Hta_18,$G89&gt;=Hba_18,Input!AL$38&lt;&gt;""),Input!$B$38&amp;";",""),IF(AND($G89&lt;Hta_19,$G89&gt;=Hba_19,Input!AL$39&lt;&gt;""),Input!$B$39&amp;";",""),IF(AND($G89&lt;Hta_20,$G89&gt;=Hba_20,Input!AL$40&lt;&gt;""),Input!$B$40&amp;";",""),IF(AND($G89&lt;Hta_21,$G89&gt;=Hba_21,Input!AL$41&lt;&gt;""),Input!$B$41&amp;";",""),IF(AND($G89&lt;Hta_22,$G89&gt;=Hba_22,Input!AL$42&lt;&gt;""),Input!$B$42&amp;";",""),IF(AND($G89&lt;Hta_23,$G89&gt;=Hba_23,Input!AL$43&lt;&gt;""),Input!$B$43&amp;";",""),IF(AND($G89&lt;Hta_24,$G89&gt;=Hba_24,Input!AL$44&lt;&gt;""),Input!$B$44&amp;";",""),IF(AND($G89&lt;Hta_25,$G89&gt;=Hba_25,Input!AL$45&lt;&gt;""),Input!$B$45&amp;";",""),IF(AND($G89&lt;Hta_26,$G89&gt;=Hba_26,Input!AL$46&lt;&gt;""),Input!$B$46&amp;";",""),IF(AND($G89&lt;Hta_27,$G89&gt;=Hba_27,Input!AL$47&lt;&gt;""),Input!$B$47&amp;";",""),IF(AND($G89&lt;Hta_28,$G89&gt;=Hba_28,Input!AL$48&lt;&gt;""),Input!$B$48&amp;";",""),IF(AND($G89&lt;Hta_29,$G89&gt;=Hba_29,Input!AL$49&lt;&gt;""),Input!$B$49&amp;";",""),IF(AND($G89&lt;Hta_30,$G89&gt;=Hba_30,Input!AL$50&lt;&gt;""),Input!$B$50&amp;";","")),"")</f>
        <v/>
      </c>
      <c r="CN89" s="60" t="str">
        <f t="shared" si="16"/>
        <v/>
      </c>
      <c r="CO89" s="798"/>
      <c r="CP89" s="799"/>
      <c r="CQ89" s="800"/>
      <c r="CR89" s="798"/>
      <c r="CS89" s="799"/>
      <c r="CT89" s="800"/>
      <c r="CU89" s="798" t="str">
        <f t="shared" si="17"/>
        <v/>
      </c>
      <c r="CV89" s="799"/>
      <c r="CW89" s="806"/>
      <c r="CX89" s="726"/>
      <c r="CY89" s="727"/>
      <c r="CZ89" s="732"/>
      <c r="DA89" s="726"/>
      <c r="DB89" s="727"/>
      <c r="DC89" s="732"/>
      <c r="DD89" s="726" t="str">
        <f t="shared" si="18"/>
        <v/>
      </c>
      <c r="DE89" s="727"/>
      <c r="DF89" s="728"/>
      <c r="DG89" s="53"/>
      <c r="DH89" s="54"/>
      <c r="DI89" s="54"/>
      <c r="DJ89" s="54"/>
      <c r="DK89" s="54"/>
      <c r="DL89" s="54"/>
      <c r="DM89" s="54"/>
      <c r="DN89" s="54"/>
      <c r="DO89" s="54"/>
      <c r="DP89" s="54"/>
      <c r="DQ89" s="57"/>
      <c r="DR89" s="57"/>
      <c r="DS89" s="57"/>
      <c r="DT89" s="57"/>
      <c r="DU89" s="57"/>
      <c r="DV89" s="57"/>
      <c r="DW89" s="57"/>
      <c r="DX89" s="57"/>
      <c r="DY89" s="57"/>
      <c r="DZ89" s="57"/>
      <c r="EA89" s="57"/>
      <c r="EB89" s="57"/>
      <c r="EC89" s="57"/>
      <c r="ED89" s="57"/>
      <c r="EE89" s="57"/>
      <c r="EF89" s="57"/>
      <c r="EG89" s="57"/>
      <c r="EH89" s="57"/>
      <c r="EI89" s="57"/>
      <c r="EJ89" s="57"/>
      <c r="EK89" s="57"/>
      <c r="EL89" s="133"/>
      <c r="EM89" s="133"/>
      <c r="EN89" s="133"/>
      <c r="EO89" s="133"/>
      <c r="EP89" s="133"/>
      <c r="EQ89" s="133"/>
      <c r="ER89" s="133"/>
      <c r="ES89" s="133"/>
      <c r="ET89" s="133"/>
      <c r="EU89" s="133"/>
      <c r="EV89" s="133"/>
      <c r="EW89" s="133"/>
      <c r="EX89" s="133"/>
      <c r="EY89" s="133"/>
      <c r="EZ89" s="133"/>
      <c r="FA89" s="133"/>
      <c r="FB89" s="133"/>
      <c r="FC89" s="133"/>
      <c r="FD89" s="133"/>
      <c r="FE89" s="133"/>
      <c r="FF89" s="133"/>
      <c r="FG89" s="133"/>
      <c r="FH89" s="133"/>
      <c r="FI89" s="133"/>
      <c r="FJ89" s="133"/>
      <c r="FK89" s="133"/>
      <c r="FL89" s="133"/>
      <c r="FM89" s="133"/>
      <c r="FN89" s="133"/>
      <c r="FO89" s="133"/>
      <c r="FQ89" s="125"/>
      <c r="FR89" s="123"/>
      <c r="FS89" s="121"/>
      <c r="FT89" s="119"/>
    </row>
    <row r="90" spans="2:176" ht="15.75" hidden="1" thickBot="1" x14ac:dyDescent="0.3">
      <c r="B90" s="62" t="b">
        <f>IF(OR(AND(G90&gt;='Geometry 2'!$AK$5,G90&lt;'Geometry 2'!$AL$5),AND(G90&gt;='Geometry 2'!$AK$6,G90&lt;'Geometry 2'!$AL$6),AND(G90&gt;='Geometry 2'!$AK$7,G90&lt;'Geometry 2'!$AL$7),AND(G90&gt;='Geometry 2'!$AK$8,G90&lt;'Geometry 2'!$AL$8),AND(G90&gt;='Geometry 2'!$AK$9,G90&lt;'Geometry 2'!$AL$9),AND(G90&gt;='Geometry 2'!$AK$10,G90&lt;'Geometry 2'!$AL$10),AND(G90&gt;='Geometry 2'!$AK$11,G90&lt;'Geometry 2'!$AL$11),AND(G90&gt;='Geometry 2'!$AK$12,G90&lt;'Geometry 2'!$AL$12),AND(G90&gt;='Geometry 2'!$AK$13,G90&lt;'Geometry 2'!$AL$13),AND(G90&gt;='Geometry 2'!$AK$14,G90&lt;'Geometry 2'!$AL$14)),TRUE,FALSE)</f>
        <v>0</v>
      </c>
      <c r="C90" s="4" t="str">
        <f t="shared" si="13"/>
        <v/>
      </c>
      <c r="D90" s="766" t="str">
        <f t="shared" si="14"/>
        <v/>
      </c>
      <c r="E90" s="767"/>
      <c r="F90" s="17" t="str">
        <f t="shared" si="12"/>
        <v/>
      </c>
      <c r="G90" s="768" t="str">
        <f>IF(D90="","",MAX(0,G89-IF(inc="n/a",999,inc),MAX(IF(G89&lt;=Hta_1,0,Hta_1),IF(G89&lt;=Hta_2,0,Hta_2),IF(G89&lt;=Hta_3,0,Hta_3),IF(G89&lt;=Hta_4,0,Hta_4),IF(G89&lt;=Hta_5,0,Hta_5),IF(G89&lt;=Hta_6,0,Hta_6),IF(G89&lt;=Hta_7,0,Hta_7),IF(G89&lt;=Hta_8,0,Hta_8),IF(G89&lt;=Hta_9,0,Hta_9),IF(G89&lt;=Hta_10,0,Hta_10),IF(G89&lt;=Hta_11,0,Hta_11),IF(G89&lt;=Hta_12,0,Hta_12),IF(G89&lt;=Hta_13,0,Hta_13),IF(G89&lt;=Hta_14,0,Hta_14),IF(G89&lt;=Hta_15,0,Hta_15),IF(G89&lt;=Hta_16,0,Hta_16),IF(G89&lt;=Hta_17,0,Hta_17),IF(G89&lt;=Hta_18,0,Hta_18),IF(G89&lt;=Hta_19,0,Hta_19),IF(G89&lt;=Hta_20,0,Hta_20),IF(G89&lt;=Hta_21,0,Hta_21),IF(G89&lt;=Hta_22,0,Hta_22),IF(G89&lt;=Hta_23,0,Hta_23),IF(G89&lt;=Hta_24,0,Hta_24),IF(G89&lt;=Hta_25,0,Hta_25),IF(G89&lt;=Hta_26,0,Hta_26),IF(G89&lt;=Hta_27,0,Hta_27),IF(G89&lt;=Hta_28,0,Hta_28),IF(G89&lt;=Hta_29,0,Hta_29),IF(G89&lt;=Hta_30,0,Hta_30)),MAX(IF(G89&lt;=Hta_1-0.25,0,Hta_1-0.25),IF(G89&lt;=Hta_2-0.25,0,Hta_2-0.25),IF(G89&lt;=Hta_3-0.25,0,Hta_3-0.25),IF(G89&lt;=Hta_4-0.25,0,Hta_4-0.25),IF(G89&lt;=Hta_5-0.25,0,Hta_5-0.25),IF(G89&lt;=Hta_6-0.25,0,Hta_6-0.25),IF(G89&lt;=Hta_7-0.25,0,Hta_7-0.25),IF(G89&lt;=Hta_8-0.25,0,Hta_8-0.25),IF(G89&lt;=Hta_9-0.25,0,Hta_9-0.25),IF(G89&lt;=Hta_10-0.25,0,Hta_10-0.25),IF(G89&lt;=Hta_11-0.25,0,Hta_11-0.25),IF(G89&lt;=Hta_12-0.25,0,Hta_12-0.25),IF(G89&lt;=Hta_13-0.25,0,Hta_13-0.25),IF(G89&lt;=Hta_14-0.25,0,Hta_14-0.25),IF(G89&lt;=Hta_15-0.25,0,Hta_15-0.25),IF(G89&lt;=Hta_16-0.25,0,Hta_16-0.25),IF(G89&lt;=Hta_17-0.25,0,Hta_17-0.25),IF(G89&lt;=Hta_18-0.25,0,Hta_18-0.25),IF(G89&lt;=Hta_19-0.25,0,Hta_19-0.25),IF(G89&lt;=Hta_20-0.25,0,Hta_20-0.25),IF(G89&lt;=Hta_21-0.25,0,Hta_21-0.25),IF(G89&lt;=Hta_22-0.25,0,Hta_22-0.25),IF(G89&lt;=Hta_23-0.25,0,Hta_23-0.25),IF(G89&lt;=Hta_24-0.25,0,Hta_24-0.25),IF(G89&lt;=Hta_25-0.25,0,Hta_25-0.25),IF(G89&lt;=Hta_26-0.25,0,Hta_26-0.25),IF(G89&lt;=Hta_27-0.25,0,Hta_27-0.25),IF(G89&lt;=Hta_28-0.25,0,Hta_28-0.25),IF(G89&lt;=Hta_29-0.25,0,Hta_29-0.25),IF(G89&lt;=Hta_30-0.25,0,Hta_30-0.25)),MAX(IF(G89&lt;=Hba_1,0,Hba_1),IF(G89&lt;=Hba_2,0,Hba_2),IF(G89&lt;=Hba_3,0,Hba_3),IF(G89&lt;=Hba_4,0,Hba_4),IF(G89&lt;=Hba_5,0,Hba_5),IF(G89&lt;=Hba_6,0,Hba_6),IF(G89&lt;=Hba_7,0,Hba_7),IF(G89&lt;=Hba_8,0,Hba_8),IF(G89&lt;=Hba_9,0,Hba_9),IF(G89&lt;=Hba_10,0,Hba_10),IF(G89&lt;=Hba_11,0,Hba_11),IF(G89&lt;=Hba_12,0,Hba_12),IF(G89&lt;=Hba_13,0,Hba_13),IF(G89&lt;=Hba_14,0,Hba_14),IF(G89&lt;=Hba_15,0,Hba_15),IF(G89&lt;=Hba_16,0,Hba_16),IF(G89&lt;=Hba_17,0,Hba_17),IF(G89&lt;=Hba_18,0,Hba_18),IF(G89&lt;=Hba_19,0,Hba_19),IF(G89&lt;=Hba_20,0,Hba_20),IF(G89&lt;=Hba_21,0,Hba_21),IF(G89&lt;=Hba_22,0,Hba_22),IF(G89&lt;=Hba_23,0,Hba_23),IF(G89&lt;=Hba_24,0,Hba_24),IF(G89&lt;=Hba_25,0,Hba_25),IF(G89&lt;=Hba_26,0,Hba_26),IF(G89&lt;=Hba_27,0,Hba_27),IF(G89&lt;=Hba_28,0,Hba_28),IF(G89&lt;=Hba_29,0,Hba_29),IF(G89&lt;=Hba_30,0,Hba_30)),MAX(IF(G89&lt;=Input!$C$8,0,Input!$C$8),IF(G89&lt;=Input!$C$9,0,Input!$C$9),IF(G89&lt;=Input!$C$10,0,Input!$C$10),IF(G89&lt;=Input!$C$11,0,Input!$C$11),IF(G89&lt;=Input!$C$12,0,Input!$C$12),IF(G89&lt;=Input!$C$13,0,Input!$C$13),IF(G89&lt;=Input!$C$14,0,Input!$C$14),IF(G89&lt;=Input!$C$15,0,Input!$C$15),IF(G89&lt;=Input!$C$16,0,Input!$C$16)),MAX(IF(G89&lt;=Hba_1-0.25,0,Hba_1-0.25),IF(G89&lt;=Hba_2-0.25,0,Hba_2-0.25),IF(G89&lt;=Hba_3-0.25,0,Hba_3-0.25),IF(G89&lt;=Hba_4-0.25,0,Hba_4-0.25),IF(G89&lt;=Hba_5-0.25,0,Hba_5-0.25),IF(G89&lt;=Hba_6-0.25,0,Hba_6-0.25),IF(G89&lt;=Hba_7-0.25,0,Hba_7-0.25),IF(G89&lt;=Hba_8-0.25,0,Hba_8-0.25),IF(G89&lt;=Hba_9-0.25,0,Hba_9-0.25),IF(G89&lt;=Hba_10-0.25,0,Hba_10-0.25),IF(G89&lt;=Hba_11-0.25,0,Hba_11-0.25),IF(G89&lt;=Hba_12-0.25,0,Hba_12-0.25),IF(G89&lt;=Hba_13-0.25,0,Hba_13-0.25),IF(G89&lt;=Hba_14-0.25,0,Hba_14-0.25),IF(G89&lt;=Hba_15-0.25,0,Hba_15-0.25),IF(G89&lt;=Hba_16-0.25,0,Hba_16-0.25),IF(G89&lt;=Hba_17-0.25,0,Hba_17-0.25),IF(G89&lt;=Hba_18-0.25,0,Hba_18-0.25),IF(G89&lt;=Hba_19-0.25,0,Hba_19-0.25),IF(G89&lt;=Hba_20-0.25,0,Hba_20-0.25),IF(G89&lt;=Hba_21-0.25,0,Hba_21-0.25),IF(G89&lt;=Hba_22-0.25,0,Hba_22-0.25),IF(G89&lt;=Hba_23-0.25,0,Hba_23-0.25),IF(G89&lt;=Hba_24-0.25,0,Hba_24-0.25),IF(G89&lt;=Hba_25-0.25,0,Hba_25-0.25),IF(G89&lt;=Hba_26-0.25,0,Hba_26-0.25),IF(G89&lt;=Hba_27-0.25,0,Hba_27-0.25),IF(G89&lt;=Hba_28-0.25,0,Hba_28-0.25),IF(G89&lt;=Hba_29-0.25,0,Hba_29-0.25),IF(G89&lt;=Hba_30-0.25,0,Hba_30-0.25)),IF(G89&lt;='Macro References'!$A$38,0,'Macro References'!$A$38)))</f>
        <v/>
      </c>
      <c r="H90" s="769"/>
      <c r="I90" s="228"/>
      <c r="J90" s="228"/>
      <c r="K90" s="228"/>
      <c r="L90" s="717" t="str">
        <f t="shared" si="11"/>
        <v/>
      </c>
      <c r="M90" s="717"/>
      <c r="N90" s="717"/>
      <c r="O90" s="717"/>
      <c r="P90" s="717" t="str">
        <f>IF(OR(G90=0,G90=""),"",IF(VLOOKUP(G90,'Geometry 2'!$C$4:$AI$14,1,TRUE)=VLOOKUP(G91,'Geometry 2'!$C$4:$AI$14,1,TRUE),"",IF(VLOOKUP(G90,'Geometry 2'!$C$4:$AI$14,33,TRUE)&lt;&gt;"n/a",MIN(G90,VLOOKUP(G90,'Geometry 2'!$C$4:$AI$14,1,TRUE))-VLOOKUP(G90,'Geometry 2'!$C$4:$AI$14,33,TRUE),"check")))</f>
        <v/>
      </c>
      <c r="Q90" s="717"/>
      <c r="R90" s="717"/>
      <c r="S90" s="717"/>
      <c r="T90" s="717" t="str">
        <f>IF($G90="","",VLOOKUP($G90,'Geometry 2'!$E$4:$AH$14,11,TRUE))</f>
        <v/>
      </c>
      <c r="U90" s="717"/>
      <c r="V90" s="717"/>
      <c r="W90" s="717"/>
      <c r="X90" s="716" t="str">
        <f>IF($G90="","",VLOOKUP($G90,'Geometry 2'!$E$4:$AJ$14,19,TRUE)-12*VLOOKUP($G90,'Geometry 2'!$E$4:$AJ$14,32,TRUE)*($D90-VLOOKUP($G90,'Geometry 2'!$E$5:$AH$14,1,TRUE)))</f>
        <v/>
      </c>
      <c r="Y90" s="716"/>
      <c r="Z90" s="716"/>
      <c r="AA90" s="716"/>
      <c r="AB90" s="757" t="str">
        <f>IF($G90="","",VLOOKUP($G90,'Geometry 2'!$E$4:$AJ$14,19,TRUE)-12*VLOOKUP($G90,'Geometry 2'!$E$4:$AJ$14,32,TRUE)*($G90-VLOOKUP($G90,'Geometry 2'!$E$5:$AH$14,1,TRUE)))</f>
        <v/>
      </c>
      <c r="AC90" s="758"/>
      <c r="AD90" s="758"/>
      <c r="AE90" s="759"/>
      <c r="AF90" s="716" t="str">
        <f>IF($G90="","",VLOOKUP($G90,'Geometry 2'!$E$4:$AJ$14,19,TRUE)-12*VLOOKUP($G90,'Geometry 2'!$E$4:$AJ$14,32,TRUE)*($G90-IF($P90="",0,$P90)-VLOOKUP($G90,'Geometry 2'!$E$5:$AH$14,1,TRUE)))</f>
        <v/>
      </c>
      <c r="AG90" s="716"/>
      <c r="AH90" s="716"/>
      <c r="AI90" s="716"/>
      <c r="AJ90" s="746" t="str">
        <f>IF($G90="","",VLOOKUP($G90,'Geometry 2'!$E$4:$AH$14,23,TRUE))</f>
        <v/>
      </c>
      <c r="AK90" s="747"/>
      <c r="AL90" s="747"/>
      <c r="AM90" s="748"/>
      <c r="AN90" s="717"/>
      <c r="AO90" s="717"/>
      <c r="AP90" s="717"/>
      <c r="AQ90" s="717"/>
      <c r="AR90" s="717" t="str">
        <f>IF($G90="","",VLOOKUP($G90,'Geometry 2'!$E$4:$AH$14,27,TRUE))</f>
        <v/>
      </c>
      <c r="AS90" s="717"/>
      <c r="AT90" s="717"/>
      <c r="AU90" s="718"/>
      <c r="AV90" s="715"/>
      <c r="AW90" s="716"/>
      <c r="AX90" s="716"/>
      <c r="AZ90" s="722" t="str">
        <f t="shared" si="15"/>
        <v/>
      </c>
      <c r="BA90" s="723"/>
      <c r="BB90" s="723"/>
      <c r="BC90" s="724"/>
      <c r="BD90" s="722"/>
      <c r="BE90" s="723"/>
      <c r="BF90" s="723"/>
      <c r="BG90" s="722" t="str">
        <f t="shared" si="19"/>
        <v/>
      </c>
      <c r="BH90" s="723"/>
      <c r="BI90" s="723"/>
      <c r="BJ90" s="723"/>
      <c r="BK90" s="724"/>
      <c r="BL90" s="722"/>
      <c r="BM90" s="723"/>
      <c r="BN90" s="723"/>
      <c r="BO90" s="723"/>
      <c r="BP90" s="725"/>
      <c r="BQ90" s="725"/>
      <c r="BR90" s="722" t="str">
        <f>IF(BP90="","",IF(OR(AND(Rev="H",Calculations!$F$27=TRUE),AND(Rev&lt;&gt;"H",Calculations!$F$30=TRUE)),IF(BP90&lt;=1,"Pass","Fail"),IF(BP90&lt;=1.05,"Pass","Fail")))</f>
        <v/>
      </c>
      <c r="BS90" s="723"/>
      <c r="BT90" s="724"/>
      <c r="BU90" s="49"/>
      <c r="BV90" s="25" t="str">
        <f>IFERROR(CONCATENATE(IF(AND($G90&lt;Hta_1,$G90&gt;=Hba_1,Input!U$21&lt;&gt;""),Input!$B$21&amp;";",""),IF(AND($G90&lt;Hta_2,$G90&gt;=Hba_2,Input!U$22&lt;&gt;""),Input!$B$22&amp;";",""),IF(AND($G90&lt;Hta_3,$G90&gt;=Hba_3,Input!U$23&lt;&gt;""),Input!$B$23&amp;";",""),IF(AND($G90&lt;Hta_4,$G90&gt;=Hba_4,Input!U$24&lt;&gt;""),Input!$B$24&amp;";",""),IF(AND($G90&lt;Hta_5,$G90&gt;=Hba_5,Input!U$25&lt;&gt;""),Input!$B$25&amp;";",""),IF(AND($G90&lt;Hta_6,$G90&gt;=Hba_6,Input!U$26&lt;&gt;""),Input!$B$26&amp;";",""),IF(AND($G90&lt;Hta_7,$G90&gt;=Hba_7,Input!U$27&lt;&gt;""),Input!$B$27&amp;";",""),IF(AND($G90&lt;Hta_8,$G90&gt;=Hba_8,Input!U$28&lt;&gt;""),Input!$B$28&amp;";",""),IF(AND($G90&lt;Hta_9,$G90&gt;=Hba_9,Input!U$29&lt;&gt;""),Input!$B$29&amp;";",""),IF(AND($G90&lt;Hta_10,$G90&gt;=Hba_10,Input!U$30&lt;&gt;""),Input!$B$30&amp;";",""),IF(AND($G90&lt;Hta_11,$G90&gt;=Hba_11,Input!U$31&lt;&gt;""),Input!$B$31&amp;";",""),IF(AND($G90&lt;Hta_12,$G90&gt;=Hba_12,Input!U$32&lt;&gt;""),Input!$B$32&amp;";",""),IF(AND($G90&lt;Hta_13,$G90&gt;=Hba_13,Input!U$33&lt;&gt;""),Input!$B$33&amp;";",""),IF(AND($G90&lt;Hta_14,$G90&gt;=Hba_14,Input!U$34&lt;&gt;""),Input!$B$34&amp;";",""),IF(AND($G90&lt;Hta_15,$G90&gt;=Hba_15,Input!U$35&lt;&gt;""),Input!$B$35&amp;";",""),IF(AND($G90&lt;Hta_16,$G90&gt;=Hba_16,Input!U$36&lt;&gt;""),Input!$B$36&amp;";",""),IF(AND($G90&lt;Hta_17,$G90&gt;=Hba_17,Input!U$37&lt;&gt;""),Input!$B$37&amp;";",""),IF(AND($G90&lt;Hta_18,$G90&gt;=Hba_18,Input!U$38&lt;&gt;""),Input!$B$38&amp;";",""),IF(AND($G90&lt;Hta_19,$G90&gt;=Hba_19,Input!U$39&lt;&gt;""),Input!$B$39&amp;";",""),IF(AND($G90&lt;Hta_20,$G90&gt;=Hba_20,Input!U$40&lt;&gt;""),Input!$B$40&amp;";",""),IF(AND($G90&lt;Hta_21,$G90&gt;=Hba_21,Input!U$41&lt;&gt;""),Input!$B$41&amp;";",""),IF(AND($G90&lt;Hta_22,$G90&gt;=Hba_22,Input!U$42&lt;&gt;""),Input!$B$42&amp;";",""),IF(AND($G90&lt;Hta_23,$G90&gt;=Hba_23,Input!U$43&lt;&gt;""),Input!$B$43&amp;";",""),IF(AND($G90&lt;Hta_24,$G90&gt;=Hba_24,Input!U$44&lt;&gt;""),Input!$B$44&amp;";",""),IF(AND($G90&lt;Hta_25,$G90&gt;=Hba_25,Input!U$45&lt;&gt;""),Input!$B$45&amp;";",""),IF(AND($G90&lt;Hta_26,$G90&gt;=Hba_26,Input!U$46&lt;&gt;""),Input!$B$46&amp;";",""),IF(AND($G90&lt;Hta_27,$G90&gt;=Hba_27,Input!U$47&lt;&gt;""),Input!$B$47&amp;";",""),IF(AND($G90&lt;Hta_28,$G90&gt;=Hba_28,Input!U$48&lt;&gt;""),Input!$B$48&amp;";",""),IF(AND($G90&lt;Hta_29,$G90&gt;=Hba_29,Input!U$49&lt;&gt;""),Input!$B$49&amp;";",""),IF(AND($G90&lt;Hta_30,$G90&gt;=Hba_30,Input!U$50&lt;&gt;""),Input!$B$50&amp;";","")),"")</f>
        <v/>
      </c>
      <c r="BW90" s="25" t="str">
        <f>IFERROR(CONCATENATE(IF(AND($G90&lt;Hta_1,$G90&gt;=Hba_1,Input!V$21&lt;&gt;""),Input!$B$21&amp;";",""),IF(AND($G90&lt;Hta_2,$G90&gt;=Hba_2,Input!V$22&lt;&gt;""),Input!$B$22&amp;";",""),IF(AND($G90&lt;Hta_3,$G90&gt;=Hba_3,Input!V$23&lt;&gt;""),Input!$B$23&amp;";",""),IF(AND($G90&lt;Hta_4,$G90&gt;=Hba_4,Input!V$24&lt;&gt;""),Input!$B$24&amp;";",""),IF(AND($G90&lt;Hta_5,$G90&gt;=Hba_5,Input!V$25&lt;&gt;""),Input!$B$25&amp;";",""),IF(AND($G90&lt;Hta_6,$G90&gt;=Hba_6,Input!V$26&lt;&gt;""),Input!$B$26&amp;";",""),IF(AND($G90&lt;Hta_7,$G90&gt;=Hba_7,Input!V$27&lt;&gt;""),Input!$B$27&amp;";",""),IF(AND($G90&lt;Hta_8,$G90&gt;=Hba_8,Input!V$28&lt;&gt;""),Input!$B$28&amp;";",""),IF(AND($G90&lt;Hta_9,$G90&gt;=Hba_9,Input!V$29&lt;&gt;""),Input!$B$29&amp;";",""),IF(AND($G90&lt;Hta_10,$G90&gt;=Hba_10,Input!V$30&lt;&gt;""),Input!$B$30&amp;";",""),IF(AND($G90&lt;Hta_11,$G90&gt;=Hba_11,Input!V$31&lt;&gt;""),Input!$B$31&amp;";",""),IF(AND($G90&lt;Hta_12,$G90&gt;=Hba_12,Input!V$32&lt;&gt;""),Input!$B$32&amp;";",""),IF(AND($G90&lt;Hta_13,$G90&gt;=Hba_13,Input!V$33&lt;&gt;""),Input!$B$33&amp;";",""),IF(AND($G90&lt;Hta_14,$G90&gt;=Hba_14,Input!V$34&lt;&gt;""),Input!$B$34&amp;";",""),IF(AND($G90&lt;Hta_15,$G90&gt;=Hba_15,Input!V$35&lt;&gt;""),Input!$B$35&amp;";",""),IF(AND($G90&lt;Hta_16,$G90&gt;=Hba_16,Input!V$36&lt;&gt;""),Input!$B$36&amp;";",""),IF(AND($G90&lt;Hta_17,$G90&gt;=Hba_17,Input!V$37&lt;&gt;""),Input!$B$37&amp;";",""),IF(AND($G90&lt;Hta_18,$G90&gt;=Hba_18,Input!V$38&lt;&gt;""),Input!$B$38&amp;";",""),IF(AND($G90&lt;Hta_19,$G90&gt;=Hba_19,Input!V$39&lt;&gt;""),Input!$B$39&amp;";",""),IF(AND($G90&lt;Hta_20,$G90&gt;=Hba_20,Input!V$40&lt;&gt;""),Input!$B$40&amp;";",""),IF(AND($G90&lt;Hta_21,$G90&gt;=Hba_21,Input!V$41&lt;&gt;""),Input!$B$41&amp;";",""),IF(AND($G90&lt;Hta_22,$G90&gt;=Hba_22,Input!V$42&lt;&gt;""),Input!$B$42&amp;";",""),IF(AND($G90&lt;Hta_23,$G90&gt;=Hba_23,Input!V$43&lt;&gt;""),Input!$B$43&amp;";",""),IF(AND($G90&lt;Hta_24,$G90&gt;=Hba_24,Input!V$44&lt;&gt;""),Input!$B$44&amp;";",""),IF(AND($G90&lt;Hta_25,$G90&gt;=Hba_25,Input!V$45&lt;&gt;""),Input!$B$45&amp;";",""),IF(AND($G90&lt;Hta_26,$G90&gt;=Hba_26,Input!V$46&lt;&gt;""),Input!$B$46&amp;";",""),IF(AND($G90&lt;Hta_27,$G90&gt;=Hba_27,Input!V$47&lt;&gt;""),Input!$B$47&amp;";",""),IF(AND($G90&lt;Hta_28,$G90&gt;=Hba_28,Input!V$48&lt;&gt;""),Input!$B$48&amp;";",""),IF(AND($G90&lt;Hta_29,$G90&gt;=Hba_29,Input!V$49&lt;&gt;""),Input!$B$49&amp;";",""),IF(AND($G90&lt;Hta_30,$G90&gt;=Hba_30,Input!V$50&lt;&gt;""),Input!$B$50&amp;";","")),"")</f>
        <v/>
      </c>
      <c r="BX90" s="25" t="str">
        <f>IFERROR(CONCATENATE(IF(AND($G90&lt;Hta_1,$G90&gt;=Hba_1,Input!W$21&lt;&gt;""),Input!$B$21&amp;";",""),IF(AND($G90&lt;Hta_2,$G90&gt;=Hba_2,Input!W$22&lt;&gt;""),Input!$B$22&amp;";",""),IF(AND($G90&lt;Hta_3,$G90&gt;=Hba_3,Input!W$23&lt;&gt;""),Input!$B$23&amp;";",""),IF(AND($G90&lt;Hta_4,$G90&gt;=Hba_4,Input!W$24&lt;&gt;""),Input!$B$24&amp;";",""),IF(AND($G90&lt;Hta_5,$G90&gt;=Hba_5,Input!W$25&lt;&gt;""),Input!$B$25&amp;";",""),IF(AND($G90&lt;Hta_6,$G90&gt;=Hba_6,Input!W$26&lt;&gt;""),Input!$B$26&amp;";",""),IF(AND($G90&lt;Hta_7,$G90&gt;=Hba_7,Input!W$27&lt;&gt;""),Input!$B$27&amp;";",""),IF(AND($G90&lt;Hta_8,$G90&gt;=Hba_8,Input!W$28&lt;&gt;""),Input!$B$28&amp;";",""),IF(AND($G90&lt;Hta_9,$G90&gt;=Hba_9,Input!W$29&lt;&gt;""),Input!$B$29&amp;";",""),IF(AND($G90&lt;Hta_10,$G90&gt;=Hba_10,Input!W$30&lt;&gt;""),Input!$B$30&amp;";",""),IF(AND($G90&lt;Hta_11,$G90&gt;=Hba_11,Input!W$31&lt;&gt;""),Input!$B$31&amp;";",""),IF(AND($G90&lt;Hta_12,$G90&gt;=Hba_12,Input!W$32&lt;&gt;""),Input!$B$32&amp;";",""),IF(AND($G90&lt;Hta_13,$G90&gt;=Hba_13,Input!W$33&lt;&gt;""),Input!$B$33&amp;";",""),IF(AND($G90&lt;Hta_14,$G90&gt;=Hba_14,Input!W$34&lt;&gt;""),Input!$B$34&amp;";",""),IF(AND($G90&lt;Hta_15,$G90&gt;=Hba_15,Input!W$35&lt;&gt;""),Input!$B$35&amp;";",""),IF(AND($G90&lt;Hta_16,$G90&gt;=Hba_16,Input!W$36&lt;&gt;""),Input!$B$36&amp;";",""),IF(AND($G90&lt;Hta_17,$G90&gt;=Hba_17,Input!W$37&lt;&gt;""),Input!$B$37&amp;";",""),IF(AND($G90&lt;Hta_18,$G90&gt;=Hba_18,Input!W$38&lt;&gt;""),Input!$B$38&amp;";",""),IF(AND($G90&lt;Hta_19,$G90&gt;=Hba_19,Input!W$39&lt;&gt;""),Input!$B$39&amp;";",""),IF(AND($G90&lt;Hta_20,$G90&gt;=Hba_20,Input!W$40&lt;&gt;""),Input!$B$40&amp;";",""),IF(AND($G90&lt;Hta_21,$G90&gt;=Hba_21,Input!W$41&lt;&gt;""),Input!$B$41&amp;";",""),IF(AND($G90&lt;Hta_22,$G90&gt;=Hba_22,Input!W$42&lt;&gt;""),Input!$B$42&amp;";",""),IF(AND($G90&lt;Hta_23,$G90&gt;=Hba_23,Input!W$43&lt;&gt;""),Input!$B$43&amp;";",""),IF(AND($G90&lt;Hta_24,$G90&gt;=Hba_24,Input!W$44&lt;&gt;""),Input!$B$44&amp;";",""),IF(AND($G90&lt;Hta_25,$G90&gt;=Hba_25,Input!W$45&lt;&gt;""),Input!$B$45&amp;";",""),IF(AND($G90&lt;Hta_26,$G90&gt;=Hba_26,Input!W$46&lt;&gt;""),Input!$B$46&amp;";",""),IF(AND($G90&lt;Hta_27,$G90&gt;=Hba_27,Input!W$47&lt;&gt;""),Input!$B$47&amp;";",""),IF(AND($G90&lt;Hta_28,$G90&gt;=Hba_28,Input!W$48&lt;&gt;""),Input!$B$48&amp;";",""),IF(AND($G90&lt;Hta_29,$G90&gt;=Hba_29,Input!W$49&lt;&gt;""),Input!$B$49&amp;";",""),IF(AND($G90&lt;Hta_30,$G90&gt;=Hba_30,Input!W$50&lt;&gt;""),Input!$B$50&amp;";","")),"")</f>
        <v/>
      </c>
      <c r="BY90" s="25" t="str">
        <f>IFERROR(CONCATENATE(IF(AND($G90&lt;Hta_1,$G90&gt;=Hba_1,Input!X$21&lt;&gt;""),Input!$B$21&amp;";",""),IF(AND($G90&lt;Hta_2,$G90&gt;=Hba_2,Input!X$22&lt;&gt;""),Input!$B$22&amp;";",""),IF(AND($G90&lt;Hta_3,$G90&gt;=Hba_3,Input!X$23&lt;&gt;""),Input!$B$23&amp;";",""),IF(AND($G90&lt;Hta_4,$G90&gt;=Hba_4,Input!X$24&lt;&gt;""),Input!$B$24&amp;";",""),IF(AND($G90&lt;Hta_5,$G90&gt;=Hba_5,Input!X$25&lt;&gt;""),Input!$B$25&amp;";",""),IF(AND($G90&lt;Hta_6,$G90&gt;=Hba_6,Input!X$26&lt;&gt;""),Input!$B$26&amp;";",""),IF(AND($G90&lt;Hta_7,$G90&gt;=Hba_7,Input!X$27&lt;&gt;""),Input!$B$27&amp;";",""),IF(AND($G90&lt;Hta_8,$G90&gt;=Hba_8,Input!X$28&lt;&gt;""),Input!$B$28&amp;";",""),IF(AND($G90&lt;Hta_9,$G90&gt;=Hba_9,Input!X$29&lt;&gt;""),Input!$B$29&amp;";",""),IF(AND($G90&lt;Hta_10,$G90&gt;=Hba_10,Input!X$30&lt;&gt;""),Input!$B$30&amp;";",""),IF(AND($G90&lt;Hta_11,$G90&gt;=Hba_11,Input!X$31&lt;&gt;""),Input!$B$31&amp;";",""),IF(AND($G90&lt;Hta_12,$G90&gt;=Hba_12,Input!X$32&lt;&gt;""),Input!$B$32&amp;";",""),IF(AND($G90&lt;Hta_13,$G90&gt;=Hba_13,Input!X$33&lt;&gt;""),Input!$B$33&amp;";",""),IF(AND($G90&lt;Hta_14,$G90&gt;=Hba_14,Input!X$34&lt;&gt;""),Input!$B$34&amp;";",""),IF(AND($G90&lt;Hta_15,$G90&gt;=Hba_15,Input!X$35&lt;&gt;""),Input!$B$35&amp;";",""),IF(AND($G90&lt;Hta_16,$G90&gt;=Hba_16,Input!X$36&lt;&gt;""),Input!$B$36&amp;";",""),IF(AND($G90&lt;Hta_17,$G90&gt;=Hba_17,Input!X$37&lt;&gt;""),Input!$B$37&amp;";",""),IF(AND($G90&lt;Hta_18,$G90&gt;=Hba_18,Input!X$38&lt;&gt;""),Input!$B$38&amp;";",""),IF(AND($G90&lt;Hta_19,$G90&gt;=Hba_19,Input!X$39&lt;&gt;""),Input!$B$39&amp;";",""),IF(AND($G90&lt;Hta_20,$G90&gt;=Hba_20,Input!X$40&lt;&gt;""),Input!$B$40&amp;";",""),IF(AND($G90&lt;Hta_21,$G90&gt;=Hba_21,Input!X$41&lt;&gt;""),Input!$B$41&amp;";",""),IF(AND($G90&lt;Hta_22,$G90&gt;=Hba_22,Input!X$42&lt;&gt;""),Input!$B$42&amp;";",""),IF(AND($G90&lt;Hta_23,$G90&gt;=Hba_23,Input!X$43&lt;&gt;""),Input!$B$43&amp;";",""),IF(AND($G90&lt;Hta_24,$G90&gt;=Hba_24,Input!X$44&lt;&gt;""),Input!$B$44&amp;";",""),IF(AND($G90&lt;Hta_25,$G90&gt;=Hba_25,Input!X$45&lt;&gt;""),Input!$B$45&amp;";",""),IF(AND($G90&lt;Hta_26,$G90&gt;=Hba_26,Input!X$46&lt;&gt;""),Input!$B$46&amp;";",""),IF(AND($G90&lt;Hta_27,$G90&gt;=Hba_27,Input!X$47&lt;&gt;""),Input!$B$47&amp;";",""),IF(AND($G90&lt;Hta_28,$G90&gt;=Hba_28,Input!X$48&lt;&gt;""),Input!$B$48&amp;";",""),IF(AND($G90&lt;Hta_29,$G90&gt;=Hba_29,Input!X$49&lt;&gt;""),Input!$B$49&amp;";",""),IF(AND($G90&lt;Hta_30,$G90&gt;=Hba_30,Input!X$50&lt;&gt;""),Input!$B$50&amp;";","")),"")</f>
        <v/>
      </c>
      <c r="BZ90" s="25" t="str">
        <f>IFERROR(CONCATENATE(IF(AND($G90&lt;Hta_1,$G90&gt;=Hba_1,Input!Y$21&lt;&gt;""),Input!$B$21&amp;";",""),IF(AND($G90&lt;Hta_2,$G90&gt;=Hba_2,Input!Y$22&lt;&gt;""),Input!$B$22&amp;";",""),IF(AND($G90&lt;Hta_3,$G90&gt;=Hba_3,Input!Y$23&lt;&gt;""),Input!$B$23&amp;";",""),IF(AND($G90&lt;Hta_4,$G90&gt;=Hba_4,Input!Y$24&lt;&gt;""),Input!$B$24&amp;";",""),IF(AND($G90&lt;Hta_5,$G90&gt;=Hba_5,Input!Y$25&lt;&gt;""),Input!$B$25&amp;";",""),IF(AND($G90&lt;Hta_6,$G90&gt;=Hba_6,Input!Y$26&lt;&gt;""),Input!$B$26&amp;";",""),IF(AND($G90&lt;Hta_7,$G90&gt;=Hba_7,Input!Y$27&lt;&gt;""),Input!$B$27&amp;";",""),IF(AND($G90&lt;Hta_8,$G90&gt;=Hba_8,Input!Y$28&lt;&gt;""),Input!$B$28&amp;";",""),IF(AND($G90&lt;Hta_9,$G90&gt;=Hba_9,Input!Y$29&lt;&gt;""),Input!$B$29&amp;";",""),IF(AND($G90&lt;Hta_10,$G90&gt;=Hba_10,Input!Y$30&lt;&gt;""),Input!$B$30&amp;";",""),IF(AND($G90&lt;Hta_11,$G90&gt;=Hba_11,Input!Y$31&lt;&gt;""),Input!$B$31&amp;";",""),IF(AND($G90&lt;Hta_12,$G90&gt;=Hba_12,Input!Y$32&lt;&gt;""),Input!$B$32&amp;";",""),IF(AND($G90&lt;Hta_13,$G90&gt;=Hba_13,Input!Y$33&lt;&gt;""),Input!$B$33&amp;";",""),IF(AND($G90&lt;Hta_14,$G90&gt;=Hba_14,Input!Y$34&lt;&gt;""),Input!$B$34&amp;";",""),IF(AND($G90&lt;Hta_15,$G90&gt;=Hba_15,Input!Y$35&lt;&gt;""),Input!$B$35&amp;";",""),IF(AND($G90&lt;Hta_16,$G90&gt;=Hba_16,Input!Y$36&lt;&gt;""),Input!$B$36&amp;";",""),IF(AND($G90&lt;Hta_17,$G90&gt;=Hba_17,Input!Y$37&lt;&gt;""),Input!$B$37&amp;";",""),IF(AND($G90&lt;Hta_18,$G90&gt;=Hba_18,Input!Y$38&lt;&gt;""),Input!$B$38&amp;";",""),IF(AND($G90&lt;Hta_19,$G90&gt;=Hba_19,Input!Y$39&lt;&gt;""),Input!$B$39&amp;";",""),IF(AND($G90&lt;Hta_20,$G90&gt;=Hba_20,Input!Y$40&lt;&gt;""),Input!$B$40&amp;";",""),IF(AND($G90&lt;Hta_21,$G90&gt;=Hba_21,Input!Y$41&lt;&gt;""),Input!$B$41&amp;";",""),IF(AND($G90&lt;Hta_22,$G90&gt;=Hba_22,Input!Y$42&lt;&gt;""),Input!$B$42&amp;";",""),IF(AND($G90&lt;Hta_23,$G90&gt;=Hba_23,Input!Y$43&lt;&gt;""),Input!$B$43&amp;";",""),IF(AND($G90&lt;Hta_24,$G90&gt;=Hba_24,Input!Y$44&lt;&gt;""),Input!$B$44&amp;";",""),IF(AND($G90&lt;Hta_25,$G90&gt;=Hba_25,Input!Y$45&lt;&gt;""),Input!$B$45&amp;";",""),IF(AND($G90&lt;Hta_26,$G90&gt;=Hba_26,Input!Y$46&lt;&gt;""),Input!$B$46&amp;";",""),IF(AND($G90&lt;Hta_27,$G90&gt;=Hba_27,Input!Y$47&lt;&gt;""),Input!$B$47&amp;";",""),IF(AND($G90&lt;Hta_28,$G90&gt;=Hba_28,Input!Y$48&lt;&gt;""),Input!$B$48&amp;";",""),IF(AND($G90&lt;Hta_29,$G90&gt;=Hba_29,Input!Y$49&lt;&gt;""),Input!$B$49&amp;";",""),IF(AND($G90&lt;Hta_30,$G90&gt;=Hba_30,Input!Y$50&lt;&gt;""),Input!$B$50&amp;";","")),"")</f>
        <v/>
      </c>
      <c r="CA90" s="25" t="str">
        <f>IFERROR(CONCATENATE(IF(AND($G90&lt;Hta_1,$G90&gt;=Hba_1,Input!Z$21&lt;&gt;""),Input!$B$21&amp;";",""),IF(AND($G90&lt;Hta_2,$G90&gt;=Hba_2,Input!Z$22&lt;&gt;""),Input!$B$22&amp;";",""),IF(AND($G90&lt;Hta_3,$G90&gt;=Hba_3,Input!Z$23&lt;&gt;""),Input!$B$23&amp;";",""),IF(AND($G90&lt;Hta_4,$G90&gt;=Hba_4,Input!Z$24&lt;&gt;""),Input!$B$24&amp;";",""),IF(AND($G90&lt;Hta_5,$G90&gt;=Hba_5,Input!Z$25&lt;&gt;""),Input!$B$25&amp;";",""),IF(AND($G90&lt;Hta_6,$G90&gt;=Hba_6,Input!Z$26&lt;&gt;""),Input!$B$26&amp;";",""),IF(AND($G90&lt;Hta_7,$G90&gt;=Hba_7,Input!Z$27&lt;&gt;""),Input!$B$27&amp;";",""),IF(AND($G90&lt;Hta_8,$G90&gt;=Hba_8,Input!Z$28&lt;&gt;""),Input!$B$28&amp;";",""),IF(AND($G90&lt;Hta_9,$G90&gt;=Hba_9,Input!Z$29&lt;&gt;""),Input!$B$29&amp;";",""),IF(AND($G90&lt;Hta_10,$G90&gt;=Hba_10,Input!Z$30&lt;&gt;""),Input!$B$30&amp;";",""),IF(AND($G90&lt;Hta_11,$G90&gt;=Hba_11,Input!Z$31&lt;&gt;""),Input!$B$31&amp;";",""),IF(AND($G90&lt;Hta_12,$G90&gt;=Hba_12,Input!Z$32&lt;&gt;""),Input!$B$32&amp;";",""),IF(AND($G90&lt;Hta_13,$G90&gt;=Hba_13,Input!Z$33&lt;&gt;""),Input!$B$33&amp;";",""),IF(AND($G90&lt;Hta_14,$G90&gt;=Hba_14,Input!Z$34&lt;&gt;""),Input!$B$34&amp;";",""),IF(AND($G90&lt;Hta_15,$G90&gt;=Hba_15,Input!Z$35&lt;&gt;""),Input!$B$35&amp;";",""),IF(AND($G90&lt;Hta_16,$G90&gt;=Hba_16,Input!Z$36&lt;&gt;""),Input!$B$36&amp;";",""),IF(AND($G90&lt;Hta_17,$G90&gt;=Hba_17,Input!Z$37&lt;&gt;""),Input!$B$37&amp;";",""),IF(AND($G90&lt;Hta_18,$G90&gt;=Hba_18,Input!Z$38&lt;&gt;""),Input!$B$38&amp;";",""),IF(AND($G90&lt;Hta_19,$G90&gt;=Hba_19,Input!Z$39&lt;&gt;""),Input!$B$39&amp;";",""),IF(AND($G90&lt;Hta_20,$G90&gt;=Hba_20,Input!Z$40&lt;&gt;""),Input!$B$40&amp;";",""),IF(AND($G90&lt;Hta_21,$G90&gt;=Hba_21,Input!Z$41&lt;&gt;""),Input!$B$41&amp;";",""),IF(AND($G90&lt;Hta_22,$G90&gt;=Hba_22,Input!Z$42&lt;&gt;""),Input!$B$42&amp;";",""),IF(AND($G90&lt;Hta_23,$G90&gt;=Hba_23,Input!Z$43&lt;&gt;""),Input!$B$43&amp;";",""),IF(AND($G90&lt;Hta_24,$G90&gt;=Hba_24,Input!Z$44&lt;&gt;""),Input!$B$44&amp;";",""),IF(AND($G90&lt;Hta_25,$G90&gt;=Hba_25,Input!Z$45&lt;&gt;""),Input!$B$45&amp;";",""),IF(AND($G90&lt;Hta_26,$G90&gt;=Hba_26,Input!Z$46&lt;&gt;""),Input!$B$46&amp;";",""),IF(AND($G90&lt;Hta_27,$G90&gt;=Hba_27,Input!Z$47&lt;&gt;""),Input!$B$47&amp;";",""),IF(AND($G90&lt;Hta_28,$G90&gt;=Hba_28,Input!Z$48&lt;&gt;""),Input!$B$48&amp;";",""),IF(AND($G90&lt;Hta_29,$G90&gt;=Hba_29,Input!Z$49&lt;&gt;""),Input!$B$49&amp;";",""),IF(AND($G90&lt;Hta_30,$G90&gt;=Hba_30,Input!Z$50&lt;&gt;""),Input!$B$50&amp;";","")),"")</f>
        <v/>
      </c>
      <c r="CB90" s="25" t="str">
        <f>IFERROR(CONCATENATE(IF(AND($G90&lt;Hta_1,$G90&gt;=Hba_1,Input!AA$21&lt;&gt;""),Input!$B$21&amp;";",""),IF(AND($G90&lt;Hta_2,$G90&gt;=Hba_2,Input!AA$22&lt;&gt;""),Input!$B$22&amp;";",""),IF(AND($G90&lt;Hta_3,$G90&gt;=Hba_3,Input!AA$23&lt;&gt;""),Input!$B$23&amp;";",""),IF(AND($G90&lt;Hta_4,$G90&gt;=Hba_4,Input!AA$24&lt;&gt;""),Input!$B$24&amp;";",""),IF(AND($G90&lt;Hta_5,$G90&gt;=Hba_5,Input!AA$25&lt;&gt;""),Input!$B$25&amp;";",""),IF(AND($G90&lt;Hta_6,$G90&gt;=Hba_6,Input!AA$26&lt;&gt;""),Input!$B$26&amp;";",""),IF(AND($G90&lt;Hta_7,$G90&gt;=Hba_7,Input!AA$27&lt;&gt;""),Input!$B$27&amp;";",""),IF(AND($G90&lt;Hta_8,$G90&gt;=Hba_8,Input!AA$28&lt;&gt;""),Input!$B$28&amp;";",""),IF(AND($G90&lt;Hta_9,$G90&gt;=Hba_9,Input!AA$29&lt;&gt;""),Input!$B$29&amp;";",""),IF(AND($G90&lt;Hta_10,$G90&gt;=Hba_10,Input!AA$30&lt;&gt;""),Input!$B$30&amp;";",""),IF(AND($G90&lt;Hta_11,$G90&gt;=Hba_11,Input!AA$31&lt;&gt;""),Input!$B$31&amp;";",""),IF(AND($G90&lt;Hta_12,$G90&gt;=Hba_12,Input!AA$32&lt;&gt;""),Input!$B$32&amp;";",""),IF(AND($G90&lt;Hta_13,$G90&gt;=Hba_13,Input!AA$33&lt;&gt;""),Input!$B$33&amp;";",""),IF(AND($G90&lt;Hta_14,$G90&gt;=Hba_14,Input!AA$34&lt;&gt;""),Input!$B$34&amp;";",""),IF(AND($G90&lt;Hta_15,$G90&gt;=Hba_15,Input!AA$35&lt;&gt;""),Input!$B$35&amp;";",""),IF(AND($G90&lt;Hta_16,$G90&gt;=Hba_16,Input!AA$36&lt;&gt;""),Input!$B$36&amp;";",""),IF(AND($G90&lt;Hta_17,$G90&gt;=Hba_17,Input!AA$37&lt;&gt;""),Input!$B$37&amp;";",""),IF(AND($G90&lt;Hta_18,$G90&gt;=Hba_18,Input!AA$38&lt;&gt;""),Input!$B$38&amp;";",""),IF(AND($G90&lt;Hta_19,$G90&gt;=Hba_19,Input!AA$39&lt;&gt;""),Input!$B$39&amp;";",""),IF(AND($G90&lt;Hta_20,$G90&gt;=Hba_20,Input!AA$40&lt;&gt;""),Input!$B$40&amp;";",""),IF(AND($G90&lt;Hta_21,$G90&gt;=Hba_21,Input!AA$41&lt;&gt;""),Input!$B$41&amp;";",""),IF(AND($G90&lt;Hta_22,$G90&gt;=Hba_22,Input!AA$42&lt;&gt;""),Input!$B$42&amp;";",""),IF(AND($G90&lt;Hta_23,$G90&gt;=Hba_23,Input!AA$43&lt;&gt;""),Input!$B$43&amp;";",""),IF(AND($G90&lt;Hta_24,$G90&gt;=Hba_24,Input!AA$44&lt;&gt;""),Input!$B$44&amp;";",""),IF(AND($G90&lt;Hta_25,$G90&gt;=Hba_25,Input!AA$45&lt;&gt;""),Input!$B$45&amp;";",""),IF(AND($G90&lt;Hta_26,$G90&gt;=Hba_26,Input!AA$46&lt;&gt;""),Input!$B$46&amp;";",""),IF(AND($G90&lt;Hta_27,$G90&gt;=Hba_27,Input!AA$47&lt;&gt;""),Input!$B$47&amp;";",""),IF(AND($G90&lt;Hta_28,$G90&gt;=Hba_28,Input!AA$48&lt;&gt;""),Input!$B$48&amp;";",""),IF(AND($G90&lt;Hta_29,$G90&gt;=Hba_29,Input!AA$49&lt;&gt;""),Input!$B$49&amp;";",""),IF(AND($G90&lt;Hta_30,$G90&gt;=Hba_30,Input!AA$50&lt;&gt;""),Input!$B$50&amp;";","")),"")</f>
        <v/>
      </c>
      <c r="CC90" s="25" t="str">
        <f>IFERROR(CONCATENATE(IF(AND($G90&lt;Hta_1,$G90&gt;=Hba_1,Input!AB$21&lt;&gt;""),Input!$B$21&amp;";",""),IF(AND($G90&lt;Hta_2,$G90&gt;=Hba_2,Input!AB$22&lt;&gt;""),Input!$B$22&amp;";",""),IF(AND($G90&lt;Hta_3,$G90&gt;=Hba_3,Input!AB$23&lt;&gt;""),Input!$B$23&amp;";",""),IF(AND($G90&lt;Hta_4,$G90&gt;=Hba_4,Input!AB$24&lt;&gt;""),Input!$B$24&amp;";",""),IF(AND($G90&lt;Hta_5,$G90&gt;=Hba_5,Input!AB$25&lt;&gt;""),Input!$B$25&amp;";",""),IF(AND($G90&lt;Hta_6,$G90&gt;=Hba_6,Input!AB$26&lt;&gt;""),Input!$B$26&amp;";",""),IF(AND($G90&lt;Hta_7,$G90&gt;=Hba_7,Input!AB$27&lt;&gt;""),Input!$B$27&amp;";",""),IF(AND($G90&lt;Hta_8,$G90&gt;=Hba_8,Input!AB$28&lt;&gt;""),Input!$B$28&amp;";",""),IF(AND($G90&lt;Hta_9,$G90&gt;=Hba_9,Input!AB$29&lt;&gt;""),Input!$B$29&amp;";",""),IF(AND($G90&lt;Hta_10,$G90&gt;=Hba_10,Input!AB$30&lt;&gt;""),Input!$B$30&amp;";",""),IF(AND($G90&lt;Hta_11,$G90&gt;=Hba_11,Input!AB$31&lt;&gt;""),Input!$B$31&amp;";",""),IF(AND($G90&lt;Hta_12,$G90&gt;=Hba_12,Input!AB$32&lt;&gt;""),Input!$B$32&amp;";",""),IF(AND($G90&lt;Hta_13,$G90&gt;=Hba_13,Input!AB$33&lt;&gt;""),Input!$B$33&amp;";",""),IF(AND($G90&lt;Hta_14,$G90&gt;=Hba_14,Input!AB$34&lt;&gt;""),Input!$B$34&amp;";",""),IF(AND($G90&lt;Hta_15,$G90&gt;=Hba_15,Input!AB$35&lt;&gt;""),Input!$B$35&amp;";",""),IF(AND($G90&lt;Hta_16,$G90&gt;=Hba_16,Input!AB$36&lt;&gt;""),Input!$B$36&amp;";",""),IF(AND($G90&lt;Hta_17,$G90&gt;=Hba_17,Input!AB$37&lt;&gt;""),Input!$B$37&amp;";",""),IF(AND($G90&lt;Hta_18,$G90&gt;=Hba_18,Input!AB$38&lt;&gt;""),Input!$B$38&amp;";",""),IF(AND($G90&lt;Hta_19,$G90&gt;=Hba_19,Input!AB$39&lt;&gt;""),Input!$B$39&amp;";",""),IF(AND($G90&lt;Hta_20,$G90&gt;=Hba_20,Input!AB$40&lt;&gt;""),Input!$B$40&amp;";",""),IF(AND($G90&lt;Hta_21,$G90&gt;=Hba_21,Input!AB$41&lt;&gt;""),Input!$B$41&amp;";",""),IF(AND($G90&lt;Hta_22,$G90&gt;=Hba_22,Input!AB$42&lt;&gt;""),Input!$B$42&amp;";",""),IF(AND($G90&lt;Hta_23,$G90&gt;=Hba_23,Input!AB$43&lt;&gt;""),Input!$B$43&amp;";",""),IF(AND($G90&lt;Hta_24,$G90&gt;=Hba_24,Input!AB$44&lt;&gt;""),Input!$B$44&amp;";",""),IF(AND($G90&lt;Hta_25,$G90&gt;=Hba_25,Input!AB$45&lt;&gt;""),Input!$B$45&amp;";",""),IF(AND($G90&lt;Hta_26,$G90&gt;=Hba_26,Input!AB$46&lt;&gt;""),Input!$B$46&amp;";",""),IF(AND($G90&lt;Hta_27,$G90&gt;=Hba_27,Input!AB$47&lt;&gt;""),Input!$B$47&amp;";",""),IF(AND($G90&lt;Hta_28,$G90&gt;=Hba_28,Input!AB$48&lt;&gt;""),Input!$B$48&amp;";",""),IF(AND($G90&lt;Hta_29,$G90&gt;=Hba_29,Input!AB$49&lt;&gt;""),Input!$B$49&amp;";",""),IF(AND($G90&lt;Hta_30,$G90&gt;=Hba_30,Input!AB$50&lt;&gt;""),Input!$B$50&amp;";","")),"")</f>
        <v/>
      </c>
      <c r="CD90" s="25" t="str">
        <f>IFERROR(CONCATENATE(IF(AND($G90&lt;Hta_1,$G90&gt;=Hba_1,Input!AC$21&lt;&gt;""),Input!$B$21&amp;";",""),IF(AND($G90&lt;Hta_2,$G90&gt;=Hba_2,Input!AC$22&lt;&gt;""),Input!$B$22&amp;";",""),IF(AND($G90&lt;Hta_3,$G90&gt;=Hba_3,Input!AC$23&lt;&gt;""),Input!$B$23&amp;";",""),IF(AND($G90&lt;Hta_4,$G90&gt;=Hba_4,Input!AC$24&lt;&gt;""),Input!$B$24&amp;";",""),IF(AND($G90&lt;Hta_5,$G90&gt;=Hba_5,Input!AC$25&lt;&gt;""),Input!$B$25&amp;";",""),IF(AND($G90&lt;Hta_6,$G90&gt;=Hba_6,Input!AC$26&lt;&gt;""),Input!$B$26&amp;";",""),IF(AND($G90&lt;Hta_7,$G90&gt;=Hba_7,Input!AC$27&lt;&gt;""),Input!$B$27&amp;";",""),IF(AND($G90&lt;Hta_8,$G90&gt;=Hba_8,Input!AC$28&lt;&gt;""),Input!$B$28&amp;";",""),IF(AND($G90&lt;Hta_9,$G90&gt;=Hba_9,Input!AC$29&lt;&gt;""),Input!$B$29&amp;";",""),IF(AND($G90&lt;Hta_10,$G90&gt;=Hba_10,Input!AC$30&lt;&gt;""),Input!$B$30&amp;";",""),IF(AND($G90&lt;Hta_11,$G90&gt;=Hba_11,Input!AC$31&lt;&gt;""),Input!$B$31&amp;";",""),IF(AND($G90&lt;Hta_12,$G90&gt;=Hba_12,Input!AC$32&lt;&gt;""),Input!$B$32&amp;";",""),IF(AND($G90&lt;Hta_13,$G90&gt;=Hba_13,Input!AC$33&lt;&gt;""),Input!$B$33&amp;";",""),IF(AND($G90&lt;Hta_14,$G90&gt;=Hba_14,Input!AC$34&lt;&gt;""),Input!$B$34&amp;";",""),IF(AND($G90&lt;Hta_15,$G90&gt;=Hba_15,Input!AC$35&lt;&gt;""),Input!$B$35&amp;";",""),IF(AND($G90&lt;Hta_16,$G90&gt;=Hba_16,Input!AC$36&lt;&gt;""),Input!$B$36&amp;";",""),IF(AND($G90&lt;Hta_17,$G90&gt;=Hba_17,Input!AC$37&lt;&gt;""),Input!$B$37&amp;";",""),IF(AND($G90&lt;Hta_18,$G90&gt;=Hba_18,Input!AC$38&lt;&gt;""),Input!$B$38&amp;";",""),IF(AND($G90&lt;Hta_19,$G90&gt;=Hba_19,Input!AC$39&lt;&gt;""),Input!$B$39&amp;";",""),IF(AND($G90&lt;Hta_20,$G90&gt;=Hba_20,Input!AC$40&lt;&gt;""),Input!$B$40&amp;";",""),IF(AND($G90&lt;Hta_21,$G90&gt;=Hba_21,Input!AC$41&lt;&gt;""),Input!$B$41&amp;";",""),IF(AND($G90&lt;Hta_22,$G90&gt;=Hba_22,Input!AC$42&lt;&gt;""),Input!$B$42&amp;";",""),IF(AND($G90&lt;Hta_23,$G90&gt;=Hba_23,Input!AC$43&lt;&gt;""),Input!$B$43&amp;";",""),IF(AND($G90&lt;Hta_24,$G90&gt;=Hba_24,Input!AC$44&lt;&gt;""),Input!$B$44&amp;";",""),IF(AND($G90&lt;Hta_25,$G90&gt;=Hba_25,Input!AC$45&lt;&gt;""),Input!$B$45&amp;";",""),IF(AND($G90&lt;Hta_26,$G90&gt;=Hba_26,Input!AC$46&lt;&gt;""),Input!$B$46&amp;";",""),IF(AND($G90&lt;Hta_27,$G90&gt;=Hba_27,Input!AC$47&lt;&gt;""),Input!$B$47&amp;";",""),IF(AND($G90&lt;Hta_28,$G90&gt;=Hba_28,Input!AC$48&lt;&gt;""),Input!$B$48&amp;";",""),IF(AND($G90&lt;Hta_29,$G90&gt;=Hba_29,Input!AC$49&lt;&gt;""),Input!$B$49&amp;";",""),IF(AND($G90&lt;Hta_30,$G90&gt;=Hba_30,Input!AC$50&lt;&gt;""),Input!$B$50&amp;";","")),"")</f>
        <v/>
      </c>
      <c r="CE90" s="25" t="str">
        <f>IFERROR(CONCATENATE(IF(AND($G90&lt;Hta_1,$G90&gt;=Hba_1,Input!AD$21&lt;&gt;""),Input!$B$21&amp;";",""),IF(AND($G90&lt;Hta_2,$G90&gt;=Hba_2,Input!AD$22&lt;&gt;""),Input!$B$22&amp;";",""),IF(AND($G90&lt;Hta_3,$G90&gt;=Hba_3,Input!AD$23&lt;&gt;""),Input!$B$23&amp;";",""),IF(AND($G90&lt;Hta_4,$G90&gt;=Hba_4,Input!AD$24&lt;&gt;""),Input!$B$24&amp;";",""),IF(AND($G90&lt;Hta_5,$G90&gt;=Hba_5,Input!AD$25&lt;&gt;""),Input!$B$25&amp;";",""),IF(AND($G90&lt;Hta_6,$G90&gt;=Hba_6,Input!AD$26&lt;&gt;""),Input!$B$26&amp;";",""),IF(AND($G90&lt;Hta_7,$G90&gt;=Hba_7,Input!AD$27&lt;&gt;""),Input!$B$27&amp;";",""),IF(AND($G90&lt;Hta_8,$G90&gt;=Hba_8,Input!AD$28&lt;&gt;""),Input!$B$28&amp;";",""),IF(AND($G90&lt;Hta_9,$G90&gt;=Hba_9,Input!AD$29&lt;&gt;""),Input!$B$29&amp;";",""),IF(AND($G90&lt;Hta_10,$G90&gt;=Hba_10,Input!AD$30&lt;&gt;""),Input!$B$30&amp;";",""),IF(AND($G90&lt;Hta_11,$G90&gt;=Hba_11,Input!AD$31&lt;&gt;""),Input!$B$31&amp;";",""),IF(AND($G90&lt;Hta_12,$G90&gt;=Hba_12,Input!AD$32&lt;&gt;""),Input!$B$32&amp;";",""),IF(AND($G90&lt;Hta_13,$G90&gt;=Hba_13,Input!AD$33&lt;&gt;""),Input!$B$33&amp;";",""),IF(AND($G90&lt;Hta_14,$G90&gt;=Hba_14,Input!AD$34&lt;&gt;""),Input!$B$34&amp;";",""),IF(AND($G90&lt;Hta_15,$G90&gt;=Hba_15,Input!AD$35&lt;&gt;""),Input!$B$35&amp;";",""),IF(AND($G90&lt;Hta_16,$G90&gt;=Hba_16,Input!AD$36&lt;&gt;""),Input!$B$36&amp;";",""),IF(AND($G90&lt;Hta_17,$G90&gt;=Hba_17,Input!AD$37&lt;&gt;""),Input!$B$37&amp;";",""),IF(AND($G90&lt;Hta_18,$G90&gt;=Hba_18,Input!AD$38&lt;&gt;""),Input!$B$38&amp;";",""),IF(AND($G90&lt;Hta_19,$G90&gt;=Hba_19,Input!AD$39&lt;&gt;""),Input!$B$39&amp;";",""),IF(AND($G90&lt;Hta_20,$G90&gt;=Hba_20,Input!AD$40&lt;&gt;""),Input!$B$40&amp;";",""),IF(AND($G90&lt;Hta_21,$G90&gt;=Hba_21,Input!AD$41&lt;&gt;""),Input!$B$41&amp;";",""),IF(AND($G90&lt;Hta_22,$G90&gt;=Hba_22,Input!AD$42&lt;&gt;""),Input!$B$42&amp;";",""),IF(AND($G90&lt;Hta_23,$G90&gt;=Hba_23,Input!AD$43&lt;&gt;""),Input!$B$43&amp;";",""),IF(AND($G90&lt;Hta_24,$G90&gt;=Hba_24,Input!AD$44&lt;&gt;""),Input!$B$44&amp;";",""),IF(AND($G90&lt;Hta_25,$G90&gt;=Hba_25,Input!AD$45&lt;&gt;""),Input!$B$45&amp;";",""),IF(AND($G90&lt;Hta_26,$G90&gt;=Hba_26,Input!AD$46&lt;&gt;""),Input!$B$46&amp;";",""),IF(AND($G90&lt;Hta_27,$G90&gt;=Hba_27,Input!AD$47&lt;&gt;""),Input!$B$47&amp;";",""),IF(AND($G90&lt;Hta_28,$G90&gt;=Hba_28,Input!AD$48&lt;&gt;""),Input!$B$48&amp;";",""),IF(AND($G90&lt;Hta_29,$G90&gt;=Hba_29,Input!AD$49&lt;&gt;""),Input!$B$49&amp;";",""),IF(AND($G90&lt;Hta_30,$G90&gt;=Hba_30,Input!AD$50&lt;&gt;""),Input!$B$50&amp;";","")),"")</f>
        <v/>
      </c>
      <c r="CF90" s="25" t="str">
        <f>IFERROR(CONCATENATE(IF(AND($G90&lt;Hta_1,$G90&gt;=Hba_1,Input!AE$21&lt;&gt;""),Input!$B$21&amp;";",""),IF(AND($G90&lt;Hta_2,$G90&gt;=Hba_2,Input!AE$22&lt;&gt;""),Input!$B$22&amp;";",""),IF(AND($G90&lt;Hta_3,$G90&gt;=Hba_3,Input!AE$23&lt;&gt;""),Input!$B$23&amp;";",""),IF(AND($G90&lt;Hta_4,$G90&gt;=Hba_4,Input!AE$24&lt;&gt;""),Input!$B$24&amp;";",""),IF(AND($G90&lt;Hta_5,$G90&gt;=Hba_5,Input!AE$25&lt;&gt;""),Input!$B$25&amp;";",""),IF(AND($G90&lt;Hta_6,$G90&gt;=Hba_6,Input!AE$26&lt;&gt;""),Input!$B$26&amp;";",""),IF(AND($G90&lt;Hta_7,$G90&gt;=Hba_7,Input!AE$27&lt;&gt;""),Input!$B$27&amp;";",""),IF(AND($G90&lt;Hta_8,$G90&gt;=Hba_8,Input!AE$28&lt;&gt;""),Input!$B$28&amp;";",""),IF(AND($G90&lt;Hta_9,$G90&gt;=Hba_9,Input!AE$29&lt;&gt;""),Input!$B$29&amp;";",""),IF(AND($G90&lt;Hta_10,$G90&gt;=Hba_10,Input!AE$30&lt;&gt;""),Input!$B$30&amp;";",""),IF(AND($G90&lt;Hta_11,$G90&gt;=Hba_11,Input!AE$31&lt;&gt;""),Input!$B$31&amp;";",""),IF(AND($G90&lt;Hta_12,$G90&gt;=Hba_12,Input!AE$32&lt;&gt;""),Input!$B$32&amp;";",""),IF(AND($G90&lt;Hta_13,$G90&gt;=Hba_13,Input!AE$33&lt;&gt;""),Input!$B$33&amp;";",""),IF(AND($G90&lt;Hta_14,$G90&gt;=Hba_14,Input!AE$34&lt;&gt;""),Input!$B$34&amp;";",""),IF(AND($G90&lt;Hta_15,$G90&gt;=Hba_15,Input!AE$35&lt;&gt;""),Input!$B$35&amp;";",""),IF(AND($G90&lt;Hta_16,$G90&gt;=Hba_16,Input!AE$36&lt;&gt;""),Input!$B$36&amp;";",""),IF(AND($G90&lt;Hta_17,$G90&gt;=Hba_17,Input!AE$37&lt;&gt;""),Input!$B$37&amp;";",""),IF(AND($G90&lt;Hta_18,$G90&gt;=Hba_18,Input!AE$38&lt;&gt;""),Input!$B$38&amp;";",""),IF(AND($G90&lt;Hta_19,$G90&gt;=Hba_19,Input!AE$39&lt;&gt;""),Input!$B$39&amp;";",""),IF(AND($G90&lt;Hta_20,$G90&gt;=Hba_20,Input!AE$40&lt;&gt;""),Input!$B$40&amp;";",""),IF(AND($G90&lt;Hta_21,$G90&gt;=Hba_21,Input!AE$41&lt;&gt;""),Input!$B$41&amp;";",""),IF(AND($G90&lt;Hta_22,$G90&gt;=Hba_22,Input!AE$42&lt;&gt;""),Input!$B$42&amp;";",""),IF(AND($G90&lt;Hta_23,$G90&gt;=Hba_23,Input!AE$43&lt;&gt;""),Input!$B$43&amp;";",""),IF(AND($G90&lt;Hta_24,$G90&gt;=Hba_24,Input!AE$44&lt;&gt;""),Input!$B$44&amp;";",""),IF(AND($G90&lt;Hta_25,$G90&gt;=Hba_25,Input!AE$45&lt;&gt;""),Input!$B$45&amp;";",""),IF(AND($G90&lt;Hta_26,$G90&gt;=Hba_26,Input!AE$46&lt;&gt;""),Input!$B$46&amp;";",""),IF(AND($G90&lt;Hta_27,$G90&gt;=Hba_27,Input!AE$47&lt;&gt;""),Input!$B$47&amp;";",""),IF(AND($G90&lt;Hta_28,$G90&gt;=Hba_28,Input!AE$48&lt;&gt;""),Input!$B$48&amp;";",""),IF(AND($G90&lt;Hta_29,$G90&gt;=Hba_29,Input!AE$49&lt;&gt;""),Input!$B$49&amp;";",""),IF(AND($G90&lt;Hta_30,$G90&gt;=Hba_30,Input!AE$50&lt;&gt;""),Input!$B$50&amp;";","")),"")</f>
        <v/>
      </c>
      <c r="CG90" s="25" t="str">
        <f>IFERROR(CONCATENATE(IF(AND($G90&lt;Hta_1,$G90&gt;=Hba_1,Input!AF$21&lt;&gt;""),Input!$B$21&amp;";",""),IF(AND($G90&lt;Hta_2,$G90&gt;=Hba_2,Input!AF$22&lt;&gt;""),Input!$B$22&amp;";",""),IF(AND($G90&lt;Hta_3,$G90&gt;=Hba_3,Input!AF$23&lt;&gt;""),Input!$B$23&amp;";",""),IF(AND($G90&lt;Hta_4,$G90&gt;=Hba_4,Input!AF$24&lt;&gt;""),Input!$B$24&amp;";",""),IF(AND($G90&lt;Hta_5,$G90&gt;=Hba_5,Input!AF$25&lt;&gt;""),Input!$B$25&amp;";",""),IF(AND($G90&lt;Hta_6,$G90&gt;=Hba_6,Input!AF$26&lt;&gt;""),Input!$B$26&amp;";",""),IF(AND($G90&lt;Hta_7,$G90&gt;=Hba_7,Input!AF$27&lt;&gt;""),Input!$B$27&amp;";",""),IF(AND($G90&lt;Hta_8,$G90&gt;=Hba_8,Input!AF$28&lt;&gt;""),Input!$B$28&amp;";",""),IF(AND($G90&lt;Hta_9,$G90&gt;=Hba_9,Input!AF$29&lt;&gt;""),Input!$B$29&amp;";",""),IF(AND($G90&lt;Hta_10,$G90&gt;=Hba_10,Input!AF$30&lt;&gt;""),Input!$B$30&amp;";",""),IF(AND($G90&lt;Hta_11,$G90&gt;=Hba_11,Input!AF$31&lt;&gt;""),Input!$B$31&amp;";",""),IF(AND($G90&lt;Hta_12,$G90&gt;=Hba_12,Input!AF$32&lt;&gt;""),Input!$B$32&amp;";",""),IF(AND($G90&lt;Hta_13,$G90&gt;=Hba_13,Input!AF$33&lt;&gt;""),Input!$B$33&amp;";",""),IF(AND($G90&lt;Hta_14,$G90&gt;=Hba_14,Input!AF$34&lt;&gt;""),Input!$B$34&amp;";",""),IF(AND($G90&lt;Hta_15,$G90&gt;=Hba_15,Input!AF$35&lt;&gt;""),Input!$B$35&amp;";",""),IF(AND($G90&lt;Hta_16,$G90&gt;=Hba_16,Input!AF$36&lt;&gt;""),Input!$B$36&amp;";",""),IF(AND($G90&lt;Hta_17,$G90&gt;=Hba_17,Input!AF$37&lt;&gt;""),Input!$B$37&amp;";",""),IF(AND($G90&lt;Hta_18,$G90&gt;=Hba_18,Input!AF$38&lt;&gt;""),Input!$B$38&amp;";",""),IF(AND($G90&lt;Hta_19,$G90&gt;=Hba_19,Input!AF$39&lt;&gt;""),Input!$B$39&amp;";",""),IF(AND($G90&lt;Hta_20,$G90&gt;=Hba_20,Input!AF$40&lt;&gt;""),Input!$B$40&amp;";",""),IF(AND($G90&lt;Hta_21,$G90&gt;=Hba_21,Input!AF$41&lt;&gt;""),Input!$B$41&amp;";",""),IF(AND($G90&lt;Hta_22,$G90&gt;=Hba_22,Input!AF$42&lt;&gt;""),Input!$B$42&amp;";",""),IF(AND($G90&lt;Hta_23,$G90&gt;=Hba_23,Input!AF$43&lt;&gt;""),Input!$B$43&amp;";",""),IF(AND($G90&lt;Hta_24,$G90&gt;=Hba_24,Input!AF$44&lt;&gt;""),Input!$B$44&amp;";",""),IF(AND($G90&lt;Hta_25,$G90&gt;=Hba_25,Input!AF$45&lt;&gt;""),Input!$B$45&amp;";",""),IF(AND($G90&lt;Hta_26,$G90&gt;=Hba_26,Input!AF$46&lt;&gt;""),Input!$B$46&amp;";",""),IF(AND($G90&lt;Hta_27,$G90&gt;=Hba_27,Input!AF$47&lt;&gt;""),Input!$B$47&amp;";",""),IF(AND($G90&lt;Hta_28,$G90&gt;=Hba_28,Input!AF$48&lt;&gt;""),Input!$B$48&amp;";",""),IF(AND($G90&lt;Hta_29,$G90&gt;=Hba_29,Input!AF$49&lt;&gt;""),Input!$B$49&amp;";",""),IF(AND($G90&lt;Hta_30,$G90&gt;=Hba_30,Input!AF$50&lt;&gt;""),Input!$B$50&amp;";","")),"")</f>
        <v/>
      </c>
      <c r="CH90" s="25" t="str">
        <f>IFERROR(CONCATENATE(IF(AND($G90&lt;Hta_1,$G90&gt;=Hba_1,Input!AG$21&lt;&gt;""),Input!$B$21&amp;";",""),IF(AND($G90&lt;Hta_2,$G90&gt;=Hba_2,Input!AG$22&lt;&gt;""),Input!$B$22&amp;";",""),IF(AND($G90&lt;Hta_3,$G90&gt;=Hba_3,Input!AG$23&lt;&gt;""),Input!$B$23&amp;";",""),IF(AND($G90&lt;Hta_4,$G90&gt;=Hba_4,Input!AG$24&lt;&gt;""),Input!$B$24&amp;";",""),IF(AND($G90&lt;Hta_5,$G90&gt;=Hba_5,Input!AG$25&lt;&gt;""),Input!$B$25&amp;";",""),IF(AND($G90&lt;Hta_6,$G90&gt;=Hba_6,Input!AG$26&lt;&gt;""),Input!$B$26&amp;";",""),IF(AND($G90&lt;Hta_7,$G90&gt;=Hba_7,Input!AG$27&lt;&gt;""),Input!$B$27&amp;";",""),IF(AND($G90&lt;Hta_8,$G90&gt;=Hba_8,Input!AG$28&lt;&gt;""),Input!$B$28&amp;";",""),IF(AND($G90&lt;Hta_9,$G90&gt;=Hba_9,Input!AG$29&lt;&gt;""),Input!$B$29&amp;";",""),IF(AND($G90&lt;Hta_10,$G90&gt;=Hba_10,Input!AG$30&lt;&gt;""),Input!$B$30&amp;";",""),IF(AND($G90&lt;Hta_11,$G90&gt;=Hba_11,Input!AG$31&lt;&gt;""),Input!$B$31&amp;";",""),IF(AND($G90&lt;Hta_12,$G90&gt;=Hba_12,Input!AG$32&lt;&gt;""),Input!$B$32&amp;";",""),IF(AND($G90&lt;Hta_13,$G90&gt;=Hba_13,Input!AG$33&lt;&gt;""),Input!$B$33&amp;";",""),IF(AND($G90&lt;Hta_14,$G90&gt;=Hba_14,Input!AG$34&lt;&gt;""),Input!$B$34&amp;";",""),IF(AND($G90&lt;Hta_15,$G90&gt;=Hba_15,Input!AG$35&lt;&gt;""),Input!$B$35&amp;";",""),IF(AND($G90&lt;Hta_16,$G90&gt;=Hba_16,Input!AG$36&lt;&gt;""),Input!$B$36&amp;";",""),IF(AND($G90&lt;Hta_17,$G90&gt;=Hba_17,Input!AG$37&lt;&gt;""),Input!$B$37&amp;";",""),IF(AND($G90&lt;Hta_18,$G90&gt;=Hba_18,Input!AG$38&lt;&gt;""),Input!$B$38&amp;";",""),IF(AND($G90&lt;Hta_19,$G90&gt;=Hba_19,Input!AG$39&lt;&gt;""),Input!$B$39&amp;";",""),IF(AND($G90&lt;Hta_20,$G90&gt;=Hba_20,Input!AG$40&lt;&gt;""),Input!$B$40&amp;";",""),IF(AND($G90&lt;Hta_21,$G90&gt;=Hba_21,Input!AG$41&lt;&gt;""),Input!$B$41&amp;";",""),IF(AND($G90&lt;Hta_22,$G90&gt;=Hba_22,Input!AG$42&lt;&gt;""),Input!$B$42&amp;";",""),IF(AND($G90&lt;Hta_23,$G90&gt;=Hba_23,Input!AG$43&lt;&gt;""),Input!$B$43&amp;";",""),IF(AND($G90&lt;Hta_24,$G90&gt;=Hba_24,Input!AG$44&lt;&gt;""),Input!$B$44&amp;";",""),IF(AND($G90&lt;Hta_25,$G90&gt;=Hba_25,Input!AG$45&lt;&gt;""),Input!$B$45&amp;";",""),IF(AND($G90&lt;Hta_26,$G90&gt;=Hba_26,Input!AG$46&lt;&gt;""),Input!$B$46&amp;";",""),IF(AND($G90&lt;Hta_27,$G90&gt;=Hba_27,Input!AG$47&lt;&gt;""),Input!$B$47&amp;";",""),IF(AND($G90&lt;Hta_28,$G90&gt;=Hba_28,Input!AG$48&lt;&gt;""),Input!$B$48&amp;";",""),IF(AND($G90&lt;Hta_29,$G90&gt;=Hba_29,Input!AG$49&lt;&gt;""),Input!$B$49&amp;";",""),IF(AND($G90&lt;Hta_30,$G90&gt;=Hba_30,Input!AG$50&lt;&gt;""),Input!$B$50&amp;";","")),"")</f>
        <v/>
      </c>
      <c r="CI90" s="25" t="str">
        <f>IFERROR(CONCATENATE(IF(AND($G90&lt;Hta_1,$G90&gt;=Hba_1,Input!AH$21&lt;&gt;""),Input!$B$21&amp;";",""),IF(AND($G90&lt;Hta_2,$G90&gt;=Hba_2,Input!AH$22&lt;&gt;""),Input!$B$22&amp;";",""),IF(AND($G90&lt;Hta_3,$G90&gt;=Hba_3,Input!AH$23&lt;&gt;""),Input!$B$23&amp;";",""),IF(AND($G90&lt;Hta_4,$G90&gt;=Hba_4,Input!AH$24&lt;&gt;""),Input!$B$24&amp;";",""),IF(AND($G90&lt;Hta_5,$G90&gt;=Hba_5,Input!AH$25&lt;&gt;""),Input!$B$25&amp;";",""),IF(AND($G90&lt;Hta_6,$G90&gt;=Hba_6,Input!AH$26&lt;&gt;""),Input!$B$26&amp;";",""),IF(AND($G90&lt;Hta_7,$G90&gt;=Hba_7,Input!AH$27&lt;&gt;""),Input!$B$27&amp;";",""),IF(AND($G90&lt;Hta_8,$G90&gt;=Hba_8,Input!AH$28&lt;&gt;""),Input!$B$28&amp;";",""),IF(AND($G90&lt;Hta_9,$G90&gt;=Hba_9,Input!AH$29&lt;&gt;""),Input!$B$29&amp;";",""),IF(AND($G90&lt;Hta_10,$G90&gt;=Hba_10,Input!AH$30&lt;&gt;""),Input!$B$30&amp;";",""),IF(AND($G90&lt;Hta_11,$G90&gt;=Hba_11,Input!AH$31&lt;&gt;""),Input!$B$31&amp;";",""),IF(AND($G90&lt;Hta_12,$G90&gt;=Hba_12,Input!AH$32&lt;&gt;""),Input!$B$32&amp;";",""),IF(AND($G90&lt;Hta_13,$G90&gt;=Hba_13,Input!AH$33&lt;&gt;""),Input!$B$33&amp;";",""),IF(AND($G90&lt;Hta_14,$G90&gt;=Hba_14,Input!AH$34&lt;&gt;""),Input!$B$34&amp;";",""),IF(AND($G90&lt;Hta_15,$G90&gt;=Hba_15,Input!AH$35&lt;&gt;""),Input!$B$35&amp;";",""),IF(AND($G90&lt;Hta_16,$G90&gt;=Hba_16,Input!AH$36&lt;&gt;""),Input!$B$36&amp;";",""),IF(AND($G90&lt;Hta_17,$G90&gt;=Hba_17,Input!AH$37&lt;&gt;""),Input!$B$37&amp;";",""),IF(AND($G90&lt;Hta_18,$G90&gt;=Hba_18,Input!AH$38&lt;&gt;""),Input!$B$38&amp;";",""),IF(AND($G90&lt;Hta_19,$G90&gt;=Hba_19,Input!AH$39&lt;&gt;""),Input!$B$39&amp;";",""),IF(AND($G90&lt;Hta_20,$G90&gt;=Hba_20,Input!AH$40&lt;&gt;""),Input!$B$40&amp;";",""),IF(AND($G90&lt;Hta_21,$G90&gt;=Hba_21,Input!AH$41&lt;&gt;""),Input!$B$41&amp;";",""),IF(AND($G90&lt;Hta_22,$G90&gt;=Hba_22,Input!AH$42&lt;&gt;""),Input!$B$42&amp;";",""),IF(AND($G90&lt;Hta_23,$G90&gt;=Hba_23,Input!AH$43&lt;&gt;""),Input!$B$43&amp;";",""),IF(AND($G90&lt;Hta_24,$G90&gt;=Hba_24,Input!AH$44&lt;&gt;""),Input!$B$44&amp;";",""),IF(AND($G90&lt;Hta_25,$G90&gt;=Hba_25,Input!AH$45&lt;&gt;""),Input!$B$45&amp;";",""),IF(AND($G90&lt;Hta_26,$G90&gt;=Hba_26,Input!AH$46&lt;&gt;""),Input!$B$46&amp;";",""),IF(AND($G90&lt;Hta_27,$G90&gt;=Hba_27,Input!AH$47&lt;&gt;""),Input!$B$47&amp;";",""),IF(AND($G90&lt;Hta_28,$G90&gt;=Hba_28,Input!AH$48&lt;&gt;""),Input!$B$48&amp;";",""),IF(AND($G90&lt;Hta_29,$G90&gt;=Hba_29,Input!AH$49&lt;&gt;""),Input!$B$49&amp;";",""),IF(AND($G90&lt;Hta_30,$G90&gt;=Hba_30,Input!AH$50&lt;&gt;""),Input!$B$50&amp;";","")),"")</f>
        <v/>
      </c>
      <c r="CJ90" s="25" t="str">
        <f>IFERROR(CONCATENATE(IF(AND($G90&lt;Hta_1,$G90&gt;=Hba_1,Input!AI$21&lt;&gt;""),Input!$B$21&amp;";",""),IF(AND($G90&lt;Hta_2,$G90&gt;=Hba_2,Input!AI$22&lt;&gt;""),Input!$B$22&amp;";",""),IF(AND($G90&lt;Hta_3,$G90&gt;=Hba_3,Input!AI$23&lt;&gt;""),Input!$B$23&amp;";",""),IF(AND($G90&lt;Hta_4,$G90&gt;=Hba_4,Input!AI$24&lt;&gt;""),Input!$B$24&amp;";",""),IF(AND($G90&lt;Hta_5,$G90&gt;=Hba_5,Input!AI$25&lt;&gt;""),Input!$B$25&amp;";",""),IF(AND($G90&lt;Hta_6,$G90&gt;=Hba_6,Input!AI$26&lt;&gt;""),Input!$B$26&amp;";",""),IF(AND($G90&lt;Hta_7,$G90&gt;=Hba_7,Input!AI$27&lt;&gt;""),Input!$B$27&amp;";",""),IF(AND($G90&lt;Hta_8,$G90&gt;=Hba_8,Input!AI$28&lt;&gt;""),Input!$B$28&amp;";",""),IF(AND($G90&lt;Hta_9,$G90&gt;=Hba_9,Input!AI$29&lt;&gt;""),Input!$B$29&amp;";",""),IF(AND($G90&lt;Hta_10,$G90&gt;=Hba_10,Input!AI$30&lt;&gt;""),Input!$B$30&amp;";",""),IF(AND($G90&lt;Hta_11,$G90&gt;=Hba_11,Input!AI$31&lt;&gt;""),Input!$B$31&amp;";",""),IF(AND($G90&lt;Hta_12,$G90&gt;=Hba_12,Input!AI$32&lt;&gt;""),Input!$B$32&amp;";",""),IF(AND($G90&lt;Hta_13,$G90&gt;=Hba_13,Input!AI$33&lt;&gt;""),Input!$B$33&amp;";",""),IF(AND($G90&lt;Hta_14,$G90&gt;=Hba_14,Input!AI$34&lt;&gt;""),Input!$B$34&amp;";",""),IF(AND($G90&lt;Hta_15,$G90&gt;=Hba_15,Input!AI$35&lt;&gt;""),Input!$B$35&amp;";",""),IF(AND($G90&lt;Hta_16,$G90&gt;=Hba_16,Input!AI$36&lt;&gt;""),Input!$B$36&amp;";",""),IF(AND($G90&lt;Hta_17,$G90&gt;=Hba_17,Input!AI$37&lt;&gt;""),Input!$B$37&amp;";",""),IF(AND($G90&lt;Hta_18,$G90&gt;=Hba_18,Input!AI$38&lt;&gt;""),Input!$B$38&amp;";",""),IF(AND($G90&lt;Hta_19,$G90&gt;=Hba_19,Input!AI$39&lt;&gt;""),Input!$B$39&amp;";",""),IF(AND($G90&lt;Hta_20,$G90&gt;=Hba_20,Input!AI$40&lt;&gt;""),Input!$B$40&amp;";",""),IF(AND($G90&lt;Hta_21,$G90&gt;=Hba_21,Input!AI$41&lt;&gt;""),Input!$B$41&amp;";",""),IF(AND($G90&lt;Hta_22,$G90&gt;=Hba_22,Input!AI$42&lt;&gt;""),Input!$B$42&amp;";",""),IF(AND($G90&lt;Hta_23,$G90&gt;=Hba_23,Input!AI$43&lt;&gt;""),Input!$B$43&amp;";",""),IF(AND($G90&lt;Hta_24,$G90&gt;=Hba_24,Input!AI$44&lt;&gt;""),Input!$B$44&amp;";",""),IF(AND($G90&lt;Hta_25,$G90&gt;=Hba_25,Input!AI$45&lt;&gt;""),Input!$B$45&amp;";",""),IF(AND($G90&lt;Hta_26,$G90&gt;=Hba_26,Input!AI$46&lt;&gt;""),Input!$B$46&amp;";",""),IF(AND($G90&lt;Hta_27,$G90&gt;=Hba_27,Input!AI$47&lt;&gt;""),Input!$B$47&amp;";",""),IF(AND($G90&lt;Hta_28,$G90&gt;=Hba_28,Input!AI$48&lt;&gt;""),Input!$B$48&amp;";",""),IF(AND($G90&lt;Hta_29,$G90&gt;=Hba_29,Input!AI$49&lt;&gt;""),Input!$B$49&amp;";",""),IF(AND($G90&lt;Hta_30,$G90&gt;=Hba_30,Input!AI$50&lt;&gt;""),Input!$B$50&amp;";","")),"")</f>
        <v/>
      </c>
      <c r="CK90" s="25" t="str">
        <f>IFERROR(CONCATENATE(IF(AND($G90&lt;Hta_1,$G90&gt;=Hba_1,Input!AJ$21&lt;&gt;""),Input!$B$21&amp;";",""),IF(AND($G90&lt;Hta_2,$G90&gt;=Hba_2,Input!AJ$22&lt;&gt;""),Input!$B$22&amp;";",""),IF(AND($G90&lt;Hta_3,$G90&gt;=Hba_3,Input!AJ$23&lt;&gt;""),Input!$B$23&amp;";",""),IF(AND($G90&lt;Hta_4,$G90&gt;=Hba_4,Input!AJ$24&lt;&gt;""),Input!$B$24&amp;";",""),IF(AND($G90&lt;Hta_5,$G90&gt;=Hba_5,Input!AJ$25&lt;&gt;""),Input!$B$25&amp;";",""),IF(AND($G90&lt;Hta_6,$G90&gt;=Hba_6,Input!AJ$26&lt;&gt;""),Input!$B$26&amp;";",""),IF(AND($G90&lt;Hta_7,$G90&gt;=Hba_7,Input!AJ$27&lt;&gt;""),Input!$B$27&amp;";",""),IF(AND($G90&lt;Hta_8,$G90&gt;=Hba_8,Input!AJ$28&lt;&gt;""),Input!$B$28&amp;";",""),IF(AND($G90&lt;Hta_9,$G90&gt;=Hba_9,Input!AJ$29&lt;&gt;""),Input!$B$29&amp;";",""),IF(AND($G90&lt;Hta_10,$G90&gt;=Hba_10,Input!AJ$30&lt;&gt;""),Input!$B$30&amp;";",""),IF(AND($G90&lt;Hta_11,$G90&gt;=Hba_11,Input!AJ$31&lt;&gt;""),Input!$B$31&amp;";",""),IF(AND($G90&lt;Hta_12,$G90&gt;=Hba_12,Input!AJ$32&lt;&gt;""),Input!$B$32&amp;";",""),IF(AND($G90&lt;Hta_13,$G90&gt;=Hba_13,Input!AJ$33&lt;&gt;""),Input!$B$33&amp;";",""),IF(AND($G90&lt;Hta_14,$G90&gt;=Hba_14,Input!AJ$34&lt;&gt;""),Input!$B$34&amp;";",""),IF(AND($G90&lt;Hta_15,$G90&gt;=Hba_15,Input!AJ$35&lt;&gt;""),Input!$B$35&amp;";",""),IF(AND($G90&lt;Hta_16,$G90&gt;=Hba_16,Input!AJ$36&lt;&gt;""),Input!$B$36&amp;";",""),IF(AND($G90&lt;Hta_17,$G90&gt;=Hba_17,Input!AJ$37&lt;&gt;""),Input!$B$37&amp;";",""),IF(AND($G90&lt;Hta_18,$G90&gt;=Hba_18,Input!AJ$38&lt;&gt;""),Input!$B$38&amp;";",""),IF(AND($G90&lt;Hta_19,$G90&gt;=Hba_19,Input!AJ$39&lt;&gt;""),Input!$B$39&amp;";",""),IF(AND($G90&lt;Hta_20,$G90&gt;=Hba_20,Input!AJ$40&lt;&gt;""),Input!$B$40&amp;";",""),IF(AND($G90&lt;Hta_21,$G90&gt;=Hba_21,Input!AJ$41&lt;&gt;""),Input!$B$41&amp;";",""),IF(AND($G90&lt;Hta_22,$G90&gt;=Hba_22,Input!AJ$42&lt;&gt;""),Input!$B$42&amp;";",""),IF(AND($G90&lt;Hta_23,$G90&gt;=Hba_23,Input!AJ$43&lt;&gt;""),Input!$B$43&amp;";",""),IF(AND($G90&lt;Hta_24,$G90&gt;=Hba_24,Input!AJ$44&lt;&gt;""),Input!$B$44&amp;";",""),IF(AND($G90&lt;Hta_25,$G90&gt;=Hba_25,Input!AJ$45&lt;&gt;""),Input!$B$45&amp;";",""),IF(AND($G90&lt;Hta_26,$G90&gt;=Hba_26,Input!AJ$46&lt;&gt;""),Input!$B$46&amp;";",""),IF(AND($G90&lt;Hta_27,$G90&gt;=Hba_27,Input!AJ$47&lt;&gt;""),Input!$B$47&amp;";",""),IF(AND($G90&lt;Hta_28,$G90&gt;=Hba_28,Input!AJ$48&lt;&gt;""),Input!$B$48&amp;";",""),IF(AND($G90&lt;Hta_29,$G90&gt;=Hba_29,Input!AJ$49&lt;&gt;""),Input!$B$49&amp;";",""),IF(AND($G90&lt;Hta_30,$G90&gt;=Hba_30,Input!AJ$50&lt;&gt;""),Input!$B$50&amp;";","")),"")</f>
        <v/>
      </c>
      <c r="CL90" s="25" t="str">
        <f>IFERROR(CONCATENATE(IF(AND($G90&lt;Hta_1,$G90&gt;=Hba_1,Input!AK$21&lt;&gt;""),Input!$B$21&amp;";",""),IF(AND($G90&lt;Hta_2,$G90&gt;=Hba_2,Input!AK$22&lt;&gt;""),Input!$B$22&amp;";",""),IF(AND($G90&lt;Hta_3,$G90&gt;=Hba_3,Input!AK$23&lt;&gt;""),Input!$B$23&amp;";",""),IF(AND($G90&lt;Hta_4,$G90&gt;=Hba_4,Input!AK$24&lt;&gt;""),Input!$B$24&amp;";",""),IF(AND($G90&lt;Hta_5,$G90&gt;=Hba_5,Input!AK$25&lt;&gt;""),Input!$B$25&amp;";",""),IF(AND($G90&lt;Hta_6,$G90&gt;=Hba_6,Input!AK$26&lt;&gt;""),Input!$B$26&amp;";",""),IF(AND($G90&lt;Hta_7,$G90&gt;=Hba_7,Input!AK$27&lt;&gt;""),Input!$B$27&amp;";",""),IF(AND($G90&lt;Hta_8,$G90&gt;=Hba_8,Input!AK$28&lt;&gt;""),Input!$B$28&amp;";",""),IF(AND($G90&lt;Hta_9,$G90&gt;=Hba_9,Input!AK$29&lt;&gt;""),Input!$B$29&amp;";",""),IF(AND($G90&lt;Hta_10,$G90&gt;=Hba_10,Input!AK$30&lt;&gt;""),Input!$B$30&amp;";",""),IF(AND($G90&lt;Hta_11,$G90&gt;=Hba_11,Input!AK$31&lt;&gt;""),Input!$B$31&amp;";",""),IF(AND($G90&lt;Hta_12,$G90&gt;=Hba_12,Input!AK$32&lt;&gt;""),Input!$B$32&amp;";",""),IF(AND($G90&lt;Hta_13,$G90&gt;=Hba_13,Input!AK$33&lt;&gt;""),Input!$B$33&amp;";",""),IF(AND($G90&lt;Hta_14,$G90&gt;=Hba_14,Input!AK$34&lt;&gt;""),Input!$B$34&amp;";",""),IF(AND($G90&lt;Hta_15,$G90&gt;=Hba_15,Input!AK$35&lt;&gt;""),Input!$B$35&amp;";",""),IF(AND($G90&lt;Hta_16,$G90&gt;=Hba_16,Input!AK$36&lt;&gt;""),Input!$B$36&amp;";",""),IF(AND($G90&lt;Hta_17,$G90&gt;=Hba_17,Input!AK$37&lt;&gt;""),Input!$B$37&amp;";",""),IF(AND($G90&lt;Hta_18,$G90&gt;=Hba_18,Input!AK$38&lt;&gt;""),Input!$B$38&amp;";",""),IF(AND($G90&lt;Hta_19,$G90&gt;=Hba_19,Input!AK$39&lt;&gt;""),Input!$B$39&amp;";",""),IF(AND($G90&lt;Hta_20,$G90&gt;=Hba_20,Input!AK$40&lt;&gt;""),Input!$B$40&amp;";",""),IF(AND($G90&lt;Hta_21,$G90&gt;=Hba_21,Input!AK$41&lt;&gt;""),Input!$B$41&amp;";",""),IF(AND($G90&lt;Hta_22,$G90&gt;=Hba_22,Input!AK$42&lt;&gt;""),Input!$B$42&amp;";",""),IF(AND($G90&lt;Hta_23,$G90&gt;=Hba_23,Input!AK$43&lt;&gt;""),Input!$B$43&amp;";",""),IF(AND($G90&lt;Hta_24,$G90&gt;=Hba_24,Input!AK$44&lt;&gt;""),Input!$B$44&amp;";",""),IF(AND($G90&lt;Hta_25,$G90&gt;=Hba_25,Input!AK$45&lt;&gt;""),Input!$B$45&amp;";",""),IF(AND($G90&lt;Hta_26,$G90&gt;=Hba_26,Input!AK$46&lt;&gt;""),Input!$B$46&amp;";",""),IF(AND($G90&lt;Hta_27,$G90&gt;=Hba_27,Input!AK$47&lt;&gt;""),Input!$B$47&amp;";",""),IF(AND($G90&lt;Hta_28,$G90&gt;=Hba_28,Input!AK$48&lt;&gt;""),Input!$B$48&amp;";",""),IF(AND($G90&lt;Hta_29,$G90&gt;=Hba_29,Input!AK$49&lt;&gt;""),Input!$B$49&amp;";",""),IF(AND($G90&lt;Hta_30,$G90&gt;=Hba_30,Input!AK$50&lt;&gt;""),Input!$B$50&amp;";","")),"")</f>
        <v/>
      </c>
      <c r="CM90" s="25" t="str">
        <f>IFERROR(CONCATENATE(IF(AND($G90&lt;Hta_1,$G90&gt;=Hba_1,Input!AL$21&lt;&gt;""),Input!$B$21&amp;";",""),IF(AND($G90&lt;Hta_2,$G90&gt;=Hba_2,Input!AL$22&lt;&gt;""),Input!$B$22&amp;";",""),IF(AND($G90&lt;Hta_3,$G90&gt;=Hba_3,Input!AL$23&lt;&gt;""),Input!$B$23&amp;";",""),IF(AND($G90&lt;Hta_4,$G90&gt;=Hba_4,Input!AL$24&lt;&gt;""),Input!$B$24&amp;";",""),IF(AND($G90&lt;Hta_5,$G90&gt;=Hba_5,Input!AL$25&lt;&gt;""),Input!$B$25&amp;";",""),IF(AND($G90&lt;Hta_6,$G90&gt;=Hba_6,Input!AL$26&lt;&gt;""),Input!$B$26&amp;";",""),IF(AND($G90&lt;Hta_7,$G90&gt;=Hba_7,Input!AL$27&lt;&gt;""),Input!$B$27&amp;";",""),IF(AND($G90&lt;Hta_8,$G90&gt;=Hba_8,Input!AL$28&lt;&gt;""),Input!$B$28&amp;";",""),IF(AND($G90&lt;Hta_9,$G90&gt;=Hba_9,Input!AL$29&lt;&gt;""),Input!$B$29&amp;";",""),IF(AND($G90&lt;Hta_10,$G90&gt;=Hba_10,Input!AL$30&lt;&gt;""),Input!$B$30&amp;";",""),IF(AND($G90&lt;Hta_11,$G90&gt;=Hba_11,Input!AL$31&lt;&gt;""),Input!$B$31&amp;";",""),IF(AND($G90&lt;Hta_12,$G90&gt;=Hba_12,Input!AL$32&lt;&gt;""),Input!$B$32&amp;";",""),IF(AND($G90&lt;Hta_13,$G90&gt;=Hba_13,Input!AL$33&lt;&gt;""),Input!$B$33&amp;";",""),IF(AND($G90&lt;Hta_14,$G90&gt;=Hba_14,Input!AL$34&lt;&gt;""),Input!$B$34&amp;";",""),IF(AND($G90&lt;Hta_15,$G90&gt;=Hba_15,Input!AL$35&lt;&gt;""),Input!$B$35&amp;";",""),IF(AND($G90&lt;Hta_16,$G90&gt;=Hba_16,Input!AL$36&lt;&gt;""),Input!$B$36&amp;";",""),IF(AND($G90&lt;Hta_17,$G90&gt;=Hba_17,Input!AL$37&lt;&gt;""),Input!$B$37&amp;";",""),IF(AND($G90&lt;Hta_18,$G90&gt;=Hba_18,Input!AL$38&lt;&gt;""),Input!$B$38&amp;";",""),IF(AND($G90&lt;Hta_19,$G90&gt;=Hba_19,Input!AL$39&lt;&gt;""),Input!$B$39&amp;";",""),IF(AND($G90&lt;Hta_20,$G90&gt;=Hba_20,Input!AL$40&lt;&gt;""),Input!$B$40&amp;";",""),IF(AND($G90&lt;Hta_21,$G90&gt;=Hba_21,Input!AL$41&lt;&gt;""),Input!$B$41&amp;";",""),IF(AND($G90&lt;Hta_22,$G90&gt;=Hba_22,Input!AL$42&lt;&gt;""),Input!$B$42&amp;";",""),IF(AND($G90&lt;Hta_23,$G90&gt;=Hba_23,Input!AL$43&lt;&gt;""),Input!$B$43&amp;";",""),IF(AND($G90&lt;Hta_24,$G90&gt;=Hba_24,Input!AL$44&lt;&gt;""),Input!$B$44&amp;";",""),IF(AND($G90&lt;Hta_25,$G90&gt;=Hba_25,Input!AL$45&lt;&gt;""),Input!$B$45&amp;";",""),IF(AND($G90&lt;Hta_26,$G90&gt;=Hba_26,Input!AL$46&lt;&gt;""),Input!$B$46&amp;";",""),IF(AND($G90&lt;Hta_27,$G90&gt;=Hba_27,Input!AL$47&lt;&gt;""),Input!$B$47&amp;";",""),IF(AND($G90&lt;Hta_28,$G90&gt;=Hba_28,Input!AL$48&lt;&gt;""),Input!$B$48&amp;";",""),IF(AND($G90&lt;Hta_29,$G90&gt;=Hba_29,Input!AL$49&lt;&gt;""),Input!$B$49&amp;";",""),IF(AND($G90&lt;Hta_30,$G90&gt;=Hba_30,Input!AL$50&lt;&gt;""),Input!$B$50&amp;";","")),"")</f>
        <v/>
      </c>
      <c r="CN90" s="59" t="str">
        <f t="shared" si="16"/>
        <v/>
      </c>
      <c r="CO90" s="791"/>
      <c r="CP90" s="792"/>
      <c r="CQ90" s="793"/>
      <c r="CR90" s="791"/>
      <c r="CS90" s="792"/>
      <c r="CT90" s="793"/>
      <c r="CU90" s="791" t="str">
        <f t="shared" si="17"/>
        <v/>
      </c>
      <c r="CV90" s="792"/>
      <c r="CW90" s="807"/>
      <c r="CX90" s="808"/>
      <c r="CY90" s="730"/>
      <c r="CZ90" s="809"/>
      <c r="DA90" s="733"/>
      <c r="DB90" s="734"/>
      <c r="DC90" s="735"/>
      <c r="DD90" s="729" t="str">
        <f t="shared" si="18"/>
        <v/>
      </c>
      <c r="DE90" s="730"/>
      <c r="DF90" s="731"/>
      <c r="DG90" s="55"/>
      <c r="DH90" s="56"/>
      <c r="DI90" s="56"/>
      <c r="DJ90" s="56"/>
      <c r="DK90" s="56"/>
      <c r="DL90" s="56"/>
      <c r="DM90" s="56"/>
      <c r="DN90" s="56"/>
      <c r="DO90" s="56"/>
      <c r="DP90" s="56"/>
      <c r="DQ90" s="58"/>
      <c r="DR90" s="58"/>
      <c r="DS90" s="58"/>
      <c r="DT90" s="58"/>
      <c r="DU90" s="58"/>
      <c r="DV90" s="58"/>
      <c r="DW90" s="58"/>
      <c r="DX90" s="58"/>
      <c r="DY90" s="58"/>
      <c r="DZ90" s="58"/>
      <c r="EA90" s="58"/>
      <c r="EB90" s="58"/>
      <c r="EC90" s="58"/>
      <c r="ED90" s="58"/>
      <c r="EE90" s="58"/>
      <c r="EF90" s="58"/>
      <c r="EG90" s="58"/>
      <c r="EH90" s="58"/>
      <c r="EI90" s="58"/>
      <c r="EJ90" s="58"/>
      <c r="EK90" s="58"/>
      <c r="EL90" s="134"/>
      <c r="EM90" s="134"/>
      <c r="EN90" s="134"/>
      <c r="EO90" s="134"/>
      <c r="EP90" s="134"/>
      <c r="EQ90" s="134"/>
      <c r="ER90" s="134"/>
      <c r="ES90" s="134"/>
      <c r="ET90" s="134"/>
      <c r="EU90" s="134"/>
      <c r="EV90" s="134"/>
      <c r="EW90" s="134"/>
      <c r="EX90" s="134"/>
      <c r="EY90" s="134"/>
      <c r="EZ90" s="134"/>
      <c r="FA90" s="134"/>
      <c r="FB90" s="134"/>
      <c r="FC90" s="134"/>
      <c r="FD90" s="134"/>
      <c r="FE90" s="134"/>
      <c r="FF90" s="134"/>
      <c r="FG90" s="134"/>
      <c r="FH90" s="134"/>
      <c r="FI90" s="134"/>
      <c r="FJ90" s="134"/>
      <c r="FK90" s="134"/>
      <c r="FL90" s="134"/>
      <c r="FM90" s="134"/>
      <c r="FN90" s="134"/>
      <c r="FO90" s="134"/>
      <c r="FQ90" s="124"/>
      <c r="FR90" s="122"/>
      <c r="FS90" s="120"/>
      <c r="FT90" s="119"/>
    </row>
    <row r="91" spans="2:176" ht="15.75" hidden="1" thickBot="1" x14ac:dyDescent="0.3">
      <c r="B91" s="62" t="b">
        <f>IF(OR(AND(G91&gt;='Geometry 2'!$AK$5,G91&lt;'Geometry 2'!$AL$5),AND(G91&gt;='Geometry 2'!$AK$6,G91&lt;'Geometry 2'!$AL$6),AND(G91&gt;='Geometry 2'!$AK$7,G91&lt;'Geometry 2'!$AL$7),AND(G91&gt;='Geometry 2'!$AK$8,G91&lt;'Geometry 2'!$AL$8),AND(G91&gt;='Geometry 2'!$AK$9,G91&lt;'Geometry 2'!$AL$9),AND(G91&gt;='Geometry 2'!$AK$10,G91&lt;'Geometry 2'!$AL$10),AND(G91&gt;='Geometry 2'!$AK$11,G91&lt;'Geometry 2'!$AL$11),AND(G91&gt;='Geometry 2'!$AK$12,G91&lt;'Geometry 2'!$AL$12),AND(G91&gt;='Geometry 2'!$AK$13,G91&lt;'Geometry 2'!$AL$13),AND(G91&gt;='Geometry 2'!$AK$14,G91&lt;'Geometry 2'!$AL$14)),TRUE,FALSE)</f>
        <v>0</v>
      </c>
      <c r="C91" s="4" t="str">
        <f t="shared" si="13"/>
        <v/>
      </c>
      <c r="D91" s="766" t="str">
        <f t="shared" si="14"/>
        <v/>
      </c>
      <c r="E91" s="767"/>
      <c r="F91" s="17" t="str">
        <f t="shared" si="12"/>
        <v/>
      </c>
      <c r="G91" s="768" t="str">
        <f>IF(D91="","",MAX(0,G90-IF(inc="n/a",999,inc),MAX(IF(G90&lt;=Hta_1,0,Hta_1),IF(G90&lt;=Hta_2,0,Hta_2),IF(G90&lt;=Hta_3,0,Hta_3),IF(G90&lt;=Hta_4,0,Hta_4),IF(G90&lt;=Hta_5,0,Hta_5),IF(G90&lt;=Hta_6,0,Hta_6),IF(G90&lt;=Hta_7,0,Hta_7),IF(G90&lt;=Hta_8,0,Hta_8),IF(G90&lt;=Hta_9,0,Hta_9),IF(G90&lt;=Hta_10,0,Hta_10),IF(G90&lt;=Hta_11,0,Hta_11),IF(G90&lt;=Hta_12,0,Hta_12),IF(G90&lt;=Hta_13,0,Hta_13),IF(G90&lt;=Hta_14,0,Hta_14),IF(G90&lt;=Hta_15,0,Hta_15),IF(G90&lt;=Hta_16,0,Hta_16),IF(G90&lt;=Hta_17,0,Hta_17),IF(G90&lt;=Hta_18,0,Hta_18),IF(G90&lt;=Hta_19,0,Hta_19),IF(G90&lt;=Hta_20,0,Hta_20),IF(G90&lt;=Hta_21,0,Hta_21),IF(G90&lt;=Hta_22,0,Hta_22),IF(G90&lt;=Hta_23,0,Hta_23),IF(G90&lt;=Hta_24,0,Hta_24),IF(G90&lt;=Hta_25,0,Hta_25),IF(G90&lt;=Hta_26,0,Hta_26),IF(G90&lt;=Hta_27,0,Hta_27),IF(G90&lt;=Hta_28,0,Hta_28),IF(G90&lt;=Hta_29,0,Hta_29),IF(G90&lt;=Hta_30,0,Hta_30)),MAX(IF(G90&lt;=Hta_1-0.25,0,Hta_1-0.25),IF(G90&lt;=Hta_2-0.25,0,Hta_2-0.25),IF(G90&lt;=Hta_3-0.25,0,Hta_3-0.25),IF(G90&lt;=Hta_4-0.25,0,Hta_4-0.25),IF(G90&lt;=Hta_5-0.25,0,Hta_5-0.25),IF(G90&lt;=Hta_6-0.25,0,Hta_6-0.25),IF(G90&lt;=Hta_7-0.25,0,Hta_7-0.25),IF(G90&lt;=Hta_8-0.25,0,Hta_8-0.25),IF(G90&lt;=Hta_9-0.25,0,Hta_9-0.25),IF(G90&lt;=Hta_10-0.25,0,Hta_10-0.25),IF(G90&lt;=Hta_11-0.25,0,Hta_11-0.25),IF(G90&lt;=Hta_12-0.25,0,Hta_12-0.25),IF(G90&lt;=Hta_13-0.25,0,Hta_13-0.25),IF(G90&lt;=Hta_14-0.25,0,Hta_14-0.25),IF(G90&lt;=Hta_15-0.25,0,Hta_15-0.25),IF(G90&lt;=Hta_16-0.25,0,Hta_16-0.25),IF(G90&lt;=Hta_17-0.25,0,Hta_17-0.25),IF(G90&lt;=Hta_18-0.25,0,Hta_18-0.25),IF(G90&lt;=Hta_19-0.25,0,Hta_19-0.25),IF(G90&lt;=Hta_20-0.25,0,Hta_20-0.25),IF(G90&lt;=Hta_21-0.25,0,Hta_21-0.25),IF(G90&lt;=Hta_22-0.25,0,Hta_22-0.25),IF(G90&lt;=Hta_23-0.25,0,Hta_23-0.25),IF(G90&lt;=Hta_24-0.25,0,Hta_24-0.25),IF(G90&lt;=Hta_25-0.25,0,Hta_25-0.25),IF(G90&lt;=Hta_26-0.25,0,Hta_26-0.25),IF(G90&lt;=Hta_27-0.25,0,Hta_27-0.25),IF(G90&lt;=Hta_28-0.25,0,Hta_28-0.25),IF(G90&lt;=Hta_29-0.25,0,Hta_29-0.25),IF(G90&lt;=Hta_30-0.25,0,Hta_30-0.25)),MAX(IF(G90&lt;=Hba_1,0,Hba_1),IF(G90&lt;=Hba_2,0,Hba_2),IF(G90&lt;=Hba_3,0,Hba_3),IF(G90&lt;=Hba_4,0,Hba_4),IF(G90&lt;=Hba_5,0,Hba_5),IF(G90&lt;=Hba_6,0,Hba_6),IF(G90&lt;=Hba_7,0,Hba_7),IF(G90&lt;=Hba_8,0,Hba_8),IF(G90&lt;=Hba_9,0,Hba_9),IF(G90&lt;=Hba_10,0,Hba_10),IF(G90&lt;=Hba_11,0,Hba_11),IF(G90&lt;=Hba_12,0,Hba_12),IF(G90&lt;=Hba_13,0,Hba_13),IF(G90&lt;=Hba_14,0,Hba_14),IF(G90&lt;=Hba_15,0,Hba_15),IF(G90&lt;=Hba_16,0,Hba_16),IF(G90&lt;=Hba_17,0,Hba_17),IF(G90&lt;=Hba_18,0,Hba_18),IF(G90&lt;=Hba_19,0,Hba_19),IF(G90&lt;=Hba_20,0,Hba_20),IF(G90&lt;=Hba_21,0,Hba_21),IF(G90&lt;=Hba_22,0,Hba_22),IF(G90&lt;=Hba_23,0,Hba_23),IF(G90&lt;=Hba_24,0,Hba_24),IF(G90&lt;=Hba_25,0,Hba_25),IF(G90&lt;=Hba_26,0,Hba_26),IF(G90&lt;=Hba_27,0,Hba_27),IF(G90&lt;=Hba_28,0,Hba_28),IF(G90&lt;=Hba_29,0,Hba_29),IF(G90&lt;=Hba_30,0,Hba_30)),MAX(IF(G90&lt;=Input!$C$8,0,Input!$C$8),IF(G90&lt;=Input!$C$9,0,Input!$C$9),IF(G90&lt;=Input!$C$10,0,Input!$C$10),IF(G90&lt;=Input!$C$11,0,Input!$C$11),IF(G90&lt;=Input!$C$12,0,Input!$C$12),IF(G90&lt;=Input!$C$13,0,Input!$C$13),IF(G90&lt;=Input!$C$14,0,Input!$C$14),IF(G90&lt;=Input!$C$15,0,Input!$C$15),IF(G90&lt;=Input!$C$16,0,Input!$C$16)),MAX(IF(G90&lt;=Hba_1-0.25,0,Hba_1-0.25),IF(G90&lt;=Hba_2-0.25,0,Hba_2-0.25),IF(G90&lt;=Hba_3-0.25,0,Hba_3-0.25),IF(G90&lt;=Hba_4-0.25,0,Hba_4-0.25),IF(G90&lt;=Hba_5-0.25,0,Hba_5-0.25),IF(G90&lt;=Hba_6-0.25,0,Hba_6-0.25),IF(G90&lt;=Hba_7-0.25,0,Hba_7-0.25),IF(G90&lt;=Hba_8-0.25,0,Hba_8-0.25),IF(G90&lt;=Hba_9-0.25,0,Hba_9-0.25),IF(G90&lt;=Hba_10-0.25,0,Hba_10-0.25),IF(G90&lt;=Hba_11-0.25,0,Hba_11-0.25),IF(G90&lt;=Hba_12-0.25,0,Hba_12-0.25),IF(G90&lt;=Hba_13-0.25,0,Hba_13-0.25),IF(G90&lt;=Hba_14-0.25,0,Hba_14-0.25),IF(G90&lt;=Hba_15-0.25,0,Hba_15-0.25),IF(G90&lt;=Hba_16-0.25,0,Hba_16-0.25),IF(G90&lt;=Hba_17-0.25,0,Hba_17-0.25),IF(G90&lt;=Hba_18-0.25,0,Hba_18-0.25),IF(G90&lt;=Hba_19-0.25,0,Hba_19-0.25),IF(G90&lt;=Hba_20-0.25,0,Hba_20-0.25),IF(G90&lt;=Hba_21-0.25,0,Hba_21-0.25),IF(G90&lt;=Hba_22-0.25,0,Hba_22-0.25),IF(G90&lt;=Hba_23-0.25,0,Hba_23-0.25),IF(G90&lt;=Hba_24-0.25,0,Hba_24-0.25),IF(G90&lt;=Hba_25-0.25,0,Hba_25-0.25),IF(G90&lt;=Hba_26-0.25,0,Hba_26-0.25),IF(G90&lt;=Hba_27-0.25,0,Hba_27-0.25),IF(G90&lt;=Hba_28-0.25,0,Hba_28-0.25),IF(G90&lt;=Hba_29-0.25,0,Hba_29-0.25),IF(G90&lt;=Hba_30-0.25,0,Hba_30-0.25)),IF(G90&lt;='Macro References'!$A$38,0,'Macro References'!$A$38)))</f>
        <v/>
      </c>
      <c r="H91" s="769"/>
      <c r="I91" s="228"/>
      <c r="J91" s="228"/>
      <c r="K91" s="228"/>
      <c r="L91" s="717" t="str">
        <f t="shared" si="11"/>
        <v/>
      </c>
      <c r="M91" s="717"/>
      <c r="N91" s="717"/>
      <c r="O91" s="717"/>
      <c r="P91" s="717" t="str">
        <f>IF(OR(G91=0,G91=""),"",IF(VLOOKUP(G91,'Geometry 2'!$C$4:$AI$14,1,TRUE)=VLOOKUP(G92,'Geometry 2'!$C$4:$AI$14,1,TRUE),"",IF(VLOOKUP(G91,'Geometry 2'!$C$4:$AI$14,33,TRUE)&lt;&gt;"n/a",MIN(G91,VLOOKUP(G91,'Geometry 2'!$C$4:$AI$14,1,TRUE))-VLOOKUP(G91,'Geometry 2'!$C$4:$AI$14,33,TRUE),"check")))</f>
        <v/>
      </c>
      <c r="Q91" s="717"/>
      <c r="R91" s="717"/>
      <c r="S91" s="717"/>
      <c r="T91" s="717" t="str">
        <f>IF($G91="","",VLOOKUP($G91,'Geometry 2'!$E$4:$AH$14,11,TRUE))</f>
        <v/>
      </c>
      <c r="U91" s="717"/>
      <c r="V91" s="717"/>
      <c r="W91" s="717"/>
      <c r="X91" s="716" t="str">
        <f>IF($G91="","",VLOOKUP($G91,'Geometry 2'!$E$4:$AJ$14,19,TRUE)-12*VLOOKUP($G91,'Geometry 2'!$E$4:$AJ$14,32,TRUE)*($D91-VLOOKUP($G91,'Geometry 2'!$E$5:$AH$14,1,TRUE)))</f>
        <v/>
      </c>
      <c r="Y91" s="716"/>
      <c r="Z91" s="716"/>
      <c r="AA91" s="716"/>
      <c r="AB91" s="757" t="str">
        <f>IF($G91="","",VLOOKUP($G91,'Geometry 2'!$E$4:$AJ$14,19,TRUE)-12*VLOOKUP($G91,'Geometry 2'!$E$4:$AJ$14,32,TRUE)*($G91-VLOOKUP($G91,'Geometry 2'!$E$5:$AH$14,1,TRUE)))</f>
        <v/>
      </c>
      <c r="AC91" s="758"/>
      <c r="AD91" s="758"/>
      <c r="AE91" s="759"/>
      <c r="AF91" s="716" t="str">
        <f>IF($G91="","",VLOOKUP($G91,'Geometry 2'!$E$4:$AJ$14,19,TRUE)-12*VLOOKUP($G91,'Geometry 2'!$E$4:$AJ$14,32,TRUE)*($G91-IF($P91="",0,$P91)-VLOOKUP($G91,'Geometry 2'!$E$5:$AH$14,1,TRUE)))</f>
        <v/>
      </c>
      <c r="AG91" s="716"/>
      <c r="AH91" s="716"/>
      <c r="AI91" s="716"/>
      <c r="AJ91" s="746" t="str">
        <f>IF($G91="","",VLOOKUP($G91,'Geometry 2'!$E$4:$AH$14,23,TRUE))</f>
        <v/>
      </c>
      <c r="AK91" s="747"/>
      <c r="AL91" s="747"/>
      <c r="AM91" s="748"/>
      <c r="AN91" s="717"/>
      <c r="AO91" s="717"/>
      <c r="AP91" s="717"/>
      <c r="AQ91" s="717"/>
      <c r="AR91" s="717" t="str">
        <f>IF($G91="","",VLOOKUP($G91,'Geometry 2'!$E$4:$AH$14,27,TRUE))</f>
        <v/>
      </c>
      <c r="AS91" s="717"/>
      <c r="AT91" s="717"/>
      <c r="AU91" s="718"/>
      <c r="AV91" s="715"/>
      <c r="AW91" s="716"/>
      <c r="AX91" s="716"/>
      <c r="AZ91" s="722" t="str">
        <f t="shared" si="15"/>
        <v/>
      </c>
      <c r="BA91" s="723"/>
      <c r="BB91" s="723"/>
      <c r="BC91" s="724"/>
      <c r="BD91" s="722"/>
      <c r="BE91" s="723"/>
      <c r="BF91" s="723"/>
      <c r="BG91" s="722" t="str">
        <f t="shared" si="19"/>
        <v/>
      </c>
      <c r="BH91" s="723"/>
      <c r="BI91" s="723"/>
      <c r="BJ91" s="723"/>
      <c r="BK91" s="724"/>
      <c r="BL91" s="722"/>
      <c r="BM91" s="723"/>
      <c r="BN91" s="723"/>
      <c r="BO91" s="723"/>
      <c r="BP91" s="725"/>
      <c r="BQ91" s="725"/>
      <c r="BR91" s="722" t="str">
        <f>IF(BP91="","",IF(OR(AND(Rev="H",Calculations!$F$27=TRUE),AND(Rev&lt;&gt;"H",Calculations!$F$30=TRUE)),IF(BP91&lt;=1,"Pass","Fail"),IF(BP91&lt;=1.05,"Pass","Fail")))</f>
        <v/>
      </c>
      <c r="BS91" s="723"/>
      <c r="BT91" s="724"/>
      <c r="BU91" s="49"/>
      <c r="BV91" s="25" t="str">
        <f>IFERROR(CONCATENATE(IF(AND($G91&lt;Hta_1,$G91&gt;=Hba_1,Input!U$21&lt;&gt;""),Input!$B$21&amp;";",""),IF(AND($G91&lt;Hta_2,$G91&gt;=Hba_2,Input!U$22&lt;&gt;""),Input!$B$22&amp;";",""),IF(AND($G91&lt;Hta_3,$G91&gt;=Hba_3,Input!U$23&lt;&gt;""),Input!$B$23&amp;";",""),IF(AND($G91&lt;Hta_4,$G91&gt;=Hba_4,Input!U$24&lt;&gt;""),Input!$B$24&amp;";",""),IF(AND($G91&lt;Hta_5,$G91&gt;=Hba_5,Input!U$25&lt;&gt;""),Input!$B$25&amp;";",""),IF(AND($G91&lt;Hta_6,$G91&gt;=Hba_6,Input!U$26&lt;&gt;""),Input!$B$26&amp;";",""),IF(AND($G91&lt;Hta_7,$G91&gt;=Hba_7,Input!U$27&lt;&gt;""),Input!$B$27&amp;";",""),IF(AND($G91&lt;Hta_8,$G91&gt;=Hba_8,Input!U$28&lt;&gt;""),Input!$B$28&amp;";",""),IF(AND($G91&lt;Hta_9,$G91&gt;=Hba_9,Input!U$29&lt;&gt;""),Input!$B$29&amp;";",""),IF(AND($G91&lt;Hta_10,$G91&gt;=Hba_10,Input!U$30&lt;&gt;""),Input!$B$30&amp;";",""),IF(AND($G91&lt;Hta_11,$G91&gt;=Hba_11,Input!U$31&lt;&gt;""),Input!$B$31&amp;";",""),IF(AND($G91&lt;Hta_12,$G91&gt;=Hba_12,Input!U$32&lt;&gt;""),Input!$B$32&amp;";",""),IF(AND($G91&lt;Hta_13,$G91&gt;=Hba_13,Input!U$33&lt;&gt;""),Input!$B$33&amp;";",""),IF(AND($G91&lt;Hta_14,$G91&gt;=Hba_14,Input!U$34&lt;&gt;""),Input!$B$34&amp;";",""),IF(AND($G91&lt;Hta_15,$G91&gt;=Hba_15,Input!U$35&lt;&gt;""),Input!$B$35&amp;";",""),IF(AND($G91&lt;Hta_16,$G91&gt;=Hba_16,Input!U$36&lt;&gt;""),Input!$B$36&amp;";",""),IF(AND($G91&lt;Hta_17,$G91&gt;=Hba_17,Input!U$37&lt;&gt;""),Input!$B$37&amp;";",""),IF(AND($G91&lt;Hta_18,$G91&gt;=Hba_18,Input!U$38&lt;&gt;""),Input!$B$38&amp;";",""),IF(AND($G91&lt;Hta_19,$G91&gt;=Hba_19,Input!U$39&lt;&gt;""),Input!$B$39&amp;";",""),IF(AND($G91&lt;Hta_20,$G91&gt;=Hba_20,Input!U$40&lt;&gt;""),Input!$B$40&amp;";",""),IF(AND($G91&lt;Hta_21,$G91&gt;=Hba_21,Input!U$41&lt;&gt;""),Input!$B$41&amp;";",""),IF(AND($G91&lt;Hta_22,$G91&gt;=Hba_22,Input!U$42&lt;&gt;""),Input!$B$42&amp;";",""),IF(AND($G91&lt;Hta_23,$G91&gt;=Hba_23,Input!U$43&lt;&gt;""),Input!$B$43&amp;";",""),IF(AND($G91&lt;Hta_24,$G91&gt;=Hba_24,Input!U$44&lt;&gt;""),Input!$B$44&amp;";",""),IF(AND($G91&lt;Hta_25,$G91&gt;=Hba_25,Input!U$45&lt;&gt;""),Input!$B$45&amp;";",""),IF(AND($G91&lt;Hta_26,$G91&gt;=Hba_26,Input!U$46&lt;&gt;""),Input!$B$46&amp;";",""),IF(AND($G91&lt;Hta_27,$G91&gt;=Hba_27,Input!U$47&lt;&gt;""),Input!$B$47&amp;";",""),IF(AND($G91&lt;Hta_28,$G91&gt;=Hba_28,Input!U$48&lt;&gt;""),Input!$B$48&amp;";",""),IF(AND($G91&lt;Hta_29,$G91&gt;=Hba_29,Input!U$49&lt;&gt;""),Input!$B$49&amp;";",""),IF(AND($G91&lt;Hta_30,$G91&gt;=Hba_30,Input!U$50&lt;&gt;""),Input!$B$50&amp;";","")),"")</f>
        <v/>
      </c>
      <c r="BW91" s="25" t="str">
        <f>IFERROR(CONCATENATE(IF(AND($G91&lt;Hta_1,$G91&gt;=Hba_1,Input!V$21&lt;&gt;""),Input!$B$21&amp;";",""),IF(AND($G91&lt;Hta_2,$G91&gt;=Hba_2,Input!V$22&lt;&gt;""),Input!$B$22&amp;";",""),IF(AND($G91&lt;Hta_3,$G91&gt;=Hba_3,Input!V$23&lt;&gt;""),Input!$B$23&amp;";",""),IF(AND($G91&lt;Hta_4,$G91&gt;=Hba_4,Input!V$24&lt;&gt;""),Input!$B$24&amp;";",""),IF(AND($G91&lt;Hta_5,$G91&gt;=Hba_5,Input!V$25&lt;&gt;""),Input!$B$25&amp;";",""),IF(AND($G91&lt;Hta_6,$G91&gt;=Hba_6,Input!V$26&lt;&gt;""),Input!$B$26&amp;";",""),IF(AND($G91&lt;Hta_7,$G91&gt;=Hba_7,Input!V$27&lt;&gt;""),Input!$B$27&amp;";",""),IF(AND($G91&lt;Hta_8,$G91&gt;=Hba_8,Input!V$28&lt;&gt;""),Input!$B$28&amp;";",""),IF(AND($G91&lt;Hta_9,$G91&gt;=Hba_9,Input!V$29&lt;&gt;""),Input!$B$29&amp;";",""),IF(AND($G91&lt;Hta_10,$G91&gt;=Hba_10,Input!V$30&lt;&gt;""),Input!$B$30&amp;";",""),IF(AND($G91&lt;Hta_11,$G91&gt;=Hba_11,Input!V$31&lt;&gt;""),Input!$B$31&amp;";",""),IF(AND($G91&lt;Hta_12,$G91&gt;=Hba_12,Input!V$32&lt;&gt;""),Input!$B$32&amp;";",""),IF(AND($G91&lt;Hta_13,$G91&gt;=Hba_13,Input!V$33&lt;&gt;""),Input!$B$33&amp;";",""),IF(AND($G91&lt;Hta_14,$G91&gt;=Hba_14,Input!V$34&lt;&gt;""),Input!$B$34&amp;";",""),IF(AND($G91&lt;Hta_15,$G91&gt;=Hba_15,Input!V$35&lt;&gt;""),Input!$B$35&amp;";",""),IF(AND($G91&lt;Hta_16,$G91&gt;=Hba_16,Input!V$36&lt;&gt;""),Input!$B$36&amp;";",""),IF(AND($G91&lt;Hta_17,$G91&gt;=Hba_17,Input!V$37&lt;&gt;""),Input!$B$37&amp;";",""),IF(AND($G91&lt;Hta_18,$G91&gt;=Hba_18,Input!V$38&lt;&gt;""),Input!$B$38&amp;";",""),IF(AND($G91&lt;Hta_19,$G91&gt;=Hba_19,Input!V$39&lt;&gt;""),Input!$B$39&amp;";",""),IF(AND($G91&lt;Hta_20,$G91&gt;=Hba_20,Input!V$40&lt;&gt;""),Input!$B$40&amp;";",""),IF(AND($G91&lt;Hta_21,$G91&gt;=Hba_21,Input!V$41&lt;&gt;""),Input!$B$41&amp;";",""),IF(AND($G91&lt;Hta_22,$G91&gt;=Hba_22,Input!V$42&lt;&gt;""),Input!$B$42&amp;";",""),IF(AND($G91&lt;Hta_23,$G91&gt;=Hba_23,Input!V$43&lt;&gt;""),Input!$B$43&amp;";",""),IF(AND($G91&lt;Hta_24,$G91&gt;=Hba_24,Input!V$44&lt;&gt;""),Input!$B$44&amp;";",""),IF(AND($G91&lt;Hta_25,$G91&gt;=Hba_25,Input!V$45&lt;&gt;""),Input!$B$45&amp;";",""),IF(AND($G91&lt;Hta_26,$G91&gt;=Hba_26,Input!V$46&lt;&gt;""),Input!$B$46&amp;";",""),IF(AND($G91&lt;Hta_27,$G91&gt;=Hba_27,Input!V$47&lt;&gt;""),Input!$B$47&amp;";",""),IF(AND($G91&lt;Hta_28,$G91&gt;=Hba_28,Input!V$48&lt;&gt;""),Input!$B$48&amp;";",""),IF(AND($G91&lt;Hta_29,$G91&gt;=Hba_29,Input!V$49&lt;&gt;""),Input!$B$49&amp;";",""),IF(AND($G91&lt;Hta_30,$G91&gt;=Hba_30,Input!V$50&lt;&gt;""),Input!$B$50&amp;";","")),"")</f>
        <v/>
      </c>
      <c r="BX91" s="25" t="str">
        <f>IFERROR(CONCATENATE(IF(AND($G91&lt;Hta_1,$G91&gt;=Hba_1,Input!W$21&lt;&gt;""),Input!$B$21&amp;";",""),IF(AND($G91&lt;Hta_2,$G91&gt;=Hba_2,Input!W$22&lt;&gt;""),Input!$B$22&amp;";",""),IF(AND($G91&lt;Hta_3,$G91&gt;=Hba_3,Input!W$23&lt;&gt;""),Input!$B$23&amp;";",""),IF(AND($G91&lt;Hta_4,$G91&gt;=Hba_4,Input!W$24&lt;&gt;""),Input!$B$24&amp;";",""),IF(AND($G91&lt;Hta_5,$G91&gt;=Hba_5,Input!W$25&lt;&gt;""),Input!$B$25&amp;";",""),IF(AND($G91&lt;Hta_6,$G91&gt;=Hba_6,Input!W$26&lt;&gt;""),Input!$B$26&amp;";",""),IF(AND($G91&lt;Hta_7,$G91&gt;=Hba_7,Input!W$27&lt;&gt;""),Input!$B$27&amp;";",""),IF(AND($G91&lt;Hta_8,$G91&gt;=Hba_8,Input!W$28&lt;&gt;""),Input!$B$28&amp;";",""),IF(AND($G91&lt;Hta_9,$G91&gt;=Hba_9,Input!W$29&lt;&gt;""),Input!$B$29&amp;";",""),IF(AND($G91&lt;Hta_10,$G91&gt;=Hba_10,Input!W$30&lt;&gt;""),Input!$B$30&amp;";",""),IF(AND($G91&lt;Hta_11,$G91&gt;=Hba_11,Input!W$31&lt;&gt;""),Input!$B$31&amp;";",""),IF(AND($G91&lt;Hta_12,$G91&gt;=Hba_12,Input!W$32&lt;&gt;""),Input!$B$32&amp;";",""),IF(AND($G91&lt;Hta_13,$G91&gt;=Hba_13,Input!W$33&lt;&gt;""),Input!$B$33&amp;";",""),IF(AND($G91&lt;Hta_14,$G91&gt;=Hba_14,Input!W$34&lt;&gt;""),Input!$B$34&amp;";",""),IF(AND($G91&lt;Hta_15,$G91&gt;=Hba_15,Input!W$35&lt;&gt;""),Input!$B$35&amp;";",""),IF(AND($G91&lt;Hta_16,$G91&gt;=Hba_16,Input!W$36&lt;&gt;""),Input!$B$36&amp;";",""),IF(AND($G91&lt;Hta_17,$G91&gt;=Hba_17,Input!W$37&lt;&gt;""),Input!$B$37&amp;";",""),IF(AND($G91&lt;Hta_18,$G91&gt;=Hba_18,Input!W$38&lt;&gt;""),Input!$B$38&amp;";",""),IF(AND($G91&lt;Hta_19,$G91&gt;=Hba_19,Input!W$39&lt;&gt;""),Input!$B$39&amp;";",""),IF(AND($G91&lt;Hta_20,$G91&gt;=Hba_20,Input!W$40&lt;&gt;""),Input!$B$40&amp;";",""),IF(AND($G91&lt;Hta_21,$G91&gt;=Hba_21,Input!W$41&lt;&gt;""),Input!$B$41&amp;";",""),IF(AND($G91&lt;Hta_22,$G91&gt;=Hba_22,Input!W$42&lt;&gt;""),Input!$B$42&amp;";",""),IF(AND($G91&lt;Hta_23,$G91&gt;=Hba_23,Input!W$43&lt;&gt;""),Input!$B$43&amp;";",""),IF(AND($G91&lt;Hta_24,$G91&gt;=Hba_24,Input!W$44&lt;&gt;""),Input!$B$44&amp;";",""),IF(AND($G91&lt;Hta_25,$G91&gt;=Hba_25,Input!W$45&lt;&gt;""),Input!$B$45&amp;";",""),IF(AND($G91&lt;Hta_26,$G91&gt;=Hba_26,Input!W$46&lt;&gt;""),Input!$B$46&amp;";",""),IF(AND($G91&lt;Hta_27,$G91&gt;=Hba_27,Input!W$47&lt;&gt;""),Input!$B$47&amp;";",""),IF(AND($G91&lt;Hta_28,$G91&gt;=Hba_28,Input!W$48&lt;&gt;""),Input!$B$48&amp;";",""),IF(AND($G91&lt;Hta_29,$G91&gt;=Hba_29,Input!W$49&lt;&gt;""),Input!$B$49&amp;";",""),IF(AND($G91&lt;Hta_30,$G91&gt;=Hba_30,Input!W$50&lt;&gt;""),Input!$B$50&amp;";","")),"")</f>
        <v/>
      </c>
      <c r="BY91" s="25" t="str">
        <f>IFERROR(CONCATENATE(IF(AND($G91&lt;Hta_1,$G91&gt;=Hba_1,Input!X$21&lt;&gt;""),Input!$B$21&amp;";",""),IF(AND($G91&lt;Hta_2,$G91&gt;=Hba_2,Input!X$22&lt;&gt;""),Input!$B$22&amp;";",""),IF(AND($G91&lt;Hta_3,$G91&gt;=Hba_3,Input!X$23&lt;&gt;""),Input!$B$23&amp;";",""),IF(AND($G91&lt;Hta_4,$G91&gt;=Hba_4,Input!X$24&lt;&gt;""),Input!$B$24&amp;";",""),IF(AND($G91&lt;Hta_5,$G91&gt;=Hba_5,Input!X$25&lt;&gt;""),Input!$B$25&amp;";",""),IF(AND($G91&lt;Hta_6,$G91&gt;=Hba_6,Input!X$26&lt;&gt;""),Input!$B$26&amp;";",""),IF(AND($G91&lt;Hta_7,$G91&gt;=Hba_7,Input!X$27&lt;&gt;""),Input!$B$27&amp;";",""),IF(AND($G91&lt;Hta_8,$G91&gt;=Hba_8,Input!X$28&lt;&gt;""),Input!$B$28&amp;";",""),IF(AND($G91&lt;Hta_9,$G91&gt;=Hba_9,Input!X$29&lt;&gt;""),Input!$B$29&amp;";",""),IF(AND($G91&lt;Hta_10,$G91&gt;=Hba_10,Input!X$30&lt;&gt;""),Input!$B$30&amp;";",""),IF(AND($G91&lt;Hta_11,$G91&gt;=Hba_11,Input!X$31&lt;&gt;""),Input!$B$31&amp;";",""),IF(AND($G91&lt;Hta_12,$G91&gt;=Hba_12,Input!X$32&lt;&gt;""),Input!$B$32&amp;";",""),IF(AND($G91&lt;Hta_13,$G91&gt;=Hba_13,Input!X$33&lt;&gt;""),Input!$B$33&amp;";",""),IF(AND($G91&lt;Hta_14,$G91&gt;=Hba_14,Input!X$34&lt;&gt;""),Input!$B$34&amp;";",""),IF(AND($G91&lt;Hta_15,$G91&gt;=Hba_15,Input!X$35&lt;&gt;""),Input!$B$35&amp;";",""),IF(AND($G91&lt;Hta_16,$G91&gt;=Hba_16,Input!X$36&lt;&gt;""),Input!$B$36&amp;";",""),IF(AND($G91&lt;Hta_17,$G91&gt;=Hba_17,Input!X$37&lt;&gt;""),Input!$B$37&amp;";",""),IF(AND($G91&lt;Hta_18,$G91&gt;=Hba_18,Input!X$38&lt;&gt;""),Input!$B$38&amp;";",""),IF(AND($G91&lt;Hta_19,$G91&gt;=Hba_19,Input!X$39&lt;&gt;""),Input!$B$39&amp;";",""),IF(AND($G91&lt;Hta_20,$G91&gt;=Hba_20,Input!X$40&lt;&gt;""),Input!$B$40&amp;";",""),IF(AND($G91&lt;Hta_21,$G91&gt;=Hba_21,Input!X$41&lt;&gt;""),Input!$B$41&amp;";",""),IF(AND($G91&lt;Hta_22,$G91&gt;=Hba_22,Input!X$42&lt;&gt;""),Input!$B$42&amp;";",""),IF(AND($G91&lt;Hta_23,$G91&gt;=Hba_23,Input!X$43&lt;&gt;""),Input!$B$43&amp;";",""),IF(AND($G91&lt;Hta_24,$G91&gt;=Hba_24,Input!X$44&lt;&gt;""),Input!$B$44&amp;";",""),IF(AND($G91&lt;Hta_25,$G91&gt;=Hba_25,Input!X$45&lt;&gt;""),Input!$B$45&amp;";",""),IF(AND($G91&lt;Hta_26,$G91&gt;=Hba_26,Input!X$46&lt;&gt;""),Input!$B$46&amp;";",""),IF(AND($G91&lt;Hta_27,$G91&gt;=Hba_27,Input!X$47&lt;&gt;""),Input!$B$47&amp;";",""),IF(AND($G91&lt;Hta_28,$G91&gt;=Hba_28,Input!X$48&lt;&gt;""),Input!$B$48&amp;";",""),IF(AND($G91&lt;Hta_29,$G91&gt;=Hba_29,Input!X$49&lt;&gt;""),Input!$B$49&amp;";",""),IF(AND($G91&lt;Hta_30,$G91&gt;=Hba_30,Input!X$50&lt;&gt;""),Input!$B$50&amp;";","")),"")</f>
        <v/>
      </c>
      <c r="BZ91" s="25" t="str">
        <f>IFERROR(CONCATENATE(IF(AND($G91&lt;Hta_1,$G91&gt;=Hba_1,Input!Y$21&lt;&gt;""),Input!$B$21&amp;";",""),IF(AND($G91&lt;Hta_2,$G91&gt;=Hba_2,Input!Y$22&lt;&gt;""),Input!$B$22&amp;";",""),IF(AND($G91&lt;Hta_3,$G91&gt;=Hba_3,Input!Y$23&lt;&gt;""),Input!$B$23&amp;";",""),IF(AND($G91&lt;Hta_4,$G91&gt;=Hba_4,Input!Y$24&lt;&gt;""),Input!$B$24&amp;";",""),IF(AND($G91&lt;Hta_5,$G91&gt;=Hba_5,Input!Y$25&lt;&gt;""),Input!$B$25&amp;";",""),IF(AND($G91&lt;Hta_6,$G91&gt;=Hba_6,Input!Y$26&lt;&gt;""),Input!$B$26&amp;";",""),IF(AND($G91&lt;Hta_7,$G91&gt;=Hba_7,Input!Y$27&lt;&gt;""),Input!$B$27&amp;";",""),IF(AND($G91&lt;Hta_8,$G91&gt;=Hba_8,Input!Y$28&lt;&gt;""),Input!$B$28&amp;";",""),IF(AND($G91&lt;Hta_9,$G91&gt;=Hba_9,Input!Y$29&lt;&gt;""),Input!$B$29&amp;";",""),IF(AND($G91&lt;Hta_10,$G91&gt;=Hba_10,Input!Y$30&lt;&gt;""),Input!$B$30&amp;";",""),IF(AND($G91&lt;Hta_11,$G91&gt;=Hba_11,Input!Y$31&lt;&gt;""),Input!$B$31&amp;";",""),IF(AND($G91&lt;Hta_12,$G91&gt;=Hba_12,Input!Y$32&lt;&gt;""),Input!$B$32&amp;";",""),IF(AND($G91&lt;Hta_13,$G91&gt;=Hba_13,Input!Y$33&lt;&gt;""),Input!$B$33&amp;";",""),IF(AND($G91&lt;Hta_14,$G91&gt;=Hba_14,Input!Y$34&lt;&gt;""),Input!$B$34&amp;";",""),IF(AND($G91&lt;Hta_15,$G91&gt;=Hba_15,Input!Y$35&lt;&gt;""),Input!$B$35&amp;";",""),IF(AND($G91&lt;Hta_16,$G91&gt;=Hba_16,Input!Y$36&lt;&gt;""),Input!$B$36&amp;";",""),IF(AND($G91&lt;Hta_17,$G91&gt;=Hba_17,Input!Y$37&lt;&gt;""),Input!$B$37&amp;";",""),IF(AND($G91&lt;Hta_18,$G91&gt;=Hba_18,Input!Y$38&lt;&gt;""),Input!$B$38&amp;";",""),IF(AND($G91&lt;Hta_19,$G91&gt;=Hba_19,Input!Y$39&lt;&gt;""),Input!$B$39&amp;";",""),IF(AND($G91&lt;Hta_20,$G91&gt;=Hba_20,Input!Y$40&lt;&gt;""),Input!$B$40&amp;";",""),IF(AND($G91&lt;Hta_21,$G91&gt;=Hba_21,Input!Y$41&lt;&gt;""),Input!$B$41&amp;";",""),IF(AND($G91&lt;Hta_22,$G91&gt;=Hba_22,Input!Y$42&lt;&gt;""),Input!$B$42&amp;";",""),IF(AND($G91&lt;Hta_23,$G91&gt;=Hba_23,Input!Y$43&lt;&gt;""),Input!$B$43&amp;";",""),IF(AND($G91&lt;Hta_24,$G91&gt;=Hba_24,Input!Y$44&lt;&gt;""),Input!$B$44&amp;";",""),IF(AND($G91&lt;Hta_25,$G91&gt;=Hba_25,Input!Y$45&lt;&gt;""),Input!$B$45&amp;";",""),IF(AND($G91&lt;Hta_26,$G91&gt;=Hba_26,Input!Y$46&lt;&gt;""),Input!$B$46&amp;";",""),IF(AND($G91&lt;Hta_27,$G91&gt;=Hba_27,Input!Y$47&lt;&gt;""),Input!$B$47&amp;";",""),IF(AND($G91&lt;Hta_28,$G91&gt;=Hba_28,Input!Y$48&lt;&gt;""),Input!$B$48&amp;";",""),IF(AND($G91&lt;Hta_29,$G91&gt;=Hba_29,Input!Y$49&lt;&gt;""),Input!$B$49&amp;";",""),IF(AND($G91&lt;Hta_30,$G91&gt;=Hba_30,Input!Y$50&lt;&gt;""),Input!$B$50&amp;";","")),"")</f>
        <v/>
      </c>
      <c r="CA91" s="25" t="str">
        <f>IFERROR(CONCATENATE(IF(AND($G91&lt;Hta_1,$G91&gt;=Hba_1,Input!Z$21&lt;&gt;""),Input!$B$21&amp;";",""),IF(AND($G91&lt;Hta_2,$G91&gt;=Hba_2,Input!Z$22&lt;&gt;""),Input!$B$22&amp;";",""),IF(AND($G91&lt;Hta_3,$G91&gt;=Hba_3,Input!Z$23&lt;&gt;""),Input!$B$23&amp;";",""),IF(AND($G91&lt;Hta_4,$G91&gt;=Hba_4,Input!Z$24&lt;&gt;""),Input!$B$24&amp;";",""),IF(AND($G91&lt;Hta_5,$G91&gt;=Hba_5,Input!Z$25&lt;&gt;""),Input!$B$25&amp;";",""),IF(AND($G91&lt;Hta_6,$G91&gt;=Hba_6,Input!Z$26&lt;&gt;""),Input!$B$26&amp;";",""),IF(AND($G91&lt;Hta_7,$G91&gt;=Hba_7,Input!Z$27&lt;&gt;""),Input!$B$27&amp;";",""),IF(AND($G91&lt;Hta_8,$G91&gt;=Hba_8,Input!Z$28&lt;&gt;""),Input!$B$28&amp;";",""),IF(AND($G91&lt;Hta_9,$G91&gt;=Hba_9,Input!Z$29&lt;&gt;""),Input!$B$29&amp;";",""),IF(AND($G91&lt;Hta_10,$G91&gt;=Hba_10,Input!Z$30&lt;&gt;""),Input!$B$30&amp;";",""),IF(AND($G91&lt;Hta_11,$G91&gt;=Hba_11,Input!Z$31&lt;&gt;""),Input!$B$31&amp;";",""),IF(AND($G91&lt;Hta_12,$G91&gt;=Hba_12,Input!Z$32&lt;&gt;""),Input!$B$32&amp;";",""),IF(AND($G91&lt;Hta_13,$G91&gt;=Hba_13,Input!Z$33&lt;&gt;""),Input!$B$33&amp;";",""),IF(AND($G91&lt;Hta_14,$G91&gt;=Hba_14,Input!Z$34&lt;&gt;""),Input!$B$34&amp;";",""),IF(AND($G91&lt;Hta_15,$G91&gt;=Hba_15,Input!Z$35&lt;&gt;""),Input!$B$35&amp;";",""),IF(AND($G91&lt;Hta_16,$G91&gt;=Hba_16,Input!Z$36&lt;&gt;""),Input!$B$36&amp;";",""),IF(AND($G91&lt;Hta_17,$G91&gt;=Hba_17,Input!Z$37&lt;&gt;""),Input!$B$37&amp;";",""),IF(AND($G91&lt;Hta_18,$G91&gt;=Hba_18,Input!Z$38&lt;&gt;""),Input!$B$38&amp;";",""),IF(AND($G91&lt;Hta_19,$G91&gt;=Hba_19,Input!Z$39&lt;&gt;""),Input!$B$39&amp;";",""),IF(AND($G91&lt;Hta_20,$G91&gt;=Hba_20,Input!Z$40&lt;&gt;""),Input!$B$40&amp;";",""),IF(AND($G91&lt;Hta_21,$G91&gt;=Hba_21,Input!Z$41&lt;&gt;""),Input!$B$41&amp;";",""),IF(AND($G91&lt;Hta_22,$G91&gt;=Hba_22,Input!Z$42&lt;&gt;""),Input!$B$42&amp;";",""),IF(AND($G91&lt;Hta_23,$G91&gt;=Hba_23,Input!Z$43&lt;&gt;""),Input!$B$43&amp;";",""),IF(AND($G91&lt;Hta_24,$G91&gt;=Hba_24,Input!Z$44&lt;&gt;""),Input!$B$44&amp;";",""),IF(AND($G91&lt;Hta_25,$G91&gt;=Hba_25,Input!Z$45&lt;&gt;""),Input!$B$45&amp;";",""),IF(AND($G91&lt;Hta_26,$G91&gt;=Hba_26,Input!Z$46&lt;&gt;""),Input!$B$46&amp;";",""),IF(AND($G91&lt;Hta_27,$G91&gt;=Hba_27,Input!Z$47&lt;&gt;""),Input!$B$47&amp;";",""),IF(AND($G91&lt;Hta_28,$G91&gt;=Hba_28,Input!Z$48&lt;&gt;""),Input!$B$48&amp;";",""),IF(AND($G91&lt;Hta_29,$G91&gt;=Hba_29,Input!Z$49&lt;&gt;""),Input!$B$49&amp;";",""),IF(AND($G91&lt;Hta_30,$G91&gt;=Hba_30,Input!Z$50&lt;&gt;""),Input!$B$50&amp;";","")),"")</f>
        <v/>
      </c>
      <c r="CB91" s="25" t="str">
        <f>IFERROR(CONCATENATE(IF(AND($G91&lt;Hta_1,$G91&gt;=Hba_1,Input!AA$21&lt;&gt;""),Input!$B$21&amp;";",""),IF(AND($G91&lt;Hta_2,$G91&gt;=Hba_2,Input!AA$22&lt;&gt;""),Input!$B$22&amp;";",""),IF(AND($G91&lt;Hta_3,$G91&gt;=Hba_3,Input!AA$23&lt;&gt;""),Input!$B$23&amp;";",""),IF(AND($G91&lt;Hta_4,$G91&gt;=Hba_4,Input!AA$24&lt;&gt;""),Input!$B$24&amp;";",""),IF(AND($G91&lt;Hta_5,$G91&gt;=Hba_5,Input!AA$25&lt;&gt;""),Input!$B$25&amp;";",""),IF(AND($G91&lt;Hta_6,$G91&gt;=Hba_6,Input!AA$26&lt;&gt;""),Input!$B$26&amp;";",""),IF(AND($G91&lt;Hta_7,$G91&gt;=Hba_7,Input!AA$27&lt;&gt;""),Input!$B$27&amp;";",""),IF(AND($G91&lt;Hta_8,$G91&gt;=Hba_8,Input!AA$28&lt;&gt;""),Input!$B$28&amp;";",""),IF(AND($G91&lt;Hta_9,$G91&gt;=Hba_9,Input!AA$29&lt;&gt;""),Input!$B$29&amp;";",""),IF(AND($G91&lt;Hta_10,$G91&gt;=Hba_10,Input!AA$30&lt;&gt;""),Input!$B$30&amp;";",""),IF(AND($G91&lt;Hta_11,$G91&gt;=Hba_11,Input!AA$31&lt;&gt;""),Input!$B$31&amp;";",""),IF(AND($G91&lt;Hta_12,$G91&gt;=Hba_12,Input!AA$32&lt;&gt;""),Input!$B$32&amp;";",""),IF(AND($G91&lt;Hta_13,$G91&gt;=Hba_13,Input!AA$33&lt;&gt;""),Input!$B$33&amp;";",""),IF(AND($G91&lt;Hta_14,$G91&gt;=Hba_14,Input!AA$34&lt;&gt;""),Input!$B$34&amp;";",""),IF(AND($G91&lt;Hta_15,$G91&gt;=Hba_15,Input!AA$35&lt;&gt;""),Input!$B$35&amp;";",""),IF(AND($G91&lt;Hta_16,$G91&gt;=Hba_16,Input!AA$36&lt;&gt;""),Input!$B$36&amp;";",""),IF(AND($G91&lt;Hta_17,$G91&gt;=Hba_17,Input!AA$37&lt;&gt;""),Input!$B$37&amp;";",""),IF(AND($G91&lt;Hta_18,$G91&gt;=Hba_18,Input!AA$38&lt;&gt;""),Input!$B$38&amp;";",""),IF(AND($G91&lt;Hta_19,$G91&gt;=Hba_19,Input!AA$39&lt;&gt;""),Input!$B$39&amp;";",""),IF(AND($G91&lt;Hta_20,$G91&gt;=Hba_20,Input!AA$40&lt;&gt;""),Input!$B$40&amp;";",""),IF(AND($G91&lt;Hta_21,$G91&gt;=Hba_21,Input!AA$41&lt;&gt;""),Input!$B$41&amp;";",""),IF(AND($G91&lt;Hta_22,$G91&gt;=Hba_22,Input!AA$42&lt;&gt;""),Input!$B$42&amp;";",""),IF(AND($G91&lt;Hta_23,$G91&gt;=Hba_23,Input!AA$43&lt;&gt;""),Input!$B$43&amp;";",""),IF(AND($G91&lt;Hta_24,$G91&gt;=Hba_24,Input!AA$44&lt;&gt;""),Input!$B$44&amp;";",""),IF(AND($G91&lt;Hta_25,$G91&gt;=Hba_25,Input!AA$45&lt;&gt;""),Input!$B$45&amp;";",""),IF(AND($G91&lt;Hta_26,$G91&gt;=Hba_26,Input!AA$46&lt;&gt;""),Input!$B$46&amp;";",""),IF(AND($G91&lt;Hta_27,$G91&gt;=Hba_27,Input!AA$47&lt;&gt;""),Input!$B$47&amp;";",""),IF(AND($G91&lt;Hta_28,$G91&gt;=Hba_28,Input!AA$48&lt;&gt;""),Input!$B$48&amp;";",""),IF(AND($G91&lt;Hta_29,$G91&gt;=Hba_29,Input!AA$49&lt;&gt;""),Input!$B$49&amp;";",""),IF(AND($G91&lt;Hta_30,$G91&gt;=Hba_30,Input!AA$50&lt;&gt;""),Input!$B$50&amp;";","")),"")</f>
        <v/>
      </c>
      <c r="CC91" s="25" t="str">
        <f>IFERROR(CONCATENATE(IF(AND($G91&lt;Hta_1,$G91&gt;=Hba_1,Input!AB$21&lt;&gt;""),Input!$B$21&amp;";",""),IF(AND($G91&lt;Hta_2,$G91&gt;=Hba_2,Input!AB$22&lt;&gt;""),Input!$B$22&amp;";",""),IF(AND($G91&lt;Hta_3,$G91&gt;=Hba_3,Input!AB$23&lt;&gt;""),Input!$B$23&amp;";",""),IF(AND($G91&lt;Hta_4,$G91&gt;=Hba_4,Input!AB$24&lt;&gt;""),Input!$B$24&amp;";",""),IF(AND($G91&lt;Hta_5,$G91&gt;=Hba_5,Input!AB$25&lt;&gt;""),Input!$B$25&amp;";",""),IF(AND($G91&lt;Hta_6,$G91&gt;=Hba_6,Input!AB$26&lt;&gt;""),Input!$B$26&amp;";",""),IF(AND($G91&lt;Hta_7,$G91&gt;=Hba_7,Input!AB$27&lt;&gt;""),Input!$B$27&amp;";",""),IF(AND($G91&lt;Hta_8,$G91&gt;=Hba_8,Input!AB$28&lt;&gt;""),Input!$B$28&amp;";",""),IF(AND($G91&lt;Hta_9,$G91&gt;=Hba_9,Input!AB$29&lt;&gt;""),Input!$B$29&amp;";",""),IF(AND($G91&lt;Hta_10,$G91&gt;=Hba_10,Input!AB$30&lt;&gt;""),Input!$B$30&amp;";",""),IF(AND($G91&lt;Hta_11,$G91&gt;=Hba_11,Input!AB$31&lt;&gt;""),Input!$B$31&amp;";",""),IF(AND($G91&lt;Hta_12,$G91&gt;=Hba_12,Input!AB$32&lt;&gt;""),Input!$B$32&amp;";",""),IF(AND($G91&lt;Hta_13,$G91&gt;=Hba_13,Input!AB$33&lt;&gt;""),Input!$B$33&amp;";",""),IF(AND($G91&lt;Hta_14,$G91&gt;=Hba_14,Input!AB$34&lt;&gt;""),Input!$B$34&amp;";",""),IF(AND($G91&lt;Hta_15,$G91&gt;=Hba_15,Input!AB$35&lt;&gt;""),Input!$B$35&amp;";",""),IF(AND($G91&lt;Hta_16,$G91&gt;=Hba_16,Input!AB$36&lt;&gt;""),Input!$B$36&amp;";",""),IF(AND($G91&lt;Hta_17,$G91&gt;=Hba_17,Input!AB$37&lt;&gt;""),Input!$B$37&amp;";",""),IF(AND($G91&lt;Hta_18,$G91&gt;=Hba_18,Input!AB$38&lt;&gt;""),Input!$B$38&amp;";",""),IF(AND($G91&lt;Hta_19,$G91&gt;=Hba_19,Input!AB$39&lt;&gt;""),Input!$B$39&amp;";",""),IF(AND($G91&lt;Hta_20,$G91&gt;=Hba_20,Input!AB$40&lt;&gt;""),Input!$B$40&amp;";",""),IF(AND($G91&lt;Hta_21,$G91&gt;=Hba_21,Input!AB$41&lt;&gt;""),Input!$B$41&amp;";",""),IF(AND($G91&lt;Hta_22,$G91&gt;=Hba_22,Input!AB$42&lt;&gt;""),Input!$B$42&amp;";",""),IF(AND($G91&lt;Hta_23,$G91&gt;=Hba_23,Input!AB$43&lt;&gt;""),Input!$B$43&amp;";",""),IF(AND($G91&lt;Hta_24,$G91&gt;=Hba_24,Input!AB$44&lt;&gt;""),Input!$B$44&amp;";",""),IF(AND($G91&lt;Hta_25,$G91&gt;=Hba_25,Input!AB$45&lt;&gt;""),Input!$B$45&amp;";",""),IF(AND($G91&lt;Hta_26,$G91&gt;=Hba_26,Input!AB$46&lt;&gt;""),Input!$B$46&amp;";",""),IF(AND($G91&lt;Hta_27,$G91&gt;=Hba_27,Input!AB$47&lt;&gt;""),Input!$B$47&amp;";",""),IF(AND($G91&lt;Hta_28,$G91&gt;=Hba_28,Input!AB$48&lt;&gt;""),Input!$B$48&amp;";",""),IF(AND($G91&lt;Hta_29,$G91&gt;=Hba_29,Input!AB$49&lt;&gt;""),Input!$B$49&amp;";",""),IF(AND($G91&lt;Hta_30,$G91&gt;=Hba_30,Input!AB$50&lt;&gt;""),Input!$B$50&amp;";","")),"")</f>
        <v/>
      </c>
      <c r="CD91" s="25" t="str">
        <f>IFERROR(CONCATENATE(IF(AND($G91&lt;Hta_1,$G91&gt;=Hba_1,Input!AC$21&lt;&gt;""),Input!$B$21&amp;";",""),IF(AND($G91&lt;Hta_2,$G91&gt;=Hba_2,Input!AC$22&lt;&gt;""),Input!$B$22&amp;";",""),IF(AND($G91&lt;Hta_3,$G91&gt;=Hba_3,Input!AC$23&lt;&gt;""),Input!$B$23&amp;";",""),IF(AND($G91&lt;Hta_4,$G91&gt;=Hba_4,Input!AC$24&lt;&gt;""),Input!$B$24&amp;";",""),IF(AND($G91&lt;Hta_5,$G91&gt;=Hba_5,Input!AC$25&lt;&gt;""),Input!$B$25&amp;";",""),IF(AND($G91&lt;Hta_6,$G91&gt;=Hba_6,Input!AC$26&lt;&gt;""),Input!$B$26&amp;";",""),IF(AND($G91&lt;Hta_7,$G91&gt;=Hba_7,Input!AC$27&lt;&gt;""),Input!$B$27&amp;";",""),IF(AND($G91&lt;Hta_8,$G91&gt;=Hba_8,Input!AC$28&lt;&gt;""),Input!$B$28&amp;";",""),IF(AND($G91&lt;Hta_9,$G91&gt;=Hba_9,Input!AC$29&lt;&gt;""),Input!$B$29&amp;";",""),IF(AND($G91&lt;Hta_10,$G91&gt;=Hba_10,Input!AC$30&lt;&gt;""),Input!$B$30&amp;";",""),IF(AND($G91&lt;Hta_11,$G91&gt;=Hba_11,Input!AC$31&lt;&gt;""),Input!$B$31&amp;";",""),IF(AND($G91&lt;Hta_12,$G91&gt;=Hba_12,Input!AC$32&lt;&gt;""),Input!$B$32&amp;";",""),IF(AND($G91&lt;Hta_13,$G91&gt;=Hba_13,Input!AC$33&lt;&gt;""),Input!$B$33&amp;";",""),IF(AND($G91&lt;Hta_14,$G91&gt;=Hba_14,Input!AC$34&lt;&gt;""),Input!$B$34&amp;";",""),IF(AND($G91&lt;Hta_15,$G91&gt;=Hba_15,Input!AC$35&lt;&gt;""),Input!$B$35&amp;";",""),IF(AND($G91&lt;Hta_16,$G91&gt;=Hba_16,Input!AC$36&lt;&gt;""),Input!$B$36&amp;";",""),IF(AND($G91&lt;Hta_17,$G91&gt;=Hba_17,Input!AC$37&lt;&gt;""),Input!$B$37&amp;";",""),IF(AND($G91&lt;Hta_18,$G91&gt;=Hba_18,Input!AC$38&lt;&gt;""),Input!$B$38&amp;";",""),IF(AND($G91&lt;Hta_19,$G91&gt;=Hba_19,Input!AC$39&lt;&gt;""),Input!$B$39&amp;";",""),IF(AND($G91&lt;Hta_20,$G91&gt;=Hba_20,Input!AC$40&lt;&gt;""),Input!$B$40&amp;";",""),IF(AND($G91&lt;Hta_21,$G91&gt;=Hba_21,Input!AC$41&lt;&gt;""),Input!$B$41&amp;";",""),IF(AND($G91&lt;Hta_22,$G91&gt;=Hba_22,Input!AC$42&lt;&gt;""),Input!$B$42&amp;";",""),IF(AND($G91&lt;Hta_23,$G91&gt;=Hba_23,Input!AC$43&lt;&gt;""),Input!$B$43&amp;";",""),IF(AND($G91&lt;Hta_24,$G91&gt;=Hba_24,Input!AC$44&lt;&gt;""),Input!$B$44&amp;";",""),IF(AND($G91&lt;Hta_25,$G91&gt;=Hba_25,Input!AC$45&lt;&gt;""),Input!$B$45&amp;";",""),IF(AND($G91&lt;Hta_26,$G91&gt;=Hba_26,Input!AC$46&lt;&gt;""),Input!$B$46&amp;";",""),IF(AND($G91&lt;Hta_27,$G91&gt;=Hba_27,Input!AC$47&lt;&gt;""),Input!$B$47&amp;";",""),IF(AND($G91&lt;Hta_28,$G91&gt;=Hba_28,Input!AC$48&lt;&gt;""),Input!$B$48&amp;";",""),IF(AND($G91&lt;Hta_29,$G91&gt;=Hba_29,Input!AC$49&lt;&gt;""),Input!$B$49&amp;";",""),IF(AND($G91&lt;Hta_30,$G91&gt;=Hba_30,Input!AC$50&lt;&gt;""),Input!$B$50&amp;";","")),"")</f>
        <v/>
      </c>
      <c r="CE91" s="25" t="str">
        <f>IFERROR(CONCATENATE(IF(AND($G91&lt;Hta_1,$G91&gt;=Hba_1,Input!AD$21&lt;&gt;""),Input!$B$21&amp;";",""),IF(AND($G91&lt;Hta_2,$G91&gt;=Hba_2,Input!AD$22&lt;&gt;""),Input!$B$22&amp;";",""),IF(AND($G91&lt;Hta_3,$G91&gt;=Hba_3,Input!AD$23&lt;&gt;""),Input!$B$23&amp;";",""),IF(AND($G91&lt;Hta_4,$G91&gt;=Hba_4,Input!AD$24&lt;&gt;""),Input!$B$24&amp;";",""),IF(AND($G91&lt;Hta_5,$G91&gt;=Hba_5,Input!AD$25&lt;&gt;""),Input!$B$25&amp;";",""),IF(AND($G91&lt;Hta_6,$G91&gt;=Hba_6,Input!AD$26&lt;&gt;""),Input!$B$26&amp;";",""),IF(AND($G91&lt;Hta_7,$G91&gt;=Hba_7,Input!AD$27&lt;&gt;""),Input!$B$27&amp;";",""),IF(AND($G91&lt;Hta_8,$G91&gt;=Hba_8,Input!AD$28&lt;&gt;""),Input!$B$28&amp;";",""),IF(AND($G91&lt;Hta_9,$G91&gt;=Hba_9,Input!AD$29&lt;&gt;""),Input!$B$29&amp;";",""),IF(AND($G91&lt;Hta_10,$G91&gt;=Hba_10,Input!AD$30&lt;&gt;""),Input!$B$30&amp;";",""),IF(AND($G91&lt;Hta_11,$G91&gt;=Hba_11,Input!AD$31&lt;&gt;""),Input!$B$31&amp;";",""),IF(AND($G91&lt;Hta_12,$G91&gt;=Hba_12,Input!AD$32&lt;&gt;""),Input!$B$32&amp;";",""),IF(AND($G91&lt;Hta_13,$G91&gt;=Hba_13,Input!AD$33&lt;&gt;""),Input!$B$33&amp;";",""),IF(AND($G91&lt;Hta_14,$G91&gt;=Hba_14,Input!AD$34&lt;&gt;""),Input!$B$34&amp;";",""),IF(AND($G91&lt;Hta_15,$G91&gt;=Hba_15,Input!AD$35&lt;&gt;""),Input!$B$35&amp;";",""),IF(AND($G91&lt;Hta_16,$G91&gt;=Hba_16,Input!AD$36&lt;&gt;""),Input!$B$36&amp;";",""),IF(AND($G91&lt;Hta_17,$G91&gt;=Hba_17,Input!AD$37&lt;&gt;""),Input!$B$37&amp;";",""),IF(AND($G91&lt;Hta_18,$G91&gt;=Hba_18,Input!AD$38&lt;&gt;""),Input!$B$38&amp;";",""),IF(AND($G91&lt;Hta_19,$G91&gt;=Hba_19,Input!AD$39&lt;&gt;""),Input!$B$39&amp;";",""),IF(AND($G91&lt;Hta_20,$G91&gt;=Hba_20,Input!AD$40&lt;&gt;""),Input!$B$40&amp;";",""),IF(AND($G91&lt;Hta_21,$G91&gt;=Hba_21,Input!AD$41&lt;&gt;""),Input!$B$41&amp;";",""),IF(AND($G91&lt;Hta_22,$G91&gt;=Hba_22,Input!AD$42&lt;&gt;""),Input!$B$42&amp;";",""),IF(AND($G91&lt;Hta_23,$G91&gt;=Hba_23,Input!AD$43&lt;&gt;""),Input!$B$43&amp;";",""),IF(AND($G91&lt;Hta_24,$G91&gt;=Hba_24,Input!AD$44&lt;&gt;""),Input!$B$44&amp;";",""),IF(AND($G91&lt;Hta_25,$G91&gt;=Hba_25,Input!AD$45&lt;&gt;""),Input!$B$45&amp;";",""),IF(AND($G91&lt;Hta_26,$G91&gt;=Hba_26,Input!AD$46&lt;&gt;""),Input!$B$46&amp;";",""),IF(AND($G91&lt;Hta_27,$G91&gt;=Hba_27,Input!AD$47&lt;&gt;""),Input!$B$47&amp;";",""),IF(AND($G91&lt;Hta_28,$G91&gt;=Hba_28,Input!AD$48&lt;&gt;""),Input!$B$48&amp;";",""),IF(AND($G91&lt;Hta_29,$G91&gt;=Hba_29,Input!AD$49&lt;&gt;""),Input!$B$49&amp;";",""),IF(AND($G91&lt;Hta_30,$G91&gt;=Hba_30,Input!AD$50&lt;&gt;""),Input!$B$50&amp;";","")),"")</f>
        <v/>
      </c>
      <c r="CF91" s="25" t="str">
        <f>IFERROR(CONCATENATE(IF(AND($G91&lt;Hta_1,$G91&gt;=Hba_1,Input!AE$21&lt;&gt;""),Input!$B$21&amp;";",""),IF(AND($G91&lt;Hta_2,$G91&gt;=Hba_2,Input!AE$22&lt;&gt;""),Input!$B$22&amp;";",""),IF(AND($G91&lt;Hta_3,$G91&gt;=Hba_3,Input!AE$23&lt;&gt;""),Input!$B$23&amp;";",""),IF(AND($G91&lt;Hta_4,$G91&gt;=Hba_4,Input!AE$24&lt;&gt;""),Input!$B$24&amp;";",""),IF(AND($G91&lt;Hta_5,$G91&gt;=Hba_5,Input!AE$25&lt;&gt;""),Input!$B$25&amp;";",""),IF(AND($G91&lt;Hta_6,$G91&gt;=Hba_6,Input!AE$26&lt;&gt;""),Input!$B$26&amp;";",""),IF(AND($G91&lt;Hta_7,$G91&gt;=Hba_7,Input!AE$27&lt;&gt;""),Input!$B$27&amp;";",""),IF(AND($G91&lt;Hta_8,$G91&gt;=Hba_8,Input!AE$28&lt;&gt;""),Input!$B$28&amp;";",""),IF(AND($G91&lt;Hta_9,$G91&gt;=Hba_9,Input!AE$29&lt;&gt;""),Input!$B$29&amp;";",""),IF(AND($G91&lt;Hta_10,$G91&gt;=Hba_10,Input!AE$30&lt;&gt;""),Input!$B$30&amp;";",""),IF(AND($G91&lt;Hta_11,$G91&gt;=Hba_11,Input!AE$31&lt;&gt;""),Input!$B$31&amp;";",""),IF(AND($G91&lt;Hta_12,$G91&gt;=Hba_12,Input!AE$32&lt;&gt;""),Input!$B$32&amp;";",""),IF(AND($G91&lt;Hta_13,$G91&gt;=Hba_13,Input!AE$33&lt;&gt;""),Input!$B$33&amp;";",""),IF(AND($G91&lt;Hta_14,$G91&gt;=Hba_14,Input!AE$34&lt;&gt;""),Input!$B$34&amp;";",""),IF(AND($G91&lt;Hta_15,$G91&gt;=Hba_15,Input!AE$35&lt;&gt;""),Input!$B$35&amp;";",""),IF(AND($G91&lt;Hta_16,$G91&gt;=Hba_16,Input!AE$36&lt;&gt;""),Input!$B$36&amp;";",""),IF(AND($G91&lt;Hta_17,$G91&gt;=Hba_17,Input!AE$37&lt;&gt;""),Input!$B$37&amp;";",""),IF(AND($G91&lt;Hta_18,$G91&gt;=Hba_18,Input!AE$38&lt;&gt;""),Input!$B$38&amp;";",""),IF(AND($G91&lt;Hta_19,$G91&gt;=Hba_19,Input!AE$39&lt;&gt;""),Input!$B$39&amp;";",""),IF(AND($G91&lt;Hta_20,$G91&gt;=Hba_20,Input!AE$40&lt;&gt;""),Input!$B$40&amp;";",""),IF(AND($G91&lt;Hta_21,$G91&gt;=Hba_21,Input!AE$41&lt;&gt;""),Input!$B$41&amp;";",""),IF(AND($G91&lt;Hta_22,$G91&gt;=Hba_22,Input!AE$42&lt;&gt;""),Input!$B$42&amp;";",""),IF(AND($G91&lt;Hta_23,$G91&gt;=Hba_23,Input!AE$43&lt;&gt;""),Input!$B$43&amp;";",""),IF(AND($G91&lt;Hta_24,$G91&gt;=Hba_24,Input!AE$44&lt;&gt;""),Input!$B$44&amp;";",""),IF(AND($G91&lt;Hta_25,$G91&gt;=Hba_25,Input!AE$45&lt;&gt;""),Input!$B$45&amp;";",""),IF(AND($G91&lt;Hta_26,$G91&gt;=Hba_26,Input!AE$46&lt;&gt;""),Input!$B$46&amp;";",""),IF(AND($G91&lt;Hta_27,$G91&gt;=Hba_27,Input!AE$47&lt;&gt;""),Input!$B$47&amp;";",""),IF(AND($G91&lt;Hta_28,$G91&gt;=Hba_28,Input!AE$48&lt;&gt;""),Input!$B$48&amp;";",""),IF(AND($G91&lt;Hta_29,$G91&gt;=Hba_29,Input!AE$49&lt;&gt;""),Input!$B$49&amp;";",""),IF(AND($G91&lt;Hta_30,$G91&gt;=Hba_30,Input!AE$50&lt;&gt;""),Input!$B$50&amp;";","")),"")</f>
        <v/>
      </c>
      <c r="CG91" s="25" t="str">
        <f>IFERROR(CONCATENATE(IF(AND($G91&lt;Hta_1,$G91&gt;=Hba_1,Input!AF$21&lt;&gt;""),Input!$B$21&amp;";",""),IF(AND($G91&lt;Hta_2,$G91&gt;=Hba_2,Input!AF$22&lt;&gt;""),Input!$B$22&amp;";",""),IF(AND($G91&lt;Hta_3,$G91&gt;=Hba_3,Input!AF$23&lt;&gt;""),Input!$B$23&amp;";",""),IF(AND($G91&lt;Hta_4,$G91&gt;=Hba_4,Input!AF$24&lt;&gt;""),Input!$B$24&amp;";",""),IF(AND($G91&lt;Hta_5,$G91&gt;=Hba_5,Input!AF$25&lt;&gt;""),Input!$B$25&amp;";",""),IF(AND($G91&lt;Hta_6,$G91&gt;=Hba_6,Input!AF$26&lt;&gt;""),Input!$B$26&amp;";",""),IF(AND($G91&lt;Hta_7,$G91&gt;=Hba_7,Input!AF$27&lt;&gt;""),Input!$B$27&amp;";",""),IF(AND($G91&lt;Hta_8,$G91&gt;=Hba_8,Input!AF$28&lt;&gt;""),Input!$B$28&amp;";",""),IF(AND($G91&lt;Hta_9,$G91&gt;=Hba_9,Input!AF$29&lt;&gt;""),Input!$B$29&amp;";",""),IF(AND($G91&lt;Hta_10,$G91&gt;=Hba_10,Input!AF$30&lt;&gt;""),Input!$B$30&amp;";",""),IF(AND($G91&lt;Hta_11,$G91&gt;=Hba_11,Input!AF$31&lt;&gt;""),Input!$B$31&amp;";",""),IF(AND($G91&lt;Hta_12,$G91&gt;=Hba_12,Input!AF$32&lt;&gt;""),Input!$B$32&amp;";",""),IF(AND($G91&lt;Hta_13,$G91&gt;=Hba_13,Input!AF$33&lt;&gt;""),Input!$B$33&amp;";",""),IF(AND($G91&lt;Hta_14,$G91&gt;=Hba_14,Input!AF$34&lt;&gt;""),Input!$B$34&amp;";",""),IF(AND($G91&lt;Hta_15,$G91&gt;=Hba_15,Input!AF$35&lt;&gt;""),Input!$B$35&amp;";",""),IF(AND($G91&lt;Hta_16,$G91&gt;=Hba_16,Input!AF$36&lt;&gt;""),Input!$B$36&amp;";",""),IF(AND($G91&lt;Hta_17,$G91&gt;=Hba_17,Input!AF$37&lt;&gt;""),Input!$B$37&amp;";",""),IF(AND($G91&lt;Hta_18,$G91&gt;=Hba_18,Input!AF$38&lt;&gt;""),Input!$B$38&amp;";",""),IF(AND($G91&lt;Hta_19,$G91&gt;=Hba_19,Input!AF$39&lt;&gt;""),Input!$B$39&amp;";",""),IF(AND($G91&lt;Hta_20,$G91&gt;=Hba_20,Input!AF$40&lt;&gt;""),Input!$B$40&amp;";",""),IF(AND($G91&lt;Hta_21,$G91&gt;=Hba_21,Input!AF$41&lt;&gt;""),Input!$B$41&amp;";",""),IF(AND($G91&lt;Hta_22,$G91&gt;=Hba_22,Input!AF$42&lt;&gt;""),Input!$B$42&amp;";",""),IF(AND($G91&lt;Hta_23,$G91&gt;=Hba_23,Input!AF$43&lt;&gt;""),Input!$B$43&amp;";",""),IF(AND($G91&lt;Hta_24,$G91&gt;=Hba_24,Input!AF$44&lt;&gt;""),Input!$B$44&amp;";",""),IF(AND($G91&lt;Hta_25,$G91&gt;=Hba_25,Input!AF$45&lt;&gt;""),Input!$B$45&amp;";",""),IF(AND($G91&lt;Hta_26,$G91&gt;=Hba_26,Input!AF$46&lt;&gt;""),Input!$B$46&amp;";",""),IF(AND($G91&lt;Hta_27,$G91&gt;=Hba_27,Input!AF$47&lt;&gt;""),Input!$B$47&amp;";",""),IF(AND($G91&lt;Hta_28,$G91&gt;=Hba_28,Input!AF$48&lt;&gt;""),Input!$B$48&amp;";",""),IF(AND($G91&lt;Hta_29,$G91&gt;=Hba_29,Input!AF$49&lt;&gt;""),Input!$B$49&amp;";",""),IF(AND($G91&lt;Hta_30,$G91&gt;=Hba_30,Input!AF$50&lt;&gt;""),Input!$B$50&amp;";","")),"")</f>
        <v/>
      </c>
      <c r="CH91" s="25" t="str">
        <f>IFERROR(CONCATENATE(IF(AND($G91&lt;Hta_1,$G91&gt;=Hba_1,Input!AG$21&lt;&gt;""),Input!$B$21&amp;";",""),IF(AND($G91&lt;Hta_2,$G91&gt;=Hba_2,Input!AG$22&lt;&gt;""),Input!$B$22&amp;";",""),IF(AND($G91&lt;Hta_3,$G91&gt;=Hba_3,Input!AG$23&lt;&gt;""),Input!$B$23&amp;";",""),IF(AND($G91&lt;Hta_4,$G91&gt;=Hba_4,Input!AG$24&lt;&gt;""),Input!$B$24&amp;";",""),IF(AND($G91&lt;Hta_5,$G91&gt;=Hba_5,Input!AG$25&lt;&gt;""),Input!$B$25&amp;";",""),IF(AND($G91&lt;Hta_6,$G91&gt;=Hba_6,Input!AG$26&lt;&gt;""),Input!$B$26&amp;";",""),IF(AND($G91&lt;Hta_7,$G91&gt;=Hba_7,Input!AG$27&lt;&gt;""),Input!$B$27&amp;";",""),IF(AND($G91&lt;Hta_8,$G91&gt;=Hba_8,Input!AG$28&lt;&gt;""),Input!$B$28&amp;";",""),IF(AND($G91&lt;Hta_9,$G91&gt;=Hba_9,Input!AG$29&lt;&gt;""),Input!$B$29&amp;";",""),IF(AND($G91&lt;Hta_10,$G91&gt;=Hba_10,Input!AG$30&lt;&gt;""),Input!$B$30&amp;";",""),IF(AND($G91&lt;Hta_11,$G91&gt;=Hba_11,Input!AG$31&lt;&gt;""),Input!$B$31&amp;";",""),IF(AND($G91&lt;Hta_12,$G91&gt;=Hba_12,Input!AG$32&lt;&gt;""),Input!$B$32&amp;";",""),IF(AND($G91&lt;Hta_13,$G91&gt;=Hba_13,Input!AG$33&lt;&gt;""),Input!$B$33&amp;";",""),IF(AND($G91&lt;Hta_14,$G91&gt;=Hba_14,Input!AG$34&lt;&gt;""),Input!$B$34&amp;";",""),IF(AND($G91&lt;Hta_15,$G91&gt;=Hba_15,Input!AG$35&lt;&gt;""),Input!$B$35&amp;";",""),IF(AND($G91&lt;Hta_16,$G91&gt;=Hba_16,Input!AG$36&lt;&gt;""),Input!$B$36&amp;";",""),IF(AND($G91&lt;Hta_17,$G91&gt;=Hba_17,Input!AG$37&lt;&gt;""),Input!$B$37&amp;";",""),IF(AND($G91&lt;Hta_18,$G91&gt;=Hba_18,Input!AG$38&lt;&gt;""),Input!$B$38&amp;";",""),IF(AND($G91&lt;Hta_19,$G91&gt;=Hba_19,Input!AG$39&lt;&gt;""),Input!$B$39&amp;";",""),IF(AND($G91&lt;Hta_20,$G91&gt;=Hba_20,Input!AG$40&lt;&gt;""),Input!$B$40&amp;";",""),IF(AND($G91&lt;Hta_21,$G91&gt;=Hba_21,Input!AG$41&lt;&gt;""),Input!$B$41&amp;";",""),IF(AND($G91&lt;Hta_22,$G91&gt;=Hba_22,Input!AG$42&lt;&gt;""),Input!$B$42&amp;";",""),IF(AND($G91&lt;Hta_23,$G91&gt;=Hba_23,Input!AG$43&lt;&gt;""),Input!$B$43&amp;";",""),IF(AND($G91&lt;Hta_24,$G91&gt;=Hba_24,Input!AG$44&lt;&gt;""),Input!$B$44&amp;";",""),IF(AND($G91&lt;Hta_25,$G91&gt;=Hba_25,Input!AG$45&lt;&gt;""),Input!$B$45&amp;";",""),IF(AND($G91&lt;Hta_26,$G91&gt;=Hba_26,Input!AG$46&lt;&gt;""),Input!$B$46&amp;";",""),IF(AND($G91&lt;Hta_27,$G91&gt;=Hba_27,Input!AG$47&lt;&gt;""),Input!$B$47&amp;";",""),IF(AND($G91&lt;Hta_28,$G91&gt;=Hba_28,Input!AG$48&lt;&gt;""),Input!$B$48&amp;";",""),IF(AND($G91&lt;Hta_29,$G91&gt;=Hba_29,Input!AG$49&lt;&gt;""),Input!$B$49&amp;";",""),IF(AND($G91&lt;Hta_30,$G91&gt;=Hba_30,Input!AG$50&lt;&gt;""),Input!$B$50&amp;";","")),"")</f>
        <v/>
      </c>
      <c r="CI91" s="25" t="str">
        <f>IFERROR(CONCATENATE(IF(AND($G91&lt;Hta_1,$G91&gt;=Hba_1,Input!AH$21&lt;&gt;""),Input!$B$21&amp;";",""),IF(AND($G91&lt;Hta_2,$G91&gt;=Hba_2,Input!AH$22&lt;&gt;""),Input!$B$22&amp;";",""),IF(AND($G91&lt;Hta_3,$G91&gt;=Hba_3,Input!AH$23&lt;&gt;""),Input!$B$23&amp;";",""),IF(AND($G91&lt;Hta_4,$G91&gt;=Hba_4,Input!AH$24&lt;&gt;""),Input!$B$24&amp;";",""),IF(AND($G91&lt;Hta_5,$G91&gt;=Hba_5,Input!AH$25&lt;&gt;""),Input!$B$25&amp;";",""),IF(AND($G91&lt;Hta_6,$G91&gt;=Hba_6,Input!AH$26&lt;&gt;""),Input!$B$26&amp;";",""),IF(AND($G91&lt;Hta_7,$G91&gt;=Hba_7,Input!AH$27&lt;&gt;""),Input!$B$27&amp;";",""),IF(AND($G91&lt;Hta_8,$G91&gt;=Hba_8,Input!AH$28&lt;&gt;""),Input!$B$28&amp;";",""),IF(AND($G91&lt;Hta_9,$G91&gt;=Hba_9,Input!AH$29&lt;&gt;""),Input!$B$29&amp;";",""),IF(AND($G91&lt;Hta_10,$G91&gt;=Hba_10,Input!AH$30&lt;&gt;""),Input!$B$30&amp;";",""),IF(AND($G91&lt;Hta_11,$G91&gt;=Hba_11,Input!AH$31&lt;&gt;""),Input!$B$31&amp;";",""),IF(AND($G91&lt;Hta_12,$G91&gt;=Hba_12,Input!AH$32&lt;&gt;""),Input!$B$32&amp;";",""),IF(AND($G91&lt;Hta_13,$G91&gt;=Hba_13,Input!AH$33&lt;&gt;""),Input!$B$33&amp;";",""),IF(AND($G91&lt;Hta_14,$G91&gt;=Hba_14,Input!AH$34&lt;&gt;""),Input!$B$34&amp;";",""),IF(AND($G91&lt;Hta_15,$G91&gt;=Hba_15,Input!AH$35&lt;&gt;""),Input!$B$35&amp;";",""),IF(AND($G91&lt;Hta_16,$G91&gt;=Hba_16,Input!AH$36&lt;&gt;""),Input!$B$36&amp;";",""),IF(AND($G91&lt;Hta_17,$G91&gt;=Hba_17,Input!AH$37&lt;&gt;""),Input!$B$37&amp;";",""),IF(AND($G91&lt;Hta_18,$G91&gt;=Hba_18,Input!AH$38&lt;&gt;""),Input!$B$38&amp;";",""),IF(AND($G91&lt;Hta_19,$G91&gt;=Hba_19,Input!AH$39&lt;&gt;""),Input!$B$39&amp;";",""),IF(AND($G91&lt;Hta_20,$G91&gt;=Hba_20,Input!AH$40&lt;&gt;""),Input!$B$40&amp;";",""),IF(AND($G91&lt;Hta_21,$G91&gt;=Hba_21,Input!AH$41&lt;&gt;""),Input!$B$41&amp;";",""),IF(AND($G91&lt;Hta_22,$G91&gt;=Hba_22,Input!AH$42&lt;&gt;""),Input!$B$42&amp;";",""),IF(AND($G91&lt;Hta_23,$G91&gt;=Hba_23,Input!AH$43&lt;&gt;""),Input!$B$43&amp;";",""),IF(AND($G91&lt;Hta_24,$G91&gt;=Hba_24,Input!AH$44&lt;&gt;""),Input!$B$44&amp;";",""),IF(AND($G91&lt;Hta_25,$G91&gt;=Hba_25,Input!AH$45&lt;&gt;""),Input!$B$45&amp;";",""),IF(AND($G91&lt;Hta_26,$G91&gt;=Hba_26,Input!AH$46&lt;&gt;""),Input!$B$46&amp;";",""),IF(AND($G91&lt;Hta_27,$G91&gt;=Hba_27,Input!AH$47&lt;&gt;""),Input!$B$47&amp;";",""),IF(AND($G91&lt;Hta_28,$G91&gt;=Hba_28,Input!AH$48&lt;&gt;""),Input!$B$48&amp;";",""),IF(AND($G91&lt;Hta_29,$G91&gt;=Hba_29,Input!AH$49&lt;&gt;""),Input!$B$49&amp;";",""),IF(AND($G91&lt;Hta_30,$G91&gt;=Hba_30,Input!AH$50&lt;&gt;""),Input!$B$50&amp;";","")),"")</f>
        <v/>
      </c>
      <c r="CJ91" s="25" t="str">
        <f>IFERROR(CONCATENATE(IF(AND($G91&lt;Hta_1,$G91&gt;=Hba_1,Input!AI$21&lt;&gt;""),Input!$B$21&amp;";",""),IF(AND($G91&lt;Hta_2,$G91&gt;=Hba_2,Input!AI$22&lt;&gt;""),Input!$B$22&amp;";",""),IF(AND($G91&lt;Hta_3,$G91&gt;=Hba_3,Input!AI$23&lt;&gt;""),Input!$B$23&amp;";",""),IF(AND($G91&lt;Hta_4,$G91&gt;=Hba_4,Input!AI$24&lt;&gt;""),Input!$B$24&amp;";",""),IF(AND($G91&lt;Hta_5,$G91&gt;=Hba_5,Input!AI$25&lt;&gt;""),Input!$B$25&amp;";",""),IF(AND($G91&lt;Hta_6,$G91&gt;=Hba_6,Input!AI$26&lt;&gt;""),Input!$B$26&amp;";",""),IF(AND($G91&lt;Hta_7,$G91&gt;=Hba_7,Input!AI$27&lt;&gt;""),Input!$B$27&amp;";",""),IF(AND($G91&lt;Hta_8,$G91&gt;=Hba_8,Input!AI$28&lt;&gt;""),Input!$B$28&amp;";",""),IF(AND($G91&lt;Hta_9,$G91&gt;=Hba_9,Input!AI$29&lt;&gt;""),Input!$B$29&amp;";",""),IF(AND($G91&lt;Hta_10,$G91&gt;=Hba_10,Input!AI$30&lt;&gt;""),Input!$B$30&amp;";",""),IF(AND($G91&lt;Hta_11,$G91&gt;=Hba_11,Input!AI$31&lt;&gt;""),Input!$B$31&amp;";",""),IF(AND($G91&lt;Hta_12,$G91&gt;=Hba_12,Input!AI$32&lt;&gt;""),Input!$B$32&amp;";",""),IF(AND($G91&lt;Hta_13,$G91&gt;=Hba_13,Input!AI$33&lt;&gt;""),Input!$B$33&amp;";",""),IF(AND($G91&lt;Hta_14,$G91&gt;=Hba_14,Input!AI$34&lt;&gt;""),Input!$B$34&amp;";",""),IF(AND($G91&lt;Hta_15,$G91&gt;=Hba_15,Input!AI$35&lt;&gt;""),Input!$B$35&amp;";",""),IF(AND($G91&lt;Hta_16,$G91&gt;=Hba_16,Input!AI$36&lt;&gt;""),Input!$B$36&amp;";",""),IF(AND($G91&lt;Hta_17,$G91&gt;=Hba_17,Input!AI$37&lt;&gt;""),Input!$B$37&amp;";",""),IF(AND($G91&lt;Hta_18,$G91&gt;=Hba_18,Input!AI$38&lt;&gt;""),Input!$B$38&amp;";",""),IF(AND($G91&lt;Hta_19,$G91&gt;=Hba_19,Input!AI$39&lt;&gt;""),Input!$B$39&amp;";",""),IF(AND($G91&lt;Hta_20,$G91&gt;=Hba_20,Input!AI$40&lt;&gt;""),Input!$B$40&amp;";",""),IF(AND($G91&lt;Hta_21,$G91&gt;=Hba_21,Input!AI$41&lt;&gt;""),Input!$B$41&amp;";",""),IF(AND($G91&lt;Hta_22,$G91&gt;=Hba_22,Input!AI$42&lt;&gt;""),Input!$B$42&amp;";",""),IF(AND($G91&lt;Hta_23,$G91&gt;=Hba_23,Input!AI$43&lt;&gt;""),Input!$B$43&amp;";",""),IF(AND($G91&lt;Hta_24,$G91&gt;=Hba_24,Input!AI$44&lt;&gt;""),Input!$B$44&amp;";",""),IF(AND($G91&lt;Hta_25,$G91&gt;=Hba_25,Input!AI$45&lt;&gt;""),Input!$B$45&amp;";",""),IF(AND($G91&lt;Hta_26,$G91&gt;=Hba_26,Input!AI$46&lt;&gt;""),Input!$B$46&amp;";",""),IF(AND($G91&lt;Hta_27,$G91&gt;=Hba_27,Input!AI$47&lt;&gt;""),Input!$B$47&amp;";",""),IF(AND($G91&lt;Hta_28,$G91&gt;=Hba_28,Input!AI$48&lt;&gt;""),Input!$B$48&amp;";",""),IF(AND($G91&lt;Hta_29,$G91&gt;=Hba_29,Input!AI$49&lt;&gt;""),Input!$B$49&amp;";",""),IF(AND($G91&lt;Hta_30,$G91&gt;=Hba_30,Input!AI$50&lt;&gt;""),Input!$B$50&amp;";","")),"")</f>
        <v/>
      </c>
      <c r="CK91" s="25" t="str">
        <f>IFERROR(CONCATENATE(IF(AND($G91&lt;Hta_1,$G91&gt;=Hba_1,Input!AJ$21&lt;&gt;""),Input!$B$21&amp;";",""),IF(AND($G91&lt;Hta_2,$G91&gt;=Hba_2,Input!AJ$22&lt;&gt;""),Input!$B$22&amp;";",""),IF(AND($G91&lt;Hta_3,$G91&gt;=Hba_3,Input!AJ$23&lt;&gt;""),Input!$B$23&amp;";",""),IF(AND($G91&lt;Hta_4,$G91&gt;=Hba_4,Input!AJ$24&lt;&gt;""),Input!$B$24&amp;";",""),IF(AND($G91&lt;Hta_5,$G91&gt;=Hba_5,Input!AJ$25&lt;&gt;""),Input!$B$25&amp;";",""),IF(AND($G91&lt;Hta_6,$G91&gt;=Hba_6,Input!AJ$26&lt;&gt;""),Input!$B$26&amp;";",""),IF(AND($G91&lt;Hta_7,$G91&gt;=Hba_7,Input!AJ$27&lt;&gt;""),Input!$B$27&amp;";",""),IF(AND($G91&lt;Hta_8,$G91&gt;=Hba_8,Input!AJ$28&lt;&gt;""),Input!$B$28&amp;";",""),IF(AND($G91&lt;Hta_9,$G91&gt;=Hba_9,Input!AJ$29&lt;&gt;""),Input!$B$29&amp;";",""),IF(AND($G91&lt;Hta_10,$G91&gt;=Hba_10,Input!AJ$30&lt;&gt;""),Input!$B$30&amp;";",""),IF(AND($G91&lt;Hta_11,$G91&gt;=Hba_11,Input!AJ$31&lt;&gt;""),Input!$B$31&amp;";",""),IF(AND($G91&lt;Hta_12,$G91&gt;=Hba_12,Input!AJ$32&lt;&gt;""),Input!$B$32&amp;";",""),IF(AND($G91&lt;Hta_13,$G91&gt;=Hba_13,Input!AJ$33&lt;&gt;""),Input!$B$33&amp;";",""),IF(AND($G91&lt;Hta_14,$G91&gt;=Hba_14,Input!AJ$34&lt;&gt;""),Input!$B$34&amp;";",""),IF(AND($G91&lt;Hta_15,$G91&gt;=Hba_15,Input!AJ$35&lt;&gt;""),Input!$B$35&amp;";",""),IF(AND($G91&lt;Hta_16,$G91&gt;=Hba_16,Input!AJ$36&lt;&gt;""),Input!$B$36&amp;";",""),IF(AND($G91&lt;Hta_17,$G91&gt;=Hba_17,Input!AJ$37&lt;&gt;""),Input!$B$37&amp;";",""),IF(AND($G91&lt;Hta_18,$G91&gt;=Hba_18,Input!AJ$38&lt;&gt;""),Input!$B$38&amp;";",""),IF(AND($G91&lt;Hta_19,$G91&gt;=Hba_19,Input!AJ$39&lt;&gt;""),Input!$B$39&amp;";",""),IF(AND($G91&lt;Hta_20,$G91&gt;=Hba_20,Input!AJ$40&lt;&gt;""),Input!$B$40&amp;";",""),IF(AND($G91&lt;Hta_21,$G91&gt;=Hba_21,Input!AJ$41&lt;&gt;""),Input!$B$41&amp;";",""),IF(AND($G91&lt;Hta_22,$G91&gt;=Hba_22,Input!AJ$42&lt;&gt;""),Input!$B$42&amp;";",""),IF(AND($G91&lt;Hta_23,$G91&gt;=Hba_23,Input!AJ$43&lt;&gt;""),Input!$B$43&amp;";",""),IF(AND($G91&lt;Hta_24,$G91&gt;=Hba_24,Input!AJ$44&lt;&gt;""),Input!$B$44&amp;";",""),IF(AND($G91&lt;Hta_25,$G91&gt;=Hba_25,Input!AJ$45&lt;&gt;""),Input!$B$45&amp;";",""),IF(AND($G91&lt;Hta_26,$G91&gt;=Hba_26,Input!AJ$46&lt;&gt;""),Input!$B$46&amp;";",""),IF(AND($G91&lt;Hta_27,$G91&gt;=Hba_27,Input!AJ$47&lt;&gt;""),Input!$B$47&amp;";",""),IF(AND($G91&lt;Hta_28,$G91&gt;=Hba_28,Input!AJ$48&lt;&gt;""),Input!$B$48&amp;";",""),IF(AND($G91&lt;Hta_29,$G91&gt;=Hba_29,Input!AJ$49&lt;&gt;""),Input!$B$49&amp;";",""),IF(AND($G91&lt;Hta_30,$G91&gt;=Hba_30,Input!AJ$50&lt;&gt;""),Input!$B$50&amp;";","")),"")</f>
        <v/>
      </c>
      <c r="CL91" s="25" t="str">
        <f>IFERROR(CONCATENATE(IF(AND($G91&lt;Hta_1,$G91&gt;=Hba_1,Input!AK$21&lt;&gt;""),Input!$B$21&amp;";",""),IF(AND($G91&lt;Hta_2,$G91&gt;=Hba_2,Input!AK$22&lt;&gt;""),Input!$B$22&amp;";",""),IF(AND($G91&lt;Hta_3,$G91&gt;=Hba_3,Input!AK$23&lt;&gt;""),Input!$B$23&amp;";",""),IF(AND($G91&lt;Hta_4,$G91&gt;=Hba_4,Input!AK$24&lt;&gt;""),Input!$B$24&amp;";",""),IF(AND($G91&lt;Hta_5,$G91&gt;=Hba_5,Input!AK$25&lt;&gt;""),Input!$B$25&amp;";",""),IF(AND($G91&lt;Hta_6,$G91&gt;=Hba_6,Input!AK$26&lt;&gt;""),Input!$B$26&amp;";",""),IF(AND($G91&lt;Hta_7,$G91&gt;=Hba_7,Input!AK$27&lt;&gt;""),Input!$B$27&amp;";",""),IF(AND($G91&lt;Hta_8,$G91&gt;=Hba_8,Input!AK$28&lt;&gt;""),Input!$B$28&amp;";",""),IF(AND($G91&lt;Hta_9,$G91&gt;=Hba_9,Input!AK$29&lt;&gt;""),Input!$B$29&amp;";",""),IF(AND($G91&lt;Hta_10,$G91&gt;=Hba_10,Input!AK$30&lt;&gt;""),Input!$B$30&amp;";",""),IF(AND($G91&lt;Hta_11,$G91&gt;=Hba_11,Input!AK$31&lt;&gt;""),Input!$B$31&amp;";",""),IF(AND($G91&lt;Hta_12,$G91&gt;=Hba_12,Input!AK$32&lt;&gt;""),Input!$B$32&amp;";",""),IF(AND($G91&lt;Hta_13,$G91&gt;=Hba_13,Input!AK$33&lt;&gt;""),Input!$B$33&amp;";",""),IF(AND($G91&lt;Hta_14,$G91&gt;=Hba_14,Input!AK$34&lt;&gt;""),Input!$B$34&amp;";",""),IF(AND($G91&lt;Hta_15,$G91&gt;=Hba_15,Input!AK$35&lt;&gt;""),Input!$B$35&amp;";",""),IF(AND($G91&lt;Hta_16,$G91&gt;=Hba_16,Input!AK$36&lt;&gt;""),Input!$B$36&amp;";",""),IF(AND($G91&lt;Hta_17,$G91&gt;=Hba_17,Input!AK$37&lt;&gt;""),Input!$B$37&amp;";",""),IF(AND($G91&lt;Hta_18,$G91&gt;=Hba_18,Input!AK$38&lt;&gt;""),Input!$B$38&amp;";",""),IF(AND($G91&lt;Hta_19,$G91&gt;=Hba_19,Input!AK$39&lt;&gt;""),Input!$B$39&amp;";",""),IF(AND($G91&lt;Hta_20,$G91&gt;=Hba_20,Input!AK$40&lt;&gt;""),Input!$B$40&amp;";",""),IF(AND($G91&lt;Hta_21,$G91&gt;=Hba_21,Input!AK$41&lt;&gt;""),Input!$B$41&amp;";",""),IF(AND($G91&lt;Hta_22,$G91&gt;=Hba_22,Input!AK$42&lt;&gt;""),Input!$B$42&amp;";",""),IF(AND($G91&lt;Hta_23,$G91&gt;=Hba_23,Input!AK$43&lt;&gt;""),Input!$B$43&amp;";",""),IF(AND($G91&lt;Hta_24,$G91&gt;=Hba_24,Input!AK$44&lt;&gt;""),Input!$B$44&amp;";",""),IF(AND($G91&lt;Hta_25,$G91&gt;=Hba_25,Input!AK$45&lt;&gt;""),Input!$B$45&amp;";",""),IF(AND($G91&lt;Hta_26,$G91&gt;=Hba_26,Input!AK$46&lt;&gt;""),Input!$B$46&amp;";",""),IF(AND($G91&lt;Hta_27,$G91&gt;=Hba_27,Input!AK$47&lt;&gt;""),Input!$B$47&amp;";",""),IF(AND($G91&lt;Hta_28,$G91&gt;=Hba_28,Input!AK$48&lt;&gt;""),Input!$B$48&amp;";",""),IF(AND($G91&lt;Hta_29,$G91&gt;=Hba_29,Input!AK$49&lt;&gt;""),Input!$B$49&amp;";",""),IF(AND($G91&lt;Hta_30,$G91&gt;=Hba_30,Input!AK$50&lt;&gt;""),Input!$B$50&amp;";","")),"")</f>
        <v/>
      </c>
      <c r="CM91" s="25" t="str">
        <f>IFERROR(CONCATENATE(IF(AND($G91&lt;Hta_1,$G91&gt;=Hba_1,Input!AL$21&lt;&gt;""),Input!$B$21&amp;";",""),IF(AND($G91&lt;Hta_2,$G91&gt;=Hba_2,Input!AL$22&lt;&gt;""),Input!$B$22&amp;";",""),IF(AND($G91&lt;Hta_3,$G91&gt;=Hba_3,Input!AL$23&lt;&gt;""),Input!$B$23&amp;";",""),IF(AND($G91&lt;Hta_4,$G91&gt;=Hba_4,Input!AL$24&lt;&gt;""),Input!$B$24&amp;";",""),IF(AND($G91&lt;Hta_5,$G91&gt;=Hba_5,Input!AL$25&lt;&gt;""),Input!$B$25&amp;";",""),IF(AND($G91&lt;Hta_6,$G91&gt;=Hba_6,Input!AL$26&lt;&gt;""),Input!$B$26&amp;";",""),IF(AND($G91&lt;Hta_7,$G91&gt;=Hba_7,Input!AL$27&lt;&gt;""),Input!$B$27&amp;";",""),IF(AND($G91&lt;Hta_8,$G91&gt;=Hba_8,Input!AL$28&lt;&gt;""),Input!$B$28&amp;";",""),IF(AND($G91&lt;Hta_9,$G91&gt;=Hba_9,Input!AL$29&lt;&gt;""),Input!$B$29&amp;";",""),IF(AND($G91&lt;Hta_10,$G91&gt;=Hba_10,Input!AL$30&lt;&gt;""),Input!$B$30&amp;";",""),IF(AND($G91&lt;Hta_11,$G91&gt;=Hba_11,Input!AL$31&lt;&gt;""),Input!$B$31&amp;";",""),IF(AND($G91&lt;Hta_12,$G91&gt;=Hba_12,Input!AL$32&lt;&gt;""),Input!$B$32&amp;";",""),IF(AND($G91&lt;Hta_13,$G91&gt;=Hba_13,Input!AL$33&lt;&gt;""),Input!$B$33&amp;";",""),IF(AND($G91&lt;Hta_14,$G91&gt;=Hba_14,Input!AL$34&lt;&gt;""),Input!$B$34&amp;";",""),IF(AND($G91&lt;Hta_15,$G91&gt;=Hba_15,Input!AL$35&lt;&gt;""),Input!$B$35&amp;";",""),IF(AND($G91&lt;Hta_16,$G91&gt;=Hba_16,Input!AL$36&lt;&gt;""),Input!$B$36&amp;";",""),IF(AND($G91&lt;Hta_17,$G91&gt;=Hba_17,Input!AL$37&lt;&gt;""),Input!$B$37&amp;";",""),IF(AND($G91&lt;Hta_18,$G91&gt;=Hba_18,Input!AL$38&lt;&gt;""),Input!$B$38&amp;";",""),IF(AND($G91&lt;Hta_19,$G91&gt;=Hba_19,Input!AL$39&lt;&gt;""),Input!$B$39&amp;";",""),IF(AND($G91&lt;Hta_20,$G91&gt;=Hba_20,Input!AL$40&lt;&gt;""),Input!$B$40&amp;";",""),IF(AND($G91&lt;Hta_21,$G91&gt;=Hba_21,Input!AL$41&lt;&gt;""),Input!$B$41&amp;";",""),IF(AND($G91&lt;Hta_22,$G91&gt;=Hba_22,Input!AL$42&lt;&gt;""),Input!$B$42&amp;";",""),IF(AND($G91&lt;Hta_23,$G91&gt;=Hba_23,Input!AL$43&lt;&gt;""),Input!$B$43&amp;";",""),IF(AND($G91&lt;Hta_24,$G91&gt;=Hba_24,Input!AL$44&lt;&gt;""),Input!$B$44&amp;";",""),IF(AND($G91&lt;Hta_25,$G91&gt;=Hba_25,Input!AL$45&lt;&gt;""),Input!$B$45&amp;";",""),IF(AND($G91&lt;Hta_26,$G91&gt;=Hba_26,Input!AL$46&lt;&gt;""),Input!$B$46&amp;";",""),IF(AND($G91&lt;Hta_27,$G91&gt;=Hba_27,Input!AL$47&lt;&gt;""),Input!$B$47&amp;";",""),IF(AND($G91&lt;Hta_28,$G91&gt;=Hba_28,Input!AL$48&lt;&gt;""),Input!$B$48&amp;";",""),IF(AND($G91&lt;Hta_29,$G91&gt;=Hba_29,Input!AL$49&lt;&gt;""),Input!$B$49&amp;";",""),IF(AND($G91&lt;Hta_30,$G91&gt;=Hba_30,Input!AL$50&lt;&gt;""),Input!$B$50&amp;";","")),"")</f>
        <v/>
      </c>
      <c r="CN91" s="60" t="str">
        <f t="shared" si="16"/>
        <v/>
      </c>
      <c r="CO91" s="798"/>
      <c r="CP91" s="799"/>
      <c r="CQ91" s="800"/>
      <c r="CR91" s="798"/>
      <c r="CS91" s="799"/>
      <c r="CT91" s="800"/>
      <c r="CU91" s="798" t="str">
        <f t="shared" si="17"/>
        <v/>
      </c>
      <c r="CV91" s="799"/>
      <c r="CW91" s="806"/>
      <c r="CX91" s="726"/>
      <c r="CY91" s="727"/>
      <c r="CZ91" s="732"/>
      <c r="DA91" s="726"/>
      <c r="DB91" s="727"/>
      <c r="DC91" s="732"/>
      <c r="DD91" s="726" t="str">
        <f t="shared" si="18"/>
        <v/>
      </c>
      <c r="DE91" s="727"/>
      <c r="DF91" s="728"/>
      <c r="DG91" s="53"/>
      <c r="DH91" s="54"/>
      <c r="DI91" s="54"/>
      <c r="DJ91" s="54"/>
      <c r="DK91" s="54"/>
      <c r="DL91" s="54"/>
      <c r="DM91" s="54"/>
      <c r="DN91" s="54"/>
      <c r="DO91" s="54"/>
      <c r="DP91" s="54"/>
      <c r="DQ91" s="57"/>
      <c r="DR91" s="57"/>
      <c r="DS91" s="57"/>
      <c r="DT91" s="57"/>
      <c r="DU91" s="57"/>
      <c r="DV91" s="57"/>
      <c r="DW91" s="57"/>
      <c r="DX91" s="57"/>
      <c r="DY91" s="57"/>
      <c r="DZ91" s="57"/>
      <c r="EA91" s="57"/>
      <c r="EB91" s="57"/>
      <c r="EC91" s="57"/>
      <c r="ED91" s="57"/>
      <c r="EE91" s="57"/>
      <c r="EF91" s="57"/>
      <c r="EG91" s="57"/>
      <c r="EH91" s="57"/>
      <c r="EI91" s="57"/>
      <c r="EJ91" s="57"/>
      <c r="EK91" s="57"/>
      <c r="EL91" s="133"/>
      <c r="EM91" s="133"/>
      <c r="EN91" s="133"/>
      <c r="EO91" s="133"/>
      <c r="EP91" s="133"/>
      <c r="EQ91" s="133"/>
      <c r="ER91" s="133"/>
      <c r="ES91" s="133"/>
      <c r="ET91" s="133"/>
      <c r="EU91" s="133"/>
      <c r="EV91" s="133"/>
      <c r="EW91" s="133"/>
      <c r="EX91" s="133"/>
      <c r="EY91" s="133"/>
      <c r="EZ91" s="133"/>
      <c r="FA91" s="133"/>
      <c r="FB91" s="133"/>
      <c r="FC91" s="133"/>
      <c r="FD91" s="133"/>
      <c r="FE91" s="133"/>
      <c r="FF91" s="133"/>
      <c r="FG91" s="133"/>
      <c r="FH91" s="133"/>
      <c r="FI91" s="133"/>
      <c r="FJ91" s="133"/>
      <c r="FK91" s="133"/>
      <c r="FL91" s="133"/>
      <c r="FM91" s="133"/>
      <c r="FN91" s="133"/>
      <c r="FO91" s="133"/>
      <c r="FQ91" s="125"/>
      <c r="FR91" s="123"/>
      <c r="FS91" s="121"/>
      <c r="FT91" s="119"/>
    </row>
    <row r="92" spans="2:176" ht="15.75" hidden="1" thickBot="1" x14ac:dyDescent="0.3">
      <c r="B92" s="62" t="b">
        <f>IF(OR(AND(G92&gt;='Geometry 2'!$AK$5,G92&lt;'Geometry 2'!$AL$5),AND(G92&gt;='Geometry 2'!$AK$6,G92&lt;'Geometry 2'!$AL$6),AND(G92&gt;='Geometry 2'!$AK$7,G92&lt;'Geometry 2'!$AL$7),AND(G92&gt;='Geometry 2'!$AK$8,G92&lt;'Geometry 2'!$AL$8),AND(G92&gt;='Geometry 2'!$AK$9,G92&lt;'Geometry 2'!$AL$9),AND(G92&gt;='Geometry 2'!$AK$10,G92&lt;'Geometry 2'!$AL$10),AND(G92&gt;='Geometry 2'!$AK$11,G92&lt;'Geometry 2'!$AL$11),AND(G92&gt;='Geometry 2'!$AK$12,G92&lt;'Geometry 2'!$AL$12),AND(G92&gt;='Geometry 2'!$AK$13,G92&lt;'Geometry 2'!$AL$13),AND(G92&gt;='Geometry 2'!$AK$14,G92&lt;'Geometry 2'!$AL$14)),TRUE,FALSE)</f>
        <v>0</v>
      </c>
      <c r="C92" s="4" t="str">
        <f t="shared" si="13"/>
        <v/>
      </c>
      <c r="D92" s="766" t="str">
        <f t="shared" si="14"/>
        <v/>
      </c>
      <c r="E92" s="767"/>
      <c r="F92" s="17" t="str">
        <f t="shared" si="12"/>
        <v/>
      </c>
      <c r="G92" s="768" t="str">
        <f>IF(D92="","",MAX(0,G91-IF(inc="n/a",999,inc),MAX(IF(G91&lt;=Hta_1,0,Hta_1),IF(G91&lt;=Hta_2,0,Hta_2),IF(G91&lt;=Hta_3,0,Hta_3),IF(G91&lt;=Hta_4,0,Hta_4),IF(G91&lt;=Hta_5,0,Hta_5),IF(G91&lt;=Hta_6,0,Hta_6),IF(G91&lt;=Hta_7,0,Hta_7),IF(G91&lt;=Hta_8,0,Hta_8),IF(G91&lt;=Hta_9,0,Hta_9),IF(G91&lt;=Hta_10,0,Hta_10),IF(G91&lt;=Hta_11,0,Hta_11),IF(G91&lt;=Hta_12,0,Hta_12),IF(G91&lt;=Hta_13,0,Hta_13),IF(G91&lt;=Hta_14,0,Hta_14),IF(G91&lt;=Hta_15,0,Hta_15),IF(G91&lt;=Hta_16,0,Hta_16),IF(G91&lt;=Hta_17,0,Hta_17),IF(G91&lt;=Hta_18,0,Hta_18),IF(G91&lt;=Hta_19,0,Hta_19),IF(G91&lt;=Hta_20,0,Hta_20),IF(G91&lt;=Hta_21,0,Hta_21),IF(G91&lt;=Hta_22,0,Hta_22),IF(G91&lt;=Hta_23,0,Hta_23),IF(G91&lt;=Hta_24,0,Hta_24),IF(G91&lt;=Hta_25,0,Hta_25),IF(G91&lt;=Hta_26,0,Hta_26),IF(G91&lt;=Hta_27,0,Hta_27),IF(G91&lt;=Hta_28,0,Hta_28),IF(G91&lt;=Hta_29,0,Hta_29),IF(G91&lt;=Hta_30,0,Hta_30)),MAX(IF(G91&lt;=Hta_1-0.25,0,Hta_1-0.25),IF(G91&lt;=Hta_2-0.25,0,Hta_2-0.25),IF(G91&lt;=Hta_3-0.25,0,Hta_3-0.25),IF(G91&lt;=Hta_4-0.25,0,Hta_4-0.25),IF(G91&lt;=Hta_5-0.25,0,Hta_5-0.25),IF(G91&lt;=Hta_6-0.25,0,Hta_6-0.25),IF(G91&lt;=Hta_7-0.25,0,Hta_7-0.25),IF(G91&lt;=Hta_8-0.25,0,Hta_8-0.25),IF(G91&lt;=Hta_9-0.25,0,Hta_9-0.25),IF(G91&lt;=Hta_10-0.25,0,Hta_10-0.25),IF(G91&lt;=Hta_11-0.25,0,Hta_11-0.25),IF(G91&lt;=Hta_12-0.25,0,Hta_12-0.25),IF(G91&lt;=Hta_13-0.25,0,Hta_13-0.25),IF(G91&lt;=Hta_14-0.25,0,Hta_14-0.25),IF(G91&lt;=Hta_15-0.25,0,Hta_15-0.25),IF(G91&lt;=Hta_16-0.25,0,Hta_16-0.25),IF(G91&lt;=Hta_17-0.25,0,Hta_17-0.25),IF(G91&lt;=Hta_18-0.25,0,Hta_18-0.25),IF(G91&lt;=Hta_19-0.25,0,Hta_19-0.25),IF(G91&lt;=Hta_20-0.25,0,Hta_20-0.25),IF(G91&lt;=Hta_21-0.25,0,Hta_21-0.25),IF(G91&lt;=Hta_22-0.25,0,Hta_22-0.25),IF(G91&lt;=Hta_23-0.25,0,Hta_23-0.25),IF(G91&lt;=Hta_24-0.25,0,Hta_24-0.25),IF(G91&lt;=Hta_25-0.25,0,Hta_25-0.25),IF(G91&lt;=Hta_26-0.25,0,Hta_26-0.25),IF(G91&lt;=Hta_27-0.25,0,Hta_27-0.25),IF(G91&lt;=Hta_28-0.25,0,Hta_28-0.25),IF(G91&lt;=Hta_29-0.25,0,Hta_29-0.25),IF(G91&lt;=Hta_30-0.25,0,Hta_30-0.25)),MAX(IF(G91&lt;=Hba_1,0,Hba_1),IF(G91&lt;=Hba_2,0,Hba_2),IF(G91&lt;=Hba_3,0,Hba_3),IF(G91&lt;=Hba_4,0,Hba_4),IF(G91&lt;=Hba_5,0,Hba_5),IF(G91&lt;=Hba_6,0,Hba_6),IF(G91&lt;=Hba_7,0,Hba_7),IF(G91&lt;=Hba_8,0,Hba_8),IF(G91&lt;=Hba_9,0,Hba_9),IF(G91&lt;=Hba_10,0,Hba_10),IF(G91&lt;=Hba_11,0,Hba_11),IF(G91&lt;=Hba_12,0,Hba_12),IF(G91&lt;=Hba_13,0,Hba_13),IF(G91&lt;=Hba_14,0,Hba_14),IF(G91&lt;=Hba_15,0,Hba_15),IF(G91&lt;=Hba_16,0,Hba_16),IF(G91&lt;=Hba_17,0,Hba_17),IF(G91&lt;=Hba_18,0,Hba_18),IF(G91&lt;=Hba_19,0,Hba_19),IF(G91&lt;=Hba_20,0,Hba_20),IF(G91&lt;=Hba_21,0,Hba_21),IF(G91&lt;=Hba_22,0,Hba_22),IF(G91&lt;=Hba_23,0,Hba_23),IF(G91&lt;=Hba_24,0,Hba_24),IF(G91&lt;=Hba_25,0,Hba_25),IF(G91&lt;=Hba_26,0,Hba_26),IF(G91&lt;=Hba_27,0,Hba_27),IF(G91&lt;=Hba_28,0,Hba_28),IF(G91&lt;=Hba_29,0,Hba_29),IF(G91&lt;=Hba_30,0,Hba_30)),MAX(IF(G91&lt;=Input!$C$8,0,Input!$C$8),IF(G91&lt;=Input!$C$9,0,Input!$C$9),IF(G91&lt;=Input!$C$10,0,Input!$C$10),IF(G91&lt;=Input!$C$11,0,Input!$C$11),IF(G91&lt;=Input!$C$12,0,Input!$C$12),IF(G91&lt;=Input!$C$13,0,Input!$C$13),IF(G91&lt;=Input!$C$14,0,Input!$C$14),IF(G91&lt;=Input!$C$15,0,Input!$C$15),IF(G91&lt;=Input!$C$16,0,Input!$C$16)),MAX(IF(G91&lt;=Hba_1-0.25,0,Hba_1-0.25),IF(G91&lt;=Hba_2-0.25,0,Hba_2-0.25),IF(G91&lt;=Hba_3-0.25,0,Hba_3-0.25),IF(G91&lt;=Hba_4-0.25,0,Hba_4-0.25),IF(G91&lt;=Hba_5-0.25,0,Hba_5-0.25),IF(G91&lt;=Hba_6-0.25,0,Hba_6-0.25),IF(G91&lt;=Hba_7-0.25,0,Hba_7-0.25),IF(G91&lt;=Hba_8-0.25,0,Hba_8-0.25),IF(G91&lt;=Hba_9-0.25,0,Hba_9-0.25),IF(G91&lt;=Hba_10-0.25,0,Hba_10-0.25),IF(G91&lt;=Hba_11-0.25,0,Hba_11-0.25),IF(G91&lt;=Hba_12-0.25,0,Hba_12-0.25),IF(G91&lt;=Hba_13-0.25,0,Hba_13-0.25),IF(G91&lt;=Hba_14-0.25,0,Hba_14-0.25),IF(G91&lt;=Hba_15-0.25,0,Hba_15-0.25),IF(G91&lt;=Hba_16-0.25,0,Hba_16-0.25),IF(G91&lt;=Hba_17-0.25,0,Hba_17-0.25),IF(G91&lt;=Hba_18-0.25,0,Hba_18-0.25),IF(G91&lt;=Hba_19-0.25,0,Hba_19-0.25),IF(G91&lt;=Hba_20-0.25,0,Hba_20-0.25),IF(G91&lt;=Hba_21-0.25,0,Hba_21-0.25),IF(G91&lt;=Hba_22-0.25,0,Hba_22-0.25),IF(G91&lt;=Hba_23-0.25,0,Hba_23-0.25),IF(G91&lt;=Hba_24-0.25,0,Hba_24-0.25),IF(G91&lt;=Hba_25-0.25,0,Hba_25-0.25),IF(G91&lt;=Hba_26-0.25,0,Hba_26-0.25),IF(G91&lt;=Hba_27-0.25,0,Hba_27-0.25),IF(G91&lt;=Hba_28-0.25,0,Hba_28-0.25),IF(G91&lt;=Hba_29-0.25,0,Hba_29-0.25),IF(G91&lt;=Hba_30-0.25,0,Hba_30-0.25)),IF(G91&lt;='Macro References'!$A$38,0,'Macro References'!$A$38)))</f>
        <v/>
      </c>
      <c r="H92" s="769"/>
      <c r="I92" s="228"/>
      <c r="J92" s="228"/>
      <c r="K92" s="228"/>
      <c r="L92" s="717" t="str">
        <f t="shared" si="11"/>
        <v/>
      </c>
      <c r="M92" s="717"/>
      <c r="N92" s="717"/>
      <c r="O92" s="717"/>
      <c r="P92" s="717" t="str">
        <f>IF(OR(G92=0,G92=""),"",IF(VLOOKUP(G92,'Geometry 2'!$C$4:$AI$14,1,TRUE)=VLOOKUP(G93,'Geometry 2'!$C$4:$AI$14,1,TRUE),"",IF(VLOOKUP(G92,'Geometry 2'!$C$4:$AI$14,33,TRUE)&lt;&gt;"n/a",MIN(G92,VLOOKUP(G92,'Geometry 2'!$C$4:$AI$14,1,TRUE))-VLOOKUP(G92,'Geometry 2'!$C$4:$AI$14,33,TRUE),"check")))</f>
        <v/>
      </c>
      <c r="Q92" s="717"/>
      <c r="R92" s="717"/>
      <c r="S92" s="717"/>
      <c r="T92" s="717" t="str">
        <f>IF($G92="","",VLOOKUP($G92,'Geometry 2'!$E$4:$AH$14,11,TRUE))</f>
        <v/>
      </c>
      <c r="U92" s="717"/>
      <c r="V92" s="717"/>
      <c r="W92" s="717"/>
      <c r="X92" s="716" t="str">
        <f>IF($G92="","",VLOOKUP($G92,'Geometry 2'!$E$4:$AJ$14,19,TRUE)-12*VLOOKUP($G92,'Geometry 2'!$E$4:$AJ$14,32,TRUE)*($D92-VLOOKUP($G92,'Geometry 2'!$E$5:$AH$14,1,TRUE)))</f>
        <v/>
      </c>
      <c r="Y92" s="716"/>
      <c r="Z92" s="716"/>
      <c r="AA92" s="716"/>
      <c r="AB92" s="757" t="str">
        <f>IF($G92="","",VLOOKUP($G92,'Geometry 2'!$E$4:$AJ$14,19,TRUE)-12*VLOOKUP($G92,'Geometry 2'!$E$4:$AJ$14,32,TRUE)*($G92-VLOOKUP($G92,'Geometry 2'!$E$5:$AH$14,1,TRUE)))</f>
        <v/>
      </c>
      <c r="AC92" s="758"/>
      <c r="AD92" s="758"/>
      <c r="AE92" s="759"/>
      <c r="AF92" s="716" t="str">
        <f>IF($G92="","",VLOOKUP($G92,'Geometry 2'!$E$4:$AJ$14,19,TRUE)-12*VLOOKUP($G92,'Geometry 2'!$E$4:$AJ$14,32,TRUE)*($G92-IF($P92="",0,$P92)-VLOOKUP($G92,'Geometry 2'!$E$5:$AH$14,1,TRUE)))</f>
        <v/>
      </c>
      <c r="AG92" s="716"/>
      <c r="AH92" s="716"/>
      <c r="AI92" s="716"/>
      <c r="AJ92" s="746" t="str">
        <f>IF($G92="","",VLOOKUP($G92,'Geometry 2'!$E$4:$AH$14,23,TRUE))</f>
        <v/>
      </c>
      <c r="AK92" s="747"/>
      <c r="AL92" s="747"/>
      <c r="AM92" s="748"/>
      <c r="AN92" s="717"/>
      <c r="AO92" s="717"/>
      <c r="AP92" s="717"/>
      <c r="AQ92" s="717"/>
      <c r="AR92" s="717" t="str">
        <f>IF($G92="","",VLOOKUP($G92,'Geometry 2'!$E$4:$AH$14,27,TRUE))</f>
        <v/>
      </c>
      <c r="AS92" s="717"/>
      <c r="AT92" s="717"/>
      <c r="AU92" s="718"/>
      <c r="AV92" s="715"/>
      <c r="AW92" s="716"/>
      <c r="AX92" s="716"/>
      <c r="AZ92" s="722" t="str">
        <f t="shared" si="15"/>
        <v/>
      </c>
      <c r="BA92" s="723"/>
      <c r="BB92" s="723"/>
      <c r="BC92" s="724"/>
      <c r="BD92" s="722"/>
      <c r="BE92" s="723"/>
      <c r="BF92" s="723"/>
      <c r="BG92" s="722" t="str">
        <f t="shared" si="19"/>
        <v/>
      </c>
      <c r="BH92" s="723"/>
      <c r="BI92" s="723"/>
      <c r="BJ92" s="723"/>
      <c r="BK92" s="724"/>
      <c r="BL92" s="722"/>
      <c r="BM92" s="723"/>
      <c r="BN92" s="723"/>
      <c r="BO92" s="723"/>
      <c r="BP92" s="725"/>
      <c r="BQ92" s="725"/>
      <c r="BR92" s="722" t="str">
        <f>IF(BP92="","",IF(OR(AND(Rev="H",Calculations!$F$27=TRUE),AND(Rev&lt;&gt;"H",Calculations!$F$30=TRUE)),IF(BP92&lt;=1,"Pass","Fail"),IF(BP92&lt;=1.05,"Pass","Fail")))</f>
        <v/>
      </c>
      <c r="BS92" s="723"/>
      <c r="BT92" s="724"/>
      <c r="BU92" s="49"/>
      <c r="BV92" s="25" t="str">
        <f>IFERROR(CONCATENATE(IF(AND($G92&lt;Hta_1,$G92&gt;=Hba_1,Input!U$21&lt;&gt;""),Input!$B$21&amp;";",""),IF(AND($G92&lt;Hta_2,$G92&gt;=Hba_2,Input!U$22&lt;&gt;""),Input!$B$22&amp;";",""),IF(AND($G92&lt;Hta_3,$G92&gt;=Hba_3,Input!U$23&lt;&gt;""),Input!$B$23&amp;";",""),IF(AND($G92&lt;Hta_4,$G92&gt;=Hba_4,Input!U$24&lt;&gt;""),Input!$B$24&amp;";",""),IF(AND($G92&lt;Hta_5,$G92&gt;=Hba_5,Input!U$25&lt;&gt;""),Input!$B$25&amp;";",""),IF(AND($G92&lt;Hta_6,$G92&gt;=Hba_6,Input!U$26&lt;&gt;""),Input!$B$26&amp;";",""),IF(AND($G92&lt;Hta_7,$G92&gt;=Hba_7,Input!U$27&lt;&gt;""),Input!$B$27&amp;";",""),IF(AND($G92&lt;Hta_8,$G92&gt;=Hba_8,Input!U$28&lt;&gt;""),Input!$B$28&amp;";",""),IF(AND($G92&lt;Hta_9,$G92&gt;=Hba_9,Input!U$29&lt;&gt;""),Input!$B$29&amp;";",""),IF(AND($G92&lt;Hta_10,$G92&gt;=Hba_10,Input!U$30&lt;&gt;""),Input!$B$30&amp;";",""),IF(AND($G92&lt;Hta_11,$G92&gt;=Hba_11,Input!U$31&lt;&gt;""),Input!$B$31&amp;";",""),IF(AND($G92&lt;Hta_12,$G92&gt;=Hba_12,Input!U$32&lt;&gt;""),Input!$B$32&amp;";",""),IF(AND($G92&lt;Hta_13,$G92&gt;=Hba_13,Input!U$33&lt;&gt;""),Input!$B$33&amp;";",""),IF(AND($G92&lt;Hta_14,$G92&gt;=Hba_14,Input!U$34&lt;&gt;""),Input!$B$34&amp;";",""),IF(AND($G92&lt;Hta_15,$G92&gt;=Hba_15,Input!U$35&lt;&gt;""),Input!$B$35&amp;";",""),IF(AND($G92&lt;Hta_16,$G92&gt;=Hba_16,Input!U$36&lt;&gt;""),Input!$B$36&amp;";",""),IF(AND($G92&lt;Hta_17,$G92&gt;=Hba_17,Input!U$37&lt;&gt;""),Input!$B$37&amp;";",""),IF(AND($G92&lt;Hta_18,$G92&gt;=Hba_18,Input!U$38&lt;&gt;""),Input!$B$38&amp;";",""),IF(AND($G92&lt;Hta_19,$G92&gt;=Hba_19,Input!U$39&lt;&gt;""),Input!$B$39&amp;";",""),IF(AND($G92&lt;Hta_20,$G92&gt;=Hba_20,Input!U$40&lt;&gt;""),Input!$B$40&amp;";",""),IF(AND($G92&lt;Hta_21,$G92&gt;=Hba_21,Input!U$41&lt;&gt;""),Input!$B$41&amp;";",""),IF(AND($G92&lt;Hta_22,$G92&gt;=Hba_22,Input!U$42&lt;&gt;""),Input!$B$42&amp;";",""),IF(AND($G92&lt;Hta_23,$G92&gt;=Hba_23,Input!U$43&lt;&gt;""),Input!$B$43&amp;";",""),IF(AND($G92&lt;Hta_24,$G92&gt;=Hba_24,Input!U$44&lt;&gt;""),Input!$B$44&amp;";",""),IF(AND($G92&lt;Hta_25,$G92&gt;=Hba_25,Input!U$45&lt;&gt;""),Input!$B$45&amp;";",""),IF(AND($G92&lt;Hta_26,$G92&gt;=Hba_26,Input!U$46&lt;&gt;""),Input!$B$46&amp;";",""),IF(AND($G92&lt;Hta_27,$G92&gt;=Hba_27,Input!U$47&lt;&gt;""),Input!$B$47&amp;";",""),IF(AND($G92&lt;Hta_28,$G92&gt;=Hba_28,Input!U$48&lt;&gt;""),Input!$B$48&amp;";",""),IF(AND($G92&lt;Hta_29,$G92&gt;=Hba_29,Input!U$49&lt;&gt;""),Input!$B$49&amp;";",""),IF(AND($G92&lt;Hta_30,$G92&gt;=Hba_30,Input!U$50&lt;&gt;""),Input!$B$50&amp;";","")),"")</f>
        <v/>
      </c>
      <c r="BW92" s="25" t="str">
        <f>IFERROR(CONCATENATE(IF(AND($G92&lt;Hta_1,$G92&gt;=Hba_1,Input!V$21&lt;&gt;""),Input!$B$21&amp;";",""),IF(AND($G92&lt;Hta_2,$G92&gt;=Hba_2,Input!V$22&lt;&gt;""),Input!$B$22&amp;";",""),IF(AND($G92&lt;Hta_3,$G92&gt;=Hba_3,Input!V$23&lt;&gt;""),Input!$B$23&amp;";",""),IF(AND($G92&lt;Hta_4,$G92&gt;=Hba_4,Input!V$24&lt;&gt;""),Input!$B$24&amp;";",""),IF(AND($G92&lt;Hta_5,$G92&gt;=Hba_5,Input!V$25&lt;&gt;""),Input!$B$25&amp;";",""),IF(AND($G92&lt;Hta_6,$G92&gt;=Hba_6,Input!V$26&lt;&gt;""),Input!$B$26&amp;";",""),IF(AND($G92&lt;Hta_7,$G92&gt;=Hba_7,Input!V$27&lt;&gt;""),Input!$B$27&amp;";",""),IF(AND($G92&lt;Hta_8,$G92&gt;=Hba_8,Input!V$28&lt;&gt;""),Input!$B$28&amp;";",""),IF(AND($G92&lt;Hta_9,$G92&gt;=Hba_9,Input!V$29&lt;&gt;""),Input!$B$29&amp;";",""),IF(AND($G92&lt;Hta_10,$G92&gt;=Hba_10,Input!V$30&lt;&gt;""),Input!$B$30&amp;";",""),IF(AND($G92&lt;Hta_11,$G92&gt;=Hba_11,Input!V$31&lt;&gt;""),Input!$B$31&amp;";",""),IF(AND($G92&lt;Hta_12,$G92&gt;=Hba_12,Input!V$32&lt;&gt;""),Input!$B$32&amp;";",""),IF(AND($G92&lt;Hta_13,$G92&gt;=Hba_13,Input!V$33&lt;&gt;""),Input!$B$33&amp;";",""),IF(AND($G92&lt;Hta_14,$G92&gt;=Hba_14,Input!V$34&lt;&gt;""),Input!$B$34&amp;";",""),IF(AND($G92&lt;Hta_15,$G92&gt;=Hba_15,Input!V$35&lt;&gt;""),Input!$B$35&amp;";",""),IF(AND($G92&lt;Hta_16,$G92&gt;=Hba_16,Input!V$36&lt;&gt;""),Input!$B$36&amp;";",""),IF(AND($G92&lt;Hta_17,$G92&gt;=Hba_17,Input!V$37&lt;&gt;""),Input!$B$37&amp;";",""),IF(AND($G92&lt;Hta_18,$G92&gt;=Hba_18,Input!V$38&lt;&gt;""),Input!$B$38&amp;";",""),IF(AND($G92&lt;Hta_19,$G92&gt;=Hba_19,Input!V$39&lt;&gt;""),Input!$B$39&amp;";",""),IF(AND($G92&lt;Hta_20,$G92&gt;=Hba_20,Input!V$40&lt;&gt;""),Input!$B$40&amp;";",""),IF(AND($G92&lt;Hta_21,$G92&gt;=Hba_21,Input!V$41&lt;&gt;""),Input!$B$41&amp;";",""),IF(AND($G92&lt;Hta_22,$G92&gt;=Hba_22,Input!V$42&lt;&gt;""),Input!$B$42&amp;";",""),IF(AND($G92&lt;Hta_23,$G92&gt;=Hba_23,Input!V$43&lt;&gt;""),Input!$B$43&amp;";",""),IF(AND($G92&lt;Hta_24,$G92&gt;=Hba_24,Input!V$44&lt;&gt;""),Input!$B$44&amp;";",""),IF(AND($G92&lt;Hta_25,$G92&gt;=Hba_25,Input!V$45&lt;&gt;""),Input!$B$45&amp;";",""),IF(AND($G92&lt;Hta_26,$G92&gt;=Hba_26,Input!V$46&lt;&gt;""),Input!$B$46&amp;";",""),IF(AND($G92&lt;Hta_27,$G92&gt;=Hba_27,Input!V$47&lt;&gt;""),Input!$B$47&amp;";",""),IF(AND($G92&lt;Hta_28,$G92&gt;=Hba_28,Input!V$48&lt;&gt;""),Input!$B$48&amp;";",""),IF(AND($G92&lt;Hta_29,$G92&gt;=Hba_29,Input!V$49&lt;&gt;""),Input!$B$49&amp;";",""),IF(AND($G92&lt;Hta_30,$G92&gt;=Hba_30,Input!V$50&lt;&gt;""),Input!$B$50&amp;";","")),"")</f>
        <v/>
      </c>
      <c r="BX92" s="25" t="str">
        <f>IFERROR(CONCATENATE(IF(AND($G92&lt;Hta_1,$G92&gt;=Hba_1,Input!W$21&lt;&gt;""),Input!$B$21&amp;";",""),IF(AND($G92&lt;Hta_2,$G92&gt;=Hba_2,Input!W$22&lt;&gt;""),Input!$B$22&amp;";",""),IF(AND($G92&lt;Hta_3,$G92&gt;=Hba_3,Input!W$23&lt;&gt;""),Input!$B$23&amp;";",""),IF(AND($G92&lt;Hta_4,$G92&gt;=Hba_4,Input!W$24&lt;&gt;""),Input!$B$24&amp;";",""),IF(AND($G92&lt;Hta_5,$G92&gt;=Hba_5,Input!W$25&lt;&gt;""),Input!$B$25&amp;";",""),IF(AND($G92&lt;Hta_6,$G92&gt;=Hba_6,Input!W$26&lt;&gt;""),Input!$B$26&amp;";",""),IF(AND($G92&lt;Hta_7,$G92&gt;=Hba_7,Input!W$27&lt;&gt;""),Input!$B$27&amp;";",""),IF(AND($G92&lt;Hta_8,$G92&gt;=Hba_8,Input!W$28&lt;&gt;""),Input!$B$28&amp;";",""),IF(AND($G92&lt;Hta_9,$G92&gt;=Hba_9,Input!W$29&lt;&gt;""),Input!$B$29&amp;";",""),IF(AND($G92&lt;Hta_10,$G92&gt;=Hba_10,Input!W$30&lt;&gt;""),Input!$B$30&amp;";",""),IF(AND($G92&lt;Hta_11,$G92&gt;=Hba_11,Input!W$31&lt;&gt;""),Input!$B$31&amp;";",""),IF(AND($G92&lt;Hta_12,$G92&gt;=Hba_12,Input!W$32&lt;&gt;""),Input!$B$32&amp;";",""),IF(AND($G92&lt;Hta_13,$G92&gt;=Hba_13,Input!W$33&lt;&gt;""),Input!$B$33&amp;";",""),IF(AND($G92&lt;Hta_14,$G92&gt;=Hba_14,Input!W$34&lt;&gt;""),Input!$B$34&amp;";",""),IF(AND($G92&lt;Hta_15,$G92&gt;=Hba_15,Input!W$35&lt;&gt;""),Input!$B$35&amp;";",""),IF(AND($G92&lt;Hta_16,$G92&gt;=Hba_16,Input!W$36&lt;&gt;""),Input!$B$36&amp;";",""),IF(AND($G92&lt;Hta_17,$G92&gt;=Hba_17,Input!W$37&lt;&gt;""),Input!$B$37&amp;";",""),IF(AND($G92&lt;Hta_18,$G92&gt;=Hba_18,Input!W$38&lt;&gt;""),Input!$B$38&amp;";",""),IF(AND($G92&lt;Hta_19,$G92&gt;=Hba_19,Input!W$39&lt;&gt;""),Input!$B$39&amp;";",""),IF(AND($G92&lt;Hta_20,$G92&gt;=Hba_20,Input!W$40&lt;&gt;""),Input!$B$40&amp;";",""),IF(AND($G92&lt;Hta_21,$G92&gt;=Hba_21,Input!W$41&lt;&gt;""),Input!$B$41&amp;";",""),IF(AND($G92&lt;Hta_22,$G92&gt;=Hba_22,Input!W$42&lt;&gt;""),Input!$B$42&amp;";",""),IF(AND($G92&lt;Hta_23,$G92&gt;=Hba_23,Input!W$43&lt;&gt;""),Input!$B$43&amp;";",""),IF(AND($G92&lt;Hta_24,$G92&gt;=Hba_24,Input!W$44&lt;&gt;""),Input!$B$44&amp;";",""),IF(AND($G92&lt;Hta_25,$G92&gt;=Hba_25,Input!W$45&lt;&gt;""),Input!$B$45&amp;";",""),IF(AND($G92&lt;Hta_26,$G92&gt;=Hba_26,Input!W$46&lt;&gt;""),Input!$B$46&amp;";",""),IF(AND($G92&lt;Hta_27,$G92&gt;=Hba_27,Input!W$47&lt;&gt;""),Input!$B$47&amp;";",""),IF(AND($G92&lt;Hta_28,$G92&gt;=Hba_28,Input!W$48&lt;&gt;""),Input!$B$48&amp;";",""),IF(AND($G92&lt;Hta_29,$G92&gt;=Hba_29,Input!W$49&lt;&gt;""),Input!$B$49&amp;";",""),IF(AND($G92&lt;Hta_30,$G92&gt;=Hba_30,Input!W$50&lt;&gt;""),Input!$B$50&amp;";","")),"")</f>
        <v/>
      </c>
      <c r="BY92" s="25" t="str">
        <f>IFERROR(CONCATENATE(IF(AND($G92&lt;Hta_1,$G92&gt;=Hba_1,Input!X$21&lt;&gt;""),Input!$B$21&amp;";",""),IF(AND($G92&lt;Hta_2,$G92&gt;=Hba_2,Input!X$22&lt;&gt;""),Input!$B$22&amp;";",""),IF(AND($G92&lt;Hta_3,$G92&gt;=Hba_3,Input!X$23&lt;&gt;""),Input!$B$23&amp;";",""),IF(AND($G92&lt;Hta_4,$G92&gt;=Hba_4,Input!X$24&lt;&gt;""),Input!$B$24&amp;";",""),IF(AND($G92&lt;Hta_5,$G92&gt;=Hba_5,Input!X$25&lt;&gt;""),Input!$B$25&amp;";",""),IF(AND($G92&lt;Hta_6,$G92&gt;=Hba_6,Input!X$26&lt;&gt;""),Input!$B$26&amp;";",""),IF(AND($G92&lt;Hta_7,$G92&gt;=Hba_7,Input!X$27&lt;&gt;""),Input!$B$27&amp;";",""),IF(AND($G92&lt;Hta_8,$G92&gt;=Hba_8,Input!X$28&lt;&gt;""),Input!$B$28&amp;";",""),IF(AND($G92&lt;Hta_9,$G92&gt;=Hba_9,Input!X$29&lt;&gt;""),Input!$B$29&amp;";",""),IF(AND($G92&lt;Hta_10,$G92&gt;=Hba_10,Input!X$30&lt;&gt;""),Input!$B$30&amp;";",""),IF(AND($G92&lt;Hta_11,$G92&gt;=Hba_11,Input!X$31&lt;&gt;""),Input!$B$31&amp;";",""),IF(AND($G92&lt;Hta_12,$G92&gt;=Hba_12,Input!X$32&lt;&gt;""),Input!$B$32&amp;";",""),IF(AND($G92&lt;Hta_13,$G92&gt;=Hba_13,Input!X$33&lt;&gt;""),Input!$B$33&amp;";",""),IF(AND($G92&lt;Hta_14,$G92&gt;=Hba_14,Input!X$34&lt;&gt;""),Input!$B$34&amp;";",""),IF(AND($G92&lt;Hta_15,$G92&gt;=Hba_15,Input!X$35&lt;&gt;""),Input!$B$35&amp;";",""),IF(AND($G92&lt;Hta_16,$G92&gt;=Hba_16,Input!X$36&lt;&gt;""),Input!$B$36&amp;";",""),IF(AND($G92&lt;Hta_17,$G92&gt;=Hba_17,Input!X$37&lt;&gt;""),Input!$B$37&amp;";",""),IF(AND($G92&lt;Hta_18,$G92&gt;=Hba_18,Input!X$38&lt;&gt;""),Input!$B$38&amp;";",""),IF(AND($G92&lt;Hta_19,$G92&gt;=Hba_19,Input!X$39&lt;&gt;""),Input!$B$39&amp;";",""),IF(AND($G92&lt;Hta_20,$G92&gt;=Hba_20,Input!X$40&lt;&gt;""),Input!$B$40&amp;";",""),IF(AND($G92&lt;Hta_21,$G92&gt;=Hba_21,Input!X$41&lt;&gt;""),Input!$B$41&amp;";",""),IF(AND($G92&lt;Hta_22,$G92&gt;=Hba_22,Input!X$42&lt;&gt;""),Input!$B$42&amp;";",""),IF(AND($G92&lt;Hta_23,$G92&gt;=Hba_23,Input!X$43&lt;&gt;""),Input!$B$43&amp;";",""),IF(AND($G92&lt;Hta_24,$G92&gt;=Hba_24,Input!X$44&lt;&gt;""),Input!$B$44&amp;";",""),IF(AND($G92&lt;Hta_25,$G92&gt;=Hba_25,Input!X$45&lt;&gt;""),Input!$B$45&amp;";",""),IF(AND($G92&lt;Hta_26,$G92&gt;=Hba_26,Input!X$46&lt;&gt;""),Input!$B$46&amp;";",""),IF(AND($G92&lt;Hta_27,$G92&gt;=Hba_27,Input!X$47&lt;&gt;""),Input!$B$47&amp;";",""),IF(AND($G92&lt;Hta_28,$G92&gt;=Hba_28,Input!X$48&lt;&gt;""),Input!$B$48&amp;";",""),IF(AND($G92&lt;Hta_29,$G92&gt;=Hba_29,Input!X$49&lt;&gt;""),Input!$B$49&amp;";",""),IF(AND($G92&lt;Hta_30,$G92&gt;=Hba_30,Input!X$50&lt;&gt;""),Input!$B$50&amp;";","")),"")</f>
        <v/>
      </c>
      <c r="BZ92" s="25" t="str">
        <f>IFERROR(CONCATENATE(IF(AND($G92&lt;Hta_1,$G92&gt;=Hba_1,Input!Y$21&lt;&gt;""),Input!$B$21&amp;";",""),IF(AND($G92&lt;Hta_2,$G92&gt;=Hba_2,Input!Y$22&lt;&gt;""),Input!$B$22&amp;";",""),IF(AND($G92&lt;Hta_3,$G92&gt;=Hba_3,Input!Y$23&lt;&gt;""),Input!$B$23&amp;";",""),IF(AND($G92&lt;Hta_4,$G92&gt;=Hba_4,Input!Y$24&lt;&gt;""),Input!$B$24&amp;";",""),IF(AND($G92&lt;Hta_5,$G92&gt;=Hba_5,Input!Y$25&lt;&gt;""),Input!$B$25&amp;";",""),IF(AND($G92&lt;Hta_6,$G92&gt;=Hba_6,Input!Y$26&lt;&gt;""),Input!$B$26&amp;";",""),IF(AND($G92&lt;Hta_7,$G92&gt;=Hba_7,Input!Y$27&lt;&gt;""),Input!$B$27&amp;";",""),IF(AND($G92&lt;Hta_8,$G92&gt;=Hba_8,Input!Y$28&lt;&gt;""),Input!$B$28&amp;";",""),IF(AND($G92&lt;Hta_9,$G92&gt;=Hba_9,Input!Y$29&lt;&gt;""),Input!$B$29&amp;";",""),IF(AND($G92&lt;Hta_10,$G92&gt;=Hba_10,Input!Y$30&lt;&gt;""),Input!$B$30&amp;";",""),IF(AND($G92&lt;Hta_11,$G92&gt;=Hba_11,Input!Y$31&lt;&gt;""),Input!$B$31&amp;";",""),IF(AND($G92&lt;Hta_12,$G92&gt;=Hba_12,Input!Y$32&lt;&gt;""),Input!$B$32&amp;";",""),IF(AND($G92&lt;Hta_13,$G92&gt;=Hba_13,Input!Y$33&lt;&gt;""),Input!$B$33&amp;";",""),IF(AND($G92&lt;Hta_14,$G92&gt;=Hba_14,Input!Y$34&lt;&gt;""),Input!$B$34&amp;";",""),IF(AND($G92&lt;Hta_15,$G92&gt;=Hba_15,Input!Y$35&lt;&gt;""),Input!$B$35&amp;";",""),IF(AND($G92&lt;Hta_16,$G92&gt;=Hba_16,Input!Y$36&lt;&gt;""),Input!$B$36&amp;";",""),IF(AND($G92&lt;Hta_17,$G92&gt;=Hba_17,Input!Y$37&lt;&gt;""),Input!$B$37&amp;";",""),IF(AND($G92&lt;Hta_18,$G92&gt;=Hba_18,Input!Y$38&lt;&gt;""),Input!$B$38&amp;";",""),IF(AND($G92&lt;Hta_19,$G92&gt;=Hba_19,Input!Y$39&lt;&gt;""),Input!$B$39&amp;";",""),IF(AND($G92&lt;Hta_20,$G92&gt;=Hba_20,Input!Y$40&lt;&gt;""),Input!$B$40&amp;";",""),IF(AND($G92&lt;Hta_21,$G92&gt;=Hba_21,Input!Y$41&lt;&gt;""),Input!$B$41&amp;";",""),IF(AND($G92&lt;Hta_22,$G92&gt;=Hba_22,Input!Y$42&lt;&gt;""),Input!$B$42&amp;";",""),IF(AND($G92&lt;Hta_23,$G92&gt;=Hba_23,Input!Y$43&lt;&gt;""),Input!$B$43&amp;";",""),IF(AND($G92&lt;Hta_24,$G92&gt;=Hba_24,Input!Y$44&lt;&gt;""),Input!$B$44&amp;";",""),IF(AND($G92&lt;Hta_25,$G92&gt;=Hba_25,Input!Y$45&lt;&gt;""),Input!$B$45&amp;";",""),IF(AND($G92&lt;Hta_26,$G92&gt;=Hba_26,Input!Y$46&lt;&gt;""),Input!$B$46&amp;";",""),IF(AND($G92&lt;Hta_27,$G92&gt;=Hba_27,Input!Y$47&lt;&gt;""),Input!$B$47&amp;";",""),IF(AND($G92&lt;Hta_28,$G92&gt;=Hba_28,Input!Y$48&lt;&gt;""),Input!$B$48&amp;";",""),IF(AND($G92&lt;Hta_29,$G92&gt;=Hba_29,Input!Y$49&lt;&gt;""),Input!$B$49&amp;";",""),IF(AND($G92&lt;Hta_30,$G92&gt;=Hba_30,Input!Y$50&lt;&gt;""),Input!$B$50&amp;";","")),"")</f>
        <v/>
      </c>
      <c r="CA92" s="25" t="str">
        <f>IFERROR(CONCATENATE(IF(AND($G92&lt;Hta_1,$G92&gt;=Hba_1,Input!Z$21&lt;&gt;""),Input!$B$21&amp;";",""),IF(AND($G92&lt;Hta_2,$G92&gt;=Hba_2,Input!Z$22&lt;&gt;""),Input!$B$22&amp;";",""),IF(AND($G92&lt;Hta_3,$G92&gt;=Hba_3,Input!Z$23&lt;&gt;""),Input!$B$23&amp;";",""),IF(AND($G92&lt;Hta_4,$G92&gt;=Hba_4,Input!Z$24&lt;&gt;""),Input!$B$24&amp;";",""),IF(AND($G92&lt;Hta_5,$G92&gt;=Hba_5,Input!Z$25&lt;&gt;""),Input!$B$25&amp;";",""),IF(AND($G92&lt;Hta_6,$G92&gt;=Hba_6,Input!Z$26&lt;&gt;""),Input!$B$26&amp;";",""),IF(AND($G92&lt;Hta_7,$G92&gt;=Hba_7,Input!Z$27&lt;&gt;""),Input!$B$27&amp;";",""),IF(AND($G92&lt;Hta_8,$G92&gt;=Hba_8,Input!Z$28&lt;&gt;""),Input!$B$28&amp;";",""),IF(AND($G92&lt;Hta_9,$G92&gt;=Hba_9,Input!Z$29&lt;&gt;""),Input!$B$29&amp;";",""),IF(AND($G92&lt;Hta_10,$G92&gt;=Hba_10,Input!Z$30&lt;&gt;""),Input!$B$30&amp;";",""),IF(AND($G92&lt;Hta_11,$G92&gt;=Hba_11,Input!Z$31&lt;&gt;""),Input!$B$31&amp;";",""),IF(AND($G92&lt;Hta_12,$G92&gt;=Hba_12,Input!Z$32&lt;&gt;""),Input!$B$32&amp;";",""),IF(AND($G92&lt;Hta_13,$G92&gt;=Hba_13,Input!Z$33&lt;&gt;""),Input!$B$33&amp;";",""),IF(AND($G92&lt;Hta_14,$G92&gt;=Hba_14,Input!Z$34&lt;&gt;""),Input!$B$34&amp;";",""),IF(AND($G92&lt;Hta_15,$G92&gt;=Hba_15,Input!Z$35&lt;&gt;""),Input!$B$35&amp;";",""),IF(AND($G92&lt;Hta_16,$G92&gt;=Hba_16,Input!Z$36&lt;&gt;""),Input!$B$36&amp;";",""),IF(AND($G92&lt;Hta_17,$G92&gt;=Hba_17,Input!Z$37&lt;&gt;""),Input!$B$37&amp;";",""),IF(AND($G92&lt;Hta_18,$G92&gt;=Hba_18,Input!Z$38&lt;&gt;""),Input!$B$38&amp;";",""),IF(AND($G92&lt;Hta_19,$G92&gt;=Hba_19,Input!Z$39&lt;&gt;""),Input!$B$39&amp;";",""),IF(AND($G92&lt;Hta_20,$G92&gt;=Hba_20,Input!Z$40&lt;&gt;""),Input!$B$40&amp;";",""),IF(AND($G92&lt;Hta_21,$G92&gt;=Hba_21,Input!Z$41&lt;&gt;""),Input!$B$41&amp;";",""),IF(AND($G92&lt;Hta_22,$G92&gt;=Hba_22,Input!Z$42&lt;&gt;""),Input!$B$42&amp;";",""),IF(AND($G92&lt;Hta_23,$G92&gt;=Hba_23,Input!Z$43&lt;&gt;""),Input!$B$43&amp;";",""),IF(AND($G92&lt;Hta_24,$G92&gt;=Hba_24,Input!Z$44&lt;&gt;""),Input!$B$44&amp;";",""),IF(AND($G92&lt;Hta_25,$G92&gt;=Hba_25,Input!Z$45&lt;&gt;""),Input!$B$45&amp;";",""),IF(AND($G92&lt;Hta_26,$G92&gt;=Hba_26,Input!Z$46&lt;&gt;""),Input!$B$46&amp;";",""),IF(AND($G92&lt;Hta_27,$G92&gt;=Hba_27,Input!Z$47&lt;&gt;""),Input!$B$47&amp;";",""),IF(AND($G92&lt;Hta_28,$G92&gt;=Hba_28,Input!Z$48&lt;&gt;""),Input!$B$48&amp;";",""),IF(AND($G92&lt;Hta_29,$G92&gt;=Hba_29,Input!Z$49&lt;&gt;""),Input!$B$49&amp;";",""),IF(AND($G92&lt;Hta_30,$G92&gt;=Hba_30,Input!Z$50&lt;&gt;""),Input!$B$50&amp;";","")),"")</f>
        <v/>
      </c>
      <c r="CB92" s="25" t="str">
        <f>IFERROR(CONCATENATE(IF(AND($G92&lt;Hta_1,$G92&gt;=Hba_1,Input!AA$21&lt;&gt;""),Input!$B$21&amp;";",""),IF(AND($G92&lt;Hta_2,$G92&gt;=Hba_2,Input!AA$22&lt;&gt;""),Input!$B$22&amp;";",""),IF(AND($G92&lt;Hta_3,$G92&gt;=Hba_3,Input!AA$23&lt;&gt;""),Input!$B$23&amp;";",""),IF(AND($G92&lt;Hta_4,$G92&gt;=Hba_4,Input!AA$24&lt;&gt;""),Input!$B$24&amp;";",""),IF(AND($G92&lt;Hta_5,$G92&gt;=Hba_5,Input!AA$25&lt;&gt;""),Input!$B$25&amp;";",""),IF(AND($G92&lt;Hta_6,$G92&gt;=Hba_6,Input!AA$26&lt;&gt;""),Input!$B$26&amp;";",""),IF(AND($G92&lt;Hta_7,$G92&gt;=Hba_7,Input!AA$27&lt;&gt;""),Input!$B$27&amp;";",""),IF(AND($G92&lt;Hta_8,$G92&gt;=Hba_8,Input!AA$28&lt;&gt;""),Input!$B$28&amp;";",""),IF(AND($G92&lt;Hta_9,$G92&gt;=Hba_9,Input!AA$29&lt;&gt;""),Input!$B$29&amp;";",""),IF(AND($G92&lt;Hta_10,$G92&gt;=Hba_10,Input!AA$30&lt;&gt;""),Input!$B$30&amp;";",""),IF(AND($G92&lt;Hta_11,$G92&gt;=Hba_11,Input!AA$31&lt;&gt;""),Input!$B$31&amp;";",""),IF(AND($G92&lt;Hta_12,$G92&gt;=Hba_12,Input!AA$32&lt;&gt;""),Input!$B$32&amp;";",""),IF(AND($G92&lt;Hta_13,$G92&gt;=Hba_13,Input!AA$33&lt;&gt;""),Input!$B$33&amp;";",""),IF(AND($G92&lt;Hta_14,$G92&gt;=Hba_14,Input!AA$34&lt;&gt;""),Input!$B$34&amp;";",""),IF(AND($G92&lt;Hta_15,$G92&gt;=Hba_15,Input!AA$35&lt;&gt;""),Input!$B$35&amp;";",""),IF(AND($G92&lt;Hta_16,$G92&gt;=Hba_16,Input!AA$36&lt;&gt;""),Input!$B$36&amp;";",""),IF(AND($G92&lt;Hta_17,$G92&gt;=Hba_17,Input!AA$37&lt;&gt;""),Input!$B$37&amp;";",""),IF(AND($G92&lt;Hta_18,$G92&gt;=Hba_18,Input!AA$38&lt;&gt;""),Input!$B$38&amp;";",""),IF(AND($G92&lt;Hta_19,$G92&gt;=Hba_19,Input!AA$39&lt;&gt;""),Input!$B$39&amp;";",""),IF(AND($G92&lt;Hta_20,$G92&gt;=Hba_20,Input!AA$40&lt;&gt;""),Input!$B$40&amp;";",""),IF(AND($G92&lt;Hta_21,$G92&gt;=Hba_21,Input!AA$41&lt;&gt;""),Input!$B$41&amp;";",""),IF(AND($G92&lt;Hta_22,$G92&gt;=Hba_22,Input!AA$42&lt;&gt;""),Input!$B$42&amp;";",""),IF(AND($G92&lt;Hta_23,$G92&gt;=Hba_23,Input!AA$43&lt;&gt;""),Input!$B$43&amp;";",""),IF(AND($G92&lt;Hta_24,$G92&gt;=Hba_24,Input!AA$44&lt;&gt;""),Input!$B$44&amp;";",""),IF(AND($G92&lt;Hta_25,$G92&gt;=Hba_25,Input!AA$45&lt;&gt;""),Input!$B$45&amp;";",""),IF(AND($G92&lt;Hta_26,$G92&gt;=Hba_26,Input!AA$46&lt;&gt;""),Input!$B$46&amp;";",""),IF(AND($G92&lt;Hta_27,$G92&gt;=Hba_27,Input!AA$47&lt;&gt;""),Input!$B$47&amp;";",""),IF(AND($G92&lt;Hta_28,$G92&gt;=Hba_28,Input!AA$48&lt;&gt;""),Input!$B$48&amp;";",""),IF(AND($G92&lt;Hta_29,$G92&gt;=Hba_29,Input!AA$49&lt;&gt;""),Input!$B$49&amp;";",""),IF(AND($G92&lt;Hta_30,$G92&gt;=Hba_30,Input!AA$50&lt;&gt;""),Input!$B$50&amp;";","")),"")</f>
        <v/>
      </c>
      <c r="CC92" s="25" t="str">
        <f>IFERROR(CONCATENATE(IF(AND($G92&lt;Hta_1,$G92&gt;=Hba_1,Input!AB$21&lt;&gt;""),Input!$B$21&amp;";",""),IF(AND($G92&lt;Hta_2,$G92&gt;=Hba_2,Input!AB$22&lt;&gt;""),Input!$B$22&amp;";",""),IF(AND($G92&lt;Hta_3,$G92&gt;=Hba_3,Input!AB$23&lt;&gt;""),Input!$B$23&amp;";",""),IF(AND($G92&lt;Hta_4,$G92&gt;=Hba_4,Input!AB$24&lt;&gt;""),Input!$B$24&amp;";",""),IF(AND($G92&lt;Hta_5,$G92&gt;=Hba_5,Input!AB$25&lt;&gt;""),Input!$B$25&amp;";",""),IF(AND($G92&lt;Hta_6,$G92&gt;=Hba_6,Input!AB$26&lt;&gt;""),Input!$B$26&amp;";",""),IF(AND($G92&lt;Hta_7,$G92&gt;=Hba_7,Input!AB$27&lt;&gt;""),Input!$B$27&amp;";",""),IF(AND($G92&lt;Hta_8,$G92&gt;=Hba_8,Input!AB$28&lt;&gt;""),Input!$B$28&amp;";",""),IF(AND($G92&lt;Hta_9,$G92&gt;=Hba_9,Input!AB$29&lt;&gt;""),Input!$B$29&amp;";",""),IF(AND($G92&lt;Hta_10,$G92&gt;=Hba_10,Input!AB$30&lt;&gt;""),Input!$B$30&amp;";",""),IF(AND($G92&lt;Hta_11,$G92&gt;=Hba_11,Input!AB$31&lt;&gt;""),Input!$B$31&amp;";",""),IF(AND($G92&lt;Hta_12,$G92&gt;=Hba_12,Input!AB$32&lt;&gt;""),Input!$B$32&amp;";",""),IF(AND($G92&lt;Hta_13,$G92&gt;=Hba_13,Input!AB$33&lt;&gt;""),Input!$B$33&amp;";",""),IF(AND($G92&lt;Hta_14,$G92&gt;=Hba_14,Input!AB$34&lt;&gt;""),Input!$B$34&amp;";",""),IF(AND($G92&lt;Hta_15,$G92&gt;=Hba_15,Input!AB$35&lt;&gt;""),Input!$B$35&amp;";",""),IF(AND($G92&lt;Hta_16,$G92&gt;=Hba_16,Input!AB$36&lt;&gt;""),Input!$B$36&amp;";",""),IF(AND($G92&lt;Hta_17,$G92&gt;=Hba_17,Input!AB$37&lt;&gt;""),Input!$B$37&amp;";",""),IF(AND($G92&lt;Hta_18,$G92&gt;=Hba_18,Input!AB$38&lt;&gt;""),Input!$B$38&amp;";",""),IF(AND($G92&lt;Hta_19,$G92&gt;=Hba_19,Input!AB$39&lt;&gt;""),Input!$B$39&amp;";",""),IF(AND($G92&lt;Hta_20,$G92&gt;=Hba_20,Input!AB$40&lt;&gt;""),Input!$B$40&amp;";",""),IF(AND($G92&lt;Hta_21,$G92&gt;=Hba_21,Input!AB$41&lt;&gt;""),Input!$B$41&amp;";",""),IF(AND($G92&lt;Hta_22,$G92&gt;=Hba_22,Input!AB$42&lt;&gt;""),Input!$B$42&amp;";",""),IF(AND($G92&lt;Hta_23,$G92&gt;=Hba_23,Input!AB$43&lt;&gt;""),Input!$B$43&amp;";",""),IF(AND($G92&lt;Hta_24,$G92&gt;=Hba_24,Input!AB$44&lt;&gt;""),Input!$B$44&amp;";",""),IF(AND($G92&lt;Hta_25,$G92&gt;=Hba_25,Input!AB$45&lt;&gt;""),Input!$B$45&amp;";",""),IF(AND($G92&lt;Hta_26,$G92&gt;=Hba_26,Input!AB$46&lt;&gt;""),Input!$B$46&amp;";",""),IF(AND($G92&lt;Hta_27,$G92&gt;=Hba_27,Input!AB$47&lt;&gt;""),Input!$B$47&amp;";",""),IF(AND($G92&lt;Hta_28,$G92&gt;=Hba_28,Input!AB$48&lt;&gt;""),Input!$B$48&amp;";",""),IF(AND($G92&lt;Hta_29,$G92&gt;=Hba_29,Input!AB$49&lt;&gt;""),Input!$B$49&amp;";",""),IF(AND($G92&lt;Hta_30,$G92&gt;=Hba_30,Input!AB$50&lt;&gt;""),Input!$B$50&amp;";","")),"")</f>
        <v/>
      </c>
      <c r="CD92" s="25" t="str">
        <f>IFERROR(CONCATENATE(IF(AND($G92&lt;Hta_1,$G92&gt;=Hba_1,Input!AC$21&lt;&gt;""),Input!$B$21&amp;";",""),IF(AND($G92&lt;Hta_2,$G92&gt;=Hba_2,Input!AC$22&lt;&gt;""),Input!$B$22&amp;";",""),IF(AND($G92&lt;Hta_3,$G92&gt;=Hba_3,Input!AC$23&lt;&gt;""),Input!$B$23&amp;";",""),IF(AND($G92&lt;Hta_4,$G92&gt;=Hba_4,Input!AC$24&lt;&gt;""),Input!$B$24&amp;";",""),IF(AND($G92&lt;Hta_5,$G92&gt;=Hba_5,Input!AC$25&lt;&gt;""),Input!$B$25&amp;";",""),IF(AND($G92&lt;Hta_6,$G92&gt;=Hba_6,Input!AC$26&lt;&gt;""),Input!$B$26&amp;";",""),IF(AND($G92&lt;Hta_7,$G92&gt;=Hba_7,Input!AC$27&lt;&gt;""),Input!$B$27&amp;";",""),IF(AND($G92&lt;Hta_8,$G92&gt;=Hba_8,Input!AC$28&lt;&gt;""),Input!$B$28&amp;";",""),IF(AND($G92&lt;Hta_9,$G92&gt;=Hba_9,Input!AC$29&lt;&gt;""),Input!$B$29&amp;";",""),IF(AND($G92&lt;Hta_10,$G92&gt;=Hba_10,Input!AC$30&lt;&gt;""),Input!$B$30&amp;";",""),IF(AND($G92&lt;Hta_11,$G92&gt;=Hba_11,Input!AC$31&lt;&gt;""),Input!$B$31&amp;";",""),IF(AND($G92&lt;Hta_12,$G92&gt;=Hba_12,Input!AC$32&lt;&gt;""),Input!$B$32&amp;";",""),IF(AND($G92&lt;Hta_13,$G92&gt;=Hba_13,Input!AC$33&lt;&gt;""),Input!$B$33&amp;";",""),IF(AND($G92&lt;Hta_14,$G92&gt;=Hba_14,Input!AC$34&lt;&gt;""),Input!$B$34&amp;";",""),IF(AND($G92&lt;Hta_15,$G92&gt;=Hba_15,Input!AC$35&lt;&gt;""),Input!$B$35&amp;";",""),IF(AND($G92&lt;Hta_16,$G92&gt;=Hba_16,Input!AC$36&lt;&gt;""),Input!$B$36&amp;";",""),IF(AND($G92&lt;Hta_17,$G92&gt;=Hba_17,Input!AC$37&lt;&gt;""),Input!$B$37&amp;";",""),IF(AND($G92&lt;Hta_18,$G92&gt;=Hba_18,Input!AC$38&lt;&gt;""),Input!$B$38&amp;";",""),IF(AND($G92&lt;Hta_19,$G92&gt;=Hba_19,Input!AC$39&lt;&gt;""),Input!$B$39&amp;";",""),IF(AND($G92&lt;Hta_20,$G92&gt;=Hba_20,Input!AC$40&lt;&gt;""),Input!$B$40&amp;";",""),IF(AND($G92&lt;Hta_21,$G92&gt;=Hba_21,Input!AC$41&lt;&gt;""),Input!$B$41&amp;";",""),IF(AND($G92&lt;Hta_22,$G92&gt;=Hba_22,Input!AC$42&lt;&gt;""),Input!$B$42&amp;";",""),IF(AND($G92&lt;Hta_23,$G92&gt;=Hba_23,Input!AC$43&lt;&gt;""),Input!$B$43&amp;";",""),IF(AND($G92&lt;Hta_24,$G92&gt;=Hba_24,Input!AC$44&lt;&gt;""),Input!$B$44&amp;";",""),IF(AND($G92&lt;Hta_25,$G92&gt;=Hba_25,Input!AC$45&lt;&gt;""),Input!$B$45&amp;";",""),IF(AND($G92&lt;Hta_26,$G92&gt;=Hba_26,Input!AC$46&lt;&gt;""),Input!$B$46&amp;";",""),IF(AND($G92&lt;Hta_27,$G92&gt;=Hba_27,Input!AC$47&lt;&gt;""),Input!$B$47&amp;";",""),IF(AND($G92&lt;Hta_28,$G92&gt;=Hba_28,Input!AC$48&lt;&gt;""),Input!$B$48&amp;";",""),IF(AND($G92&lt;Hta_29,$G92&gt;=Hba_29,Input!AC$49&lt;&gt;""),Input!$B$49&amp;";",""),IF(AND($G92&lt;Hta_30,$G92&gt;=Hba_30,Input!AC$50&lt;&gt;""),Input!$B$50&amp;";","")),"")</f>
        <v/>
      </c>
      <c r="CE92" s="25" t="str">
        <f>IFERROR(CONCATENATE(IF(AND($G92&lt;Hta_1,$G92&gt;=Hba_1,Input!AD$21&lt;&gt;""),Input!$B$21&amp;";",""),IF(AND($G92&lt;Hta_2,$G92&gt;=Hba_2,Input!AD$22&lt;&gt;""),Input!$B$22&amp;";",""),IF(AND($G92&lt;Hta_3,$G92&gt;=Hba_3,Input!AD$23&lt;&gt;""),Input!$B$23&amp;";",""),IF(AND($G92&lt;Hta_4,$G92&gt;=Hba_4,Input!AD$24&lt;&gt;""),Input!$B$24&amp;";",""),IF(AND($G92&lt;Hta_5,$G92&gt;=Hba_5,Input!AD$25&lt;&gt;""),Input!$B$25&amp;";",""),IF(AND($G92&lt;Hta_6,$G92&gt;=Hba_6,Input!AD$26&lt;&gt;""),Input!$B$26&amp;";",""),IF(AND($G92&lt;Hta_7,$G92&gt;=Hba_7,Input!AD$27&lt;&gt;""),Input!$B$27&amp;";",""),IF(AND($G92&lt;Hta_8,$G92&gt;=Hba_8,Input!AD$28&lt;&gt;""),Input!$B$28&amp;";",""),IF(AND($G92&lt;Hta_9,$G92&gt;=Hba_9,Input!AD$29&lt;&gt;""),Input!$B$29&amp;";",""),IF(AND($G92&lt;Hta_10,$G92&gt;=Hba_10,Input!AD$30&lt;&gt;""),Input!$B$30&amp;";",""),IF(AND($G92&lt;Hta_11,$G92&gt;=Hba_11,Input!AD$31&lt;&gt;""),Input!$B$31&amp;";",""),IF(AND($G92&lt;Hta_12,$G92&gt;=Hba_12,Input!AD$32&lt;&gt;""),Input!$B$32&amp;";",""),IF(AND($G92&lt;Hta_13,$G92&gt;=Hba_13,Input!AD$33&lt;&gt;""),Input!$B$33&amp;";",""),IF(AND($G92&lt;Hta_14,$G92&gt;=Hba_14,Input!AD$34&lt;&gt;""),Input!$B$34&amp;";",""),IF(AND($G92&lt;Hta_15,$G92&gt;=Hba_15,Input!AD$35&lt;&gt;""),Input!$B$35&amp;";",""),IF(AND($G92&lt;Hta_16,$G92&gt;=Hba_16,Input!AD$36&lt;&gt;""),Input!$B$36&amp;";",""),IF(AND($G92&lt;Hta_17,$G92&gt;=Hba_17,Input!AD$37&lt;&gt;""),Input!$B$37&amp;";",""),IF(AND($G92&lt;Hta_18,$G92&gt;=Hba_18,Input!AD$38&lt;&gt;""),Input!$B$38&amp;";",""),IF(AND($G92&lt;Hta_19,$G92&gt;=Hba_19,Input!AD$39&lt;&gt;""),Input!$B$39&amp;";",""),IF(AND($G92&lt;Hta_20,$G92&gt;=Hba_20,Input!AD$40&lt;&gt;""),Input!$B$40&amp;";",""),IF(AND($G92&lt;Hta_21,$G92&gt;=Hba_21,Input!AD$41&lt;&gt;""),Input!$B$41&amp;";",""),IF(AND($G92&lt;Hta_22,$G92&gt;=Hba_22,Input!AD$42&lt;&gt;""),Input!$B$42&amp;";",""),IF(AND($G92&lt;Hta_23,$G92&gt;=Hba_23,Input!AD$43&lt;&gt;""),Input!$B$43&amp;";",""),IF(AND($G92&lt;Hta_24,$G92&gt;=Hba_24,Input!AD$44&lt;&gt;""),Input!$B$44&amp;";",""),IF(AND($G92&lt;Hta_25,$G92&gt;=Hba_25,Input!AD$45&lt;&gt;""),Input!$B$45&amp;";",""),IF(AND($G92&lt;Hta_26,$G92&gt;=Hba_26,Input!AD$46&lt;&gt;""),Input!$B$46&amp;";",""),IF(AND($G92&lt;Hta_27,$G92&gt;=Hba_27,Input!AD$47&lt;&gt;""),Input!$B$47&amp;";",""),IF(AND($G92&lt;Hta_28,$G92&gt;=Hba_28,Input!AD$48&lt;&gt;""),Input!$B$48&amp;";",""),IF(AND($G92&lt;Hta_29,$G92&gt;=Hba_29,Input!AD$49&lt;&gt;""),Input!$B$49&amp;";",""),IF(AND($G92&lt;Hta_30,$G92&gt;=Hba_30,Input!AD$50&lt;&gt;""),Input!$B$50&amp;";","")),"")</f>
        <v/>
      </c>
      <c r="CF92" s="25" t="str">
        <f>IFERROR(CONCATENATE(IF(AND($G92&lt;Hta_1,$G92&gt;=Hba_1,Input!AE$21&lt;&gt;""),Input!$B$21&amp;";",""),IF(AND($G92&lt;Hta_2,$G92&gt;=Hba_2,Input!AE$22&lt;&gt;""),Input!$B$22&amp;";",""),IF(AND($G92&lt;Hta_3,$G92&gt;=Hba_3,Input!AE$23&lt;&gt;""),Input!$B$23&amp;";",""),IF(AND($G92&lt;Hta_4,$G92&gt;=Hba_4,Input!AE$24&lt;&gt;""),Input!$B$24&amp;";",""),IF(AND($G92&lt;Hta_5,$G92&gt;=Hba_5,Input!AE$25&lt;&gt;""),Input!$B$25&amp;";",""),IF(AND($G92&lt;Hta_6,$G92&gt;=Hba_6,Input!AE$26&lt;&gt;""),Input!$B$26&amp;";",""),IF(AND($G92&lt;Hta_7,$G92&gt;=Hba_7,Input!AE$27&lt;&gt;""),Input!$B$27&amp;";",""),IF(AND($G92&lt;Hta_8,$G92&gt;=Hba_8,Input!AE$28&lt;&gt;""),Input!$B$28&amp;";",""),IF(AND($G92&lt;Hta_9,$G92&gt;=Hba_9,Input!AE$29&lt;&gt;""),Input!$B$29&amp;";",""),IF(AND($G92&lt;Hta_10,$G92&gt;=Hba_10,Input!AE$30&lt;&gt;""),Input!$B$30&amp;";",""),IF(AND($G92&lt;Hta_11,$G92&gt;=Hba_11,Input!AE$31&lt;&gt;""),Input!$B$31&amp;";",""),IF(AND($G92&lt;Hta_12,$G92&gt;=Hba_12,Input!AE$32&lt;&gt;""),Input!$B$32&amp;";",""),IF(AND($G92&lt;Hta_13,$G92&gt;=Hba_13,Input!AE$33&lt;&gt;""),Input!$B$33&amp;";",""),IF(AND($G92&lt;Hta_14,$G92&gt;=Hba_14,Input!AE$34&lt;&gt;""),Input!$B$34&amp;";",""),IF(AND($G92&lt;Hta_15,$G92&gt;=Hba_15,Input!AE$35&lt;&gt;""),Input!$B$35&amp;";",""),IF(AND($G92&lt;Hta_16,$G92&gt;=Hba_16,Input!AE$36&lt;&gt;""),Input!$B$36&amp;";",""),IF(AND($G92&lt;Hta_17,$G92&gt;=Hba_17,Input!AE$37&lt;&gt;""),Input!$B$37&amp;";",""),IF(AND($G92&lt;Hta_18,$G92&gt;=Hba_18,Input!AE$38&lt;&gt;""),Input!$B$38&amp;";",""),IF(AND($G92&lt;Hta_19,$G92&gt;=Hba_19,Input!AE$39&lt;&gt;""),Input!$B$39&amp;";",""),IF(AND($G92&lt;Hta_20,$G92&gt;=Hba_20,Input!AE$40&lt;&gt;""),Input!$B$40&amp;";",""),IF(AND($G92&lt;Hta_21,$G92&gt;=Hba_21,Input!AE$41&lt;&gt;""),Input!$B$41&amp;";",""),IF(AND($G92&lt;Hta_22,$G92&gt;=Hba_22,Input!AE$42&lt;&gt;""),Input!$B$42&amp;";",""),IF(AND($G92&lt;Hta_23,$G92&gt;=Hba_23,Input!AE$43&lt;&gt;""),Input!$B$43&amp;";",""),IF(AND($G92&lt;Hta_24,$G92&gt;=Hba_24,Input!AE$44&lt;&gt;""),Input!$B$44&amp;";",""),IF(AND($G92&lt;Hta_25,$G92&gt;=Hba_25,Input!AE$45&lt;&gt;""),Input!$B$45&amp;";",""),IF(AND($G92&lt;Hta_26,$G92&gt;=Hba_26,Input!AE$46&lt;&gt;""),Input!$B$46&amp;";",""),IF(AND($G92&lt;Hta_27,$G92&gt;=Hba_27,Input!AE$47&lt;&gt;""),Input!$B$47&amp;";",""),IF(AND($G92&lt;Hta_28,$G92&gt;=Hba_28,Input!AE$48&lt;&gt;""),Input!$B$48&amp;";",""),IF(AND($G92&lt;Hta_29,$G92&gt;=Hba_29,Input!AE$49&lt;&gt;""),Input!$B$49&amp;";",""),IF(AND($G92&lt;Hta_30,$G92&gt;=Hba_30,Input!AE$50&lt;&gt;""),Input!$B$50&amp;";","")),"")</f>
        <v/>
      </c>
      <c r="CG92" s="25" t="str">
        <f>IFERROR(CONCATENATE(IF(AND($G92&lt;Hta_1,$G92&gt;=Hba_1,Input!AF$21&lt;&gt;""),Input!$B$21&amp;";",""),IF(AND($G92&lt;Hta_2,$G92&gt;=Hba_2,Input!AF$22&lt;&gt;""),Input!$B$22&amp;";",""),IF(AND($G92&lt;Hta_3,$G92&gt;=Hba_3,Input!AF$23&lt;&gt;""),Input!$B$23&amp;";",""),IF(AND($G92&lt;Hta_4,$G92&gt;=Hba_4,Input!AF$24&lt;&gt;""),Input!$B$24&amp;";",""),IF(AND($G92&lt;Hta_5,$G92&gt;=Hba_5,Input!AF$25&lt;&gt;""),Input!$B$25&amp;";",""),IF(AND($G92&lt;Hta_6,$G92&gt;=Hba_6,Input!AF$26&lt;&gt;""),Input!$B$26&amp;";",""),IF(AND($G92&lt;Hta_7,$G92&gt;=Hba_7,Input!AF$27&lt;&gt;""),Input!$B$27&amp;";",""),IF(AND($G92&lt;Hta_8,$G92&gt;=Hba_8,Input!AF$28&lt;&gt;""),Input!$B$28&amp;";",""),IF(AND($G92&lt;Hta_9,$G92&gt;=Hba_9,Input!AF$29&lt;&gt;""),Input!$B$29&amp;";",""),IF(AND($G92&lt;Hta_10,$G92&gt;=Hba_10,Input!AF$30&lt;&gt;""),Input!$B$30&amp;";",""),IF(AND($G92&lt;Hta_11,$G92&gt;=Hba_11,Input!AF$31&lt;&gt;""),Input!$B$31&amp;";",""),IF(AND($G92&lt;Hta_12,$G92&gt;=Hba_12,Input!AF$32&lt;&gt;""),Input!$B$32&amp;";",""),IF(AND($G92&lt;Hta_13,$G92&gt;=Hba_13,Input!AF$33&lt;&gt;""),Input!$B$33&amp;";",""),IF(AND($G92&lt;Hta_14,$G92&gt;=Hba_14,Input!AF$34&lt;&gt;""),Input!$B$34&amp;";",""),IF(AND($G92&lt;Hta_15,$G92&gt;=Hba_15,Input!AF$35&lt;&gt;""),Input!$B$35&amp;";",""),IF(AND($G92&lt;Hta_16,$G92&gt;=Hba_16,Input!AF$36&lt;&gt;""),Input!$B$36&amp;";",""),IF(AND($G92&lt;Hta_17,$G92&gt;=Hba_17,Input!AF$37&lt;&gt;""),Input!$B$37&amp;";",""),IF(AND($G92&lt;Hta_18,$G92&gt;=Hba_18,Input!AF$38&lt;&gt;""),Input!$B$38&amp;";",""),IF(AND($G92&lt;Hta_19,$G92&gt;=Hba_19,Input!AF$39&lt;&gt;""),Input!$B$39&amp;";",""),IF(AND($G92&lt;Hta_20,$G92&gt;=Hba_20,Input!AF$40&lt;&gt;""),Input!$B$40&amp;";",""),IF(AND($G92&lt;Hta_21,$G92&gt;=Hba_21,Input!AF$41&lt;&gt;""),Input!$B$41&amp;";",""),IF(AND($G92&lt;Hta_22,$G92&gt;=Hba_22,Input!AF$42&lt;&gt;""),Input!$B$42&amp;";",""),IF(AND($G92&lt;Hta_23,$G92&gt;=Hba_23,Input!AF$43&lt;&gt;""),Input!$B$43&amp;";",""),IF(AND($G92&lt;Hta_24,$G92&gt;=Hba_24,Input!AF$44&lt;&gt;""),Input!$B$44&amp;";",""),IF(AND($G92&lt;Hta_25,$G92&gt;=Hba_25,Input!AF$45&lt;&gt;""),Input!$B$45&amp;";",""),IF(AND($G92&lt;Hta_26,$G92&gt;=Hba_26,Input!AF$46&lt;&gt;""),Input!$B$46&amp;";",""),IF(AND($G92&lt;Hta_27,$G92&gt;=Hba_27,Input!AF$47&lt;&gt;""),Input!$B$47&amp;";",""),IF(AND($G92&lt;Hta_28,$G92&gt;=Hba_28,Input!AF$48&lt;&gt;""),Input!$B$48&amp;";",""),IF(AND($G92&lt;Hta_29,$G92&gt;=Hba_29,Input!AF$49&lt;&gt;""),Input!$B$49&amp;";",""),IF(AND($G92&lt;Hta_30,$G92&gt;=Hba_30,Input!AF$50&lt;&gt;""),Input!$B$50&amp;";","")),"")</f>
        <v/>
      </c>
      <c r="CH92" s="25" t="str">
        <f>IFERROR(CONCATENATE(IF(AND($G92&lt;Hta_1,$G92&gt;=Hba_1,Input!AG$21&lt;&gt;""),Input!$B$21&amp;";",""),IF(AND($G92&lt;Hta_2,$G92&gt;=Hba_2,Input!AG$22&lt;&gt;""),Input!$B$22&amp;";",""),IF(AND($G92&lt;Hta_3,$G92&gt;=Hba_3,Input!AG$23&lt;&gt;""),Input!$B$23&amp;";",""),IF(AND($G92&lt;Hta_4,$G92&gt;=Hba_4,Input!AG$24&lt;&gt;""),Input!$B$24&amp;";",""),IF(AND($G92&lt;Hta_5,$G92&gt;=Hba_5,Input!AG$25&lt;&gt;""),Input!$B$25&amp;";",""),IF(AND($G92&lt;Hta_6,$G92&gt;=Hba_6,Input!AG$26&lt;&gt;""),Input!$B$26&amp;";",""),IF(AND($G92&lt;Hta_7,$G92&gt;=Hba_7,Input!AG$27&lt;&gt;""),Input!$B$27&amp;";",""),IF(AND($G92&lt;Hta_8,$G92&gt;=Hba_8,Input!AG$28&lt;&gt;""),Input!$B$28&amp;";",""),IF(AND($G92&lt;Hta_9,$G92&gt;=Hba_9,Input!AG$29&lt;&gt;""),Input!$B$29&amp;";",""),IF(AND($G92&lt;Hta_10,$G92&gt;=Hba_10,Input!AG$30&lt;&gt;""),Input!$B$30&amp;";",""),IF(AND($G92&lt;Hta_11,$G92&gt;=Hba_11,Input!AG$31&lt;&gt;""),Input!$B$31&amp;";",""),IF(AND($G92&lt;Hta_12,$G92&gt;=Hba_12,Input!AG$32&lt;&gt;""),Input!$B$32&amp;";",""),IF(AND($G92&lt;Hta_13,$G92&gt;=Hba_13,Input!AG$33&lt;&gt;""),Input!$B$33&amp;";",""),IF(AND($G92&lt;Hta_14,$G92&gt;=Hba_14,Input!AG$34&lt;&gt;""),Input!$B$34&amp;";",""),IF(AND($G92&lt;Hta_15,$G92&gt;=Hba_15,Input!AG$35&lt;&gt;""),Input!$B$35&amp;";",""),IF(AND($G92&lt;Hta_16,$G92&gt;=Hba_16,Input!AG$36&lt;&gt;""),Input!$B$36&amp;";",""),IF(AND($G92&lt;Hta_17,$G92&gt;=Hba_17,Input!AG$37&lt;&gt;""),Input!$B$37&amp;";",""),IF(AND($G92&lt;Hta_18,$G92&gt;=Hba_18,Input!AG$38&lt;&gt;""),Input!$B$38&amp;";",""),IF(AND($G92&lt;Hta_19,$G92&gt;=Hba_19,Input!AG$39&lt;&gt;""),Input!$B$39&amp;";",""),IF(AND($G92&lt;Hta_20,$G92&gt;=Hba_20,Input!AG$40&lt;&gt;""),Input!$B$40&amp;";",""),IF(AND($G92&lt;Hta_21,$G92&gt;=Hba_21,Input!AG$41&lt;&gt;""),Input!$B$41&amp;";",""),IF(AND($G92&lt;Hta_22,$G92&gt;=Hba_22,Input!AG$42&lt;&gt;""),Input!$B$42&amp;";",""),IF(AND($G92&lt;Hta_23,$G92&gt;=Hba_23,Input!AG$43&lt;&gt;""),Input!$B$43&amp;";",""),IF(AND($G92&lt;Hta_24,$G92&gt;=Hba_24,Input!AG$44&lt;&gt;""),Input!$B$44&amp;";",""),IF(AND($G92&lt;Hta_25,$G92&gt;=Hba_25,Input!AG$45&lt;&gt;""),Input!$B$45&amp;";",""),IF(AND($G92&lt;Hta_26,$G92&gt;=Hba_26,Input!AG$46&lt;&gt;""),Input!$B$46&amp;";",""),IF(AND($G92&lt;Hta_27,$G92&gt;=Hba_27,Input!AG$47&lt;&gt;""),Input!$B$47&amp;";",""),IF(AND($G92&lt;Hta_28,$G92&gt;=Hba_28,Input!AG$48&lt;&gt;""),Input!$B$48&amp;";",""),IF(AND($G92&lt;Hta_29,$G92&gt;=Hba_29,Input!AG$49&lt;&gt;""),Input!$B$49&amp;";",""),IF(AND($G92&lt;Hta_30,$G92&gt;=Hba_30,Input!AG$50&lt;&gt;""),Input!$B$50&amp;";","")),"")</f>
        <v/>
      </c>
      <c r="CI92" s="25" t="str">
        <f>IFERROR(CONCATENATE(IF(AND($G92&lt;Hta_1,$G92&gt;=Hba_1,Input!AH$21&lt;&gt;""),Input!$B$21&amp;";",""),IF(AND($G92&lt;Hta_2,$G92&gt;=Hba_2,Input!AH$22&lt;&gt;""),Input!$B$22&amp;";",""),IF(AND($G92&lt;Hta_3,$G92&gt;=Hba_3,Input!AH$23&lt;&gt;""),Input!$B$23&amp;";",""),IF(AND($G92&lt;Hta_4,$G92&gt;=Hba_4,Input!AH$24&lt;&gt;""),Input!$B$24&amp;";",""),IF(AND($G92&lt;Hta_5,$G92&gt;=Hba_5,Input!AH$25&lt;&gt;""),Input!$B$25&amp;";",""),IF(AND($G92&lt;Hta_6,$G92&gt;=Hba_6,Input!AH$26&lt;&gt;""),Input!$B$26&amp;";",""),IF(AND($G92&lt;Hta_7,$G92&gt;=Hba_7,Input!AH$27&lt;&gt;""),Input!$B$27&amp;";",""),IF(AND($G92&lt;Hta_8,$G92&gt;=Hba_8,Input!AH$28&lt;&gt;""),Input!$B$28&amp;";",""),IF(AND($G92&lt;Hta_9,$G92&gt;=Hba_9,Input!AH$29&lt;&gt;""),Input!$B$29&amp;";",""),IF(AND($G92&lt;Hta_10,$G92&gt;=Hba_10,Input!AH$30&lt;&gt;""),Input!$B$30&amp;";",""),IF(AND($G92&lt;Hta_11,$G92&gt;=Hba_11,Input!AH$31&lt;&gt;""),Input!$B$31&amp;";",""),IF(AND($G92&lt;Hta_12,$G92&gt;=Hba_12,Input!AH$32&lt;&gt;""),Input!$B$32&amp;";",""),IF(AND($G92&lt;Hta_13,$G92&gt;=Hba_13,Input!AH$33&lt;&gt;""),Input!$B$33&amp;";",""),IF(AND($G92&lt;Hta_14,$G92&gt;=Hba_14,Input!AH$34&lt;&gt;""),Input!$B$34&amp;";",""),IF(AND($G92&lt;Hta_15,$G92&gt;=Hba_15,Input!AH$35&lt;&gt;""),Input!$B$35&amp;";",""),IF(AND($G92&lt;Hta_16,$G92&gt;=Hba_16,Input!AH$36&lt;&gt;""),Input!$B$36&amp;";",""),IF(AND($G92&lt;Hta_17,$G92&gt;=Hba_17,Input!AH$37&lt;&gt;""),Input!$B$37&amp;";",""),IF(AND($G92&lt;Hta_18,$G92&gt;=Hba_18,Input!AH$38&lt;&gt;""),Input!$B$38&amp;";",""),IF(AND($G92&lt;Hta_19,$G92&gt;=Hba_19,Input!AH$39&lt;&gt;""),Input!$B$39&amp;";",""),IF(AND($G92&lt;Hta_20,$G92&gt;=Hba_20,Input!AH$40&lt;&gt;""),Input!$B$40&amp;";",""),IF(AND($G92&lt;Hta_21,$G92&gt;=Hba_21,Input!AH$41&lt;&gt;""),Input!$B$41&amp;";",""),IF(AND($G92&lt;Hta_22,$G92&gt;=Hba_22,Input!AH$42&lt;&gt;""),Input!$B$42&amp;";",""),IF(AND($G92&lt;Hta_23,$G92&gt;=Hba_23,Input!AH$43&lt;&gt;""),Input!$B$43&amp;";",""),IF(AND($G92&lt;Hta_24,$G92&gt;=Hba_24,Input!AH$44&lt;&gt;""),Input!$B$44&amp;";",""),IF(AND($G92&lt;Hta_25,$G92&gt;=Hba_25,Input!AH$45&lt;&gt;""),Input!$B$45&amp;";",""),IF(AND($G92&lt;Hta_26,$G92&gt;=Hba_26,Input!AH$46&lt;&gt;""),Input!$B$46&amp;";",""),IF(AND($G92&lt;Hta_27,$G92&gt;=Hba_27,Input!AH$47&lt;&gt;""),Input!$B$47&amp;";",""),IF(AND($G92&lt;Hta_28,$G92&gt;=Hba_28,Input!AH$48&lt;&gt;""),Input!$B$48&amp;";",""),IF(AND($G92&lt;Hta_29,$G92&gt;=Hba_29,Input!AH$49&lt;&gt;""),Input!$B$49&amp;";",""),IF(AND($G92&lt;Hta_30,$G92&gt;=Hba_30,Input!AH$50&lt;&gt;""),Input!$B$50&amp;";","")),"")</f>
        <v/>
      </c>
      <c r="CJ92" s="25" t="str">
        <f>IFERROR(CONCATENATE(IF(AND($G92&lt;Hta_1,$G92&gt;=Hba_1,Input!AI$21&lt;&gt;""),Input!$B$21&amp;";",""),IF(AND($G92&lt;Hta_2,$G92&gt;=Hba_2,Input!AI$22&lt;&gt;""),Input!$B$22&amp;";",""),IF(AND($G92&lt;Hta_3,$G92&gt;=Hba_3,Input!AI$23&lt;&gt;""),Input!$B$23&amp;";",""),IF(AND($G92&lt;Hta_4,$G92&gt;=Hba_4,Input!AI$24&lt;&gt;""),Input!$B$24&amp;";",""),IF(AND($G92&lt;Hta_5,$G92&gt;=Hba_5,Input!AI$25&lt;&gt;""),Input!$B$25&amp;";",""),IF(AND($G92&lt;Hta_6,$G92&gt;=Hba_6,Input!AI$26&lt;&gt;""),Input!$B$26&amp;";",""),IF(AND($G92&lt;Hta_7,$G92&gt;=Hba_7,Input!AI$27&lt;&gt;""),Input!$B$27&amp;";",""),IF(AND($G92&lt;Hta_8,$G92&gt;=Hba_8,Input!AI$28&lt;&gt;""),Input!$B$28&amp;";",""),IF(AND($G92&lt;Hta_9,$G92&gt;=Hba_9,Input!AI$29&lt;&gt;""),Input!$B$29&amp;";",""),IF(AND($G92&lt;Hta_10,$G92&gt;=Hba_10,Input!AI$30&lt;&gt;""),Input!$B$30&amp;";",""),IF(AND($G92&lt;Hta_11,$G92&gt;=Hba_11,Input!AI$31&lt;&gt;""),Input!$B$31&amp;";",""),IF(AND($G92&lt;Hta_12,$G92&gt;=Hba_12,Input!AI$32&lt;&gt;""),Input!$B$32&amp;";",""),IF(AND($G92&lt;Hta_13,$G92&gt;=Hba_13,Input!AI$33&lt;&gt;""),Input!$B$33&amp;";",""),IF(AND($G92&lt;Hta_14,$G92&gt;=Hba_14,Input!AI$34&lt;&gt;""),Input!$B$34&amp;";",""),IF(AND($G92&lt;Hta_15,$G92&gt;=Hba_15,Input!AI$35&lt;&gt;""),Input!$B$35&amp;";",""),IF(AND($G92&lt;Hta_16,$G92&gt;=Hba_16,Input!AI$36&lt;&gt;""),Input!$B$36&amp;";",""),IF(AND($G92&lt;Hta_17,$G92&gt;=Hba_17,Input!AI$37&lt;&gt;""),Input!$B$37&amp;";",""),IF(AND($G92&lt;Hta_18,$G92&gt;=Hba_18,Input!AI$38&lt;&gt;""),Input!$B$38&amp;";",""),IF(AND($G92&lt;Hta_19,$G92&gt;=Hba_19,Input!AI$39&lt;&gt;""),Input!$B$39&amp;";",""),IF(AND($G92&lt;Hta_20,$G92&gt;=Hba_20,Input!AI$40&lt;&gt;""),Input!$B$40&amp;";",""),IF(AND($G92&lt;Hta_21,$G92&gt;=Hba_21,Input!AI$41&lt;&gt;""),Input!$B$41&amp;";",""),IF(AND($G92&lt;Hta_22,$G92&gt;=Hba_22,Input!AI$42&lt;&gt;""),Input!$B$42&amp;";",""),IF(AND($G92&lt;Hta_23,$G92&gt;=Hba_23,Input!AI$43&lt;&gt;""),Input!$B$43&amp;";",""),IF(AND($G92&lt;Hta_24,$G92&gt;=Hba_24,Input!AI$44&lt;&gt;""),Input!$B$44&amp;";",""),IF(AND($G92&lt;Hta_25,$G92&gt;=Hba_25,Input!AI$45&lt;&gt;""),Input!$B$45&amp;";",""),IF(AND($G92&lt;Hta_26,$G92&gt;=Hba_26,Input!AI$46&lt;&gt;""),Input!$B$46&amp;";",""),IF(AND($G92&lt;Hta_27,$G92&gt;=Hba_27,Input!AI$47&lt;&gt;""),Input!$B$47&amp;";",""),IF(AND($G92&lt;Hta_28,$G92&gt;=Hba_28,Input!AI$48&lt;&gt;""),Input!$B$48&amp;";",""),IF(AND($G92&lt;Hta_29,$G92&gt;=Hba_29,Input!AI$49&lt;&gt;""),Input!$B$49&amp;";",""),IF(AND($G92&lt;Hta_30,$G92&gt;=Hba_30,Input!AI$50&lt;&gt;""),Input!$B$50&amp;";","")),"")</f>
        <v/>
      </c>
      <c r="CK92" s="25" t="str">
        <f>IFERROR(CONCATENATE(IF(AND($G92&lt;Hta_1,$G92&gt;=Hba_1,Input!AJ$21&lt;&gt;""),Input!$B$21&amp;";",""),IF(AND($G92&lt;Hta_2,$G92&gt;=Hba_2,Input!AJ$22&lt;&gt;""),Input!$B$22&amp;";",""),IF(AND($G92&lt;Hta_3,$G92&gt;=Hba_3,Input!AJ$23&lt;&gt;""),Input!$B$23&amp;";",""),IF(AND($G92&lt;Hta_4,$G92&gt;=Hba_4,Input!AJ$24&lt;&gt;""),Input!$B$24&amp;";",""),IF(AND($G92&lt;Hta_5,$G92&gt;=Hba_5,Input!AJ$25&lt;&gt;""),Input!$B$25&amp;";",""),IF(AND($G92&lt;Hta_6,$G92&gt;=Hba_6,Input!AJ$26&lt;&gt;""),Input!$B$26&amp;";",""),IF(AND($G92&lt;Hta_7,$G92&gt;=Hba_7,Input!AJ$27&lt;&gt;""),Input!$B$27&amp;";",""),IF(AND($G92&lt;Hta_8,$G92&gt;=Hba_8,Input!AJ$28&lt;&gt;""),Input!$B$28&amp;";",""),IF(AND($G92&lt;Hta_9,$G92&gt;=Hba_9,Input!AJ$29&lt;&gt;""),Input!$B$29&amp;";",""),IF(AND($G92&lt;Hta_10,$G92&gt;=Hba_10,Input!AJ$30&lt;&gt;""),Input!$B$30&amp;";",""),IF(AND($G92&lt;Hta_11,$G92&gt;=Hba_11,Input!AJ$31&lt;&gt;""),Input!$B$31&amp;";",""),IF(AND($G92&lt;Hta_12,$G92&gt;=Hba_12,Input!AJ$32&lt;&gt;""),Input!$B$32&amp;";",""),IF(AND($G92&lt;Hta_13,$G92&gt;=Hba_13,Input!AJ$33&lt;&gt;""),Input!$B$33&amp;";",""),IF(AND($G92&lt;Hta_14,$G92&gt;=Hba_14,Input!AJ$34&lt;&gt;""),Input!$B$34&amp;";",""),IF(AND($G92&lt;Hta_15,$G92&gt;=Hba_15,Input!AJ$35&lt;&gt;""),Input!$B$35&amp;";",""),IF(AND($G92&lt;Hta_16,$G92&gt;=Hba_16,Input!AJ$36&lt;&gt;""),Input!$B$36&amp;";",""),IF(AND($G92&lt;Hta_17,$G92&gt;=Hba_17,Input!AJ$37&lt;&gt;""),Input!$B$37&amp;";",""),IF(AND($G92&lt;Hta_18,$G92&gt;=Hba_18,Input!AJ$38&lt;&gt;""),Input!$B$38&amp;";",""),IF(AND($G92&lt;Hta_19,$G92&gt;=Hba_19,Input!AJ$39&lt;&gt;""),Input!$B$39&amp;";",""),IF(AND($G92&lt;Hta_20,$G92&gt;=Hba_20,Input!AJ$40&lt;&gt;""),Input!$B$40&amp;";",""),IF(AND($G92&lt;Hta_21,$G92&gt;=Hba_21,Input!AJ$41&lt;&gt;""),Input!$B$41&amp;";",""),IF(AND($G92&lt;Hta_22,$G92&gt;=Hba_22,Input!AJ$42&lt;&gt;""),Input!$B$42&amp;";",""),IF(AND($G92&lt;Hta_23,$G92&gt;=Hba_23,Input!AJ$43&lt;&gt;""),Input!$B$43&amp;";",""),IF(AND($G92&lt;Hta_24,$G92&gt;=Hba_24,Input!AJ$44&lt;&gt;""),Input!$B$44&amp;";",""),IF(AND($G92&lt;Hta_25,$G92&gt;=Hba_25,Input!AJ$45&lt;&gt;""),Input!$B$45&amp;";",""),IF(AND($G92&lt;Hta_26,$G92&gt;=Hba_26,Input!AJ$46&lt;&gt;""),Input!$B$46&amp;";",""),IF(AND($G92&lt;Hta_27,$G92&gt;=Hba_27,Input!AJ$47&lt;&gt;""),Input!$B$47&amp;";",""),IF(AND($G92&lt;Hta_28,$G92&gt;=Hba_28,Input!AJ$48&lt;&gt;""),Input!$B$48&amp;";",""),IF(AND($G92&lt;Hta_29,$G92&gt;=Hba_29,Input!AJ$49&lt;&gt;""),Input!$B$49&amp;";",""),IF(AND($G92&lt;Hta_30,$G92&gt;=Hba_30,Input!AJ$50&lt;&gt;""),Input!$B$50&amp;";","")),"")</f>
        <v/>
      </c>
      <c r="CL92" s="25" t="str">
        <f>IFERROR(CONCATENATE(IF(AND($G92&lt;Hta_1,$G92&gt;=Hba_1,Input!AK$21&lt;&gt;""),Input!$B$21&amp;";",""),IF(AND($G92&lt;Hta_2,$G92&gt;=Hba_2,Input!AK$22&lt;&gt;""),Input!$B$22&amp;";",""),IF(AND($G92&lt;Hta_3,$G92&gt;=Hba_3,Input!AK$23&lt;&gt;""),Input!$B$23&amp;";",""),IF(AND($G92&lt;Hta_4,$G92&gt;=Hba_4,Input!AK$24&lt;&gt;""),Input!$B$24&amp;";",""),IF(AND($G92&lt;Hta_5,$G92&gt;=Hba_5,Input!AK$25&lt;&gt;""),Input!$B$25&amp;";",""),IF(AND($G92&lt;Hta_6,$G92&gt;=Hba_6,Input!AK$26&lt;&gt;""),Input!$B$26&amp;";",""),IF(AND($G92&lt;Hta_7,$G92&gt;=Hba_7,Input!AK$27&lt;&gt;""),Input!$B$27&amp;";",""),IF(AND($G92&lt;Hta_8,$G92&gt;=Hba_8,Input!AK$28&lt;&gt;""),Input!$B$28&amp;";",""),IF(AND($G92&lt;Hta_9,$G92&gt;=Hba_9,Input!AK$29&lt;&gt;""),Input!$B$29&amp;";",""),IF(AND($G92&lt;Hta_10,$G92&gt;=Hba_10,Input!AK$30&lt;&gt;""),Input!$B$30&amp;";",""),IF(AND($G92&lt;Hta_11,$G92&gt;=Hba_11,Input!AK$31&lt;&gt;""),Input!$B$31&amp;";",""),IF(AND($G92&lt;Hta_12,$G92&gt;=Hba_12,Input!AK$32&lt;&gt;""),Input!$B$32&amp;";",""),IF(AND($G92&lt;Hta_13,$G92&gt;=Hba_13,Input!AK$33&lt;&gt;""),Input!$B$33&amp;";",""),IF(AND($G92&lt;Hta_14,$G92&gt;=Hba_14,Input!AK$34&lt;&gt;""),Input!$B$34&amp;";",""),IF(AND($G92&lt;Hta_15,$G92&gt;=Hba_15,Input!AK$35&lt;&gt;""),Input!$B$35&amp;";",""),IF(AND($G92&lt;Hta_16,$G92&gt;=Hba_16,Input!AK$36&lt;&gt;""),Input!$B$36&amp;";",""),IF(AND($G92&lt;Hta_17,$G92&gt;=Hba_17,Input!AK$37&lt;&gt;""),Input!$B$37&amp;";",""),IF(AND($G92&lt;Hta_18,$G92&gt;=Hba_18,Input!AK$38&lt;&gt;""),Input!$B$38&amp;";",""),IF(AND($G92&lt;Hta_19,$G92&gt;=Hba_19,Input!AK$39&lt;&gt;""),Input!$B$39&amp;";",""),IF(AND($G92&lt;Hta_20,$G92&gt;=Hba_20,Input!AK$40&lt;&gt;""),Input!$B$40&amp;";",""),IF(AND($G92&lt;Hta_21,$G92&gt;=Hba_21,Input!AK$41&lt;&gt;""),Input!$B$41&amp;";",""),IF(AND($G92&lt;Hta_22,$G92&gt;=Hba_22,Input!AK$42&lt;&gt;""),Input!$B$42&amp;";",""),IF(AND($G92&lt;Hta_23,$G92&gt;=Hba_23,Input!AK$43&lt;&gt;""),Input!$B$43&amp;";",""),IF(AND($G92&lt;Hta_24,$G92&gt;=Hba_24,Input!AK$44&lt;&gt;""),Input!$B$44&amp;";",""),IF(AND($G92&lt;Hta_25,$G92&gt;=Hba_25,Input!AK$45&lt;&gt;""),Input!$B$45&amp;";",""),IF(AND($G92&lt;Hta_26,$G92&gt;=Hba_26,Input!AK$46&lt;&gt;""),Input!$B$46&amp;";",""),IF(AND($G92&lt;Hta_27,$G92&gt;=Hba_27,Input!AK$47&lt;&gt;""),Input!$B$47&amp;";",""),IF(AND($G92&lt;Hta_28,$G92&gt;=Hba_28,Input!AK$48&lt;&gt;""),Input!$B$48&amp;";",""),IF(AND($G92&lt;Hta_29,$G92&gt;=Hba_29,Input!AK$49&lt;&gt;""),Input!$B$49&amp;";",""),IF(AND($G92&lt;Hta_30,$G92&gt;=Hba_30,Input!AK$50&lt;&gt;""),Input!$B$50&amp;";","")),"")</f>
        <v/>
      </c>
      <c r="CM92" s="25" t="str">
        <f>IFERROR(CONCATENATE(IF(AND($G92&lt;Hta_1,$G92&gt;=Hba_1,Input!AL$21&lt;&gt;""),Input!$B$21&amp;";",""),IF(AND($G92&lt;Hta_2,$G92&gt;=Hba_2,Input!AL$22&lt;&gt;""),Input!$B$22&amp;";",""),IF(AND($G92&lt;Hta_3,$G92&gt;=Hba_3,Input!AL$23&lt;&gt;""),Input!$B$23&amp;";",""),IF(AND($G92&lt;Hta_4,$G92&gt;=Hba_4,Input!AL$24&lt;&gt;""),Input!$B$24&amp;";",""),IF(AND($G92&lt;Hta_5,$G92&gt;=Hba_5,Input!AL$25&lt;&gt;""),Input!$B$25&amp;";",""),IF(AND($G92&lt;Hta_6,$G92&gt;=Hba_6,Input!AL$26&lt;&gt;""),Input!$B$26&amp;";",""),IF(AND($G92&lt;Hta_7,$G92&gt;=Hba_7,Input!AL$27&lt;&gt;""),Input!$B$27&amp;";",""),IF(AND($G92&lt;Hta_8,$G92&gt;=Hba_8,Input!AL$28&lt;&gt;""),Input!$B$28&amp;";",""),IF(AND($G92&lt;Hta_9,$G92&gt;=Hba_9,Input!AL$29&lt;&gt;""),Input!$B$29&amp;";",""),IF(AND($G92&lt;Hta_10,$G92&gt;=Hba_10,Input!AL$30&lt;&gt;""),Input!$B$30&amp;";",""),IF(AND($G92&lt;Hta_11,$G92&gt;=Hba_11,Input!AL$31&lt;&gt;""),Input!$B$31&amp;";",""),IF(AND($G92&lt;Hta_12,$G92&gt;=Hba_12,Input!AL$32&lt;&gt;""),Input!$B$32&amp;";",""),IF(AND($G92&lt;Hta_13,$G92&gt;=Hba_13,Input!AL$33&lt;&gt;""),Input!$B$33&amp;";",""),IF(AND($G92&lt;Hta_14,$G92&gt;=Hba_14,Input!AL$34&lt;&gt;""),Input!$B$34&amp;";",""),IF(AND($G92&lt;Hta_15,$G92&gt;=Hba_15,Input!AL$35&lt;&gt;""),Input!$B$35&amp;";",""),IF(AND($G92&lt;Hta_16,$G92&gt;=Hba_16,Input!AL$36&lt;&gt;""),Input!$B$36&amp;";",""),IF(AND($G92&lt;Hta_17,$G92&gt;=Hba_17,Input!AL$37&lt;&gt;""),Input!$B$37&amp;";",""),IF(AND($G92&lt;Hta_18,$G92&gt;=Hba_18,Input!AL$38&lt;&gt;""),Input!$B$38&amp;";",""),IF(AND($G92&lt;Hta_19,$G92&gt;=Hba_19,Input!AL$39&lt;&gt;""),Input!$B$39&amp;";",""),IF(AND($G92&lt;Hta_20,$G92&gt;=Hba_20,Input!AL$40&lt;&gt;""),Input!$B$40&amp;";",""),IF(AND($G92&lt;Hta_21,$G92&gt;=Hba_21,Input!AL$41&lt;&gt;""),Input!$B$41&amp;";",""),IF(AND($G92&lt;Hta_22,$G92&gt;=Hba_22,Input!AL$42&lt;&gt;""),Input!$B$42&amp;";",""),IF(AND($G92&lt;Hta_23,$G92&gt;=Hba_23,Input!AL$43&lt;&gt;""),Input!$B$43&amp;";",""),IF(AND($G92&lt;Hta_24,$G92&gt;=Hba_24,Input!AL$44&lt;&gt;""),Input!$B$44&amp;";",""),IF(AND($G92&lt;Hta_25,$G92&gt;=Hba_25,Input!AL$45&lt;&gt;""),Input!$B$45&amp;";",""),IF(AND($G92&lt;Hta_26,$G92&gt;=Hba_26,Input!AL$46&lt;&gt;""),Input!$B$46&amp;";",""),IF(AND($G92&lt;Hta_27,$G92&gt;=Hba_27,Input!AL$47&lt;&gt;""),Input!$B$47&amp;";",""),IF(AND($G92&lt;Hta_28,$G92&gt;=Hba_28,Input!AL$48&lt;&gt;""),Input!$B$48&amp;";",""),IF(AND($G92&lt;Hta_29,$G92&gt;=Hba_29,Input!AL$49&lt;&gt;""),Input!$B$49&amp;";",""),IF(AND($G92&lt;Hta_30,$G92&gt;=Hba_30,Input!AL$50&lt;&gt;""),Input!$B$50&amp;";","")),"")</f>
        <v/>
      </c>
      <c r="CN92" s="59" t="str">
        <f t="shared" si="16"/>
        <v/>
      </c>
      <c r="CO92" s="791"/>
      <c r="CP92" s="792"/>
      <c r="CQ92" s="793"/>
      <c r="CR92" s="791"/>
      <c r="CS92" s="792"/>
      <c r="CT92" s="793"/>
      <c r="CU92" s="791" t="str">
        <f t="shared" si="17"/>
        <v/>
      </c>
      <c r="CV92" s="792"/>
      <c r="CW92" s="807"/>
      <c r="CX92" s="808"/>
      <c r="CY92" s="730"/>
      <c r="CZ92" s="809"/>
      <c r="DA92" s="733"/>
      <c r="DB92" s="734"/>
      <c r="DC92" s="735"/>
      <c r="DD92" s="729" t="str">
        <f t="shared" si="18"/>
        <v/>
      </c>
      <c r="DE92" s="730"/>
      <c r="DF92" s="731"/>
      <c r="DG92" s="55"/>
      <c r="DH92" s="56"/>
      <c r="DI92" s="56"/>
      <c r="DJ92" s="56"/>
      <c r="DK92" s="56"/>
      <c r="DL92" s="56"/>
      <c r="DM92" s="56"/>
      <c r="DN92" s="56"/>
      <c r="DO92" s="56"/>
      <c r="DP92" s="56"/>
      <c r="DQ92" s="58"/>
      <c r="DR92" s="58"/>
      <c r="DS92" s="58"/>
      <c r="DT92" s="58"/>
      <c r="DU92" s="58"/>
      <c r="DV92" s="58"/>
      <c r="DW92" s="58"/>
      <c r="DX92" s="58"/>
      <c r="DY92" s="58"/>
      <c r="DZ92" s="58"/>
      <c r="EA92" s="58"/>
      <c r="EB92" s="58"/>
      <c r="EC92" s="58"/>
      <c r="ED92" s="58"/>
      <c r="EE92" s="58"/>
      <c r="EF92" s="58"/>
      <c r="EG92" s="58"/>
      <c r="EH92" s="58"/>
      <c r="EI92" s="58"/>
      <c r="EJ92" s="58"/>
      <c r="EK92" s="58"/>
      <c r="EL92" s="134"/>
      <c r="EM92" s="134"/>
      <c r="EN92" s="134"/>
      <c r="EO92" s="134"/>
      <c r="EP92" s="134"/>
      <c r="EQ92" s="134"/>
      <c r="ER92" s="134"/>
      <c r="ES92" s="134"/>
      <c r="ET92" s="134"/>
      <c r="EU92" s="134"/>
      <c r="EV92" s="134"/>
      <c r="EW92" s="134"/>
      <c r="EX92" s="134"/>
      <c r="EY92" s="134"/>
      <c r="EZ92" s="134"/>
      <c r="FA92" s="134"/>
      <c r="FB92" s="134"/>
      <c r="FC92" s="134"/>
      <c r="FD92" s="134"/>
      <c r="FE92" s="134"/>
      <c r="FF92" s="134"/>
      <c r="FG92" s="134"/>
      <c r="FH92" s="134"/>
      <c r="FI92" s="134"/>
      <c r="FJ92" s="134"/>
      <c r="FK92" s="134"/>
      <c r="FL92" s="134"/>
      <c r="FM92" s="134"/>
      <c r="FN92" s="134"/>
      <c r="FO92" s="134"/>
      <c r="FQ92" s="124"/>
      <c r="FR92" s="122"/>
      <c r="FS92" s="120"/>
      <c r="FT92" s="119"/>
    </row>
    <row r="93" spans="2:176" ht="15.75" hidden="1" thickBot="1" x14ac:dyDescent="0.3">
      <c r="B93" s="62" t="b">
        <f>IF(OR(AND(G93&gt;='Geometry 2'!$AK$5,G93&lt;'Geometry 2'!$AL$5),AND(G93&gt;='Geometry 2'!$AK$6,G93&lt;'Geometry 2'!$AL$6),AND(G93&gt;='Geometry 2'!$AK$7,G93&lt;'Geometry 2'!$AL$7),AND(G93&gt;='Geometry 2'!$AK$8,G93&lt;'Geometry 2'!$AL$8),AND(G93&gt;='Geometry 2'!$AK$9,G93&lt;'Geometry 2'!$AL$9),AND(G93&gt;='Geometry 2'!$AK$10,G93&lt;'Geometry 2'!$AL$10),AND(G93&gt;='Geometry 2'!$AK$11,G93&lt;'Geometry 2'!$AL$11),AND(G93&gt;='Geometry 2'!$AK$12,G93&lt;'Geometry 2'!$AL$12),AND(G93&gt;='Geometry 2'!$AK$13,G93&lt;'Geometry 2'!$AL$13),AND(G93&gt;='Geometry 2'!$AK$14,G93&lt;'Geometry 2'!$AL$14)),TRUE,FALSE)</f>
        <v>0</v>
      </c>
      <c r="C93" s="4" t="str">
        <f t="shared" si="13"/>
        <v/>
      </c>
      <c r="D93" s="766" t="str">
        <f t="shared" si="14"/>
        <v/>
      </c>
      <c r="E93" s="767"/>
      <c r="F93" s="17" t="str">
        <f t="shared" si="12"/>
        <v/>
      </c>
      <c r="G93" s="768" t="str">
        <f>IF(D93="","",MAX(0,G92-IF(inc="n/a",999,inc),MAX(IF(G92&lt;=Hta_1,0,Hta_1),IF(G92&lt;=Hta_2,0,Hta_2),IF(G92&lt;=Hta_3,0,Hta_3),IF(G92&lt;=Hta_4,0,Hta_4),IF(G92&lt;=Hta_5,0,Hta_5),IF(G92&lt;=Hta_6,0,Hta_6),IF(G92&lt;=Hta_7,0,Hta_7),IF(G92&lt;=Hta_8,0,Hta_8),IF(G92&lt;=Hta_9,0,Hta_9),IF(G92&lt;=Hta_10,0,Hta_10),IF(G92&lt;=Hta_11,0,Hta_11),IF(G92&lt;=Hta_12,0,Hta_12),IF(G92&lt;=Hta_13,0,Hta_13),IF(G92&lt;=Hta_14,0,Hta_14),IF(G92&lt;=Hta_15,0,Hta_15),IF(G92&lt;=Hta_16,0,Hta_16),IF(G92&lt;=Hta_17,0,Hta_17),IF(G92&lt;=Hta_18,0,Hta_18),IF(G92&lt;=Hta_19,0,Hta_19),IF(G92&lt;=Hta_20,0,Hta_20),IF(G92&lt;=Hta_21,0,Hta_21),IF(G92&lt;=Hta_22,0,Hta_22),IF(G92&lt;=Hta_23,0,Hta_23),IF(G92&lt;=Hta_24,0,Hta_24),IF(G92&lt;=Hta_25,0,Hta_25),IF(G92&lt;=Hta_26,0,Hta_26),IF(G92&lt;=Hta_27,0,Hta_27),IF(G92&lt;=Hta_28,0,Hta_28),IF(G92&lt;=Hta_29,0,Hta_29),IF(G92&lt;=Hta_30,0,Hta_30)),MAX(IF(G92&lt;=Hta_1-0.25,0,Hta_1-0.25),IF(G92&lt;=Hta_2-0.25,0,Hta_2-0.25),IF(G92&lt;=Hta_3-0.25,0,Hta_3-0.25),IF(G92&lt;=Hta_4-0.25,0,Hta_4-0.25),IF(G92&lt;=Hta_5-0.25,0,Hta_5-0.25),IF(G92&lt;=Hta_6-0.25,0,Hta_6-0.25),IF(G92&lt;=Hta_7-0.25,0,Hta_7-0.25),IF(G92&lt;=Hta_8-0.25,0,Hta_8-0.25),IF(G92&lt;=Hta_9-0.25,0,Hta_9-0.25),IF(G92&lt;=Hta_10-0.25,0,Hta_10-0.25),IF(G92&lt;=Hta_11-0.25,0,Hta_11-0.25),IF(G92&lt;=Hta_12-0.25,0,Hta_12-0.25),IF(G92&lt;=Hta_13-0.25,0,Hta_13-0.25),IF(G92&lt;=Hta_14-0.25,0,Hta_14-0.25),IF(G92&lt;=Hta_15-0.25,0,Hta_15-0.25),IF(G92&lt;=Hta_16-0.25,0,Hta_16-0.25),IF(G92&lt;=Hta_17-0.25,0,Hta_17-0.25),IF(G92&lt;=Hta_18-0.25,0,Hta_18-0.25),IF(G92&lt;=Hta_19-0.25,0,Hta_19-0.25),IF(G92&lt;=Hta_20-0.25,0,Hta_20-0.25),IF(G92&lt;=Hta_21-0.25,0,Hta_21-0.25),IF(G92&lt;=Hta_22-0.25,0,Hta_22-0.25),IF(G92&lt;=Hta_23-0.25,0,Hta_23-0.25),IF(G92&lt;=Hta_24-0.25,0,Hta_24-0.25),IF(G92&lt;=Hta_25-0.25,0,Hta_25-0.25),IF(G92&lt;=Hta_26-0.25,0,Hta_26-0.25),IF(G92&lt;=Hta_27-0.25,0,Hta_27-0.25),IF(G92&lt;=Hta_28-0.25,0,Hta_28-0.25),IF(G92&lt;=Hta_29-0.25,0,Hta_29-0.25),IF(G92&lt;=Hta_30-0.25,0,Hta_30-0.25)),MAX(IF(G92&lt;=Hba_1,0,Hba_1),IF(G92&lt;=Hba_2,0,Hba_2),IF(G92&lt;=Hba_3,0,Hba_3),IF(G92&lt;=Hba_4,0,Hba_4),IF(G92&lt;=Hba_5,0,Hba_5),IF(G92&lt;=Hba_6,0,Hba_6),IF(G92&lt;=Hba_7,0,Hba_7),IF(G92&lt;=Hba_8,0,Hba_8),IF(G92&lt;=Hba_9,0,Hba_9),IF(G92&lt;=Hba_10,0,Hba_10),IF(G92&lt;=Hba_11,0,Hba_11),IF(G92&lt;=Hba_12,0,Hba_12),IF(G92&lt;=Hba_13,0,Hba_13),IF(G92&lt;=Hba_14,0,Hba_14),IF(G92&lt;=Hba_15,0,Hba_15),IF(G92&lt;=Hba_16,0,Hba_16),IF(G92&lt;=Hba_17,0,Hba_17),IF(G92&lt;=Hba_18,0,Hba_18),IF(G92&lt;=Hba_19,0,Hba_19),IF(G92&lt;=Hba_20,0,Hba_20),IF(G92&lt;=Hba_21,0,Hba_21),IF(G92&lt;=Hba_22,0,Hba_22),IF(G92&lt;=Hba_23,0,Hba_23),IF(G92&lt;=Hba_24,0,Hba_24),IF(G92&lt;=Hba_25,0,Hba_25),IF(G92&lt;=Hba_26,0,Hba_26),IF(G92&lt;=Hba_27,0,Hba_27),IF(G92&lt;=Hba_28,0,Hba_28),IF(G92&lt;=Hba_29,0,Hba_29),IF(G92&lt;=Hba_30,0,Hba_30)),MAX(IF(G92&lt;=Input!$C$8,0,Input!$C$8),IF(G92&lt;=Input!$C$9,0,Input!$C$9),IF(G92&lt;=Input!$C$10,0,Input!$C$10),IF(G92&lt;=Input!$C$11,0,Input!$C$11),IF(G92&lt;=Input!$C$12,0,Input!$C$12),IF(G92&lt;=Input!$C$13,0,Input!$C$13),IF(G92&lt;=Input!$C$14,0,Input!$C$14),IF(G92&lt;=Input!$C$15,0,Input!$C$15),IF(G92&lt;=Input!$C$16,0,Input!$C$16)),MAX(IF(G92&lt;=Hba_1-0.25,0,Hba_1-0.25),IF(G92&lt;=Hba_2-0.25,0,Hba_2-0.25),IF(G92&lt;=Hba_3-0.25,0,Hba_3-0.25),IF(G92&lt;=Hba_4-0.25,0,Hba_4-0.25),IF(G92&lt;=Hba_5-0.25,0,Hba_5-0.25),IF(G92&lt;=Hba_6-0.25,0,Hba_6-0.25),IF(G92&lt;=Hba_7-0.25,0,Hba_7-0.25),IF(G92&lt;=Hba_8-0.25,0,Hba_8-0.25),IF(G92&lt;=Hba_9-0.25,0,Hba_9-0.25),IF(G92&lt;=Hba_10-0.25,0,Hba_10-0.25),IF(G92&lt;=Hba_11-0.25,0,Hba_11-0.25),IF(G92&lt;=Hba_12-0.25,0,Hba_12-0.25),IF(G92&lt;=Hba_13-0.25,0,Hba_13-0.25),IF(G92&lt;=Hba_14-0.25,0,Hba_14-0.25),IF(G92&lt;=Hba_15-0.25,0,Hba_15-0.25),IF(G92&lt;=Hba_16-0.25,0,Hba_16-0.25),IF(G92&lt;=Hba_17-0.25,0,Hba_17-0.25),IF(G92&lt;=Hba_18-0.25,0,Hba_18-0.25),IF(G92&lt;=Hba_19-0.25,0,Hba_19-0.25),IF(G92&lt;=Hba_20-0.25,0,Hba_20-0.25),IF(G92&lt;=Hba_21-0.25,0,Hba_21-0.25),IF(G92&lt;=Hba_22-0.25,0,Hba_22-0.25),IF(G92&lt;=Hba_23-0.25,0,Hba_23-0.25),IF(G92&lt;=Hba_24-0.25,0,Hba_24-0.25),IF(G92&lt;=Hba_25-0.25,0,Hba_25-0.25),IF(G92&lt;=Hba_26-0.25,0,Hba_26-0.25),IF(G92&lt;=Hba_27-0.25,0,Hba_27-0.25),IF(G92&lt;=Hba_28-0.25,0,Hba_28-0.25),IF(G92&lt;=Hba_29-0.25,0,Hba_29-0.25),IF(G92&lt;=Hba_30-0.25,0,Hba_30-0.25)),IF(G92&lt;='Macro References'!$A$38,0,'Macro References'!$A$38)))</f>
        <v/>
      </c>
      <c r="H93" s="769"/>
      <c r="I93" s="228"/>
      <c r="J93" s="228"/>
      <c r="K93" s="228"/>
      <c r="L93" s="717" t="str">
        <f t="shared" si="11"/>
        <v/>
      </c>
      <c r="M93" s="717"/>
      <c r="N93" s="717"/>
      <c r="O93" s="717"/>
      <c r="P93" s="717" t="str">
        <f>IF(OR(G93=0,G93=""),"",IF(VLOOKUP(G93,'Geometry 2'!$C$4:$AI$14,1,TRUE)=VLOOKUP(G94,'Geometry 2'!$C$4:$AI$14,1,TRUE),"",IF(VLOOKUP(G93,'Geometry 2'!$C$4:$AI$14,33,TRUE)&lt;&gt;"n/a",MIN(G93,VLOOKUP(G93,'Geometry 2'!$C$4:$AI$14,1,TRUE))-VLOOKUP(G93,'Geometry 2'!$C$4:$AI$14,33,TRUE),"check")))</f>
        <v/>
      </c>
      <c r="Q93" s="717"/>
      <c r="R93" s="717"/>
      <c r="S93" s="717"/>
      <c r="T93" s="717" t="str">
        <f>IF($G93="","",VLOOKUP($G93,'Geometry 2'!$E$4:$AH$14,11,TRUE))</f>
        <v/>
      </c>
      <c r="U93" s="717"/>
      <c r="V93" s="717"/>
      <c r="W93" s="717"/>
      <c r="X93" s="716" t="str">
        <f>IF($G93="","",VLOOKUP($G93,'Geometry 2'!$E$4:$AJ$14,19,TRUE)-12*VLOOKUP($G93,'Geometry 2'!$E$4:$AJ$14,32,TRUE)*($D93-VLOOKUP($G93,'Geometry 2'!$E$5:$AH$14,1,TRUE)))</f>
        <v/>
      </c>
      <c r="Y93" s="716"/>
      <c r="Z93" s="716"/>
      <c r="AA93" s="716"/>
      <c r="AB93" s="757" t="str">
        <f>IF($G93="","",VLOOKUP($G93,'Geometry 2'!$E$4:$AJ$14,19,TRUE)-12*VLOOKUP($G93,'Geometry 2'!$E$4:$AJ$14,32,TRUE)*($G93-VLOOKUP($G93,'Geometry 2'!$E$5:$AH$14,1,TRUE)))</f>
        <v/>
      </c>
      <c r="AC93" s="758"/>
      <c r="AD93" s="758"/>
      <c r="AE93" s="759"/>
      <c r="AF93" s="716" t="str">
        <f>IF($G93="","",VLOOKUP($G93,'Geometry 2'!$E$4:$AJ$14,19,TRUE)-12*VLOOKUP($G93,'Geometry 2'!$E$4:$AJ$14,32,TRUE)*($G93-IF($P93="",0,$P93)-VLOOKUP($G93,'Geometry 2'!$E$5:$AH$14,1,TRUE)))</f>
        <v/>
      </c>
      <c r="AG93" s="716"/>
      <c r="AH93" s="716"/>
      <c r="AI93" s="716"/>
      <c r="AJ93" s="746" t="str">
        <f>IF($G93="","",VLOOKUP($G93,'Geometry 2'!$E$4:$AH$14,23,TRUE))</f>
        <v/>
      </c>
      <c r="AK93" s="747"/>
      <c r="AL93" s="747"/>
      <c r="AM93" s="748"/>
      <c r="AN93" s="717"/>
      <c r="AO93" s="717"/>
      <c r="AP93" s="717"/>
      <c r="AQ93" s="717"/>
      <c r="AR93" s="717" t="str">
        <f>IF($G93="","",VLOOKUP($G93,'Geometry 2'!$E$4:$AH$14,27,TRUE))</f>
        <v/>
      </c>
      <c r="AS93" s="717"/>
      <c r="AT93" s="717"/>
      <c r="AU93" s="718"/>
      <c r="AV93" s="715"/>
      <c r="AW93" s="716"/>
      <c r="AX93" s="716"/>
      <c r="AZ93" s="722" t="str">
        <f t="shared" si="15"/>
        <v/>
      </c>
      <c r="BA93" s="723"/>
      <c r="BB93" s="723"/>
      <c r="BC93" s="724"/>
      <c r="BD93" s="722"/>
      <c r="BE93" s="723"/>
      <c r="BF93" s="723"/>
      <c r="BG93" s="722" t="str">
        <f t="shared" si="19"/>
        <v/>
      </c>
      <c r="BH93" s="723"/>
      <c r="BI93" s="723"/>
      <c r="BJ93" s="723"/>
      <c r="BK93" s="724"/>
      <c r="BL93" s="722"/>
      <c r="BM93" s="723"/>
      <c r="BN93" s="723"/>
      <c r="BO93" s="723"/>
      <c r="BP93" s="725"/>
      <c r="BQ93" s="725"/>
      <c r="BR93" s="722" t="str">
        <f>IF(BP93="","",IF(OR(AND(Rev="H",Calculations!$F$27=TRUE),AND(Rev&lt;&gt;"H",Calculations!$F$30=TRUE)),IF(BP93&lt;=1,"Pass","Fail"),IF(BP93&lt;=1.05,"Pass","Fail")))</f>
        <v/>
      </c>
      <c r="BS93" s="723"/>
      <c r="BT93" s="724"/>
      <c r="BU93" s="49"/>
      <c r="BV93" s="25" t="str">
        <f>IFERROR(CONCATENATE(IF(AND($G93&lt;Hta_1,$G93&gt;=Hba_1,Input!U$21&lt;&gt;""),Input!$B$21&amp;";",""),IF(AND($G93&lt;Hta_2,$G93&gt;=Hba_2,Input!U$22&lt;&gt;""),Input!$B$22&amp;";",""),IF(AND($G93&lt;Hta_3,$G93&gt;=Hba_3,Input!U$23&lt;&gt;""),Input!$B$23&amp;";",""),IF(AND($G93&lt;Hta_4,$G93&gt;=Hba_4,Input!U$24&lt;&gt;""),Input!$B$24&amp;";",""),IF(AND($G93&lt;Hta_5,$G93&gt;=Hba_5,Input!U$25&lt;&gt;""),Input!$B$25&amp;";",""),IF(AND($G93&lt;Hta_6,$G93&gt;=Hba_6,Input!U$26&lt;&gt;""),Input!$B$26&amp;";",""),IF(AND($G93&lt;Hta_7,$G93&gt;=Hba_7,Input!U$27&lt;&gt;""),Input!$B$27&amp;";",""),IF(AND($G93&lt;Hta_8,$G93&gt;=Hba_8,Input!U$28&lt;&gt;""),Input!$B$28&amp;";",""),IF(AND($G93&lt;Hta_9,$G93&gt;=Hba_9,Input!U$29&lt;&gt;""),Input!$B$29&amp;";",""),IF(AND($G93&lt;Hta_10,$G93&gt;=Hba_10,Input!U$30&lt;&gt;""),Input!$B$30&amp;";",""),IF(AND($G93&lt;Hta_11,$G93&gt;=Hba_11,Input!U$31&lt;&gt;""),Input!$B$31&amp;";",""),IF(AND($G93&lt;Hta_12,$G93&gt;=Hba_12,Input!U$32&lt;&gt;""),Input!$B$32&amp;";",""),IF(AND($G93&lt;Hta_13,$G93&gt;=Hba_13,Input!U$33&lt;&gt;""),Input!$B$33&amp;";",""),IF(AND($G93&lt;Hta_14,$G93&gt;=Hba_14,Input!U$34&lt;&gt;""),Input!$B$34&amp;";",""),IF(AND($G93&lt;Hta_15,$G93&gt;=Hba_15,Input!U$35&lt;&gt;""),Input!$B$35&amp;";",""),IF(AND($G93&lt;Hta_16,$G93&gt;=Hba_16,Input!U$36&lt;&gt;""),Input!$B$36&amp;";",""),IF(AND($G93&lt;Hta_17,$G93&gt;=Hba_17,Input!U$37&lt;&gt;""),Input!$B$37&amp;";",""),IF(AND($G93&lt;Hta_18,$G93&gt;=Hba_18,Input!U$38&lt;&gt;""),Input!$B$38&amp;";",""),IF(AND($G93&lt;Hta_19,$G93&gt;=Hba_19,Input!U$39&lt;&gt;""),Input!$B$39&amp;";",""),IF(AND($G93&lt;Hta_20,$G93&gt;=Hba_20,Input!U$40&lt;&gt;""),Input!$B$40&amp;";",""),IF(AND($G93&lt;Hta_21,$G93&gt;=Hba_21,Input!U$41&lt;&gt;""),Input!$B$41&amp;";",""),IF(AND($G93&lt;Hta_22,$G93&gt;=Hba_22,Input!U$42&lt;&gt;""),Input!$B$42&amp;";",""),IF(AND($G93&lt;Hta_23,$G93&gt;=Hba_23,Input!U$43&lt;&gt;""),Input!$B$43&amp;";",""),IF(AND($G93&lt;Hta_24,$G93&gt;=Hba_24,Input!U$44&lt;&gt;""),Input!$B$44&amp;";",""),IF(AND($G93&lt;Hta_25,$G93&gt;=Hba_25,Input!U$45&lt;&gt;""),Input!$B$45&amp;";",""),IF(AND($G93&lt;Hta_26,$G93&gt;=Hba_26,Input!U$46&lt;&gt;""),Input!$B$46&amp;";",""),IF(AND($G93&lt;Hta_27,$G93&gt;=Hba_27,Input!U$47&lt;&gt;""),Input!$B$47&amp;";",""),IF(AND($G93&lt;Hta_28,$G93&gt;=Hba_28,Input!U$48&lt;&gt;""),Input!$B$48&amp;";",""),IF(AND($G93&lt;Hta_29,$G93&gt;=Hba_29,Input!U$49&lt;&gt;""),Input!$B$49&amp;";",""),IF(AND($G93&lt;Hta_30,$G93&gt;=Hba_30,Input!U$50&lt;&gt;""),Input!$B$50&amp;";","")),"")</f>
        <v/>
      </c>
      <c r="BW93" s="25" t="str">
        <f>IFERROR(CONCATENATE(IF(AND($G93&lt;Hta_1,$G93&gt;=Hba_1,Input!V$21&lt;&gt;""),Input!$B$21&amp;";",""),IF(AND($G93&lt;Hta_2,$G93&gt;=Hba_2,Input!V$22&lt;&gt;""),Input!$B$22&amp;";",""),IF(AND($G93&lt;Hta_3,$G93&gt;=Hba_3,Input!V$23&lt;&gt;""),Input!$B$23&amp;";",""),IF(AND($G93&lt;Hta_4,$G93&gt;=Hba_4,Input!V$24&lt;&gt;""),Input!$B$24&amp;";",""),IF(AND($G93&lt;Hta_5,$G93&gt;=Hba_5,Input!V$25&lt;&gt;""),Input!$B$25&amp;";",""),IF(AND($G93&lt;Hta_6,$G93&gt;=Hba_6,Input!V$26&lt;&gt;""),Input!$B$26&amp;";",""),IF(AND($G93&lt;Hta_7,$G93&gt;=Hba_7,Input!V$27&lt;&gt;""),Input!$B$27&amp;";",""),IF(AND($G93&lt;Hta_8,$G93&gt;=Hba_8,Input!V$28&lt;&gt;""),Input!$B$28&amp;";",""),IF(AND($G93&lt;Hta_9,$G93&gt;=Hba_9,Input!V$29&lt;&gt;""),Input!$B$29&amp;";",""),IF(AND($G93&lt;Hta_10,$G93&gt;=Hba_10,Input!V$30&lt;&gt;""),Input!$B$30&amp;";",""),IF(AND($G93&lt;Hta_11,$G93&gt;=Hba_11,Input!V$31&lt;&gt;""),Input!$B$31&amp;";",""),IF(AND($G93&lt;Hta_12,$G93&gt;=Hba_12,Input!V$32&lt;&gt;""),Input!$B$32&amp;";",""),IF(AND($G93&lt;Hta_13,$G93&gt;=Hba_13,Input!V$33&lt;&gt;""),Input!$B$33&amp;";",""),IF(AND($G93&lt;Hta_14,$G93&gt;=Hba_14,Input!V$34&lt;&gt;""),Input!$B$34&amp;";",""),IF(AND($G93&lt;Hta_15,$G93&gt;=Hba_15,Input!V$35&lt;&gt;""),Input!$B$35&amp;";",""),IF(AND($G93&lt;Hta_16,$G93&gt;=Hba_16,Input!V$36&lt;&gt;""),Input!$B$36&amp;";",""),IF(AND($G93&lt;Hta_17,$G93&gt;=Hba_17,Input!V$37&lt;&gt;""),Input!$B$37&amp;";",""),IF(AND($G93&lt;Hta_18,$G93&gt;=Hba_18,Input!V$38&lt;&gt;""),Input!$B$38&amp;";",""),IF(AND($G93&lt;Hta_19,$G93&gt;=Hba_19,Input!V$39&lt;&gt;""),Input!$B$39&amp;";",""),IF(AND($G93&lt;Hta_20,$G93&gt;=Hba_20,Input!V$40&lt;&gt;""),Input!$B$40&amp;";",""),IF(AND($G93&lt;Hta_21,$G93&gt;=Hba_21,Input!V$41&lt;&gt;""),Input!$B$41&amp;";",""),IF(AND($G93&lt;Hta_22,$G93&gt;=Hba_22,Input!V$42&lt;&gt;""),Input!$B$42&amp;";",""),IF(AND($G93&lt;Hta_23,$G93&gt;=Hba_23,Input!V$43&lt;&gt;""),Input!$B$43&amp;";",""),IF(AND($G93&lt;Hta_24,$G93&gt;=Hba_24,Input!V$44&lt;&gt;""),Input!$B$44&amp;";",""),IF(AND($G93&lt;Hta_25,$G93&gt;=Hba_25,Input!V$45&lt;&gt;""),Input!$B$45&amp;";",""),IF(AND($G93&lt;Hta_26,$G93&gt;=Hba_26,Input!V$46&lt;&gt;""),Input!$B$46&amp;";",""),IF(AND($G93&lt;Hta_27,$G93&gt;=Hba_27,Input!V$47&lt;&gt;""),Input!$B$47&amp;";",""),IF(AND($G93&lt;Hta_28,$G93&gt;=Hba_28,Input!V$48&lt;&gt;""),Input!$B$48&amp;";",""),IF(AND($G93&lt;Hta_29,$G93&gt;=Hba_29,Input!V$49&lt;&gt;""),Input!$B$49&amp;";",""),IF(AND($G93&lt;Hta_30,$G93&gt;=Hba_30,Input!V$50&lt;&gt;""),Input!$B$50&amp;";","")),"")</f>
        <v/>
      </c>
      <c r="BX93" s="25" t="str">
        <f>IFERROR(CONCATENATE(IF(AND($G93&lt;Hta_1,$G93&gt;=Hba_1,Input!W$21&lt;&gt;""),Input!$B$21&amp;";",""),IF(AND($G93&lt;Hta_2,$G93&gt;=Hba_2,Input!W$22&lt;&gt;""),Input!$B$22&amp;";",""),IF(AND($G93&lt;Hta_3,$G93&gt;=Hba_3,Input!W$23&lt;&gt;""),Input!$B$23&amp;";",""),IF(AND($G93&lt;Hta_4,$G93&gt;=Hba_4,Input!W$24&lt;&gt;""),Input!$B$24&amp;";",""),IF(AND($G93&lt;Hta_5,$G93&gt;=Hba_5,Input!W$25&lt;&gt;""),Input!$B$25&amp;";",""),IF(AND($G93&lt;Hta_6,$G93&gt;=Hba_6,Input!W$26&lt;&gt;""),Input!$B$26&amp;";",""),IF(AND($G93&lt;Hta_7,$G93&gt;=Hba_7,Input!W$27&lt;&gt;""),Input!$B$27&amp;";",""),IF(AND($G93&lt;Hta_8,$G93&gt;=Hba_8,Input!W$28&lt;&gt;""),Input!$B$28&amp;";",""),IF(AND($G93&lt;Hta_9,$G93&gt;=Hba_9,Input!W$29&lt;&gt;""),Input!$B$29&amp;";",""),IF(AND($G93&lt;Hta_10,$G93&gt;=Hba_10,Input!W$30&lt;&gt;""),Input!$B$30&amp;";",""),IF(AND($G93&lt;Hta_11,$G93&gt;=Hba_11,Input!W$31&lt;&gt;""),Input!$B$31&amp;";",""),IF(AND($G93&lt;Hta_12,$G93&gt;=Hba_12,Input!W$32&lt;&gt;""),Input!$B$32&amp;";",""),IF(AND($G93&lt;Hta_13,$G93&gt;=Hba_13,Input!W$33&lt;&gt;""),Input!$B$33&amp;";",""),IF(AND($G93&lt;Hta_14,$G93&gt;=Hba_14,Input!W$34&lt;&gt;""),Input!$B$34&amp;";",""),IF(AND($G93&lt;Hta_15,$G93&gt;=Hba_15,Input!W$35&lt;&gt;""),Input!$B$35&amp;";",""),IF(AND($G93&lt;Hta_16,$G93&gt;=Hba_16,Input!W$36&lt;&gt;""),Input!$B$36&amp;";",""),IF(AND($G93&lt;Hta_17,$G93&gt;=Hba_17,Input!W$37&lt;&gt;""),Input!$B$37&amp;";",""),IF(AND($G93&lt;Hta_18,$G93&gt;=Hba_18,Input!W$38&lt;&gt;""),Input!$B$38&amp;";",""),IF(AND($G93&lt;Hta_19,$G93&gt;=Hba_19,Input!W$39&lt;&gt;""),Input!$B$39&amp;";",""),IF(AND($G93&lt;Hta_20,$G93&gt;=Hba_20,Input!W$40&lt;&gt;""),Input!$B$40&amp;";",""),IF(AND($G93&lt;Hta_21,$G93&gt;=Hba_21,Input!W$41&lt;&gt;""),Input!$B$41&amp;";",""),IF(AND($G93&lt;Hta_22,$G93&gt;=Hba_22,Input!W$42&lt;&gt;""),Input!$B$42&amp;";",""),IF(AND($G93&lt;Hta_23,$G93&gt;=Hba_23,Input!W$43&lt;&gt;""),Input!$B$43&amp;";",""),IF(AND($G93&lt;Hta_24,$G93&gt;=Hba_24,Input!W$44&lt;&gt;""),Input!$B$44&amp;";",""),IF(AND($G93&lt;Hta_25,$G93&gt;=Hba_25,Input!W$45&lt;&gt;""),Input!$B$45&amp;";",""),IF(AND($G93&lt;Hta_26,$G93&gt;=Hba_26,Input!W$46&lt;&gt;""),Input!$B$46&amp;";",""),IF(AND($G93&lt;Hta_27,$G93&gt;=Hba_27,Input!W$47&lt;&gt;""),Input!$B$47&amp;";",""),IF(AND($G93&lt;Hta_28,$G93&gt;=Hba_28,Input!W$48&lt;&gt;""),Input!$B$48&amp;";",""),IF(AND($G93&lt;Hta_29,$G93&gt;=Hba_29,Input!W$49&lt;&gt;""),Input!$B$49&amp;";",""),IF(AND($G93&lt;Hta_30,$G93&gt;=Hba_30,Input!W$50&lt;&gt;""),Input!$B$50&amp;";","")),"")</f>
        <v/>
      </c>
      <c r="BY93" s="25" t="str">
        <f>IFERROR(CONCATENATE(IF(AND($G93&lt;Hta_1,$G93&gt;=Hba_1,Input!X$21&lt;&gt;""),Input!$B$21&amp;";",""),IF(AND($G93&lt;Hta_2,$G93&gt;=Hba_2,Input!X$22&lt;&gt;""),Input!$B$22&amp;";",""),IF(AND($G93&lt;Hta_3,$G93&gt;=Hba_3,Input!X$23&lt;&gt;""),Input!$B$23&amp;";",""),IF(AND($G93&lt;Hta_4,$G93&gt;=Hba_4,Input!X$24&lt;&gt;""),Input!$B$24&amp;";",""),IF(AND($G93&lt;Hta_5,$G93&gt;=Hba_5,Input!X$25&lt;&gt;""),Input!$B$25&amp;";",""),IF(AND($G93&lt;Hta_6,$G93&gt;=Hba_6,Input!X$26&lt;&gt;""),Input!$B$26&amp;";",""),IF(AND($G93&lt;Hta_7,$G93&gt;=Hba_7,Input!X$27&lt;&gt;""),Input!$B$27&amp;";",""),IF(AND($G93&lt;Hta_8,$G93&gt;=Hba_8,Input!X$28&lt;&gt;""),Input!$B$28&amp;";",""),IF(AND($G93&lt;Hta_9,$G93&gt;=Hba_9,Input!X$29&lt;&gt;""),Input!$B$29&amp;";",""),IF(AND($G93&lt;Hta_10,$G93&gt;=Hba_10,Input!X$30&lt;&gt;""),Input!$B$30&amp;";",""),IF(AND($G93&lt;Hta_11,$G93&gt;=Hba_11,Input!X$31&lt;&gt;""),Input!$B$31&amp;";",""),IF(AND($G93&lt;Hta_12,$G93&gt;=Hba_12,Input!X$32&lt;&gt;""),Input!$B$32&amp;";",""),IF(AND($G93&lt;Hta_13,$G93&gt;=Hba_13,Input!X$33&lt;&gt;""),Input!$B$33&amp;";",""),IF(AND($G93&lt;Hta_14,$G93&gt;=Hba_14,Input!X$34&lt;&gt;""),Input!$B$34&amp;";",""),IF(AND($G93&lt;Hta_15,$G93&gt;=Hba_15,Input!X$35&lt;&gt;""),Input!$B$35&amp;";",""),IF(AND($G93&lt;Hta_16,$G93&gt;=Hba_16,Input!X$36&lt;&gt;""),Input!$B$36&amp;";",""),IF(AND($G93&lt;Hta_17,$G93&gt;=Hba_17,Input!X$37&lt;&gt;""),Input!$B$37&amp;";",""),IF(AND($G93&lt;Hta_18,$G93&gt;=Hba_18,Input!X$38&lt;&gt;""),Input!$B$38&amp;";",""),IF(AND($G93&lt;Hta_19,$G93&gt;=Hba_19,Input!X$39&lt;&gt;""),Input!$B$39&amp;";",""),IF(AND($G93&lt;Hta_20,$G93&gt;=Hba_20,Input!X$40&lt;&gt;""),Input!$B$40&amp;";",""),IF(AND($G93&lt;Hta_21,$G93&gt;=Hba_21,Input!X$41&lt;&gt;""),Input!$B$41&amp;";",""),IF(AND($G93&lt;Hta_22,$G93&gt;=Hba_22,Input!X$42&lt;&gt;""),Input!$B$42&amp;";",""),IF(AND($G93&lt;Hta_23,$G93&gt;=Hba_23,Input!X$43&lt;&gt;""),Input!$B$43&amp;";",""),IF(AND($G93&lt;Hta_24,$G93&gt;=Hba_24,Input!X$44&lt;&gt;""),Input!$B$44&amp;";",""),IF(AND($G93&lt;Hta_25,$G93&gt;=Hba_25,Input!X$45&lt;&gt;""),Input!$B$45&amp;";",""),IF(AND($G93&lt;Hta_26,$G93&gt;=Hba_26,Input!X$46&lt;&gt;""),Input!$B$46&amp;";",""),IF(AND($G93&lt;Hta_27,$G93&gt;=Hba_27,Input!X$47&lt;&gt;""),Input!$B$47&amp;";",""),IF(AND($G93&lt;Hta_28,$G93&gt;=Hba_28,Input!X$48&lt;&gt;""),Input!$B$48&amp;";",""),IF(AND($G93&lt;Hta_29,$G93&gt;=Hba_29,Input!X$49&lt;&gt;""),Input!$B$49&amp;";",""),IF(AND($G93&lt;Hta_30,$G93&gt;=Hba_30,Input!X$50&lt;&gt;""),Input!$B$50&amp;";","")),"")</f>
        <v/>
      </c>
      <c r="BZ93" s="25" t="str">
        <f>IFERROR(CONCATENATE(IF(AND($G93&lt;Hta_1,$G93&gt;=Hba_1,Input!Y$21&lt;&gt;""),Input!$B$21&amp;";",""),IF(AND($G93&lt;Hta_2,$G93&gt;=Hba_2,Input!Y$22&lt;&gt;""),Input!$B$22&amp;";",""),IF(AND($G93&lt;Hta_3,$G93&gt;=Hba_3,Input!Y$23&lt;&gt;""),Input!$B$23&amp;";",""),IF(AND($G93&lt;Hta_4,$G93&gt;=Hba_4,Input!Y$24&lt;&gt;""),Input!$B$24&amp;";",""),IF(AND($G93&lt;Hta_5,$G93&gt;=Hba_5,Input!Y$25&lt;&gt;""),Input!$B$25&amp;";",""),IF(AND($G93&lt;Hta_6,$G93&gt;=Hba_6,Input!Y$26&lt;&gt;""),Input!$B$26&amp;";",""),IF(AND($G93&lt;Hta_7,$G93&gt;=Hba_7,Input!Y$27&lt;&gt;""),Input!$B$27&amp;";",""),IF(AND($G93&lt;Hta_8,$G93&gt;=Hba_8,Input!Y$28&lt;&gt;""),Input!$B$28&amp;";",""),IF(AND($G93&lt;Hta_9,$G93&gt;=Hba_9,Input!Y$29&lt;&gt;""),Input!$B$29&amp;";",""),IF(AND($G93&lt;Hta_10,$G93&gt;=Hba_10,Input!Y$30&lt;&gt;""),Input!$B$30&amp;";",""),IF(AND($G93&lt;Hta_11,$G93&gt;=Hba_11,Input!Y$31&lt;&gt;""),Input!$B$31&amp;";",""),IF(AND($G93&lt;Hta_12,$G93&gt;=Hba_12,Input!Y$32&lt;&gt;""),Input!$B$32&amp;";",""),IF(AND($G93&lt;Hta_13,$G93&gt;=Hba_13,Input!Y$33&lt;&gt;""),Input!$B$33&amp;";",""),IF(AND($G93&lt;Hta_14,$G93&gt;=Hba_14,Input!Y$34&lt;&gt;""),Input!$B$34&amp;";",""),IF(AND($G93&lt;Hta_15,$G93&gt;=Hba_15,Input!Y$35&lt;&gt;""),Input!$B$35&amp;";",""),IF(AND($G93&lt;Hta_16,$G93&gt;=Hba_16,Input!Y$36&lt;&gt;""),Input!$B$36&amp;";",""),IF(AND($G93&lt;Hta_17,$G93&gt;=Hba_17,Input!Y$37&lt;&gt;""),Input!$B$37&amp;";",""),IF(AND($G93&lt;Hta_18,$G93&gt;=Hba_18,Input!Y$38&lt;&gt;""),Input!$B$38&amp;";",""),IF(AND($G93&lt;Hta_19,$G93&gt;=Hba_19,Input!Y$39&lt;&gt;""),Input!$B$39&amp;";",""),IF(AND($G93&lt;Hta_20,$G93&gt;=Hba_20,Input!Y$40&lt;&gt;""),Input!$B$40&amp;";",""),IF(AND($G93&lt;Hta_21,$G93&gt;=Hba_21,Input!Y$41&lt;&gt;""),Input!$B$41&amp;";",""),IF(AND($G93&lt;Hta_22,$G93&gt;=Hba_22,Input!Y$42&lt;&gt;""),Input!$B$42&amp;";",""),IF(AND($G93&lt;Hta_23,$G93&gt;=Hba_23,Input!Y$43&lt;&gt;""),Input!$B$43&amp;";",""),IF(AND($G93&lt;Hta_24,$G93&gt;=Hba_24,Input!Y$44&lt;&gt;""),Input!$B$44&amp;";",""),IF(AND($G93&lt;Hta_25,$G93&gt;=Hba_25,Input!Y$45&lt;&gt;""),Input!$B$45&amp;";",""),IF(AND($G93&lt;Hta_26,$G93&gt;=Hba_26,Input!Y$46&lt;&gt;""),Input!$B$46&amp;";",""),IF(AND($G93&lt;Hta_27,$G93&gt;=Hba_27,Input!Y$47&lt;&gt;""),Input!$B$47&amp;";",""),IF(AND($G93&lt;Hta_28,$G93&gt;=Hba_28,Input!Y$48&lt;&gt;""),Input!$B$48&amp;";",""),IF(AND($G93&lt;Hta_29,$G93&gt;=Hba_29,Input!Y$49&lt;&gt;""),Input!$B$49&amp;";",""),IF(AND($G93&lt;Hta_30,$G93&gt;=Hba_30,Input!Y$50&lt;&gt;""),Input!$B$50&amp;";","")),"")</f>
        <v/>
      </c>
      <c r="CA93" s="25" t="str">
        <f>IFERROR(CONCATENATE(IF(AND($G93&lt;Hta_1,$G93&gt;=Hba_1,Input!Z$21&lt;&gt;""),Input!$B$21&amp;";",""),IF(AND($G93&lt;Hta_2,$G93&gt;=Hba_2,Input!Z$22&lt;&gt;""),Input!$B$22&amp;";",""),IF(AND($G93&lt;Hta_3,$G93&gt;=Hba_3,Input!Z$23&lt;&gt;""),Input!$B$23&amp;";",""),IF(AND($G93&lt;Hta_4,$G93&gt;=Hba_4,Input!Z$24&lt;&gt;""),Input!$B$24&amp;";",""),IF(AND($G93&lt;Hta_5,$G93&gt;=Hba_5,Input!Z$25&lt;&gt;""),Input!$B$25&amp;";",""),IF(AND($G93&lt;Hta_6,$G93&gt;=Hba_6,Input!Z$26&lt;&gt;""),Input!$B$26&amp;";",""),IF(AND($G93&lt;Hta_7,$G93&gt;=Hba_7,Input!Z$27&lt;&gt;""),Input!$B$27&amp;";",""),IF(AND($G93&lt;Hta_8,$G93&gt;=Hba_8,Input!Z$28&lt;&gt;""),Input!$B$28&amp;";",""),IF(AND($G93&lt;Hta_9,$G93&gt;=Hba_9,Input!Z$29&lt;&gt;""),Input!$B$29&amp;";",""),IF(AND($G93&lt;Hta_10,$G93&gt;=Hba_10,Input!Z$30&lt;&gt;""),Input!$B$30&amp;";",""),IF(AND($G93&lt;Hta_11,$G93&gt;=Hba_11,Input!Z$31&lt;&gt;""),Input!$B$31&amp;";",""),IF(AND($G93&lt;Hta_12,$G93&gt;=Hba_12,Input!Z$32&lt;&gt;""),Input!$B$32&amp;";",""),IF(AND($G93&lt;Hta_13,$G93&gt;=Hba_13,Input!Z$33&lt;&gt;""),Input!$B$33&amp;";",""),IF(AND($G93&lt;Hta_14,$G93&gt;=Hba_14,Input!Z$34&lt;&gt;""),Input!$B$34&amp;";",""),IF(AND($G93&lt;Hta_15,$G93&gt;=Hba_15,Input!Z$35&lt;&gt;""),Input!$B$35&amp;";",""),IF(AND($G93&lt;Hta_16,$G93&gt;=Hba_16,Input!Z$36&lt;&gt;""),Input!$B$36&amp;";",""),IF(AND($G93&lt;Hta_17,$G93&gt;=Hba_17,Input!Z$37&lt;&gt;""),Input!$B$37&amp;";",""),IF(AND($G93&lt;Hta_18,$G93&gt;=Hba_18,Input!Z$38&lt;&gt;""),Input!$B$38&amp;";",""),IF(AND($G93&lt;Hta_19,$G93&gt;=Hba_19,Input!Z$39&lt;&gt;""),Input!$B$39&amp;";",""),IF(AND($G93&lt;Hta_20,$G93&gt;=Hba_20,Input!Z$40&lt;&gt;""),Input!$B$40&amp;";",""),IF(AND($G93&lt;Hta_21,$G93&gt;=Hba_21,Input!Z$41&lt;&gt;""),Input!$B$41&amp;";",""),IF(AND($G93&lt;Hta_22,$G93&gt;=Hba_22,Input!Z$42&lt;&gt;""),Input!$B$42&amp;";",""),IF(AND($G93&lt;Hta_23,$G93&gt;=Hba_23,Input!Z$43&lt;&gt;""),Input!$B$43&amp;";",""),IF(AND($G93&lt;Hta_24,$G93&gt;=Hba_24,Input!Z$44&lt;&gt;""),Input!$B$44&amp;";",""),IF(AND($G93&lt;Hta_25,$G93&gt;=Hba_25,Input!Z$45&lt;&gt;""),Input!$B$45&amp;";",""),IF(AND($G93&lt;Hta_26,$G93&gt;=Hba_26,Input!Z$46&lt;&gt;""),Input!$B$46&amp;";",""),IF(AND($G93&lt;Hta_27,$G93&gt;=Hba_27,Input!Z$47&lt;&gt;""),Input!$B$47&amp;";",""),IF(AND($G93&lt;Hta_28,$G93&gt;=Hba_28,Input!Z$48&lt;&gt;""),Input!$B$48&amp;";",""),IF(AND($G93&lt;Hta_29,$G93&gt;=Hba_29,Input!Z$49&lt;&gt;""),Input!$B$49&amp;";",""),IF(AND($G93&lt;Hta_30,$G93&gt;=Hba_30,Input!Z$50&lt;&gt;""),Input!$B$50&amp;";","")),"")</f>
        <v/>
      </c>
      <c r="CB93" s="25" t="str">
        <f>IFERROR(CONCATENATE(IF(AND($G93&lt;Hta_1,$G93&gt;=Hba_1,Input!AA$21&lt;&gt;""),Input!$B$21&amp;";",""),IF(AND($G93&lt;Hta_2,$G93&gt;=Hba_2,Input!AA$22&lt;&gt;""),Input!$B$22&amp;";",""),IF(AND($G93&lt;Hta_3,$G93&gt;=Hba_3,Input!AA$23&lt;&gt;""),Input!$B$23&amp;";",""),IF(AND($G93&lt;Hta_4,$G93&gt;=Hba_4,Input!AA$24&lt;&gt;""),Input!$B$24&amp;";",""),IF(AND($G93&lt;Hta_5,$G93&gt;=Hba_5,Input!AA$25&lt;&gt;""),Input!$B$25&amp;";",""),IF(AND($G93&lt;Hta_6,$G93&gt;=Hba_6,Input!AA$26&lt;&gt;""),Input!$B$26&amp;";",""),IF(AND($G93&lt;Hta_7,$G93&gt;=Hba_7,Input!AA$27&lt;&gt;""),Input!$B$27&amp;";",""),IF(AND($G93&lt;Hta_8,$G93&gt;=Hba_8,Input!AA$28&lt;&gt;""),Input!$B$28&amp;";",""),IF(AND($G93&lt;Hta_9,$G93&gt;=Hba_9,Input!AA$29&lt;&gt;""),Input!$B$29&amp;";",""),IF(AND($G93&lt;Hta_10,$G93&gt;=Hba_10,Input!AA$30&lt;&gt;""),Input!$B$30&amp;";",""),IF(AND($G93&lt;Hta_11,$G93&gt;=Hba_11,Input!AA$31&lt;&gt;""),Input!$B$31&amp;";",""),IF(AND($G93&lt;Hta_12,$G93&gt;=Hba_12,Input!AA$32&lt;&gt;""),Input!$B$32&amp;";",""),IF(AND($G93&lt;Hta_13,$G93&gt;=Hba_13,Input!AA$33&lt;&gt;""),Input!$B$33&amp;";",""),IF(AND($G93&lt;Hta_14,$G93&gt;=Hba_14,Input!AA$34&lt;&gt;""),Input!$B$34&amp;";",""),IF(AND($G93&lt;Hta_15,$G93&gt;=Hba_15,Input!AA$35&lt;&gt;""),Input!$B$35&amp;";",""),IF(AND($G93&lt;Hta_16,$G93&gt;=Hba_16,Input!AA$36&lt;&gt;""),Input!$B$36&amp;";",""),IF(AND($G93&lt;Hta_17,$G93&gt;=Hba_17,Input!AA$37&lt;&gt;""),Input!$B$37&amp;";",""),IF(AND($G93&lt;Hta_18,$G93&gt;=Hba_18,Input!AA$38&lt;&gt;""),Input!$B$38&amp;";",""),IF(AND($G93&lt;Hta_19,$G93&gt;=Hba_19,Input!AA$39&lt;&gt;""),Input!$B$39&amp;";",""),IF(AND($G93&lt;Hta_20,$G93&gt;=Hba_20,Input!AA$40&lt;&gt;""),Input!$B$40&amp;";",""),IF(AND($G93&lt;Hta_21,$G93&gt;=Hba_21,Input!AA$41&lt;&gt;""),Input!$B$41&amp;";",""),IF(AND($G93&lt;Hta_22,$G93&gt;=Hba_22,Input!AA$42&lt;&gt;""),Input!$B$42&amp;";",""),IF(AND($G93&lt;Hta_23,$G93&gt;=Hba_23,Input!AA$43&lt;&gt;""),Input!$B$43&amp;";",""),IF(AND($G93&lt;Hta_24,$G93&gt;=Hba_24,Input!AA$44&lt;&gt;""),Input!$B$44&amp;";",""),IF(AND($G93&lt;Hta_25,$G93&gt;=Hba_25,Input!AA$45&lt;&gt;""),Input!$B$45&amp;";",""),IF(AND($G93&lt;Hta_26,$G93&gt;=Hba_26,Input!AA$46&lt;&gt;""),Input!$B$46&amp;";",""),IF(AND($G93&lt;Hta_27,$G93&gt;=Hba_27,Input!AA$47&lt;&gt;""),Input!$B$47&amp;";",""),IF(AND($G93&lt;Hta_28,$G93&gt;=Hba_28,Input!AA$48&lt;&gt;""),Input!$B$48&amp;";",""),IF(AND($G93&lt;Hta_29,$G93&gt;=Hba_29,Input!AA$49&lt;&gt;""),Input!$B$49&amp;";",""),IF(AND($G93&lt;Hta_30,$G93&gt;=Hba_30,Input!AA$50&lt;&gt;""),Input!$B$50&amp;";","")),"")</f>
        <v/>
      </c>
      <c r="CC93" s="25" t="str">
        <f>IFERROR(CONCATENATE(IF(AND($G93&lt;Hta_1,$G93&gt;=Hba_1,Input!AB$21&lt;&gt;""),Input!$B$21&amp;";",""),IF(AND($G93&lt;Hta_2,$G93&gt;=Hba_2,Input!AB$22&lt;&gt;""),Input!$B$22&amp;";",""),IF(AND($G93&lt;Hta_3,$G93&gt;=Hba_3,Input!AB$23&lt;&gt;""),Input!$B$23&amp;";",""),IF(AND($G93&lt;Hta_4,$G93&gt;=Hba_4,Input!AB$24&lt;&gt;""),Input!$B$24&amp;";",""),IF(AND($G93&lt;Hta_5,$G93&gt;=Hba_5,Input!AB$25&lt;&gt;""),Input!$B$25&amp;";",""),IF(AND($G93&lt;Hta_6,$G93&gt;=Hba_6,Input!AB$26&lt;&gt;""),Input!$B$26&amp;";",""),IF(AND($G93&lt;Hta_7,$G93&gt;=Hba_7,Input!AB$27&lt;&gt;""),Input!$B$27&amp;";",""),IF(AND($G93&lt;Hta_8,$G93&gt;=Hba_8,Input!AB$28&lt;&gt;""),Input!$B$28&amp;";",""),IF(AND($G93&lt;Hta_9,$G93&gt;=Hba_9,Input!AB$29&lt;&gt;""),Input!$B$29&amp;";",""),IF(AND($G93&lt;Hta_10,$G93&gt;=Hba_10,Input!AB$30&lt;&gt;""),Input!$B$30&amp;";",""),IF(AND($G93&lt;Hta_11,$G93&gt;=Hba_11,Input!AB$31&lt;&gt;""),Input!$B$31&amp;";",""),IF(AND($G93&lt;Hta_12,$G93&gt;=Hba_12,Input!AB$32&lt;&gt;""),Input!$B$32&amp;";",""),IF(AND($G93&lt;Hta_13,$G93&gt;=Hba_13,Input!AB$33&lt;&gt;""),Input!$B$33&amp;";",""),IF(AND($G93&lt;Hta_14,$G93&gt;=Hba_14,Input!AB$34&lt;&gt;""),Input!$B$34&amp;";",""),IF(AND($G93&lt;Hta_15,$G93&gt;=Hba_15,Input!AB$35&lt;&gt;""),Input!$B$35&amp;";",""),IF(AND($G93&lt;Hta_16,$G93&gt;=Hba_16,Input!AB$36&lt;&gt;""),Input!$B$36&amp;";",""),IF(AND($G93&lt;Hta_17,$G93&gt;=Hba_17,Input!AB$37&lt;&gt;""),Input!$B$37&amp;";",""),IF(AND($G93&lt;Hta_18,$G93&gt;=Hba_18,Input!AB$38&lt;&gt;""),Input!$B$38&amp;";",""),IF(AND($G93&lt;Hta_19,$G93&gt;=Hba_19,Input!AB$39&lt;&gt;""),Input!$B$39&amp;";",""),IF(AND($G93&lt;Hta_20,$G93&gt;=Hba_20,Input!AB$40&lt;&gt;""),Input!$B$40&amp;";",""),IF(AND($G93&lt;Hta_21,$G93&gt;=Hba_21,Input!AB$41&lt;&gt;""),Input!$B$41&amp;";",""),IF(AND($G93&lt;Hta_22,$G93&gt;=Hba_22,Input!AB$42&lt;&gt;""),Input!$B$42&amp;";",""),IF(AND($G93&lt;Hta_23,$G93&gt;=Hba_23,Input!AB$43&lt;&gt;""),Input!$B$43&amp;";",""),IF(AND($G93&lt;Hta_24,$G93&gt;=Hba_24,Input!AB$44&lt;&gt;""),Input!$B$44&amp;";",""),IF(AND($G93&lt;Hta_25,$G93&gt;=Hba_25,Input!AB$45&lt;&gt;""),Input!$B$45&amp;";",""),IF(AND($G93&lt;Hta_26,$G93&gt;=Hba_26,Input!AB$46&lt;&gt;""),Input!$B$46&amp;";",""),IF(AND($G93&lt;Hta_27,$G93&gt;=Hba_27,Input!AB$47&lt;&gt;""),Input!$B$47&amp;";",""),IF(AND($G93&lt;Hta_28,$G93&gt;=Hba_28,Input!AB$48&lt;&gt;""),Input!$B$48&amp;";",""),IF(AND($G93&lt;Hta_29,$G93&gt;=Hba_29,Input!AB$49&lt;&gt;""),Input!$B$49&amp;";",""),IF(AND($G93&lt;Hta_30,$G93&gt;=Hba_30,Input!AB$50&lt;&gt;""),Input!$B$50&amp;";","")),"")</f>
        <v/>
      </c>
      <c r="CD93" s="25" t="str">
        <f>IFERROR(CONCATENATE(IF(AND($G93&lt;Hta_1,$G93&gt;=Hba_1,Input!AC$21&lt;&gt;""),Input!$B$21&amp;";",""),IF(AND($G93&lt;Hta_2,$G93&gt;=Hba_2,Input!AC$22&lt;&gt;""),Input!$B$22&amp;";",""),IF(AND($G93&lt;Hta_3,$G93&gt;=Hba_3,Input!AC$23&lt;&gt;""),Input!$B$23&amp;";",""),IF(AND($G93&lt;Hta_4,$G93&gt;=Hba_4,Input!AC$24&lt;&gt;""),Input!$B$24&amp;";",""),IF(AND($G93&lt;Hta_5,$G93&gt;=Hba_5,Input!AC$25&lt;&gt;""),Input!$B$25&amp;";",""),IF(AND($G93&lt;Hta_6,$G93&gt;=Hba_6,Input!AC$26&lt;&gt;""),Input!$B$26&amp;";",""),IF(AND($G93&lt;Hta_7,$G93&gt;=Hba_7,Input!AC$27&lt;&gt;""),Input!$B$27&amp;";",""),IF(AND($G93&lt;Hta_8,$G93&gt;=Hba_8,Input!AC$28&lt;&gt;""),Input!$B$28&amp;";",""),IF(AND($G93&lt;Hta_9,$G93&gt;=Hba_9,Input!AC$29&lt;&gt;""),Input!$B$29&amp;";",""),IF(AND($G93&lt;Hta_10,$G93&gt;=Hba_10,Input!AC$30&lt;&gt;""),Input!$B$30&amp;";",""),IF(AND($G93&lt;Hta_11,$G93&gt;=Hba_11,Input!AC$31&lt;&gt;""),Input!$B$31&amp;";",""),IF(AND($G93&lt;Hta_12,$G93&gt;=Hba_12,Input!AC$32&lt;&gt;""),Input!$B$32&amp;";",""),IF(AND($G93&lt;Hta_13,$G93&gt;=Hba_13,Input!AC$33&lt;&gt;""),Input!$B$33&amp;";",""),IF(AND($G93&lt;Hta_14,$G93&gt;=Hba_14,Input!AC$34&lt;&gt;""),Input!$B$34&amp;";",""),IF(AND($G93&lt;Hta_15,$G93&gt;=Hba_15,Input!AC$35&lt;&gt;""),Input!$B$35&amp;";",""),IF(AND($G93&lt;Hta_16,$G93&gt;=Hba_16,Input!AC$36&lt;&gt;""),Input!$B$36&amp;";",""),IF(AND($G93&lt;Hta_17,$G93&gt;=Hba_17,Input!AC$37&lt;&gt;""),Input!$B$37&amp;";",""),IF(AND($G93&lt;Hta_18,$G93&gt;=Hba_18,Input!AC$38&lt;&gt;""),Input!$B$38&amp;";",""),IF(AND($G93&lt;Hta_19,$G93&gt;=Hba_19,Input!AC$39&lt;&gt;""),Input!$B$39&amp;";",""),IF(AND($G93&lt;Hta_20,$G93&gt;=Hba_20,Input!AC$40&lt;&gt;""),Input!$B$40&amp;";",""),IF(AND($G93&lt;Hta_21,$G93&gt;=Hba_21,Input!AC$41&lt;&gt;""),Input!$B$41&amp;";",""),IF(AND($G93&lt;Hta_22,$G93&gt;=Hba_22,Input!AC$42&lt;&gt;""),Input!$B$42&amp;";",""),IF(AND($G93&lt;Hta_23,$G93&gt;=Hba_23,Input!AC$43&lt;&gt;""),Input!$B$43&amp;";",""),IF(AND($G93&lt;Hta_24,$G93&gt;=Hba_24,Input!AC$44&lt;&gt;""),Input!$B$44&amp;";",""),IF(AND($G93&lt;Hta_25,$G93&gt;=Hba_25,Input!AC$45&lt;&gt;""),Input!$B$45&amp;";",""),IF(AND($G93&lt;Hta_26,$G93&gt;=Hba_26,Input!AC$46&lt;&gt;""),Input!$B$46&amp;";",""),IF(AND($G93&lt;Hta_27,$G93&gt;=Hba_27,Input!AC$47&lt;&gt;""),Input!$B$47&amp;";",""),IF(AND($G93&lt;Hta_28,$G93&gt;=Hba_28,Input!AC$48&lt;&gt;""),Input!$B$48&amp;";",""),IF(AND($G93&lt;Hta_29,$G93&gt;=Hba_29,Input!AC$49&lt;&gt;""),Input!$B$49&amp;";",""),IF(AND($G93&lt;Hta_30,$G93&gt;=Hba_30,Input!AC$50&lt;&gt;""),Input!$B$50&amp;";","")),"")</f>
        <v/>
      </c>
      <c r="CE93" s="25" t="str">
        <f>IFERROR(CONCATENATE(IF(AND($G93&lt;Hta_1,$G93&gt;=Hba_1,Input!AD$21&lt;&gt;""),Input!$B$21&amp;";",""),IF(AND($G93&lt;Hta_2,$G93&gt;=Hba_2,Input!AD$22&lt;&gt;""),Input!$B$22&amp;";",""),IF(AND($G93&lt;Hta_3,$G93&gt;=Hba_3,Input!AD$23&lt;&gt;""),Input!$B$23&amp;";",""),IF(AND($G93&lt;Hta_4,$G93&gt;=Hba_4,Input!AD$24&lt;&gt;""),Input!$B$24&amp;";",""),IF(AND($G93&lt;Hta_5,$G93&gt;=Hba_5,Input!AD$25&lt;&gt;""),Input!$B$25&amp;";",""),IF(AND($G93&lt;Hta_6,$G93&gt;=Hba_6,Input!AD$26&lt;&gt;""),Input!$B$26&amp;";",""),IF(AND($G93&lt;Hta_7,$G93&gt;=Hba_7,Input!AD$27&lt;&gt;""),Input!$B$27&amp;";",""),IF(AND($G93&lt;Hta_8,$G93&gt;=Hba_8,Input!AD$28&lt;&gt;""),Input!$B$28&amp;";",""),IF(AND($G93&lt;Hta_9,$G93&gt;=Hba_9,Input!AD$29&lt;&gt;""),Input!$B$29&amp;";",""),IF(AND($G93&lt;Hta_10,$G93&gt;=Hba_10,Input!AD$30&lt;&gt;""),Input!$B$30&amp;";",""),IF(AND($G93&lt;Hta_11,$G93&gt;=Hba_11,Input!AD$31&lt;&gt;""),Input!$B$31&amp;";",""),IF(AND($G93&lt;Hta_12,$G93&gt;=Hba_12,Input!AD$32&lt;&gt;""),Input!$B$32&amp;";",""),IF(AND($G93&lt;Hta_13,$G93&gt;=Hba_13,Input!AD$33&lt;&gt;""),Input!$B$33&amp;";",""),IF(AND($G93&lt;Hta_14,$G93&gt;=Hba_14,Input!AD$34&lt;&gt;""),Input!$B$34&amp;";",""),IF(AND($G93&lt;Hta_15,$G93&gt;=Hba_15,Input!AD$35&lt;&gt;""),Input!$B$35&amp;";",""),IF(AND($G93&lt;Hta_16,$G93&gt;=Hba_16,Input!AD$36&lt;&gt;""),Input!$B$36&amp;";",""),IF(AND($G93&lt;Hta_17,$G93&gt;=Hba_17,Input!AD$37&lt;&gt;""),Input!$B$37&amp;";",""),IF(AND($G93&lt;Hta_18,$G93&gt;=Hba_18,Input!AD$38&lt;&gt;""),Input!$B$38&amp;";",""),IF(AND($G93&lt;Hta_19,$G93&gt;=Hba_19,Input!AD$39&lt;&gt;""),Input!$B$39&amp;";",""),IF(AND($G93&lt;Hta_20,$G93&gt;=Hba_20,Input!AD$40&lt;&gt;""),Input!$B$40&amp;";",""),IF(AND($G93&lt;Hta_21,$G93&gt;=Hba_21,Input!AD$41&lt;&gt;""),Input!$B$41&amp;";",""),IF(AND($G93&lt;Hta_22,$G93&gt;=Hba_22,Input!AD$42&lt;&gt;""),Input!$B$42&amp;";",""),IF(AND($G93&lt;Hta_23,$G93&gt;=Hba_23,Input!AD$43&lt;&gt;""),Input!$B$43&amp;";",""),IF(AND($G93&lt;Hta_24,$G93&gt;=Hba_24,Input!AD$44&lt;&gt;""),Input!$B$44&amp;";",""),IF(AND($G93&lt;Hta_25,$G93&gt;=Hba_25,Input!AD$45&lt;&gt;""),Input!$B$45&amp;";",""),IF(AND($G93&lt;Hta_26,$G93&gt;=Hba_26,Input!AD$46&lt;&gt;""),Input!$B$46&amp;";",""),IF(AND($G93&lt;Hta_27,$G93&gt;=Hba_27,Input!AD$47&lt;&gt;""),Input!$B$47&amp;";",""),IF(AND($G93&lt;Hta_28,$G93&gt;=Hba_28,Input!AD$48&lt;&gt;""),Input!$B$48&amp;";",""),IF(AND($G93&lt;Hta_29,$G93&gt;=Hba_29,Input!AD$49&lt;&gt;""),Input!$B$49&amp;";",""),IF(AND($G93&lt;Hta_30,$G93&gt;=Hba_30,Input!AD$50&lt;&gt;""),Input!$B$50&amp;";","")),"")</f>
        <v/>
      </c>
      <c r="CF93" s="25" t="str">
        <f>IFERROR(CONCATENATE(IF(AND($G93&lt;Hta_1,$G93&gt;=Hba_1,Input!AE$21&lt;&gt;""),Input!$B$21&amp;";",""),IF(AND($G93&lt;Hta_2,$G93&gt;=Hba_2,Input!AE$22&lt;&gt;""),Input!$B$22&amp;";",""),IF(AND($G93&lt;Hta_3,$G93&gt;=Hba_3,Input!AE$23&lt;&gt;""),Input!$B$23&amp;";",""),IF(AND($G93&lt;Hta_4,$G93&gt;=Hba_4,Input!AE$24&lt;&gt;""),Input!$B$24&amp;";",""),IF(AND($G93&lt;Hta_5,$G93&gt;=Hba_5,Input!AE$25&lt;&gt;""),Input!$B$25&amp;";",""),IF(AND($G93&lt;Hta_6,$G93&gt;=Hba_6,Input!AE$26&lt;&gt;""),Input!$B$26&amp;";",""),IF(AND($G93&lt;Hta_7,$G93&gt;=Hba_7,Input!AE$27&lt;&gt;""),Input!$B$27&amp;";",""),IF(AND($G93&lt;Hta_8,$G93&gt;=Hba_8,Input!AE$28&lt;&gt;""),Input!$B$28&amp;";",""),IF(AND($G93&lt;Hta_9,$G93&gt;=Hba_9,Input!AE$29&lt;&gt;""),Input!$B$29&amp;";",""),IF(AND($G93&lt;Hta_10,$G93&gt;=Hba_10,Input!AE$30&lt;&gt;""),Input!$B$30&amp;";",""),IF(AND($G93&lt;Hta_11,$G93&gt;=Hba_11,Input!AE$31&lt;&gt;""),Input!$B$31&amp;";",""),IF(AND($G93&lt;Hta_12,$G93&gt;=Hba_12,Input!AE$32&lt;&gt;""),Input!$B$32&amp;";",""),IF(AND($G93&lt;Hta_13,$G93&gt;=Hba_13,Input!AE$33&lt;&gt;""),Input!$B$33&amp;";",""),IF(AND($G93&lt;Hta_14,$G93&gt;=Hba_14,Input!AE$34&lt;&gt;""),Input!$B$34&amp;";",""),IF(AND($G93&lt;Hta_15,$G93&gt;=Hba_15,Input!AE$35&lt;&gt;""),Input!$B$35&amp;";",""),IF(AND($G93&lt;Hta_16,$G93&gt;=Hba_16,Input!AE$36&lt;&gt;""),Input!$B$36&amp;";",""),IF(AND($G93&lt;Hta_17,$G93&gt;=Hba_17,Input!AE$37&lt;&gt;""),Input!$B$37&amp;";",""),IF(AND($G93&lt;Hta_18,$G93&gt;=Hba_18,Input!AE$38&lt;&gt;""),Input!$B$38&amp;";",""),IF(AND($G93&lt;Hta_19,$G93&gt;=Hba_19,Input!AE$39&lt;&gt;""),Input!$B$39&amp;";",""),IF(AND($G93&lt;Hta_20,$G93&gt;=Hba_20,Input!AE$40&lt;&gt;""),Input!$B$40&amp;";",""),IF(AND($G93&lt;Hta_21,$G93&gt;=Hba_21,Input!AE$41&lt;&gt;""),Input!$B$41&amp;";",""),IF(AND($G93&lt;Hta_22,$G93&gt;=Hba_22,Input!AE$42&lt;&gt;""),Input!$B$42&amp;";",""),IF(AND($G93&lt;Hta_23,$G93&gt;=Hba_23,Input!AE$43&lt;&gt;""),Input!$B$43&amp;";",""),IF(AND($G93&lt;Hta_24,$G93&gt;=Hba_24,Input!AE$44&lt;&gt;""),Input!$B$44&amp;";",""),IF(AND($G93&lt;Hta_25,$G93&gt;=Hba_25,Input!AE$45&lt;&gt;""),Input!$B$45&amp;";",""),IF(AND($G93&lt;Hta_26,$G93&gt;=Hba_26,Input!AE$46&lt;&gt;""),Input!$B$46&amp;";",""),IF(AND($G93&lt;Hta_27,$G93&gt;=Hba_27,Input!AE$47&lt;&gt;""),Input!$B$47&amp;";",""),IF(AND($G93&lt;Hta_28,$G93&gt;=Hba_28,Input!AE$48&lt;&gt;""),Input!$B$48&amp;";",""),IF(AND($G93&lt;Hta_29,$G93&gt;=Hba_29,Input!AE$49&lt;&gt;""),Input!$B$49&amp;";",""),IF(AND($G93&lt;Hta_30,$G93&gt;=Hba_30,Input!AE$50&lt;&gt;""),Input!$B$50&amp;";","")),"")</f>
        <v/>
      </c>
      <c r="CG93" s="25" t="str">
        <f>IFERROR(CONCATENATE(IF(AND($G93&lt;Hta_1,$G93&gt;=Hba_1,Input!AF$21&lt;&gt;""),Input!$B$21&amp;";",""),IF(AND($G93&lt;Hta_2,$G93&gt;=Hba_2,Input!AF$22&lt;&gt;""),Input!$B$22&amp;";",""),IF(AND($G93&lt;Hta_3,$G93&gt;=Hba_3,Input!AF$23&lt;&gt;""),Input!$B$23&amp;";",""),IF(AND($G93&lt;Hta_4,$G93&gt;=Hba_4,Input!AF$24&lt;&gt;""),Input!$B$24&amp;";",""),IF(AND($G93&lt;Hta_5,$G93&gt;=Hba_5,Input!AF$25&lt;&gt;""),Input!$B$25&amp;";",""),IF(AND($G93&lt;Hta_6,$G93&gt;=Hba_6,Input!AF$26&lt;&gt;""),Input!$B$26&amp;";",""),IF(AND($G93&lt;Hta_7,$G93&gt;=Hba_7,Input!AF$27&lt;&gt;""),Input!$B$27&amp;";",""),IF(AND($G93&lt;Hta_8,$G93&gt;=Hba_8,Input!AF$28&lt;&gt;""),Input!$B$28&amp;";",""),IF(AND($G93&lt;Hta_9,$G93&gt;=Hba_9,Input!AF$29&lt;&gt;""),Input!$B$29&amp;";",""),IF(AND($G93&lt;Hta_10,$G93&gt;=Hba_10,Input!AF$30&lt;&gt;""),Input!$B$30&amp;";",""),IF(AND($G93&lt;Hta_11,$G93&gt;=Hba_11,Input!AF$31&lt;&gt;""),Input!$B$31&amp;";",""),IF(AND($G93&lt;Hta_12,$G93&gt;=Hba_12,Input!AF$32&lt;&gt;""),Input!$B$32&amp;";",""),IF(AND($G93&lt;Hta_13,$G93&gt;=Hba_13,Input!AF$33&lt;&gt;""),Input!$B$33&amp;";",""),IF(AND($G93&lt;Hta_14,$G93&gt;=Hba_14,Input!AF$34&lt;&gt;""),Input!$B$34&amp;";",""),IF(AND($G93&lt;Hta_15,$G93&gt;=Hba_15,Input!AF$35&lt;&gt;""),Input!$B$35&amp;";",""),IF(AND($G93&lt;Hta_16,$G93&gt;=Hba_16,Input!AF$36&lt;&gt;""),Input!$B$36&amp;";",""),IF(AND($G93&lt;Hta_17,$G93&gt;=Hba_17,Input!AF$37&lt;&gt;""),Input!$B$37&amp;";",""),IF(AND($G93&lt;Hta_18,$G93&gt;=Hba_18,Input!AF$38&lt;&gt;""),Input!$B$38&amp;";",""),IF(AND($G93&lt;Hta_19,$G93&gt;=Hba_19,Input!AF$39&lt;&gt;""),Input!$B$39&amp;";",""),IF(AND($G93&lt;Hta_20,$G93&gt;=Hba_20,Input!AF$40&lt;&gt;""),Input!$B$40&amp;";",""),IF(AND($G93&lt;Hta_21,$G93&gt;=Hba_21,Input!AF$41&lt;&gt;""),Input!$B$41&amp;";",""),IF(AND($G93&lt;Hta_22,$G93&gt;=Hba_22,Input!AF$42&lt;&gt;""),Input!$B$42&amp;";",""),IF(AND($G93&lt;Hta_23,$G93&gt;=Hba_23,Input!AF$43&lt;&gt;""),Input!$B$43&amp;";",""),IF(AND($G93&lt;Hta_24,$G93&gt;=Hba_24,Input!AF$44&lt;&gt;""),Input!$B$44&amp;";",""),IF(AND($G93&lt;Hta_25,$G93&gt;=Hba_25,Input!AF$45&lt;&gt;""),Input!$B$45&amp;";",""),IF(AND($G93&lt;Hta_26,$G93&gt;=Hba_26,Input!AF$46&lt;&gt;""),Input!$B$46&amp;";",""),IF(AND($G93&lt;Hta_27,$G93&gt;=Hba_27,Input!AF$47&lt;&gt;""),Input!$B$47&amp;";",""),IF(AND($G93&lt;Hta_28,$G93&gt;=Hba_28,Input!AF$48&lt;&gt;""),Input!$B$48&amp;";",""),IF(AND($G93&lt;Hta_29,$G93&gt;=Hba_29,Input!AF$49&lt;&gt;""),Input!$B$49&amp;";",""),IF(AND($G93&lt;Hta_30,$G93&gt;=Hba_30,Input!AF$50&lt;&gt;""),Input!$B$50&amp;";","")),"")</f>
        <v/>
      </c>
      <c r="CH93" s="25" t="str">
        <f>IFERROR(CONCATENATE(IF(AND($G93&lt;Hta_1,$G93&gt;=Hba_1,Input!AG$21&lt;&gt;""),Input!$B$21&amp;";",""),IF(AND($G93&lt;Hta_2,$G93&gt;=Hba_2,Input!AG$22&lt;&gt;""),Input!$B$22&amp;";",""),IF(AND($G93&lt;Hta_3,$G93&gt;=Hba_3,Input!AG$23&lt;&gt;""),Input!$B$23&amp;";",""),IF(AND($G93&lt;Hta_4,$G93&gt;=Hba_4,Input!AG$24&lt;&gt;""),Input!$B$24&amp;";",""),IF(AND($G93&lt;Hta_5,$G93&gt;=Hba_5,Input!AG$25&lt;&gt;""),Input!$B$25&amp;";",""),IF(AND($G93&lt;Hta_6,$G93&gt;=Hba_6,Input!AG$26&lt;&gt;""),Input!$B$26&amp;";",""),IF(AND($G93&lt;Hta_7,$G93&gt;=Hba_7,Input!AG$27&lt;&gt;""),Input!$B$27&amp;";",""),IF(AND($G93&lt;Hta_8,$G93&gt;=Hba_8,Input!AG$28&lt;&gt;""),Input!$B$28&amp;";",""),IF(AND($G93&lt;Hta_9,$G93&gt;=Hba_9,Input!AG$29&lt;&gt;""),Input!$B$29&amp;";",""),IF(AND($G93&lt;Hta_10,$G93&gt;=Hba_10,Input!AG$30&lt;&gt;""),Input!$B$30&amp;";",""),IF(AND($G93&lt;Hta_11,$G93&gt;=Hba_11,Input!AG$31&lt;&gt;""),Input!$B$31&amp;";",""),IF(AND($G93&lt;Hta_12,$G93&gt;=Hba_12,Input!AG$32&lt;&gt;""),Input!$B$32&amp;";",""),IF(AND($G93&lt;Hta_13,$G93&gt;=Hba_13,Input!AG$33&lt;&gt;""),Input!$B$33&amp;";",""),IF(AND($G93&lt;Hta_14,$G93&gt;=Hba_14,Input!AG$34&lt;&gt;""),Input!$B$34&amp;";",""),IF(AND($G93&lt;Hta_15,$G93&gt;=Hba_15,Input!AG$35&lt;&gt;""),Input!$B$35&amp;";",""),IF(AND($G93&lt;Hta_16,$G93&gt;=Hba_16,Input!AG$36&lt;&gt;""),Input!$B$36&amp;";",""),IF(AND($G93&lt;Hta_17,$G93&gt;=Hba_17,Input!AG$37&lt;&gt;""),Input!$B$37&amp;";",""),IF(AND($G93&lt;Hta_18,$G93&gt;=Hba_18,Input!AG$38&lt;&gt;""),Input!$B$38&amp;";",""),IF(AND($G93&lt;Hta_19,$G93&gt;=Hba_19,Input!AG$39&lt;&gt;""),Input!$B$39&amp;";",""),IF(AND($G93&lt;Hta_20,$G93&gt;=Hba_20,Input!AG$40&lt;&gt;""),Input!$B$40&amp;";",""),IF(AND($G93&lt;Hta_21,$G93&gt;=Hba_21,Input!AG$41&lt;&gt;""),Input!$B$41&amp;";",""),IF(AND($G93&lt;Hta_22,$G93&gt;=Hba_22,Input!AG$42&lt;&gt;""),Input!$B$42&amp;";",""),IF(AND($G93&lt;Hta_23,$G93&gt;=Hba_23,Input!AG$43&lt;&gt;""),Input!$B$43&amp;";",""),IF(AND($G93&lt;Hta_24,$G93&gt;=Hba_24,Input!AG$44&lt;&gt;""),Input!$B$44&amp;";",""),IF(AND($G93&lt;Hta_25,$G93&gt;=Hba_25,Input!AG$45&lt;&gt;""),Input!$B$45&amp;";",""),IF(AND($G93&lt;Hta_26,$G93&gt;=Hba_26,Input!AG$46&lt;&gt;""),Input!$B$46&amp;";",""),IF(AND($G93&lt;Hta_27,$G93&gt;=Hba_27,Input!AG$47&lt;&gt;""),Input!$B$47&amp;";",""),IF(AND($G93&lt;Hta_28,$G93&gt;=Hba_28,Input!AG$48&lt;&gt;""),Input!$B$48&amp;";",""),IF(AND($G93&lt;Hta_29,$G93&gt;=Hba_29,Input!AG$49&lt;&gt;""),Input!$B$49&amp;";",""),IF(AND($G93&lt;Hta_30,$G93&gt;=Hba_30,Input!AG$50&lt;&gt;""),Input!$B$50&amp;";","")),"")</f>
        <v/>
      </c>
      <c r="CI93" s="25" t="str">
        <f>IFERROR(CONCATENATE(IF(AND($G93&lt;Hta_1,$G93&gt;=Hba_1,Input!AH$21&lt;&gt;""),Input!$B$21&amp;";",""),IF(AND($G93&lt;Hta_2,$G93&gt;=Hba_2,Input!AH$22&lt;&gt;""),Input!$B$22&amp;";",""),IF(AND($G93&lt;Hta_3,$G93&gt;=Hba_3,Input!AH$23&lt;&gt;""),Input!$B$23&amp;";",""),IF(AND($G93&lt;Hta_4,$G93&gt;=Hba_4,Input!AH$24&lt;&gt;""),Input!$B$24&amp;";",""),IF(AND($G93&lt;Hta_5,$G93&gt;=Hba_5,Input!AH$25&lt;&gt;""),Input!$B$25&amp;";",""),IF(AND($G93&lt;Hta_6,$G93&gt;=Hba_6,Input!AH$26&lt;&gt;""),Input!$B$26&amp;";",""),IF(AND($G93&lt;Hta_7,$G93&gt;=Hba_7,Input!AH$27&lt;&gt;""),Input!$B$27&amp;";",""),IF(AND($G93&lt;Hta_8,$G93&gt;=Hba_8,Input!AH$28&lt;&gt;""),Input!$B$28&amp;";",""),IF(AND($G93&lt;Hta_9,$G93&gt;=Hba_9,Input!AH$29&lt;&gt;""),Input!$B$29&amp;";",""),IF(AND($G93&lt;Hta_10,$G93&gt;=Hba_10,Input!AH$30&lt;&gt;""),Input!$B$30&amp;";",""),IF(AND($G93&lt;Hta_11,$G93&gt;=Hba_11,Input!AH$31&lt;&gt;""),Input!$B$31&amp;";",""),IF(AND($G93&lt;Hta_12,$G93&gt;=Hba_12,Input!AH$32&lt;&gt;""),Input!$B$32&amp;";",""),IF(AND($G93&lt;Hta_13,$G93&gt;=Hba_13,Input!AH$33&lt;&gt;""),Input!$B$33&amp;";",""),IF(AND($G93&lt;Hta_14,$G93&gt;=Hba_14,Input!AH$34&lt;&gt;""),Input!$B$34&amp;";",""),IF(AND($G93&lt;Hta_15,$G93&gt;=Hba_15,Input!AH$35&lt;&gt;""),Input!$B$35&amp;";",""),IF(AND($G93&lt;Hta_16,$G93&gt;=Hba_16,Input!AH$36&lt;&gt;""),Input!$B$36&amp;";",""),IF(AND($G93&lt;Hta_17,$G93&gt;=Hba_17,Input!AH$37&lt;&gt;""),Input!$B$37&amp;";",""),IF(AND($G93&lt;Hta_18,$G93&gt;=Hba_18,Input!AH$38&lt;&gt;""),Input!$B$38&amp;";",""),IF(AND($G93&lt;Hta_19,$G93&gt;=Hba_19,Input!AH$39&lt;&gt;""),Input!$B$39&amp;";",""),IF(AND($G93&lt;Hta_20,$G93&gt;=Hba_20,Input!AH$40&lt;&gt;""),Input!$B$40&amp;";",""),IF(AND($G93&lt;Hta_21,$G93&gt;=Hba_21,Input!AH$41&lt;&gt;""),Input!$B$41&amp;";",""),IF(AND($G93&lt;Hta_22,$G93&gt;=Hba_22,Input!AH$42&lt;&gt;""),Input!$B$42&amp;";",""),IF(AND($G93&lt;Hta_23,$G93&gt;=Hba_23,Input!AH$43&lt;&gt;""),Input!$B$43&amp;";",""),IF(AND($G93&lt;Hta_24,$G93&gt;=Hba_24,Input!AH$44&lt;&gt;""),Input!$B$44&amp;";",""),IF(AND($G93&lt;Hta_25,$G93&gt;=Hba_25,Input!AH$45&lt;&gt;""),Input!$B$45&amp;";",""),IF(AND($G93&lt;Hta_26,$G93&gt;=Hba_26,Input!AH$46&lt;&gt;""),Input!$B$46&amp;";",""),IF(AND($G93&lt;Hta_27,$G93&gt;=Hba_27,Input!AH$47&lt;&gt;""),Input!$B$47&amp;";",""),IF(AND($G93&lt;Hta_28,$G93&gt;=Hba_28,Input!AH$48&lt;&gt;""),Input!$B$48&amp;";",""),IF(AND($G93&lt;Hta_29,$G93&gt;=Hba_29,Input!AH$49&lt;&gt;""),Input!$B$49&amp;";",""),IF(AND($G93&lt;Hta_30,$G93&gt;=Hba_30,Input!AH$50&lt;&gt;""),Input!$B$50&amp;";","")),"")</f>
        <v/>
      </c>
      <c r="CJ93" s="25" t="str">
        <f>IFERROR(CONCATENATE(IF(AND($G93&lt;Hta_1,$G93&gt;=Hba_1,Input!AI$21&lt;&gt;""),Input!$B$21&amp;";",""),IF(AND($G93&lt;Hta_2,$G93&gt;=Hba_2,Input!AI$22&lt;&gt;""),Input!$B$22&amp;";",""),IF(AND($G93&lt;Hta_3,$G93&gt;=Hba_3,Input!AI$23&lt;&gt;""),Input!$B$23&amp;";",""),IF(AND($G93&lt;Hta_4,$G93&gt;=Hba_4,Input!AI$24&lt;&gt;""),Input!$B$24&amp;";",""),IF(AND($G93&lt;Hta_5,$G93&gt;=Hba_5,Input!AI$25&lt;&gt;""),Input!$B$25&amp;";",""),IF(AND($G93&lt;Hta_6,$G93&gt;=Hba_6,Input!AI$26&lt;&gt;""),Input!$B$26&amp;";",""),IF(AND($G93&lt;Hta_7,$G93&gt;=Hba_7,Input!AI$27&lt;&gt;""),Input!$B$27&amp;";",""),IF(AND($G93&lt;Hta_8,$G93&gt;=Hba_8,Input!AI$28&lt;&gt;""),Input!$B$28&amp;";",""),IF(AND($G93&lt;Hta_9,$G93&gt;=Hba_9,Input!AI$29&lt;&gt;""),Input!$B$29&amp;";",""),IF(AND($G93&lt;Hta_10,$G93&gt;=Hba_10,Input!AI$30&lt;&gt;""),Input!$B$30&amp;";",""),IF(AND($G93&lt;Hta_11,$G93&gt;=Hba_11,Input!AI$31&lt;&gt;""),Input!$B$31&amp;";",""),IF(AND($G93&lt;Hta_12,$G93&gt;=Hba_12,Input!AI$32&lt;&gt;""),Input!$B$32&amp;";",""),IF(AND($G93&lt;Hta_13,$G93&gt;=Hba_13,Input!AI$33&lt;&gt;""),Input!$B$33&amp;";",""),IF(AND($G93&lt;Hta_14,$G93&gt;=Hba_14,Input!AI$34&lt;&gt;""),Input!$B$34&amp;";",""),IF(AND($G93&lt;Hta_15,$G93&gt;=Hba_15,Input!AI$35&lt;&gt;""),Input!$B$35&amp;";",""),IF(AND($G93&lt;Hta_16,$G93&gt;=Hba_16,Input!AI$36&lt;&gt;""),Input!$B$36&amp;";",""),IF(AND($G93&lt;Hta_17,$G93&gt;=Hba_17,Input!AI$37&lt;&gt;""),Input!$B$37&amp;";",""),IF(AND($G93&lt;Hta_18,$G93&gt;=Hba_18,Input!AI$38&lt;&gt;""),Input!$B$38&amp;";",""),IF(AND($G93&lt;Hta_19,$G93&gt;=Hba_19,Input!AI$39&lt;&gt;""),Input!$B$39&amp;";",""),IF(AND($G93&lt;Hta_20,$G93&gt;=Hba_20,Input!AI$40&lt;&gt;""),Input!$B$40&amp;";",""),IF(AND($G93&lt;Hta_21,$G93&gt;=Hba_21,Input!AI$41&lt;&gt;""),Input!$B$41&amp;";",""),IF(AND($G93&lt;Hta_22,$G93&gt;=Hba_22,Input!AI$42&lt;&gt;""),Input!$B$42&amp;";",""),IF(AND($G93&lt;Hta_23,$G93&gt;=Hba_23,Input!AI$43&lt;&gt;""),Input!$B$43&amp;";",""),IF(AND($G93&lt;Hta_24,$G93&gt;=Hba_24,Input!AI$44&lt;&gt;""),Input!$B$44&amp;";",""),IF(AND($G93&lt;Hta_25,$G93&gt;=Hba_25,Input!AI$45&lt;&gt;""),Input!$B$45&amp;";",""),IF(AND($G93&lt;Hta_26,$G93&gt;=Hba_26,Input!AI$46&lt;&gt;""),Input!$B$46&amp;";",""),IF(AND($G93&lt;Hta_27,$G93&gt;=Hba_27,Input!AI$47&lt;&gt;""),Input!$B$47&amp;";",""),IF(AND($G93&lt;Hta_28,$G93&gt;=Hba_28,Input!AI$48&lt;&gt;""),Input!$B$48&amp;";",""),IF(AND($G93&lt;Hta_29,$G93&gt;=Hba_29,Input!AI$49&lt;&gt;""),Input!$B$49&amp;";",""),IF(AND($G93&lt;Hta_30,$G93&gt;=Hba_30,Input!AI$50&lt;&gt;""),Input!$B$50&amp;";","")),"")</f>
        <v/>
      </c>
      <c r="CK93" s="25" t="str">
        <f>IFERROR(CONCATENATE(IF(AND($G93&lt;Hta_1,$G93&gt;=Hba_1,Input!AJ$21&lt;&gt;""),Input!$B$21&amp;";",""),IF(AND($G93&lt;Hta_2,$G93&gt;=Hba_2,Input!AJ$22&lt;&gt;""),Input!$B$22&amp;";",""),IF(AND($G93&lt;Hta_3,$G93&gt;=Hba_3,Input!AJ$23&lt;&gt;""),Input!$B$23&amp;";",""),IF(AND($G93&lt;Hta_4,$G93&gt;=Hba_4,Input!AJ$24&lt;&gt;""),Input!$B$24&amp;";",""),IF(AND($G93&lt;Hta_5,$G93&gt;=Hba_5,Input!AJ$25&lt;&gt;""),Input!$B$25&amp;";",""),IF(AND($G93&lt;Hta_6,$G93&gt;=Hba_6,Input!AJ$26&lt;&gt;""),Input!$B$26&amp;";",""),IF(AND($G93&lt;Hta_7,$G93&gt;=Hba_7,Input!AJ$27&lt;&gt;""),Input!$B$27&amp;";",""),IF(AND($G93&lt;Hta_8,$G93&gt;=Hba_8,Input!AJ$28&lt;&gt;""),Input!$B$28&amp;";",""),IF(AND($G93&lt;Hta_9,$G93&gt;=Hba_9,Input!AJ$29&lt;&gt;""),Input!$B$29&amp;";",""),IF(AND($G93&lt;Hta_10,$G93&gt;=Hba_10,Input!AJ$30&lt;&gt;""),Input!$B$30&amp;";",""),IF(AND($G93&lt;Hta_11,$G93&gt;=Hba_11,Input!AJ$31&lt;&gt;""),Input!$B$31&amp;";",""),IF(AND($G93&lt;Hta_12,$G93&gt;=Hba_12,Input!AJ$32&lt;&gt;""),Input!$B$32&amp;";",""),IF(AND($G93&lt;Hta_13,$G93&gt;=Hba_13,Input!AJ$33&lt;&gt;""),Input!$B$33&amp;";",""),IF(AND($G93&lt;Hta_14,$G93&gt;=Hba_14,Input!AJ$34&lt;&gt;""),Input!$B$34&amp;";",""),IF(AND($G93&lt;Hta_15,$G93&gt;=Hba_15,Input!AJ$35&lt;&gt;""),Input!$B$35&amp;";",""),IF(AND($G93&lt;Hta_16,$G93&gt;=Hba_16,Input!AJ$36&lt;&gt;""),Input!$B$36&amp;";",""),IF(AND($G93&lt;Hta_17,$G93&gt;=Hba_17,Input!AJ$37&lt;&gt;""),Input!$B$37&amp;";",""),IF(AND($G93&lt;Hta_18,$G93&gt;=Hba_18,Input!AJ$38&lt;&gt;""),Input!$B$38&amp;";",""),IF(AND($G93&lt;Hta_19,$G93&gt;=Hba_19,Input!AJ$39&lt;&gt;""),Input!$B$39&amp;";",""),IF(AND($G93&lt;Hta_20,$G93&gt;=Hba_20,Input!AJ$40&lt;&gt;""),Input!$B$40&amp;";",""),IF(AND($G93&lt;Hta_21,$G93&gt;=Hba_21,Input!AJ$41&lt;&gt;""),Input!$B$41&amp;";",""),IF(AND($G93&lt;Hta_22,$G93&gt;=Hba_22,Input!AJ$42&lt;&gt;""),Input!$B$42&amp;";",""),IF(AND($G93&lt;Hta_23,$G93&gt;=Hba_23,Input!AJ$43&lt;&gt;""),Input!$B$43&amp;";",""),IF(AND($G93&lt;Hta_24,$G93&gt;=Hba_24,Input!AJ$44&lt;&gt;""),Input!$B$44&amp;";",""),IF(AND($G93&lt;Hta_25,$G93&gt;=Hba_25,Input!AJ$45&lt;&gt;""),Input!$B$45&amp;";",""),IF(AND($G93&lt;Hta_26,$G93&gt;=Hba_26,Input!AJ$46&lt;&gt;""),Input!$B$46&amp;";",""),IF(AND($G93&lt;Hta_27,$G93&gt;=Hba_27,Input!AJ$47&lt;&gt;""),Input!$B$47&amp;";",""),IF(AND($G93&lt;Hta_28,$G93&gt;=Hba_28,Input!AJ$48&lt;&gt;""),Input!$B$48&amp;";",""),IF(AND($G93&lt;Hta_29,$G93&gt;=Hba_29,Input!AJ$49&lt;&gt;""),Input!$B$49&amp;";",""),IF(AND($G93&lt;Hta_30,$G93&gt;=Hba_30,Input!AJ$50&lt;&gt;""),Input!$B$50&amp;";","")),"")</f>
        <v/>
      </c>
      <c r="CL93" s="25" t="str">
        <f>IFERROR(CONCATENATE(IF(AND($G93&lt;Hta_1,$G93&gt;=Hba_1,Input!AK$21&lt;&gt;""),Input!$B$21&amp;";",""),IF(AND($G93&lt;Hta_2,$G93&gt;=Hba_2,Input!AK$22&lt;&gt;""),Input!$B$22&amp;";",""),IF(AND($G93&lt;Hta_3,$G93&gt;=Hba_3,Input!AK$23&lt;&gt;""),Input!$B$23&amp;";",""),IF(AND($G93&lt;Hta_4,$G93&gt;=Hba_4,Input!AK$24&lt;&gt;""),Input!$B$24&amp;";",""),IF(AND($G93&lt;Hta_5,$G93&gt;=Hba_5,Input!AK$25&lt;&gt;""),Input!$B$25&amp;";",""),IF(AND($G93&lt;Hta_6,$G93&gt;=Hba_6,Input!AK$26&lt;&gt;""),Input!$B$26&amp;";",""),IF(AND($G93&lt;Hta_7,$G93&gt;=Hba_7,Input!AK$27&lt;&gt;""),Input!$B$27&amp;";",""),IF(AND($G93&lt;Hta_8,$G93&gt;=Hba_8,Input!AK$28&lt;&gt;""),Input!$B$28&amp;";",""),IF(AND($G93&lt;Hta_9,$G93&gt;=Hba_9,Input!AK$29&lt;&gt;""),Input!$B$29&amp;";",""),IF(AND($G93&lt;Hta_10,$G93&gt;=Hba_10,Input!AK$30&lt;&gt;""),Input!$B$30&amp;";",""),IF(AND($G93&lt;Hta_11,$G93&gt;=Hba_11,Input!AK$31&lt;&gt;""),Input!$B$31&amp;";",""),IF(AND($G93&lt;Hta_12,$G93&gt;=Hba_12,Input!AK$32&lt;&gt;""),Input!$B$32&amp;";",""),IF(AND($G93&lt;Hta_13,$G93&gt;=Hba_13,Input!AK$33&lt;&gt;""),Input!$B$33&amp;";",""),IF(AND($G93&lt;Hta_14,$G93&gt;=Hba_14,Input!AK$34&lt;&gt;""),Input!$B$34&amp;";",""),IF(AND($G93&lt;Hta_15,$G93&gt;=Hba_15,Input!AK$35&lt;&gt;""),Input!$B$35&amp;";",""),IF(AND($G93&lt;Hta_16,$G93&gt;=Hba_16,Input!AK$36&lt;&gt;""),Input!$B$36&amp;";",""),IF(AND($G93&lt;Hta_17,$G93&gt;=Hba_17,Input!AK$37&lt;&gt;""),Input!$B$37&amp;";",""),IF(AND($G93&lt;Hta_18,$G93&gt;=Hba_18,Input!AK$38&lt;&gt;""),Input!$B$38&amp;";",""),IF(AND($G93&lt;Hta_19,$G93&gt;=Hba_19,Input!AK$39&lt;&gt;""),Input!$B$39&amp;";",""),IF(AND($G93&lt;Hta_20,$G93&gt;=Hba_20,Input!AK$40&lt;&gt;""),Input!$B$40&amp;";",""),IF(AND($G93&lt;Hta_21,$G93&gt;=Hba_21,Input!AK$41&lt;&gt;""),Input!$B$41&amp;";",""),IF(AND($G93&lt;Hta_22,$G93&gt;=Hba_22,Input!AK$42&lt;&gt;""),Input!$B$42&amp;";",""),IF(AND($G93&lt;Hta_23,$G93&gt;=Hba_23,Input!AK$43&lt;&gt;""),Input!$B$43&amp;";",""),IF(AND($G93&lt;Hta_24,$G93&gt;=Hba_24,Input!AK$44&lt;&gt;""),Input!$B$44&amp;";",""),IF(AND($G93&lt;Hta_25,$G93&gt;=Hba_25,Input!AK$45&lt;&gt;""),Input!$B$45&amp;";",""),IF(AND($G93&lt;Hta_26,$G93&gt;=Hba_26,Input!AK$46&lt;&gt;""),Input!$B$46&amp;";",""),IF(AND($G93&lt;Hta_27,$G93&gt;=Hba_27,Input!AK$47&lt;&gt;""),Input!$B$47&amp;";",""),IF(AND($G93&lt;Hta_28,$G93&gt;=Hba_28,Input!AK$48&lt;&gt;""),Input!$B$48&amp;";",""),IF(AND($G93&lt;Hta_29,$G93&gt;=Hba_29,Input!AK$49&lt;&gt;""),Input!$B$49&amp;";",""),IF(AND($G93&lt;Hta_30,$G93&gt;=Hba_30,Input!AK$50&lt;&gt;""),Input!$B$50&amp;";","")),"")</f>
        <v/>
      </c>
      <c r="CM93" s="25" t="str">
        <f>IFERROR(CONCATENATE(IF(AND($G93&lt;Hta_1,$G93&gt;=Hba_1,Input!AL$21&lt;&gt;""),Input!$B$21&amp;";",""),IF(AND($G93&lt;Hta_2,$G93&gt;=Hba_2,Input!AL$22&lt;&gt;""),Input!$B$22&amp;";",""),IF(AND($G93&lt;Hta_3,$G93&gt;=Hba_3,Input!AL$23&lt;&gt;""),Input!$B$23&amp;";",""),IF(AND($G93&lt;Hta_4,$G93&gt;=Hba_4,Input!AL$24&lt;&gt;""),Input!$B$24&amp;";",""),IF(AND($G93&lt;Hta_5,$G93&gt;=Hba_5,Input!AL$25&lt;&gt;""),Input!$B$25&amp;";",""),IF(AND($G93&lt;Hta_6,$G93&gt;=Hba_6,Input!AL$26&lt;&gt;""),Input!$B$26&amp;";",""),IF(AND($G93&lt;Hta_7,$G93&gt;=Hba_7,Input!AL$27&lt;&gt;""),Input!$B$27&amp;";",""),IF(AND($G93&lt;Hta_8,$G93&gt;=Hba_8,Input!AL$28&lt;&gt;""),Input!$B$28&amp;";",""),IF(AND($G93&lt;Hta_9,$G93&gt;=Hba_9,Input!AL$29&lt;&gt;""),Input!$B$29&amp;";",""),IF(AND($G93&lt;Hta_10,$G93&gt;=Hba_10,Input!AL$30&lt;&gt;""),Input!$B$30&amp;";",""),IF(AND($G93&lt;Hta_11,$G93&gt;=Hba_11,Input!AL$31&lt;&gt;""),Input!$B$31&amp;";",""),IF(AND($G93&lt;Hta_12,$G93&gt;=Hba_12,Input!AL$32&lt;&gt;""),Input!$B$32&amp;";",""),IF(AND($G93&lt;Hta_13,$G93&gt;=Hba_13,Input!AL$33&lt;&gt;""),Input!$B$33&amp;";",""),IF(AND($G93&lt;Hta_14,$G93&gt;=Hba_14,Input!AL$34&lt;&gt;""),Input!$B$34&amp;";",""),IF(AND($G93&lt;Hta_15,$G93&gt;=Hba_15,Input!AL$35&lt;&gt;""),Input!$B$35&amp;";",""),IF(AND($G93&lt;Hta_16,$G93&gt;=Hba_16,Input!AL$36&lt;&gt;""),Input!$B$36&amp;";",""),IF(AND($G93&lt;Hta_17,$G93&gt;=Hba_17,Input!AL$37&lt;&gt;""),Input!$B$37&amp;";",""),IF(AND($G93&lt;Hta_18,$G93&gt;=Hba_18,Input!AL$38&lt;&gt;""),Input!$B$38&amp;";",""),IF(AND($G93&lt;Hta_19,$G93&gt;=Hba_19,Input!AL$39&lt;&gt;""),Input!$B$39&amp;";",""),IF(AND($G93&lt;Hta_20,$G93&gt;=Hba_20,Input!AL$40&lt;&gt;""),Input!$B$40&amp;";",""),IF(AND($G93&lt;Hta_21,$G93&gt;=Hba_21,Input!AL$41&lt;&gt;""),Input!$B$41&amp;";",""),IF(AND($G93&lt;Hta_22,$G93&gt;=Hba_22,Input!AL$42&lt;&gt;""),Input!$B$42&amp;";",""),IF(AND($G93&lt;Hta_23,$G93&gt;=Hba_23,Input!AL$43&lt;&gt;""),Input!$B$43&amp;";",""),IF(AND($G93&lt;Hta_24,$G93&gt;=Hba_24,Input!AL$44&lt;&gt;""),Input!$B$44&amp;";",""),IF(AND($G93&lt;Hta_25,$G93&gt;=Hba_25,Input!AL$45&lt;&gt;""),Input!$B$45&amp;";",""),IF(AND($G93&lt;Hta_26,$G93&gt;=Hba_26,Input!AL$46&lt;&gt;""),Input!$B$46&amp;";",""),IF(AND($G93&lt;Hta_27,$G93&gt;=Hba_27,Input!AL$47&lt;&gt;""),Input!$B$47&amp;";",""),IF(AND($G93&lt;Hta_28,$G93&gt;=Hba_28,Input!AL$48&lt;&gt;""),Input!$B$48&amp;";",""),IF(AND($G93&lt;Hta_29,$G93&gt;=Hba_29,Input!AL$49&lt;&gt;""),Input!$B$49&amp;";",""),IF(AND($G93&lt;Hta_30,$G93&gt;=Hba_30,Input!AL$50&lt;&gt;""),Input!$B$50&amp;";","")),"")</f>
        <v/>
      </c>
      <c r="CN93" s="60" t="str">
        <f t="shared" si="16"/>
        <v/>
      </c>
      <c r="CO93" s="798"/>
      <c r="CP93" s="799"/>
      <c r="CQ93" s="800"/>
      <c r="CR93" s="798"/>
      <c r="CS93" s="799"/>
      <c r="CT93" s="800"/>
      <c r="CU93" s="798" t="str">
        <f t="shared" si="17"/>
        <v/>
      </c>
      <c r="CV93" s="799"/>
      <c r="CW93" s="806"/>
      <c r="CX93" s="726"/>
      <c r="CY93" s="727"/>
      <c r="CZ93" s="732"/>
      <c r="DA93" s="726"/>
      <c r="DB93" s="727"/>
      <c r="DC93" s="732"/>
      <c r="DD93" s="726" t="str">
        <f t="shared" si="18"/>
        <v/>
      </c>
      <c r="DE93" s="727"/>
      <c r="DF93" s="728"/>
      <c r="DG93" s="53"/>
      <c r="DH93" s="54"/>
      <c r="DI93" s="54"/>
      <c r="DJ93" s="54"/>
      <c r="DK93" s="54"/>
      <c r="DL93" s="54"/>
      <c r="DM93" s="54"/>
      <c r="DN93" s="54"/>
      <c r="DO93" s="54"/>
      <c r="DP93" s="54"/>
      <c r="DQ93" s="57"/>
      <c r="DR93" s="57"/>
      <c r="DS93" s="57"/>
      <c r="DT93" s="57"/>
      <c r="DU93" s="57"/>
      <c r="DV93" s="57"/>
      <c r="DW93" s="57"/>
      <c r="DX93" s="57"/>
      <c r="DY93" s="57"/>
      <c r="DZ93" s="57"/>
      <c r="EA93" s="57"/>
      <c r="EB93" s="57"/>
      <c r="EC93" s="57"/>
      <c r="ED93" s="57"/>
      <c r="EE93" s="57"/>
      <c r="EF93" s="57"/>
      <c r="EG93" s="57"/>
      <c r="EH93" s="57"/>
      <c r="EI93" s="57"/>
      <c r="EJ93" s="57"/>
      <c r="EK93" s="57"/>
      <c r="EL93" s="133"/>
      <c r="EM93" s="133"/>
      <c r="EN93" s="133"/>
      <c r="EO93" s="133"/>
      <c r="EP93" s="133"/>
      <c r="EQ93" s="133"/>
      <c r="ER93" s="133"/>
      <c r="ES93" s="133"/>
      <c r="ET93" s="133"/>
      <c r="EU93" s="133"/>
      <c r="EV93" s="133"/>
      <c r="EW93" s="133"/>
      <c r="EX93" s="133"/>
      <c r="EY93" s="133"/>
      <c r="EZ93" s="133"/>
      <c r="FA93" s="133"/>
      <c r="FB93" s="133"/>
      <c r="FC93" s="133"/>
      <c r="FD93" s="133"/>
      <c r="FE93" s="133"/>
      <c r="FF93" s="133"/>
      <c r="FG93" s="133"/>
      <c r="FH93" s="133"/>
      <c r="FI93" s="133"/>
      <c r="FJ93" s="133"/>
      <c r="FK93" s="133"/>
      <c r="FL93" s="133"/>
      <c r="FM93" s="133"/>
      <c r="FN93" s="133"/>
      <c r="FO93" s="133"/>
      <c r="FQ93" s="125"/>
      <c r="FR93" s="123"/>
      <c r="FS93" s="121"/>
      <c r="FT93" s="119"/>
    </row>
    <row r="94" spans="2:176" ht="15.75" hidden="1" thickBot="1" x14ac:dyDescent="0.3">
      <c r="B94" s="62" t="b">
        <f>IF(OR(AND(G94&gt;='Geometry 2'!$AK$5,G94&lt;'Geometry 2'!$AL$5),AND(G94&gt;='Geometry 2'!$AK$6,G94&lt;'Geometry 2'!$AL$6),AND(G94&gt;='Geometry 2'!$AK$7,G94&lt;'Geometry 2'!$AL$7),AND(G94&gt;='Geometry 2'!$AK$8,G94&lt;'Geometry 2'!$AL$8),AND(G94&gt;='Geometry 2'!$AK$9,G94&lt;'Geometry 2'!$AL$9),AND(G94&gt;='Geometry 2'!$AK$10,G94&lt;'Geometry 2'!$AL$10),AND(G94&gt;='Geometry 2'!$AK$11,G94&lt;'Geometry 2'!$AL$11),AND(G94&gt;='Geometry 2'!$AK$12,G94&lt;'Geometry 2'!$AL$12),AND(G94&gt;='Geometry 2'!$AK$13,G94&lt;'Geometry 2'!$AL$13),AND(G94&gt;='Geometry 2'!$AK$14,G94&lt;'Geometry 2'!$AL$14)),TRUE,FALSE)</f>
        <v>0</v>
      </c>
      <c r="C94" s="4" t="str">
        <f t="shared" si="13"/>
        <v/>
      </c>
      <c r="D94" s="766" t="str">
        <f t="shared" si="14"/>
        <v/>
      </c>
      <c r="E94" s="767"/>
      <c r="F94" s="17" t="str">
        <f t="shared" si="12"/>
        <v/>
      </c>
      <c r="G94" s="768" t="str">
        <f>IF(D94="","",MAX(0,G93-IF(inc="n/a",999,inc),MAX(IF(G93&lt;=Hta_1,0,Hta_1),IF(G93&lt;=Hta_2,0,Hta_2),IF(G93&lt;=Hta_3,0,Hta_3),IF(G93&lt;=Hta_4,0,Hta_4),IF(G93&lt;=Hta_5,0,Hta_5),IF(G93&lt;=Hta_6,0,Hta_6),IF(G93&lt;=Hta_7,0,Hta_7),IF(G93&lt;=Hta_8,0,Hta_8),IF(G93&lt;=Hta_9,0,Hta_9),IF(G93&lt;=Hta_10,0,Hta_10),IF(G93&lt;=Hta_11,0,Hta_11),IF(G93&lt;=Hta_12,0,Hta_12),IF(G93&lt;=Hta_13,0,Hta_13),IF(G93&lt;=Hta_14,0,Hta_14),IF(G93&lt;=Hta_15,0,Hta_15),IF(G93&lt;=Hta_16,0,Hta_16),IF(G93&lt;=Hta_17,0,Hta_17),IF(G93&lt;=Hta_18,0,Hta_18),IF(G93&lt;=Hta_19,0,Hta_19),IF(G93&lt;=Hta_20,0,Hta_20),IF(G93&lt;=Hta_21,0,Hta_21),IF(G93&lt;=Hta_22,0,Hta_22),IF(G93&lt;=Hta_23,0,Hta_23),IF(G93&lt;=Hta_24,0,Hta_24),IF(G93&lt;=Hta_25,0,Hta_25),IF(G93&lt;=Hta_26,0,Hta_26),IF(G93&lt;=Hta_27,0,Hta_27),IF(G93&lt;=Hta_28,0,Hta_28),IF(G93&lt;=Hta_29,0,Hta_29),IF(G93&lt;=Hta_30,0,Hta_30)),MAX(IF(G93&lt;=Hta_1-0.25,0,Hta_1-0.25),IF(G93&lt;=Hta_2-0.25,0,Hta_2-0.25),IF(G93&lt;=Hta_3-0.25,0,Hta_3-0.25),IF(G93&lt;=Hta_4-0.25,0,Hta_4-0.25),IF(G93&lt;=Hta_5-0.25,0,Hta_5-0.25),IF(G93&lt;=Hta_6-0.25,0,Hta_6-0.25),IF(G93&lt;=Hta_7-0.25,0,Hta_7-0.25),IF(G93&lt;=Hta_8-0.25,0,Hta_8-0.25),IF(G93&lt;=Hta_9-0.25,0,Hta_9-0.25),IF(G93&lt;=Hta_10-0.25,0,Hta_10-0.25),IF(G93&lt;=Hta_11-0.25,0,Hta_11-0.25),IF(G93&lt;=Hta_12-0.25,0,Hta_12-0.25),IF(G93&lt;=Hta_13-0.25,0,Hta_13-0.25),IF(G93&lt;=Hta_14-0.25,0,Hta_14-0.25),IF(G93&lt;=Hta_15-0.25,0,Hta_15-0.25),IF(G93&lt;=Hta_16-0.25,0,Hta_16-0.25),IF(G93&lt;=Hta_17-0.25,0,Hta_17-0.25),IF(G93&lt;=Hta_18-0.25,0,Hta_18-0.25),IF(G93&lt;=Hta_19-0.25,0,Hta_19-0.25),IF(G93&lt;=Hta_20-0.25,0,Hta_20-0.25),IF(G93&lt;=Hta_21-0.25,0,Hta_21-0.25),IF(G93&lt;=Hta_22-0.25,0,Hta_22-0.25),IF(G93&lt;=Hta_23-0.25,0,Hta_23-0.25),IF(G93&lt;=Hta_24-0.25,0,Hta_24-0.25),IF(G93&lt;=Hta_25-0.25,0,Hta_25-0.25),IF(G93&lt;=Hta_26-0.25,0,Hta_26-0.25),IF(G93&lt;=Hta_27-0.25,0,Hta_27-0.25),IF(G93&lt;=Hta_28-0.25,0,Hta_28-0.25),IF(G93&lt;=Hta_29-0.25,0,Hta_29-0.25),IF(G93&lt;=Hta_30-0.25,0,Hta_30-0.25)),MAX(IF(G93&lt;=Hba_1,0,Hba_1),IF(G93&lt;=Hba_2,0,Hba_2),IF(G93&lt;=Hba_3,0,Hba_3),IF(G93&lt;=Hba_4,0,Hba_4),IF(G93&lt;=Hba_5,0,Hba_5),IF(G93&lt;=Hba_6,0,Hba_6),IF(G93&lt;=Hba_7,0,Hba_7),IF(G93&lt;=Hba_8,0,Hba_8),IF(G93&lt;=Hba_9,0,Hba_9),IF(G93&lt;=Hba_10,0,Hba_10),IF(G93&lt;=Hba_11,0,Hba_11),IF(G93&lt;=Hba_12,0,Hba_12),IF(G93&lt;=Hba_13,0,Hba_13),IF(G93&lt;=Hba_14,0,Hba_14),IF(G93&lt;=Hba_15,0,Hba_15),IF(G93&lt;=Hba_16,0,Hba_16),IF(G93&lt;=Hba_17,0,Hba_17),IF(G93&lt;=Hba_18,0,Hba_18),IF(G93&lt;=Hba_19,0,Hba_19),IF(G93&lt;=Hba_20,0,Hba_20),IF(G93&lt;=Hba_21,0,Hba_21),IF(G93&lt;=Hba_22,0,Hba_22),IF(G93&lt;=Hba_23,0,Hba_23),IF(G93&lt;=Hba_24,0,Hba_24),IF(G93&lt;=Hba_25,0,Hba_25),IF(G93&lt;=Hba_26,0,Hba_26),IF(G93&lt;=Hba_27,0,Hba_27),IF(G93&lt;=Hba_28,0,Hba_28),IF(G93&lt;=Hba_29,0,Hba_29),IF(G93&lt;=Hba_30,0,Hba_30)),MAX(IF(G93&lt;=Input!$C$8,0,Input!$C$8),IF(G93&lt;=Input!$C$9,0,Input!$C$9),IF(G93&lt;=Input!$C$10,0,Input!$C$10),IF(G93&lt;=Input!$C$11,0,Input!$C$11),IF(G93&lt;=Input!$C$12,0,Input!$C$12),IF(G93&lt;=Input!$C$13,0,Input!$C$13),IF(G93&lt;=Input!$C$14,0,Input!$C$14),IF(G93&lt;=Input!$C$15,0,Input!$C$15),IF(G93&lt;=Input!$C$16,0,Input!$C$16)),MAX(IF(G93&lt;=Hba_1-0.25,0,Hba_1-0.25),IF(G93&lt;=Hba_2-0.25,0,Hba_2-0.25),IF(G93&lt;=Hba_3-0.25,0,Hba_3-0.25),IF(G93&lt;=Hba_4-0.25,0,Hba_4-0.25),IF(G93&lt;=Hba_5-0.25,0,Hba_5-0.25),IF(G93&lt;=Hba_6-0.25,0,Hba_6-0.25),IF(G93&lt;=Hba_7-0.25,0,Hba_7-0.25),IF(G93&lt;=Hba_8-0.25,0,Hba_8-0.25),IF(G93&lt;=Hba_9-0.25,0,Hba_9-0.25),IF(G93&lt;=Hba_10-0.25,0,Hba_10-0.25),IF(G93&lt;=Hba_11-0.25,0,Hba_11-0.25),IF(G93&lt;=Hba_12-0.25,0,Hba_12-0.25),IF(G93&lt;=Hba_13-0.25,0,Hba_13-0.25),IF(G93&lt;=Hba_14-0.25,0,Hba_14-0.25),IF(G93&lt;=Hba_15-0.25,0,Hba_15-0.25),IF(G93&lt;=Hba_16-0.25,0,Hba_16-0.25),IF(G93&lt;=Hba_17-0.25,0,Hba_17-0.25),IF(G93&lt;=Hba_18-0.25,0,Hba_18-0.25),IF(G93&lt;=Hba_19-0.25,0,Hba_19-0.25),IF(G93&lt;=Hba_20-0.25,0,Hba_20-0.25),IF(G93&lt;=Hba_21-0.25,0,Hba_21-0.25),IF(G93&lt;=Hba_22-0.25,0,Hba_22-0.25),IF(G93&lt;=Hba_23-0.25,0,Hba_23-0.25),IF(G93&lt;=Hba_24-0.25,0,Hba_24-0.25),IF(G93&lt;=Hba_25-0.25,0,Hba_25-0.25),IF(G93&lt;=Hba_26-0.25,0,Hba_26-0.25),IF(G93&lt;=Hba_27-0.25,0,Hba_27-0.25),IF(G93&lt;=Hba_28-0.25,0,Hba_28-0.25),IF(G93&lt;=Hba_29-0.25,0,Hba_29-0.25),IF(G93&lt;=Hba_30-0.25,0,Hba_30-0.25)),IF(G93&lt;='Macro References'!$A$38,0,'Macro References'!$A$38)))</f>
        <v/>
      </c>
      <c r="H94" s="769"/>
      <c r="I94" s="228"/>
      <c r="J94" s="228"/>
      <c r="K94" s="228"/>
      <c r="L94" s="717" t="str">
        <f t="shared" si="11"/>
        <v/>
      </c>
      <c r="M94" s="717"/>
      <c r="N94" s="717"/>
      <c r="O94" s="717"/>
      <c r="P94" s="717" t="str">
        <f>IF(OR(G94=0,G94=""),"",IF(VLOOKUP(G94,'Geometry 2'!$C$4:$AI$14,1,TRUE)=VLOOKUP(G95,'Geometry 2'!$C$4:$AI$14,1,TRUE),"",IF(VLOOKUP(G94,'Geometry 2'!$C$4:$AI$14,33,TRUE)&lt;&gt;"n/a",MIN(G94,VLOOKUP(G94,'Geometry 2'!$C$4:$AI$14,1,TRUE))-VLOOKUP(G94,'Geometry 2'!$C$4:$AI$14,33,TRUE),"check")))</f>
        <v/>
      </c>
      <c r="Q94" s="717"/>
      <c r="R94" s="717"/>
      <c r="S94" s="717"/>
      <c r="T94" s="717" t="str">
        <f>IF($G94="","",VLOOKUP($G94,'Geometry 2'!$E$4:$AH$14,11,TRUE))</f>
        <v/>
      </c>
      <c r="U94" s="717"/>
      <c r="V94" s="717"/>
      <c r="W94" s="717"/>
      <c r="X94" s="716" t="str">
        <f>IF($G94="","",VLOOKUP($G94,'Geometry 2'!$E$4:$AJ$14,19,TRUE)-12*VLOOKUP($G94,'Geometry 2'!$E$4:$AJ$14,32,TRUE)*($D94-VLOOKUP($G94,'Geometry 2'!$E$5:$AH$14,1,TRUE)))</f>
        <v/>
      </c>
      <c r="Y94" s="716"/>
      <c r="Z94" s="716"/>
      <c r="AA94" s="716"/>
      <c r="AB94" s="757" t="str">
        <f>IF($G94="","",VLOOKUP($G94,'Geometry 2'!$E$4:$AJ$14,19,TRUE)-12*VLOOKUP($G94,'Geometry 2'!$E$4:$AJ$14,32,TRUE)*($G94-VLOOKUP($G94,'Geometry 2'!$E$5:$AH$14,1,TRUE)))</f>
        <v/>
      </c>
      <c r="AC94" s="758"/>
      <c r="AD94" s="758"/>
      <c r="AE94" s="759"/>
      <c r="AF94" s="716" t="str">
        <f>IF($G94="","",VLOOKUP($G94,'Geometry 2'!$E$4:$AJ$14,19,TRUE)-12*VLOOKUP($G94,'Geometry 2'!$E$4:$AJ$14,32,TRUE)*($G94-IF($P94="",0,$P94)-VLOOKUP($G94,'Geometry 2'!$E$5:$AH$14,1,TRUE)))</f>
        <v/>
      </c>
      <c r="AG94" s="716"/>
      <c r="AH94" s="716"/>
      <c r="AI94" s="716"/>
      <c r="AJ94" s="746" t="str">
        <f>IF($G94="","",VLOOKUP($G94,'Geometry 2'!$E$4:$AH$14,23,TRUE))</f>
        <v/>
      </c>
      <c r="AK94" s="747"/>
      <c r="AL94" s="747"/>
      <c r="AM94" s="748"/>
      <c r="AN94" s="717"/>
      <c r="AO94" s="717"/>
      <c r="AP94" s="717"/>
      <c r="AQ94" s="717"/>
      <c r="AR94" s="717" t="str">
        <f>IF($G94="","",VLOOKUP($G94,'Geometry 2'!$E$4:$AH$14,27,TRUE))</f>
        <v/>
      </c>
      <c r="AS94" s="717"/>
      <c r="AT94" s="717"/>
      <c r="AU94" s="718"/>
      <c r="AV94" s="715"/>
      <c r="AW94" s="716"/>
      <c r="AX94" s="716"/>
      <c r="AZ94" s="722" t="str">
        <f t="shared" si="15"/>
        <v/>
      </c>
      <c r="BA94" s="723"/>
      <c r="BB94" s="723"/>
      <c r="BC94" s="724"/>
      <c r="BD94" s="722"/>
      <c r="BE94" s="723"/>
      <c r="BF94" s="723"/>
      <c r="BG94" s="722" t="str">
        <f t="shared" si="19"/>
        <v/>
      </c>
      <c r="BH94" s="723"/>
      <c r="BI94" s="723"/>
      <c r="BJ94" s="723"/>
      <c r="BK94" s="724"/>
      <c r="BL94" s="722"/>
      <c r="BM94" s="723"/>
      <c r="BN94" s="723"/>
      <c r="BO94" s="723"/>
      <c r="BP94" s="725"/>
      <c r="BQ94" s="725"/>
      <c r="BR94" s="722" t="str">
        <f>IF(BP94="","",IF(OR(AND(Rev="H",Calculations!$F$27=TRUE),AND(Rev&lt;&gt;"H",Calculations!$F$30=TRUE)),IF(BP94&lt;=1,"Pass","Fail"),IF(BP94&lt;=1.05,"Pass","Fail")))</f>
        <v/>
      </c>
      <c r="BS94" s="723"/>
      <c r="BT94" s="724"/>
      <c r="BU94" s="49"/>
      <c r="BV94" s="25" t="str">
        <f>IFERROR(CONCATENATE(IF(AND($G94&lt;Hta_1,$G94&gt;=Hba_1,Input!U$21&lt;&gt;""),Input!$B$21&amp;";",""),IF(AND($G94&lt;Hta_2,$G94&gt;=Hba_2,Input!U$22&lt;&gt;""),Input!$B$22&amp;";",""),IF(AND($G94&lt;Hta_3,$G94&gt;=Hba_3,Input!U$23&lt;&gt;""),Input!$B$23&amp;";",""),IF(AND($G94&lt;Hta_4,$G94&gt;=Hba_4,Input!U$24&lt;&gt;""),Input!$B$24&amp;";",""),IF(AND($G94&lt;Hta_5,$G94&gt;=Hba_5,Input!U$25&lt;&gt;""),Input!$B$25&amp;";",""),IF(AND($G94&lt;Hta_6,$G94&gt;=Hba_6,Input!U$26&lt;&gt;""),Input!$B$26&amp;";",""),IF(AND($G94&lt;Hta_7,$G94&gt;=Hba_7,Input!U$27&lt;&gt;""),Input!$B$27&amp;";",""),IF(AND($G94&lt;Hta_8,$G94&gt;=Hba_8,Input!U$28&lt;&gt;""),Input!$B$28&amp;";",""),IF(AND($G94&lt;Hta_9,$G94&gt;=Hba_9,Input!U$29&lt;&gt;""),Input!$B$29&amp;";",""),IF(AND($G94&lt;Hta_10,$G94&gt;=Hba_10,Input!U$30&lt;&gt;""),Input!$B$30&amp;";",""),IF(AND($G94&lt;Hta_11,$G94&gt;=Hba_11,Input!U$31&lt;&gt;""),Input!$B$31&amp;";",""),IF(AND($G94&lt;Hta_12,$G94&gt;=Hba_12,Input!U$32&lt;&gt;""),Input!$B$32&amp;";",""),IF(AND($G94&lt;Hta_13,$G94&gt;=Hba_13,Input!U$33&lt;&gt;""),Input!$B$33&amp;";",""),IF(AND($G94&lt;Hta_14,$G94&gt;=Hba_14,Input!U$34&lt;&gt;""),Input!$B$34&amp;";",""),IF(AND($G94&lt;Hta_15,$G94&gt;=Hba_15,Input!U$35&lt;&gt;""),Input!$B$35&amp;";",""),IF(AND($G94&lt;Hta_16,$G94&gt;=Hba_16,Input!U$36&lt;&gt;""),Input!$B$36&amp;";",""),IF(AND($G94&lt;Hta_17,$G94&gt;=Hba_17,Input!U$37&lt;&gt;""),Input!$B$37&amp;";",""),IF(AND($G94&lt;Hta_18,$G94&gt;=Hba_18,Input!U$38&lt;&gt;""),Input!$B$38&amp;";",""),IF(AND($G94&lt;Hta_19,$G94&gt;=Hba_19,Input!U$39&lt;&gt;""),Input!$B$39&amp;";",""),IF(AND($G94&lt;Hta_20,$G94&gt;=Hba_20,Input!U$40&lt;&gt;""),Input!$B$40&amp;";",""),IF(AND($G94&lt;Hta_21,$G94&gt;=Hba_21,Input!U$41&lt;&gt;""),Input!$B$41&amp;";",""),IF(AND($G94&lt;Hta_22,$G94&gt;=Hba_22,Input!U$42&lt;&gt;""),Input!$B$42&amp;";",""),IF(AND($G94&lt;Hta_23,$G94&gt;=Hba_23,Input!U$43&lt;&gt;""),Input!$B$43&amp;";",""),IF(AND($G94&lt;Hta_24,$G94&gt;=Hba_24,Input!U$44&lt;&gt;""),Input!$B$44&amp;";",""),IF(AND($G94&lt;Hta_25,$G94&gt;=Hba_25,Input!U$45&lt;&gt;""),Input!$B$45&amp;";",""),IF(AND($G94&lt;Hta_26,$G94&gt;=Hba_26,Input!U$46&lt;&gt;""),Input!$B$46&amp;";",""),IF(AND($G94&lt;Hta_27,$G94&gt;=Hba_27,Input!U$47&lt;&gt;""),Input!$B$47&amp;";",""),IF(AND($G94&lt;Hta_28,$G94&gt;=Hba_28,Input!U$48&lt;&gt;""),Input!$B$48&amp;";",""),IF(AND($G94&lt;Hta_29,$G94&gt;=Hba_29,Input!U$49&lt;&gt;""),Input!$B$49&amp;";",""),IF(AND($G94&lt;Hta_30,$G94&gt;=Hba_30,Input!U$50&lt;&gt;""),Input!$B$50&amp;";","")),"")</f>
        <v/>
      </c>
      <c r="BW94" s="25" t="str">
        <f>IFERROR(CONCATENATE(IF(AND($G94&lt;Hta_1,$G94&gt;=Hba_1,Input!V$21&lt;&gt;""),Input!$B$21&amp;";",""),IF(AND($G94&lt;Hta_2,$G94&gt;=Hba_2,Input!V$22&lt;&gt;""),Input!$B$22&amp;";",""),IF(AND($G94&lt;Hta_3,$G94&gt;=Hba_3,Input!V$23&lt;&gt;""),Input!$B$23&amp;";",""),IF(AND($G94&lt;Hta_4,$G94&gt;=Hba_4,Input!V$24&lt;&gt;""),Input!$B$24&amp;";",""),IF(AND($G94&lt;Hta_5,$G94&gt;=Hba_5,Input!V$25&lt;&gt;""),Input!$B$25&amp;";",""),IF(AND($G94&lt;Hta_6,$G94&gt;=Hba_6,Input!V$26&lt;&gt;""),Input!$B$26&amp;";",""),IF(AND($G94&lt;Hta_7,$G94&gt;=Hba_7,Input!V$27&lt;&gt;""),Input!$B$27&amp;";",""),IF(AND($G94&lt;Hta_8,$G94&gt;=Hba_8,Input!V$28&lt;&gt;""),Input!$B$28&amp;";",""),IF(AND($G94&lt;Hta_9,$G94&gt;=Hba_9,Input!V$29&lt;&gt;""),Input!$B$29&amp;";",""),IF(AND($G94&lt;Hta_10,$G94&gt;=Hba_10,Input!V$30&lt;&gt;""),Input!$B$30&amp;";",""),IF(AND($G94&lt;Hta_11,$G94&gt;=Hba_11,Input!V$31&lt;&gt;""),Input!$B$31&amp;";",""),IF(AND($G94&lt;Hta_12,$G94&gt;=Hba_12,Input!V$32&lt;&gt;""),Input!$B$32&amp;";",""),IF(AND($G94&lt;Hta_13,$G94&gt;=Hba_13,Input!V$33&lt;&gt;""),Input!$B$33&amp;";",""),IF(AND($G94&lt;Hta_14,$G94&gt;=Hba_14,Input!V$34&lt;&gt;""),Input!$B$34&amp;";",""),IF(AND($G94&lt;Hta_15,$G94&gt;=Hba_15,Input!V$35&lt;&gt;""),Input!$B$35&amp;";",""),IF(AND($G94&lt;Hta_16,$G94&gt;=Hba_16,Input!V$36&lt;&gt;""),Input!$B$36&amp;";",""),IF(AND($G94&lt;Hta_17,$G94&gt;=Hba_17,Input!V$37&lt;&gt;""),Input!$B$37&amp;";",""),IF(AND($G94&lt;Hta_18,$G94&gt;=Hba_18,Input!V$38&lt;&gt;""),Input!$B$38&amp;";",""),IF(AND($G94&lt;Hta_19,$G94&gt;=Hba_19,Input!V$39&lt;&gt;""),Input!$B$39&amp;";",""),IF(AND($G94&lt;Hta_20,$G94&gt;=Hba_20,Input!V$40&lt;&gt;""),Input!$B$40&amp;";",""),IF(AND($G94&lt;Hta_21,$G94&gt;=Hba_21,Input!V$41&lt;&gt;""),Input!$B$41&amp;";",""),IF(AND($G94&lt;Hta_22,$G94&gt;=Hba_22,Input!V$42&lt;&gt;""),Input!$B$42&amp;";",""),IF(AND($G94&lt;Hta_23,$G94&gt;=Hba_23,Input!V$43&lt;&gt;""),Input!$B$43&amp;";",""),IF(AND($G94&lt;Hta_24,$G94&gt;=Hba_24,Input!V$44&lt;&gt;""),Input!$B$44&amp;";",""),IF(AND($G94&lt;Hta_25,$G94&gt;=Hba_25,Input!V$45&lt;&gt;""),Input!$B$45&amp;";",""),IF(AND($G94&lt;Hta_26,$G94&gt;=Hba_26,Input!V$46&lt;&gt;""),Input!$B$46&amp;";",""),IF(AND($G94&lt;Hta_27,$G94&gt;=Hba_27,Input!V$47&lt;&gt;""),Input!$B$47&amp;";",""),IF(AND($G94&lt;Hta_28,$G94&gt;=Hba_28,Input!V$48&lt;&gt;""),Input!$B$48&amp;";",""),IF(AND($G94&lt;Hta_29,$G94&gt;=Hba_29,Input!V$49&lt;&gt;""),Input!$B$49&amp;";",""),IF(AND($G94&lt;Hta_30,$G94&gt;=Hba_30,Input!V$50&lt;&gt;""),Input!$B$50&amp;";","")),"")</f>
        <v/>
      </c>
      <c r="BX94" s="25" t="str">
        <f>IFERROR(CONCATENATE(IF(AND($G94&lt;Hta_1,$G94&gt;=Hba_1,Input!W$21&lt;&gt;""),Input!$B$21&amp;";",""),IF(AND($G94&lt;Hta_2,$G94&gt;=Hba_2,Input!W$22&lt;&gt;""),Input!$B$22&amp;";",""),IF(AND($G94&lt;Hta_3,$G94&gt;=Hba_3,Input!W$23&lt;&gt;""),Input!$B$23&amp;";",""),IF(AND($G94&lt;Hta_4,$G94&gt;=Hba_4,Input!W$24&lt;&gt;""),Input!$B$24&amp;";",""),IF(AND($G94&lt;Hta_5,$G94&gt;=Hba_5,Input!W$25&lt;&gt;""),Input!$B$25&amp;";",""),IF(AND($G94&lt;Hta_6,$G94&gt;=Hba_6,Input!W$26&lt;&gt;""),Input!$B$26&amp;";",""),IF(AND($G94&lt;Hta_7,$G94&gt;=Hba_7,Input!W$27&lt;&gt;""),Input!$B$27&amp;";",""),IF(AND($G94&lt;Hta_8,$G94&gt;=Hba_8,Input!W$28&lt;&gt;""),Input!$B$28&amp;";",""),IF(AND($G94&lt;Hta_9,$G94&gt;=Hba_9,Input!W$29&lt;&gt;""),Input!$B$29&amp;";",""),IF(AND($G94&lt;Hta_10,$G94&gt;=Hba_10,Input!W$30&lt;&gt;""),Input!$B$30&amp;";",""),IF(AND($G94&lt;Hta_11,$G94&gt;=Hba_11,Input!W$31&lt;&gt;""),Input!$B$31&amp;";",""),IF(AND($G94&lt;Hta_12,$G94&gt;=Hba_12,Input!W$32&lt;&gt;""),Input!$B$32&amp;";",""),IF(AND($G94&lt;Hta_13,$G94&gt;=Hba_13,Input!W$33&lt;&gt;""),Input!$B$33&amp;";",""),IF(AND($G94&lt;Hta_14,$G94&gt;=Hba_14,Input!W$34&lt;&gt;""),Input!$B$34&amp;";",""),IF(AND($G94&lt;Hta_15,$G94&gt;=Hba_15,Input!W$35&lt;&gt;""),Input!$B$35&amp;";",""),IF(AND($G94&lt;Hta_16,$G94&gt;=Hba_16,Input!W$36&lt;&gt;""),Input!$B$36&amp;";",""),IF(AND($G94&lt;Hta_17,$G94&gt;=Hba_17,Input!W$37&lt;&gt;""),Input!$B$37&amp;";",""),IF(AND($G94&lt;Hta_18,$G94&gt;=Hba_18,Input!W$38&lt;&gt;""),Input!$B$38&amp;";",""),IF(AND($G94&lt;Hta_19,$G94&gt;=Hba_19,Input!W$39&lt;&gt;""),Input!$B$39&amp;";",""),IF(AND($G94&lt;Hta_20,$G94&gt;=Hba_20,Input!W$40&lt;&gt;""),Input!$B$40&amp;";",""),IF(AND($G94&lt;Hta_21,$G94&gt;=Hba_21,Input!W$41&lt;&gt;""),Input!$B$41&amp;";",""),IF(AND($G94&lt;Hta_22,$G94&gt;=Hba_22,Input!W$42&lt;&gt;""),Input!$B$42&amp;";",""),IF(AND($G94&lt;Hta_23,$G94&gt;=Hba_23,Input!W$43&lt;&gt;""),Input!$B$43&amp;";",""),IF(AND($G94&lt;Hta_24,$G94&gt;=Hba_24,Input!W$44&lt;&gt;""),Input!$B$44&amp;";",""),IF(AND($G94&lt;Hta_25,$G94&gt;=Hba_25,Input!W$45&lt;&gt;""),Input!$B$45&amp;";",""),IF(AND($G94&lt;Hta_26,$G94&gt;=Hba_26,Input!W$46&lt;&gt;""),Input!$B$46&amp;";",""),IF(AND($G94&lt;Hta_27,$G94&gt;=Hba_27,Input!W$47&lt;&gt;""),Input!$B$47&amp;";",""),IF(AND($G94&lt;Hta_28,$G94&gt;=Hba_28,Input!W$48&lt;&gt;""),Input!$B$48&amp;";",""),IF(AND($G94&lt;Hta_29,$G94&gt;=Hba_29,Input!W$49&lt;&gt;""),Input!$B$49&amp;";",""),IF(AND($G94&lt;Hta_30,$G94&gt;=Hba_30,Input!W$50&lt;&gt;""),Input!$B$50&amp;";","")),"")</f>
        <v/>
      </c>
      <c r="BY94" s="25" t="str">
        <f>IFERROR(CONCATENATE(IF(AND($G94&lt;Hta_1,$G94&gt;=Hba_1,Input!X$21&lt;&gt;""),Input!$B$21&amp;";",""),IF(AND($G94&lt;Hta_2,$G94&gt;=Hba_2,Input!X$22&lt;&gt;""),Input!$B$22&amp;";",""),IF(AND($G94&lt;Hta_3,$G94&gt;=Hba_3,Input!X$23&lt;&gt;""),Input!$B$23&amp;";",""),IF(AND($G94&lt;Hta_4,$G94&gt;=Hba_4,Input!X$24&lt;&gt;""),Input!$B$24&amp;";",""),IF(AND($G94&lt;Hta_5,$G94&gt;=Hba_5,Input!X$25&lt;&gt;""),Input!$B$25&amp;";",""),IF(AND($G94&lt;Hta_6,$G94&gt;=Hba_6,Input!X$26&lt;&gt;""),Input!$B$26&amp;";",""),IF(AND($G94&lt;Hta_7,$G94&gt;=Hba_7,Input!X$27&lt;&gt;""),Input!$B$27&amp;";",""),IF(AND($G94&lt;Hta_8,$G94&gt;=Hba_8,Input!X$28&lt;&gt;""),Input!$B$28&amp;";",""),IF(AND($G94&lt;Hta_9,$G94&gt;=Hba_9,Input!X$29&lt;&gt;""),Input!$B$29&amp;";",""),IF(AND($G94&lt;Hta_10,$G94&gt;=Hba_10,Input!X$30&lt;&gt;""),Input!$B$30&amp;";",""),IF(AND($G94&lt;Hta_11,$G94&gt;=Hba_11,Input!X$31&lt;&gt;""),Input!$B$31&amp;";",""),IF(AND($G94&lt;Hta_12,$G94&gt;=Hba_12,Input!X$32&lt;&gt;""),Input!$B$32&amp;";",""),IF(AND($G94&lt;Hta_13,$G94&gt;=Hba_13,Input!X$33&lt;&gt;""),Input!$B$33&amp;";",""),IF(AND($G94&lt;Hta_14,$G94&gt;=Hba_14,Input!X$34&lt;&gt;""),Input!$B$34&amp;";",""),IF(AND($G94&lt;Hta_15,$G94&gt;=Hba_15,Input!X$35&lt;&gt;""),Input!$B$35&amp;";",""),IF(AND($G94&lt;Hta_16,$G94&gt;=Hba_16,Input!X$36&lt;&gt;""),Input!$B$36&amp;";",""),IF(AND($G94&lt;Hta_17,$G94&gt;=Hba_17,Input!X$37&lt;&gt;""),Input!$B$37&amp;";",""),IF(AND($G94&lt;Hta_18,$G94&gt;=Hba_18,Input!X$38&lt;&gt;""),Input!$B$38&amp;";",""),IF(AND($G94&lt;Hta_19,$G94&gt;=Hba_19,Input!X$39&lt;&gt;""),Input!$B$39&amp;";",""),IF(AND($G94&lt;Hta_20,$G94&gt;=Hba_20,Input!X$40&lt;&gt;""),Input!$B$40&amp;";",""),IF(AND($G94&lt;Hta_21,$G94&gt;=Hba_21,Input!X$41&lt;&gt;""),Input!$B$41&amp;";",""),IF(AND($G94&lt;Hta_22,$G94&gt;=Hba_22,Input!X$42&lt;&gt;""),Input!$B$42&amp;";",""),IF(AND($G94&lt;Hta_23,$G94&gt;=Hba_23,Input!X$43&lt;&gt;""),Input!$B$43&amp;";",""),IF(AND($G94&lt;Hta_24,$G94&gt;=Hba_24,Input!X$44&lt;&gt;""),Input!$B$44&amp;";",""),IF(AND($G94&lt;Hta_25,$G94&gt;=Hba_25,Input!X$45&lt;&gt;""),Input!$B$45&amp;";",""),IF(AND($G94&lt;Hta_26,$G94&gt;=Hba_26,Input!X$46&lt;&gt;""),Input!$B$46&amp;";",""),IF(AND($G94&lt;Hta_27,$G94&gt;=Hba_27,Input!X$47&lt;&gt;""),Input!$B$47&amp;";",""),IF(AND($G94&lt;Hta_28,$G94&gt;=Hba_28,Input!X$48&lt;&gt;""),Input!$B$48&amp;";",""),IF(AND($G94&lt;Hta_29,$G94&gt;=Hba_29,Input!X$49&lt;&gt;""),Input!$B$49&amp;";",""),IF(AND($G94&lt;Hta_30,$G94&gt;=Hba_30,Input!X$50&lt;&gt;""),Input!$B$50&amp;";","")),"")</f>
        <v/>
      </c>
      <c r="BZ94" s="25" t="str">
        <f>IFERROR(CONCATENATE(IF(AND($G94&lt;Hta_1,$G94&gt;=Hba_1,Input!Y$21&lt;&gt;""),Input!$B$21&amp;";",""),IF(AND($G94&lt;Hta_2,$G94&gt;=Hba_2,Input!Y$22&lt;&gt;""),Input!$B$22&amp;";",""),IF(AND($G94&lt;Hta_3,$G94&gt;=Hba_3,Input!Y$23&lt;&gt;""),Input!$B$23&amp;";",""),IF(AND($G94&lt;Hta_4,$G94&gt;=Hba_4,Input!Y$24&lt;&gt;""),Input!$B$24&amp;";",""),IF(AND($G94&lt;Hta_5,$G94&gt;=Hba_5,Input!Y$25&lt;&gt;""),Input!$B$25&amp;";",""),IF(AND($G94&lt;Hta_6,$G94&gt;=Hba_6,Input!Y$26&lt;&gt;""),Input!$B$26&amp;";",""),IF(AND($G94&lt;Hta_7,$G94&gt;=Hba_7,Input!Y$27&lt;&gt;""),Input!$B$27&amp;";",""),IF(AND($G94&lt;Hta_8,$G94&gt;=Hba_8,Input!Y$28&lt;&gt;""),Input!$B$28&amp;";",""),IF(AND($G94&lt;Hta_9,$G94&gt;=Hba_9,Input!Y$29&lt;&gt;""),Input!$B$29&amp;";",""),IF(AND($G94&lt;Hta_10,$G94&gt;=Hba_10,Input!Y$30&lt;&gt;""),Input!$B$30&amp;";",""),IF(AND($G94&lt;Hta_11,$G94&gt;=Hba_11,Input!Y$31&lt;&gt;""),Input!$B$31&amp;";",""),IF(AND($G94&lt;Hta_12,$G94&gt;=Hba_12,Input!Y$32&lt;&gt;""),Input!$B$32&amp;";",""),IF(AND($G94&lt;Hta_13,$G94&gt;=Hba_13,Input!Y$33&lt;&gt;""),Input!$B$33&amp;";",""),IF(AND($G94&lt;Hta_14,$G94&gt;=Hba_14,Input!Y$34&lt;&gt;""),Input!$B$34&amp;";",""),IF(AND($G94&lt;Hta_15,$G94&gt;=Hba_15,Input!Y$35&lt;&gt;""),Input!$B$35&amp;";",""),IF(AND($G94&lt;Hta_16,$G94&gt;=Hba_16,Input!Y$36&lt;&gt;""),Input!$B$36&amp;";",""),IF(AND($G94&lt;Hta_17,$G94&gt;=Hba_17,Input!Y$37&lt;&gt;""),Input!$B$37&amp;";",""),IF(AND($G94&lt;Hta_18,$G94&gt;=Hba_18,Input!Y$38&lt;&gt;""),Input!$B$38&amp;";",""),IF(AND($G94&lt;Hta_19,$G94&gt;=Hba_19,Input!Y$39&lt;&gt;""),Input!$B$39&amp;";",""),IF(AND($G94&lt;Hta_20,$G94&gt;=Hba_20,Input!Y$40&lt;&gt;""),Input!$B$40&amp;";",""),IF(AND($G94&lt;Hta_21,$G94&gt;=Hba_21,Input!Y$41&lt;&gt;""),Input!$B$41&amp;";",""),IF(AND($G94&lt;Hta_22,$G94&gt;=Hba_22,Input!Y$42&lt;&gt;""),Input!$B$42&amp;";",""),IF(AND($G94&lt;Hta_23,$G94&gt;=Hba_23,Input!Y$43&lt;&gt;""),Input!$B$43&amp;";",""),IF(AND($G94&lt;Hta_24,$G94&gt;=Hba_24,Input!Y$44&lt;&gt;""),Input!$B$44&amp;";",""),IF(AND($G94&lt;Hta_25,$G94&gt;=Hba_25,Input!Y$45&lt;&gt;""),Input!$B$45&amp;";",""),IF(AND($G94&lt;Hta_26,$G94&gt;=Hba_26,Input!Y$46&lt;&gt;""),Input!$B$46&amp;";",""),IF(AND($G94&lt;Hta_27,$G94&gt;=Hba_27,Input!Y$47&lt;&gt;""),Input!$B$47&amp;";",""),IF(AND($G94&lt;Hta_28,$G94&gt;=Hba_28,Input!Y$48&lt;&gt;""),Input!$B$48&amp;";",""),IF(AND($G94&lt;Hta_29,$G94&gt;=Hba_29,Input!Y$49&lt;&gt;""),Input!$B$49&amp;";",""),IF(AND($G94&lt;Hta_30,$G94&gt;=Hba_30,Input!Y$50&lt;&gt;""),Input!$B$50&amp;";","")),"")</f>
        <v/>
      </c>
      <c r="CA94" s="25" t="str">
        <f>IFERROR(CONCATENATE(IF(AND($G94&lt;Hta_1,$G94&gt;=Hba_1,Input!Z$21&lt;&gt;""),Input!$B$21&amp;";",""),IF(AND($G94&lt;Hta_2,$G94&gt;=Hba_2,Input!Z$22&lt;&gt;""),Input!$B$22&amp;";",""),IF(AND($G94&lt;Hta_3,$G94&gt;=Hba_3,Input!Z$23&lt;&gt;""),Input!$B$23&amp;";",""),IF(AND($G94&lt;Hta_4,$G94&gt;=Hba_4,Input!Z$24&lt;&gt;""),Input!$B$24&amp;";",""),IF(AND($G94&lt;Hta_5,$G94&gt;=Hba_5,Input!Z$25&lt;&gt;""),Input!$B$25&amp;";",""),IF(AND($G94&lt;Hta_6,$G94&gt;=Hba_6,Input!Z$26&lt;&gt;""),Input!$B$26&amp;";",""),IF(AND($G94&lt;Hta_7,$G94&gt;=Hba_7,Input!Z$27&lt;&gt;""),Input!$B$27&amp;";",""),IF(AND($G94&lt;Hta_8,$G94&gt;=Hba_8,Input!Z$28&lt;&gt;""),Input!$B$28&amp;";",""),IF(AND($G94&lt;Hta_9,$G94&gt;=Hba_9,Input!Z$29&lt;&gt;""),Input!$B$29&amp;";",""),IF(AND($G94&lt;Hta_10,$G94&gt;=Hba_10,Input!Z$30&lt;&gt;""),Input!$B$30&amp;";",""),IF(AND($G94&lt;Hta_11,$G94&gt;=Hba_11,Input!Z$31&lt;&gt;""),Input!$B$31&amp;";",""),IF(AND($G94&lt;Hta_12,$G94&gt;=Hba_12,Input!Z$32&lt;&gt;""),Input!$B$32&amp;";",""),IF(AND($G94&lt;Hta_13,$G94&gt;=Hba_13,Input!Z$33&lt;&gt;""),Input!$B$33&amp;";",""),IF(AND($G94&lt;Hta_14,$G94&gt;=Hba_14,Input!Z$34&lt;&gt;""),Input!$B$34&amp;";",""),IF(AND($G94&lt;Hta_15,$G94&gt;=Hba_15,Input!Z$35&lt;&gt;""),Input!$B$35&amp;";",""),IF(AND($G94&lt;Hta_16,$G94&gt;=Hba_16,Input!Z$36&lt;&gt;""),Input!$B$36&amp;";",""),IF(AND($G94&lt;Hta_17,$G94&gt;=Hba_17,Input!Z$37&lt;&gt;""),Input!$B$37&amp;";",""),IF(AND($G94&lt;Hta_18,$G94&gt;=Hba_18,Input!Z$38&lt;&gt;""),Input!$B$38&amp;";",""),IF(AND($G94&lt;Hta_19,$G94&gt;=Hba_19,Input!Z$39&lt;&gt;""),Input!$B$39&amp;";",""),IF(AND($G94&lt;Hta_20,$G94&gt;=Hba_20,Input!Z$40&lt;&gt;""),Input!$B$40&amp;";",""),IF(AND($G94&lt;Hta_21,$G94&gt;=Hba_21,Input!Z$41&lt;&gt;""),Input!$B$41&amp;";",""),IF(AND($G94&lt;Hta_22,$G94&gt;=Hba_22,Input!Z$42&lt;&gt;""),Input!$B$42&amp;";",""),IF(AND($G94&lt;Hta_23,$G94&gt;=Hba_23,Input!Z$43&lt;&gt;""),Input!$B$43&amp;";",""),IF(AND($G94&lt;Hta_24,$G94&gt;=Hba_24,Input!Z$44&lt;&gt;""),Input!$B$44&amp;";",""),IF(AND($G94&lt;Hta_25,$G94&gt;=Hba_25,Input!Z$45&lt;&gt;""),Input!$B$45&amp;";",""),IF(AND($G94&lt;Hta_26,$G94&gt;=Hba_26,Input!Z$46&lt;&gt;""),Input!$B$46&amp;";",""),IF(AND($G94&lt;Hta_27,$G94&gt;=Hba_27,Input!Z$47&lt;&gt;""),Input!$B$47&amp;";",""),IF(AND($G94&lt;Hta_28,$G94&gt;=Hba_28,Input!Z$48&lt;&gt;""),Input!$B$48&amp;";",""),IF(AND($G94&lt;Hta_29,$G94&gt;=Hba_29,Input!Z$49&lt;&gt;""),Input!$B$49&amp;";",""),IF(AND($G94&lt;Hta_30,$G94&gt;=Hba_30,Input!Z$50&lt;&gt;""),Input!$B$50&amp;";","")),"")</f>
        <v/>
      </c>
      <c r="CB94" s="25" t="str">
        <f>IFERROR(CONCATENATE(IF(AND($G94&lt;Hta_1,$G94&gt;=Hba_1,Input!AA$21&lt;&gt;""),Input!$B$21&amp;";",""),IF(AND($G94&lt;Hta_2,$G94&gt;=Hba_2,Input!AA$22&lt;&gt;""),Input!$B$22&amp;";",""),IF(AND($G94&lt;Hta_3,$G94&gt;=Hba_3,Input!AA$23&lt;&gt;""),Input!$B$23&amp;";",""),IF(AND($G94&lt;Hta_4,$G94&gt;=Hba_4,Input!AA$24&lt;&gt;""),Input!$B$24&amp;";",""),IF(AND($G94&lt;Hta_5,$G94&gt;=Hba_5,Input!AA$25&lt;&gt;""),Input!$B$25&amp;";",""),IF(AND($G94&lt;Hta_6,$G94&gt;=Hba_6,Input!AA$26&lt;&gt;""),Input!$B$26&amp;";",""),IF(AND($G94&lt;Hta_7,$G94&gt;=Hba_7,Input!AA$27&lt;&gt;""),Input!$B$27&amp;";",""),IF(AND($G94&lt;Hta_8,$G94&gt;=Hba_8,Input!AA$28&lt;&gt;""),Input!$B$28&amp;";",""),IF(AND($G94&lt;Hta_9,$G94&gt;=Hba_9,Input!AA$29&lt;&gt;""),Input!$B$29&amp;";",""),IF(AND($G94&lt;Hta_10,$G94&gt;=Hba_10,Input!AA$30&lt;&gt;""),Input!$B$30&amp;";",""),IF(AND($G94&lt;Hta_11,$G94&gt;=Hba_11,Input!AA$31&lt;&gt;""),Input!$B$31&amp;";",""),IF(AND($G94&lt;Hta_12,$G94&gt;=Hba_12,Input!AA$32&lt;&gt;""),Input!$B$32&amp;";",""),IF(AND($G94&lt;Hta_13,$G94&gt;=Hba_13,Input!AA$33&lt;&gt;""),Input!$B$33&amp;";",""),IF(AND($G94&lt;Hta_14,$G94&gt;=Hba_14,Input!AA$34&lt;&gt;""),Input!$B$34&amp;";",""),IF(AND($G94&lt;Hta_15,$G94&gt;=Hba_15,Input!AA$35&lt;&gt;""),Input!$B$35&amp;";",""),IF(AND($G94&lt;Hta_16,$G94&gt;=Hba_16,Input!AA$36&lt;&gt;""),Input!$B$36&amp;";",""),IF(AND($G94&lt;Hta_17,$G94&gt;=Hba_17,Input!AA$37&lt;&gt;""),Input!$B$37&amp;";",""),IF(AND($G94&lt;Hta_18,$G94&gt;=Hba_18,Input!AA$38&lt;&gt;""),Input!$B$38&amp;";",""),IF(AND($G94&lt;Hta_19,$G94&gt;=Hba_19,Input!AA$39&lt;&gt;""),Input!$B$39&amp;";",""),IF(AND($G94&lt;Hta_20,$G94&gt;=Hba_20,Input!AA$40&lt;&gt;""),Input!$B$40&amp;";",""),IF(AND($G94&lt;Hta_21,$G94&gt;=Hba_21,Input!AA$41&lt;&gt;""),Input!$B$41&amp;";",""),IF(AND($G94&lt;Hta_22,$G94&gt;=Hba_22,Input!AA$42&lt;&gt;""),Input!$B$42&amp;";",""),IF(AND($G94&lt;Hta_23,$G94&gt;=Hba_23,Input!AA$43&lt;&gt;""),Input!$B$43&amp;";",""),IF(AND($G94&lt;Hta_24,$G94&gt;=Hba_24,Input!AA$44&lt;&gt;""),Input!$B$44&amp;";",""),IF(AND($G94&lt;Hta_25,$G94&gt;=Hba_25,Input!AA$45&lt;&gt;""),Input!$B$45&amp;";",""),IF(AND($G94&lt;Hta_26,$G94&gt;=Hba_26,Input!AA$46&lt;&gt;""),Input!$B$46&amp;";",""),IF(AND($G94&lt;Hta_27,$G94&gt;=Hba_27,Input!AA$47&lt;&gt;""),Input!$B$47&amp;";",""),IF(AND($G94&lt;Hta_28,$G94&gt;=Hba_28,Input!AA$48&lt;&gt;""),Input!$B$48&amp;";",""),IF(AND($G94&lt;Hta_29,$G94&gt;=Hba_29,Input!AA$49&lt;&gt;""),Input!$B$49&amp;";",""),IF(AND($G94&lt;Hta_30,$G94&gt;=Hba_30,Input!AA$50&lt;&gt;""),Input!$B$50&amp;";","")),"")</f>
        <v/>
      </c>
      <c r="CC94" s="25" t="str">
        <f>IFERROR(CONCATENATE(IF(AND($G94&lt;Hta_1,$G94&gt;=Hba_1,Input!AB$21&lt;&gt;""),Input!$B$21&amp;";",""),IF(AND($G94&lt;Hta_2,$G94&gt;=Hba_2,Input!AB$22&lt;&gt;""),Input!$B$22&amp;";",""),IF(AND($G94&lt;Hta_3,$G94&gt;=Hba_3,Input!AB$23&lt;&gt;""),Input!$B$23&amp;";",""),IF(AND($G94&lt;Hta_4,$G94&gt;=Hba_4,Input!AB$24&lt;&gt;""),Input!$B$24&amp;";",""),IF(AND($G94&lt;Hta_5,$G94&gt;=Hba_5,Input!AB$25&lt;&gt;""),Input!$B$25&amp;";",""),IF(AND($G94&lt;Hta_6,$G94&gt;=Hba_6,Input!AB$26&lt;&gt;""),Input!$B$26&amp;";",""),IF(AND($G94&lt;Hta_7,$G94&gt;=Hba_7,Input!AB$27&lt;&gt;""),Input!$B$27&amp;";",""),IF(AND($G94&lt;Hta_8,$G94&gt;=Hba_8,Input!AB$28&lt;&gt;""),Input!$B$28&amp;";",""),IF(AND($G94&lt;Hta_9,$G94&gt;=Hba_9,Input!AB$29&lt;&gt;""),Input!$B$29&amp;";",""),IF(AND($G94&lt;Hta_10,$G94&gt;=Hba_10,Input!AB$30&lt;&gt;""),Input!$B$30&amp;";",""),IF(AND($G94&lt;Hta_11,$G94&gt;=Hba_11,Input!AB$31&lt;&gt;""),Input!$B$31&amp;";",""),IF(AND($G94&lt;Hta_12,$G94&gt;=Hba_12,Input!AB$32&lt;&gt;""),Input!$B$32&amp;";",""),IF(AND($G94&lt;Hta_13,$G94&gt;=Hba_13,Input!AB$33&lt;&gt;""),Input!$B$33&amp;";",""),IF(AND($G94&lt;Hta_14,$G94&gt;=Hba_14,Input!AB$34&lt;&gt;""),Input!$B$34&amp;";",""),IF(AND($G94&lt;Hta_15,$G94&gt;=Hba_15,Input!AB$35&lt;&gt;""),Input!$B$35&amp;";",""),IF(AND($G94&lt;Hta_16,$G94&gt;=Hba_16,Input!AB$36&lt;&gt;""),Input!$B$36&amp;";",""),IF(AND($G94&lt;Hta_17,$G94&gt;=Hba_17,Input!AB$37&lt;&gt;""),Input!$B$37&amp;";",""),IF(AND($G94&lt;Hta_18,$G94&gt;=Hba_18,Input!AB$38&lt;&gt;""),Input!$B$38&amp;";",""),IF(AND($G94&lt;Hta_19,$G94&gt;=Hba_19,Input!AB$39&lt;&gt;""),Input!$B$39&amp;";",""),IF(AND($G94&lt;Hta_20,$G94&gt;=Hba_20,Input!AB$40&lt;&gt;""),Input!$B$40&amp;";",""),IF(AND($G94&lt;Hta_21,$G94&gt;=Hba_21,Input!AB$41&lt;&gt;""),Input!$B$41&amp;";",""),IF(AND($G94&lt;Hta_22,$G94&gt;=Hba_22,Input!AB$42&lt;&gt;""),Input!$B$42&amp;";",""),IF(AND($G94&lt;Hta_23,$G94&gt;=Hba_23,Input!AB$43&lt;&gt;""),Input!$B$43&amp;";",""),IF(AND($G94&lt;Hta_24,$G94&gt;=Hba_24,Input!AB$44&lt;&gt;""),Input!$B$44&amp;";",""),IF(AND($G94&lt;Hta_25,$G94&gt;=Hba_25,Input!AB$45&lt;&gt;""),Input!$B$45&amp;";",""),IF(AND($G94&lt;Hta_26,$G94&gt;=Hba_26,Input!AB$46&lt;&gt;""),Input!$B$46&amp;";",""),IF(AND($G94&lt;Hta_27,$G94&gt;=Hba_27,Input!AB$47&lt;&gt;""),Input!$B$47&amp;";",""),IF(AND($G94&lt;Hta_28,$G94&gt;=Hba_28,Input!AB$48&lt;&gt;""),Input!$B$48&amp;";",""),IF(AND($G94&lt;Hta_29,$G94&gt;=Hba_29,Input!AB$49&lt;&gt;""),Input!$B$49&amp;";",""),IF(AND($G94&lt;Hta_30,$G94&gt;=Hba_30,Input!AB$50&lt;&gt;""),Input!$B$50&amp;";","")),"")</f>
        <v/>
      </c>
      <c r="CD94" s="25" t="str">
        <f>IFERROR(CONCATENATE(IF(AND($G94&lt;Hta_1,$G94&gt;=Hba_1,Input!AC$21&lt;&gt;""),Input!$B$21&amp;";",""),IF(AND($G94&lt;Hta_2,$G94&gt;=Hba_2,Input!AC$22&lt;&gt;""),Input!$B$22&amp;";",""),IF(AND($G94&lt;Hta_3,$G94&gt;=Hba_3,Input!AC$23&lt;&gt;""),Input!$B$23&amp;";",""),IF(AND($G94&lt;Hta_4,$G94&gt;=Hba_4,Input!AC$24&lt;&gt;""),Input!$B$24&amp;";",""),IF(AND($G94&lt;Hta_5,$G94&gt;=Hba_5,Input!AC$25&lt;&gt;""),Input!$B$25&amp;";",""),IF(AND($G94&lt;Hta_6,$G94&gt;=Hba_6,Input!AC$26&lt;&gt;""),Input!$B$26&amp;";",""),IF(AND($G94&lt;Hta_7,$G94&gt;=Hba_7,Input!AC$27&lt;&gt;""),Input!$B$27&amp;";",""),IF(AND($G94&lt;Hta_8,$G94&gt;=Hba_8,Input!AC$28&lt;&gt;""),Input!$B$28&amp;";",""),IF(AND($G94&lt;Hta_9,$G94&gt;=Hba_9,Input!AC$29&lt;&gt;""),Input!$B$29&amp;";",""),IF(AND($G94&lt;Hta_10,$G94&gt;=Hba_10,Input!AC$30&lt;&gt;""),Input!$B$30&amp;";",""),IF(AND($G94&lt;Hta_11,$G94&gt;=Hba_11,Input!AC$31&lt;&gt;""),Input!$B$31&amp;";",""),IF(AND($G94&lt;Hta_12,$G94&gt;=Hba_12,Input!AC$32&lt;&gt;""),Input!$B$32&amp;";",""),IF(AND($G94&lt;Hta_13,$G94&gt;=Hba_13,Input!AC$33&lt;&gt;""),Input!$B$33&amp;";",""),IF(AND($G94&lt;Hta_14,$G94&gt;=Hba_14,Input!AC$34&lt;&gt;""),Input!$B$34&amp;";",""),IF(AND($G94&lt;Hta_15,$G94&gt;=Hba_15,Input!AC$35&lt;&gt;""),Input!$B$35&amp;";",""),IF(AND($G94&lt;Hta_16,$G94&gt;=Hba_16,Input!AC$36&lt;&gt;""),Input!$B$36&amp;";",""),IF(AND($G94&lt;Hta_17,$G94&gt;=Hba_17,Input!AC$37&lt;&gt;""),Input!$B$37&amp;";",""),IF(AND($G94&lt;Hta_18,$G94&gt;=Hba_18,Input!AC$38&lt;&gt;""),Input!$B$38&amp;";",""),IF(AND($G94&lt;Hta_19,$G94&gt;=Hba_19,Input!AC$39&lt;&gt;""),Input!$B$39&amp;";",""),IF(AND($G94&lt;Hta_20,$G94&gt;=Hba_20,Input!AC$40&lt;&gt;""),Input!$B$40&amp;";",""),IF(AND($G94&lt;Hta_21,$G94&gt;=Hba_21,Input!AC$41&lt;&gt;""),Input!$B$41&amp;";",""),IF(AND($G94&lt;Hta_22,$G94&gt;=Hba_22,Input!AC$42&lt;&gt;""),Input!$B$42&amp;";",""),IF(AND($G94&lt;Hta_23,$G94&gt;=Hba_23,Input!AC$43&lt;&gt;""),Input!$B$43&amp;";",""),IF(AND($G94&lt;Hta_24,$G94&gt;=Hba_24,Input!AC$44&lt;&gt;""),Input!$B$44&amp;";",""),IF(AND($G94&lt;Hta_25,$G94&gt;=Hba_25,Input!AC$45&lt;&gt;""),Input!$B$45&amp;";",""),IF(AND($G94&lt;Hta_26,$G94&gt;=Hba_26,Input!AC$46&lt;&gt;""),Input!$B$46&amp;";",""),IF(AND($G94&lt;Hta_27,$G94&gt;=Hba_27,Input!AC$47&lt;&gt;""),Input!$B$47&amp;";",""),IF(AND($G94&lt;Hta_28,$G94&gt;=Hba_28,Input!AC$48&lt;&gt;""),Input!$B$48&amp;";",""),IF(AND($G94&lt;Hta_29,$G94&gt;=Hba_29,Input!AC$49&lt;&gt;""),Input!$B$49&amp;";",""),IF(AND($G94&lt;Hta_30,$G94&gt;=Hba_30,Input!AC$50&lt;&gt;""),Input!$B$50&amp;";","")),"")</f>
        <v/>
      </c>
      <c r="CE94" s="25" t="str">
        <f>IFERROR(CONCATENATE(IF(AND($G94&lt;Hta_1,$G94&gt;=Hba_1,Input!AD$21&lt;&gt;""),Input!$B$21&amp;";",""),IF(AND($G94&lt;Hta_2,$G94&gt;=Hba_2,Input!AD$22&lt;&gt;""),Input!$B$22&amp;";",""),IF(AND($G94&lt;Hta_3,$G94&gt;=Hba_3,Input!AD$23&lt;&gt;""),Input!$B$23&amp;";",""),IF(AND($G94&lt;Hta_4,$G94&gt;=Hba_4,Input!AD$24&lt;&gt;""),Input!$B$24&amp;";",""),IF(AND($G94&lt;Hta_5,$G94&gt;=Hba_5,Input!AD$25&lt;&gt;""),Input!$B$25&amp;";",""),IF(AND($G94&lt;Hta_6,$G94&gt;=Hba_6,Input!AD$26&lt;&gt;""),Input!$B$26&amp;";",""),IF(AND($G94&lt;Hta_7,$G94&gt;=Hba_7,Input!AD$27&lt;&gt;""),Input!$B$27&amp;";",""),IF(AND($G94&lt;Hta_8,$G94&gt;=Hba_8,Input!AD$28&lt;&gt;""),Input!$B$28&amp;";",""),IF(AND($G94&lt;Hta_9,$G94&gt;=Hba_9,Input!AD$29&lt;&gt;""),Input!$B$29&amp;";",""),IF(AND($G94&lt;Hta_10,$G94&gt;=Hba_10,Input!AD$30&lt;&gt;""),Input!$B$30&amp;";",""),IF(AND($G94&lt;Hta_11,$G94&gt;=Hba_11,Input!AD$31&lt;&gt;""),Input!$B$31&amp;";",""),IF(AND($G94&lt;Hta_12,$G94&gt;=Hba_12,Input!AD$32&lt;&gt;""),Input!$B$32&amp;";",""),IF(AND($G94&lt;Hta_13,$G94&gt;=Hba_13,Input!AD$33&lt;&gt;""),Input!$B$33&amp;";",""),IF(AND($G94&lt;Hta_14,$G94&gt;=Hba_14,Input!AD$34&lt;&gt;""),Input!$B$34&amp;";",""),IF(AND($G94&lt;Hta_15,$G94&gt;=Hba_15,Input!AD$35&lt;&gt;""),Input!$B$35&amp;";",""),IF(AND($G94&lt;Hta_16,$G94&gt;=Hba_16,Input!AD$36&lt;&gt;""),Input!$B$36&amp;";",""),IF(AND($G94&lt;Hta_17,$G94&gt;=Hba_17,Input!AD$37&lt;&gt;""),Input!$B$37&amp;";",""),IF(AND($G94&lt;Hta_18,$G94&gt;=Hba_18,Input!AD$38&lt;&gt;""),Input!$B$38&amp;";",""),IF(AND($G94&lt;Hta_19,$G94&gt;=Hba_19,Input!AD$39&lt;&gt;""),Input!$B$39&amp;";",""),IF(AND($G94&lt;Hta_20,$G94&gt;=Hba_20,Input!AD$40&lt;&gt;""),Input!$B$40&amp;";",""),IF(AND($G94&lt;Hta_21,$G94&gt;=Hba_21,Input!AD$41&lt;&gt;""),Input!$B$41&amp;";",""),IF(AND($G94&lt;Hta_22,$G94&gt;=Hba_22,Input!AD$42&lt;&gt;""),Input!$B$42&amp;";",""),IF(AND($G94&lt;Hta_23,$G94&gt;=Hba_23,Input!AD$43&lt;&gt;""),Input!$B$43&amp;";",""),IF(AND($G94&lt;Hta_24,$G94&gt;=Hba_24,Input!AD$44&lt;&gt;""),Input!$B$44&amp;";",""),IF(AND($G94&lt;Hta_25,$G94&gt;=Hba_25,Input!AD$45&lt;&gt;""),Input!$B$45&amp;";",""),IF(AND($G94&lt;Hta_26,$G94&gt;=Hba_26,Input!AD$46&lt;&gt;""),Input!$B$46&amp;";",""),IF(AND($G94&lt;Hta_27,$G94&gt;=Hba_27,Input!AD$47&lt;&gt;""),Input!$B$47&amp;";",""),IF(AND($G94&lt;Hta_28,$G94&gt;=Hba_28,Input!AD$48&lt;&gt;""),Input!$B$48&amp;";",""),IF(AND($G94&lt;Hta_29,$G94&gt;=Hba_29,Input!AD$49&lt;&gt;""),Input!$B$49&amp;";",""),IF(AND($G94&lt;Hta_30,$G94&gt;=Hba_30,Input!AD$50&lt;&gt;""),Input!$B$50&amp;";","")),"")</f>
        <v/>
      </c>
      <c r="CF94" s="25" t="str">
        <f>IFERROR(CONCATENATE(IF(AND($G94&lt;Hta_1,$G94&gt;=Hba_1,Input!AE$21&lt;&gt;""),Input!$B$21&amp;";",""),IF(AND($G94&lt;Hta_2,$G94&gt;=Hba_2,Input!AE$22&lt;&gt;""),Input!$B$22&amp;";",""),IF(AND($G94&lt;Hta_3,$G94&gt;=Hba_3,Input!AE$23&lt;&gt;""),Input!$B$23&amp;";",""),IF(AND($G94&lt;Hta_4,$G94&gt;=Hba_4,Input!AE$24&lt;&gt;""),Input!$B$24&amp;";",""),IF(AND($G94&lt;Hta_5,$G94&gt;=Hba_5,Input!AE$25&lt;&gt;""),Input!$B$25&amp;";",""),IF(AND($G94&lt;Hta_6,$G94&gt;=Hba_6,Input!AE$26&lt;&gt;""),Input!$B$26&amp;";",""),IF(AND($G94&lt;Hta_7,$G94&gt;=Hba_7,Input!AE$27&lt;&gt;""),Input!$B$27&amp;";",""),IF(AND($G94&lt;Hta_8,$G94&gt;=Hba_8,Input!AE$28&lt;&gt;""),Input!$B$28&amp;";",""),IF(AND($G94&lt;Hta_9,$G94&gt;=Hba_9,Input!AE$29&lt;&gt;""),Input!$B$29&amp;";",""),IF(AND($G94&lt;Hta_10,$G94&gt;=Hba_10,Input!AE$30&lt;&gt;""),Input!$B$30&amp;";",""),IF(AND($G94&lt;Hta_11,$G94&gt;=Hba_11,Input!AE$31&lt;&gt;""),Input!$B$31&amp;";",""),IF(AND($G94&lt;Hta_12,$G94&gt;=Hba_12,Input!AE$32&lt;&gt;""),Input!$B$32&amp;";",""),IF(AND($G94&lt;Hta_13,$G94&gt;=Hba_13,Input!AE$33&lt;&gt;""),Input!$B$33&amp;";",""),IF(AND($G94&lt;Hta_14,$G94&gt;=Hba_14,Input!AE$34&lt;&gt;""),Input!$B$34&amp;";",""),IF(AND($G94&lt;Hta_15,$G94&gt;=Hba_15,Input!AE$35&lt;&gt;""),Input!$B$35&amp;";",""),IF(AND($G94&lt;Hta_16,$G94&gt;=Hba_16,Input!AE$36&lt;&gt;""),Input!$B$36&amp;";",""),IF(AND($G94&lt;Hta_17,$G94&gt;=Hba_17,Input!AE$37&lt;&gt;""),Input!$B$37&amp;";",""),IF(AND($G94&lt;Hta_18,$G94&gt;=Hba_18,Input!AE$38&lt;&gt;""),Input!$B$38&amp;";",""),IF(AND($G94&lt;Hta_19,$G94&gt;=Hba_19,Input!AE$39&lt;&gt;""),Input!$B$39&amp;";",""),IF(AND($G94&lt;Hta_20,$G94&gt;=Hba_20,Input!AE$40&lt;&gt;""),Input!$B$40&amp;";",""),IF(AND($G94&lt;Hta_21,$G94&gt;=Hba_21,Input!AE$41&lt;&gt;""),Input!$B$41&amp;";",""),IF(AND($G94&lt;Hta_22,$G94&gt;=Hba_22,Input!AE$42&lt;&gt;""),Input!$B$42&amp;";",""),IF(AND($G94&lt;Hta_23,$G94&gt;=Hba_23,Input!AE$43&lt;&gt;""),Input!$B$43&amp;";",""),IF(AND($G94&lt;Hta_24,$G94&gt;=Hba_24,Input!AE$44&lt;&gt;""),Input!$B$44&amp;";",""),IF(AND($G94&lt;Hta_25,$G94&gt;=Hba_25,Input!AE$45&lt;&gt;""),Input!$B$45&amp;";",""),IF(AND($G94&lt;Hta_26,$G94&gt;=Hba_26,Input!AE$46&lt;&gt;""),Input!$B$46&amp;";",""),IF(AND($G94&lt;Hta_27,$G94&gt;=Hba_27,Input!AE$47&lt;&gt;""),Input!$B$47&amp;";",""),IF(AND($G94&lt;Hta_28,$G94&gt;=Hba_28,Input!AE$48&lt;&gt;""),Input!$B$48&amp;";",""),IF(AND($G94&lt;Hta_29,$G94&gt;=Hba_29,Input!AE$49&lt;&gt;""),Input!$B$49&amp;";",""),IF(AND($G94&lt;Hta_30,$G94&gt;=Hba_30,Input!AE$50&lt;&gt;""),Input!$B$50&amp;";","")),"")</f>
        <v/>
      </c>
      <c r="CG94" s="25" t="str">
        <f>IFERROR(CONCATENATE(IF(AND($G94&lt;Hta_1,$G94&gt;=Hba_1,Input!AF$21&lt;&gt;""),Input!$B$21&amp;";",""),IF(AND($G94&lt;Hta_2,$G94&gt;=Hba_2,Input!AF$22&lt;&gt;""),Input!$B$22&amp;";",""),IF(AND($G94&lt;Hta_3,$G94&gt;=Hba_3,Input!AF$23&lt;&gt;""),Input!$B$23&amp;";",""),IF(AND($G94&lt;Hta_4,$G94&gt;=Hba_4,Input!AF$24&lt;&gt;""),Input!$B$24&amp;";",""),IF(AND($G94&lt;Hta_5,$G94&gt;=Hba_5,Input!AF$25&lt;&gt;""),Input!$B$25&amp;";",""),IF(AND($G94&lt;Hta_6,$G94&gt;=Hba_6,Input!AF$26&lt;&gt;""),Input!$B$26&amp;";",""),IF(AND($G94&lt;Hta_7,$G94&gt;=Hba_7,Input!AF$27&lt;&gt;""),Input!$B$27&amp;";",""),IF(AND($G94&lt;Hta_8,$G94&gt;=Hba_8,Input!AF$28&lt;&gt;""),Input!$B$28&amp;";",""),IF(AND($G94&lt;Hta_9,$G94&gt;=Hba_9,Input!AF$29&lt;&gt;""),Input!$B$29&amp;";",""),IF(AND($G94&lt;Hta_10,$G94&gt;=Hba_10,Input!AF$30&lt;&gt;""),Input!$B$30&amp;";",""),IF(AND($G94&lt;Hta_11,$G94&gt;=Hba_11,Input!AF$31&lt;&gt;""),Input!$B$31&amp;";",""),IF(AND($G94&lt;Hta_12,$G94&gt;=Hba_12,Input!AF$32&lt;&gt;""),Input!$B$32&amp;";",""),IF(AND($G94&lt;Hta_13,$G94&gt;=Hba_13,Input!AF$33&lt;&gt;""),Input!$B$33&amp;";",""),IF(AND($G94&lt;Hta_14,$G94&gt;=Hba_14,Input!AF$34&lt;&gt;""),Input!$B$34&amp;";",""),IF(AND($G94&lt;Hta_15,$G94&gt;=Hba_15,Input!AF$35&lt;&gt;""),Input!$B$35&amp;";",""),IF(AND($G94&lt;Hta_16,$G94&gt;=Hba_16,Input!AF$36&lt;&gt;""),Input!$B$36&amp;";",""),IF(AND($G94&lt;Hta_17,$G94&gt;=Hba_17,Input!AF$37&lt;&gt;""),Input!$B$37&amp;";",""),IF(AND($G94&lt;Hta_18,$G94&gt;=Hba_18,Input!AF$38&lt;&gt;""),Input!$B$38&amp;";",""),IF(AND($G94&lt;Hta_19,$G94&gt;=Hba_19,Input!AF$39&lt;&gt;""),Input!$B$39&amp;";",""),IF(AND($G94&lt;Hta_20,$G94&gt;=Hba_20,Input!AF$40&lt;&gt;""),Input!$B$40&amp;";",""),IF(AND($G94&lt;Hta_21,$G94&gt;=Hba_21,Input!AF$41&lt;&gt;""),Input!$B$41&amp;";",""),IF(AND($G94&lt;Hta_22,$G94&gt;=Hba_22,Input!AF$42&lt;&gt;""),Input!$B$42&amp;";",""),IF(AND($G94&lt;Hta_23,$G94&gt;=Hba_23,Input!AF$43&lt;&gt;""),Input!$B$43&amp;";",""),IF(AND($G94&lt;Hta_24,$G94&gt;=Hba_24,Input!AF$44&lt;&gt;""),Input!$B$44&amp;";",""),IF(AND($G94&lt;Hta_25,$G94&gt;=Hba_25,Input!AF$45&lt;&gt;""),Input!$B$45&amp;";",""),IF(AND($G94&lt;Hta_26,$G94&gt;=Hba_26,Input!AF$46&lt;&gt;""),Input!$B$46&amp;";",""),IF(AND($G94&lt;Hta_27,$G94&gt;=Hba_27,Input!AF$47&lt;&gt;""),Input!$B$47&amp;";",""),IF(AND($G94&lt;Hta_28,$G94&gt;=Hba_28,Input!AF$48&lt;&gt;""),Input!$B$48&amp;";",""),IF(AND($G94&lt;Hta_29,$G94&gt;=Hba_29,Input!AF$49&lt;&gt;""),Input!$B$49&amp;";",""),IF(AND($G94&lt;Hta_30,$G94&gt;=Hba_30,Input!AF$50&lt;&gt;""),Input!$B$50&amp;";","")),"")</f>
        <v/>
      </c>
      <c r="CH94" s="25" t="str">
        <f>IFERROR(CONCATENATE(IF(AND($G94&lt;Hta_1,$G94&gt;=Hba_1,Input!AG$21&lt;&gt;""),Input!$B$21&amp;";",""),IF(AND($G94&lt;Hta_2,$G94&gt;=Hba_2,Input!AG$22&lt;&gt;""),Input!$B$22&amp;";",""),IF(AND($G94&lt;Hta_3,$G94&gt;=Hba_3,Input!AG$23&lt;&gt;""),Input!$B$23&amp;";",""),IF(AND($G94&lt;Hta_4,$G94&gt;=Hba_4,Input!AG$24&lt;&gt;""),Input!$B$24&amp;";",""),IF(AND($G94&lt;Hta_5,$G94&gt;=Hba_5,Input!AG$25&lt;&gt;""),Input!$B$25&amp;";",""),IF(AND($G94&lt;Hta_6,$G94&gt;=Hba_6,Input!AG$26&lt;&gt;""),Input!$B$26&amp;";",""),IF(AND($G94&lt;Hta_7,$G94&gt;=Hba_7,Input!AG$27&lt;&gt;""),Input!$B$27&amp;";",""),IF(AND($G94&lt;Hta_8,$G94&gt;=Hba_8,Input!AG$28&lt;&gt;""),Input!$B$28&amp;";",""),IF(AND($G94&lt;Hta_9,$G94&gt;=Hba_9,Input!AG$29&lt;&gt;""),Input!$B$29&amp;";",""),IF(AND($G94&lt;Hta_10,$G94&gt;=Hba_10,Input!AG$30&lt;&gt;""),Input!$B$30&amp;";",""),IF(AND($G94&lt;Hta_11,$G94&gt;=Hba_11,Input!AG$31&lt;&gt;""),Input!$B$31&amp;";",""),IF(AND($G94&lt;Hta_12,$G94&gt;=Hba_12,Input!AG$32&lt;&gt;""),Input!$B$32&amp;";",""),IF(AND($G94&lt;Hta_13,$G94&gt;=Hba_13,Input!AG$33&lt;&gt;""),Input!$B$33&amp;";",""),IF(AND($G94&lt;Hta_14,$G94&gt;=Hba_14,Input!AG$34&lt;&gt;""),Input!$B$34&amp;";",""),IF(AND($G94&lt;Hta_15,$G94&gt;=Hba_15,Input!AG$35&lt;&gt;""),Input!$B$35&amp;";",""),IF(AND($G94&lt;Hta_16,$G94&gt;=Hba_16,Input!AG$36&lt;&gt;""),Input!$B$36&amp;";",""),IF(AND($G94&lt;Hta_17,$G94&gt;=Hba_17,Input!AG$37&lt;&gt;""),Input!$B$37&amp;";",""),IF(AND($G94&lt;Hta_18,$G94&gt;=Hba_18,Input!AG$38&lt;&gt;""),Input!$B$38&amp;";",""),IF(AND($G94&lt;Hta_19,$G94&gt;=Hba_19,Input!AG$39&lt;&gt;""),Input!$B$39&amp;";",""),IF(AND($G94&lt;Hta_20,$G94&gt;=Hba_20,Input!AG$40&lt;&gt;""),Input!$B$40&amp;";",""),IF(AND($G94&lt;Hta_21,$G94&gt;=Hba_21,Input!AG$41&lt;&gt;""),Input!$B$41&amp;";",""),IF(AND($G94&lt;Hta_22,$G94&gt;=Hba_22,Input!AG$42&lt;&gt;""),Input!$B$42&amp;";",""),IF(AND($G94&lt;Hta_23,$G94&gt;=Hba_23,Input!AG$43&lt;&gt;""),Input!$B$43&amp;";",""),IF(AND($G94&lt;Hta_24,$G94&gt;=Hba_24,Input!AG$44&lt;&gt;""),Input!$B$44&amp;";",""),IF(AND($G94&lt;Hta_25,$G94&gt;=Hba_25,Input!AG$45&lt;&gt;""),Input!$B$45&amp;";",""),IF(AND($G94&lt;Hta_26,$G94&gt;=Hba_26,Input!AG$46&lt;&gt;""),Input!$B$46&amp;";",""),IF(AND($G94&lt;Hta_27,$G94&gt;=Hba_27,Input!AG$47&lt;&gt;""),Input!$B$47&amp;";",""),IF(AND($G94&lt;Hta_28,$G94&gt;=Hba_28,Input!AG$48&lt;&gt;""),Input!$B$48&amp;";",""),IF(AND($G94&lt;Hta_29,$G94&gt;=Hba_29,Input!AG$49&lt;&gt;""),Input!$B$49&amp;";",""),IF(AND($G94&lt;Hta_30,$G94&gt;=Hba_30,Input!AG$50&lt;&gt;""),Input!$B$50&amp;";","")),"")</f>
        <v/>
      </c>
      <c r="CI94" s="25" t="str">
        <f>IFERROR(CONCATENATE(IF(AND($G94&lt;Hta_1,$G94&gt;=Hba_1,Input!AH$21&lt;&gt;""),Input!$B$21&amp;";",""),IF(AND($G94&lt;Hta_2,$G94&gt;=Hba_2,Input!AH$22&lt;&gt;""),Input!$B$22&amp;";",""),IF(AND($G94&lt;Hta_3,$G94&gt;=Hba_3,Input!AH$23&lt;&gt;""),Input!$B$23&amp;";",""),IF(AND($G94&lt;Hta_4,$G94&gt;=Hba_4,Input!AH$24&lt;&gt;""),Input!$B$24&amp;";",""),IF(AND($G94&lt;Hta_5,$G94&gt;=Hba_5,Input!AH$25&lt;&gt;""),Input!$B$25&amp;";",""),IF(AND($G94&lt;Hta_6,$G94&gt;=Hba_6,Input!AH$26&lt;&gt;""),Input!$B$26&amp;";",""),IF(AND($G94&lt;Hta_7,$G94&gt;=Hba_7,Input!AH$27&lt;&gt;""),Input!$B$27&amp;";",""),IF(AND($G94&lt;Hta_8,$G94&gt;=Hba_8,Input!AH$28&lt;&gt;""),Input!$B$28&amp;";",""),IF(AND($G94&lt;Hta_9,$G94&gt;=Hba_9,Input!AH$29&lt;&gt;""),Input!$B$29&amp;";",""),IF(AND($G94&lt;Hta_10,$G94&gt;=Hba_10,Input!AH$30&lt;&gt;""),Input!$B$30&amp;";",""),IF(AND($G94&lt;Hta_11,$G94&gt;=Hba_11,Input!AH$31&lt;&gt;""),Input!$B$31&amp;";",""),IF(AND($G94&lt;Hta_12,$G94&gt;=Hba_12,Input!AH$32&lt;&gt;""),Input!$B$32&amp;";",""),IF(AND($G94&lt;Hta_13,$G94&gt;=Hba_13,Input!AH$33&lt;&gt;""),Input!$B$33&amp;";",""),IF(AND($G94&lt;Hta_14,$G94&gt;=Hba_14,Input!AH$34&lt;&gt;""),Input!$B$34&amp;";",""),IF(AND($G94&lt;Hta_15,$G94&gt;=Hba_15,Input!AH$35&lt;&gt;""),Input!$B$35&amp;";",""),IF(AND($G94&lt;Hta_16,$G94&gt;=Hba_16,Input!AH$36&lt;&gt;""),Input!$B$36&amp;";",""),IF(AND($G94&lt;Hta_17,$G94&gt;=Hba_17,Input!AH$37&lt;&gt;""),Input!$B$37&amp;";",""),IF(AND($G94&lt;Hta_18,$G94&gt;=Hba_18,Input!AH$38&lt;&gt;""),Input!$B$38&amp;";",""),IF(AND($G94&lt;Hta_19,$G94&gt;=Hba_19,Input!AH$39&lt;&gt;""),Input!$B$39&amp;";",""),IF(AND($G94&lt;Hta_20,$G94&gt;=Hba_20,Input!AH$40&lt;&gt;""),Input!$B$40&amp;";",""),IF(AND($G94&lt;Hta_21,$G94&gt;=Hba_21,Input!AH$41&lt;&gt;""),Input!$B$41&amp;";",""),IF(AND($G94&lt;Hta_22,$G94&gt;=Hba_22,Input!AH$42&lt;&gt;""),Input!$B$42&amp;";",""),IF(AND($G94&lt;Hta_23,$G94&gt;=Hba_23,Input!AH$43&lt;&gt;""),Input!$B$43&amp;";",""),IF(AND($G94&lt;Hta_24,$G94&gt;=Hba_24,Input!AH$44&lt;&gt;""),Input!$B$44&amp;";",""),IF(AND($G94&lt;Hta_25,$G94&gt;=Hba_25,Input!AH$45&lt;&gt;""),Input!$B$45&amp;";",""),IF(AND($G94&lt;Hta_26,$G94&gt;=Hba_26,Input!AH$46&lt;&gt;""),Input!$B$46&amp;";",""),IF(AND($G94&lt;Hta_27,$G94&gt;=Hba_27,Input!AH$47&lt;&gt;""),Input!$B$47&amp;";",""),IF(AND($G94&lt;Hta_28,$G94&gt;=Hba_28,Input!AH$48&lt;&gt;""),Input!$B$48&amp;";",""),IF(AND($G94&lt;Hta_29,$G94&gt;=Hba_29,Input!AH$49&lt;&gt;""),Input!$B$49&amp;";",""),IF(AND($G94&lt;Hta_30,$G94&gt;=Hba_30,Input!AH$50&lt;&gt;""),Input!$B$50&amp;";","")),"")</f>
        <v/>
      </c>
      <c r="CJ94" s="25" t="str">
        <f>IFERROR(CONCATENATE(IF(AND($G94&lt;Hta_1,$G94&gt;=Hba_1,Input!AI$21&lt;&gt;""),Input!$B$21&amp;";",""),IF(AND($G94&lt;Hta_2,$G94&gt;=Hba_2,Input!AI$22&lt;&gt;""),Input!$B$22&amp;";",""),IF(AND($G94&lt;Hta_3,$G94&gt;=Hba_3,Input!AI$23&lt;&gt;""),Input!$B$23&amp;";",""),IF(AND($G94&lt;Hta_4,$G94&gt;=Hba_4,Input!AI$24&lt;&gt;""),Input!$B$24&amp;";",""),IF(AND($G94&lt;Hta_5,$G94&gt;=Hba_5,Input!AI$25&lt;&gt;""),Input!$B$25&amp;";",""),IF(AND($G94&lt;Hta_6,$G94&gt;=Hba_6,Input!AI$26&lt;&gt;""),Input!$B$26&amp;";",""),IF(AND($G94&lt;Hta_7,$G94&gt;=Hba_7,Input!AI$27&lt;&gt;""),Input!$B$27&amp;";",""),IF(AND($G94&lt;Hta_8,$G94&gt;=Hba_8,Input!AI$28&lt;&gt;""),Input!$B$28&amp;";",""),IF(AND($G94&lt;Hta_9,$G94&gt;=Hba_9,Input!AI$29&lt;&gt;""),Input!$B$29&amp;";",""),IF(AND($G94&lt;Hta_10,$G94&gt;=Hba_10,Input!AI$30&lt;&gt;""),Input!$B$30&amp;";",""),IF(AND($G94&lt;Hta_11,$G94&gt;=Hba_11,Input!AI$31&lt;&gt;""),Input!$B$31&amp;";",""),IF(AND($G94&lt;Hta_12,$G94&gt;=Hba_12,Input!AI$32&lt;&gt;""),Input!$B$32&amp;";",""),IF(AND($G94&lt;Hta_13,$G94&gt;=Hba_13,Input!AI$33&lt;&gt;""),Input!$B$33&amp;";",""),IF(AND($G94&lt;Hta_14,$G94&gt;=Hba_14,Input!AI$34&lt;&gt;""),Input!$B$34&amp;";",""),IF(AND($G94&lt;Hta_15,$G94&gt;=Hba_15,Input!AI$35&lt;&gt;""),Input!$B$35&amp;";",""),IF(AND($G94&lt;Hta_16,$G94&gt;=Hba_16,Input!AI$36&lt;&gt;""),Input!$B$36&amp;";",""),IF(AND($G94&lt;Hta_17,$G94&gt;=Hba_17,Input!AI$37&lt;&gt;""),Input!$B$37&amp;";",""),IF(AND($G94&lt;Hta_18,$G94&gt;=Hba_18,Input!AI$38&lt;&gt;""),Input!$B$38&amp;";",""),IF(AND($G94&lt;Hta_19,$G94&gt;=Hba_19,Input!AI$39&lt;&gt;""),Input!$B$39&amp;";",""),IF(AND($G94&lt;Hta_20,$G94&gt;=Hba_20,Input!AI$40&lt;&gt;""),Input!$B$40&amp;";",""),IF(AND($G94&lt;Hta_21,$G94&gt;=Hba_21,Input!AI$41&lt;&gt;""),Input!$B$41&amp;";",""),IF(AND($G94&lt;Hta_22,$G94&gt;=Hba_22,Input!AI$42&lt;&gt;""),Input!$B$42&amp;";",""),IF(AND($G94&lt;Hta_23,$G94&gt;=Hba_23,Input!AI$43&lt;&gt;""),Input!$B$43&amp;";",""),IF(AND($G94&lt;Hta_24,$G94&gt;=Hba_24,Input!AI$44&lt;&gt;""),Input!$B$44&amp;";",""),IF(AND($G94&lt;Hta_25,$G94&gt;=Hba_25,Input!AI$45&lt;&gt;""),Input!$B$45&amp;";",""),IF(AND($G94&lt;Hta_26,$G94&gt;=Hba_26,Input!AI$46&lt;&gt;""),Input!$B$46&amp;";",""),IF(AND($G94&lt;Hta_27,$G94&gt;=Hba_27,Input!AI$47&lt;&gt;""),Input!$B$47&amp;";",""),IF(AND($G94&lt;Hta_28,$G94&gt;=Hba_28,Input!AI$48&lt;&gt;""),Input!$B$48&amp;";",""),IF(AND($G94&lt;Hta_29,$G94&gt;=Hba_29,Input!AI$49&lt;&gt;""),Input!$B$49&amp;";",""),IF(AND($G94&lt;Hta_30,$G94&gt;=Hba_30,Input!AI$50&lt;&gt;""),Input!$B$50&amp;";","")),"")</f>
        <v/>
      </c>
      <c r="CK94" s="25" t="str">
        <f>IFERROR(CONCATENATE(IF(AND($G94&lt;Hta_1,$G94&gt;=Hba_1,Input!AJ$21&lt;&gt;""),Input!$B$21&amp;";",""),IF(AND($G94&lt;Hta_2,$G94&gt;=Hba_2,Input!AJ$22&lt;&gt;""),Input!$B$22&amp;";",""),IF(AND($G94&lt;Hta_3,$G94&gt;=Hba_3,Input!AJ$23&lt;&gt;""),Input!$B$23&amp;";",""),IF(AND($G94&lt;Hta_4,$G94&gt;=Hba_4,Input!AJ$24&lt;&gt;""),Input!$B$24&amp;";",""),IF(AND($G94&lt;Hta_5,$G94&gt;=Hba_5,Input!AJ$25&lt;&gt;""),Input!$B$25&amp;";",""),IF(AND($G94&lt;Hta_6,$G94&gt;=Hba_6,Input!AJ$26&lt;&gt;""),Input!$B$26&amp;";",""),IF(AND($G94&lt;Hta_7,$G94&gt;=Hba_7,Input!AJ$27&lt;&gt;""),Input!$B$27&amp;";",""),IF(AND($G94&lt;Hta_8,$G94&gt;=Hba_8,Input!AJ$28&lt;&gt;""),Input!$B$28&amp;";",""),IF(AND($G94&lt;Hta_9,$G94&gt;=Hba_9,Input!AJ$29&lt;&gt;""),Input!$B$29&amp;";",""),IF(AND($G94&lt;Hta_10,$G94&gt;=Hba_10,Input!AJ$30&lt;&gt;""),Input!$B$30&amp;";",""),IF(AND($G94&lt;Hta_11,$G94&gt;=Hba_11,Input!AJ$31&lt;&gt;""),Input!$B$31&amp;";",""),IF(AND($G94&lt;Hta_12,$G94&gt;=Hba_12,Input!AJ$32&lt;&gt;""),Input!$B$32&amp;";",""),IF(AND($G94&lt;Hta_13,$G94&gt;=Hba_13,Input!AJ$33&lt;&gt;""),Input!$B$33&amp;";",""),IF(AND($G94&lt;Hta_14,$G94&gt;=Hba_14,Input!AJ$34&lt;&gt;""),Input!$B$34&amp;";",""),IF(AND($G94&lt;Hta_15,$G94&gt;=Hba_15,Input!AJ$35&lt;&gt;""),Input!$B$35&amp;";",""),IF(AND($G94&lt;Hta_16,$G94&gt;=Hba_16,Input!AJ$36&lt;&gt;""),Input!$B$36&amp;";",""),IF(AND($G94&lt;Hta_17,$G94&gt;=Hba_17,Input!AJ$37&lt;&gt;""),Input!$B$37&amp;";",""),IF(AND($G94&lt;Hta_18,$G94&gt;=Hba_18,Input!AJ$38&lt;&gt;""),Input!$B$38&amp;";",""),IF(AND($G94&lt;Hta_19,$G94&gt;=Hba_19,Input!AJ$39&lt;&gt;""),Input!$B$39&amp;";",""),IF(AND($G94&lt;Hta_20,$G94&gt;=Hba_20,Input!AJ$40&lt;&gt;""),Input!$B$40&amp;";",""),IF(AND($G94&lt;Hta_21,$G94&gt;=Hba_21,Input!AJ$41&lt;&gt;""),Input!$B$41&amp;";",""),IF(AND($G94&lt;Hta_22,$G94&gt;=Hba_22,Input!AJ$42&lt;&gt;""),Input!$B$42&amp;";",""),IF(AND($G94&lt;Hta_23,$G94&gt;=Hba_23,Input!AJ$43&lt;&gt;""),Input!$B$43&amp;";",""),IF(AND($G94&lt;Hta_24,$G94&gt;=Hba_24,Input!AJ$44&lt;&gt;""),Input!$B$44&amp;";",""),IF(AND($G94&lt;Hta_25,$G94&gt;=Hba_25,Input!AJ$45&lt;&gt;""),Input!$B$45&amp;";",""),IF(AND($G94&lt;Hta_26,$G94&gt;=Hba_26,Input!AJ$46&lt;&gt;""),Input!$B$46&amp;";",""),IF(AND($G94&lt;Hta_27,$G94&gt;=Hba_27,Input!AJ$47&lt;&gt;""),Input!$B$47&amp;";",""),IF(AND($G94&lt;Hta_28,$G94&gt;=Hba_28,Input!AJ$48&lt;&gt;""),Input!$B$48&amp;";",""),IF(AND($G94&lt;Hta_29,$G94&gt;=Hba_29,Input!AJ$49&lt;&gt;""),Input!$B$49&amp;";",""),IF(AND($G94&lt;Hta_30,$G94&gt;=Hba_30,Input!AJ$50&lt;&gt;""),Input!$B$50&amp;";","")),"")</f>
        <v/>
      </c>
      <c r="CL94" s="25" t="str">
        <f>IFERROR(CONCATENATE(IF(AND($G94&lt;Hta_1,$G94&gt;=Hba_1,Input!AK$21&lt;&gt;""),Input!$B$21&amp;";",""),IF(AND($G94&lt;Hta_2,$G94&gt;=Hba_2,Input!AK$22&lt;&gt;""),Input!$B$22&amp;";",""),IF(AND($G94&lt;Hta_3,$G94&gt;=Hba_3,Input!AK$23&lt;&gt;""),Input!$B$23&amp;";",""),IF(AND($G94&lt;Hta_4,$G94&gt;=Hba_4,Input!AK$24&lt;&gt;""),Input!$B$24&amp;";",""),IF(AND($G94&lt;Hta_5,$G94&gt;=Hba_5,Input!AK$25&lt;&gt;""),Input!$B$25&amp;";",""),IF(AND($G94&lt;Hta_6,$G94&gt;=Hba_6,Input!AK$26&lt;&gt;""),Input!$B$26&amp;";",""),IF(AND($G94&lt;Hta_7,$G94&gt;=Hba_7,Input!AK$27&lt;&gt;""),Input!$B$27&amp;";",""),IF(AND($G94&lt;Hta_8,$G94&gt;=Hba_8,Input!AK$28&lt;&gt;""),Input!$B$28&amp;";",""),IF(AND($G94&lt;Hta_9,$G94&gt;=Hba_9,Input!AK$29&lt;&gt;""),Input!$B$29&amp;";",""),IF(AND($G94&lt;Hta_10,$G94&gt;=Hba_10,Input!AK$30&lt;&gt;""),Input!$B$30&amp;";",""),IF(AND($G94&lt;Hta_11,$G94&gt;=Hba_11,Input!AK$31&lt;&gt;""),Input!$B$31&amp;";",""),IF(AND($G94&lt;Hta_12,$G94&gt;=Hba_12,Input!AK$32&lt;&gt;""),Input!$B$32&amp;";",""),IF(AND($G94&lt;Hta_13,$G94&gt;=Hba_13,Input!AK$33&lt;&gt;""),Input!$B$33&amp;";",""),IF(AND($G94&lt;Hta_14,$G94&gt;=Hba_14,Input!AK$34&lt;&gt;""),Input!$B$34&amp;";",""),IF(AND($G94&lt;Hta_15,$G94&gt;=Hba_15,Input!AK$35&lt;&gt;""),Input!$B$35&amp;";",""),IF(AND($G94&lt;Hta_16,$G94&gt;=Hba_16,Input!AK$36&lt;&gt;""),Input!$B$36&amp;";",""),IF(AND($G94&lt;Hta_17,$G94&gt;=Hba_17,Input!AK$37&lt;&gt;""),Input!$B$37&amp;";",""),IF(AND($G94&lt;Hta_18,$G94&gt;=Hba_18,Input!AK$38&lt;&gt;""),Input!$B$38&amp;";",""),IF(AND($G94&lt;Hta_19,$G94&gt;=Hba_19,Input!AK$39&lt;&gt;""),Input!$B$39&amp;";",""),IF(AND($G94&lt;Hta_20,$G94&gt;=Hba_20,Input!AK$40&lt;&gt;""),Input!$B$40&amp;";",""),IF(AND($G94&lt;Hta_21,$G94&gt;=Hba_21,Input!AK$41&lt;&gt;""),Input!$B$41&amp;";",""),IF(AND($G94&lt;Hta_22,$G94&gt;=Hba_22,Input!AK$42&lt;&gt;""),Input!$B$42&amp;";",""),IF(AND($G94&lt;Hta_23,$G94&gt;=Hba_23,Input!AK$43&lt;&gt;""),Input!$B$43&amp;";",""),IF(AND($G94&lt;Hta_24,$G94&gt;=Hba_24,Input!AK$44&lt;&gt;""),Input!$B$44&amp;";",""),IF(AND($G94&lt;Hta_25,$G94&gt;=Hba_25,Input!AK$45&lt;&gt;""),Input!$B$45&amp;";",""),IF(AND($G94&lt;Hta_26,$G94&gt;=Hba_26,Input!AK$46&lt;&gt;""),Input!$B$46&amp;";",""),IF(AND($G94&lt;Hta_27,$G94&gt;=Hba_27,Input!AK$47&lt;&gt;""),Input!$B$47&amp;";",""),IF(AND($G94&lt;Hta_28,$G94&gt;=Hba_28,Input!AK$48&lt;&gt;""),Input!$B$48&amp;";",""),IF(AND($G94&lt;Hta_29,$G94&gt;=Hba_29,Input!AK$49&lt;&gt;""),Input!$B$49&amp;";",""),IF(AND($G94&lt;Hta_30,$G94&gt;=Hba_30,Input!AK$50&lt;&gt;""),Input!$B$50&amp;";","")),"")</f>
        <v/>
      </c>
      <c r="CM94" s="25" t="str">
        <f>IFERROR(CONCATENATE(IF(AND($G94&lt;Hta_1,$G94&gt;=Hba_1,Input!AL$21&lt;&gt;""),Input!$B$21&amp;";",""),IF(AND($G94&lt;Hta_2,$G94&gt;=Hba_2,Input!AL$22&lt;&gt;""),Input!$B$22&amp;";",""),IF(AND($G94&lt;Hta_3,$G94&gt;=Hba_3,Input!AL$23&lt;&gt;""),Input!$B$23&amp;";",""),IF(AND($G94&lt;Hta_4,$G94&gt;=Hba_4,Input!AL$24&lt;&gt;""),Input!$B$24&amp;";",""),IF(AND($G94&lt;Hta_5,$G94&gt;=Hba_5,Input!AL$25&lt;&gt;""),Input!$B$25&amp;";",""),IF(AND($G94&lt;Hta_6,$G94&gt;=Hba_6,Input!AL$26&lt;&gt;""),Input!$B$26&amp;";",""),IF(AND($G94&lt;Hta_7,$G94&gt;=Hba_7,Input!AL$27&lt;&gt;""),Input!$B$27&amp;";",""),IF(AND($G94&lt;Hta_8,$G94&gt;=Hba_8,Input!AL$28&lt;&gt;""),Input!$B$28&amp;";",""),IF(AND($G94&lt;Hta_9,$G94&gt;=Hba_9,Input!AL$29&lt;&gt;""),Input!$B$29&amp;";",""),IF(AND($G94&lt;Hta_10,$G94&gt;=Hba_10,Input!AL$30&lt;&gt;""),Input!$B$30&amp;";",""),IF(AND($G94&lt;Hta_11,$G94&gt;=Hba_11,Input!AL$31&lt;&gt;""),Input!$B$31&amp;";",""),IF(AND($G94&lt;Hta_12,$G94&gt;=Hba_12,Input!AL$32&lt;&gt;""),Input!$B$32&amp;";",""),IF(AND($G94&lt;Hta_13,$G94&gt;=Hba_13,Input!AL$33&lt;&gt;""),Input!$B$33&amp;";",""),IF(AND($G94&lt;Hta_14,$G94&gt;=Hba_14,Input!AL$34&lt;&gt;""),Input!$B$34&amp;";",""),IF(AND($G94&lt;Hta_15,$G94&gt;=Hba_15,Input!AL$35&lt;&gt;""),Input!$B$35&amp;";",""),IF(AND($G94&lt;Hta_16,$G94&gt;=Hba_16,Input!AL$36&lt;&gt;""),Input!$B$36&amp;";",""),IF(AND($G94&lt;Hta_17,$G94&gt;=Hba_17,Input!AL$37&lt;&gt;""),Input!$B$37&amp;";",""),IF(AND($G94&lt;Hta_18,$G94&gt;=Hba_18,Input!AL$38&lt;&gt;""),Input!$B$38&amp;";",""),IF(AND($G94&lt;Hta_19,$G94&gt;=Hba_19,Input!AL$39&lt;&gt;""),Input!$B$39&amp;";",""),IF(AND($G94&lt;Hta_20,$G94&gt;=Hba_20,Input!AL$40&lt;&gt;""),Input!$B$40&amp;";",""),IF(AND($G94&lt;Hta_21,$G94&gt;=Hba_21,Input!AL$41&lt;&gt;""),Input!$B$41&amp;";",""),IF(AND($G94&lt;Hta_22,$G94&gt;=Hba_22,Input!AL$42&lt;&gt;""),Input!$B$42&amp;";",""),IF(AND($G94&lt;Hta_23,$G94&gt;=Hba_23,Input!AL$43&lt;&gt;""),Input!$B$43&amp;";",""),IF(AND($G94&lt;Hta_24,$G94&gt;=Hba_24,Input!AL$44&lt;&gt;""),Input!$B$44&amp;";",""),IF(AND($G94&lt;Hta_25,$G94&gt;=Hba_25,Input!AL$45&lt;&gt;""),Input!$B$45&amp;";",""),IF(AND($G94&lt;Hta_26,$G94&gt;=Hba_26,Input!AL$46&lt;&gt;""),Input!$B$46&amp;";",""),IF(AND($G94&lt;Hta_27,$G94&gt;=Hba_27,Input!AL$47&lt;&gt;""),Input!$B$47&amp;";",""),IF(AND($G94&lt;Hta_28,$G94&gt;=Hba_28,Input!AL$48&lt;&gt;""),Input!$B$48&amp;";",""),IF(AND($G94&lt;Hta_29,$G94&gt;=Hba_29,Input!AL$49&lt;&gt;""),Input!$B$49&amp;";",""),IF(AND($G94&lt;Hta_30,$G94&gt;=Hba_30,Input!AL$50&lt;&gt;""),Input!$B$50&amp;";","")),"")</f>
        <v/>
      </c>
      <c r="CN94" s="59" t="str">
        <f t="shared" si="16"/>
        <v/>
      </c>
      <c r="CO94" s="791"/>
      <c r="CP94" s="792"/>
      <c r="CQ94" s="793"/>
      <c r="CR94" s="791"/>
      <c r="CS94" s="792"/>
      <c r="CT94" s="793"/>
      <c r="CU94" s="791" t="str">
        <f t="shared" si="17"/>
        <v/>
      </c>
      <c r="CV94" s="792"/>
      <c r="CW94" s="807"/>
      <c r="CX94" s="808"/>
      <c r="CY94" s="730"/>
      <c r="CZ94" s="809"/>
      <c r="DA94" s="733"/>
      <c r="DB94" s="734"/>
      <c r="DC94" s="735"/>
      <c r="DD94" s="729" t="str">
        <f t="shared" si="18"/>
        <v/>
      </c>
      <c r="DE94" s="730"/>
      <c r="DF94" s="731"/>
      <c r="DG94" s="55"/>
      <c r="DH94" s="56"/>
      <c r="DI94" s="56"/>
      <c r="DJ94" s="56"/>
      <c r="DK94" s="56"/>
      <c r="DL94" s="56"/>
      <c r="DM94" s="56"/>
      <c r="DN94" s="56"/>
      <c r="DO94" s="56"/>
      <c r="DP94" s="56"/>
      <c r="DQ94" s="58"/>
      <c r="DR94" s="58"/>
      <c r="DS94" s="58"/>
      <c r="DT94" s="58"/>
      <c r="DU94" s="58"/>
      <c r="DV94" s="58"/>
      <c r="DW94" s="58"/>
      <c r="DX94" s="58"/>
      <c r="DY94" s="58"/>
      <c r="DZ94" s="58"/>
      <c r="EA94" s="58"/>
      <c r="EB94" s="58"/>
      <c r="EC94" s="58"/>
      <c r="ED94" s="58"/>
      <c r="EE94" s="58"/>
      <c r="EF94" s="58"/>
      <c r="EG94" s="58"/>
      <c r="EH94" s="58"/>
      <c r="EI94" s="58"/>
      <c r="EJ94" s="58"/>
      <c r="EK94" s="58"/>
      <c r="EL94" s="134"/>
      <c r="EM94" s="134"/>
      <c r="EN94" s="134"/>
      <c r="EO94" s="134"/>
      <c r="EP94" s="134"/>
      <c r="EQ94" s="134"/>
      <c r="ER94" s="134"/>
      <c r="ES94" s="134"/>
      <c r="ET94" s="134"/>
      <c r="EU94" s="134"/>
      <c r="EV94" s="134"/>
      <c r="EW94" s="134"/>
      <c r="EX94" s="134"/>
      <c r="EY94" s="134"/>
      <c r="EZ94" s="134"/>
      <c r="FA94" s="134"/>
      <c r="FB94" s="134"/>
      <c r="FC94" s="134"/>
      <c r="FD94" s="134"/>
      <c r="FE94" s="134"/>
      <c r="FF94" s="134"/>
      <c r="FG94" s="134"/>
      <c r="FH94" s="134"/>
      <c r="FI94" s="134"/>
      <c r="FJ94" s="134"/>
      <c r="FK94" s="134"/>
      <c r="FL94" s="134"/>
      <c r="FM94" s="134"/>
      <c r="FN94" s="134"/>
      <c r="FO94" s="134"/>
      <c r="FQ94" s="124"/>
      <c r="FR94" s="122"/>
      <c r="FS94" s="120"/>
      <c r="FT94" s="119"/>
    </row>
    <row r="95" spans="2:176" ht="15.75" hidden="1" thickBot="1" x14ac:dyDescent="0.3">
      <c r="B95" s="62" t="b">
        <f>IF(OR(AND(G95&gt;='Geometry 2'!$AK$5,G95&lt;'Geometry 2'!$AL$5),AND(G95&gt;='Geometry 2'!$AK$6,G95&lt;'Geometry 2'!$AL$6),AND(G95&gt;='Geometry 2'!$AK$7,G95&lt;'Geometry 2'!$AL$7),AND(G95&gt;='Geometry 2'!$AK$8,G95&lt;'Geometry 2'!$AL$8),AND(G95&gt;='Geometry 2'!$AK$9,G95&lt;'Geometry 2'!$AL$9),AND(G95&gt;='Geometry 2'!$AK$10,G95&lt;'Geometry 2'!$AL$10),AND(G95&gt;='Geometry 2'!$AK$11,G95&lt;'Geometry 2'!$AL$11),AND(G95&gt;='Geometry 2'!$AK$12,G95&lt;'Geometry 2'!$AL$12),AND(G95&gt;='Geometry 2'!$AK$13,G95&lt;'Geometry 2'!$AL$13),AND(G95&gt;='Geometry 2'!$AK$14,G95&lt;'Geometry 2'!$AL$14)),TRUE,FALSE)</f>
        <v>0</v>
      </c>
      <c r="C95" s="4" t="str">
        <f t="shared" si="13"/>
        <v/>
      </c>
      <c r="D95" s="766" t="str">
        <f t="shared" si="14"/>
        <v/>
      </c>
      <c r="E95" s="767"/>
      <c r="F95" s="17" t="str">
        <f t="shared" si="12"/>
        <v/>
      </c>
      <c r="G95" s="768" t="str">
        <f>IF(D95="","",MAX(0,G94-IF(inc="n/a",999,inc),MAX(IF(G94&lt;=Hta_1,0,Hta_1),IF(G94&lt;=Hta_2,0,Hta_2),IF(G94&lt;=Hta_3,0,Hta_3),IF(G94&lt;=Hta_4,0,Hta_4),IF(G94&lt;=Hta_5,0,Hta_5),IF(G94&lt;=Hta_6,0,Hta_6),IF(G94&lt;=Hta_7,0,Hta_7),IF(G94&lt;=Hta_8,0,Hta_8),IF(G94&lt;=Hta_9,0,Hta_9),IF(G94&lt;=Hta_10,0,Hta_10),IF(G94&lt;=Hta_11,0,Hta_11),IF(G94&lt;=Hta_12,0,Hta_12),IF(G94&lt;=Hta_13,0,Hta_13),IF(G94&lt;=Hta_14,0,Hta_14),IF(G94&lt;=Hta_15,0,Hta_15),IF(G94&lt;=Hta_16,0,Hta_16),IF(G94&lt;=Hta_17,0,Hta_17),IF(G94&lt;=Hta_18,0,Hta_18),IF(G94&lt;=Hta_19,0,Hta_19),IF(G94&lt;=Hta_20,0,Hta_20),IF(G94&lt;=Hta_21,0,Hta_21),IF(G94&lt;=Hta_22,0,Hta_22),IF(G94&lt;=Hta_23,0,Hta_23),IF(G94&lt;=Hta_24,0,Hta_24),IF(G94&lt;=Hta_25,0,Hta_25),IF(G94&lt;=Hta_26,0,Hta_26),IF(G94&lt;=Hta_27,0,Hta_27),IF(G94&lt;=Hta_28,0,Hta_28),IF(G94&lt;=Hta_29,0,Hta_29),IF(G94&lt;=Hta_30,0,Hta_30)),MAX(IF(G94&lt;=Hta_1-0.25,0,Hta_1-0.25),IF(G94&lt;=Hta_2-0.25,0,Hta_2-0.25),IF(G94&lt;=Hta_3-0.25,0,Hta_3-0.25),IF(G94&lt;=Hta_4-0.25,0,Hta_4-0.25),IF(G94&lt;=Hta_5-0.25,0,Hta_5-0.25),IF(G94&lt;=Hta_6-0.25,0,Hta_6-0.25),IF(G94&lt;=Hta_7-0.25,0,Hta_7-0.25),IF(G94&lt;=Hta_8-0.25,0,Hta_8-0.25),IF(G94&lt;=Hta_9-0.25,0,Hta_9-0.25),IF(G94&lt;=Hta_10-0.25,0,Hta_10-0.25),IF(G94&lt;=Hta_11-0.25,0,Hta_11-0.25),IF(G94&lt;=Hta_12-0.25,0,Hta_12-0.25),IF(G94&lt;=Hta_13-0.25,0,Hta_13-0.25),IF(G94&lt;=Hta_14-0.25,0,Hta_14-0.25),IF(G94&lt;=Hta_15-0.25,0,Hta_15-0.25),IF(G94&lt;=Hta_16-0.25,0,Hta_16-0.25),IF(G94&lt;=Hta_17-0.25,0,Hta_17-0.25),IF(G94&lt;=Hta_18-0.25,0,Hta_18-0.25),IF(G94&lt;=Hta_19-0.25,0,Hta_19-0.25),IF(G94&lt;=Hta_20-0.25,0,Hta_20-0.25),IF(G94&lt;=Hta_21-0.25,0,Hta_21-0.25),IF(G94&lt;=Hta_22-0.25,0,Hta_22-0.25),IF(G94&lt;=Hta_23-0.25,0,Hta_23-0.25),IF(G94&lt;=Hta_24-0.25,0,Hta_24-0.25),IF(G94&lt;=Hta_25-0.25,0,Hta_25-0.25),IF(G94&lt;=Hta_26-0.25,0,Hta_26-0.25),IF(G94&lt;=Hta_27-0.25,0,Hta_27-0.25),IF(G94&lt;=Hta_28-0.25,0,Hta_28-0.25),IF(G94&lt;=Hta_29-0.25,0,Hta_29-0.25),IF(G94&lt;=Hta_30-0.25,0,Hta_30-0.25)),MAX(IF(G94&lt;=Hba_1,0,Hba_1),IF(G94&lt;=Hba_2,0,Hba_2),IF(G94&lt;=Hba_3,0,Hba_3),IF(G94&lt;=Hba_4,0,Hba_4),IF(G94&lt;=Hba_5,0,Hba_5),IF(G94&lt;=Hba_6,0,Hba_6),IF(G94&lt;=Hba_7,0,Hba_7),IF(G94&lt;=Hba_8,0,Hba_8),IF(G94&lt;=Hba_9,0,Hba_9),IF(G94&lt;=Hba_10,0,Hba_10),IF(G94&lt;=Hba_11,0,Hba_11),IF(G94&lt;=Hba_12,0,Hba_12),IF(G94&lt;=Hba_13,0,Hba_13),IF(G94&lt;=Hba_14,0,Hba_14),IF(G94&lt;=Hba_15,0,Hba_15),IF(G94&lt;=Hba_16,0,Hba_16),IF(G94&lt;=Hba_17,0,Hba_17),IF(G94&lt;=Hba_18,0,Hba_18),IF(G94&lt;=Hba_19,0,Hba_19),IF(G94&lt;=Hba_20,0,Hba_20),IF(G94&lt;=Hba_21,0,Hba_21),IF(G94&lt;=Hba_22,0,Hba_22),IF(G94&lt;=Hba_23,0,Hba_23),IF(G94&lt;=Hba_24,0,Hba_24),IF(G94&lt;=Hba_25,0,Hba_25),IF(G94&lt;=Hba_26,0,Hba_26),IF(G94&lt;=Hba_27,0,Hba_27),IF(G94&lt;=Hba_28,0,Hba_28),IF(G94&lt;=Hba_29,0,Hba_29),IF(G94&lt;=Hba_30,0,Hba_30)),MAX(IF(G94&lt;=Input!$C$8,0,Input!$C$8),IF(G94&lt;=Input!$C$9,0,Input!$C$9),IF(G94&lt;=Input!$C$10,0,Input!$C$10),IF(G94&lt;=Input!$C$11,0,Input!$C$11),IF(G94&lt;=Input!$C$12,0,Input!$C$12),IF(G94&lt;=Input!$C$13,0,Input!$C$13),IF(G94&lt;=Input!$C$14,0,Input!$C$14),IF(G94&lt;=Input!$C$15,0,Input!$C$15),IF(G94&lt;=Input!$C$16,0,Input!$C$16)),MAX(IF(G94&lt;=Hba_1-0.25,0,Hba_1-0.25),IF(G94&lt;=Hba_2-0.25,0,Hba_2-0.25),IF(G94&lt;=Hba_3-0.25,0,Hba_3-0.25),IF(G94&lt;=Hba_4-0.25,0,Hba_4-0.25),IF(G94&lt;=Hba_5-0.25,0,Hba_5-0.25),IF(G94&lt;=Hba_6-0.25,0,Hba_6-0.25),IF(G94&lt;=Hba_7-0.25,0,Hba_7-0.25),IF(G94&lt;=Hba_8-0.25,0,Hba_8-0.25),IF(G94&lt;=Hba_9-0.25,0,Hba_9-0.25),IF(G94&lt;=Hba_10-0.25,0,Hba_10-0.25),IF(G94&lt;=Hba_11-0.25,0,Hba_11-0.25),IF(G94&lt;=Hba_12-0.25,0,Hba_12-0.25),IF(G94&lt;=Hba_13-0.25,0,Hba_13-0.25),IF(G94&lt;=Hba_14-0.25,0,Hba_14-0.25),IF(G94&lt;=Hba_15-0.25,0,Hba_15-0.25),IF(G94&lt;=Hba_16-0.25,0,Hba_16-0.25),IF(G94&lt;=Hba_17-0.25,0,Hba_17-0.25),IF(G94&lt;=Hba_18-0.25,0,Hba_18-0.25),IF(G94&lt;=Hba_19-0.25,0,Hba_19-0.25),IF(G94&lt;=Hba_20-0.25,0,Hba_20-0.25),IF(G94&lt;=Hba_21-0.25,0,Hba_21-0.25),IF(G94&lt;=Hba_22-0.25,0,Hba_22-0.25),IF(G94&lt;=Hba_23-0.25,0,Hba_23-0.25),IF(G94&lt;=Hba_24-0.25,0,Hba_24-0.25),IF(G94&lt;=Hba_25-0.25,0,Hba_25-0.25),IF(G94&lt;=Hba_26-0.25,0,Hba_26-0.25),IF(G94&lt;=Hba_27-0.25,0,Hba_27-0.25),IF(G94&lt;=Hba_28-0.25,0,Hba_28-0.25),IF(G94&lt;=Hba_29-0.25,0,Hba_29-0.25),IF(G94&lt;=Hba_30-0.25,0,Hba_30-0.25)),IF(G94&lt;='Macro References'!$A$38,0,'Macro References'!$A$38)))</f>
        <v/>
      </c>
      <c r="H95" s="769"/>
      <c r="I95" s="228"/>
      <c r="J95" s="228"/>
      <c r="K95" s="228"/>
      <c r="L95" s="717" t="str">
        <f t="shared" si="11"/>
        <v/>
      </c>
      <c r="M95" s="717"/>
      <c r="N95" s="717"/>
      <c r="O95" s="717"/>
      <c r="P95" s="717" t="str">
        <f>IF(OR(G95=0,G95=""),"",IF(VLOOKUP(G95,'Geometry 2'!$C$4:$AI$14,1,TRUE)=VLOOKUP(G96,'Geometry 2'!$C$4:$AI$14,1,TRUE),"",IF(VLOOKUP(G95,'Geometry 2'!$C$4:$AI$14,33,TRUE)&lt;&gt;"n/a",MIN(G95,VLOOKUP(G95,'Geometry 2'!$C$4:$AI$14,1,TRUE))-VLOOKUP(G95,'Geometry 2'!$C$4:$AI$14,33,TRUE),"check")))</f>
        <v/>
      </c>
      <c r="Q95" s="717"/>
      <c r="R95" s="717"/>
      <c r="S95" s="717"/>
      <c r="T95" s="717" t="str">
        <f>IF($G95="","",VLOOKUP($G95,'Geometry 2'!$E$4:$AH$14,11,TRUE))</f>
        <v/>
      </c>
      <c r="U95" s="717"/>
      <c r="V95" s="717"/>
      <c r="W95" s="717"/>
      <c r="X95" s="716" t="str">
        <f>IF($G95="","",VLOOKUP($G95,'Geometry 2'!$E$4:$AJ$14,19,TRUE)-12*VLOOKUP($G95,'Geometry 2'!$E$4:$AJ$14,32,TRUE)*($D95-VLOOKUP($G95,'Geometry 2'!$E$5:$AH$14,1,TRUE)))</f>
        <v/>
      </c>
      <c r="Y95" s="716"/>
      <c r="Z95" s="716"/>
      <c r="AA95" s="716"/>
      <c r="AB95" s="757" t="str">
        <f>IF($G95="","",VLOOKUP($G95,'Geometry 2'!$E$4:$AJ$14,19,TRUE)-12*VLOOKUP($G95,'Geometry 2'!$E$4:$AJ$14,32,TRUE)*($G95-VLOOKUP($G95,'Geometry 2'!$E$5:$AH$14,1,TRUE)))</f>
        <v/>
      </c>
      <c r="AC95" s="758"/>
      <c r="AD95" s="758"/>
      <c r="AE95" s="759"/>
      <c r="AF95" s="716" t="str">
        <f>IF($G95="","",VLOOKUP($G95,'Geometry 2'!$E$4:$AJ$14,19,TRUE)-12*VLOOKUP($G95,'Geometry 2'!$E$4:$AJ$14,32,TRUE)*($G95-IF($P95="",0,$P95)-VLOOKUP($G95,'Geometry 2'!$E$5:$AH$14,1,TRUE)))</f>
        <v/>
      </c>
      <c r="AG95" s="716"/>
      <c r="AH95" s="716"/>
      <c r="AI95" s="716"/>
      <c r="AJ95" s="746" t="str">
        <f>IF($G95="","",VLOOKUP($G95,'Geometry 2'!$E$4:$AH$14,23,TRUE))</f>
        <v/>
      </c>
      <c r="AK95" s="747"/>
      <c r="AL95" s="747"/>
      <c r="AM95" s="748"/>
      <c r="AN95" s="717"/>
      <c r="AO95" s="717"/>
      <c r="AP95" s="717"/>
      <c r="AQ95" s="717"/>
      <c r="AR95" s="717" t="str">
        <f>IF($G95="","",VLOOKUP($G95,'Geometry 2'!$E$4:$AH$14,27,TRUE))</f>
        <v/>
      </c>
      <c r="AS95" s="717"/>
      <c r="AT95" s="717"/>
      <c r="AU95" s="718"/>
      <c r="AV95" s="715"/>
      <c r="AW95" s="716"/>
      <c r="AX95" s="716"/>
      <c r="AZ95" s="722" t="str">
        <f t="shared" si="15"/>
        <v/>
      </c>
      <c r="BA95" s="723"/>
      <c r="BB95" s="723"/>
      <c r="BC95" s="724"/>
      <c r="BD95" s="722"/>
      <c r="BE95" s="723"/>
      <c r="BF95" s="723"/>
      <c r="BG95" s="722" t="str">
        <f t="shared" si="19"/>
        <v/>
      </c>
      <c r="BH95" s="723"/>
      <c r="BI95" s="723"/>
      <c r="BJ95" s="723"/>
      <c r="BK95" s="724"/>
      <c r="BL95" s="722"/>
      <c r="BM95" s="723"/>
      <c r="BN95" s="723"/>
      <c r="BO95" s="723"/>
      <c r="BP95" s="725"/>
      <c r="BQ95" s="725"/>
      <c r="BR95" s="722" t="str">
        <f>IF(BP95="","",IF(OR(AND(Rev="H",Calculations!$F$27=TRUE),AND(Rev&lt;&gt;"H",Calculations!$F$30=TRUE)),IF(BP95&lt;=1,"Pass","Fail"),IF(BP95&lt;=1.05,"Pass","Fail")))</f>
        <v/>
      </c>
      <c r="BS95" s="723"/>
      <c r="BT95" s="724"/>
      <c r="BU95" s="49"/>
      <c r="BV95" s="25" t="str">
        <f>IFERROR(CONCATENATE(IF(AND($G95&lt;Hta_1,$G95&gt;=Hba_1,Input!U$21&lt;&gt;""),Input!$B$21&amp;";",""),IF(AND($G95&lt;Hta_2,$G95&gt;=Hba_2,Input!U$22&lt;&gt;""),Input!$B$22&amp;";",""),IF(AND($G95&lt;Hta_3,$G95&gt;=Hba_3,Input!U$23&lt;&gt;""),Input!$B$23&amp;";",""),IF(AND($G95&lt;Hta_4,$G95&gt;=Hba_4,Input!U$24&lt;&gt;""),Input!$B$24&amp;";",""),IF(AND($G95&lt;Hta_5,$G95&gt;=Hba_5,Input!U$25&lt;&gt;""),Input!$B$25&amp;";",""),IF(AND($G95&lt;Hta_6,$G95&gt;=Hba_6,Input!U$26&lt;&gt;""),Input!$B$26&amp;";",""),IF(AND($G95&lt;Hta_7,$G95&gt;=Hba_7,Input!U$27&lt;&gt;""),Input!$B$27&amp;";",""),IF(AND($G95&lt;Hta_8,$G95&gt;=Hba_8,Input!U$28&lt;&gt;""),Input!$B$28&amp;";",""),IF(AND($G95&lt;Hta_9,$G95&gt;=Hba_9,Input!U$29&lt;&gt;""),Input!$B$29&amp;";",""),IF(AND($G95&lt;Hta_10,$G95&gt;=Hba_10,Input!U$30&lt;&gt;""),Input!$B$30&amp;";",""),IF(AND($G95&lt;Hta_11,$G95&gt;=Hba_11,Input!U$31&lt;&gt;""),Input!$B$31&amp;";",""),IF(AND($G95&lt;Hta_12,$G95&gt;=Hba_12,Input!U$32&lt;&gt;""),Input!$B$32&amp;";",""),IF(AND($G95&lt;Hta_13,$G95&gt;=Hba_13,Input!U$33&lt;&gt;""),Input!$B$33&amp;";",""),IF(AND($G95&lt;Hta_14,$G95&gt;=Hba_14,Input!U$34&lt;&gt;""),Input!$B$34&amp;";",""),IF(AND($G95&lt;Hta_15,$G95&gt;=Hba_15,Input!U$35&lt;&gt;""),Input!$B$35&amp;";",""),IF(AND($G95&lt;Hta_16,$G95&gt;=Hba_16,Input!U$36&lt;&gt;""),Input!$B$36&amp;";",""),IF(AND($G95&lt;Hta_17,$G95&gt;=Hba_17,Input!U$37&lt;&gt;""),Input!$B$37&amp;";",""),IF(AND($G95&lt;Hta_18,$G95&gt;=Hba_18,Input!U$38&lt;&gt;""),Input!$B$38&amp;";",""),IF(AND($G95&lt;Hta_19,$G95&gt;=Hba_19,Input!U$39&lt;&gt;""),Input!$B$39&amp;";",""),IF(AND($G95&lt;Hta_20,$G95&gt;=Hba_20,Input!U$40&lt;&gt;""),Input!$B$40&amp;";",""),IF(AND($G95&lt;Hta_21,$G95&gt;=Hba_21,Input!U$41&lt;&gt;""),Input!$B$41&amp;";",""),IF(AND($G95&lt;Hta_22,$G95&gt;=Hba_22,Input!U$42&lt;&gt;""),Input!$B$42&amp;";",""),IF(AND($G95&lt;Hta_23,$G95&gt;=Hba_23,Input!U$43&lt;&gt;""),Input!$B$43&amp;";",""),IF(AND($G95&lt;Hta_24,$G95&gt;=Hba_24,Input!U$44&lt;&gt;""),Input!$B$44&amp;";",""),IF(AND($G95&lt;Hta_25,$G95&gt;=Hba_25,Input!U$45&lt;&gt;""),Input!$B$45&amp;";",""),IF(AND($G95&lt;Hta_26,$G95&gt;=Hba_26,Input!U$46&lt;&gt;""),Input!$B$46&amp;";",""),IF(AND($G95&lt;Hta_27,$G95&gt;=Hba_27,Input!U$47&lt;&gt;""),Input!$B$47&amp;";",""),IF(AND($G95&lt;Hta_28,$G95&gt;=Hba_28,Input!U$48&lt;&gt;""),Input!$B$48&amp;";",""),IF(AND($G95&lt;Hta_29,$G95&gt;=Hba_29,Input!U$49&lt;&gt;""),Input!$B$49&amp;";",""),IF(AND($G95&lt;Hta_30,$G95&gt;=Hba_30,Input!U$50&lt;&gt;""),Input!$B$50&amp;";","")),"")</f>
        <v/>
      </c>
      <c r="BW95" s="25" t="str">
        <f>IFERROR(CONCATENATE(IF(AND($G95&lt;Hta_1,$G95&gt;=Hba_1,Input!V$21&lt;&gt;""),Input!$B$21&amp;";",""),IF(AND($G95&lt;Hta_2,$G95&gt;=Hba_2,Input!V$22&lt;&gt;""),Input!$B$22&amp;";",""),IF(AND($G95&lt;Hta_3,$G95&gt;=Hba_3,Input!V$23&lt;&gt;""),Input!$B$23&amp;";",""),IF(AND($G95&lt;Hta_4,$G95&gt;=Hba_4,Input!V$24&lt;&gt;""),Input!$B$24&amp;";",""),IF(AND($G95&lt;Hta_5,$G95&gt;=Hba_5,Input!V$25&lt;&gt;""),Input!$B$25&amp;";",""),IF(AND($G95&lt;Hta_6,$G95&gt;=Hba_6,Input!V$26&lt;&gt;""),Input!$B$26&amp;";",""),IF(AND($G95&lt;Hta_7,$G95&gt;=Hba_7,Input!V$27&lt;&gt;""),Input!$B$27&amp;";",""),IF(AND($G95&lt;Hta_8,$G95&gt;=Hba_8,Input!V$28&lt;&gt;""),Input!$B$28&amp;";",""),IF(AND($G95&lt;Hta_9,$G95&gt;=Hba_9,Input!V$29&lt;&gt;""),Input!$B$29&amp;";",""),IF(AND($G95&lt;Hta_10,$G95&gt;=Hba_10,Input!V$30&lt;&gt;""),Input!$B$30&amp;";",""),IF(AND($G95&lt;Hta_11,$G95&gt;=Hba_11,Input!V$31&lt;&gt;""),Input!$B$31&amp;";",""),IF(AND($G95&lt;Hta_12,$G95&gt;=Hba_12,Input!V$32&lt;&gt;""),Input!$B$32&amp;";",""),IF(AND($G95&lt;Hta_13,$G95&gt;=Hba_13,Input!V$33&lt;&gt;""),Input!$B$33&amp;";",""),IF(AND($G95&lt;Hta_14,$G95&gt;=Hba_14,Input!V$34&lt;&gt;""),Input!$B$34&amp;";",""),IF(AND($G95&lt;Hta_15,$G95&gt;=Hba_15,Input!V$35&lt;&gt;""),Input!$B$35&amp;";",""),IF(AND($G95&lt;Hta_16,$G95&gt;=Hba_16,Input!V$36&lt;&gt;""),Input!$B$36&amp;";",""),IF(AND($G95&lt;Hta_17,$G95&gt;=Hba_17,Input!V$37&lt;&gt;""),Input!$B$37&amp;";",""),IF(AND($G95&lt;Hta_18,$G95&gt;=Hba_18,Input!V$38&lt;&gt;""),Input!$B$38&amp;";",""),IF(AND($G95&lt;Hta_19,$G95&gt;=Hba_19,Input!V$39&lt;&gt;""),Input!$B$39&amp;";",""),IF(AND($G95&lt;Hta_20,$G95&gt;=Hba_20,Input!V$40&lt;&gt;""),Input!$B$40&amp;";",""),IF(AND($G95&lt;Hta_21,$G95&gt;=Hba_21,Input!V$41&lt;&gt;""),Input!$B$41&amp;";",""),IF(AND($G95&lt;Hta_22,$G95&gt;=Hba_22,Input!V$42&lt;&gt;""),Input!$B$42&amp;";",""),IF(AND($G95&lt;Hta_23,$G95&gt;=Hba_23,Input!V$43&lt;&gt;""),Input!$B$43&amp;";",""),IF(AND($G95&lt;Hta_24,$G95&gt;=Hba_24,Input!V$44&lt;&gt;""),Input!$B$44&amp;";",""),IF(AND($G95&lt;Hta_25,$G95&gt;=Hba_25,Input!V$45&lt;&gt;""),Input!$B$45&amp;";",""),IF(AND($G95&lt;Hta_26,$G95&gt;=Hba_26,Input!V$46&lt;&gt;""),Input!$B$46&amp;";",""),IF(AND($G95&lt;Hta_27,$G95&gt;=Hba_27,Input!V$47&lt;&gt;""),Input!$B$47&amp;";",""),IF(AND($G95&lt;Hta_28,$G95&gt;=Hba_28,Input!V$48&lt;&gt;""),Input!$B$48&amp;";",""),IF(AND($G95&lt;Hta_29,$G95&gt;=Hba_29,Input!V$49&lt;&gt;""),Input!$B$49&amp;";",""),IF(AND($G95&lt;Hta_30,$G95&gt;=Hba_30,Input!V$50&lt;&gt;""),Input!$B$50&amp;";","")),"")</f>
        <v/>
      </c>
      <c r="BX95" s="25" t="str">
        <f>IFERROR(CONCATENATE(IF(AND($G95&lt;Hta_1,$G95&gt;=Hba_1,Input!W$21&lt;&gt;""),Input!$B$21&amp;";",""),IF(AND($G95&lt;Hta_2,$G95&gt;=Hba_2,Input!W$22&lt;&gt;""),Input!$B$22&amp;";",""),IF(AND($G95&lt;Hta_3,$G95&gt;=Hba_3,Input!W$23&lt;&gt;""),Input!$B$23&amp;";",""),IF(AND($G95&lt;Hta_4,$G95&gt;=Hba_4,Input!W$24&lt;&gt;""),Input!$B$24&amp;";",""),IF(AND($G95&lt;Hta_5,$G95&gt;=Hba_5,Input!W$25&lt;&gt;""),Input!$B$25&amp;";",""),IF(AND($G95&lt;Hta_6,$G95&gt;=Hba_6,Input!W$26&lt;&gt;""),Input!$B$26&amp;";",""),IF(AND($G95&lt;Hta_7,$G95&gt;=Hba_7,Input!W$27&lt;&gt;""),Input!$B$27&amp;";",""),IF(AND($G95&lt;Hta_8,$G95&gt;=Hba_8,Input!W$28&lt;&gt;""),Input!$B$28&amp;";",""),IF(AND($G95&lt;Hta_9,$G95&gt;=Hba_9,Input!W$29&lt;&gt;""),Input!$B$29&amp;";",""),IF(AND($G95&lt;Hta_10,$G95&gt;=Hba_10,Input!W$30&lt;&gt;""),Input!$B$30&amp;";",""),IF(AND($G95&lt;Hta_11,$G95&gt;=Hba_11,Input!W$31&lt;&gt;""),Input!$B$31&amp;";",""),IF(AND($G95&lt;Hta_12,$G95&gt;=Hba_12,Input!W$32&lt;&gt;""),Input!$B$32&amp;";",""),IF(AND($G95&lt;Hta_13,$G95&gt;=Hba_13,Input!W$33&lt;&gt;""),Input!$B$33&amp;";",""),IF(AND($G95&lt;Hta_14,$G95&gt;=Hba_14,Input!W$34&lt;&gt;""),Input!$B$34&amp;";",""),IF(AND($G95&lt;Hta_15,$G95&gt;=Hba_15,Input!W$35&lt;&gt;""),Input!$B$35&amp;";",""),IF(AND($G95&lt;Hta_16,$G95&gt;=Hba_16,Input!W$36&lt;&gt;""),Input!$B$36&amp;";",""),IF(AND($G95&lt;Hta_17,$G95&gt;=Hba_17,Input!W$37&lt;&gt;""),Input!$B$37&amp;";",""),IF(AND($G95&lt;Hta_18,$G95&gt;=Hba_18,Input!W$38&lt;&gt;""),Input!$B$38&amp;";",""),IF(AND($G95&lt;Hta_19,$G95&gt;=Hba_19,Input!W$39&lt;&gt;""),Input!$B$39&amp;";",""),IF(AND($G95&lt;Hta_20,$G95&gt;=Hba_20,Input!W$40&lt;&gt;""),Input!$B$40&amp;";",""),IF(AND($G95&lt;Hta_21,$G95&gt;=Hba_21,Input!W$41&lt;&gt;""),Input!$B$41&amp;";",""),IF(AND($G95&lt;Hta_22,$G95&gt;=Hba_22,Input!W$42&lt;&gt;""),Input!$B$42&amp;";",""),IF(AND($G95&lt;Hta_23,$G95&gt;=Hba_23,Input!W$43&lt;&gt;""),Input!$B$43&amp;";",""),IF(AND($G95&lt;Hta_24,$G95&gt;=Hba_24,Input!W$44&lt;&gt;""),Input!$B$44&amp;";",""),IF(AND($G95&lt;Hta_25,$G95&gt;=Hba_25,Input!W$45&lt;&gt;""),Input!$B$45&amp;";",""),IF(AND($G95&lt;Hta_26,$G95&gt;=Hba_26,Input!W$46&lt;&gt;""),Input!$B$46&amp;";",""),IF(AND($G95&lt;Hta_27,$G95&gt;=Hba_27,Input!W$47&lt;&gt;""),Input!$B$47&amp;";",""),IF(AND($G95&lt;Hta_28,$G95&gt;=Hba_28,Input!W$48&lt;&gt;""),Input!$B$48&amp;";",""),IF(AND($G95&lt;Hta_29,$G95&gt;=Hba_29,Input!W$49&lt;&gt;""),Input!$B$49&amp;";",""),IF(AND($G95&lt;Hta_30,$G95&gt;=Hba_30,Input!W$50&lt;&gt;""),Input!$B$50&amp;";","")),"")</f>
        <v/>
      </c>
      <c r="BY95" s="25" t="str">
        <f>IFERROR(CONCATENATE(IF(AND($G95&lt;Hta_1,$G95&gt;=Hba_1,Input!X$21&lt;&gt;""),Input!$B$21&amp;";",""),IF(AND($G95&lt;Hta_2,$G95&gt;=Hba_2,Input!X$22&lt;&gt;""),Input!$B$22&amp;";",""),IF(AND($G95&lt;Hta_3,$G95&gt;=Hba_3,Input!X$23&lt;&gt;""),Input!$B$23&amp;";",""),IF(AND($G95&lt;Hta_4,$G95&gt;=Hba_4,Input!X$24&lt;&gt;""),Input!$B$24&amp;";",""),IF(AND($G95&lt;Hta_5,$G95&gt;=Hba_5,Input!X$25&lt;&gt;""),Input!$B$25&amp;";",""),IF(AND($G95&lt;Hta_6,$G95&gt;=Hba_6,Input!X$26&lt;&gt;""),Input!$B$26&amp;";",""),IF(AND($G95&lt;Hta_7,$G95&gt;=Hba_7,Input!X$27&lt;&gt;""),Input!$B$27&amp;";",""),IF(AND($G95&lt;Hta_8,$G95&gt;=Hba_8,Input!X$28&lt;&gt;""),Input!$B$28&amp;";",""),IF(AND($G95&lt;Hta_9,$G95&gt;=Hba_9,Input!X$29&lt;&gt;""),Input!$B$29&amp;";",""),IF(AND($G95&lt;Hta_10,$G95&gt;=Hba_10,Input!X$30&lt;&gt;""),Input!$B$30&amp;";",""),IF(AND($G95&lt;Hta_11,$G95&gt;=Hba_11,Input!X$31&lt;&gt;""),Input!$B$31&amp;";",""),IF(AND($G95&lt;Hta_12,$G95&gt;=Hba_12,Input!X$32&lt;&gt;""),Input!$B$32&amp;";",""),IF(AND($G95&lt;Hta_13,$G95&gt;=Hba_13,Input!X$33&lt;&gt;""),Input!$B$33&amp;";",""),IF(AND($G95&lt;Hta_14,$G95&gt;=Hba_14,Input!X$34&lt;&gt;""),Input!$B$34&amp;";",""),IF(AND($G95&lt;Hta_15,$G95&gt;=Hba_15,Input!X$35&lt;&gt;""),Input!$B$35&amp;";",""),IF(AND($G95&lt;Hta_16,$G95&gt;=Hba_16,Input!X$36&lt;&gt;""),Input!$B$36&amp;";",""),IF(AND($G95&lt;Hta_17,$G95&gt;=Hba_17,Input!X$37&lt;&gt;""),Input!$B$37&amp;";",""),IF(AND($G95&lt;Hta_18,$G95&gt;=Hba_18,Input!X$38&lt;&gt;""),Input!$B$38&amp;";",""),IF(AND($G95&lt;Hta_19,$G95&gt;=Hba_19,Input!X$39&lt;&gt;""),Input!$B$39&amp;";",""),IF(AND($G95&lt;Hta_20,$G95&gt;=Hba_20,Input!X$40&lt;&gt;""),Input!$B$40&amp;";",""),IF(AND($G95&lt;Hta_21,$G95&gt;=Hba_21,Input!X$41&lt;&gt;""),Input!$B$41&amp;";",""),IF(AND($G95&lt;Hta_22,$G95&gt;=Hba_22,Input!X$42&lt;&gt;""),Input!$B$42&amp;";",""),IF(AND($G95&lt;Hta_23,$G95&gt;=Hba_23,Input!X$43&lt;&gt;""),Input!$B$43&amp;";",""),IF(AND($G95&lt;Hta_24,$G95&gt;=Hba_24,Input!X$44&lt;&gt;""),Input!$B$44&amp;";",""),IF(AND($G95&lt;Hta_25,$G95&gt;=Hba_25,Input!X$45&lt;&gt;""),Input!$B$45&amp;";",""),IF(AND($G95&lt;Hta_26,$G95&gt;=Hba_26,Input!X$46&lt;&gt;""),Input!$B$46&amp;";",""),IF(AND($G95&lt;Hta_27,$G95&gt;=Hba_27,Input!X$47&lt;&gt;""),Input!$B$47&amp;";",""),IF(AND($G95&lt;Hta_28,$G95&gt;=Hba_28,Input!X$48&lt;&gt;""),Input!$B$48&amp;";",""),IF(AND($G95&lt;Hta_29,$G95&gt;=Hba_29,Input!X$49&lt;&gt;""),Input!$B$49&amp;";",""),IF(AND($G95&lt;Hta_30,$G95&gt;=Hba_30,Input!X$50&lt;&gt;""),Input!$B$50&amp;";","")),"")</f>
        <v/>
      </c>
      <c r="BZ95" s="25" t="str">
        <f>IFERROR(CONCATENATE(IF(AND($G95&lt;Hta_1,$G95&gt;=Hba_1,Input!Y$21&lt;&gt;""),Input!$B$21&amp;";",""),IF(AND($G95&lt;Hta_2,$G95&gt;=Hba_2,Input!Y$22&lt;&gt;""),Input!$B$22&amp;";",""),IF(AND($G95&lt;Hta_3,$G95&gt;=Hba_3,Input!Y$23&lt;&gt;""),Input!$B$23&amp;";",""),IF(AND($G95&lt;Hta_4,$G95&gt;=Hba_4,Input!Y$24&lt;&gt;""),Input!$B$24&amp;";",""),IF(AND($G95&lt;Hta_5,$G95&gt;=Hba_5,Input!Y$25&lt;&gt;""),Input!$B$25&amp;";",""),IF(AND($G95&lt;Hta_6,$G95&gt;=Hba_6,Input!Y$26&lt;&gt;""),Input!$B$26&amp;";",""),IF(AND($G95&lt;Hta_7,$G95&gt;=Hba_7,Input!Y$27&lt;&gt;""),Input!$B$27&amp;";",""),IF(AND($G95&lt;Hta_8,$G95&gt;=Hba_8,Input!Y$28&lt;&gt;""),Input!$B$28&amp;";",""),IF(AND($G95&lt;Hta_9,$G95&gt;=Hba_9,Input!Y$29&lt;&gt;""),Input!$B$29&amp;";",""),IF(AND($G95&lt;Hta_10,$G95&gt;=Hba_10,Input!Y$30&lt;&gt;""),Input!$B$30&amp;";",""),IF(AND($G95&lt;Hta_11,$G95&gt;=Hba_11,Input!Y$31&lt;&gt;""),Input!$B$31&amp;";",""),IF(AND($G95&lt;Hta_12,$G95&gt;=Hba_12,Input!Y$32&lt;&gt;""),Input!$B$32&amp;";",""),IF(AND($G95&lt;Hta_13,$G95&gt;=Hba_13,Input!Y$33&lt;&gt;""),Input!$B$33&amp;";",""),IF(AND($G95&lt;Hta_14,$G95&gt;=Hba_14,Input!Y$34&lt;&gt;""),Input!$B$34&amp;";",""),IF(AND($G95&lt;Hta_15,$G95&gt;=Hba_15,Input!Y$35&lt;&gt;""),Input!$B$35&amp;";",""),IF(AND($G95&lt;Hta_16,$G95&gt;=Hba_16,Input!Y$36&lt;&gt;""),Input!$B$36&amp;";",""),IF(AND($G95&lt;Hta_17,$G95&gt;=Hba_17,Input!Y$37&lt;&gt;""),Input!$B$37&amp;";",""),IF(AND($G95&lt;Hta_18,$G95&gt;=Hba_18,Input!Y$38&lt;&gt;""),Input!$B$38&amp;";",""),IF(AND($G95&lt;Hta_19,$G95&gt;=Hba_19,Input!Y$39&lt;&gt;""),Input!$B$39&amp;";",""),IF(AND($G95&lt;Hta_20,$G95&gt;=Hba_20,Input!Y$40&lt;&gt;""),Input!$B$40&amp;";",""),IF(AND($G95&lt;Hta_21,$G95&gt;=Hba_21,Input!Y$41&lt;&gt;""),Input!$B$41&amp;";",""),IF(AND($G95&lt;Hta_22,$G95&gt;=Hba_22,Input!Y$42&lt;&gt;""),Input!$B$42&amp;";",""),IF(AND($G95&lt;Hta_23,$G95&gt;=Hba_23,Input!Y$43&lt;&gt;""),Input!$B$43&amp;";",""),IF(AND($G95&lt;Hta_24,$G95&gt;=Hba_24,Input!Y$44&lt;&gt;""),Input!$B$44&amp;";",""),IF(AND($G95&lt;Hta_25,$G95&gt;=Hba_25,Input!Y$45&lt;&gt;""),Input!$B$45&amp;";",""),IF(AND($G95&lt;Hta_26,$G95&gt;=Hba_26,Input!Y$46&lt;&gt;""),Input!$B$46&amp;";",""),IF(AND($G95&lt;Hta_27,$G95&gt;=Hba_27,Input!Y$47&lt;&gt;""),Input!$B$47&amp;";",""),IF(AND($G95&lt;Hta_28,$G95&gt;=Hba_28,Input!Y$48&lt;&gt;""),Input!$B$48&amp;";",""),IF(AND($G95&lt;Hta_29,$G95&gt;=Hba_29,Input!Y$49&lt;&gt;""),Input!$B$49&amp;";",""),IF(AND($G95&lt;Hta_30,$G95&gt;=Hba_30,Input!Y$50&lt;&gt;""),Input!$B$50&amp;";","")),"")</f>
        <v/>
      </c>
      <c r="CA95" s="25" t="str">
        <f>IFERROR(CONCATENATE(IF(AND($G95&lt;Hta_1,$G95&gt;=Hba_1,Input!Z$21&lt;&gt;""),Input!$B$21&amp;";",""),IF(AND($G95&lt;Hta_2,$G95&gt;=Hba_2,Input!Z$22&lt;&gt;""),Input!$B$22&amp;";",""),IF(AND($G95&lt;Hta_3,$G95&gt;=Hba_3,Input!Z$23&lt;&gt;""),Input!$B$23&amp;";",""),IF(AND($G95&lt;Hta_4,$G95&gt;=Hba_4,Input!Z$24&lt;&gt;""),Input!$B$24&amp;";",""),IF(AND($G95&lt;Hta_5,$G95&gt;=Hba_5,Input!Z$25&lt;&gt;""),Input!$B$25&amp;";",""),IF(AND($G95&lt;Hta_6,$G95&gt;=Hba_6,Input!Z$26&lt;&gt;""),Input!$B$26&amp;";",""),IF(AND($G95&lt;Hta_7,$G95&gt;=Hba_7,Input!Z$27&lt;&gt;""),Input!$B$27&amp;";",""),IF(AND($G95&lt;Hta_8,$G95&gt;=Hba_8,Input!Z$28&lt;&gt;""),Input!$B$28&amp;";",""),IF(AND($G95&lt;Hta_9,$G95&gt;=Hba_9,Input!Z$29&lt;&gt;""),Input!$B$29&amp;";",""),IF(AND($G95&lt;Hta_10,$G95&gt;=Hba_10,Input!Z$30&lt;&gt;""),Input!$B$30&amp;";",""),IF(AND($G95&lt;Hta_11,$G95&gt;=Hba_11,Input!Z$31&lt;&gt;""),Input!$B$31&amp;";",""),IF(AND($G95&lt;Hta_12,$G95&gt;=Hba_12,Input!Z$32&lt;&gt;""),Input!$B$32&amp;";",""),IF(AND($G95&lt;Hta_13,$G95&gt;=Hba_13,Input!Z$33&lt;&gt;""),Input!$B$33&amp;";",""),IF(AND($G95&lt;Hta_14,$G95&gt;=Hba_14,Input!Z$34&lt;&gt;""),Input!$B$34&amp;";",""),IF(AND($G95&lt;Hta_15,$G95&gt;=Hba_15,Input!Z$35&lt;&gt;""),Input!$B$35&amp;";",""),IF(AND($G95&lt;Hta_16,$G95&gt;=Hba_16,Input!Z$36&lt;&gt;""),Input!$B$36&amp;";",""),IF(AND($G95&lt;Hta_17,$G95&gt;=Hba_17,Input!Z$37&lt;&gt;""),Input!$B$37&amp;";",""),IF(AND($G95&lt;Hta_18,$G95&gt;=Hba_18,Input!Z$38&lt;&gt;""),Input!$B$38&amp;";",""),IF(AND($G95&lt;Hta_19,$G95&gt;=Hba_19,Input!Z$39&lt;&gt;""),Input!$B$39&amp;";",""),IF(AND($G95&lt;Hta_20,$G95&gt;=Hba_20,Input!Z$40&lt;&gt;""),Input!$B$40&amp;";",""),IF(AND($G95&lt;Hta_21,$G95&gt;=Hba_21,Input!Z$41&lt;&gt;""),Input!$B$41&amp;";",""),IF(AND($G95&lt;Hta_22,$G95&gt;=Hba_22,Input!Z$42&lt;&gt;""),Input!$B$42&amp;";",""),IF(AND($G95&lt;Hta_23,$G95&gt;=Hba_23,Input!Z$43&lt;&gt;""),Input!$B$43&amp;";",""),IF(AND($G95&lt;Hta_24,$G95&gt;=Hba_24,Input!Z$44&lt;&gt;""),Input!$B$44&amp;";",""),IF(AND($G95&lt;Hta_25,$G95&gt;=Hba_25,Input!Z$45&lt;&gt;""),Input!$B$45&amp;";",""),IF(AND($G95&lt;Hta_26,$G95&gt;=Hba_26,Input!Z$46&lt;&gt;""),Input!$B$46&amp;";",""),IF(AND($G95&lt;Hta_27,$G95&gt;=Hba_27,Input!Z$47&lt;&gt;""),Input!$B$47&amp;";",""),IF(AND($G95&lt;Hta_28,$G95&gt;=Hba_28,Input!Z$48&lt;&gt;""),Input!$B$48&amp;";",""),IF(AND($G95&lt;Hta_29,$G95&gt;=Hba_29,Input!Z$49&lt;&gt;""),Input!$B$49&amp;";",""),IF(AND($G95&lt;Hta_30,$G95&gt;=Hba_30,Input!Z$50&lt;&gt;""),Input!$B$50&amp;";","")),"")</f>
        <v/>
      </c>
      <c r="CB95" s="25" t="str">
        <f>IFERROR(CONCATENATE(IF(AND($G95&lt;Hta_1,$G95&gt;=Hba_1,Input!AA$21&lt;&gt;""),Input!$B$21&amp;";",""),IF(AND($G95&lt;Hta_2,$G95&gt;=Hba_2,Input!AA$22&lt;&gt;""),Input!$B$22&amp;";",""),IF(AND($G95&lt;Hta_3,$G95&gt;=Hba_3,Input!AA$23&lt;&gt;""),Input!$B$23&amp;";",""),IF(AND($G95&lt;Hta_4,$G95&gt;=Hba_4,Input!AA$24&lt;&gt;""),Input!$B$24&amp;";",""),IF(AND($G95&lt;Hta_5,$G95&gt;=Hba_5,Input!AA$25&lt;&gt;""),Input!$B$25&amp;";",""),IF(AND($G95&lt;Hta_6,$G95&gt;=Hba_6,Input!AA$26&lt;&gt;""),Input!$B$26&amp;";",""),IF(AND($G95&lt;Hta_7,$G95&gt;=Hba_7,Input!AA$27&lt;&gt;""),Input!$B$27&amp;";",""),IF(AND($G95&lt;Hta_8,$G95&gt;=Hba_8,Input!AA$28&lt;&gt;""),Input!$B$28&amp;";",""),IF(AND($G95&lt;Hta_9,$G95&gt;=Hba_9,Input!AA$29&lt;&gt;""),Input!$B$29&amp;";",""),IF(AND($G95&lt;Hta_10,$G95&gt;=Hba_10,Input!AA$30&lt;&gt;""),Input!$B$30&amp;";",""),IF(AND($G95&lt;Hta_11,$G95&gt;=Hba_11,Input!AA$31&lt;&gt;""),Input!$B$31&amp;";",""),IF(AND($G95&lt;Hta_12,$G95&gt;=Hba_12,Input!AA$32&lt;&gt;""),Input!$B$32&amp;";",""),IF(AND($G95&lt;Hta_13,$G95&gt;=Hba_13,Input!AA$33&lt;&gt;""),Input!$B$33&amp;";",""),IF(AND($G95&lt;Hta_14,$G95&gt;=Hba_14,Input!AA$34&lt;&gt;""),Input!$B$34&amp;";",""),IF(AND($G95&lt;Hta_15,$G95&gt;=Hba_15,Input!AA$35&lt;&gt;""),Input!$B$35&amp;";",""),IF(AND($G95&lt;Hta_16,$G95&gt;=Hba_16,Input!AA$36&lt;&gt;""),Input!$B$36&amp;";",""),IF(AND($G95&lt;Hta_17,$G95&gt;=Hba_17,Input!AA$37&lt;&gt;""),Input!$B$37&amp;";",""),IF(AND($G95&lt;Hta_18,$G95&gt;=Hba_18,Input!AA$38&lt;&gt;""),Input!$B$38&amp;";",""),IF(AND($G95&lt;Hta_19,$G95&gt;=Hba_19,Input!AA$39&lt;&gt;""),Input!$B$39&amp;";",""),IF(AND($G95&lt;Hta_20,$G95&gt;=Hba_20,Input!AA$40&lt;&gt;""),Input!$B$40&amp;";",""),IF(AND($G95&lt;Hta_21,$G95&gt;=Hba_21,Input!AA$41&lt;&gt;""),Input!$B$41&amp;";",""),IF(AND($G95&lt;Hta_22,$G95&gt;=Hba_22,Input!AA$42&lt;&gt;""),Input!$B$42&amp;";",""),IF(AND($G95&lt;Hta_23,$G95&gt;=Hba_23,Input!AA$43&lt;&gt;""),Input!$B$43&amp;";",""),IF(AND($G95&lt;Hta_24,$G95&gt;=Hba_24,Input!AA$44&lt;&gt;""),Input!$B$44&amp;";",""),IF(AND($G95&lt;Hta_25,$G95&gt;=Hba_25,Input!AA$45&lt;&gt;""),Input!$B$45&amp;";",""),IF(AND($G95&lt;Hta_26,$G95&gt;=Hba_26,Input!AA$46&lt;&gt;""),Input!$B$46&amp;";",""),IF(AND($G95&lt;Hta_27,$G95&gt;=Hba_27,Input!AA$47&lt;&gt;""),Input!$B$47&amp;";",""),IF(AND($G95&lt;Hta_28,$G95&gt;=Hba_28,Input!AA$48&lt;&gt;""),Input!$B$48&amp;";",""),IF(AND($G95&lt;Hta_29,$G95&gt;=Hba_29,Input!AA$49&lt;&gt;""),Input!$B$49&amp;";",""),IF(AND($G95&lt;Hta_30,$G95&gt;=Hba_30,Input!AA$50&lt;&gt;""),Input!$B$50&amp;";","")),"")</f>
        <v/>
      </c>
      <c r="CC95" s="25" t="str">
        <f>IFERROR(CONCATENATE(IF(AND($G95&lt;Hta_1,$G95&gt;=Hba_1,Input!AB$21&lt;&gt;""),Input!$B$21&amp;";",""),IF(AND($G95&lt;Hta_2,$G95&gt;=Hba_2,Input!AB$22&lt;&gt;""),Input!$B$22&amp;";",""),IF(AND($G95&lt;Hta_3,$G95&gt;=Hba_3,Input!AB$23&lt;&gt;""),Input!$B$23&amp;";",""),IF(AND($G95&lt;Hta_4,$G95&gt;=Hba_4,Input!AB$24&lt;&gt;""),Input!$B$24&amp;";",""),IF(AND($G95&lt;Hta_5,$G95&gt;=Hba_5,Input!AB$25&lt;&gt;""),Input!$B$25&amp;";",""),IF(AND($G95&lt;Hta_6,$G95&gt;=Hba_6,Input!AB$26&lt;&gt;""),Input!$B$26&amp;";",""),IF(AND($G95&lt;Hta_7,$G95&gt;=Hba_7,Input!AB$27&lt;&gt;""),Input!$B$27&amp;";",""),IF(AND($G95&lt;Hta_8,$G95&gt;=Hba_8,Input!AB$28&lt;&gt;""),Input!$B$28&amp;";",""),IF(AND($G95&lt;Hta_9,$G95&gt;=Hba_9,Input!AB$29&lt;&gt;""),Input!$B$29&amp;";",""),IF(AND($G95&lt;Hta_10,$G95&gt;=Hba_10,Input!AB$30&lt;&gt;""),Input!$B$30&amp;";",""),IF(AND($G95&lt;Hta_11,$G95&gt;=Hba_11,Input!AB$31&lt;&gt;""),Input!$B$31&amp;";",""),IF(AND($G95&lt;Hta_12,$G95&gt;=Hba_12,Input!AB$32&lt;&gt;""),Input!$B$32&amp;";",""),IF(AND($G95&lt;Hta_13,$G95&gt;=Hba_13,Input!AB$33&lt;&gt;""),Input!$B$33&amp;";",""),IF(AND($G95&lt;Hta_14,$G95&gt;=Hba_14,Input!AB$34&lt;&gt;""),Input!$B$34&amp;";",""),IF(AND($G95&lt;Hta_15,$G95&gt;=Hba_15,Input!AB$35&lt;&gt;""),Input!$B$35&amp;";",""),IF(AND($G95&lt;Hta_16,$G95&gt;=Hba_16,Input!AB$36&lt;&gt;""),Input!$B$36&amp;";",""),IF(AND($G95&lt;Hta_17,$G95&gt;=Hba_17,Input!AB$37&lt;&gt;""),Input!$B$37&amp;";",""),IF(AND($G95&lt;Hta_18,$G95&gt;=Hba_18,Input!AB$38&lt;&gt;""),Input!$B$38&amp;";",""),IF(AND($G95&lt;Hta_19,$G95&gt;=Hba_19,Input!AB$39&lt;&gt;""),Input!$B$39&amp;";",""),IF(AND($G95&lt;Hta_20,$G95&gt;=Hba_20,Input!AB$40&lt;&gt;""),Input!$B$40&amp;";",""),IF(AND($G95&lt;Hta_21,$G95&gt;=Hba_21,Input!AB$41&lt;&gt;""),Input!$B$41&amp;";",""),IF(AND($G95&lt;Hta_22,$G95&gt;=Hba_22,Input!AB$42&lt;&gt;""),Input!$B$42&amp;";",""),IF(AND($G95&lt;Hta_23,$G95&gt;=Hba_23,Input!AB$43&lt;&gt;""),Input!$B$43&amp;";",""),IF(AND($G95&lt;Hta_24,$G95&gt;=Hba_24,Input!AB$44&lt;&gt;""),Input!$B$44&amp;";",""),IF(AND($G95&lt;Hta_25,$G95&gt;=Hba_25,Input!AB$45&lt;&gt;""),Input!$B$45&amp;";",""),IF(AND($G95&lt;Hta_26,$G95&gt;=Hba_26,Input!AB$46&lt;&gt;""),Input!$B$46&amp;";",""),IF(AND($G95&lt;Hta_27,$G95&gt;=Hba_27,Input!AB$47&lt;&gt;""),Input!$B$47&amp;";",""),IF(AND($G95&lt;Hta_28,$G95&gt;=Hba_28,Input!AB$48&lt;&gt;""),Input!$B$48&amp;";",""),IF(AND($G95&lt;Hta_29,$G95&gt;=Hba_29,Input!AB$49&lt;&gt;""),Input!$B$49&amp;";",""),IF(AND($G95&lt;Hta_30,$G95&gt;=Hba_30,Input!AB$50&lt;&gt;""),Input!$B$50&amp;";","")),"")</f>
        <v/>
      </c>
      <c r="CD95" s="25" t="str">
        <f>IFERROR(CONCATENATE(IF(AND($G95&lt;Hta_1,$G95&gt;=Hba_1,Input!AC$21&lt;&gt;""),Input!$B$21&amp;";",""),IF(AND($G95&lt;Hta_2,$G95&gt;=Hba_2,Input!AC$22&lt;&gt;""),Input!$B$22&amp;";",""),IF(AND($G95&lt;Hta_3,$G95&gt;=Hba_3,Input!AC$23&lt;&gt;""),Input!$B$23&amp;";",""),IF(AND($G95&lt;Hta_4,$G95&gt;=Hba_4,Input!AC$24&lt;&gt;""),Input!$B$24&amp;";",""),IF(AND($G95&lt;Hta_5,$G95&gt;=Hba_5,Input!AC$25&lt;&gt;""),Input!$B$25&amp;";",""),IF(AND($G95&lt;Hta_6,$G95&gt;=Hba_6,Input!AC$26&lt;&gt;""),Input!$B$26&amp;";",""),IF(AND($G95&lt;Hta_7,$G95&gt;=Hba_7,Input!AC$27&lt;&gt;""),Input!$B$27&amp;";",""),IF(AND($G95&lt;Hta_8,$G95&gt;=Hba_8,Input!AC$28&lt;&gt;""),Input!$B$28&amp;";",""),IF(AND($G95&lt;Hta_9,$G95&gt;=Hba_9,Input!AC$29&lt;&gt;""),Input!$B$29&amp;";",""),IF(AND($G95&lt;Hta_10,$G95&gt;=Hba_10,Input!AC$30&lt;&gt;""),Input!$B$30&amp;";",""),IF(AND($G95&lt;Hta_11,$G95&gt;=Hba_11,Input!AC$31&lt;&gt;""),Input!$B$31&amp;";",""),IF(AND($G95&lt;Hta_12,$G95&gt;=Hba_12,Input!AC$32&lt;&gt;""),Input!$B$32&amp;";",""),IF(AND($G95&lt;Hta_13,$G95&gt;=Hba_13,Input!AC$33&lt;&gt;""),Input!$B$33&amp;";",""),IF(AND($G95&lt;Hta_14,$G95&gt;=Hba_14,Input!AC$34&lt;&gt;""),Input!$B$34&amp;";",""),IF(AND($G95&lt;Hta_15,$G95&gt;=Hba_15,Input!AC$35&lt;&gt;""),Input!$B$35&amp;";",""),IF(AND($G95&lt;Hta_16,$G95&gt;=Hba_16,Input!AC$36&lt;&gt;""),Input!$B$36&amp;";",""),IF(AND($G95&lt;Hta_17,$G95&gt;=Hba_17,Input!AC$37&lt;&gt;""),Input!$B$37&amp;";",""),IF(AND($G95&lt;Hta_18,$G95&gt;=Hba_18,Input!AC$38&lt;&gt;""),Input!$B$38&amp;";",""),IF(AND($G95&lt;Hta_19,$G95&gt;=Hba_19,Input!AC$39&lt;&gt;""),Input!$B$39&amp;";",""),IF(AND($G95&lt;Hta_20,$G95&gt;=Hba_20,Input!AC$40&lt;&gt;""),Input!$B$40&amp;";",""),IF(AND($G95&lt;Hta_21,$G95&gt;=Hba_21,Input!AC$41&lt;&gt;""),Input!$B$41&amp;";",""),IF(AND($G95&lt;Hta_22,$G95&gt;=Hba_22,Input!AC$42&lt;&gt;""),Input!$B$42&amp;";",""),IF(AND($G95&lt;Hta_23,$G95&gt;=Hba_23,Input!AC$43&lt;&gt;""),Input!$B$43&amp;";",""),IF(AND($G95&lt;Hta_24,$G95&gt;=Hba_24,Input!AC$44&lt;&gt;""),Input!$B$44&amp;";",""),IF(AND($G95&lt;Hta_25,$G95&gt;=Hba_25,Input!AC$45&lt;&gt;""),Input!$B$45&amp;";",""),IF(AND($G95&lt;Hta_26,$G95&gt;=Hba_26,Input!AC$46&lt;&gt;""),Input!$B$46&amp;";",""),IF(AND($G95&lt;Hta_27,$G95&gt;=Hba_27,Input!AC$47&lt;&gt;""),Input!$B$47&amp;";",""),IF(AND($G95&lt;Hta_28,$G95&gt;=Hba_28,Input!AC$48&lt;&gt;""),Input!$B$48&amp;";",""),IF(AND($G95&lt;Hta_29,$G95&gt;=Hba_29,Input!AC$49&lt;&gt;""),Input!$B$49&amp;";",""),IF(AND($G95&lt;Hta_30,$G95&gt;=Hba_30,Input!AC$50&lt;&gt;""),Input!$B$50&amp;";","")),"")</f>
        <v/>
      </c>
      <c r="CE95" s="25" t="str">
        <f>IFERROR(CONCATENATE(IF(AND($G95&lt;Hta_1,$G95&gt;=Hba_1,Input!AD$21&lt;&gt;""),Input!$B$21&amp;";",""),IF(AND($G95&lt;Hta_2,$G95&gt;=Hba_2,Input!AD$22&lt;&gt;""),Input!$B$22&amp;";",""),IF(AND($G95&lt;Hta_3,$G95&gt;=Hba_3,Input!AD$23&lt;&gt;""),Input!$B$23&amp;";",""),IF(AND($G95&lt;Hta_4,$G95&gt;=Hba_4,Input!AD$24&lt;&gt;""),Input!$B$24&amp;";",""),IF(AND($G95&lt;Hta_5,$G95&gt;=Hba_5,Input!AD$25&lt;&gt;""),Input!$B$25&amp;";",""),IF(AND($G95&lt;Hta_6,$G95&gt;=Hba_6,Input!AD$26&lt;&gt;""),Input!$B$26&amp;";",""),IF(AND($G95&lt;Hta_7,$G95&gt;=Hba_7,Input!AD$27&lt;&gt;""),Input!$B$27&amp;";",""),IF(AND($G95&lt;Hta_8,$G95&gt;=Hba_8,Input!AD$28&lt;&gt;""),Input!$B$28&amp;";",""),IF(AND($G95&lt;Hta_9,$G95&gt;=Hba_9,Input!AD$29&lt;&gt;""),Input!$B$29&amp;";",""),IF(AND($G95&lt;Hta_10,$G95&gt;=Hba_10,Input!AD$30&lt;&gt;""),Input!$B$30&amp;";",""),IF(AND($G95&lt;Hta_11,$G95&gt;=Hba_11,Input!AD$31&lt;&gt;""),Input!$B$31&amp;";",""),IF(AND($G95&lt;Hta_12,$G95&gt;=Hba_12,Input!AD$32&lt;&gt;""),Input!$B$32&amp;";",""),IF(AND($G95&lt;Hta_13,$G95&gt;=Hba_13,Input!AD$33&lt;&gt;""),Input!$B$33&amp;";",""),IF(AND($G95&lt;Hta_14,$G95&gt;=Hba_14,Input!AD$34&lt;&gt;""),Input!$B$34&amp;";",""),IF(AND($G95&lt;Hta_15,$G95&gt;=Hba_15,Input!AD$35&lt;&gt;""),Input!$B$35&amp;";",""),IF(AND($G95&lt;Hta_16,$G95&gt;=Hba_16,Input!AD$36&lt;&gt;""),Input!$B$36&amp;";",""),IF(AND($G95&lt;Hta_17,$G95&gt;=Hba_17,Input!AD$37&lt;&gt;""),Input!$B$37&amp;";",""),IF(AND($G95&lt;Hta_18,$G95&gt;=Hba_18,Input!AD$38&lt;&gt;""),Input!$B$38&amp;";",""),IF(AND($G95&lt;Hta_19,$G95&gt;=Hba_19,Input!AD$39&lt;&gt;""),Input!$B$39&amp;";",""),IF(AND($G95&lt;Hta_20,$G95&gt;=Hba_20,Input!AD$40&lt;&gt;""),Input!$B$40&amp;";",""),IF(AND($G95&lt;Hta_21,$G95&gt;=Hba_21,Input!AD$41&lt;&gt;""),Input!$B$41&amp;";",""),IF(AND($G95&lt;Hta_22,$G95&gt;=Hba_22,Input!AD$42&lt;&gt;""),Input!$B$42&amp;";",""),IF(AND($G95&lt;Hta_23,$G95&gt;=Hba_23,Input!AD$43&lt;&gt;""),Input!$B$43&amp;";",""),IF(AND($G95&lt;Hta_24,$G95&gt;=Hba_24,Input!AD$44&lt;&gt;""),Input!$B$44&amp;";",""),IF(AND($G95&lt;Hta_25,$G95&gt;=Hba_25,Input!AD$45&lt;&gt;""),Input!$B$45&amp;";",""),IF(AND($G95&lt;Hta_26,$G95&gt;=Hba_26,Input!AD$46&lt;&gt;""),Input!$B$46&amp;";",""),IF(AND($G95&lt;Hta_27,$G95&gt;=Hba_27,Input!AD$47&lt;&gt;""),Input!$B$47&amp;";",""),IF(AND($G95&lt;Hta_28,$G95&gt;=Hba_28,Input!AD$48&lt;&gt;""),Input!$B$48&amp;";",""),IF(AND($G95&lt;Hta_29,$G95&gt;=Hba_29,Input!AD$49&lt;&gt;""),Input!$B$49&amp;";",""),IF(AND($G95&lt;Hta_30,$G95&gt;=Hba_30,Input!AD$50&lt;&gt;""),Input!$B$50&amp;";","")),"")</f>
        <v/>
      </c>
      <c r="CF95" s="25" t="str">
        <f>IFERROR(CONCATENATE(IF(AND($G95&lt;Hta_1,$G95&gt;=Hba_1,Input!AE$21&lt;&gt;""),Input!$B$21&amp;";",""),IF(AND($G95&lt;Hta_2,$G95&gt;=Hba_2,Input!AE$22&lt;&gt;""),Input!$B$22&amp;";",""),IF(AND($G95&lt;Hta_3,$G95&gt;=Hba_3,Input!AE$23&lt;&gt;""),Input!$B$23&amp;";",""),IF(AND($G95&lt;Hta_4,$G95&gt;=Hba_4,Input!AE$24&lt;&gt;""),Input!$B$24&amp;";",""),IF(AND($G95&lt;Hta_5,$G95&gt;=Hba_5,Input!AE$25&lt;&gt;""),Input!$B$25&amp;";",""),IF(AND($G95&lt;Hta_6,$G95&gt;=Hba_6,Input!AE$26&lt;&gt;""),Input!$B$26&amp;";",""),IF(AND($G95&lt;Hta_7,$G95&gt;=Hba_7,Input!AE$27&lt;&gt;""),Input!$B$27&amp;";",""),IF(AND($G95&lt;Hta_8,$G95&gt;=Hba_8,Input!AE$28&lt;&gt;""),Input!$B$28&amp;";",""),IF(AND($G95&lt;Hta_9,$G95&gt;=Hba_9,Input!AE$29&lt;&gt;""),Input!$B$29&amp;";",""),IF(AND($G95&lt;Hta_10,$G95&gt;=Hba_10,Input!AE$30&lt;&gt;""),Input!$B$30&amp;";",""),IF(AND($G95&lt;Hta_11,$G95&gt;=Hba_11,Input!AE$31&lt;&gt;""),Input!$B$31&amp;";",""),IF(AND($G95&lt;Hta_12,$G95&gt;=Hba_12,Input!AE$32&lt;&gt;""),Input!$B$32&amp;";",""),IF(AND($G95&lt;Hta_13,$G95&gt;=Hba_13,Input!AE$33&lt;&gt;""),Input!$B$33&amp;";",""),IF(AND($G95&lt;Hta_14,$G95&gt;=Hba_14,Input!AE$34&lt;&gt;""),Input!$B$34&amp;";",""),IF(AND($G95&lt;Hta_15,$G95&gt;=Hba_15,Input!AE$35&lt;&gt;""),Input!$B$35&amp;";",""),IF(AND($G95&lt;Hta_16,$G95&gt;=Hba_16,Input!AE$36&lt;&gt;""),Input!$B$36&amp;";",""),IF(AND($G95&lt;Hta_17,$G95&gt;=Hba_17,Input!AE$37&lt;&gt;""),Input!$B$37&amp;";",""),IF(AND($G95&lt;Hta_18,$G95&gt;=Hba_18,Input!AE$38&lt;&gt;""),Input!$B$38&amp;";",""),IF(AND($G95&lt;Hta_19,$G95&gt;=Hba_19,Input!AE$39&lt;&gt;""),Input!$B$39&amp;";",""),IF(AND($G95&lt;Hta_20,$G95&gt;=Hba_20,Input!AE$40&lt;&gt;""),Input!$B$40&amp;";",""),IF(AND($G95&lt;Hta_21,$G95&gt;=Hba_21,Input!AE$41&lt;&gt;""),Input!$B$41&amp;";",""),IF(AND($G95&lt;Hta_22,$G95&gt;=Hba_22,Input!AE$42&lt;&gt;""),Input!$B$42&amp;";",""),IF(AND($G95&lt;Hta_23,$G95&gt;=Hba_23,Input!AE$43&lt;&gt;""),Input!$B$43&amp;";",""),IF(AND($G95&lt;Hta_24,$G95&gt;=Hba_24,Input!AE$44&lt;&gt;""),Input!$B$44&amp;";",""),IF(AND($G95&lt;Hta_25,$G95&gt;=Hba_25,Input!AE$45&lt;&gt;""),Input!$B$45&amp;";",""),IF(AND($G95&lt;Hta_26,$G95&gt;=Hba_26,Input!AE$46&lt;&gt;""),Input!$B$46&amp;";",""),IF(AND($G95&lt;Hta_27,$G95&gt;=Hba_27,Input!AE$47&lt;&gt;""),Input!$B$47&amp;";",""),IF(AND($G95&lt;Hta_28,$G95&gt;=Hba_28,Input!AE$48&lt;&gt;""),Input!$B$48&amp;";",""),IF(AND($G95&lt;Hta_29,$G95&gt;=Hba_29,Input!AE$49&lt;&gt;""),Input!$B$49&amp;";",""),IF(AND($G95&lt;Hta_30,$G95&gt;=Hba_30,Input!AE$50&lt;&gt;""),Input!$B$50&amp;";","")),"")</f>
        <v/>
      </c>
      <c r="CG95" s="25" t="str">
        <f>IFERROR(CONCATENATE(IF(AND($G95&lt;Hta_1,$G95&gt;=Hba_1,Input!AF$21&lt;&gt;""),Input!$B$21&amp;";",""),IF(AND($G95&lt;Hta_2,$G95&gt;=Hba_2,Input!AF$22&lt;&gt;""),Input!$B$22&amp;";",""),IF(AND($G95&lt;Hta_3,$G95&gt;=Hba_3,Input!AF$23&lt;&gt;""),Input!$B$23&amp;";",""),IF(AND($G95&lt;Hta_4,$G95&gt;=Hba_4,Input!AF$24&lt;&gt;""),Input!$B$24&amp;";",""),IF(AND($G95&lt;Hta_5,$G95&gt;=Hba_5,Input!AF$25&lt;&gt;""),Input!$B$25&amp;";",""),IF(AND($G95&lt;Hta_6,$G95&gt;=Hba_6,Input!AF$26&lt;&gt;""),Input!$B$26&amp;";",""),IF(AND($G95&lt;Hta_7,$G95&gt;=Hba_7,Input!AF$27&lt;&gt;""),Input!$B$27&amp;";",""),IF(AND($G95&lt;Hta_8,$G95&gt;=Hba_8,Input!AF$28&lt;&gt;""),Input!$B$28&amp;";",""),IF(AND($G95&lt;Hta_9,$G95&gt;=Hba_9,Input!AF$29&lt;&gt;""),Input!$B$29&amp;";",""),IF(AND($G95&lt;Hta_10,$G95&gt;=Hba_10,Input!AF$30&lt;&gt;""),Input!$B$30&amp;";",""),IF(AND($G95&lt;Hta_11,$G95&gt;=Hba_11,Input!AF$31&lt;&gt;""),Input!$B$31&amp;";",""),IF(AND($G95&lt;Hta_12,$G95&gt;=Hba_12,Input!AF$32&lt;&gt;""),Input!$B$32&amp;";",""),IF(AND($G95&lt;Hta_13,$G95&gt;=Hba_13,Input!AF$33&lt;&gt;""),Input!$B$33&amp;";",""),IF(AND($G95&lt;Hta_14,$G95&gt;=Hba_14,Input!AF$34&lt;&gt;""),Input!$B$34&amp;";",""),IF(AND($G95&lt;Hta_15,$G95&gt;=Hba_15,Input!AF$35&lt;&gt;""),Input!$B$35&amp;";",""),IF(AND($G95&lt;Hta_16,$G95&gt;=Hba_16,Input!AF$36&lt;&gt;""),Input!$B$36&amp;";",""),IF(AND($G95&lt;Hta_17,$G95&gt;=Hba_17,Input!AF$37&lt;&gt;""),Input!$B$37&amp;";",""),IF(AND($G95&lt;Hta_18,$G95&gt;=Hba_18,Input!AF$38&lt;&gt;""),Input!$B$38&amp;";",""),IF(AND($G95&lt;Hta_19,$G95&gt;=Hba_19,Input!AF$39&lt;&gt;""),Input!$B$39&amp;";",""),IF(AND($G95&lt;Hta_20,$G95&gt;=Hba_20,Input!AF$40&lt;&gt;""),Input!$B$40&amp;";",""),IF(AND($G95&lt;Hta_21,$G95&gt;=Hba_21,Input!AF$41&lt;&gt;""),Input!$B$41&amp;";",""),IF(AND($G95&lt;Hta_22,$G95&gt;=Hba_22,Input!AF$42&lt;&gt;""),Input!$B$42&amp;";",""),IF(AND($G95&lt;Hta_23,$G95&gt;=Hba_23,Input!AF$43&lt;&gt;""),Input!$B$43&amp;";",""),IF(AND($G95&lt;Hta_24,$G95&gt;=Hba_24,Input!AF$44&lt;&gt;""),Input!$B$44&amp;";",""),IF(AND($G95&lt;Hta_25,$G95&gt;=Hba_25,Input!AF$45&lt;&gt;""),Input!$B$45&amp;";",""),IF(AND($G95&lt;Hta_26,$G95&gt;=Hba_26,Input!AF$46&lt;&gt;""),Input!$B$46&amp;";",""),IF(AND($G95&lt;Hta_27,$G95&gt;=Hba_27,Input!AF$47&lt;&gt;""),Input!$B$47&amp;";",""),IF(AND($G95&lt;Hta_28,$G95&gt;=Hba_28,Input!AF$48&lt;&gt;""),Input!$B$48&amp;";",""),IF(AND($G95&lt;Hta_29,$G95&gt;=Hba_29,Input!AF$49&lt;&gt;""),Input!$B$49&amp;";",""),IF(AND($G95&lt;Hta_30,$G95&gt;=Hba_30,Input!AF$50&lt;&gt;""),Input!$B$50&amp;";","")),"")</f>
        <v/>
      </c>
      <c r="CH95" s="25" t="str">
        <f>IFERROR(CONCATENATE(IF(AND($G95&lt;Hta_1,$G95&gt;=Hba_1,Input!AG$21&lt;&gt;""),Input!$B$21&amp;";",""),IF(AND($G95&lt;Hta_2,$G95&gt;=Hba_2,Input!AG$22&lt;&gt;""),Input!$B$22&amp;";",""),IF(AND($G95&lt;Hta_3,$G95&gt;=Hba_3,Input!AG$23&lt;&gt;""),Input!$B$23&amp;";",""),IF(AND($G95&lt;Hta_4,$G95&gt;=Hba_4,Input!AG$24&lt;&gt;""),Input!$B$24&amp;";",""),IF(AND($G95&lt;Hta_5,$G95&gt;=Hba_5,Input!AG$25&lt;&gt;""),Input!$B$25&amp;";",""),IF(AND($G95&lt;Hta_6,$G95&gt;=Hba_6,Input!AG$26&lt;&gt;""),Input!$B$26&amp;";",""),IF(AND($G95&lt;Hta_7,$G95&gt;=Hba_7,Input!AG$27&lt;&gt;""),Input!$B$27&amp;";",""),IF(AND($G95&lt;Hta_8,$G95&gt;=Hba_8,Input!AG$28&lt;&gt;""),Input!$B$28&amp;";",""),IF(AND($G95&lt;Hta_9,$G95&gt;=Hba_9,Input!AG$29&lt;&gt;""),Input!$B$29&amp;";",""),IF(AND($G95&lt;Hta_10,$G95&gt;=Hba_10,Input!AG$30&lt;&gt;""),Input!$B$30&amp;";",""),IF(AND($G95&lt;Hta_11,$G95&gt;=Hba_11,Input!AG$31&lt;&gt;""),Input!$B$31&amp;";",""),IF(AND($G95&lt;Hta_12,$G95&gt;=Hba_12,Input!AG$32&lt;&gt;""),Input!$B$32&amp;";",""),IF(AND($G95&lt;Hta_13,$G95&gt;=Hba_13,Input!AG$33&lt;&gt;""),Input!$B$33&amp;";",""),IF(AND($G95&lt;Hta_14,$G95&gt;=Hba_14,Input!AG$34&lt;&gt;""),Input!$B$34&amp;";",""),IF(AND($G95&lt;Hta_15,$G95&gt;=Hba_15,Input!AG$35&lt;&gt;""),Input!$B$35&amp;";",""),IF(AND($G95&lt;Hta_16,$G95&gt;=Hba_16,Input!AG$36&lt;&gt;""),Input!$B$36&amp;";",""),IF(AND($G95&lt;Hta_17,$G95&gt;=Hba_17,Input!AG$37&lt;&gt;""),Input!$B$37&amp;";",""),IF(AND($G95&lt;Hta_18,$G95&gt;=Hba_18,Input!AG$38&lt;&gt;""),Input!$B$38&amp;";",""),IF(AND($G95&lt;Hta_19,$G95&gt;=Hba_19,Input!AG$39&lt;&gt;""),Input!$B$39&amp;";",""),IF(AND($G95&lt;Hta_20,$G95&gt;=Hba_20,Input!AG$40&lt;&gt;""),Input!$B$40&amp;";",""),IF(AND($G95&lt;Hta_21,$G95&gt;=Hba_21,Input!AG$41&lt;&gt;""),Input!$B$41&amp;";",""),IF(AND($G95&lt;Hta_22,$G95&gt;=Hba_22,Input!AG$42&lt;&gt;""),Input!$B$42&amp;";",""),IF(AND($G95&lt;Hta_23,$G95&gt;=Hba_23,Input!AG$43&lt;&gt;""),Input!$B$43&amp;";",""),IF(AND($G95&lt;Hta_24,$G95&gt;=Hba_24,Input!AG$44&lt;&gt;""),Input!$B$44&amp;";",""),IF(AND($G95&lt;Hta_25,$G95&gt;=Hba_25,Input!AG$45&lt;&gt;""),Input!$B$45&amp;";",""),IF(AND($G95&lt;Hta_26,$G95&gt;=Hba_26,Input!AG$46&lt;&gt;""),Input!$B$46&amp;";",""),IF(AND($G95&lt;Hta_27,$G95&gt;=Hba_27,Input!AG$47&lt;&gt;""),Input!$B$47&amp;";",""),IF(AND($G95&lt;Hta_28,$G95&gt;=Hba_28,Input!AG$48&lt;&gt;""),Input!$B$48&amp;";",""),IF(AND($G95&lt;Hta_29,$G95&gt;=Hba_29,Input!AG$49&lt;&gt;""),Input!$B$49&amp;";",""),IF(AND($G95&lt;Hta_30,$G95&gt;=Hba_30,Input!AG$50&lt;&gt;""),Input!$B$50&amp;";","")),"")</f>
        <v/>
      </c>
      <c r="CI95" s="25" t="str">
        <f>IFERROR(CONCATENATE(IF(AND($G95&lt;Hta_1,$G95&gt;=Hba_1,Input!AH$21&lt;&gt;""),Input!$B$21&amp;";",""),IF(AND($G95&lt;Hta_2,$G95&gt;=Hba_2,Input!AH$22&lt;&gt;""),Input!$B$22&amp;";",""),IF(AND($G95&lt;Hta_3,$G95&gt;=Hba_3,Input!AH$23&lt;&gt;""),Input!$B$23&amp;";",""),IF(AND($G95&lt;Hta_4,$G95&gt;=Hba_4,Input!AH$24&lt;&gt;""),Input!$B$24&amp;";",""),IF(AND($G95&lt;Hta_5,$G95&gt;=Hba_5,Input!AH$25&lt;&gt;""),Input!$B$25&amp;";",""),IF(AND($G95&lt;Hta_6,$G95&gt;=Hba_6,Input!AH$26&lt;&gt;""),Input!$B$26&amp;";",""),IF(AND($G95&lt;Hta_7,$G95&gt;=Hba_7,Input!AH$27&lt;&gt;""),Input!$B$27&amp;";",""),IF(AND($G95&lt;Hta_8,$G95&gt;=Hba_8,Input!AH$28&lt;&gt;""),Input!$B$28&amp;";",""),IF(AND($G95&lt;Hta_9,$G95&gt;=Hba_9,Input!AH$29&lt;&gt;""),Input!$B$29&amp;";",""),IF(AND($G95&lt;Hta_10,$G95&gt;=Hba_10,Input!AH$30&lt;&gt;""),Input!$B$30&amp;";",""),IF(AND($G95&lt;Hta_11,$G95&gt;=Hba_11,Input!AH$31&lt;&gt;""),Input!$B$31&amp;";",""),IF(AND($G95&lt;Hta_12,$G95&gt;=Hba_12,Input!AH$32&lt;&gt;""),Input!$B$32&amp;";",""),IF(AND($G95&lt;Hta_13,$G95&gt;=Hba_13,Input!AH$33&lt;&gt;""),Input!$B$33&amp;";",""),IF(AND($G95&lt;Hta_14,$G95&gt;=Hba_14,Input!AH$34&lt;&gt;""),Input!$B$34&amp;";",""),IF(AND($G95&lt;Hta_15,$G95&gt;=Hba_15,Input!AH$35&lt;&gt;""),Input!$B$35&amp;";",""),IF(AND($G95&lt;Hta_16,$G95&gt;=Hba_16,Input!AH$36&lt;&gt;""),Input!$B$36&amp;";",""),IF(AND($G95&lt;Hta_17,$G95&gt;=Hba_17,Input!AH$37&lt;&gt;""),Input!$B$37&amp;";",""),IF(AND($G95&lt;Hta_18,$G95&gt;=Hba_18,Input!AH$38&lt;&gt;""),Input!$B$38&amp;";",""),IF(AND($G95&lt;Hta_19,$G95&gt;=Hba_19,Input!AH$39&lt;&gt;""),Input!$B$39&amp;";",""),IF(AND($G95&lt;Hta_20,$G95&gt;=Hba_20,Input!AH$40&lt;&gt;""),Input!$B$40&amp;";",""),IF(AND($G95&lt;Hta_21,$G95&gt;=Hba_21,Input!AH$41&lt;&gt;""),Input!$B$41&amp;";",""),IF(AND($G95&lt;Hta_22,$G95&gt;=Hba_22,Input!AH$42&lt;&gt;""),Input!$B$42&amp;";",""),IF(AND($G95&lt;Hta_23,$G95&gt;=Hba_23,Input!AH$43&lt;&gt;""),Input!$B$43&amp;";",""),IF(AND($G95&lt;Hta_24,$G95&gt;=Hba_24,Input!AH$44&lt;&gt;""),Input!$B$44&amp;";",""),IF(AND($G95&lt;Hta_25,$G95&gt;=Hba_25,Input!AH$45&lt;&gt;""),Input!$B$45&amp;";",""),IF(AND($G95&lt;Hta_26,$G95&gt;=Hba_26,Input!AH$46&lt;&gt;""),Input!$B$46&amp;";",""),IF(AND($G95&lt;Hta_27,$G95&gt;=Hba_27,Input!AH$47&lt;&gt;""),Input!$B$47&amp;";",""),IF(AND($G95&lt;Hta_28,$G95&gt;=Hba_28,Input!AH$48&lt;&gt;""),Input!$B$48&amp;";",""),IF(AND($G95&lt;Hta_29,$G95&gt;=Hba_29,Input!AH$49&lt;&gt;""),Input!$B$49&amp;";",""),IF(AND($G95&lt;Hta_30,$G95&gt;=Hba_30,Input!AH$50&lt;&gt;""),Input!$B$50&amp;";","")),"")</f>
        <v/>
      </c>
      <c r="CJ95" s="25" t="str">
        <f>IFERROR(CONCATENATE(IF(AND($G95&lt;Hta_1,$G95&gt;=Hba_1,Input!AI$21&lt;&gt;""),Input!$B$21&amp;";",""),IF(AND($G95&lt;Hta_2,$G95&gt;=Hba_2,Input!AI$22&lt;&gt;""),Input!$B$22&amp;";",""),IF(AND($G95&lt;Hta_3,$G95&gt;=Hba_3,Input!AI$23&lt;&gt;""),Input!$B$23&amp;";",""),IF(AND($G95&lt;Hta_4,$G95&gt;=Hba_4,Input!AI$24&lt;&gt;""),Input!$B$24&amp;";",""),IF(AND($G95&lt;Hta_5,$G95&gt;=Hba_5,Input!AI$25&lt;&gt;""),Input!$B$25&amp;";",""),IF(AND($G95&lt;Hta_6,$G95&gt;=Hba_6,Input!AI$26&lt;&gt;""),Input!$B$26&amp;";",""),IF(AND($G95&lt;Hta_7,$G95&gt;=Hba_7,Input!AI$27&lt;&gt;""),Input!$B$27&amp;";",""),IF(AND($G95&lt;Hta_8,$G95&gt;=Hba_8,Input!AI$28&lt;&gt;""),Input!$B$28&amp;";",""),IF(AND($G95&lt;Hta_9,$G95&gt;=Hba_9,Input!AI$29&lt;&gt;""),Input!$B$29&amp;";",""),IF(AND($G95&lt;Hta_10,$G95&gt;=Hba_10,Input!AI$30&lt;&gt;""),Input!$B$30&amp;";",""),IF(AND($G95&lt;Hta_11,$G95&gt;=Hba_11,Input!AI$31&lt;&gt;""),Input!$B$31&amp;";",""),IF(AND($G95&lt;Hta_12,$G95&gt;=Hba_12,Input!AI$32&lt;&gt;""),Input!$B$32&amp;";",""),IF(AND($G95&lt;Hta_13,$G95&gt;=Hba_13,Input!AI$33&lt;&gt;""),Input!$B$33&amp;";",""),IF(AND($G95&lt;Hta_14,$G95&gt;=Hba_14,Input!AI$34&lt;&gt;""),Input!$B$34&amp;";",""),IF(AND($G95&lt;Hta_15,$G95&gt;=Hba_15,Input!AI$35&lt;&gt;""),Input!$B$35&amp;";",""),IF(AND($G95&lt;Hta_16,$G95&gt;=Hba_16,Input!AI$36&lt;&gt;""),Input!$B$36&amp;";",""),IF(AND($G95&lt;Hta_17,$G95&gt;=Hba_17,Input!AI$37&lt;&gt;""),Input!$B$37&amp;";",""),IF(AND($G95&lt;Hta_18,$G95&gt;=Hba_18,Input!AI$38&lt;&gt;""),Input!$B$38&amp;";",""),IF(AND($G95&lt;Hta_19,$G95&gt;=Hba_19,Input!AI$39&lt;&gt;""),Input!$B$39&amp;";",""),IF(AND($G95&lt;Hta_20,$G95&gt;=Hba_20,Input!AI$40&lt;&gt;""),Input!$B$40&amp;";",""),IF(AND($G95&lt;Hta_21,$G95&gt;=Hba_21,Input!AI$41&lt;&gt;""),Input!$B$41&amp;";",""),IF(AND($G95&lt;Hta_22,$G95&gt;=Hba_22,Input!AI$42&lt;&gt;""),Input!$B$42&amp;";",""),IF(AND($G95&lt;Hta_23,$G95&gt;=Hba_23,Input!AI$43&lt;&gt;""),Input!$B$43&amp;";",""),IF(AND($G95&lt;Hta_24,$G95&gt;=Hba_24,Input!AI$44&lt;&gt;""),Input!$B$44&amp;";",""),IF(AND($G95&lt;Hta_25,$G95&gt;=Hba_25,Input!AI$45&lt;&gt;""),Input!$B$45&amp;";",""),IF(AND($G95&lt;Hta_26,$G95&gt;=Hba_26,Input!AI$46&lt;&gt;""),Input!$B$46&amp;";",""),IF(AND($G95&lt;Hta_27,$G95&gt;=Hba_27,Input!AI$47&lt;&gt;""),Input!$B$47&amp;";",""),IF(AND($G95&lt;Hta_28,$G95&gt;=Hba_28,Input!AI$48&lt;&gt;""),Input!$B$48&amp;";",""),IF(AND($G95&lt;Hta_29,$G95&gt;=Hba_29,Input!AI$49&lt;&gt;""),Input!$B$49&amp;";",""),IF(AND($G95&lt;Hta_30,$G95&gt;=Hba_30,Input!AI$50&lt;&gt;""),Input!$B$50&amp;";","")),"")</f>
        <v/>
      </c>
      <c r="CK95" s="25" t="str">
        <f>IFERROR(CONCATENATE(IF(AND($G95&lt;Hta_1,$G95&gt;=Hba_1,Input!AJ$21&lt;&gt;""),Input!$B$21&amp;";",""),IF(AND($G95&lt;Hta_2,$G95&gt;=Hba_2,Input!AJ$22&lt;&gt;""),Input!$B$22&amp;";",""),IF(AND($G95&lt;Hta_3,$G95&gt;=Hba_3,Input!AJ$23&lt;&gt;""),Input!$B$23&amp;";",""),IF(AND($G95&lt;Hta_4,$G95&gt;=Hba_4,Input!AJ$24&lt;&gt;""),Input!$B$24&amp;";",""),IF(AND($G95&lt;Hta_5,$G95&gt;=Hba_5,Input!AJ$25&lt;&gt;""),Input!$B$25&amp;";",""),IF(AND($G95&lt;Hta_6,$G95&gt;=Hba_6,Input!AJ$26&lt;&gt;""),Input!$B$26&amp;";",""),IF(AND($G95&lt;Hta_7,$G95&gt;=Hba_7,Input!AJ$27&lt;&gt;""),Input!$B$27&amp;";",""),IF(AND($G95&lt;Hta_8,$G95&gt;=Hba_8,Input!AJ$28&lt;&gt;""),Input!$B$28&amp;";",""),IF(AND($G95&lt;Hta_9,$G95&gt;=Hba_9,Input!AJ$29&lt;&gt;""),Input!$B$29&amp;";",""),IF(AND($G95&lt;Hta_10,$G95&gt;=Hba_10,Input!AJ$30&lt;&gt;""),Input!$B$30&amp;";",""),IF(AND($G95&lt;Hta_11,$G95&gt;=Hba_11,Input!AJ$31&lt;&gt;""),Input!$B$31&amp;";",""),IF(AND($G95&lt;Hta_12,$G95&gt;=Hba_12,Input!AJ$32&lt;&gt;""),Input!$B$32&amp;";",""),IF(AND($G95&lt;Hta_13,$G95&gt;=Hba_13,Input!AJ$33&lt;&gt;""),Input!$B$33&amp;";",""),IF(AND($G95&lt;Hta_14,$G95&gt;=Hba_14,Input!AJ$34&lt;&gt;""),Input!$B$34&amp;";",""),IF(AND($G95&lt;Hta_15,$G95&gt;=Hba_15,Input!AJ$35&lt;&gt;""),Input!$B$35&amp;";",""),IF(AND($G95&lt;Hta_16,$G95&gt;=Hba_16,Input!AJ$36&lt;&gt;""),Input!$B$36&amp;";",""),IF(AND($G95&lt;Hta_17,$G95&gt;=Hba_17,Input!AJ$37&lt;&gt;""),Input!$B$37&amp;";",""),IF(AND($G95&lt;Hta_18,$G95&gt;=Hba_18,Input!AJ$38&lt;&gt;""),Input!$B$38&amp;";",""),IF(AND($G95&lt;Hta_19,$G95&gt;=Hba_19,Input!AJ$39&lt;&gt;""),Input!$B$39&amp;";",""),IF(AND($G95&lt;Hta_20,$G95&gt;=Hba_20,Input!AJ$40&lt;&gt;""),Input!$B$40&amp;";",""),IF(AND($G95&lt;Hta_21,$G95&gt;=Hba_21,Input!AJ$41&lt;&gt;""),Input!$B$41&amp;";",""),IF(AND($G95&lt;Hta_22,$G95&gt;=Hba_22,Input!AJ$42&lt;&gt;""),Input!$B$42&amp;";",""),IF(AND($G95&lt;Hta_23,$G95&gt;=Hba_23,Input!AJ$43&lt;&gt;""),Input!$B$43&amp;";",""),IF(AND($G95&lt;Hta_24,$G95&gt;=Hba_24,Input!AJ$44&lt;&gt;""),Input!$B$44&amp;";",""),IF(AND($G95&lt;Hta_25,$G95&gt;=Hba_25,Input!AJ$45&lt;&gt;""),Input!$B$45&amp;";",""),IF(AND($G95&lt;Hta_26,$G95&gt;=Hba_26,Input!AJ$46&lt;&gt;""),Input!$B$46&amp;";",""),IF(AND($G95&lt;Hta_27,$G95&gt;=Hba_27,Input!AJ$47&lt;&gt;""),Input!$B$47&amp;";",""),IF(AND($G95&lt;Hta_28,$G95&gt;=Hba_28,Input!AJ$48&lt;&gt;""),Input!$B$48&amp;";",""),IF(AND($G95&lt;Hta_29,$G95&gt;=Hba_29,Input!AJ$49&lt;&gt;""),Input!$B$49&amp;";",""),IF(AND($G95&lt;Hta_30,$G95&gt;=Hba_30,Input!AJ$50&lt;&gt;""),Input!$B$50&amp;";","")),"")</f>
        <v/>
      </c>
      <c r="CL95" s="25" t="str">
        <f>IFERROR(CONCATENATE(IF(AND($G95&lt;Hta_1,$G95&gt;=Hba_1,Input!AK$21&lt;&gt;""),Input!$B$21&amp;";",""),IF(AND($G95&lt;Hta_2,$G95&gt;=Hba_2,Input!AK$22&lt;&gt;""),Input!$B$22&amp;";",""),IF(AND($G95&lt;Hta_3,$G95&gt;=Hba_3,Input!AK$23&lt;&gt;""),Input!$B$23&amp;";",""),IF(AND($G95&lt;Hta_4,$G95&gt;=Hba_4,Input!AK$24&lt;&gt;""),Input!$B$24&amp;";",""),IF(AND($G95&lt;Hta_5,$G95&gt;=Hba_5,Input!AK$25&lt;&gt;""),Input!$B$25&amp;";",""),IF(AND($G95&lt;Hta_6,$G95&gt;=Hba_6,Input!AK$26&lt;&gt;""),Input!$B$26&amp;";",""),IF(AND($G95&lt;Hta_7,$G95&gt;=Hba_7,Input!AK$27&lt;&gt;""),Input!$B$27&amp;";",""),IF(AND($G95&lt;Hta_8,$G95&gt;=Hba_8,Input!AK$28&lt;&gt;""),Input!$B$28&amp;";",""),IF(AND($G95&lt;Hta_9,$G95&gt;=Hba_9,Input!AK$29&lt;&gt;""),Input!$B$29&amp;";",""),IF(AND($G95&lt;Hta_10,$G95&gt;=Hba_10,Input!AK$30&lt;&gt;""),Input!$B$30&amp;";",""),IF(AND($G95&lt;Hta_11,$G95&gt;=Hba_11,Input!AK$31&lt;&gt;""),Input!$B$31&amp;";",""),IF(AND($G95&lt;Hta_12,$G95&gt;=Hba_12,Input!AK$32&lt;&gt;""),Input!$B$32&amp;";",""),IF(AND($G95&lt;Hta_13,$G95&gt;=Hba_13,Input!AK$33&lt;&gt;""),Input!$B$33&amp;";",""),IF(AND($G95&lt;Hta_14,$G95&gt;=Hba_14,Input!AK$34&lt;&gt;""),Input!$B$34&amp;";",""),IF(AND($G95&lt;Hta_15,$G95&gt;=Hba_15,Input!AK$35&lt;&gt;""),Input!$B$35&amp;";",""),IF(AND($G95&lt;Hta_16,$G95&gt;=Hba_16,Input!AK$36&lt;&gt;""),Input!$B$36&amp;";",""),IF(AND($G95&lt;Hta_17,$G95&gt;=Hba_17,Input!AK$37&lt;&gt;""),Input!$B$37&amp;";",""),IF(AND($G95&lt;Hta_18,$G95&gt;=Hba_18,Input!AK$38&lt;&gt;""),Input!$B$38&amp;";",""),IF(AND($G95&lt;Hta_19,$G95&gt;=Hba_19,Input!AK$39&lt;&gt;""),Input!$B$39&amp;";",""),IF(AND($G95&lt;Hta_20,$G95&gt;=Hba_20,Input!AK$40&lt;&gt;""),Input!$B$40&amp;";",""),IF(AND($G95&lt;Hta_21,$G95&gt;=Hba_21,Input!AK$41&lt;&gt;""),Input!$B$41&amp;";",""),IF(AND($G95&lt;Hta_22,$G95&gt;=Hba_22,Input!AK$42&lt;&gt;""),Input!$B$42&amp;";",""),IF(AND($G95&lt;Hta_23,$G95&gt;=Hba_23,Input!AK$43&lt;&gt;""),Input!$B$43&amp;";",""),IF(AND($G95&lt;Hta_24,$G95&gt;=Hba_24,Input!AK$44&lt;&gt;""),Input!$B$44&amp;";",""),IF(AND($G95&lt;Hta_25,$G95&gt;=Hba_25,Input!AK$45&lt;&gt;""),Input!$B$45&amp;";",""),IF(AND($G95&lt;Hta_26,$G95&gt;=Hba_26,Input!AK$46&lt;&gt;""),Input!$B$46&amp;";",""),IF(AND($G95&lt;Hta_27,$G95&gt;=Hba_27,Input!AK$47&lt;&gt;""),Input!$B$47&amp;";",""),IF(AND($G95&lt;Hta_28,$G95&gt;=Hba_28,Input!AK$48&lt;&gt;""),Input!$B$48&amp;";",""),IF(AND($G95&lt;Hta_29,$G95&gt;=Hba_29,Input!AK$49&lt;&gt;""),Input!$B$49&amp;";",""),IF(AND($G95&lt;Hta_30,$G95&gt;=Hba_30,Input!AK$50&lt;&gt;""),Input!$B$50&amp;";","")),"")</f>
        <v/>
      </c>
      <c r="CM95" s="25" t="str">
        <f>IFERROR(CONCATENATE(IF(AND($G95&lt;Hta_1,$G95&gt;=Hba_1,Input!AL$21&lt;&gt;""),Input!$B$21&amp;";",""),IF(AND($G95&lt;Hta_2,$G95&gt;=Hba_2,Input!AL$22&lt;&gt;""),Input!$B$22&amp;";",""),IF(AND($G95&lt;Hta_3,$G95&gt;=Hba_3,Input!AL$23&lt;&gt;""),Input!$B$23&amp;";",""),IF(AND($G95&lt;Hta_4,$G95&gt;=Hba_4,Input!AL$24&lt;&gt;""),Input!$B$24&amp;";",""),IF(AND($G95&lt;Hta_5,$G95&gt;=Hba_5,Input!AL$25&lt;&gt;""),Input!$B$25&amp;";",""),IF(AND($G95&lt;Hta_6,$G95&gt;=Hba_6,Input!AL$26&lt;&gt;""),Input!$B$26&amp;";",""),IF(AND($G95&lt;Hta_7,$G95&gt;=Hba_7,Input!AL$27&lt;&gt;""),Input!$B$27&amp;";",""),IF(AND($G95&lt;Hta_8,$G95&gt;=Hba_8,Input!AL$28&lt;&gt;""),Input!$B$28&amp;";",""),IF(AND($G95&lt;Hta_9,$G95&gt;=Hba_9,Input!AL$29&lt;&gt;""),Input!$B$29&amp;";",""),IF(AND($G95&lt;Hta_10,$G95&gt;=Hba_10,Input!AL$30&lt;&gt;""),Input!$B$30&amp;";",""),IF(AND($G95&lt;Hta_11,$G95&gt;=Hba_11,Input!AL$31&lt;&gt;""),Input!$B$31&amp;";",""),IF(AND($G95&lt;Hta_12,$G95&gt;=Hba_12,Input!AL$32&lt;&gt;""),Input!$B$32&amp;";",""),IF(AND($G95&lt;Hta_13,$G95&gt;=Hba_13,Input!AL$33&lt;&gt;""),Input!$B$33&amp;";",""),IF(AND($G95&lt;Hta_14,$G95&gt;=Hba_14,Input!AL$34&lt;&gt;""),Input!$B$34&amp;";",""),IF(AND($G95&lt;Hta_15,$G95&gt;=Hba_15,Input!AL$35&lt;&gt;""),Input!$B$35&amp;";",""),IF(AND($G95&lt;Hta_16,$G95&gt;=Hba_16,Input!AL$36&lt;&gt;""),Input!$B$36&amp;";",""),IF(AND($G95&lt;Hta_17,$G95&gt;=Hba_17,Input!AL$37&lt;&gt;""),Input!$B$37&amp;";",""),IF(AND($G95&lt;Hta_18,$G95&gt;=Hba_18,Input!AL$38&lt;&gt;""),Input!$B$38&amp;";",""),IF(AND($G95&lt;Hta_19,$G95&gt;=Hba_19,Input!AL$39&lt;&gt;""),Input!$B$39&amp;";",""),IF(AND($G95&lt;Hta_20,$G95&gt;=Hba_20,Input!AL$40&lt;&gt;""),Input!$B$40&amp;";",""),IF(AND($G95&lt;Hta_21,$G95&gt;=Hba_21,Input!AL$41&lt;&gt;""),Input!$B$41&amp;";",""),IF(AND($G95&lt;Hta_22,$G95&gt;=Hba_22,Input!AL$42&lt;&gt;""),Input!$B$42&amp;";",""),IF(AND($G95&lt;Hta_23,$G95&gt;=Hba_23,Input!AL$43&lt;&gt;""),Input!$B$43&amp;";",""),IF(AND($G95&lt;Hta_24,$G95&gt;=Hba_24,Input!AL$44&lt;&gt;""),Input!$B$44&amp;";",""),IF(AND($G95&lt;Hta_25,$G95&gt;=Hba_25,Input!AL$45&lt;&gt;""),Input!$B$45&amp;";",""),IF(AND($G95&lt;Hta_26,$G95&gt;=Hba_26,Input!AL$46&lt;&gt;""),Input!$B$46&amp;";",""),IF(AND($G95&lt;Hta_27,$G95&gt;=Hba_27,Input!AL$47&lt;&gt;""),Input!$B$47&amp;";",""),IF(AND($G95&lt;Hta_28,$G95&gt;=Hba_28,Input!AL$48&lt;&gt;""),Input!$B$48&amp;";",""),IF(AND($G95&lt;Hta_29,$G95&gt;=Hba_29,Input!AL$49&lt;&gt;""),Input!$B$49&amp;";",""),IF(AND($G95&lt;Hta_30,$G95&gt;=Hba_30,Input!AL$50&lt;&gt;""),Input!$B$50&amp;";","")),"")</f>
        <v/>
      </c>
      <c r="CN95" s="60" t="str">
        <f t="shared" si="16"/>
        <v/>
      </c>
      <c r="CO95" s="798"/>
      <c r="CP95" s="799"/>
      <c r="CQ95" s="800"/>
      <c r="CR95" s="798"/>
      <c r="CS95" s="799"/>
      <c r="CT95" s="800"/>
      <c r="CU95" s="798" t="str">
        <f t="shared" si="17"/>
        <v/>
      </c>
      <c r="CV95" s="799"/>
      <c r="CW95" s="806"/>
      <c r="CX95" s="726"/>
      <c r="CY95" s="727"/>
      <c r="CZ95" s="732"/>
      <c r="DA95" s="726"/>
      <c r="DB95" s="727"/>
      <c r="DC95" s="732"/>
      <c r="DD95" s="726" t="str">
        <f t="shared" si="18"/>
        <v/>
      </c>
      <c r="DE95" s="727"/>
      <c r="DF95" s="728"/>
      <c r="DG95" s="53"/>
      <c r="DH95" s="54"/>
      <c r="DI95" s="54"/>
      <c r="DJ95" s="54"/>
      <c r="DK95" s="54"/>
      <c r="DL95" s="54"/>
      <c r="DM95" s="54"/>
      <c r="DN95" s="54"/>
      <c r="DO95" s="54"/>
      <c r="DP95" s="54"/>
      <c r="DQ95" s="57"/>
      <c r="DR95" s="57"/>
      <c r="DS95" s="57"/>
      <c r="DT95" s="57"/>
      <c r="DU95" s="57"/>
      <c r="DV95" s="57"/>
      <c r="DW95" s="57"/>
      <c r="DX95" s="57"/>
      <c r="DY95" s="57"/>
      <c r="DZ95" s="57"/>
      <c r="EA95" s="57"/>
      <c r="EB95" s="57"/>
      <c r="EC95" s="57"/>
      <c r="ED95" s="57"/>
      <c r="EE95" s="57"/>
      <c r="EF95" s="57"/>
      <c r="EG95" s="57"/>
      <c r="EH95" s="57"/>
      <c r="EI95" s="57"/>
      <c r="EJ95" s="57"/>
      <c r="EK95" s="57"/>
      <c r="EL95" s="133"/>
      <c r="EM95" s="133"/>
      <c r="EN95" s="133"/>
      <c r="EO95" s="133"/>
      <c r="EP95" s="133"/>
      <c r="EQ95" s="133"/>
      <c r="ER95" s="133"/>
      <c r="ES95" s="133"/>
      <c r="ET95" s="133"/>
      <c r="EU95" s="133"/>
      <c r="EV95" s="133"/>
      <c r="EW95" s="133"/>
      <c r="EX95" s="133"/>
      <c r="EY95" s="133"/>
      <c r="EZ95" s="133"/>
      <c r="FA95" s="133"/>
      <c r="FB95" s="133"/>
      <c r="FC95" s="133"/>
      <c r="FD95" s="133"/>
      <c r="FE95" s="133"/>
      <c r="FF95" s="133"/>
      <c r="FG95" s="133"/>
      <c r="FH95" s="133"/>
      <c r="FI95" s="133"/>
      <c r="FJ95" s="133"/>
      <c r="FK95" s="133"/>
      <c r="FL95" s="133"/>
      <c r="FM95" s="133"/>
      <c r="FN95" s="133"/>
      <c r="FO95" s="133"/>
      <c r="FQ95" s="125"/>
      <c r="FR95" s="123"/>
      <c r="FS95" s="121"/>
      <c r="FT95" s="119"/>
    </row>
    <row r="96" spans="2:176" ht="15.75" hidden="1" thickBot="1" x14ac:dyDescent="0.3">
      <c r="B96" s="62" t="b">
        <f>IF(OR(AND(G96&gt;='Geometry 2'!$AK$5,G96&lt;'Geometry 2'!$AL$5),AND(G96&gt;='Geometry 2'!$AK$6,G96&lt;'Geometry 2'!$AL$6),AND(G96&gt;='Geometry 2'!$AK$7,G96&lt;'Geometry 2'!$AL$7),AND(G96&gt;='Geometry 2'!$AK$8,G96&lt;'Geometry 2'!$AL$8),AND(G96&gt;='Geometry 2'!$AK$9,G96&lt;'Geometry 2'!$AL$9),AND(G96&gt;='Geometry 2'!$AK$10,G96&lt;'Geometry 2'!$AL$10),AND(G96&gt;='Geometry 2'!$AK$11,G96&lt;'Geometry 2'!$AL$11),AND(G96&gt;='Geometry 2'!$AK$12,G96&lt;'Geometry 2'!$AL$12),AND(G96&gt;='Geometry 2'!$AK$13,G96&lt;'Geometry 2'!$AL$13),AND(G96&gt;='Geometry 2'!$AK$14,G96&lt;'Geometry 2'!$AL$14)),TRUE,FALSE)</f>
        <v>0</v>
      </c>
      <c r="C96" s="4" t="str">
        <f t="shared" si="13"/>
        <v/>
      </c>
      <c r="D96" s="766" t="str">
        <f t="shared" si="14"/>
        <v/>
      </c>
      <c r="E96" s="767"/>
      <c r="F96" s="17" t="str">
        <f t="shared" si="12"/>
        <v/>
      </c>
      <c r="G96" s="768" t="str">
        <f>IF(D96="","",MAX(0,G95-IF(inc="n/a",999,inc),MAX(IF(G95&lt;=Hta_1,0,Hta_1),IF(G95&lt;=Hta_2,0,Hta_2),IF(G95&lt;=Hta_3,0,Hta_3),IF(G95&lt;=Hta_4,0,Hta_4),IF(G95&lt;=Hta_5,0,Hta_5),IF(G95&lt;=Hta_6,0,Hta_6),IF(G95&lt;=Hta_7,0,Hta_7),IF(G95&lt;=Hta_8,0,Hta_8),IF(G95&lt;=Hta_9,0,Hta_9),IF(G95&lt;=Hta_10,0,Hta_10),IF(G95&lt;=Hta_11,0,Hta_11),IF(G95&lt;=Hta_12,0,Hta_12),IF(G95&lt;=Hta_13,0,Hta_13),IF(G95&lt;=Hta_14,0,Hta_14),IF(G95&lt;=Hta_15,0,Hta_15),IF(G95&lt;=Hta_16,0,Hta_16),IF(G95&lt;=Hta_17,0,Hta_17),IF(G95&lt;=Hta_18,0,Hta_18),IF(G95&lt;=Hta_19,0,Hta_19),IF(G95&lt;=Hta_20,0,Hta_20),IF(G95&lt;=Hta_21,0,Hta_21),IF(G95&lt;=Hta_22,0,Hta_22),IF(G95&lt;=Hta_23,0,Hta_23),IF(G95&lt;=Hta_24,0,Hta_24),IF(G95&lt;=Hta_25,0,Hta_25),IF(G95&lt;=Hta_26,0,Hta_26),IF(G95&lt;=Hta_27,0,Hta_27),IF(G95&lt;=Hta_28,0,Hta_28),IF(G95&lt;=Hta_29,0,Hta_29),IF(G95&lt;=Hta_30,0,Hta_30)),MAX(IF(G95&lt;=Hta_1-0.25,0,Hta_1-0.25),IF(G95&lt;=Hta_2-0.25,0,Hta_2-0.25),IF(G95&lt;=Hta_3-0.25,0,Hta_3-0.25),IF(G95&lt;=Hta_4-0.25,0,Hta_4-0.25),IF(G95&lt;=Hta_5-0.25,0,Hta_5-0.25),IF(G95&lt;=Hta_6-0.25,0,Hta_6-0.25),IF(G95&lt;=Hta_7-0.25,0,Hta_7-0.25),IF(G95&lt;=Hta_8-0.25,0,Hta_8-0.25),IF(G95&lt;=Hta_9-0.25,0,Hta_9-0.25),IF(G95&lt;=Hta_10-0.25,0,Hta_10-0.25),IF(G95&lt;=Hta_11-0.25,0,Hta_11-0.25),IF(G95&lt;=Hta_12-0.25,0,Hta_12-0.25),IF(G95&lt;=Hta_13-0.25,0,Hta_13-0.25),IF(G95&lt;=Hta_14-0.25,0,Hta_14-0.25),IF(G95&lt;=Hta_15-0.25,0,Hta_15-0.25),IF(G95&lt;=Hta_16-0.25,0,Hta_16-0.25),IF(G95&lt;=Hta_17-0.25,0,Hta_17-0.25),IF(G95&lt;=Hta_18-0.25,0,Hta_18-0.25),IF(G95&lt;=Hta_19-0.25,0,Hta_19-0.25),IF(G95&lt;=Hta_20-0.25,0,Hta_20-0.25),IF(G95&lt;=Hta_21-0.25,0,Hta_21-0.25),IF(G95&lt;=Hta_22-0.25,0,Hta_22-0.25),IF(G95&lt;=Hta_23-0.25,0,Hta_23-0.25),IF(G95&lt;=Hta_24-0.25,0,Hta_24-0.25),IF(G95&lt;=Hta_25-0.25,0,Hta_25-0.25),IF(G95&lt;=Hta_26-0.25,0,Hta_26-0.25),IF(G95&lt;=Hta_27-0.25,0,Hta_27-0.25),IF(G95&lt;=Hta_28-0.25,0,Hta_28-0.25),IF(G95&lt;=Hta_29-0.25,0,Hta_29-0.25),IF(G95&lt;=Hta_30-0.25,0,Hta_30-0.25)),MAX(IF(G95&lt;=Hba_1,0,Hba_1),IF(G95&lt;=Hba_2,0,Hba_2),IF(G95&lt;=Hba_3,0,Hba_3),IF(G95&lt;=Hba_4,0,Hba_4),IF(G95&lt;=Hba_5,0,Hba_5),IF(G95&lt;=Hba_6,0,Hba_6),IF(G95&lt;=Hba_7,0,Hba_7),IF(G95&lt;=Hba_8,0,Hba_8),IF(G95&lt;=Hba_9,0,Hba_9),IF(G95&lt;=Hba_10,0,Hba_10),IF(G95&lt;=Hba_11,0,Hba_11),IF(G95&lt;=Hba_12,0,Hba_12),IF(G95&lt;=Hba_13,0,Hba_13),IF(G95&lt;=Hba_14,0,Hba_14),IF(G95&lt;=Hba_15,0,Hba_15),IF(G95&lt;=Hba_16,0,Hba_16),IF(G95&lt;=Hba_17,0,Hba_17),IF(G95&lt;=Hba_18,0,Hba_18),IF(G95&lt;=Hba_19,0,Hba_19),IF(G95&lt;=Hba_20,0,Hba_20),IF(G95&lt;=Hba_21,0,Hba_21),IF(G95&lt;=Hba_22,0,Hba_22),IF(G95&lt;=Hba_23,0,Hba_23),IF(G95&lt;=Hba_24,0,Hba_24),IF(G95&lt;=Hba_25,0,Hba_25),IF(G95&lt;=Hba_26,0,Hba_26),IF(G95&lt;=Hba_27,0,Hba_27),IF(G95&lt;=Hba_28,0,Hba_28),IF(G95&lt;=Hba_29,0,Hba_29),IF(G95&lt;=Hba_30,0,Hba_30)),MAX(IF(G95&lt;=Input!$C$8,0,Input!$C$8),IF(G95&lt;=Input!$C$9,0,Input!$C$9),IF(G95&lt;=Input!$C$10,0,Input!$C$10),IF(G95&lt;=Input!$C$11,0,Input!$C$11),IF(G95&lt;=Input!$C$12,0,Input!$C$12),IF(G95&lt;=Input!$C$13,0,Input!$C$13),IF(G95&lt;=Input!$C$14,0,Input!$C$14),IF(G95&lt;=Input!$C$15,0,Input!$C$15),IF(G95&lt;=Input!$C$16,0,Input!$C$16)),MAX(IF(G95&lt;=Hba_1-0.25,0,Hba_1-0.25),IF(G95&lt;=Hba_2-0.25,0,Hba_2-0.25),IF(G95&lt;=Hba_3-0.25,0,Hba_3-0.25),IF(G95&lt;=Hba_4-0.25,0,Hba_4-0.25),IF(G95&lt;=Hba_5-0.25,0,Hba_5-0.25),IF(G95&lt;=Hba_6-0.25,0,Hba_6-0.25),IF(G95&lt;=Hba_7-0.25,0,Hba_7-0.25),IF(G95&lt;=Hba_8-0.25,0,Hba_8-0.25),IF(G95&lt;=Hba_9-0.25,0,Hba_9-0.25),IF(G95&lt;=Hba_10-0.25,0,Hba_10-0.25),IF(G95&lt;=Hba_11-0.25,0,Hba_11-0.25),IF(G95&lt;=Hba_12-0.25,0,Hba_12-0.25),IF(G95&lt;=Hba_13-0.25,0,Hba_13-0.25),IF(G95&lt;=Hba_14-0.25,0,Hba_14-0.25),IF(G95&lt;=Hba_15-0.25,0,Hba_15-0.25),IF(G95&lt;=Hba_16-0.25,0,Hba_16-0.25),IF(G95&lt;=Hba_17-0.25,0,Hba_17-0.25),IF(G95&lt;=Hba_18-0.25,0,Hba_18-0.25),IF(G95&lt;=Hba_19-0.25,0,Hba_19-0.25),IF(G95&lt;=Hba_20-0.25,0,Hba_20-0.25),IF(G95&lt;=Hba_21-0.25,0,Hba_21-0.25),IF(G95&lt;=Hba_22-0.25,0,Hba_22-0.25),IF(G95&lt;=Hba_23-0.25,0,Hba_23-0.25),IF(G95&lt;=Hba_24-0.25,0,Hba_24-0.25),IF(G95&lt;=Hba_25-0.25,0,Hba_25-0.25),IF(G95&lt;=Hba_26-0.25,0,Hba_26-0.25),IF(G95&lt;=Hba_27-0.25,0,Hba_27-0.25),IF(G95&lt;=Hba_28-0.25,0,Hba_28-0.25),IF(G95&lt;=Hba_29-0.25,0,Hba_29-0.25),IF(G95&lt;=Hba_30-0.25,0,Hba_30-0.25)),IF(G95&lt;='Macro References'!$A$38,0,'Macro References'!$A$38)))</f>
        <v/>
      </c>
      <c r="H96" s="769"/>
      <c r="I96" s="228"/>
      <c r="J96" s="228"/>
      <c r="K96" s="228"/>
      <c r="L96" s="717" t="str">
        <f t="shared" si="11"/>
        <v/>
      </c>
      <c r="M96" s="717"/>
      <c r="N96" s="717"/>
      <c r="O96" s="717"/>
      <c r="P96" s="717" t="str">
        <f>IF(OR(G96=0,G96=""),"",IF(VLOOKUP(G96,'Geometry 2'!$C$4:$AI$14,1,TRUE)=VLOOKUP(G97,'Geometry 2'!$C$4:$AI$14,1,TRUE),"",IF(VLOOKUP(G96,'Geometry 2'!$C$4:$AI$14,33,TRUE)&lt;&gt;"n/a",MIN(G96,VLOOKUP(G96,'Geometry 2'!$C$4:$AI$14,1,TRUE))-VLOOKUP(G96,'Geometry 2'!$C$4:$AI$14,33,TRUE),"check")))</f>
        <v/>
      </c>
      <c r="Q96" s="717"/>
      <c r="R96" s="717"/>
      <c r="S96" s="717"/>
      <c r="T96" s="717" t="str">
        <f>IF($G96="","",VLOOKUP($G96,'Geometry 2'!$E$4:$AH$14,11,TRUE))</f>
        <v/>
      </c>
      <c r="U96" s="717"/>
      <c r="V96" s="717"/>
      <c r="W96" s="717"/>
      <c r="X96" s="716" t="str">
        <f>IF($G96="","",VLOOKUP($G96,'Geometry 2'!$E$4:$AJ$14,19,TRUE)-12*VLOOKUP($G96,'Geometry 2'!$E$4:$AJ$14,32,TRUE)*($D96-VLOOKUP($G96,'Geometry 2'!$E$5:$AH$14,1,TRUE)))</f>
        <v/>
      </c>
      <c r="Y96" s="716"/>
      <c r="Z96" s="716"/>
      <c r="AA96" s="716"/>
      <c r="AB96" s="757" t="str">
        <f>IF($G96="","",VLOOKUP($G96,'Geometry 2'!$E$4:$AJ$14,19,TRUE)-12*VLOOKUP($G96,'Geometry 2'!$E$4:$AJ$14,32,TRUE)*($G96-VLOOKUP($G96,'Geometry 2'!$E$5:$AH$14,1,TRUE)))</f>
        <v/>
      </c>
      <c r="AC96" s="758"/>
      <c r="AD96" s="758"/>
      <c r="AE96" s="759"/>
      <c r="AF96" s="716" t="str">
        <f>IF($G96="","",VLOOKUP($G96,'Geometry 2'!$E$4:$AJ$14,19,TRUE)-12*VLOOKUP($G96,'Geometry 2'!$E$4:$AJ$14,32,TRUE)*($G96-IF($P96="",0,$P96)-VLOOKUP($G96,'Geometry 2'!$E$5:$AH$14,1,TRUE)))</f>
        <v/>
      </c>
      <c r="AG96" s="716"/>
      <c r="AH96" s="716"/>
      <c r="AI96" s="716"/>
      <c r="AJ96" s="746" t="str">
        <f>IF($G96="","",VLOOKUP($G96,'Geometry 2'!$E$4:$AH$14,23,TRUE))</f>
        <v/>
      </c>
      <c r="AK96" s="747"/>
      <c r="AL96" s="747"/>
      <c r="AM96" s="748"/>
      <c r="AN96" s="717"/>
      <c r="AO96" s="717"/>
      <c r="AP96" s="717"/>
      <c r="AQ96" s="717"/>
      <c r="AR96" s="717" t="str">
        <f>IF($G96="","",VLOOKUP($G96,'Geometry 2'!$E$4:$AH$14,27,TRUE))</f>
        <v/>
      </c>
      <c r="AS96" s="717"/>
      <c r="AT96" s="717"/>
      <c r="AU96" s="718"/>
      <c r="AV96" s="715"/>
      <c r="AW96" s="716"/>
      <c r="AX96" s="716"/>
      <c r="AZ96" s="722" t="str">
        <f t="shared" si="15"/>
        <v/>
      </c>
      <c r="BA96" s="723"/>
      <c r="BB96" s="723"/>
      <c r="BC96" s="724"/>
      <c r="BD96" s="722"/>
      <c r="BE96" s="723"/>
      <c r="BF96" s="723"/>
      <c r="BG96" s="722" t="str">
        <f t="shared" si="19"/>
        <v/>
      </c>
      <c r="BH96" s="723"/>
      <c r="BI96" s="723"/>
      <c r="BJ96" s="723"/>
      <c r="BK96" s="724"/>
      <c r="BL96" s="722"/>
      <c r="BM96" s="723"/>
      <c r="BN96" s="723"/>
      <c r="BO96" s="723"/>
      <c r="BP96" s="725"/>
      <c r="BQ96" s="725"/>
      <c r="BR96" s="722" t="str">
        <f>IF(BP96="","",IF(OR(AND(Rev="H",Calculations!$F$27=TRUE),AND(Rev&lt;&gt;"H",Calculations!$F$30=TRUE)),IF(BP96&lt;=1,"Pass","Fail"),IF(BP96&lt;=1.05,"Pass","Fail")))</f>
        <v/>
      </c>
      <c r="BS96" s="723"/>
      <c r="BT96" s="724"/>
      <c r="BU96" s="49"/>
      <c r="BV96" s="25" t="str">
        <f>IFERROR(CONCATENATE(IF(AND($G96&lt;Hta_1,$G96&gt;=Hba_1,Input!U$21&lt;&gt;""),Input!$B$21&amp;";",""),IF(AND($G96&lt;Hta_2,$G96&gt;=Hba_2,Input!U$22&lt;&gt;""),Input!$B$22&amp;";",""),IF(AND($G96&lt;Hta_3,$G96&gt;=Hba_3,Input!U$23&lt;&gt;""),Input!$B$23&amp;";",""),IF(AND($G96&lt;Hta_4,$G96&gt;=Hba_4,Input!U$24&lt;&gt;""),Input!$B$24&amp;";",""),IF(AND($G96&lt;Hta_5,$G96&gt;=Hba_5,Input!U$25&lt;&gt;""),Input!$B$25&amp;";",""),IF(AND($G96&lt;Hta_6,$G96&gt;=Hba_6,Input!U$26&lt;&gt;""),Input!$B$26&amp;";",""),IF(AND($G96&lt;Hta_7,$G96&gt;=Hba_7,Input!U$27&lt;&gt;""),Input!$B$27&amp;";",""),IF(AND($G96&lt;Hta_8,$G96&gt;=Hba_8,Input!U$28&lt;&gt;""),Input!$B$28&amp;";",""),IF(AND($G96&lt;Hta_9,$G96&gt;=Hba_9,Input!U$29&lt;&gt;""),Input!$B$29&amp;";",""),IF(AND($G96&lt;Hta_10,$G96&gt;=Hba_10,Input!U$30&lt;&gt;""),Input!$B$30&amp;";",""),IF(AND($G96&lt;Hta_11,$G96&gt;=Hba_11,Input!U$31&lt;&gt;""),Input!$B$31&amp;";",""),IF(AND($G96&lt;Hta_12,$G96&gt;=Hba_12,Input!U$32&lt;&gt;""),Input!$B$32&amp;";",""),IF(AND($G96&lt;Hta_13,$G96&gt;=Hba_13,Input!U$33&lt;&gt;""),Input!$B$33&amp;";",""),IF(AND($G96&lt;Hta_14,$G96&gt;=Hba_14,Input!U$34&lt;&gt;""),Input!$B$34&amp;";",""),IF(AND($G96&lt;Hta_15,$G96&gt;=Hba_15,Input!U$35&lt;&gt;""),Input!$B$35&amp;";",""),IF(AND($G96&lt;Hta_16,$G96&gt;=Hba_16,Input!U$36&lt;&gt;""),Input!$B$36&amp;";",""),IF(AND($G96&lt;Hta_17,$G96&gt;=Hba_17,Input!U$37&lt;&gt;""),Input!$B$37&amp;";",""),IF(AND($G96&lt;Hta_18,$G96&gt;=Hba_18,Input!U$38&lt;&gt;""),Input!$B$38&amp;";",""),IF(AND($G96&lt;Hta_19,$G96&gt;=Hba_19,Input!U$39&lt;&gt;""),Input!$B$39&amp;";",""),IF(AND($G96&lt;Hta_20,$G96&gt;=Hba_20,Input!U$40&lt;&gt;""),Input!$B$40&amp;";",""),IF(AND($G96&lt;Hta_21,$G96&gt;=Hba_21,Input!U$41&lt;&gt;""),Input!$B$41&amp;";",""),IF(AND($G96&lt;Hta_22,$G96&gt;=Hba_22,Input!U$42&lt;&gt;""),Input!$B$42&amp;";",""),IF(AND($G96&lt;Hta_23,$G96&gt;=Hba_23,Input!U$43&lt;&gt;""),Input!$B$43&amp;";",""),IF(AND($G96&lt;Hta_24,$G96&gt;=Hba_24,Input!U$44&lt;&gt;""),Input!$B$44&amp;";",""),IF(AND($G96&lt;Hta_25,$G96&gt;=Hba_25,Input!U$45&lt;&gt;""),Input!$B$45&amp;";",""),IF(AND($G96&lt;Hta_26,$G96&gt;=Hba_26,Input!U$46&lt;&gt;""),Input!$B$46&amp;";",""),IF(AND($G96&lt;Hta_27,$G96&gt;=Hba_27,Input!U$47&lt;&gt;""),Input!$B$47&amp;";",""),IF(AND($G96&lt;Hta_28,$G96&gt;=Hba_28,Input!U$48&lt;&gt;""),Input!$B$48&amp;";",""),IF(AND($G96&lt;Hta_29,$G96&gt;=Hba_29,Input!U$49&lt;&gt;""),Input!$B$49&amp;";",""),IF(AND($G96&lt;Hta_30,$G96&gt;=Hba_30,Input!U$50&lt;&gt;""),Input!$B$50&amp;";","")),"")</f>
        <v/>
      </c>
      <c r="BW96" s="25" t="str">
        <f>IFERROR(CONCATENATE(IF(AND($G96&lt;Hta_1,$G96&gt;=Hba_1,Input!V$21&lt;&gt;""),Input!$B$21&amp;";",""),IF(AND($G96&lt;Hta_2,$G96&gt;=Hba_2,Input!V$22&lt;&gt;""),Input!$B$22&amp;";",""),IF(AND($G96&lt;Hta_3,$G96&gt;=Hba_3,Input!V$23&lt;&gt;""),Input!$B$23&amp;";",""),IF(AND($G96&lt;Hta_4,$G96&gt;=Hba_4,Input!V$24&lt;&gt;""),Input!$B$24&amp;";",""),IF(AND($G96&lt;Hta_5,$G96&gt;=Hba_5,Input!V$25&lt;&gt;""),Input!$B$25&amp;";",""),IF(AND($G96&lt;Hta_6,$G96&gt;=Hba_6,Input!V$26&lt;&gt;""),Input!$B$26&amp;";",""),IF(AND($G96&lt;Hta_7,$G96&gt;=Hba_7,Input!V$27&lt;&gt;""),Input!$B$27&amp;";",""),IF(AND($G96&lt;Hta_8,$G96&gt;=Hba_8,Input!V$28&lt;&gt;""),Input!$B$28&amp;";",""),IF(AND($G96&lt;Hta_9,$G96&gt;=Hba_9,Input!V$29&lt;&gt;""),Input!$B$29&amp;";",""),IF(AND($G96&lt;Hta_10,$G96&gt;=Hba_10,Input!V$30&lt;&gt;""),Input!$B$30&amp;";",""),IF(AND($G96&lt;Hta_11,$G96&gt;=Hba_11,Input!V$31&lt;&gt;""),Input!$B$31&amp;";",""),IF(AND($G96&lt;Hta_12,$G96&gt;=Hba_12,Input!V$32&lt;&gt;""),Input!$B$32&amp;";",""),IF(AND($G96&lt;Hta_13,$G96&gt;=Hba_13,Input!V$33&lt;&gt;""),Input!$B$33&amp;";",""),IF(AND($G96&lt;Hta_14,$G96&gt;=Hba_14,Input!V$34&lt;&gt;""),Input!$B$34&amp;";",""),IF(AND($G96&lt;Hta_15,$G96&gt;=Hba_15,Input!V$35&lt;&gt;""),Input!$B$35&amp;";",""),IF(AND($G96&lt;Hta_16,$G96&gt;=Hba_16,Input!V$36&lt;&gt;""),Input!$B$36&amp;";",""),IF(AND($G96&lt;Hta_17,$G96&gt;=Hba_17,Input!V$37&lt;&gt;""),Input!$B$37&amp;";",""),IF(AND($G96&lt;Hta_18,$G96&gt;=Hba_18,Input!V$38&lt;&gt;""),Input!$B$38&amp;";",""),IF(AND($G96&lt;Hta_19,$G96&gt;=Hba_19,Input!V$39&lt;&gt;""),Input!$B$39&amp;";",""),IF(AND($G96&lt;Hta_20,$G96&gt;=Hba_20,Input!V$40&lt;&gt;""),Input!$B$40&amp;";",""),IF(AND($G96&lt;Hta_21,$G96&gt;=Hba_21,Input!V$41&lt;&gt;""),Input!$B$41&amp;";",""),IF(AND($G96&lt;Hta_22,$G96&gt;=Hba_22,Input!V$42&lt;&gt;""),Input!$B$42&amp;";",""),IF(AND($G96&lt;Hta_23,$G96&gt;=Hba_23,Input!V$43&lt;&gt;""),Input!$B$43&amp;";",""),IF(AND($G96&lt;Hta_24,$G96&gt;=Hba_24,Input!V$44&lt;&gt;""),Input!$B$44&amp;";",""),IF(AND($G96&lt;Hta_25,$G96&gt;=Hba_25,Input!V$45&lt;&gt;""),Input!$B$45&amp;";",""),IF(AND($G96&lt;Hta_26,$G96&gt;=Hba_26,Input!V$46&lt;&gt;""),Input!$B$46&amp;";",""),IF(AND($G96&lt;Hta_27,$G96&gt;=Hba_27,Input!V$47&lt;&gt;""),Input!$B$47&amp;";",""),IF(AND($G96&lt;Hta_28,$G96&gt;=Hba_28,Input!V$48&lt;&gt;""),Input!$B$48&amp;";",""),IF(AND($G96&lt;Hta_29,$G96&gt;=Hba_29,Input!V$49&lt;&gt;""),Input!$B$49&amp;";",""),IF(AND($G96&lt;Hta_30,$G96&gt;=Hba_30,Input!V$50&lt;&gt;""),Input!$B$50&amp;";","")),"")</f>
        <v/>
      </c>
      <c r="BX96" s="25" t="str">
        <f>IFERROR(CONCATENATE(IF(AND($G96&lt;Hta_1,$G96&gt;=Hba_1,Input!W$21&lt;&gt;""),Input!$B$21&amp;";",""),IF(AND($G96&lt;Hta_2,$G96&gt;=Hba_2,Input!W$22&lt;&gt;""),Input!$B$22&amp;";",""),IF(AND($G96&lt;Hta_3,$G96&gt;=Hba_3,Input!W$23&lt;&gt;""),Input!$B$23&amp;";",""),IF(AND($G96&lt;Hta_4,$G96&gt;=Hba_4,Input!W$24&lt;&gt;""),Input!$B$24&amp;";",""),IF(AND($G96&lt;Hta_5,$G96&gt;=Hba_5,Input!W$25&lt;&gt;""),Input!$B$25&amp;";",""),IF(AND($G96&lt;Hta_6,$G96&gt;=Hba_6,Input!W$26&lt;&gt;""),Input!$B$26&amp;";",""),IF(AND($G96&lt;Hta_7,$G96&gt;=Hba_7,Input!W$27&lt;&gt;""),Input!$B$27&amp;";",""),IF(AND($G96&lt;Hta_8,$G96&gt;=Hba_8,Input!W$28&lt;&gt;""),Input!$B$28&amp;";",""),IF(AND($G96&lt;Hta_9,$G96&gt;=Hba_9,Input!W$29&lt;&gt;""),Input!$B$29&amp;";",""),IF(AND($G96&lt;Hta_10,$G96&gt;=Hba_10,Input!W$30&lt;&gt;""),Input!$B$30&amp;";",""),IF(AND($G96&lt;Hta_11,$G96&gt;=Hba_11,Input!W$31&lt;&gt;""),Input!$B$31&amp;";",""),IF(AND($G96&lt;Hta_12,$G96&gt;=Hba_12,Input!W$32&lt;&gt;""),Input!$B$32&amp;";",""),IF(AND($G96&lt;Hta_13,$G96&gt;=Hba_13,Input!W$33&lt;&gt;""),Input!$B$33&amp;";",""),IF(AND($G96&lt;Hta_14,$G96&gt;=Hba_14,Input!W$34&lt;&gt;""),Input!$B$34&amp;";",""),IF(AND($G96&lt;Hta_15,$G96&gt;=Hba_15,Input!W$35&lt;&gt;""),Input!$B$35&amp;";",""),IF(AND($G96&lt;Hta_16,$G96&gt;=Hba_16,Input!W$36&lt;&gt;""),Input!$B$36&amp;";",""),IF(AND($G96&lt;Hta_17,$G96&gt;=Hba_17,Input!W$37&lt;&gt;""),Input!$B$37&amp;";",""),IF(AND($G96&lt;Hta_18,$G96&gt;=Hba_18,Input!W$38&lt;&gt;""),Input!$B$38&amp;";",""),IF(AND($G96&lt;Hta_19,$G96&gt;=Hba_19,Input!W$39&lt;&gt;""),Input!$B$39&amp;";",""),IF(AND($G96&lt;Hta_20,$G96&gt;=Hba_20,Input!W$40&lt;&gt;""),Input!$B$40&amp;";",""),IF(AND($G96&lt;Hta_21,$G96&gt;=Hba_21,Input!W$41&lt;&gt;""),Input!$B$41&amp;";",""),IF(AND($G96&lt;Hta_22,$G96&gt;=Hba_22,Input!W$42&lt;&gt;""),Input!$B$42&amp;";",""),IF(AND($G96&lt;Hta_23,$G96&gt;=Hba_23,Input!W$43&lt;&gt;""),Input!$B$43&amp;";",""),IF(AND($G96&lt;Hta_24,$G96&gt;=Hba_24,Input!W$44&lt;&gt;""),Input!$B$44&amp;";",""),IF(AND($G96&lt;Hta_25,$G96&gt;=Hba_25,Input!W$45&lt;&gt;""),Input!$B$45&amp;";",""),IF(AND($G96&lt;Hta_26,$G96&gt;=Hba_26,Input!W$46&lt;&gt;""),Input!$B$46&amp;";",""),IF(AND($G96&lt;Hta_27,$G96&gt;=Hba_27,Input!W$47&lt;&gt;""),Input!$B$47&amp;";",""),IF(AND($G96&lt;Hta_28,$G96&gt;=Hba_28,Input!W$48&lt;&gt;""),Input!$B$48&amp;";",""),IF(AND($G96&lt;Hta_29,$G96&gt;=Hba_29,Input!W$49&lt;&gt;""),Input!$B$49&amp;";",""),IF(AND($G96&lt;Hta_30,$G96&gt;=Hba_30,Input!W$50&lt;&gt;""),Input!$B$50&amp;";","")),"")</f>
        <v/>
      </c>
      <c r="BY96" s="25" t="str">
        <f>IFERROR(CONCATENATE(IF(AND($G96&lt;Hta_1,$G96&gt;=Hba_1,Input!X$21&lt;&gt;""),Input!$B$21&amp;";",""),IF(AND($G96&lt;Hta_2,$G96&gt;=Hba_2,Input!X$22&lt;&gt;""),Input!$B$22&amp;";",""),IF(AND($G96&lt;Hta_3,$G96&gt;=Hba_3,Input!X$23&lt;&gt;""),Input!$B$23&amp;";",""),IF(AND($G96&lt;Hta_4,$G96&gt;=Hba_4,Input!X$24&lt;&gt;""),Input!$B$24&amp;";",""),IF(AND($G96&lt;Hta_5,$G96&gt;=Hba_5,Input!X$25&lt;&gt;""),Input!$B$25&amp;";",""),IF(AND($G96&lt;Hta_6,$G96&gt;=Hba_6,Input!X$26&lt;&gt;""),Input!$B$26&amp;";",""),IF(AND($G96&lt;Hta_7,$G96&gt;=Hba_7,Input!X$27&lt;&gt;""),Input!$B$27&amp;";",""),IF(AND($G96&lt;Hta_8,$G96&gt;=Hba_8,Input!X$28&lt;&gt;""),Input!$B$28&amp;";",""),IF(AND($G96&lt;Hta_9,$G96&gt;=Hba_9,Input!X$29&lt;&gt;""),Input!$B$29&amp;";",""),IF(AND($G96&lt;Hta_10,$G96&gt;=Hba_10,Input!X$30&lt;&gt;""),Input!$B$30&amp;";",""),IF(AND($G96&lt;Hta_11,$G96&gt;=Hba_11,Input!X$31&lt;&gt;""),Input!$B$31&amp;";",""),IF(AND($G96&lt;Hta_12,$G96&gt;=Hba_12,Input!X$32&lt;&gt;""),Input!$B$32&amp;";",""),IF(AND($G96&lt;Hta_13,$G96&gt;=Hba_13,Input!X$33&lt;&gt;""),Input!$B$33&amp;";",""),IF(AND($G96&lt;Hta_14,$G96&gt;=Hba_14,Input!X$34&lt;&gt;""),Input!$B$34&amp;";",""),IF(AND($G96&lt;Hta_15,$G96&gt;=Hba_15,Input!X$35&lt;&gt;""),Input!$B$35&amp;";",""),IF(AND($G96&lt;Hta_16,$G96&gt;=Hba_16,Input!X$36&lt;&gt;""),Input!$B$36&amp;";",""),IF(AND($G96&lt;Hta_17,$G96&gt;=Hba_17,Input!X$37&lt;&gt;""),Input!$B$37&amp;";",""),IF(AND($G96&lt;Hta_18,$G96&gt;=Hba_18,Input!X$38&lt;&gt;""),Input!$B$38&amp;";",""),IF(AND($G96&lt;Hta_19,$G96&gt;=Hba_19,Input!X$39&lt;&gt;""),Input!$B$39&amp;";",""),IF(AND($G96&lt;Hta_20,$G96&gt;=Hba_20,Input!X$40&lt;&gt;""),Input!$B$40&amp;";",""),IF(AND($G96&lt;Hta_21,$G96&gt;=Hba_21,Input!X$41&lt;&gt;""),Input!$B$41&amp;";",""),IF(AND($G96&lt;Hta_22,$G96&gt;=Hba_22,Input!X$42&lt;&gt;""),Input!$B$42&amp;";",""),IF(AND($G96&lt;Hta_23,$G96&gt;=Hba_23,Input!X$43&lt;&gt;""),Input!$B$43&amp;";",""),IF(AND($G96&lt;Hta_24,$G96&gt;=Hba_24,Input!X$44&lt;&gt;""),Input!$B$44&amp;";",""),IF(AND($G96&lt;Hta_25,$G96&gt;=Hba_25,Input!X$45&lt;&gt;""),Input!$B$45&amp;";",""),IF(AND($G96&lt;Hta_26,$G96&gt;=Hba_26,Input!X$46&lt;&gt;""),Input!$B$46&amp;";",""),IF(AND($G96&lt;Hta_27,$G96&gt;=Hba_27,Input!X$47&lt;&gt;""),Input!$B$47&amp;";",""),IF(AND($G96&lt;Hta_28,$G96&gt;=Hba_28,Input!X$48&lt;&gt;""),Input!$B$48&amp;";",""),IF(AND($G96&lt;Hta_29,$G96&gt;=Hba_29,Input!X$49&lt;&gt;""),Input!$B$49&amp;";",""),IF(AND($G96&lt;Hta_30,$G96&gt;=Hba_30,Input!X$50&lt;&gt;""),Input!$B$50&amp;";","")),"")</f>
        <v/>
      </c>
      <c r="BZ96" s="25" t="str">
        <f>IFERROR(CONCATENATE(IF(AND($G96&lt;Hta_1,$G96&gt;=Hba_1,Input!Y$21&lt;&gt;""),Input!$B$21&amp;";",""),IF(AND($G96&lt;Hta_2,$G96&gt;=Hba_2,Input!Y$22&lt;&gt;""),Input!$B$22&amp;";",""),IF(AND($G96&lt;Hta_3,$G96&gt;=Hba_3,Input!Y$23&lt;&gt;""),Input!$B$23&amp;";",""),IF(AND($G96&lt;Hta_4,$G96&gt;=Hba_4,Input!Y$24&lt;&gt;""),Input!$B$24&amp;";",""),IF(AND($G96&lt;Hta_5,$G96&gt;=Hba_5,Input!Y$25&lt;&gt;""),Input!$B$25&amp;";",""),IF(AND($G96&lt;Hta_6,$G96&gt;=Hba_6,Input!Y$26&lt;&gt;""),Input!$B$26&amp;";",""),IF(AND($G96&lt;Hta_7,$G96&gt;=Hba_7,Input!Y$27&lt;&gt;""),Input!$B$27&amp;";",""),IF(AND($G96&lt;Hta_8,$G96&gt;=Hba_8,Input!Y$28&lt;&gt;""),Input!$B$28&amp;";",""),IF(AND($G96&lt;Hta_9,$G96&gt;=Hba_9,Input!Y$29&lt;&gt;""),Input!$B$29&amp;";",""),IF(AND($G96&lt;Hta_10,$G96&gt;=Hba_10,Input!Y$30&lt;&gt;""),Input!$B$30&amp;";",""),IF(AND($G96&lt;Hta_11,$G96&gt;=Hba_11,Input!Y$31&lt;&gt;""),Input!$B$31&amp;";",""),IF(AND($G96&lt;Hta_12,$G96&gt;=Hba_12,Input!Y$32&lt;&gt;""),Input!$B$32&amp;";",""),IF(AND($G96&lt;Hta_13,$G96&gt;=Hba_13,Input!Y$33&lt;&gt;""),Input!$B$33&amp;";",""),IF(AND($G96&lt;Hta_14,$G96&gt;=Hba_14,Input!Y$34&lt;&gt;""),Input!$B$34&amp;";",""),IF(AND($G96&lt;Hta_15,$G96&gt;=Hba_15,Input!Y$35&lt;&gt;""),Input!$B$35&amp;";",""),IF(AND($G96&lt;Hta_16,$G96&gt;=Hba_16,Input!Y$36&lt;&gt;""),Input!$B$36&amp;";",""),IF(AND($G96&lt;Hta_17,$G96&gt;=Hba_17,Input!Y$37&lt;&gt;""),Input!$B$37&amp;";",""),IF(AND($G96&lt;Hta_18,$G96&gt;=Hba_18,Input!Y$38&lt;&gt;""),Input!$B$38&amp;";",""),IF(AND($G96&lt;Hta_19,$G96&gt;=Hba_19,Input!Y$39&lt;&gt;""),Input!$B$39&amp;";",""),IF(AND($G96&lt;Hta_20,$G96&gt;=Hba_20,Input!Y$40&lt;&gt;""),Input!$B$40&amp;";",""),IF(AND($G96&lt;Hta_21,$G96&gt;=Hba_21,Input!Y$41&lt;&gt;""),Input!$B$41&amp;";",""),IF(AND($G96&lt;Hta_22,$G96&gt;=Hba_22,Input!Y$42&lt;&gt;""),Input!$B$42&amp;";",""),IF(AND($G96&lt;Hta_23,$G96&gt;=Hba_23,Input!Y$43&lt;&gt;""),Input!$B$43&amp;";",""),IF(AND($G96&lt;Hta_24,$G96&gt;=Hba_24,Input!Y$44&lt;&gt;""),Input!$B$44&amp;";",""),IF(AND($G96&lt;Hta_25,$G96&gt;=Hba_25,Input!Y$45&lt;&gt;""),Input!$B$45&amp;";",""),IF(AND($G96&lt;Hta_26,$G96&gt;=Hba_26,Input!Y$46&lt;&gt;""),Input!$B$46&amp;";",""),IF(AND($G96&lt;Hta_27,$G96&gt;=Hba_27,Input!Y$47&lt;&gt;""),Input!$B$47&amp;";",""),IF(AND($G96&lt;Hta_28,$G96&gt;=Hba_28,Input!Y$48&lt;&gt;""),Input!$B$48&amp;";",""),IF(AND($G96&lt;Hta_29,$G96&gt;=Hba_29,Input!Y$49&lt;&gt;""),Input!$B$49&amp;";",""),IF(AND($G96&lt;Hta_30,$G96&gt;=Hba_30,Input!Y$50&lt;&gt;""),Input!$B$50&amp;";","")),"")</f>
        <v/>
      </c>
      <c r="CA96" s="25" t="str">
        <f>IFERROR(CONCATENATE(IF(AND($G96&lt;Hta_1,$G96&gt;=Hba_1,Input!Z$21&lt;&gt;""),Input!$B$21&amp;";",""),IF(AND($G96&lt;Hta_2,$G96&gt;=Hba_2,Input!Z$22&lt;&gt;""),Input!$B$22&amp;";",""),IF(AND($G96&lt;Hta_3,$G96&gt;=Hba_3,Input!Z$23&lt;&gt;""),Input!$B$23&amp;";",""),IF(AND($G96&lt;Hta_4,$G96&gt;=Hba_4,Input!Z$24&lt;&gt;""),Input!$B$24&amp;";",""),IF(AND($G96&lt;Hta_5,$G96&gt;=Hba_5,Input!Z$25&lt;&gt;""),Input!$B$25&amp;";",""),IF(AND($G96&lt;Hta_6,$G96&gt;=Hba_6,Input!Z$26&lt;&gt;""),Input!$B$26&amp;";",""),IF(AND($G96&lt;Hta_7,$G96&gt;=Hba_7,Input!Z$27&lt;&gt;""),Input!$B$27&amp;";",""),IF(AND($G96&lt;Hta_8,$G96&gt;=Hba_8,Input!Z$28&lt;&gt;""),Input!$B$28&amp;";",""),IF(AND($G96&lt;Hta_9,$G96&gt;=Hba_9,Input!Z$29&lt;&gt;""),Input!$B$29&amp;";",""),IF(AND($G96&lt;Hta_10,$G96&gt;=Hba_10,Input!Z$30&lt;&gt;""),Input!$B$30&amp;";",""),IF(AND($G96&lt;Hta_11,$G96&gt;=Hba_11,Input!Z$31&lt;&gt;""),Input!$B$31&amp;";",""),IF(AND($G96&lt;Hta_12,$G96&gt;=Hba_12,Input!Z$32&lt;&gt;""),Input!$B$32&amp;";",""),IF(AND($G96&lt;Hta_13,$G96&gt;=Hba_13,Input!Z$33&lt;&gt;""),Input!$B$33&amp;";",""),IF(AND($G96&lt;Hta_14,$G96&gt;=Hba_14,Input!Z$34&lt;&gt;""),Input!$B$34&amp;";",""),IF(AND($G96&lt;Hta_15,$G96&gt;=Hba_15,Input!Z$35&lt;&gt;""),Input!$B$35&amp;";",""),IF(AND($G96&lt;Hta_16,$G96&gt;=Hba_16,Input!Z$36&lt;&gt;""),Input!$B$36&amp;";",""),IF(AND($G96&lt;Hta_17,$G96&gt;=Hba_17,Input!Z$37&lt;&gt;""),Input!$B$37&amp;";",""),IF(AND($G96&lt;Hta_18,$G96&gt;=Hba_18,Input!Z$38&lt;&gt;""),Input!$B$38&amp;";",""),IF(AND($G96&lt;Hta_19,$G96&gt;=Hba_19,Input!Z$39&lt;&gt;""),Input!$B$39&amp;";",""),IF(AND($G96&lt;Hta_20,$G96&gt;=Hba_20,Input!Z$40&lt;&gt;""),Input!$B$40&amp;";",""),IF(AND($G96&lt;Hta_21,$G96&gt;=Hba_21,Input!Z$41&lt;&gt;""),Input!$B$41&amp;";",""),IF(AND($G96&lt;Hta_22,$G96&gt;=Hba_22,Input!Z$42&lt;&gt;""),Input!$B$42&amp;";",""),IF(AND($G96&lt;Hta_23,$G96&gt;=Hba_23,Input!Z$43&lt;&gt;""),Input!$B$43&amp;";",""),IF(AND($G96&lt;Hta_24,$G96&gt;=Hba_24,Input!Z$44&lt;&gt;""),Input!$B$44&amp;";",""),IF(AND($G96&lt;Hta_25,$G96&gt;=Hba_25,Input!Z$45&lt;&gt;""),Input!$B$45&amp;";",""),IF(AND($G96&lt;Hta_26,$G96&gt;=Hba_26,Input!Z$46&lt;&gt;""),Input!$B$46&amp;";",""),IF(AND($G96&lt;Hta_27,$G96&gt;=Hba_27,Input!Z$47&lt;&gt;""),Input!$B$47&amp;";",""),IF(AND($G96&lt;Hta_28,$G96&gt;=Hba_28,Input!Z$48&lt;&gt;""),Input!$B$48&amp;";",""),IF(AND($G96&lt;Hta_29,$G96&gt;=Hba_29,Input!Z$49&lt;&gt;""),Input!$B$49&amp;";",""),IF(AND($G96&lt;Hta_30,$G96&gt;=Hba_30,Input!Z$50&lt;&gt;""),Input!$B$50&amp;";","")),"")</f>
        <v/>
      </c>
      <c r="CB96" s="25" t="str">
        <f>IFERROR(CONCATENATE(IF(AND($G96&lt;Hta_1,$G96&gt;=Hba_1,Input!AA$21&lt;&gt;""),Input!$B$21&amp;";",""),IF(AND($G96&lt;Hta_2,$G96&gt;=Hba_2,Input!AA$22&lt;&gt;""),Input!$B$22&amp;";",""),IF(AND($G96&lt;Hta_3,$G96&gt;=Hba_3,Input!AA$23&lt;&gt;""),Input!$B$23&amp;";",""),IF(AND($G96&lt;Hta_4,$G96&gt;=Hba_4,Input!AA$24&lt;&gt;""),Input!$B$24&amp;";",""),IF(AND($G96&lt;Hta_5,$G96&gt;=Hba_5,Input!AA$25&lt;&gt;""),Input!$B$25&amp;";",""),IF(AND($G96&lt;Hta_6,$G96&gt;=Hba_6,Input!AA$26&lt;&gt;""),Input!$B$26&amp;";",""),IF(AND($G96&lt;Hta_7,$G96&gt;=Hba_7,Input!AA$27&lt;&gt;""),Input!$B$27&amp;";",""),IF(AND($G96&lt;Hta_8,$G96&gt;=Hba_8,Input!AA$28&lt;&gt;""),Input!$B$28&amp;";",""),IF(AND($G96&lt;Hta_9,$G96&gt;=Hba_9,Input!AA$29&lt;&gt;""),Input!$B$29&amp;";",""),IF(AND($G96&lt;Hta_10,$G96&gt;=Hba_10,Input!AA$30&lt;&gt;""),Input!$B$30&amp;";",""),IF(AND($G96&lt;Hta_11,$G96&gt;=Hba_11,Input!AA$31&lt;&gt;""),Input!$B$31&amp;";",""),IF(AND($G96&lt;Hta_12,$G96&gt;=Hba_12,Input!AA$32&lt;&gt;""),Input!$B$32&amp;";",""),IF(AND($G96&lt;Hta_13,$G96&gt;=Hba_13,Input!AA$33&lt;&gt;""),Input!$B$33&amp;";",""),IF(AND($G96&lt;Hta_14,$G96&gt;=Hba_14,Input!AA$34&lt;&gt;""),Input!$B$34&amp;";",""),IF(AND($G96&lt;Hta_15,$G96&gt;=Hba_15,Input!AA$35&lt;&gt;""),Input!$B$35&amp;";",""),IF(AND($G96&lt;Hta_16,$G96&gt;=Hba_16,Input!AA$36&lt;&gt;""),Input!$B$36&amp;";",""),IF(AND($G96&lt;Hta_17,$G96&gt;=Hba_17,Input!AA$37&lt;&gt;""),Input!$B$37&amp;";",""),IF(AND($G96&lt;Hta_18,$G96&gt;=Hba_18,Input!AA$38&lt;&gt;""),Input!$B$38&amp;";",""),IF(AND($G96&lt;Hta_19,$G96&gt;=Hba_19,Input!AA$39&lt;&gt;""),Input!$B$39&amp;";",""),IF(AND($G96&lt;Hta_20,$G96&gt;=Hba_20,Input!AA$40&lt;&gt;""),Input!$B$40&amp;";",""),IF(AND($G96&lt;Hta_21,$G96&gt;=Hba_21,Input!AA$41&lt;&gt;""),Input!$B$41&amp;";",""),IF(AND($G96&lt;Hta_22,$G96&gt;=Hba_22,Input!AA$42&lt;&gt;""),Input!$B$42&amp;";",""),IF(AND($G96&lt;Hta_23,$G96&gt;=Hba_23,Input!AA$43&lt;&gt;""),Input!$B$43&amp;";",""),IF(AND($G96&lt;Hta_24,$G96&gt;=Hba_24,Input!AA$44&lt;&gt;""),Input!$B$44&amp;";",""),IF(AND($G96&lt;Hta_25,$G96&gt;=Hba_25,Input!AA$45&lt;&gt;""),Input!$B$45&amp;";",""),IF(AND($G96&lt;Hta_26,$G96&gt;=Hba_26,Input!AA$46&lt;&gt;""),Input!$B$46&amp;";",""),IF(AND($G96&lt;Hta_27,$G96&gt;=Hba_27,Input!AA$47&lt;&gt;""),Input!$B$47&amp;";",""),IF(AND($G96&lt;Hta_28,$G96&gt;=Hba_28,Input!AA$48&lt;&gt;""),Input!$B$48&amp;";",""),IF(AND($G96&lt;Hta_29,$G96&gt;=Hba_29,Input!AA$49&lt;&gt;""),Input!$B$49&amp;";",""),IF(AND($G96&lt;Hta_30,$G96&gt;=Hba_30,Input!AA$50&lt;&gt;""),Input!$B$50&amp;";","")),"")</f>
        <v/>
      </c>
      <c r="CC96" s="25" t="str">
        <f>IFERROR(CONCATENATE(IF(AND($G96&lt;Hta_1,$G96&gt;=Hba_1,Input!AB$21&lt;&gt;""),Input!$B$21&amp;";",""),IF(AND($G96&lt;Hta_2,$G96&gt;=Hba_2,Input!AB$22&lt;&gt;""),Input!$B$22&amp;";",""),IF(AND($G96&lt;Hta_3,$G96&gt;=Hba_3,Input!AB$23&lt;&gt;""),Input!$B$23&amp;";",""),IF(AND($G96&lt;Hta_4,$G96&gt;=Hba_4,Input!AB$24&lt;&gt;""),Input!$B$24&amp;";",""),IF(AND($G96&lt;Hta_5,$G96&gt;=Hba_5,Input!AB$25&lt;&gt;""),Input!$B$25&amp;";",""),IF(AND($G96&lt;Hta_6,$G96&gt;=Hba_6,Input!AB$26&lt;&gt;""),Input!$B$26&amp;";",""),IF(AND($G96&lt;Hta_7,$G96&gt;=Hba_7,Input!AB$27&lt;&gt;""),Input!$B$27&amp;";",""),IF(AND($G96&lt;Hta_8,$G96&gt;=Hba_8,Input!AB$28&lt;&gt;""),Input!$B$28&amp;";",""),IF(AND($G96&lt;Hta_9,$G96&gt;=Hba_9,Input!AB$29&lt;&gt;""),Input!$B$29&amp;";",""),IF(AND($G96&lt;Hta_10,$G96&gt;=Hba_10,Input!AB$30&lt;&gt;""),Input!$B$30&amp;";",""),IF(AND($G96&lt;Hta_11,$G96&gt;=Hba_11,Input!AB$31&lt;&gt;""),Input!$B$31&amp;";",""),IF(AND($G96&lt;Hta_12,$G96&gt;=Hba_12,Input!AB$32&lt;&gt;""),Input!$B$32&amp;";",""),IF(AND($G96&lt;Hta_13,$G96&gt;=Hba_13,Input!AB$33&lt;&gt;""),Input!$B$33&amp;";",""),IF(AND($G96&lt;Hta_14,$G96&gt;=Hba_14,Input!AB$34&lt;&gt;""),Input!$B$34&amp;";",""),IF(AND($G96&lt;Hta_15,$G96&gt;=Hba_15,Input!AB$35&lt;&gt;""),Input!$B$35&amp;";",""),IF(AND($G96&lt;Hta_16,$G96&gt;=Hba_16,Input!AB$36&lt;&gt;""),Input!$B$36&amp;";",""),IF(AND($G96&lt;Hta_17,$G96&gt;=Hba_17,Input!AB$37&lt;&gt;""),Input!$B$37&amp;";",""),IF(AND($G96&lt;Hta_18,$G96&gt;=Hba_18,Input!AB$38&lt;&gt;""),Input!$B$38&amp;";",""),IF(AND($G96&lt;Hta_19,$G96&gt;=Hba_19,Input!AB$39&lt;&gt;""),Input!$B$39&amp;";",""),IF(AND($G96&lt;Hta_20,$G96&gt;=Hba_20,Input!AB$40&lt;&gt;""),Input!$B$40&amp;";",""),IF(AND($G96&lt;Hta_21,$G96&gt;=Hba_21,Input!AB$41&lt;&gt;""),Input!$B$41&amp;";",""),IF(AND($G96&lt;Hta_22,$G96&gt;=Hba_22,Input!AB$42&lt;&gt;""),Input!$B$42&amp;";",""),IF(AND($G96&lt;Hta_23,$G96&gt;=Hba_23,Input!AB$43&lt;&gt;""),Input!$B$43&amp;";",""),IF(AND($G96&lt;Hta_24,$G96&gt;=Hba_24,Input!AB$44&lt;&gt;""),Input!$B$44&amp;";",""),IF(AND($G96&lt;Hta_25,$G96&gt;=Hba_25,Input!AB$45&lt;&gt;""),Input!$B$45&amp;";",""),IF(AND($G96&lt;Hta_26,$G96&gt;=Hba_26,Input!AB$46&lt;&gt;""),Input!$B$46&amp;";",""),IF(AND($G96&lt;Hta_27,$G96&gt;=Hba_27,Input!AB$47&lt;&gt;""),Input!$B$47&amp;";",""),IF(AND($G96&lt;Hta_28,$G96&gt;=Hba_28,Input!AB$48&lt;&gt;""),Input!$B$48&amp;";",""),IF(AND($G96&lt;Hta_29,$G96&gt;=Hba_29,Input!AB$49&lt;&gt;""),Input!$B$49&amp;";",""),IF(AND($G96&lt;Hta_30,$G96&gt;=Hba_30,Input!AB$50&lt;&gt;""),Input!$B$50&amp;";","")),"")</f>
        <v/>
      </c>
      <c r="CD96" s="25" t="str">
        <f>IFERROR(CONCATENATE(IF(AND($G96&lt;Hta_1,$G96&gt;=Hba_1,Input!AC$21&lt;&gt;""),Input!$B$21&amp;";",""),IF(AND($G96&lt;Hta_2,$G96&gt;=Hba_2,Input!AC$22&lt;&gt;""),Input!$B$22&amp;";",""),IF(AND($G96&lt;Hta_3,$G96&gt;=Hba_3,Input!AC$23&lt;&gt;""),Input!$B$23&amp;";",""),IF(AND($G96&lt;Hta_4,$G96&gt;=Hba_4,Input!AC$24&lt;&gt;""),Input!$B$24&amp;";",""),IF(AND($G96&lt;Hta_5,$G96&gt;=Hba_5,Input!AC$25&lt;&gt;""),Input!$B$25&amp;";",""),IF(AND($G96&lt;Hta_6,$G96&gt;=Hba_6,Input!AC$26&lt;&gt;""),Input!$B$26&amp;";",""),IF(AND($G96&lt;Hta_7,$G96&gt;=Hba_7,Input!AC$27&lt;&gt;""),Input!$B$27&amp;";",""),IF(AND($G96&lt;Hta_8,$G96&gt;=Hba_8,Input!AC$28&lt;&gt;""),Input!$B$28&amp;";",""),IF(AND($G96&lt;Hta_9,$G96&gt;=Hba_9,Input!AC$29&lt;&gt;""),Input!$B$29&amp;";",""),IF(AND($G96&lt;Hta_10,$G96&gt;=Hba_10,Input!AC$30&lt;&gt;""),Input!$B$30&amp;";",""),IF(AND($G96&lt;Hta_11,$G96&gt;=Hba_11,Input!AC$31&lt;&gt;""),Input!$B$31&amp;";",""),IF(AND($G96&lt;Hta_12,$G96&gt;=Hba_12,Input!AC$32&lt;&gt;""),Input!$B$32&amp;";",""),IF(AND($G96&lt;Hta_13,$G96&gt;=Hba_13,Input!AC$33&lt;&gt;""),Input!$B$33&amp;";",""),IF(AND($G96&lt;Hta_14,$G96&gt;=Hba_14,Input!AC$34&lt;&gt;""),Input!$B$34&amp;";",""),IF(AND($G96&lt;Hta_15,$G96&gt;=Hba_15,Input!AC$35&lt;&gt;""),Input!$B$35&amp;";",""),IF(AND($G96&lt;Hta_16,$G96&gt;=Hba_16,Input!AC$36&lt;&gt;""),Input!$B$36&amp;";",""),IF(AND($G96&lt;Hta_17,$G96&gt;=Hba_17,Input!AC$37&lt;&gt;""),Input!$B$37&amp;";",""),IF(AND($G96&lt;Hta_18,$G96&gt;=Hba_18,Input!AC$38&lt;&gt;""),Input!$B$38&amp;";",""),IF(AND($G96&lt;Hta_19,$G96&gt;=Hba_19,Input!AC$39&lt;&gt;""),Input!$B$39&amp;";",""),IF(AND($G96&lt;Hta_20,$G96&gt;=Hba_20,Input!AC$40&lt;&gt;""),Input!$B$40&amp;";",""),IF(AND($G96&lt;Hta_21,$G96&gt;=Hba_21,Input!AC$41&lt;&gt;""),Input!$B$41&amp;";",""),IF(AND($G96&lt;Hta_22,$G96&gt;=Hba_22,Input!AC$42&lt;&gt;""),Input!$B$42&amp;";",""),IF(AND($G96&lt;Hta_23,$G96&gt;=Hba_23,Input!AC$43&lt;&gt;""),Input!$B$43&amp;";",""),IF(AND($G96&lt;Hta_24,$G96&gt;=Hba_24,Input!AC$44&lt;&gt;""),Input!$B$44&amp;";",""),IF(AND($G96&lt;Hta_25,$G96&gt;=Hba_25,Input!AC$45&lt;&gt;""),Input!$B$45&amp;";",""),IF(AND($G96&lt;Hta_26,$G96&gt;=Hba_26,Input!AC$46&lt;&gt;""),Input!$B$46&amp;";",""),IF(AND($G96&lt;Hta_27,$G96&gt;=Hba_27,Input!AC$47&lt;&gt;""),Input!$B$47&amp;";",""),IF(AND($G96&lt;Hta_28,$G96&gt;=Hba_28,Input!AC$48&lt;&gt;""),Input!$B$48&amp;";",""),IF(AND($G96&lt;Hta_29,$G96&gt;=Hba_29,Input!AC$49&lt;&gt;""),Input!$B$49&amp;";",""),IF(AND($G96&lt;Hta_30,$G96&gt;=Hba_30,Input!AC$50&lt;&gt;""),Input!$B$50&amp;";","")),"")</f>
        <v/>
      </c>
      <c r="CE96" s="25" t="str">
        <f>IFERROR(CONCATENATE(IF(AND($G96&lt;Hta_1,$G96&gt;=Hba_1,Input!AD$21&lt;&gt;""),Input!$B$21&amp;";",""),IF(AND($G96&lt;Hta_2,$G96&gt;=Hba_2,Input!AD$22&lt;&gt;""),Input!$B$22&amp;";",""),IF(AND($G96&lt;Hta_3,$G96&gt;=Hba_3,Input!AD$23&lt;&gt;""),Input!$B$23&amp;";",""),IF(AND($G96&lt;Hta_4,$G96&gt;=Hba_4,Input!AD$24&lt;&gt;""),Input!$B$24&amp;";",""),IF(AND($G96&lt;Hta_5,$G96&gt;=Hba_5,Input!AD$25&lt;&gt;""),Input!$B$25&amp;";",""),IF(AND($G96&lt;Hta_6,$G96&gt;=Hba_6,Input!AD$26&lt;&gt;""),Input!$B$26&amp;";",""),IF(AND($G96&lt;Hta_7,$G96&gt;=Hba_7,Input!AD$27&lt;&gt;""),Input!$B$27&amp;";",""),IF(AND($G96&lt;Hta_8,$G96&gt;=Hba_8,Input!AD$28&lt;&gt;""),Input!$B$28&amp;";",""),IF(AND($G96&lt;Hta_9,$G96&gt;=Hba_9,Input!AD$29&lt;&gt;""),Input!$B$29&amp;";",""),IF(AND($G96&lt;Hta_10,$G96&gt;=Hba_10,Input!AD$30&lt;&gt;""),Input!$B$30&amp;";",""),IF(AND($G96&lt;Hta_11,$G96&gt;=Hba_11,Input!AD$31&lt;&gt;""),Input!$B$31&amp;";",""),IF(AND($G96&lt;Hta_12,$G96&gt;=Hba_12,Input!AD$32&lt;&gt;""),Input!$B$32&amp;";",""),IF(AND($G96&lt;Hta_13,$G96&gt;=Hba_13,Input!AD$33&lt;&gt;""),Input!$B$33&amp;";",""),IF(AND($G96&lt;Hta_14,$G96&gt;=Hba_14,Input!AD$34&lt;&gt;""),Input!$B$34&amp;";",""),IF(AND($G96&lt;Hta_15,$G96&gt;=Hba_15,Input!AD$35&lt;&gt;""),Input!$B$35&amp;";",""),IF(AND($G96&lt;Hta_16,$G96&gt;=Hba_16,Input!AD$36&lt;&gt;""),Input!$B$36&amp;";",""),IF(AND($G96&lt;Hta_17,$G96&gt;=Hba_17,Input!AD$37&lt;&gt;""),Input!$B$37&amp;";",""),IF(AND($G96&lt;Hta_18,$G96&gt;=Hba_18,Input!AD$38&lt;&gt;""),Input!$B$38&amp;";",""),IF(AND($G96&lt;Hta_19,$G96&gt;=Hba_19,Input!AD$39&lt;&gt;""),Input!$B$39&amp;";",""),IF(AND($G96&lt;Hta_20,$G96&gt;=Hba_20,Input!AD$40&lt;&gt;""),Input!$B$40&amp;";",""),IF(AND($G96&lt;Hta_21,$G96&gt;=Hba_21,Input!AD$41&lt;&gt;""),Input!$B$41&amp;";",""),IF(AND($G96&lt;Hta_22,$G96&gt;=Hba_22,Input!AD$42&lt;&gt;""),Input!$B$42&amp;";",""),IF(AND($G96&lt;Hta_23,$G96&gt;=Hba_23,Input!AD$43&lt;&gt;""),Input!$B$43&amp;";",""),IF(AND($G96&lt;Hta_24,$G96&gt;=Hba_24,Input!AD$44&lt;&gt;""),Input!$B$44&amp;";",""),IF(AND($G96&lt;Hta_25,$G96&gt;=Hba_25,Input!AD$45&lt;&gt;""),Input!$B$45&amp;";",""),IF(AND($G96&lt;Hta_26,$G96&gt;=Hba_26,Input!AD$46&lt;&gt;""),Input!$B$46&amp;";",""),IF(AND($G96&lt;Hta_27,$G96&gt;=Hba_27,Input!AD$47&lt;&gt;""),Input!$B$47&amp;";",""),IF(AND($G96&lt;Hta_28,$G96&gt;=Hba_28,Input!AD$48&lt;&gt;""),Input!$B$48&amp;";",""),IF(AND($G96&lt;Hta_29,$G96&gt;=Hba_29,Input!AD$49&lt;&gt;""),Input!$B$49&amp;";",""),IF(AND($G96&lt;Hta_30,$G96&gt;=Hba_30,Input!AD$50&lt;&gt;""),Input!$B$50&amp;";","")),"")</f>
        <v/>
      </c>
      <c r="CF96" s="25" t="str">
        <f>IFERROR(CONCATENATE(IF(AND($G96&lt;Hta_1,$G96&gt;=Hba_1,Input!AE$21&lt;&gt;""),Input!$B$21&amp;";",""),IF(AND($G96&lt;Hta_2,$G96&gt;=Hba_2,Input!AE$22&lt;&gt;""),Input!$B$22&amp;";",""),IF(AND($G96&lt;Hta_3,$G96&gt;=Hba_3,Input!AE$23&lt;&gt;""),Input!$B$23&amp;";",""),IF(AND($G96&lt;Hta_4,$G96&gt;=Hba_4,Input!AE$24&lt;&gt;""),Input!$B$24&amp;";",""),IF(AND($G96&lt;Hta_5,$G96&gt;=Hba_5,Input!AE$25&lt;&gt;""),Input!$B$25&amp;";",""),IF(AND($G96&lt;Hta_6,$G96&gt;=Hba_6,Input!AE$26&lt;&gt;""),Input!$B$26&amp;";",""),IF(AND($G96&lt;Hta_7,$G96&gt;=Hba_7,Input!AE$27&lt;&gt;""),Input!$B$27&amp;";",""),IF(AND($G96&lt;Hta_8,$G96&gt;=Hba_8,Input!AE$28&lt;&gt;""),Input!$B$28&amp;";",""),IF(AND($G96&lt;Hta_9,$G96&gt;=Hba_9,Input!AE$29&lt;&gt;""),Input!$B$29&amp;";",""),IF(AND($G96&lt;Hta_10,$G96&gt;=Hba_10,Input!AE$30&lt;&gt;""),Input!$B$30&amp;";",""),IF(AND($G96&lt;Hta_11,$G96&gt;=Hba_11,Input!AE$31&lt;&gt;""),Input!$B$31&amp;";",""),IF(AND($G96&lt;Hta_12,$G96&gt;=Hba_12,Input!AE$32&lt;&gt;""),Input!$B$32&amp;";",""),IF(AND($G96&lt;Hta_13,$G96&gt;=Hba_13,Input!AE$33&lt;&gt;""),Input!$B$33&amp;";",""),IF(AND($G96&lt;Hta_14,$G96&gt;=Hba_14,Input!AE$34&lt;&gt;""),Input!$B$34&amp;";",""),IF(AND($G96&lt;Hta_15,$G96&gt;=Hba_15,Input!AE$35&lt;&gt;""),Input!$B$35&amp;";",""),IF(AND($G96&lt;Hta_16,$G96&gt;=Hba_16,Input!AE$36&lt;&gt;""),Input!$B$36&amp;";",""),IF(AND($G96&lt;Hta_17,$G96&gt;=Hba_17,Input!AE$37&lt;&gt;""),Input!$B$37&amp;";",""),IF(AND($G96&lt;Hta_18,$G96&gt;=Hba_18,Input!AE$38&lt;&gt;""),Input!$B$38&amp;";",""),IF(AND($G96&lt;Hta_19,$G96&gt;=Hba_19,Input!AE$39&lt;&gt;""),Input!$B$39&amp;";",""),IF(AND($G96&lt;Hta_20,$G96&gt;=Hba_20,Input!AE$40&lt;&gt;""),Input!$B$40&amp;";",""),IF(AND($G96&lt;Hta_21,$G96&gt;=Hba_21,Input!AE$41&lt;&gt;""),Input!$B$41&amp;";",""),IF(AND($G96&lt;Hta_22,$G96&gt;=Hba_22,Input!AE$42&lt;&gt;""),Input!$B$42&amp;";",""),IF(AND($G96&lt;Hta_23,$G96&gt;=Hba_23,Input!AE$43&lt;&gt;""),Input!$B$43&amp;";",""),IF(AND($G96&lt;Hta_24,$G96&gt;=Hba_24,Input!AE$44&lt;&gt;""),Input!$B$44&amp;";",""),IF(AND($G96&lt;Hta_25,$G96&gt;=Hba_25,Input!AE$45&lt;&gt;""),Input!$B$45&amp;";",""),IF(AND($G96&lt;Hta_26,$G96&gt;=Hba_26,Input!AE$46&lt;&gt;""),Input!$B$46&amp;";",""),IF(AND($G96&lt;Hta_27,$G96&gt;=Hba_27,Input!AE$47&lt;&gt;""),Input!$B$47&amp;";",""),IF(AND($G96&lt;Hta_28,$G96&gt;=Hba_28,Input!AE$48&lt;&gt;""),Input!$B$48&amp;";",""),IF(AND($G96&lt;Hta_29,$G96&gt;=Hba_29,Input!AE$49&lt;&gt;""),Input!$B$49&amp;";",""),IF(AND($G96&lt;Hta_30,$G96&gt;=Hba_30,Input!AE$50&lt;&gt;""),Input!$B$50&amp;";","")),"")</f>
        <v/>
      </c>
      <c r="CG96" s="25" t="str">
        <f>IFERROR(CONCATENATE(IF(AND($G96&lt;Hta_1,$G96&gt;=Hba_1,Input!AF$21&lt;&gt;""),Input!$B$21&amp;";",""),IF(AND($G96&lt;Hta_2,$G96&gt;=Hba_2,Input!AF$22&lt;&gt;""),Input!$B$22&amp;";",""),IF(AND($G96&lt;Hta_3,$G96&gt;=Hba_3,Input!AF$23&lt;&gt;""),Input!$B$23&amp;";",""),IF(AND($G96&lt;Hta_4,$G96&gt;=Hba_4,Input!AF$24&lt;&gt;""),Input!$B$24&amp;";",""),IF(AND($G96&lt;Hta_5,$G96&gt;=Hba_5,Input!AF$25&lt;&gt;""),Input!$B$25&amp;";",""),IF(AND($G96&lt;Hta_6,$G96&gt;=Hba_6,Input!AF$26&lt;&gt;""),Input!$B$26&amp;";",""),IF(AND($G96&lt;Hta_7,$G96&gt;=Hba_7,Input!AF$27&lt;&gt;""),Input!$B$27&amp;";",""),IF(AND($G96&lt;Hta_8,$G96&gt;=Hba_8,Input!AF$28&lt;&gt;""),Input!$B$28&amp;";",""),IF(AND($G96&lt;Hta_9,$G96&gt;=Hba_9,Input!AF$29&lt;&gt;""),Input!$B$29&amp;";",""),IF(AND($G96&lt;Hta_10,$G96&gt;=Hba_10,Input!AF$30&lt;&gt;""),Input!$B$30&amp;";",""),IF(AND($G96&lt;Hta_11,$G96&gt;=Hba_11,Input!AF$31&lt;&gt;""),Input!$B$31&amp;";",""),IF(AND($G96&lt;Hta_12,$G96&gt;=Hba_12,Input!AF$32&lt;&gt;""),Input!$B$32&amp;";",""),IF(AND($G96&lt;Hta_13,$G96&gt;=Hba_13,Input!AF$33&lt;&gt;""),Input!$B$33&amp;";",""),IF(AND($G96&lt;Hta_14,$G96&gt;=Hba_14,Input!AF$34&lt;&gt;""),Input!$B$34&amp;";",""),IF(AND($G96&lt;Hta_15,$G96&gt;=Hba_15,Input!AF$35&lt;&gt;""),Input!$B$35&amp;";",""),IF(AND($G96&lt;Hta_16,$G96&gt;=Hba_16,Input!AF$36&lt;&gt;""),Input!$B$36&amp;";",""),IF(AND($G96&lt;Hta_17,$G96&gt;=Hba_17,Input!AF$37&lt;&gt;""),Input!$B$37&amp;";",""),IF(AND($G96&lt;Hta_18,$G96&gt;=Hba_18,Input!AF$38&lt;&gt;""),Input!$B$38&amp;";",""),IF(AND($G96&lt;Hta_19,$G96&gt;=Hba_19,Input!AF$39&lt;&gt;""),Input!$B$39&amp;";",""),IF(AND($G96&lt;Hta_20,$G96&gt;=Hba_20,Input!AF$40&lt;&gt;""),Input!$B$40&amp;";",""),IF(AND($G96&lt;Hta_21,$G96&gt;=Hba_21,Input!AF$41&lt;&gt;""),Input!$B$41&amp;";",""),IF(AND($G96&lt;Hta_22,$G96&gt;=Hba_22,Input!AF$42&lt;&gt;""),Input!$B$42&amp;";",""),IF(AND($G96&lt;Hta_23,$G96&gt;=Hba_23,Input!AF$43&lt;&gt;""),Input!$B$43&amp;";",""),IF(AND($G96&lt;Hta_24,$G96&gt;=Hba_24,Input!AF$44&lt;&gt;""),Input!$B$44&amp;";",""),IF(AND($G96&lt;Hta_25,$G96&gt;=Hba_25,Input!AF$45&lt;&gt;""),Input!$B$45&amp;";",""),IF(AND($G96&lt;Hta_26,$G96&gt;=Hba_26,Input!AF$46&lt;&gt;""),Input!$B$46&amp;";",""),IF(AND($G96&lt;Hta_27,$G96&gt;=Hba_27,Input!AF$47&lt;&gt;""),Input!$B$47&amp;";",""),IF(AND($G96&lt;Hta_28,$G96&gt;=Hba_28,Input!AF$48&lt;&gt;""),Input!$B$48&amp;";",""),IF(AND($G96&lt;Hta_29,$G96&gt;=Hba_29,Input!AF$49&lt;&gt;""),Input!$B$49&amp;";",""),IF(AND($G96&lt;Hta_30,$G96&gt;=Hba_30,Input!AF$50&lt;&gt;""),Input!$B$50&amp;";","")),"")</f>
        <v/>
      </c>
      <c r="CH96" s="25" t="str">
        <f>IFERROR(CONCATENATE(IF(AND($G96&lt;Hta_1,$G96&gt;=Hba_1,Input!AG$21&lt;&gt;""),Input!$B$21&amp;";",""),IF(AND($G96&lt;Hta_2,$G96&gt;=Hba_2,Input!AG$22&lt;&gt;""),Input!$B$22&amp;";",""),IF(AND($G96&lt;Hta_3,$G96&gt;=Hba_3,Input!AG$23&lt;&gt;""),Input!$B$23&amp;";",""),IF(AND($G96&lt;Hta_4,$G96&gt;=Hba_4,Input!AG$24&lt;&gt;""),Input!$B$24&amp;";",""),IF(AND($G96&lt;Hta_5,$G96&gt;=Hba_5,Input!AG$25&lt;&gt;""),Input!$B$25&amp;";",""),IF(AND($G96&lt;Hta_6,$G96&gt;=Hba_6,Input!AG$26&lt;&gt;""),Input!$B$26&amp;";",""),IF(AND($G96&lt;Hta_7,$G96&gt;=Hba_7,Input!AG$27&lt;&gt;""),Input!$B$27&amp;";",""),IF(AND($G96&lt;Hta_8,$G96&gt;=Hba_8,Input!AG$28&lt;&gt;""),Input!$B$28&amp;";",""),IF(AND($G96&lt;Hta_9,$G96&gt;=Hba_9,Input!AG$29&lt;&gt;""),Input!$B$29&amp;";",""),IF(AND($G96&lt;Hta_10,$G96&gt;=Hba_10,Input!AG$30&lt;&gt;""),Input!$B$30&amp;";",""),IF(AND($G96&lt;Hta_11,$G96&gt;=Hba_11,Input!AG$31&lt;&gt;""),Input!$B$31&amp;";",""),IF(AND($G96&lt;Hta_12,$G96&gt;=Hba_12,Input!AG$32&lt;&gt;""),Input!$B$32&amp;";",""),IF(AND($G96&lt;Hta_13,$G96&gt;=Hba_13,Input!AG$33&lt;&gt;""),Input!$B$33&amp;";",""),IF(AND($G96&lt;Hta_14,$G96&gt;=Hba_14,Input!AG$34&lt;&gt;""),Input!$B$34&amp;";",""),IF(AND($G96&lt;Hta_15,$G96&gt;=Hba_15,Input!AG$35&lt;&gt;""),Input!$B$35&amp;";",""),IF(AND($G96&lt;Hta_16,$G96&gt;=Hba_16,Input!AG$36&lt;&gt;""),Input!$B$36&amp;";",""),IF(AND($G96&lt;Hta_17,$G96&gt;=Hba_17,Input!AG$37&lt;&gt;""),Input!$B$37&amp;";",""),IF(AND($G96&lt;Hta_18,$G96&gt;=Hba_18,Input!AG$38&lt;&gt;""),Input!$B$38&amp;";",""),IF(AND($G96&lt;Hta_19,$G96&gt;=Hba_19,Input!AG$39&lt;&gt;""),Input!$B$39&amp;";",""),IF(AND($G96&lt;Hta_20,$G96&gt;=Hba_20,Input!AG$40&lt;&gt;""),Input!$B$40&amp;";",""),IF(AND($G96&lt;Hta_21,$G96&gt;=Hba_21,Input!AG$41&lt;&gt;""),Input!$B$41&amp;";",""),IF(AND($G96&lt;Hta_22,$G96&gt;=Hba_22,Input!AG$42&lt;&gt;""),Input!$B$42&amp;";",""),IF(AND($G96&lt;Hta_23,$G96&gt;=Hba_23,Input!AG$43&lt;&gt;""),Input!$B$43&amp;";",""),IF(AND($G96&lt;Hta_24,$G96&gt;=Hba_24,Input!AG$44&lt;&gt;""),Input!$B$44&amp;";",""),IF(AND($G96&lt;Hta_25,$G96&gt;=Hba_25,Input!AG$45&lt;&gt;""),Input!$B$45&amp;";",""),IF(AND($G96&lt;Hta_26,$G96&gt;=Hba_26,Input!AG$46&lt;&gt;""),Input!$B$46&amp;";",""),IF(AND($G96&lt;Hta_27,$G96&gt;=Hba_27,Input!AG$47&lt;&gt;""),Input!$B$47&amp;";",""),IF(AND($G96&lt;Hta_28,$G96&gt;=Hba_28,Input!AG$48&lt;&gt;""),Input!$B$48&amp;";",""),IF(AND($G96&lt;Hta_29,$G96&gt;=Hba_29,Input!AG$49&lt;&gt;""),Input!$B$49&amp;";",""),IF(AND($G96&lt;Hta_30,$G96&gt;=Hba_30,Input!AG$50&lt;&gt;""),Input!$B$50&amp;";","")),"")</f>
        <v/>
      </c>
      <c r="CI96" s="25" t="str">
        <f>IFERROR(CONCATENATE(IF(AND($G96&lt;Hta_1,$G96&gt;=Hba_1,Input!AH$21&lt;&gt;""),Input!$B$21&amp;";",""),IF(AND($G96&lt;Hta_2,$G96&gt;=Hba_2,Input!AH$22&lt;&gt;""),Input!$B$22&amp;";",""),IF(AND($G96&lt;Hta_3,$G96&gt;=Hba_3,Input!AH$23&lt;&gt;""),Input!$B$23&amp;";",""),IF(AND($G96&lt;Hta_4,$G96&gt;=Hba_4,Input!AH$24&lt;&gt;""),Input!$B$24&amp;";",""),IF(AND($G96&lt;Hta_5,$G96&gt;=Hba_5,Input!AH$25&lt;&gt;""),Input!$B$25&amp;";",""),IF(AND($G96&lt;Hta_6,$G96&gt;=Hba_6,Input!AH$26&lt;&gt;""),Input!$B$26&amp;";",""),IF(AND($G96&lt;Hta_7,$G96&gt;=Hba_7,Input!AH$27&lt;&gt;""),Input!$B$27&amp;";",""),IF(AND($G96&lt;Hta_8,$G96&gt;=Hba_8,Input!AH$28&lt;&gt;""),Input!$B$28&amp;";",""),IF(AND($G96&lt;Hta_9,$G96&gt;=Hba_9,Input!AH$29&lt;&gt;""),Input!$B$29&amp;";",""),IF(AND($G96&lt;Hta_10,$G96&gt;=Hba_10,Input!AH$30&lt;&gt;""),Input!$B$30&amp;";",""),IF(AND($G96&lt;Hta_11,$G96&gt;=Hba_11,Input!AH$31&lt;&gt;""),Input!$B$31&amp;";",""),IF(AND($G96&lt;Hta_12,$G96&gt;=Hba_12,Input!AH$32&lt;&gt;""),Input!$B$32&amp;";",""),IF(AND($G96&lt;Hta_13,$G96&gt;=Hba_13,Input!AH$33&lt;&gt;""),Input!$B$33&amp;";",""),IF(AND($G96&lt;Hta_14,$G96&gt;=Hba_14,Input!AH$34&lt;&gt;""),Input!$B$34&amp;";",""),IF(AND($G96&lt;Hta_15,$G96&gt;=Hba_15,Input!AH$35&lt;&gt;""),Input!$B$35&amp;";",""),IF(AND($G96&lt;Hta_16,$G96&gt;=Hba_16,Input!AH$36&lt;&gt;""),Input!$B$36&amp;";",""),IF(AND($G96&lt;Hta_17,$G96&gt;=Hba_17,Input!AH$37&lt;&gt;""),Input!$B$37&amp;";",""),IF(AND($G96&lt;Hta_18,$G96&gt;=Hba_18,Input!AH$38&lt;&gt;""),Input!$B$38&amp;";",""),IF(AND($G96&lt;Hta_19,$G96&gt;=Hba_19,Input!AH$39&lt;&gt;""),Input!$B$39&amp;";",""),IF(AND($G96&lt;Hta_20,$G96&gt;=Hba_20,Input!AH$40&lt;&gt;""),Input!$B$40&amp;";",""),IF(AND($G96&lt;Hta_21,$G96&gt;=Hba_21,Input!AH$41&lt;&gt;""),Input!$B$41&amp;";",""),IF(AND($G96&lt;Hta_22,$G96&gt;=Hba_22,Input!AH$42&lt;&gt;""),Input!$B$42&amp;";",""),IF(AND($G96&lt;Hta_23,$G96&gt;=Hba_23,Input!AH$43&lt;&gt;""),Input!$B$43&amp;";",""),IF(AND($G96&lt;Hta_24,$G96&gt;=Hba_24,Input!AH$44&lt;&gt;""),Input!$B$44&amp;";",""),IF(AND($G96&lt;Hta_25,$G96&gt;=Hba_25,Input!AH$45&lt;&gt;""),Input!$B$45&amp;";",""),IF(AND($G96&lt;Hta_26,$G96&gt;=Hba_26,Input!AH$46&lt;&gt;""),Input!$B$46&amp;";",""),IF(AND($G96&lt;Hta_27,$G96&gt;=Hba_27,Input!AH$47&lt;&gt;""),Input!$B$47&amp;";",""),IF(AND($G96&lt;Hta_28,$G96&gt;=Hba_28,Input!AH$48&lt;&gt;""),Input!$B$48&amp;";",""),IF(AND($G96&lt;Hta_29,$G96&gt;=Hba_29,Input!AH$49&lt;&gt;""),Input!$B$49&amp;";",""),IF(AND($G96&lt;Hta_30,$G96&gt;=Hba_30,Input!AH$50&lt;&gt;""),Input!$B$50&amp;";","")),"")</f>
        <v/>
      </c>
      <c r="CJ96" s="25" t="str">
        <f>IFERROR(CONCATENATE(IF(AND($G96&lt;Hta_1,$G96&gt;=Hba_1,Input!AI$21&lt;&gt;""),Input!$B$21&amp;";",""),IF(AND($G96&lt;Hta_2,$G96&gt;=Hba_2,Input!AI$22&lt;&gt;""),Input!$B$22&amp;";",""),IF(AND($G96&lt;Hta_3,$G96&gt;=Hba_3,Input!AI$23&lt;&gt;""),Input!$B$23&amp;";",""),IF(AND($G96&lt;Hta_4,$G96&gt;=Hba_4,Input!AI$24&lt;&gt;""),Input!$B$24&amp;";",""),IF(AND($G96&lt;Hta_5,$G96&gt;=Hba_5,Input!AI$25&lt;&gt;""),Input!$B$25&amp;";",""),IF(AND($G96&lt;Hta_6,$G96&gt;=Hba_6,Input!AI$26&lt;&gt;""),Input!$B$26&amp;";",""),IF(AND($G96&lt;Hta_7,$G96&gt;=Hba_7,Input!AI$27&lt;&gt;""),Input!$B$27&amp;";",""),IF(AND($G96&lt;Hta_8,$G96&gt;=Hba_8,Input!AI$28&lt;&gt;""),Input!$B$28&amp;";",""),IF(AND($G96&lt;Hta_9,$G96&gt;=Hba_9,Input!AI$29&lt;&gt;""),Input!$B$29&amp;";",""),IF(AND($G96&lt;Hta_10,$G96&gt;=Hba_10,Input!AI$30&lt;&gt;""),Input!$B$30&amp;";",""),IF(AND($G96&lt;Hta_11,$G96&gt;=Hba_11,Input!AI$31&lt;&gt;""),Input!$B$31&amp;";",""),IF(AND($G96&lt;Hta_12,$G96&gt;=Hba_12,Input!AI$32&lt;&gt;""),Input!$B$32&amp;";",""),IF(AND($G96&lt;Hta_13,$G96&gt;=Hba_13,Input!AI$33&lt;&gt;""),Input!$B$33&amp;";",""),IF(AND($G96&lt;Hta_14,$G96&gt;=Hba_14,Input!AI$34&lt;&gt;""),Input!$B$34&amp;";",""),IF(AND($G96&lt;Hta_15,$G96&gt;=Hba_15,Input!AI$35&lt;&gt;""),Input!$B$35&amp;";",""),IF(AND($G96&lt;Hta_16,$G96&gt;=Hba_16,Input!AI$36&lt;&gt;""),Input!$B$36&amp;";",""),IF(AND($G96&lt;Hta_17,$G96&gt;=Hba_17,Input!AI$37&lt;&gt;""),Input!$B$37&amp;";",""),IF(AND($G96&lt;Hta_18,$G96&gt;=Hba_18,Input!AI$38&lt;&gt;""),Input!$B$38&amp;";",""),IF(AND($G96&lt;Hta_19,$G96&gt;=Hba_19,Input!AI$39&lt;&gt;""),Input!$B$39&amp;";",""),IF(AND($G96&lt;Hta_20,$G96&gt;=Hba_20,Input!AI$40&lt;&gt;""),Input!$B$40&amp;";",""),IF(AND($G96&lt;Hta_21,$G96&gt;=Hba_21,Input!AI$41&lt;&gt;""),Input!$B$41&amp;";",""),IF(AND($G96&lt;Hta_22,$G96&gt;=Hba_22,Input!AI$42&lt;&gt;""),Input!$B$42&amp;";",""),IF(AND($G96&lt;Hta_23,$G96&gt;=Hba_23,Input!AI$43&lt;&gt;""),Input!$B$43&amp;";",""),IF(AND($G96&lt;Hta_24,$G96&gt;=Hba_24,Input!AI$44&lt;&gt;""),Input!$B$44&amp;";",""),IF(AND($G96&lt;Hta_25,$G96&gt;=Hba_25,Input!AI$45&lt;&gt;""),Input!$B$45&amp;";",""),IF(AND($G96&lt;Hta_26,$G96&gt;=Hba_26,Input!AI$46&lt;&gt;""),Input!$B$46&amp;";",""),IF(AND($G96&lt;Hta_27,$G96&gt;=Hba_27,Input!AI$47&lt;&gt;""),Input!$B$47&amp;";",""),IF(AND($G96&lt;Hta_28,$G96&gt;=Hba_28,Input!AI$48&lt;&gt;""),Input!$B$48&amp;";",""),IF(AND($G96&lt;Hta_29,$G96&gt;=Hba_29,Input!AI$49&lt;&gt;""),Input!$B$49&amp;";",""),IF(AND($G96&lt;Hta_30,$G96&gt;=Hba_30,Input!AI$50&lt;&gt;""),Input!$B$50&amp;";","")),"")</f>
        <v/>
      </c>
      <c r="CK96" s="25" t="str">
        <f>IFERROR(CONCATENATE(IF(AND($G96&lt;Hta_1,$G96&gt;=Hba_1,Input!AJ$21&lt;&gt;""),Input!$B$21&amp;";",""),IF(AND($G96&lt;Hta_2,$G96&gt;=Hba_2,Input!AJ$22&lt;&gt;""),Input!$B$22&amp;";",""),IF(AND($G96&lt;Hta_3,$G96&gt;=Hba_3,Input!AJ$23&lt;&gt;""),Input!$B$23&amp;";",""),IF(AND($G96&lt;Hta_4,$G96&gt;=Hba_4,Input!AJ$24&lt;&gt;""),Input!$B$24&amp;";",""),IF(AND($G96&lt;Hta_5,$G96&gt;=Hba_5,Input!AJ$25&lt;&gt;""),Input!$B$25&amp;";",""),IF(AND($G96&lt;Hta_6,$G96&gt;=Hba_6,Input!AJ$26&lt;&gt;""),Input!$B$26&amp;";",""),IF(AND($G96&lt;Hta_7,$G96&gt;=Hba_7,Input!AJ$27&lt;&gt;""),Input!$B$27&amp;";",""),IF(AND($G96&lt;Hta_8,$G96&gt;=Hba_8,Input!AJ$28&lt;&gt;""),Input!$B$28&amp;";",""),IF(AND($G96&lt;Hta_9,$G96&gt;=Hba_9,Input!AJ$29&lt;&gt;""),Input!$B$29&amp;";",""),IF(AND($G96&lt;Hta_10,$G96&gt;=Hba_10,Input!AJ$30&lt;&gt;""),Input!$B$30&amp;";",""),IF(AND($G96&lt;Hta_11,$G96&gt;=Hba_11,Input!AJ$31&lt;&gt;""),Input!$B$31&amp;";",""),IF(AND($G96&lt;Hta_12,$G96&gt;=Hba_12,Input!AJ$32&lt;&gt;""),Input!$B$32&amp;";",""),IF(AND($G96&lt;Hta_13,$G96&gt;=Hba_13,Input!AJ$33&lt;&gt;""),Input!$B$33&amp;";",""),IF(AND($G96&lt;Hta_14,$G96&gt;=Hba_14,Input!AJ$34&lt;&gt;""),Input!$B$34&amp;";",""),IF(AND($G96&lt;Hta_15,$G96&gt;=Hba_15,Input!AJ$35&lt;&gt;""),Input!$B$35&amp;";",""),IF(AND($G96&lt;Hta_16,$G96&gt;=Hba_16,Input!AJ$36&lt;&gt;""),Input!$B$36&amp;";",""),IF(AND($G96&lt;Hta_17,$G96&gt;=Hba_17,Input!AJ$37&lt;&gt;""),Input!$B$37&amp;";",""),IF(AND($G96&lt;Hta_18,$G96&gt;=Hba_18,Input!AJ$38&lt;&gt;""),Input!$B$38&amp;";",""),IF(AND($G96&lt;Hta_19,$G96&gt;=Hba_19,Input!AJ$39&lt;&gt;""),Input!$B$39&amp;";",""),IF(AND($G96&lt;Hta_20,$G96&gt;=Hba_20,Input!AJ$40&lt;&gt;""),Input!$B$40&amp;";",""),IF(AND($G96&lt;Hta_21,$G96&gt;=Hba_21,Input!AJ$41&lt;&gt;""),Input!$B$41&amp;";",""),IF(AND($G96&lt;Hta_22,$G96&gt;=Hba_22,Input!AJ$42&lt;&gt;""),Input!$B$42&amp;";",""),IF(AND($G96&lt;Hta_23,$G96&gt;=Hba_23,Input!AJ$43&lt;&gt;""),Input!$B$43&amp;";",""),IF(AND($G96&lt;Hta_24,$G96&gt;=Hba_24,Input!AJ$44&lt;&gt;""),Input!$B$44&amp;";",""),IF(AND($G96&lt;Hta_25,$G96&gt;=Hba_25,Input!AJ$45&lt;&gt;""),Input!$B$45&amp;";",""),IF(AND($G96&lt;Hta_26,$G96&gt;=Hba_26,Input!AJ$46&lt;&gt;""),Input!$B$46&amp;";",""),IF(AND($G96&lt;Hta_27,$G96&gt;=Hba_27,Input!AJ$47&lt;&gt;""),Input!$B$47&amp;";",""),IF(AND($G96&lt;Hta_28,$G96&gt;=Hba_28,Input!AJ$48&lt;&gt;""),Input!$B$48&amp;";",""),IF(AND($G96&lt;Hta_29,$G96&gt;=Hba_29,Input!AJ$49&lt;&gt;""),Input!$B$49&amp;";",""),IF(AND($G96&lt;Hta_30,$G96&gt;=Hba_30,Input!AJ$50&lt;&gt;""),Input!$B$50&amp;";","")),"")</f>
        <v/>
      </c>
      <c r="CL96" s="25" t="str">
        <f>IFERROR(CONCATENATE(IF(AND($G96&lt;Hta_1,$G96&gt;=Hba_1,Input!AK$21&lt;&gt;""),Input!$B$21&amp;";",""),IF(AND($G96&lt;Hta_2,$G96&gt;=Hba_2,Input!AK$22&lt;&gt;""),Input!$B$22&amp;";",""),IF(AND($G96&lt;Hta_3,$G96&gt;=Hba_3,Input!AK$23&lt;&gt;""),Input!$B$23&amp;";",""),IF(AND($G96&lt;Hta_4,$G96&gt;=Hba_4,Input!AK$24&lt;&gt;""),Input!$B$24&amp;";",""),IF(AND($G96&lt;Hta_5,$G96&gt;=Hba_5,Input!AK$25&lt;&gt;""),Input!$B$25&amp;";",""),IF(AND($G96&lt;Hta_6,$G96&gt;=Hba_6,Input!AK$26&lt;&gt;""),Input!$B$26&amp;";",""),IF(AND($G96&lt;Hta_7,$G96&gt;=Hba_7,Input!AK$27&lt;&gt;""),Input!$B$27&amp;";",""),IF(AND($G96&lt;Hta_8,$G96&gt;=Hba_8,Input!AK$28&lt;&gt;""),Input!$B$28&amp;";",""),IF(AND($G96&lt;Hta_9,$G96&gt;=Hba_9,Input!AK$29&lt;&gt;""),Input!$B$29&amp;";",""),IF(AND($G96&lt;Hta_10,$G96&gt;=Hba_10,Input!AK$30&lt;&gt;""),Input!$B$30&amp;";",""),IF(AND($G96&lt;Hta_11,$G96&gt;=Hba_11,Input!AK$31&lt;&gt;""),Input!$B$31&amp;";",""),IF(AND($G96&lt;Hta_12,$G96&gt;=Hba_12,Input!AK$32&lt;&gt;""),Input!$B$32&amp;";",""),IF(AND($G96&lt;Hta_13,$G96&gt;=Hba_13,Input!AK$33&lt;&gt;""),Input!$B$33&amp;";",""),IF(AND($G96&lt;Hta_14,$G96&gt;=Hba_14,Input!AK$34&lt;&gt;""),Input!$B$34&amp;";",""),IF(AND($G96&lt;Hta_15,$G96&gt;=Hba_15,Input!AK$35&lt;&gt;""),Input!$B$35&amp;";",""),IF(AND($G96&lt;Hta_16,$G96&gt;=Hba_16,Input!AK$36&lt;&gt;""),Input!$B$36&amp;";",""),IF(AND($G96&lt;Hta_17,$G96&gt;=Hba_17,Input!AK$37&lt;&gt;""),Input!$B$37&amp;";",""),IF(AND($G96&lt;Hta_18,$G96&gt;=Hba_18,Input!AK$38&lt;&gt;""),Input!$B$38&amp;";",""),IF(AND($G96&lt;Hta_19,$G96&gt;=Hba_19,Input!AK$39&lt;&gt;""),Input!$B$39&amp;";",""),IF(AND($G96&lt;Hta_20,$G96&gt;=Hba_20,Input!AK$40&lt;&gt;""),Input!$B$40&amp;";",""),IF(AND($G96&lt;Hta_21,$G96&gt;=Hba_21,Input!AK$41&lt;&gt;""),Input!$B$41&amp;";",""),IF(AND($G96&lt;Hta_22,$G96&gt;=Hba_22,Input!AK$42&lt;&gt;""),Input!$B$42&amp;";",""),IF(AND($G96&lt;Hta_23,$G96&gt;=Hba_23,Input!AK$43&lt;&gt;""),Input!$B$43&amp;";",""),IF(AND($G96&lt;Hta_24,$G96&gt;=Hba_24,Input!AK$44&lt;&gt;""),Input!$B$44&amp;";",""),IF(AND($G96&lt;Hta_25,$G96&gt;=Hba_25,Input!AK$45&lt;&gt;""),Input!$B$45&amp;";",""),IF(AND($G96&lt;Hta_26,$G96&gt;=Hba_26,Input!AK$46&lt;&gt;""),Input!$B$46&amp;";",""),IF(AND($G96&lt;Hta_27,$G96&gt;=Hba_27,Input!AK$47&lt;&gt;""),Input!$B$47&amp;";",""),IF(AND($G96&lt;Hta_28,$G96&gt;=Hba_28,Input!AK$48&lt;&gt;""),Input!$B$48&amp;";",""),IF(AND($G96&lt;Hta_29,$G96&gt;=Hba_29,Input!AK$49&lt;&gt;""),Input!$B$49&amp;";",""),IF(AND($G96&lt;Hta_30,$G96&gt;=Hba_30,Input!AK$50&lt;&gt;""),Input!$B$50&amp;";","")),"")</f>
        <v/>
      </c>
      <c r="CM96" s="25" t="str">
        <f>IFERROR(CONCATENATE(IF(AND($G96&lt;Hta_1,$G96&gt;=Hba_1,Input!AL$21&lt;&gt;""),Input!$B$21&amp;";",""),IF(AND($G96&lt;Hta_2,$G96&gt;=Hba_2,Input!AL$22&lt;&gt;""),Input!$B$22&amp;";",""),IF(AND($G96&lt;Hta_3,$G96&gt;=Hba_3,Input!AL$23&lt;&gt;""),Input!$B$23&amp;";",""),IF(AND($G96&lt;Hta_4,$G96&gt;=Hba_4,Input!AL$24&lt;&gt;""),Input!$B$24&amp;";",""),IF(AND($G96&lt;Hta_5,$G96&gt;=Hba_5,Input!AL$25&lt;&gt;""),Input!$B$25&amp;";",""),IF(AND($G96&lt;Hta_6,$G96&gt;=Hba_6,Input!AL$26&lt;&gt;""),Input!$B$26&amp;";",""),IF(AND($G96&lt;Hta_7,$G96&gt;=Hba_7,Input!AL$27&lt;&gt;""),Input!$B$27&amp;";",""),IF(AND($G96&lt;Hta_8,$G96&gt;=Hba_8,Input!AL$28&lt;&gt;""),Input!$B$28&amp;";",""),IF(AND($G96&lt;Hta_9,$G96&gt;=Hba_9,Input!AL$29&lt;&gt;""),Input!$B$29&amp;";",""),IF(AND($G96&lt;Hta_10,$G96&gt;=Hba_10,Input!AL$30&lt;&gt;""),Input!$B$30&amp;";",""),IF(AND($G96&lt;Hta_11,$G96&gt;=Hba_11,Input!AL$31&lt;&gt;""),Input!$B$31&amp;";",""),IF(AND($G96&lt;Hta_12,$G96&gt;=Hba_12,Input!AL$32&lt;&gt;""),Input!$B$32&amp;";",""),IF(AND($G96&lt;Hta_13,$G96&gt;=Hba_13,Input!AL$33&lt;&gt;""),Input!$B$33&amp;";",""),IF(AND($G96&lt;Hta_14,$G96&gt;=Hba_14,Input!AL$34&lt;&gt;""),Input!$B$34&amp;";",""),IF(AND($G96&lt;Hta_15,$G96&gt;=Hba_15,Input!AL$35&lt;&gt;""),Input!$B$35&amp;";",""),IF(AND($G96&lt;Hta_16,$G96&gt;=Hba_16,Input!AL$36&lt;&gt;""),Input!$B$36&amp;";",""),IF(AND($G96&lt;Hta_17,$G96&gt;=Hba_17,Input!AL$37&lt;&gt;""),Input!$B$37&amp;";",""),IF(AND($G96&lt;Hta_18,$G96&gt;=Hba_18,Input!AL$38&lt;&gt;""),Input!$B$38&amp;";",""),IF(AND($G96&lt;Hta_19,$G96&gt;=Hba_19,Input!AL$39&lt;&gt;""),Input!$B$39&amp;";",""),IF(AND($G96&lt;Hta_20,$G96&gt;=Hba_20,Input!AL$40&lt;&gt;""),Input!$B$40&amp;";",""),IF(AND($G96&lt;Hta_21,$G96&gt;=Hba_21,Input!AL$41&lt;&gt;""),Input!$B$41&amp;";",""),IF(AND($G96&lt;Hta_22,$G96&gt;=Hba_22,Input!AL$42&lt;&gt;""),Input!$B$42&amp;";",""),IF(AND($G96&lt;Hta_23,$G96&gt;=Hba_23,Input!AL$43&lt;&gt;""),Input!$B$43&amp;";",""),IF(AND($G96&lt;Hta_24,$G96&gt;=Hba_24,Input!AL$44&lt;&gt;""),Input!$B$44&amp;";",""),IF(AND($G96&lt;Hta_25,$G96&gt;=Hba_25,Input!AL$45&lt;&gt;""),Input!$B$45&amp;";",""),IF(AND($G96&lt;Hta_26,$G96&gt;=Hba_26,Input!AL$46&lt;&gt;""),Input!$B$46&amp;";",""),IF(AND($G96&lt;Hta_27,$G96&gt;=Hba_27,Input!AL$47&lt;&gt;""),Input!$B$47&amp;";",""),IF(AND($G96&lt;Hta_28,$G96&gt;=Hba_28,Input!AL$48&lt;&gt;""),Input!$B$48&amp;";",""),IF(AND($G96&lt;Hta_29,$G96&gt;=Hba_29,Input!AL$49&lt;&gt;""),Input!$B$49&amp;";",""),IF(AND($G96&lt;Hta_30,$G96&gt;=Hba_30,Input!AL$50&lt;&gt;""),Input!$B$50&amp;";","")),"")</f>
        <v/>
      </c>
      <c r="CN96" s="59" t="str">
        <f t="shared" si="16"/>
        <v/>
      </c>
      <c r="CO96" s="791"/>
      <c r="CP96" s="792"/>
      <c r="CQ96" s="793"/>
      <c r="CR96" s="791"/>
      <c r="CS96" s="792"/>
      <c r="CT96" s="793"/>
      <c r="CU96" s="791" t="str">
        <f t="shared" si="17"/>
        <v/>
      </c>
      <c r="CV96" s="792"/>
      <c r="CW96" s="807"/>
      <c r="CX96" s="808"/>
      <c r="CY96" s="730"/>
      <c r="CZ96" s="809"/>
      <c r="DA96" s="733"/>
      <c r="DB96" s="734"/>
      <c r="DC96" s="735"/>
      <c r="DD96" s="729" t="str">
        <f t="shared" si="18"/>
        <v/>
      </c>
      <c r="DE96" s="730"/>
      <c r="DF96" s="731"/>
      <c r="DG96" s="55"/>
      <c r="DH96" s="56"/>
      <c r="DI96" s="56"/>
      <c r="DJ96" s="56"/>
      <c r="DK96" s="56"/>
      <c r="DL96" s="56"/>
      <c r="DM96" s="56"/>
      <c r="DN96" s="56"/>
      <c r="DO96" s="56"/>
      <c r="DP96" s="56"/>
      <c r="DQ96" s="58"/>
      <c r="DR96" s="58"/>
      <c r="DS96" s="58"/>
      <c r="DT96" s="58"/>
      <c r="DU96" s="58"/>
      <c r="DV96" s="58"/>
      <c r="DW96" s="58"/>
      <c r="DX96" s="58"/>
      <c r="DY96" s="58"/>
      <c r="DZ96" s="58"/>
      <c r="EA96" s="58"/>
      <c r="EB96" s="58"/>
      <c r="EC96" s="58"/>
      <c r="ED96" s="58"/>
      <c r="EE96" s="58"/>
      <c r="EF96" s="58"/>
      <c r="EG96" s="58"/>
      <c r="EH96" s="58"/>
      <c r="EI96" s="58"/>
      <c r="EJ96" s="58"/>
      <c r="EK96" s="58"/>
      <c r="EL96" s="134"/>
      <c r="EM96" s="134"/>
      <c r="EN96" s="134"/>
      <c r="EO96" s="134"/>
      <c r="EP96" s="134"/>
      <c r="EQ96" s="134"/>
      <c r="ER96" s="134"/>
      <c r="ES96" s="134"/>
      <c r="ET96" s="134"/>
      <c r="EU96" s="134"/>
      <c r="EV96" s="134"/>
      <c r="EW96" s="134"/>
      <c r="EX96" s="134"/>
      <c r="EY96" s="134"/>
      <c r="EZ96" s="134"/>
      <c r="FA96" s="134"/>
      <c r="FB96" s="134"/>
      <c r="FC96" s="134"/>
      <c r="FD96" s="134"/>
      <c r="FE96" s="134"/>
      <c r="FF96" s="134"/>
      <c r="FG96" s="134"/>
      <c r="FH96" s="134"/>
      <c r="FI96" s="134"/>
      <c r="FJ96" s="134"/>
      <c r="FK96" s="134"/>
      <c r="FL96" s="134"/>
      <c r="FM96" s="134"/>
      <c r="FN96" s="134"/>
      <c r="FO96" s="134"/>
      <c r="FQ96" s="124"/>
      <c r="FR96" s="122"/>
      <c r="FS96" s="120"/>
      <c r="FT96" s="119"/>
    </row>
    <row r="97" spans="2:176" ht="15.75" hidden="1" thickBot="1" x14ac:dyDescent="0.3">
      <c r="B97" s="62" t="b">
        <f>IF(OR(AND(G97&gt;='Geometry 2'!$AK$5,G97&lt;'Geometry 2'!$AL$5),AND(G97&gt;='Geometry 2'!$AK$6,G97&lt;'Geometry 2'!$AL$6),AND(G97&gt;='Geometry 2'!$AK$7,G97&lt;'Geometry 2'!$AL$7),AND(G97&gt;='Geometry 2'!$AK$8,G97&lt;'Geometry 2'!$AL$8),AND(G97&gt;='Geometry 2'!$AK$9,G97&lt;'Geometry 2'!$AL$9),AND(G97&gt;='Geometry 2'!$AK$10,G97&lt;'Geometry 2'!$AL$10),AND(G97&gt;='Geometry 2'!$AK$11,G97&lt;'Geometry 2'!$AL$11),AND(G97&gt;='Geometry 2'!$AK$12,G97&lt;'Geometry 2'!$AL$12),AND(G97&gt;='Geometry 2'!$AK$13,G97&lt;'Geometry 2'!$AL$13),AND(G97&gt;='Geometry 2'!$AK$14,G97&lt;'Geometry 2'!$AL$14)),TRUE,FALSE)</f>
        <v>0</v>
      </c>
      <c r="C97" s="4" t="str">
        <f t="shared" si="13"/>
        <v/>
      </c>
      <c r="D97" s="766" t="str">
        <f t="shared" si="14"/>
        <v/>
      </c>
      <c r="E97" s="767"/>
      <c r="F97" s="17" t="str">
        <f t="shared" si="12"/>
        <v/>
      </c>
      <c r="G97" s="768" t="str">
        <f>IF(D97="","",MAX(0,G96-IF(inc="n/a",999,inc),MAX(IF(G96&lt;=Hta_1,0,Hta_1),IF(G96&lt;=Hta_2,0,Hta_2),IF(G96&lt;=Hta_3,0,Hta_3),IF(G96&lt;=Hta_4,0,Hta_4),IF(G96&lt;=Hta_5,0,Hta_5),IF(G96&lt;=Hta_6,0,Hta_6),IF(G96&lt;=Hta_7,0,Hta_7),IF(G96&lt;=Hta_8,0,Hta_8),IF(G96&lt;=Hta_9,0,Hta_9),IF(G96&lt;=Hta_10,0,Hta_10),IF(G96&lt;=Hta_11,0,Hta_11),IF(G96&lt;=Hta_12,0,Hta_12),IF(G96&lt;=Hta_13,0,Hta_13),IF(G96&lt;=Hta_14,0,Hta_14),IF(G96&lt;=Hta_15,0,Hta_15),IF(G96&lt;=Hta_16,0,Hta_16),IF(G96&lt;=Hta_17,0,Hta_17),IF(G96&lt;=Hta_18,0,Hta_18),IF(G96&lt;=Hta_19,0,Hta_19),IF(G96&lt;=Hta_20,0,Hta_20),IF(G96&lt;=Hta_21,0,Hta_21),IF(G96&lt;=Hta_22,0,Hta_22),IF(G96&lt;=Hta_23,0,Hta_23),IF(G96&lt;=Hta_24,0,Hta_24),IF(G96&lt;=Hta_25,0,Hta_25),IF(G96&lt;=Hta_26,0,Hta_26),IF(G96&lt;=Hta_27,0,Hta_27),IF(G96&lt;=Hta_28,0,Hta_28),IF(G96&lt;=Hta_29,0,Hta_29),IF(G96&lt;=Hta_30,0,Hta_30)),MAX(IF(G96&lt;=Hta_1-0.25,0,Hta_1-0.25),IF(G96&lt;=Hta_2-0.25,0,Hta_2-0.25),IF(G96&lt;=Hta_3-0.25,0,Hta_3-0.25),IF(G96&lt;=Hta_4-0.25,0,Hta_4-0.25),IF(G96&lt;=Hta_5-0.25,0,Hta_5-0.25),IF(G96&lt;=Hta_6-0.25,0,Hta_6-0.25),IF(G96&lt;=Hta_7-0.25,0,Hta_7-0.25),IF(G96&lt;=Hta_8-0.25,0,Hta_8-0.25),IF(G96&lt;=Hta_9-0.25,0,Hta_9-0.25),IF(G96&lt;=Hta_10-0.25,0,Hta_10-0.25),IF(G96&lt;=Hta_11-0.25,0,Hta_11-0.25),IF(G96&lt;=Hta_12-0.25,0,Hta_12-0.25),IF(G96&lt;=Hta_13-0.25,0,Hta_13-0.25),IF(G96&lt;=Hta_14-0.25,0,Hta_14-0.25),IF(G96&lt;=Hta_15-0.25,0,Hta_15-0.25),IF(G96&lt;=Hta_16-0.25,0,Hta_16-0.25),IF(G96&lt;=Hta_17-0.25,0,Hta_17-0.25),IF(G96&lt;=Hta_18-0.25,0,Hta_18-0.25),IF(G96&lt;=Hta_19-0.25,0,Hta_19-0.25),IF(G96&lt;=Hta_20-0.25,0,Hta_20-0.25),IF(G96&lt;=Hta_21-0.25,0,Hta_21-0.25),IF(G96&lt;=Hta_22-0.25,0,Hta_22-0.25),IF(G96&lt;=Hta_23-0.25,0,Hta_23-0.25),IF(G96&lt;=Hta_24-0.25,0,Hta_24-0.25),IF(G96&lt;=Hta_25-0.25,0,Hta_25-0.25),IF(G96&lt;=Hta_26-0.25,0,Hta_26-0.25),IF(G96&lt;=Hta_27-0.25,0,Hta_27-0.25),IF(G96&lt;=Hta_28-0.25,0,Hta_28-0.25),IF(G96&lt;=Hta_29-0.25,0,Hta_29-0.25),IF(G96&lt;=Hta_30-0.25,0,Hta_30-0.25)),MAX(IF(G96&lt;=Hba_1,0,Hba_1),IF(G96&lt;=Hba_2,0,Hba_2),IF(G96&lt;=Hba_3,0,Hba_3),IF(G96&lt;=Hba_4,0,Hba_4),IF(G96&lt;=Hba_5,0,Hba_5),IF(G96&lt;=Hba_6,0,Hba_6),IF(G96&lt;=Hba_7,0,Hba_7),IF(G96&lt;=Hba_8,0,Hba_8),IF(G96&lt;=Hba_9,0,Hba_9),IF(G96&lt;=Hba_10,0,Hba_10),IF(G96&lt;=Hba_11,0,Hba_11),IF(G96&lt;=Hba_12,0,Hba_12),IF(G96&lt;=Hba_13,0,Hba_13),IF(G96&lt;=Hba_14,0,Hba_14),IF(G96&lt;=Hba_15,0,Hba_15),IF(G96&lt;=Hba_16,0,Hba_16),IF(G96&lt;=Hba_17,0,Hba_17),IF(G96&lt;=Hba_18,0,Hba_18),IF(G96&lt;=Hba_19,0,Hba_19),IF(G96&lt;=Hba_20,0,Hba_20),IF(G96&lt;=Hba_21,0,Hba_21),IF(G96&lt;=Hba_22,0,Hba_22),IF(G96&lt;=Hba_23,0,Hba_23),IF(G96&lt;=Hba_24,0,Hba_24),IF(G96&lt;=Hba_25,0,Hba_25),IF(G96&lt;=Hba_26,0,Hba_26),IF(G96&lt;=Hba_27,0,Hba_27),IF(G96&lt;=Hba_28,0,Hba_28),IF(G96&lt;=Hba_29,0,Hba_29),IF(G96&lt;=Hba_30,0,Hba_30)),MAX(IF(G96&lt;=Input!$C$8,0,Input!$C$8),IF(G96&lt;=Input!$C$9,0,Input!$C$9),IF(G96&lt;=Input!$C$10,0,Input!$C$10),IF(G96&lt;=Input!$C$11,0,Input!$C$11),IF(G96&lt;=Input!$C$12,0,Input!$C$12),IF(G96&lt;=Input!$C$13,0,Input!$C$13),IF(G96&lt;=Input!$C$14,0,Input!$C$14),IF(G96&lt;=Input!$C$15,0,Input!$C$15),IF(G96&lt;=Input!$C$16,0,Input!$C$16)),MAX(IF(G96&lt;=Hba_1-0.25,0,Hba_1-0.25),IF(G96&lt;=Hba_2-0.25,0,Hba_2-0.25),IF(G96&lt;=Hba_3-0.25,0,Hba_3-0.25),IF(G96&lt;=Hba_4-0.25,0,Hba_4-0.25),IF(G96&lt;=Hba_5-0.25,0,Hba_5-0.25),IF(G96&lt;=Hba_6-0.25,0,Hba_6-0.25),IF(G96&lt;=Hba_7-0.25,0,Hba_7-0.25),IF(G96&lt;=Hba_8-0.25,0,Hba_8-0.25),IF(G96&lt;=Hba_9-0.25,0,Hba_9-0.25),IF(G96&lt;=Hba_10-0.25,0,Hba_10-0.25),IF(G96&lt;=Hba_11-0.25,0,Hba_11-0.25),IF(G96&lt;=Hba_12-0.25,0,Hba_12-0.25),IF(G96&lt;=Hba_13-0.25,0,Hba_13-0.25),IF(G96&lt;=Hba_14-0.25,0,Hba_14-0.25),IF(G96&lt;=Hba_15-0.25,0,Hba_15-0.25),IF(G96&lt;=Hba_16-0.25,0,Hba_16-0.25),IF(G96&lt;=Hba_17-0.25,0,Hba_17-0.25),IF(G96&lt;=Hba_18-0.25,0,Hba_18-0.25),IF(G96&lt;=Hba_19-0.25,0,Hba_19-0.25),IF(G96&lt;=Hba_20-0.25,0,Hba_20-0.25),IF(G96&lt;=Hba_21-0.25,0,Hba_21-0.25),IF(G96&lt;=Hba_22-0.25,0,Hba_22-0.25),IF(G96&lt;=Hba_23-0.25,0,Hba_23-0.25),IF(G96&lt;=Hba_24-0.25,0,Hba_24-0.25),IF(G96&lt;=Hba_25-0.25,0,Hba_25-0.25),IF(G96&lt;=Hba_26-0.25,0,Hba_26-0.25),IF(G96&lt;=Hba_27-0.25,0,Hba_27-0.25),IF(G96&lt;=Hba_28-0.25,0,Hba_28-0.25),IF(G96&lt;=Hba_29-0.25,0,Hba_29-0.25),IF(G96&lt;=Hba_30-0.25,0,Hba_30-0.25)),IF(G96&lt;='Macro References'!$A$38,0,'Macro References'!$A$38)))</f>
        <v/>
      </c>
      <c r="H97" s="769"/>
      <c r="I97" s="228"/>
      <c r="J97" s="228"/>
      <c r="K97" s="228"/>
      <c r="L97" s="717" t="str">
        <f t="shared" si="11"/>
        <v/>
      </c>
      <c r="M97" s="717"/>
      <c r="N97" s="717"/>
      <c r="O97" s="717"/>
      <c r="P97" s="717" t="str">
        <f>IF(OR(G97=0,G97=""),"",IF(VLOOKUP(G97,'Geometry 2'!$C$4:$AI$14,1,TRUE)=VLOOKUP(G98,'Geometry 2'!$C$4:$AI$14,1,TRUE),"",IF(VLOOKUP(G97,'Geometry 2'!$C$4:$AI$14,33,TRUE)&lt;&gt;"n/a",MIN(G97,VLOOKUP(G97,'Geometry 2'!$C$4:$AI$14,1,TRUE))-VLOOKUP(G97,'Geometry 2'!$C$4:$AI$14,33,TRUE),"check")))</f>
        <v/>
      </c>
      <c r="Q97" s="717"/>
      <c r="R97" s="717"/>
      <c r="S97" s="717"/>
      <c r="T97" s="717" t="str">
        <f>IF($G97="","",VLOOKUP($G97,'Geometry 2'!$E$4:$AH$14,11,TRUE))</f>
        <v/>
      </c>
      <c r="U97" s="717"/>
      <c r="V97" s="717"/>
      <c r="W97" s="717"/>
      <c r="X97" s="716" t="str">
        <f>IF($G97="","",VLOOKUP($G97,'Geometry 2'!$E$4:$AJ$14,19,TRUE)-12*VLOOKUP($G97,'Geometry 2'!$E$4:$AJ$14,32,TRUE)*($D97-VLOOKUP($G97,'Geometry 2'!$E$5:$AH$14,1,TRUE)))</f>
        <v/>
      </c>
      <c r="Y97" s="716"/>
      <c r="Z97" s="716"/>
      <c r="AA97" s="716"/>
      <c r="AB97" s="757" t="str">
        <f>IF($G97="","",VLOOKUP($G97,'Geometry 2'!$E$4:$AJ$14,19,TRUE)-12*VLOOKUP($G97,'Geometry 2'!$E$4:$AJ$14,32,TRUE)*($G97-VLOOKUP($G97,'Geometry 2'!$E$5:$AH$14,1,TRUE)))</f>
        <v/>
      </c>
      <c r="AC97" s="758"/>
      <c r="AD97" s="758"/>
      <c r="AE97" s="759"/>
      <c r="AF97" s="716" t="str">
        <f>IF($G97="","",VLOOKUP($G97,'Geometry 2'!$E$4:$AJ$14,19,TRUE)-12*VLOOKUP($G97,'Geometry 2'!$E$4:$AJ$14,32,TRUE)*($G97-IF($P97="",0,$P97)-VLOOKUP($G97,'Geometry 2'!$E$5:$AH$14,1,TRUE)))</f>
        <v/>
      </c>
      <c r="AG97" s="716"/>
      <c r="AH97" s="716"/>
      <c r="AI97" s="716"/>
      <c r="AJ97" s="746" t="str">
        <f>IF($G97="","",VLOOKUP($G97,'Geometry 2'!$E$4:$AH$14,23,TRUE))</f>
        <v/>
      </c>
      <c r="AK97" s="747"/>
      <c r="AL97" s="747"/>
      <c r="AM97" s="748"/>
      <c r="AN97" s="717"/>
      <c r="AO97" s="717"/>
      <c r="AP97" s="717"/>
      <c r="AQ97" s="717"/>
      <c r="AR97" s="717" t="str">
        <f>IF($G97="","",VLOOKUP($G97,'Geometry 2'!$E$4:$AH$14,27,TRUE))</f>
        <v/>
      </c>
      <c r="AS97" s="717"/>
      <c r="AT97" s="717"/>
      <c r="AU97" s="718"/>
      <c r="AV97" s="715"/>
      <c r="AW97" s="716"/>
      <c r="AX97" s="716"/>
      <c r="AZ97" s="722" t="str">
        <f t="shared" si="15"/>
        <v/>
      </c>
      <c r="BA97" s="723"/>
      <c r="BB97" s="723"/>
      <c r="BC97" s="724"/>
      <c r="BD97" s="722"/>
      <c r="BE97" s="723"/>
      <c r="BF97" s="723"/>
      <c r="BG97" s="722" t="str">
        <f t="shared" si="19"/>
        <v/>
      </c>
      <c r="BH97" s="723"/>
      <c r="BI97" s="723"/>
      <c r="BJ97" s="723"/>
      <c r="BK97" s="724"/>
      <c r="BL97" s="722"/>
      <c r="BM97" s="723"/>
      <c r="BN97" s="723"/>
      <c r="BO97" s="723"/>
      <c r="BP97" s="725"/>
      <c r="BQ97" s="725"/>
      <c r="BR97" s="722" t="str">
        <f>IF(BP97="","",IF(OR(AND(Rev="H",Calculations!$F$27=TRUE),AND(Rev&lt;&gt;"H",Calculations!$F$30=TRUE)),IF(BP97&lt;=1,"Pass","Fail"),IF(BP97&lt;=1.05,"Pass","Fail")))</f>
        <v/>
      </c>
      <c r="BS97" s="723"/>
      <c r="BT97" s="724"/>
      <c r="BU97" s="49"/>
      <c r="BV97" s="25" t="str">
        <f>IFERROR(CONCATENATE(IF(AND($G97&lt;Hta_1,$G97&gt;=Hba_1,Input!U$21&lt;&gt;""),Input!$B$21&amp;";",""),IF(AND($G97&lt;Hta_2,$G97&gt;=Hba_2,Input!U$22&lt;&gt;""),Input!$B$22&amp;";",""),IF(AND($G97&lt;Hta_3,$G97&gt;=Hba_3,Input!U$23&lt;&gt;""),Input!$B$23&amp;";",""),IF(AND($G97&lt;Hta_4,$G97&gt;=Hba_4,Input!U$24&lt;&gt;""),Input!$B$24&amp;";",""),IF(AND($G97&lt;Hta_5,$G97&gt;=Hba_5,Input!U$25&lt;&gt;""),Input!$B$25&amp;";",""),IF(AND($G97&lt;Hta_6,$G97&gt;=Hba_6,Input!U$26&lt;&gt;""),Input!$B$26&amp;";",""),IF(AND($G97&lt;Hta_7,$G97&gt;=Hba_7,Input!U$27&lt;&gt;""),Input!$B$27&amp;";",""),IF(AND($G97&lt;Hta_8,$G97&gt;=Hba_8,Input!U$28&lt;&gt;""),Input!$B$28&amp;";",""),IF(AND($G97&lt;Hta_9,$G97&gt;=Hba_9,Input!U$29&lt;&gt;""),Input!$B$29&amp;";",""),IF(AND($G97&lt;Hta_10,$G97&gt;=Hba_10,Input!U$30&lt;&gt;""),Input!$B$30&amp;";",""),IF(AND($G97&lt;Hta_11,$G97&gt;=Hba_11,Input!U$31&lt;&gt;""),Input!$B$31&amp;";",""),IF(AND($G97&lt;Hta_12,$G97&gt;=Hba_12,Input!U$32&lt;&gt;""),Input!$B$32&amp;";",""),IF(AND($G97&lt;Hta_13,$G97&gt;=Hba_13,Input!U$33&lt;&gt;""),Input!$B$33&amp;";",""),IF(AND($G97&lt;Hta_14,$G97&gt;=Hba_14,Input!U$34&lt;&gt;""),Input!$B$34&amp;";",""),IF(AND($G97&lt;Hta_15,$G97&gt;=Hba_15,Input!U$35&lt;&gt;""),Input!$B$35&amp;";",""),IF(AND($G97&lt;Hta_16,$G97&gt;=Hba_16,Input!U$36&lt;&gt;""),Input!$B$36&amp;";",""),IF(AND($G97&lt;Hta_17,$G97&gt;=Hba_17,Input!U$37&lt;&gt;""),Input!$B$37&amp;";",""),IF(AND($G97&lt;Hta_18,$G97&gt;=Hba_18,Input!U$38&lt;&gt;""),Input!$B$38&amp;";",""),IF(AND($G97&lt;Hta_19,$G97&gt;=Hba_19,Input!U$39&lt;&gt;""),Input!$B$39&amp;";",""),IF(AND($G97&lt;Hta_20,$G97&gt;=Hba_20,Input!U$40&lt;&gt;""),Input!$B$40&amp;";",""),IF(AND($G97&lt;Hta_21,$G97&gt;=Hba_21,Input!U$41&lt;&gt;""),Input!$B$41&amp;";",""),IF(AND($G97&lt;Hta_22,$G97&gt;=Hba_22,Input!U$42&lt;&gt;""),Input!$B$42&amp;";",""),IF(AND($G97&lt;Hta_23,$G97&gt;=Hba_23,Input!U$43&lt;&gt;""),Input!$B$43&amp;";",""),IF(AND($G97&lt;Hta_24,$G97&gt;=Hba_24,Input!U$44&lt;&gt;""),Input!$B$44&amp;";",""),IF(AND($G97&lt;Hta_25,$G97&gt;=Hba_25,Input!U$45&lt;&gt;""),Input!$B$45&amp;";",""),IF(AND($G97&lt;Hta_26,$G97&gt;=Hba_26,Input!U$46&lt;&gt;""),Input!$B$46&amp;";",""),IF(AND($G97&lt;Hta_27,$G97&gt;=Hba_27,Input!U$47&lt;&gt;""),Input!$B$47&amp;";",""),IF(AND($G97&lt;Hta_28,$G97&gt;=Hba_28,Input!U$48&lt;&gt;""),Input!$B$48&amp;";",""),IF(AND($G97&lt;Hta_29,$G97&gt;=Hba_29,Input!U$49&lt;&gt;""),Input!$B$49&amp;";",""),IF(AND($G97&lt;Hta_30,$G97&gt;=Hba_30,Input!U$50&lt;&gt;""),Input!$B$50&amp;";","")),"")</f>
        <v/>
      </c>
      <c r="BW97" s="25" t="str">
        <f>IFERROR(CONCATENATE(IF(AND($G97&lt;Hta_1,$G97&gt;=Hba_1,Input!V$21&lt;&gt;""),Input!$B$21&amp;";",""),IF(AND($G97&lt;Hta_2,$G97&gt;=Hba_2,Input!V$22&lt;&gt;""),Input!$B$22&amp;";",""),IF(AND($G97&lt;Hta_3,$G97&gt;=Hba_3,Input!V$23&lt;&gt;""),Input!$B$23&amp;";",""),IF(AND($G97&lt;Hta_4,$G97&gt;=Hba_4,Input!V$24&lt;&gt;""),Input!$B$24&amp;";",""),IF(AND($G97&lt;Hta_5,$G97&gt;=Hba_5,Input!V$25&lt;&gt;""),Input!$B$25&amp;";",""),IF(AND($G97&lt;Hta_6,$G97&gt;=Hba_6,Input!V$26&lt;&gt;""),Input!$B$26&amp;";",""),IF(AND($G97&lt;Hta_7,$G97&gt;=Hba_7,Input!V$27&lt;&gt;""),Input!$B$27&amp;";",""),IF(AND($G97&lt;Hta_8,$G97&gt;=Hba_8,Input!V$28&lt;&gt;""),Input!$B$28&amp;";",""),IF(AND($G97&lt;Hta_9,$G97&gt;=Hba_9,Input!V$29&lt;&gt;""),Input!$B$29&amp;";",""),IF(AND($G97&lt;Hta_10,$G97&gt;=Hba_10,Input!V$30&lt;&gt;""),Input!$B$30&amp;";",""),IF(AND($G97&lt;Hta_11,$G97&gt;=Hba_11,Input!V$31&lt;&gt;""),Input!$B$31&amp;";",""),IF(AND($G97&lt;Hta_12,$G97&gt;=Hba_12,Input!V$32&lt;&gt;""),Input!$B$32&amp;";",""),IF(AND($G97&lt;Hta_13,$G97&gt;=Hba_13,Input!V$33&lt;&gt;""),Input!$B$33&amp;";",""),IF(AND($G97&lt;Hta_14,$G97&gt;=Hba_14,Input!V$34&lt;&gt;""),Input!$B$34&amp;";",""),IF(AND($G97&lt;Hta_15,$G97&gt;=Hba_15,Input!V$35&lt;&gt;""),Input!$B$35&amp;";",""),IF(AND($G97&lt;Hta_16,$G97&gt;=Hba_16,Input!V$36&lt;&gt;""),Input!$B$36&amp;";",""),IF(AND($G97&lt;Hta_17,$G97&gt;=Hba_17,Input!V$37&lt;&gt;""),Input!$B$37&amp;";",""),IF(AND($G97&lt;Hta_18,$G97&gt;=Hba_18,Input!V$38&lt;&gt;""),Input!$B$38&amp;";",""),IF(AND($G97&lt;Hta_19,$G97&gt;=Hba_19,Input!V$39&lt;&gt;""),Input!$B$39&amp;";",""),IF(AND($G97&lt;Hta_20,$G97&gt;=Hba_20,Input!V$40&lt;&gt;""),Input!$B$40&amp;";",""),IF(AND($G97&lt;Hta_21,$G97&gt;=Hba_21,Input!V$41&lt;&gt;""),Input!$B$41&amp;";",""),IF(AND($G97&lt;Hta_22,$G97&gt;=Hba_22,Input!V$42&lt;&gt;""),Input!$B$42&amp;";",""),IF(AND($G97&lt;Hta_23,$G97&gt;=Hba_23,Input!V$43&lt;&gt;""),Input!$B$43&amp;";",""),IF(AND($G97&lt;Hta_24,$G97&gt;=Hba_24,Input!V$44&lt;&gt;""),Input!$B$44&amp;";",""),IF(AND($G97&lt;Hta_25,$G97&gt;=Hba_25,Input!V$45&lt;&gt;""),Input!$B$45&amp;";",""),IF(AND($G97&lt;Hta_26,$G97&gt;=Hba_26,Input!V$46&lt;&gt;""),Input!$B$46&amp;";",""),IF(AND($G97&lt;Hta_27,$G97&gt;=Hba_27,Input!V$47&lt;&gt;""),Input!$B$47&amp;";",""),IF(AND($G97&lt;Hta_28,$G97&gt;=Hba_28,Input!V$48&lt;&gt;""),Input!$B$48&amp;";",""),IF(AND($G97&lt;Hta_29,$G97&gt;=Hba_29,Input!V$49&lt;&gt;""),Input!$B$49&amp;";",""),IF(AND($G97&lt;Hta_30,$G97&gt;=Hba_30,Input!V$50&lt;&gt;""),Input!$B$50&amp;";","")),"")</f>
        <v/>
      </c>
      <c r="BX97" s="25" t="str">
        <f>IFERROR(CONCATENATE(IF(AND($G97&lt;Hta_1,$G97&gt;=Hba_1,Input!W$21&lt;&gt;""),Input!$B$21&amp;";",""),IF(AND($G97&lt;Hta_2,$G97&gt;=Hba_2,Input!W$22&lt;&gt;""),Input!$B$22&amp;";",""),IF(AND($G97&lt;Hta_3,$G97&gt;=Hba_3,Input!W$23&lt;&gt;""),Input!$B$23&amp;";",""),IF(AND($G97&lt;Hta_4,$G97&gt;=Hba_4,Input!W$24&lt;&gt;""),Input!$B$24&amp;";",""),IF(AND($G97&lt;Hta_5,$G97&gt;=Hba_5,Input!W$25&lt;&gt;""),Input!$B$25&amp;";",""),IF(AND($G97&lt;Hta_6,$G97&gt;=Hba_6,Input!W$26&lt;&gt;""),Input!$B$26&amp;";",""),IF(AND($G97&lt;Hta_7,$G97&gt;=Hba_7,Input!W$27&lt;&gt;""),Input!$B$27&amp;";",""),IF(AND($G97&lt;Hta_8,$G97&gt;=Hba_8,Input!W$28&lt;&gt;""),Input!$B$28&amp;";",""),IF(AND($G97&lt;Hta_9,$G97&gt;=Hba_9,Input!W$29&lt;&gt;""),Input!$B$29&amp;";",""),IF(AND($G97&lt;Hta_10,$G97&gt;=Hba_10,Input!W$30&lt;&gt;""),Input!$B$30&amp;";",""),IF(AND($G97&lt;Hta_11,$G97&gt;=Hba_11,Input!W$31&lt;&gt;""),Input!$B$31&amp;";",""),IF(AND($G97&lt;Hta_12,$G97&gt;=Hba_12,Input!W$32&lt;&gt;""),Input!$B$32&amp;";",""),IF(AND($G97&lt;Hta_13,$G97&gt;=Hba_13,Input!W$33&lt;&gt;""),Input!$B$33&amp;";",""),IF(AND($G97&lt;Hta_14,$G97&gt;=Hba_14,Input!W$34&lt;&gt;""),Input!$B$34&amp;";",""),IF(AND($G97&lt;Hta_15,$G97&gt;=Hba_15,Input!W$35&lt;&gt;""),Input!$B$35&amp;";",""),IF(AND($G97&lt;Hta_16,$G97&gt;=Hba_16,Input!W$36&lt;&gt;""),Input!$B$36&amp;";",""),IF(AND($G97&lt;Hta_17,$G97&gt;=Hba_17,Input!W$37&lt;&gt;""),Input!$B$37&amp;";",""),IF(AND($G97&lt;Hta_18,$G97&gt;=Hba_18,Input!W$38&lt;&gt;""),Input!$B$38&amp;";",""),IF(AND($G97&lt;Hta_19,$G97&gt;=Hba_19,Input!W$39&lt;&gt;""),Input!$B$39&amp;";",""),IF(AND($G97&lt;Hta_20,$G97&gt;=Hba_20,Input!W$40&lt;&gt;""),Input!$B$40&amp;";",""),IF(AND($G97&lt;Hta_21,$G97&gt;=Hba_21,Input!W$41&lt;&gt;""),Input!$B$41&amp;";",""),IF(AND($G97&lt;Hta_22,$G97&gt;=Hba_22,Input!W$42&lt;&gt;""),Input!$B$42&amp;";",""),IF(AND($G97&lt;Hta_23,$G97&gt;=Hba_23,Input!W$43&lt;&gt;""),Input!$B$43&amp;";",""),IF(AND($G97&lt;Hta_24,$G97&gt;=Hba_24,Input!W$44&lt;&gt;""),Input!$B$44&amp;";",""),IF(AND($G97&lt;Hta_25,$G97&gt;=Hba_25,Input!W$45&lt;&gt;""),Input!$B$45&amp;";",""),IF(AND($G97&lt;Hta_26,$G97&gt;=Hba_26,Input!W$46&lt;&gt;""),Input!$B$46&amp;";",""),IF(AND($G97&lt;Hta_27,$G97&gt;=Hba_27,Input!W$47&lt;&gt;""),Input!$B$47&amp;";",""),IF(AND($G97&lt;Hta_28,$G97&gt;=Hba_28,Input!W$48&lt;&gt;""),Input!$B$48&amp;";",""),IF(AND($G97&lt;Hta_29,$G97&gt;=Hba_29,Input!W$49&lt;&gt;""),Input!$B$49&amp;";",""),IF(AND($G97&lt;Hta_30,$G97&gt;=Hba_30,Input!W$50&lt;&gt;""),Input!$B$50&amp;";","")),"")</f>
        <v/>
      </c>
      <c r="BY97" s="25" t="str">
        <f>IFERROR(CONCATENATE(IF(AND($G97&lt;Hta_1,$G97&gt;=Hba_1,Input!X$21&lt;&gt;""),Input!$B$21&amp;";",""),IF(AND($G97&lt;Hta_2,$G97&gt;=Hba_2,Input!X$22&lt;&gt;""),Input!$B$22&amp;";",""),IF(AND($G97&lt;Hta_3,$G97&gt;=Hba_3,Input!X$23&lt;&gt;""),Input!$B$23&amp;";",""),IF(AND($G97&lt;Hta_4,$G97&gt;=Hba_4,Input!X$24&lt;&gt;""),Input!$B$24&amp;";",""),IF(AND($G97&lt;Hta_5,$G97&gt;=Hba_5,Input!X$25&lt;&gt;""),Input!$B$25&amp;";",""),IF(AND($G97&lt;Hta_6,$G97&gt;=Hba_6,Input!X$26&lt;&gt;""),Input!$B$26&amp;";",""),IF(AND($G97&lt;Hta_7,$G97&gt;=Hba_7,Input!X$27&lt;&gt;""),Input!$B$27&amp;";",""),IF(AND($G97&lt;Hta_8,$G97&gt;=Hba_8,Input!X$28&lt;&gt;""),Input!$B$28&amp;";",""),IF(AND($G97&lt;Hta_9,$G97&gt;=Hba_9,Input!X$29&lt;&gt;""),Input!$B$29&amp;";",""),IF(AND($G97&lt;Hta_10,$G97&gt;=Hba_10,Input!X$30&lt;&gt;""),Input!$B$30&amp;";",""),IF(AND($G97&lt;Hta_11,$G97&gt;=Hba_11,Input!X$31&lt;&gt;""),Input!$B$31&amp;";",""),IF(AND($G97&lt;Hta_12,$G97&gt;=Hba_12,Input!X$32&lt;&gt;""),Input!$B$32&amp;";",""),IF(AND($G97&lt;Hta_13,$G97&gt;=Hba_13,Input!X$33&lt;&gt;""),Input!$B$33&amp;";",""),IF(AND($G97&lt;Hta_14,$G97&gt;=Hba_14,Input!X$34&lt;&gt;""),Input!$B$34&amp;";",""),IF(AND($G97&lt;Hta_15,$G97&gt;=Hba_15,Input!X$35&lt;&gt;""),Input!$B$35&amp;";",""),IF(AND($G97&lt;Hta_16,$G97&gt;=Hba_16,Input!X$36&lt;&gt;""),Input!$B$36&amp;";",""),IF(AND($G97&lt;Hta_17,$G97&gt;=Hba_17,Input!X$37&lt;&gt;""),Input!$B$37&amp;";",""),IF(AND($G97&lt;Hta_18,$G97&gt;=Hba_18,Input!X$38&lt;&gt;""),Input!$B$38&amp;";",""),IF(AND($G97&lt;Hta_19,$G97&gt;=Hba_19,Input!X$39&lt;&gt;""),Input!$B$39&amp;";",""),IF(AND($G97&lt;Hta_20,$G97&gt;=Hba_20,Input!X$40&lt;&gt;""),Input!$B$40&amp;";",""),IF(AND($G97&lt;Hta_21,$G97&gt;=Hba_21,Input!X$41&lt;&gt;""),Input!$B$41&amp;";",""),IF(AND($G97&lt;Hta_22,$G97&gt;=Hba_22,Input!X$42&lt;&gt;""),Input!$B$42&amp;";",""),IF(AND($G97&lt;Hta_23,$G97&gt;=Hba_23,Input!X$43&lt;&gt;""),Input!$B$43&amp;";",""),IF(AND($G97&lt;Hta_24,$G97&gt;=Hba_24,Input!X$44&lt;&gt;""),Input!$B$44&amp;";",""),IF(AND($G97&lt;Hta_25,$G97&gt;=Hba_25,Input!X$45&lt;&gt;""),Input!$B$45&amp;";",""),IF(AND($G97&lt;Hta_26,$G97&gt;=Hba_26,Input!X$46&lt;&gt;""),Input!$B$46&amp;";",""),IF(AND($G97&lt;Hta_27,$G97&gt;=Hba_27,Input!X$47&lt;&gt;""),Input!$B$47&amp;";",""),IF(AND($G97&lt;Hta_28,$G97&gt;=Hba_28,Input!X$48&lt;&gt;""),Input!$B$48&amp;";",""),IF(AND($G97&lt;Hta_29,$G97&gt;=Hba_29,Input!X$49&lt;&gt;""),Input!$B$49&amp;";",""),IF(AND($G97&lt;Hta_30,$G97&gt;=Hba_30,Input!X$50&lt;&gt;""),Input!$B$50&amp;";","")),"")</f>
        <v/>
      </c>
      <c r="BZ97" s="25" t="str">
        <f>IFERROR(CONCATENATE(IF(AND($G97&lt;Hta_1,$G97&gt;=Hba_1,Input!Y$21&lt;&gt;""),Input!$B$21&amp;";",""),IF(AND($G97&lt;Hta_2,$G97&gt;=Hba_2,Input!Y$22&lt;&gt;""),Input!$B$22&amp;";",""),IF(AND($G97&lt;Hta_3,$G97&gt;=Hba_3,Input!Y$23&lt;&gt;""),Input!$B$23&amp;";",""),IF(AND($G97&lt;Hta_4,$G97&gt;=Hba_4,Input!Y$24&lt;&gt;""),Input!$B$24&amp;";",""),IF(AND($G97&lt;Hta_5,$G97&gt;=Hba_5,Input!Y$25&lt;&gt;""),Input!$B$25&amp;";",""),IF(AND($G97&lt;Hta_6,$G97&gt;=Hba_6,Input!Y$26&lt;&gt;""),Input!$B$26&amp;";",""),IF(AND($G97&lt;Hta_7,$G97&gt;=Hba_7,Input!Y$27&lt;&gt;""),Input!$B$27&amp;";",""),IF(AND($G97&lt;Hta_8,$G97&gt;=Hba_8,Input!Y$28&lt;&gt;""),Input!$B$28&amp;";",""),IF(AND($G97&lt;Hta_9,$G97&gt;=Hba_9,Input!Y$29&lt;&gt;""),Input!$B$29&amp;";",""),IF(AND($G97&lt;Hta_10,$G97&gt;=Hba_10,Input!Y$30&lt;&gt;""),Input!$B$30&amp;";",""),IF(AND($G97&lt;Hta_11,$G97&gt;=Hba_11,Input!Y$31&lt;&gt;""),Input!$B$31&amp;";",""),IF(AND($G97&lt;Hta_12,$G97&gt;=Hba_12,Input!Y$32&lt;&gt;""),Input!$B$32&amp;";",""),IF(AND($G97&lt;Hta_13,$G97&gt;=Hba_13,Input!Y$33&lt;&gt;""),Input!$B$33&amp;";",""),IF(AND($G97&lt;Hta_14,$G97&gt;=Hba_14,Input!Y$34&lt;&gt;""),Input!$B$34&amp;";",""),IF(AND($G97&lt;Hta_15,$G97&gt;=Hba_15,Input!Y$35&lt;&gt;""),Input!$B$35&amp;";",""),IF(AND($G97&lt;Hta_16,$G97&gt;=Hba_16,Input!Y$36&lt;&gt;""),Input!$B$36&amp;";",""),IF(AND($G97&lt;Hta_17,$G97&gt;=Hba_17,Input!Y$37&lt;&gt;""),Input!$B$37&amp;";",""),IF(AND($G97&lt;Hta_18,$G97&gt;=Hba_18,Input!Y$38&lt;&gt;""),Input!$B$38&amp;";",""),IF(AND($G97&lt;Hta_19,$G97&gt;=Hba_19,Input!Y$39&lt;&gt;""),Input!$B$39&amp;";",""),IF(AND($G97&lt;Hta_20,$G97&gt;=Hba_20,Input!Y$40&lt;&gt;""),Input!$B$40&amp;";",""),IF(AND($G97&lt;Hta_21,$G97&gt;=Hba_21,Input!Y$41&lt;&gt;""),Input!$B$41&amp;";",""),IF(AND($G97&lt;Hta_22,$G97&gt;=Hba_22,Input!Y$42&lt;&gt;""),Input!$B$42&amp;";",""),IF(AND($G97&lt;Hta_23,$G97&gt;=Hba_23,Input!Y$43&lt;&gt;""),Input!$B$43&amp;";",""),IF(AND($G97&lt;Hta_24,$G97&gt;=Hba_24,Input!Y$44&lt;&gt;""),Input!$B$44&amp;";",""),IF(AND($G97&lt;Hta_25,$G97&gt;=Hba_25,Input!Y$45&lt;&gt;""),Input!$B$45&amp;";",""),IF(AND($G97&lt;Hta_26,$G97&gt;=Hba_26,Input!Y$46&lt;&gt;""),Input!$B$46&amp;";",""),IF(AND($G97&lt;Hta_27,$G97&gt;=Hba_27,Input!Y$47&lt;&gt;""),Input!$B$47&amp;";",""),IF(AND($G97&lt;Hta_28,$G97&gt;=Hba_28,Input!Y$48&lt;&gt;""),Input!$B$48&amp;";",""),IF(AND($G97&lt;Hta_29,$G97&gt;=Hba_29,Input!Y$49&lt;&gt;""),Input!$B$49&amp;";",""),IF(AND($G97&lt;Hta_30,$G97&gt;=Hba_30,Input!Y$50&lt;&gt;""),Input!$B$50&amp;";","")),"")</f>
        <v/>
      </c>
      <c r="CA97" s="25" t="str">
        <f>IFERROR(CONCATENATE(IF(AND($G97&lt;Hta_1,$G97&gt;=Hba_1,Input!Z$21&lt;&gt;""),Input!$B$21&amp;";",""),IF(AND($G97&lt;Hta_2,$G97&gt;=Hba_2,Input!Z$22&lt;&gt;""),Input!$B$22&amp;";",""),IF(AND($G97&lt;Hta_3,$G97&gt;=Hba_3,Input!Z$23&lt;&gt;""),Input!$B$23&amp;";",""),IF(AND($G97&lt;Hta_4,$G97&gt;=Hba_4,Input!Z$24&lt;&gt;""),Input!$B$24&amp;";",""),IF(AND($G97&lt;Hta_5,$G97&gt;=Hba_5,Input!Z$25&lt;&gt;""),Input!$B$25&amp;";",""),IF(AND($G97&lt;Hta_6,$G97&gt;=Hba_6,Input!Z$26&lt;&gt;""),Input!$B$26&amp;";",""),IF(AND($G97&lt;Hta_7,$G97&gt;=Hba_7,Input!Z$27&lt;&gt;""),Input!$B$27&amp;";",""),IF(AND($G97&lt;Hta_8,$G97&gt;=Hba_8,Input!Z$28&lt;&gt;""),Input!$B$28&amp;";",""),IF(AND($G97&lt;Hta_9,$G97&gt;=Hba_9,Input!Z$29&lt;&gt;""),Input!$B$29&amp;";",""),IF(AND($G97&lt;Hta_10,$G97&gt;=Hba_10,Input!Z$30&lt;&gt;""),Input!$B$30&amp;";",""),IF(AND($G97&lt;Hta_11,$G97&gt;=Hba_11,Input!Z$31&lt;&gt;""),Input!$B$31&amp;";",""),IF(AND($G97&lt;Hta_12,$G97&gt;=Hba_12,Input!Z$32&lt;&gt;""),Input!$B$32&amp;";",""),IF(AND($G97&lt;Hta_13,$G97&gt;=Hba_13,Input!Z$33&lt;&gt;""),Input!$B$33&amp;";",""),IF(AND($G97&lt;Hta_14,$G97&gt;=Hba_14,Input!Z$34&lt;&gt;""),Input!$B$34&amp;";",""),IF(AND($G97&lt;Hta_15,$G97&gt;=Hba_15,Input!Z$35&lt;&gt;""),Input!$B$35&amp;";",""),IF(AND($G97&lt;Hta_16,$G97&gt;=Hba_16,Input!Z$36&lt;&gt;""),Input!$B$36&amp;";",""),IF(AND($G97&lt;Hta_17,$G97&gt;=Hba_17,Input!Z$37&lt;&gt;""),Input!$B$37&amp;";",""),IF(AND($G97&lt;Hta_18,$G97&gt;=Hba_18,Input!Z$38&lt;&gt;""),Input!$B$38&amp;";",""),IF(AND($G97&lt;Hta_19,$G97&gt;=Hba_19,Input!Z$39&lt;&gt;""),Input!$B$39&amp;";",""),IF(AND($G97&lt;Hta_20,$G97&gt;=Hba_20,Input!Z$40&lt;&gt;""),Input!$B$40&amp;";",""),IF(AND($G97&lt;Hta_21,$G97&gt;=Hba_21,Input!Z$41&lt;&gt;""),Input!$B$41&amp;";",""),IF(AND($G97&lt;Hta_22,$G97&gt;=Hba_22,Input!Z$42&lt;&gt;""),Input!$B$42&amp;";",""),IF(AND($G97&lt;Hta_23,$G97&gt;=Hba_23,Input!Z$43&lt;&gt;""),Input!$B$43&amp;";",""),IF(AND($G97&lt;Hta_24,$G97&gt;=Hba_24,Input!Z$44&lt;&gt;""),Input!$B$44&amp;";",""),IF(AND($G97&lt;Hta_25,$G97&gt;=Hba_25,Input!Z$45&lt;&gt;""),Input!$B$45&amp;";",""),IF(AND($G97&lt;Hta_26,$G97&gt;=Hba_26,Input!Z$46&lt;&gt;""),Input!$B$46&amp;";",""),IF(AND($G97&lt;Hta_27,$G97&gt;=Hba_27,Input!Z$47&lt;&gt;""),Input!$B$47&amp;";",""),IF(AND($G97&lt;Hta_28,$G97&gt;=Hba_28,Input!Z$48&lt;&gt;""),Input!$B$48&amp;";",""),IF(AND($G97&lt;Hta_29,$G97&gt;=Hba_29,Input!Z$49&lt;&gt;""),Input!$B$49&amp;";",""),IF(AND($G97&lt;Hta_30,$G97&gt;=Hba_30,Input!Z$50&lt;&gt;""),Input!$B$50&amp;";","")),"")</f>
        <v/>
      </c>
      <c r="CB97" s="25" t="str">
        <f>IFERROR(CONCATENATE(IF(AND($G97&lt;Hta_1,$G97&gt;=Hba_1,Input!AA$21&lt;&gt;""),Input!$B$21&amp;";",""),IF(AND($G97&lt;Hta_2,$G97&gt;=Hba_2,Input!AA$22&lt;&gt;""),Input!$B$22&amp;";",""),IF(AND($G97&lt;Hta_3,$G97&gt;=Hba_3,Input!AA$23&lt;&gt;""),Input!$B$23&amp;";",""),IF(AND($G97&lt;Hta_4,$G97&gt;=Hba_4,Input!AA$24&lt;&gt;""),Input!$B$24&amp;";",""),IF(AND($G97&lt;Hta_5,$G97&gt;=Hba_5,Input!AA$25&lt;&gt;""),Input!$B$25&amp;";",""),IF(AND($G97&lt;Hta_6,$G97&gt;=Hba_6,Input!AA$26&lt;&gt;""),Input!$B$26&amp;";",""),IF(AND($G97&lt;Hta_7,$G97&gt;=Hba_7,Input!AA$27&lt;&gt;""),Input!$B$27&amp;";",""),IF(AND($G97&lt;Hta_8,$G97&gt;=Hba_8,Input!AA$28&lt;&gt;""),Input!$B$28&amp;";",""),IF(AND($G97&lt;Hta_9,$G97&gt;=Hba_9,Input!AA$29&lt;&gt;""),Input!$B$29&amp;";",""),IF(AND($G97&lt;Hta_10,$G97&gt;=Hba_10,Input!AA$30&lt;&gt;""),Input!$B$30&amp;";",""),IF(AND($G97&lt;Hta_11,$G97&gt;=Hba_11,Input!AA$31&lt;&gt;""),Input!$B$31&amp;";",""),IF(AND($G97&lt;Hta_12,$G97&gt;=Hba_12,Input!AA$32&lt;&gt;""),Input!$B$32&amp;";",""),IF(AND($G97&lt;Hta_13,$G97&gt;=Hba_13,Input!AA$33&lt;&gt;""),Input!$B$33&amp;";",""),IF(AND($G97&lt;Hta_14,$G97&gt;=Hba_14,Input!AA$34&lt;&gt;""),Input!$B$34&amp;";",""),IF(AND($G97&lt;Hta_15,$G97&gt;=Hba_15,Input!AA$35&lt;&gt;""),Input!$B$35&amp;";",""),IF(AND($G97&lt;Hta_16,$G97&gt;=Hba_16,Input!AA$36&lt;&gt;""),Input!$B$36&amp;";",""),IF(AND($G97&lt;Hta_17,$G97&gt;=Hba_17,Input!AA$37&lt;&gt;""),Input!$B$37&amp;";",""),IF(AND($G97&lt;Hta_18,$G97&gt;=Hba_18,Input!AA$38&lt;&gt;""),Input!$B$38&amp;";",""),IF(AND($G97&lt;Hta_19,$G97&gt;=Hba_19,Input!AA$39&lt;&gt;""),Input!$B$39&amp;";",""),IF(AND($G97&lt;Hta_20,$G97&gt;=Hba_20,Input!AA$40&lt;&gt;""),Input!$B$40&amp;";",""),IF(AND($G97&lt;Hta_21,$G97&gt;=Hba_21,Input!AA$41&lt;&gt;""),Input!$B$41&amp;";",""),IF(AND($G97&lt;Hta_22,$G97&gt;=Hba_22,Input!AA$42&lt;&gt;""),Input!$B$42&amp;";",""),IF(AND($G97&lt;Hta_23,$G97&gt;=Hba_23,Input!AA$43&lt;&gt;""),Input!$B$43&amp;";",""),IF(AND($G97&lt;Hta_24,$G97&gt;=Hba_24,Input!AA$44&lt;&gt;""),Input!$B$44&amp;";",""),IF(AND($G97&lt;Hta_25,$G97&gt;=Hba_25,Input!AA$45&lt;&gt;""),Input!$B$45&amp;";",""),IF(AND($G97&lt;Hta_26,$G97&gt;=Hba_26,Input!AA$46&lt;&gt;""),Input!$B$46&amp;";",""),IF(AND($G97&lt;Hta_27,$G97&gt;=Hba_27,Input!AA$47&lt;&gt;""),Input!$B$47&amp;";",""),IF(AND($G97&lt;Hta_28,$G97&gt;=Hba_28,Input!AA$48&lt;&gt;""),Input!$B$48&amp;";",""),IF(AND($G97&lt;Hta_29,$G97&gt;=Hba_29,Input!AA$49&lt;&gt;""),Input!$B$49&amp;";",""),IF(AND($G97&lt;Hta_30,$G97&gt;=Hba_30,Input!AA$50&lt;&gt;""),Input!$B$50&amp;";","")),"")</f>
        <v/>
      </c>
      <c r="CC97" s="25" t="str">
        <f>IFERROR(CONCATENATE(IF(AND($G97&lt;Hta_1,$G97&gt;=Hba_1,Input!AB$21&lt;&gt;""),Input!$B$21&amp;";",""),IF(AND($G97&lt;Hta_2,$G97&gt;=Hba_2,Input!AB$22&lt;&gt;""),Input!$B$22&amp;";",""),IF(AND($G97&lt;Hta_3,$G97&gt;=Hba_3,Input!AB$23&lt;&gt;""),Input!$B$23&amp;";",""),IF(AND($G97&lt;Hta_4,$G97&gt;=Hba_4,Input!AB$24&lt;&gt;""),Input!$B$24&amp;";",""),IF(AND($G97&lt;Hta_5,$G97&gt;=Hba_5,Input!AB$25&lt;&gt;""),Input!$B$25&amp;";",""),IF(AND($G97&lt;Hta_6,$G97&gt;=Hba_6,Input!AB$26&lt;&gt;""),Input!$B$26&amp;";",""),IF(AND($G97&lt;Hta_7,$G97&gt;=Hba_7,Input!AB$27&lt;&gt;""),Input!$B$27&amp;";",""),IF(AND($G97&lt;Hta_8,$G97&gt;=Hba_8,Input!AB$28&lt;&gt;""),Input!$B$28&amp;";",""),IF(AND($G97&lt;Hta_9,$G97&gt;=Hba_9,Input!AB$29&lt;&gt;""),Input!$B$29&amp;";",""),IF(AND($G97&lt;Hta_10,$G97&gt;=Hba_10,Input!AB$30&lt;&gt;""),Input!$B$30&amp;";",""),IF(AND($G97&lt;Hta_11,$G97&gt;=Hba_11,Input!AB$31&lt;&gt;""),Input!$B$31&amp;";",""),IF(AND($G97&lt;Hta_12,$G97&gt;=Hba_12,Input!AB$32&lt;&gt;""),Input!$B$32&amp;";",""),IF(AND($G97&lt;Hta_13,$G97&gt;=Hba_13,Input!AB$33&lt;&gt;""),Input!$B$33&amp;";",""),IF(AND($G97&lt;Hta_14,$G97&gt;=Hba_14,Input!AB$34&lt;&gt;""),Input!$B$34&amp;";",""),IF(AND($G97&lt;Hta_15,$G97&gt;=Hba_15,Input!AB$35&lt;&gt;""),Input!$B$35&amp;";",""),IF(AND($G97&lt;Hta_16,$G97&gt;=Hba_16,Input!AB$36&lt;&gt;""),Input!$B$36&amp;";",""),IF(AND($G97&lt;Hta_17,$G97&gt;=Hba_17,Input!AB$37&lt;&gt;""),Input!$B$37&amp;";",""),IF(AND($G97&lt;Hta_18,$G97&gt;=Hba_18,Input!AB$38&lt;&gt;""),Input!$B$38&amp;";",""),IF(AND($G97&lt;Hta_19,$G97&gt;=Hba_19,Input!AB$39&lt;&gt;""),Input!$B$39&amp;";",""),IF(AND($G97&lt;Hta_20,$G97&gt;=Hba_20,Input!AB$40&lt;&gt;""),Input!$B$40&amp;";",""),IF(AND($G97&lt;Hta_21,$G97&gt;=Hba_21,Input!AB$41&lt;&gt;""),Input!$B$41&amp;";",""),IF(AND($G97&lt;Hta_22,$G97&gt;=Hba_22,Input!AB$42&lt;&gt;""),Input!$B$42&amp;";",""),IF(AND($G97&lt;Hta_23,$G97&gt;=Hba_23,Input!AB$43&lt;&gt;""),Input!$B$43&amp;";",""),IF(AND($G97&lt;Hta_24,$G97&gt;=Hba_24,Input!AB$44&lt;&gt;""),Input!$B$44&amp;";",""),IF(AND($G97&lt;Hta_25,$G97&gt;=Hba_25,Input!AB$45&lt;&gt;""),Input!$B$45&amp;";",""),IF(AND($G97&lt;Hta_26,$G97&gt;=Hba_26,Input!AB$46&lt;&gt;""),Input!$B$46&amp;";",""),IF(AND($G97&lt;Hta_27,$G97&gt;=Hba_27,Input!AB$47&lt;&gt;""),Input!$B$47&amp;";",""),IF(AND($G97&lt;Hta_28,$G97&gt;=Hba_28,Input!AB$48&lt;&gt;""),Input!$B$48&amp;";",""),IF(AND($G97&lt;Hta_29,$G97&gt;=Hba_29,Input!AB$49&lt;&gt;""),Input!$B$49&amp;";",""),IF(AND($G97&lt;Hta_30,$G97&gt;=Hba_30,Input!AB$50&lt;&gt;""),Input!$B$50&amp;";","")),"")</f>
        <v/>
      </c>
      <c r="CD97" s="25" t="str">
        <f>IFERROR(CONCATENATE(IF(AND($G97&lt;Hta_1,$G97&gt;=Hba_1,Input!AC$21&lt;&gt;""),Input!$B$21&amp;";",""),IF(AND($G97&lt;Hta_2,$G97&gt;=Hba_2,Input!AC$22&lt;&gt;""),Input!$B$22&amp;";",""),IF(AND($G97&lt;Hta_3,$G97&gt;=Hba_3,Input!AC$23&lt;&gt;""),Input!$B$23&amp;";",""),IF(AND($G97&lt;Hta_4,$G97&gt;=Hba_4,Input!AC$24&lt;&gt;""),Input!$B$24&amp;";",""),IF(AND($G97&lt;Hta_5,$G97&gt;=Hba_5,Input!AC$25&lt;&gt;""),Input!$B$25&amp;";",""),IF(AND($G97&lt;Hta_6,$G97&gt;=Hba_6,Input!AC$26&lt;&gt;""),Input!$B$26&amp;";",""),IF(AND($G97&lt;Hta_7,$G97&gt;=Hba_7,Input!AC$27&lt;&gt;""),Input!$B$27&amp;";",""),IF(AND($G97&lt;Hta_8,$G97&gt;=Hba_8,Input!AC$28&lt;&gt;""),Input!$B$28&amp;";",""),IF(AND($G97&lt;Hta_9,$G97&gt;=Hba_9,Input!AC$29&lt;&gt;""),Input!$B$29&amp;";",""),IF(AND($G97&lt;Hta_10,$G97&gt;=Hba_10,Input!AC$30&lt;&gt;""),Input!$B$30&amp;";",""),IF(AND($G97&lt;Hta_11,$G97&gt;=Hba_11,Input!AC$31&lt;&gt;""),Input!$B$31&amp;";",""),IF(AND($G97&lt;Hta_12,$G97&gt;=Hba_12,Input!AC$32&lt;&gt;""),Input!$B$32&amp;";",""),IF(AND($G97&lt;Hta_13,$G97&gt;=Hba_13,Input!AC$33&lt;&gt;""),Input!$B$33&amp;";",""),IF(AND($G97&lt;Hta_14,$G97&gt;=Hba_14,Input!AC$34&lt;&gt;""),Input!$B$34&amp;";",""),IF(AND($G97&lt;Hta_15,$G97&gt;=Hba_15,Input!AC$35&lt;&gt;""),Input!$B$35&amp;";",""),IF(AND($G97&lt;Hta_16,$G97&gt;=Hba_16,Input!AC$36&lt;&gt;""),Input!$B$36&amp;";",""),IF(AND($G97&lt;Hta_17,$G97&gt;=Hba_17,Input!AC$37&lt;&gt;""),Input!$B$37&amp;";",""),IF(AND($G97&lt;Hta_18,$G97&gt;=Hba_18,Input!AC$38&lt;&gt;""),Input!$B$38&amp;";",""),IF(AND($G97&lt;Hta_19,$G97&gt;=Hba_19,Input!AC$39&lt;&gt;""),Input!$B$39&amp;";",""),IF(AND($G97&lt;Hta_20,$G97&gt;=Hba_20,Input!AC$40&lt;&gt;""),Input!$B$40&amp;";",""),IF(AND($G97&lt;Hta_21,$G97&gt;=Hba_21,Input!AC$41&lt;&gt;""),Input!$B$41&amp;";",""),IF(AND($G97&lt;Hta_22,$G97&gt;=Hba_22,Input!AC$42&lt;&gt;""),Input!$B$42&amp;";",""),IF(AND($G97&lt;Hta_23,$G97&gt;=Hba_23,Input!AC$43&lt;&gt;""),Input!$B$43&amp;";",""),IF(AND($G97&lt;Hta_24,$G97&gt;=Hba_24,Input!AC$44&lt;&gt;""),Input!$B$44&amp;";",""),IF(AND($G97&lt;Hta_25,$G97&gt;=Hba_25,Input!AC$45&lt;&gt;""),Input!$B$45&amp;";",""),IF(AND($G97&lt;Hta_26,$G97&gt;=Hba_26,Input!AC$46&lt;&gt;""),Input!$B$46&amp;";",""),IF(AND($G97&lt;Hta_27,$G97&gt;=Hba_27,Input!AC$47&lt;&gt;""),Input!$B$47&amp;";",""),IF(AND($G97&lt;Hta_28,$G97&gt;=Hba_28,Input!AC$48&lt;&gt;""),Input!$B$48&amp;";",""),IF(AND($G97&lt;Hta_29,$G97&gt;=Hba_29,Input!AC$49&lt;&gt;""),Input!$B$49&amp;";",""),IF(AND($G97&lt;Hta_30,$G97&gt;=Hba_30,Input!AC$50&lt;&gt;""),Input!$B$50&amp;";","")),"")</f>
        <v/>
      </c>
      <c r="CE97" s="25" t="str">
        <f>IFERROR(CONCATENATE(IF(AND($G97&lt;Hta_1,$G97&gt;=Hba_1,Input!AD$21&lt;&gt;""),Input!$B$21&amp;";",""),IF(AND($G97&lt;Hta_2,$G97&gt;=Hba_2,Input!AD$22&lt;&gt;""),Input!$B$22&amp;";",""),IF(AND($G97&lt;Hta_3,$G97&gt;=Hba_3,Input!AD$23&lt;&gt;""),Input!$B$23&amp;";",""),IF(AND($G97&lt;Hta_4,$G97&gt;=Hba_4,Input!AD$24&lt;&gt;""),Input!$B$24&amp;";",""),IF(AND($G97&lt;Hta_5,$G97&gt;=Hba_5,Input!AD$25&lt;&gt;""),Input!$B$25&amp;";",""),IF(AND($G97&lt;Hta_6,$G97&gt;=Hba_6,Input!AD$26&lt;&gt;""),Input!$B$26&amp;";",""),IF(AND($G97&lt;Hta_7,$G97&gt;=Hba_7,Input!AD$27&lt;&gt;""),Input!$B$27&amp;";",""),IF(AND($G97&lt;Hta_8,$G97&gt;=Hba_8,Input!AD$28&lt;&gt;""),Input!$B$28&amp;";",""),IF(AND($G97&lt;Hta_9,$G97&gt;=Hba_9,Input!AD$29&lt;&gt;""),Input!$B$29&amp;";",""),IF(AND($G97&lt;Hta_10,$G97&gt;=Hba_10,Input!AD$30&lt;&gt;""),Input!$B$30&amp;";",""),IF(AND($G97&lt;Hta_11,$G97&gt;=Hba_11,Input!AD$31&lt;&gt;""),Input!$B$31&amp;";",""),IF(AND($G97&lt;Hta_12,$G97&gt;=Hba_12,Input!AD$32&lt;&gt;""),Input!$B$32&amp;";",""),IF(AND($G97&lt;Hta_13,$G97&gt;=Hba_13,Input!AD$33&lt;&gt;""),Input!$B$33&amp;";",""),IF(AND($G97&lt;Hta_14,$G97&gt;=Hba_14,Input!AD$34&lt;&gt;""),Input!$B$34&amp;";",""),IF(AND($G97&lt;Hta_15,$G97&gt;=Hba_15,Input!AD$35&lt;&gt;""),Input!$B$35&amp;";",""),IF(AND($G97&lt;Hta_16,$G97&gt;=Hba_16,Input!AD$36&lt;&gt;""),Input!$B$36&amp;";",""),IF(AND($G97&lt;Hta_17,$G97&gt;=Hba_17,Input!AD$37&lt;&gt;""),Input!$B$37&amp;";",""),IF(AND($G97&lt;Hta_18,$G97&gt;=Hba_18,Input!AD$38&lt;&gt;""),Input!$B$38&amp;";",""),IF(AND($G97&lt;Hta_19,$G97&gt;=Hba_19,Input!AD$39&lt;&gt;""),Input!$B$39&amp;";",""),IF(AND($G97&lt;Hta_20,$G97&gt;=Hba_20,Input!AD$40&lt;&gt;""),Input!$B$40&amp;";",""),IF(AND($G97&lt;Hta_21,$G97&gt;=Hba_21,Input!AD$41&lt;&gt;""),Input!$B$41&amp;";",""),IF(AND($G97&lt;Hta_22,$G97&gt;=Hba_22,Input!AD$42&lt;&gt;""),Input!$B$42&amp;";",""),IF(AND($G97&lt;Hta_23,$G97&gt;=Hba_23,Input!AD$43&lt;&gt;""),Input!$B$43&amp;";",""),IF(AND($G97&lt;Hta_24,$G97&gt;=Hba_24,Input!AD$44&lt;&gt;""),Input!$B$44&amp;";",""),IF(AND($G97&lt;Hta_25,$G97&gt;=Hba_25,Input!AD$45&lt;&gt;""),Input!$B$45&amp;";",""),IF(AND($G97&lt;Hta_26,$G97&gt;=Hba_26,Input!AD$46&lt;&gt;""),Input!$B$46&amp;";",""),IF(AND($G97&lt;Hta_27,$G97&gt;=Hba_27,Input!AD$47&lt;&gt;""),Input!$B$47&amp;";",""),IF(AND($G97&lt;Hta_28,$G97&gt;=Hba_28,Input!AD$48&lt;&gt;""),Input!$B$48&amp;";",""),IF(AND($G97&lt;Hta_29,$G97&gt;=Hba_29,Input!AD$49&lt;&gt;""),Input!$B$49&amp;";",""),IF(AND($G97&lt;Hta_30,$G97&gt;=Hba_30,Input!AD$50&lt;&gt;""),Input!$B$50&amp;";","")),"")</f>
        <v/>
      </c>
      <c r="CF97" s="25" t="str">
        <f>IFERROR(CONCATENATE(IF(AND($G97&lt;Hta_1,$G97&gt;=Hba_1,Input!AE$21&lt;&gt;""),Input!$B$21&amp;";",""),IF(AND($G97&lt;Hta_2,$G97&gt;=Hba_2,Input!AE$22&lt;&gt;""),Input!$B$22&amp;";",""),IF(AND($G97&lt;Hta_3,$G97&gt;=Hba_3,Input!AE$23&lt;&gt;""),Input!$B$23&amp;";",""),IF(AND($G97&lt;Hta_4,$G97&gt;=Hba_4,Input!AE$24&lt;&gt;""),Input!$B$24&amp;";",""),IF(AND($G97&lt;Hta_5,$G97&gt;=Hba_5,Input!AE$25&lt;&gt;""),Input!$B$25&amp;";",""),IF(AND($G97&lt;Hta_6,$G97&gt;=Hba_6,Input!AE$26&lt;&gt;""),Input!$B$26&amp;";",""),IF(AND($G97&lt;Hta_7,$G97&gt;=Hba_7,Input!AE$27&lt;&gt;""),Input!$B$27&amp;";",""),IF(AND($G97&lt;Hta_8,$G97&gt;=Hba_8,Input!AE$28&lt;&gt;""),Input!$B$28&amp;";",""),IF(AND($G97&lt;Hta_9,$G97&gt;=Hba_9,Input!AE$29&lt;&gt;""),Input!$B$29&amp;";",""),IF(AND($G97&lt;Hta_10,$G97&gt;=Hba_10,Input!AE$30&lt;&gt;""),Input!$B$30&amp;";",""),IF(AND($G97&lt;Hta_11,$G97&gt;=Hba_11,Input!AE$31&lt;&gt;""),Input!$B$31&amp;";",""),IF(AND($G97&lt;Hta_12,$G97&gt;=Hba_12,Input!AE$32&lt;&gt;""),Input!$B$32&amp;";",""),IF(AND($G97&lt;Hta_13,$G97&gt;=Hba_13,Input!AE$33&lt;&gt;""),Input!$B$33&amp;";",""),IF(AND($G97&lt;Hta_14,$G97&gt;=Hba_14,Input!AE$34&lt;&gt;""),Input!$B$34&amp;";",""),IF(AND($G97&lt;Hta_15,$G97&gt;=Hba_15,Input!AE$35&lt;&gt;""),Input!$B$35&amp;";",""),IF(AND($G97&lt;Hta_16,$G97&gt;=Hba_16,Input!AE$36&lt;&gt;""),Input!$B$36&amp;";",""),IF(AND($G97&lt;Hta_17,$G97&gt;=Hba_17,Input!AE$37&lt;&gt;""),Input!$B$37&amp;";",""),IF(AND($G97&lt;Hta_18,$G97&gt;=Hba_18,Input!AE$38&lt;&gt;""),Input!$B$38&amp;";",""),IF(AND($G97&lt;Hta_19,$G97&gt;=Hba_19,Input!AE$39&lt;&gt;""),Input!$B$39&amp;";",""),IF(AND($G97&lt;Hta_20,$G97&gt;=Hba_20,Input!AE$40&lt;&gt;""),Input!$B$40&amp;";",""),IF(AND($G97&lt;Hta_21,$G97&gt;=Hba_21,Input!AE$41&lt;&gt;""),Input!$B$41&amp;";",""),IF(AND($G97&lt;Hta_22,$G97&gt;=Hba_22,Input!AE$42&lt;&gt;""),Input!$B$42&amp;";",""),IF(AND($G97&lt;Hta_23,$G97&gt;=Hba_23,Input!AE$43&lt;&gt;""),Input!$B$43&amp;";",""),IF(AND($G97&lt;Hta_24,$G97&gt;=Hba_24,Input!AE$44&lt;&gt;""),Input!$B$44&amp;";",""),IF(AND($G97&lt;Hta_25,$G97&gt;=Hba_25,Input!AE$45&lt;&gt;""),Input!$B$45&amp;";",""),IF(AND($G97&lt;Hta_26,$G97&gt;=Hba_26,Input!AE$46&lt;&gt;""),Input!$B$46&amp;";",""),IF(AND($G97&lt;Hta_27,$G97&gt;=Hba_27,Input!AE$47&lt;&gt;""),Input!$B$47&amp;";",""),IF(AND($G97&lt;Hta_28,$G97&gt;=Hba_28,Input!AE$48&lt;&gt;""),Input!$B$48&amp;";",""),IF(AND($G97&lt;Hta_29,$G97&gt;=Hba_29,Input!AE$49&lt;&gt;""),Input!$B$49&amp;";",""),IF(AND($G97&lt;Hta_30,$G97&gt;=Hba_30,Input!AE$50&lt;&gt;""),Input!$B$50&amp;";","")),"")</f>
        <v/>
      </c>
      <c r="CG97" s="25" t="str">
        <f>IFERROR(CONCATENATE(IF(AND($G97&lt;Hta_1,$G97&gt;=Hba_1,Input!AF$21&lt;&gt;""),Input!$B$21&amp;";",""),IF(AND($G97&lt;Hta_2,$G97&gt;=Hba_2,Input!AF$22&lt;&gt;""),Input!$B$22&amp;";",""),IF(AND($G97&lt;Hta_3,$G97&gt;=Hba_3,Input!AF$23&lt;&gt;""),Input!$B$23&amp;";",""),IF(AND($G97&lt;Hta_4,$G97&gt;=Hba_4,Input!AF$24&lt;&gt;""),Input!$B$24&amp;";",""),IF(AND($G97&lt;Hta_5,$G97&gt;=Hba_5,Input!AF$25&lt;&gt;""),Input!$B$25&amp;";",""),IF(AND($G97&lt;Hta_6,$G97&gt;=Hba_6,Input!AF$26&lt;&gt;""),Input!$B$26&amp;";",""),IF(AND($G97&lt;Hta_7,$G97&gt;=Hba_7,Input!AF$27&lt;&gt;""),Input!$B$27&amp;";",""),IF(AND($G97&lt;Hta_8,$G97&gt;=Hba_8,Input!AF$28&lt;&gt;""),Input!$B$28&amp;";",""),IF(AND($G97&lt;Hta_9,$G97&gt;=Hba_9,Input!AF$29&lt;&gt;""),Input!$B$29&amp;";",""),IF(AND($G97&lt;Hta_10,$G97&gt;=Hba_10,Input!AF$30&lt;&gt;""),Input!$B$30&amp;";",""),IF(AND($G97&lt;Hta_11,$G97&gt;=Hba_11,Input!AF$31&lt;&gt;""),Input!$B$31&amp;";",""),IF(AND($G97&lt;Hta_12,$G97&gt;=Hba_12,Input!AF$32&lt;&gt;""),Input!$B$32&amp;";",""),IF(AND($G97&lt;Hta_13,$G97&gt;=Hba_13,Input!AF$33&lt;&gt;""),Input!$B$33&amp;";",""),IF(AND($G97&lt;Hta_14,$G97&gt;=Hba_14,Input!AF$34&lt;&gt;""),Input!$B$34&amp;";",""),IF(AND($G97&lt;Hta_15,$G97&gt;=Hba_15,Input!AF$35&lt;&gt;""),Input!$B$35&amp;";",""),IF(AND($G97&lt;Hta_16,$G97&gt;=Hba_16,Input!AF$36&lt;&gt;""),Input!$B$36&amp;";",""),IF(AND($G97&lt;Hta_17,$G97&gt;=Hba_17,Input!AF$37&lt;&gt;""),Input!$B$37&amp;";",""),IF(AND($G97&lt;Hta_18,$G97&gt;=Hba_18,Input!AF$38&lt;&gt;""),Input!$B$38&amp;";",""),IF(AND($G97&lt;Hta_19,$G97&gt;=Hba_19,Input!AF$39&lt;&gt;""),Input!$B$39&amp;";",""),IF(AND($G97&lt;Hta_20,$G97&gt;=Hba_20,Input!AF$40&lt;&gt;""),Input!$B$40&amp;";",""),IF(AND($G97&lt;Hta_21,$G97&gt;=Hba_21,Input!AF$41&lt;&gt;""),Input!$B$41&amp;";",""),IF(AND($G97&lt;Hta_22,$G97&gt;=Hba_22,Input!AF$42&lt;&gt;""),Input!$B$42&amp;";",""),IF(AND($G97&lt;Hta_23,$G97&gt;=Hba_23,Input!AF$43&lt;&gt;""),Input!$B$43&amp;";",""),IF(AND($G97&lt;Hta_24,$G97&gt;=Hba_24,Input!AF$44&lt;&gt;""),Input!$B$44&amp;";",""),IF(AND($G97&lt;Hta_25,$G97&gt;=Hba_25,Input!AF$45&lt;&gt;""),Input!$B$45&amp;";",""),IF(AND($G97&lt;Hta_26,$G97&gt;=Hba_26,Input!AF$46&lt;&gt;""),Input!$B$46&amp;";",""),IF(AND($G97&lt;Hta_27,$G97&gt;=Hba_27,Input!AF$47&lt;&gt;""),Input!$B$47&amp;";",""),IF(AND($G97&lt;Hta_28,$G97&gt;=Hba_28,Input!AF$48&lt;&gt;""),Input!$B$48&amp;";",""),IF(AND($G97&lt;Hta_29,$G97&gt;=Hba_29,Input!AF$49&lt;&gt;""),Input!$B$49&amp;";",""),IF(AND($G97&lt;Hta_30,$G97&gt;=Hba_30,Input!AF$50&lt;&gt;""),Input!$B$50&amp;";","")),"")</f>
        <v/>
      </c>
      <c r="CH97" s="25" t="str">
        <f>IFERROR(CONCATENATE(IF(AND($G97&lt;Hta_1,$G97&gt;=Hba_1,Input!AG$21&lt;&gt;""),Input!$B$21&amp;";",""),IF(AND($G97&lt;Hta_2,$G97&gt;=Hba_2,Input!AG$22&lt;&gt;""),Input!$B$22&amp;";",""),IF(AND($G97&lt;Hta_3,$G97&gt;=Hba_3,Input!AG$23&lt;&gt;""),Input!$B$23&amp;";",""),IF(AND($G97&lt;Hta_4,$G97&gt;=Hba_4,Input!AG$24&lt;&gt;""),Input!$B$24&amp;";",""),IF(AND($G97&lt;Hta_5,$G97&gt;=Hba_5,Input!AG$25&lt;&gt;""),Input!$B$25&amp;";",""),IF(AND($G97&lt;Hta_6,$G97&gt;=Hba_6,Input!AG$26&lt;&gt;""),Input!$B$26&amp;";",""),IF(AND($G97&lt;Hta_7,$G97&gt;=Hba_7,Input!AG$27&lt;&gt;""),Input!$B$27&amp;";",""),IF(AND($G97&lt;Hta_8,$G97&gt;=Hba_8,Input!AG$28&lt;&gt;""),Input!$B$28&amp;";",""),IF(AND($G97&lt;Hta_9,$G97&gt;=Hba_9,Input!AG$29&lt;&gt;""),Input!$B$29&amp;";",""),IF(AND($G97&lt;Hta_10,$G97&gt;=Hba_10,Input!AG$30&lt;&gt;""),Input!$B$30&amp;";",""),IF(AND($G97&lt;Hta_11,$G97&gt;=Hba_11,Input!AG$31&lt;&gt;""),Input!$B$31&amp;";",""),IF(AND($G97&lt;Hta_12,$G97&gt;=Hba_12,Input!AG$32&lt;&gt;""),Input!$B$32&amp;";",""),IF(AND($G97&lt;Hta_13,$G97&gt;=Hba_13,Input!AG$33&lt;&gt;""),Input!$B$33&amp;";",""),IF(AND($G97&lt;Hta_14,$G97&gt;=Hba_14,Input!AG$34&lt;&gt;""),Input!$B$34&amp;";",""),IF(AND($G97&lt;Hta_15,$G97&gt;=Hba_15,Input!AG$35&lt;&gt;""),Input!$B$35&amp;";",""),IF(AND($G97&lt;Hta_16,$G97&gt;=Hba_16,Input!AG$36&lt;&gt;""),Input!$B$36&amp;";",""),IF(AND($G97&lt;Hta_17,$G97&gt;=Hba_17,Input!AG$37&lt;&gt;""),Input!$B$37&amp;";",""),IF(AND($G97&lt;Hta_18,$G97&gt;=Hba_18,Input!AG$38&lt;&gt;""),Input!$B$38&amp;";",""),IF(AND($G97&lt;Hta_19,$G97&gt;=Hba_19,Input!AG$39&lt;&gt;""),Input!$B$39&amp;";",""),IF(AND($G97&lt;Hta_20,$G97&gt;=Hba_20,Input!AG$40&lt;&gt;""),Input!$B$40&amp;";",""),IF(AND($G97&lt;Hta_21,$G97&gt;=Hba_21,Input!AG$41&lt;&gt;""),Input!$B$41&amp;";",""),IF(AND($G97&lt;Hta_22,$G97&gt;=Hba_22,Input!AG$42&lt;&gt;""),Input!$B$42&amp;";",""),IF(AND($G97&lt;Hta_23,$G97&gt;=Hba_23,Input!AG$43&lt;&gt;""),Input!$B$43&amp;";",""),IF(AND($G97&lt;Hta_24,$G97&gt;=Hba_24,Input!AG$44&lt;&gt;""),Input!$B$44&amp;";",""),IF(AND($G97&lt;Hta_25,$G97&gt;=Hba_25,Input!AG$45&lt;&gt;""),Input!$B$45&amp;";",""),IF(AND($G97&lt;Hta_26,$G97&gt;=Hba_26,Input!AG$46&lt;&gt;""),Input!$B$46&amp;";",""),IF(AND($G97&lt;Hta_27,$G97&gt;=Hba_27,Input!AG$47&lt;&gt;""),Input!$B$47&amp;";",""),IF(AND($G97&lt;Hta_28,$G97&gt;=Hba_28,Input!AG$48&lt;&gt;""),Input!$B$48&amp;";",""),IF(AND($G97&lt;Hta_29,$G97&gt;=Hba_29,Input!AG$49&lt;&gt;""),Input!$B$49&amp;";",""),IF(AND($G97&lt;Hta_30,$G97&gt;=Hba_30,Input!AG$50&lt;&gt;""),Input!$B$50&amp;";","")),"")</f>
        <v/>
      </c>
      <c r="CI97" s="25" t="str">
        <f>IFERROR(CONCATENATE(IF(AND($G97&lt;Hta_1,$G97&gt;=Hba_1,Input!AH$21&lt;&gt;""),Input!$B$21&amp;";",""),IF(AND($G97&lt;Hta_2,$G97&gt;=Hba_2,Input!AH$22&lt;&gt;""),Input!$B$22&amp;";",""),IF(AND($G97&lt;Hta_3,$G97&gt;=Hba_3,Input!AH$23&lt;&gt;""),Input!$B$23&amp;";",""),IF(AND($G97&lt;Hta_4,$G97&gt;=Hba_4,Input!AH$24&lt;&gt;""),Input!$B$24&amp;";",""),IF(AND($G97&lt;Hta_5,$G97&gt;=Hba_5,Input!AH$25&lt;&gt;""),Input!$B$25&amp;";",""),IF(AND($G97&lt;Hta_6,$G97&gt;=Hba_6,Input!AH$26&lt;&gt;""),Input!$B$26&amp;";",""),IF(AND($G97&lt;Hta_7,$G97&gt;=Hba_7,Input!AH$27&lt;&gt;""),Input!$B$27&amp;";",""),IF(AND($G97&lt;Hta_8,$G97&gt;=Hba_8,Input!AH$28&lt;&gt;""),Input!$B$28&amp;";",""),IF(AND($G97&lt;Hta_9,$G97&gt;=Hba_9,Input!AH$29&lt;&gt;""),Input!$B$29&amp;";",""),IF(AND($G97&lt;Hta_10,$G97&gt;=Hba_10,Input!AH$30&lt;&gt;""),Input!$B$30&amp;";",""),IF(AND($G97&lt;Hta_11,$G97&gt;=Hba_11,Input!AH$31&lt;&gt;""),Input!$B$31&amp;";",""),IF(AND($G97&lt;Hta_12,$G97&gt;=Hba_12,Input!AH$32&lt;&gt;""),Input!$B$32&amp;";",""),IF(AND($G97&lt;Hta_13,$G97&gt;=Hba_13,Input!AH$33&lt;&gt;""),Input!$B$33&amp;";",""),IF(AND($G97&lt;Hta_14,$G97&gt;=Hba_14,Input!AH$34&lt;&gt;""),Input!$B$34&amp;";",""),IF(AND($G97&lt;Hta_15,$G97&gt;=Hba_15,Input!AH$35&lt;&gt;""),Input!$B$35&amp;";",""),IF(AND($G97&lt;Hta_16,$G97&gt;=Hba_16,Input!AH$36&lt;&gt;""),Input!$B$36&amp;";",""),IF(AND($G97&lt;Hta_17,$G97&gt;=Hba_17,Input!AH$37&lt;&gt;""),Input!$B$37&amp;";",""),IF(AND($G97&lt;Hta_18,$G97&gt;=Hba_18,Input!AH$38&lt;&gt;""),Input!$B$38&amp;";",""),IF(AND($G97&lt;Hta_19,$G97&gt;=Hba_19,Input!AH$39&lt;&gt;""),Input!$B$39&amp;";",""),IF(AND($G97&lt;Hta_20,$G97&gt;=Hba_20,Input!AH$40&lt;&gt;""),Input!$B$40&amp;";",""),IF(AND($G97&lt;Hta_21,$G97&gt;=Hba_21,Input!AH$41&lt;&gt;""),Input!$B$41&amp;";",""),IF(AND($G97&lt;Hta_22,$G97&gt;=Hba_22,Input!AH$42&lt;&gt;""),Input!$B$42&amp;";",""),IF(AND($G97&lt;Hta_23,$G97&gt;=Hba_23,Input!AH$43&lt;&gt;""),Input!$B$43&amp;";",""),IF(AND($G97&lt;Hta_24,$G97&gt;=Hba_24,Input!AH$44&lt;&gt;""),Input!$B$44&amp;";",""),IF(AND($G97&lt;Hta_25,$G97&gt;=Hba_25,Input!AH$45&lt;&gt;""),Input!$B$45&amp;";",""),IF(AND($G97&lt;Hta_26,$G97&gt;=Hba_26,Input!AH$46&lt;&gt;""),Input!$B$46&amp;";",""),IF(AND($G97&lt;Hta_27,$G97&gt;=Hba_27,Input!AH$47&lt;&gt;""),Input!$B$47&amp;";",""),IF(AND($G97&lt;Hta_28,$G97&gt;=Hba_28,Input!AH$48&lt;&gt;""),Input!$B$48&amp;";",""),IF(AND($G97&lt;Hta_29,$G97&gt;=Hba_29,Input!AH$49&lt;&gt;""),Input!$B$49&amp;";",""),IF(AND($G97&lt;Hta_30,$G97&gt;=Hba_30,Input!AH$50&lt;&gt;""),Input!$B$50&amp;";","")),"")</f>
        <v/>
      </c>
      <c r="CJ97" s="25" t="str">
        <f>IFERROR(CONCATENATE(IF(AND($G97&lt;Hta_1,$G97&gt;=Hba_1,Input!AI$21&lt;&gt;""),Input!$B$21&amp;";",""),IF(AND($G97&lt;Hta_2,$G97&gt;=Hba_2,Input!AI$22&lt;&gt;""),Input!$B$22&amp;";",""),IF(AND($G97&lt;Hta_3,$G97&gt;=Hba_3,Input!AI$23&lt;&gt;""),Input!$B$23&amp;";",""),IF(AND($G97&lt;Hta_4,$G97&gt;=Hba_4,Input!AI$24&lt;&gt;""),Input!$B$24&amp;";",""),IF(AND($G97&lt;Hta_5,$G97&gt;=Hba_5,Input!AI$25&lt;&gt;""),Input!$B$25&amp;";",""),IF(AND($G97&lt;Hta_6,$G97&gt;=Hba_6,Input!AI$26&lt;&gt;""),Input!$B$26&amp;";",""),IF(AND($G97&lt;Hta_7,$G97&gt;=Hba_7,Input!AI$27&lt;&gt;""),Input!$B$27&amp;";",""),IF(AND($G97&lt;Hta_8,$G97&gt;=Hba_8,Input!AI$28&lt;&gt;""),Input!$B$28&amp;";",""),IF(AND($G97&lt;Hta_9,$G97&gt;=Hba_9,Input!AI$29&lt;&gt;""),Input!$B$29&amp;";",""),IF(AND($G97&lt;Hta_10,$G97&gt;=Hba_10,Input!AI$30&lt;&gt;""),Input!$B$30&amp;";",""),IF(AND($G97&lt;Hta_11,$G97&gt;=Hba_11,Input!AI$31&lt;&gt;""),Input!$B$31&amp;";",""),IF(AND($G97&lt;Hta_12,$G97&gt;=Hba_12,Input!AI$32&lt;&gt;""),Input!$B$32&amp;";",""),IF(AND($G97&lt;Hta_13,$G97&gt;=Hba_13,Input!AI$33&lt;&gt;""),Input!$B$33&amp;";",""),IF(AND($G97&lt;Hta_14,$G97&gt;=Hba_14,Input!AI$34&lt;&gt;""),Input!$B$34&amp;";",""),IF(AND($G97&lt;Hta_15,$G97&gt;=Hba_15,Input!AI$35&lt;&gt;""),Input!$B$35&amp;";",""),IF(AND($G97&lt;Hta_16,$G97&gt;=Hba_16,Input!AI$36&lt;&gt;""),Input!$B$36&amp;";",""),IF(AND($G97&lt;Hta_17,$G97&gt;=Hba_17,Input!AI$37&lt;&gt;""),Input!$B$37&amp;";",""),IF(AND($G97&lt;Hta_18,$G97&gt;=Hba_18,Input!AI$38&lt;&gt;""),Input!$B$38&amp;";",""),IF(AND($G97&lt;Hta_19,$G97&gt;=Hba_19,Input!AI$39&lt;&gt;""),Input!$B$39&amp;";",""),IF(AND($G97&lt;Hta_20,$G97&gt;=Hba_20,Input!AI$40&lt;&gt;""),Input!$B$40&amp;";",""),IF(AND($G97&lt;Hta_21,$G97&gt;=Hba_21,Input!AI$41&lt;&gt;""),Input!$B$41&amp;";",""),IF(AND($G97&lt;Hta_22,$G97&gt;=Hba_22,Input!AI$42&lt;&gt;""),Input!$B$42&amp;";",""),IF(AND($G97&lt;Hta_23,$G97&gt;=Hba_23,Input!AI$43&lt;&gt;""),Input!$B$43&amp;";",""),IF(AND($G97&lt;Hta_24,$G97&gt;=Hba_24,Input!AI$44&lt;&gt;""),Input!$B$44&amp;";",""),IF(AND($G97&lt;Hta_25,$G97&gt;=Hba_25,Input!AI$45&lt;&gt;""),Input!$B$45&amp;";",""),IF(AND($G97&lt;Hta_26,$G97&gt;=Hba_26,Input!AI$46&lt;&gt;""),Input!$B$46&amp;";",""),IF(AND($G97&lt;Hta_27,$G97&gt;=Hba_27,Input!AI$47&lt;&gt;""),Input!$B$47&amp;";",""),IF(AND($G97&lt;Hta_28,$G97&gt;=Hba_28,Input!AI$48&lt;&gt;""),Input!$B$48&amp;";",""),IF(AND($G97&lt;Hta_29,$G97&gt;=Hba_29,Input!AI$49&lt;&gt;""),Input!$B$49&amp;";",""),IF(AND($G97&lt;Hta_30,$G97&gt;=Hba_30,Input!AI$50&lt;&gt;""),Input!$B$50&amp;";","")),"")</f>
        <v/>
      </c>
      <c r="CK97" s="25" t="str">
        <f>IFERROR(CONCATENATE(IF(AND($G97&lt;Hta_1,$G97&gt;=Hba_1,Input!AJ$21&lt;&gt;""),Input!$B$21&amp;";",""),IF(AND($G97&lt;Hta_2,$G97&gt;=Hba_2,Input!AJ$22&lt;&gt;""),Input!$B$22&amp;";",""),IF(AND($G97&lt;Hta_3,$G97&gt;=Hba_3,Input!AJ$23&lt;&gt;""),Input!$B$23&amp;";",""),IF(AND($G97&lt;Hta_4,$G97&gt;=Hba_4,Input!AJ$24&lt;&gt;""),Input!$B$24&amp;";",""),IF(AND($G97&lt;Hta_5,$G97&gt;=Hba_5,Input!AJ$25&lt;&gt;""),Input!$B$25&amp;";",""),IF(AND($G97&lt;Hta_6,$G97&gt;=Hba_6,Input!AJ$26&lt;&gt;""),Input!$B$26&amp;";",""),IF(AND($G97&lt;Hta_7,$G97&gt;=Hba_7,Input!AJ$27&lt;&gt;""),Input!$B$27&amp;";",""),IF(AND($G97&lt;Hta_8,$G97&gt;=Hba_8,Input!AJ$28&lt;&gt;""),Input!$B$28&amp;";",""),IF(AND($G97&lt;Hta_9,$G97&gt;=Hba_9,Input!AJ$29&lt;&gt;""),Input!$B$29&amp;";",""),IF(AND($G97&lt;Hta_10,$G97&gt;=Hba_10,Input!AJ$30&lt;&gt;""),Input!$B$30&amp;";",""),IF(AND($G97&lt;Hta_11,$G97&gt;=Hba_11,Input!AJ$31&lt;&gt;""),Input!$B$31&amp;";",""),IF(AND($G97&lt;Hta_12,$G97&gt;=Hba_12,Input!AJ$32&lt;&gt;""),Input!$B$32&amp;";",""),IF(AND($G97&lt;Hta_13,$G97&gt;=Hba_13,Input!AJ$33&lt;&gt;""),Input!$B$33&amp;";",""),IF(AND($G97&lt;Hta_14,$G97&gt;=Hba_14,Input!AJ$34&lt;&gt;""),Input!$B$34&amp;";",""),IF(AND($G97&lt;Hta_15,$G97&gt;=Hba_15,Input!AJ$35&lt;&gt;""),Input!$B$35&amp;";",""),IF(AND($G97&lt;Hta_16,$G97&gt;=Hba_16,Input!AJ$36&lt;&gt;""),Input!$B$36&amp;";",""),IF(AND($G97&lt;Hta_17,$G97&gt;=Hba_17,Input!AJ$37&lt;&gt;""),Input!$B$37&amp;";",""),IF(AND($G97&lt;Hta_18,$G97&gt;=Hba_18,Input!AJ$38&lt;&gt;""),Input!$B$38&amp;";",""),IF(AND($G97&lt;Hta_19,$G97&gt;=Hba_19,Input!AJ$39&lt;&gt;""),Input!$B$39&amp;";",""),IF(AND($G97&lt;Hta_20,$G97&gt;=Hba_20,Input!AJ$40&lt;&gt;""),Input!$B$40&amp;";",""),IF(AND($G97&lt;Hta_21,$G97&gt;=Hba_21,Input!AJ$41&lt;&gt;""),Input!$B$41&amp;";",""),IF(AND($G97&lt;Hta_22,$G97&gt;=Hba_22,Input!AJ$42&lt;&gt;""),Input!$B$42&amp;";",""),IF(AND($G97&lt;Hta_23,$G97&gt;=Hba_23,Input!AJ$43&lt;&gt;""),Input!$B$43&amp;";",""),IF(AND($G97&lt;Hta_24,$G97&gt;=Hba_24,Input!AJ$44&lt;&gt;""),Input!$B$44&amp;";",""),IF(AND($G97&lt;Hta_25,$G97&gt;=Hba_25,Input!AJ$45&lt;&gt;""),Input!$B$45&amp;";",""),IF(AND($G97&lt;Hta_26,$G97&gt;=Hba_26,Input!AJ$46&lt;&gt;""),Input!$B$46&amp;";",""),IF(AND($G97&lt;Hta_27,$G97&gt;=Hba_27,Input!AJ$47&lt;&gt;""),Input!$B$47&amp;";",""),IF(AND($G97&lt;Hta_28,$G97&gt;=Hba_28,Input!AJ$48&lt;&gt;""),Input!$B$48&amp;";",""),IF(AND($G97&lt;Hta_29,$G97&gt;=Hba_29,Input!AJ$49&lt;&gt;""),Input!$B$49&amp;";",""),IF(AND($G97&lt;Hta_30,$G97&gt;=Hba_30,Input!AJ$50&lt;&gt;""),Input!$B$50&amp;";","")),"")</f>
        <v/>
      </c>
      <c r="CL97" s="25" t="str">
        <f>IFERROR(CONCATENATE(IF(AND($G97&lt;Hta_1,$G97&gt;=Hba_1,Input!AK$21&lt;&gt;""),Input!$B$21&amp;";",""),IF(AND($G97&lt;Hta_2,$G97&gt;=Hba_2,Input!AK$22&lt;&gt;""),Input!$B$22&amp;";",""),IF(AND($G97&lt;Hta_3,$G97&gt;=Hba_3,Input!AK$23&lt;&gt;""),Input!$B$23&amp;";",""),IF(AND($G97&lt;Hta_4,$G97&gt;=Hba_4,Input!AK$24&lt;&gt;""),Input!$B$24&amp;";",""),IF(AND($G97&lt;Hta_5,$G97&gt;=Hba_5,Input!AK$25&lt;&gt;""),Input!$B$25&amp;";",""),IF(AND($G97&lt;Hta_6,$G97&gt;=Hba_6,Input!AK$26&lt;&gt;""),Input!$B$26&amp;";",""),IF(AND($G97&lt;Hta_7,$G97&gt;=Hba_7,Input!AK$27&lt;&gt;""),Input!$B$27&amp;";",""),IF(AND($G97&lt;Hta_8,$G97&gt;=Hba_8,Input!AK$28&lt;&gt;""),Input!$B$28&amp;";",""),IF(AND($G97&lt;Hta_9,$G97&gt;=Hba_9,Input!AK$29&lt;&gt;""),Input!$B$29&amp;";",""),IF(AND($G97&lt;Hta_10,$G97&gt;=Hba_10,Input!AK$30&lt;&gt;""),Input!$B$30&amp;";",""),IF(AND($G97&lt;Hta_11,$G97&gt;=Hba_11,Input!AK$31&lt;&gt;""),Input!$B$31&amp;";",""),IF(AND($G97&lt;Hta_12,$G97&gt;=Hba_12,Input!AK$32&lt;&gt;""),Input!$B$32&amp;";",""),IF(AND($G97&lt;Hta_13,$G97&gt;=Hba_13,Input!AK$33&lt;&gt;""),Input!$B$33&amp;";",""),IF(AND($G97&lt;Hta_14,$G97&gt;=Hba_14,Input!AK$34&lt;&gt;""),Input!$B$34&amp;";",""),IF(AND($G97&lt;Hta_15,$G97&gt;=Hba_15,Input!AK$35&lt;&gt;""),Input!$B$35&amp;";",""),IF(AND($G97&lt;Hta_16,$G97&gt;=Hba_16,Input!AK$36&lt;&gt;""),Input!$B$36&amp;";",""),IF(AND($G97&lt;Hta_17,$G97&gt;=Hba_17,Input!AK$37&lt;&gt;""),Input!$B$37&amp;";",""),IF(AND($G97&lt;Hta_18,$G97&gt;=Hba_18,Input!AK$38&lt;&gt;""),Input!$B$38&amp;";",""),IF(AND($G97&lt;Hta_19,$G97&gt;=Hba_19,Input!AK$39&lt;&gt;""),Input!$B$39&amp;";",""),IF(AND($G97&lt;Hta_20,$G97&gt;=Hba_20,Input!AK$40&lt;&gt;""),Input!$B$40&amp;";",""),IF(AND($G97&lt;Hta_21,$G97&gt;=Hba_21,Input!AK$41&lt;&gt;""),Input!$B$41&amp;";",""),IF(AND($G97&lt;Hta_22,$G97&gt;=Hba_22,Input!AK$42&lt;&gt;""),Input!$B$42&amp;";",""),IF(AND($G97&lt;Hta_23,$G97&gt;=Hba_23,Input!AK$43&lt;&gt;""),Input!$B$43&amp;";",""),IF(AND($G97&lt;Hta_24,$G97&gt;=Hba_24,Input!AK$44&lt;&gt;""),Input!$B$44&amp;";",""),IF(AND($G97&lt;Hta_25,$G97&gt;=Hba_25,Input!AK$45&lt;&gt;""),Input!$B$45&amp;";",""),IF(AND($G97&lt;Hta_26,$G97&gt;=Hba_26,Input!AK$46&lt;&gt;""),Input!$B$46&amp;";",""),IF(AND($G97&lt;Hta_27,$G97&gt;=Hba_27,Input!AK$47&lt;&gt;""),Input!$B$47&amp;";",""),IF(AND($G97&lt;Hta_28,$G97&gt;=Hba_28,Input!AK$48&lt;&gt;""),Input!$B$48&amp;";",""),IF(AND($G97&lt;Hta_29,$G97&gt;=Hba_29,Input!AK$49&lt;&gt;""),Input!$B$49&amp;";",""),IF(AND($G97&lt;Hta_30,$G97&gt;=Hba_30,Input!AK$50&lt;&gt;""),Input!$B$50&amp;";","")),"")</f>
        <v/>
      </c>
      <c r="CM97" s="25" t="str">
        <f>IFERROR(CONCATENATE(IF(AND($G97&lt;Hta_1,$G97&gt;=Hba_1,Input!AL$21&lt;&gt;""),Input!$B$21&amp;";",""),IF(AND($G97&lt;Hta_2,$G97&gt;=Hba_2,Input!AL$22&lt;&gt;""),Input!$B$22&amp;";",""),IF(AND($G97&lt;Hta_3,$G97&gt;=Hba_3,Input!AL$23&lt;&gt;""),Input!$B$23&amp;";",""),IF(AND($G97&lt;Hta_4,$G97&gt;=Hba_4,Input!AL$24&lt;&gt;""),Input!$B$24&amp;";",""),IF(AND($G97&lt;Hta_5,$G97&gt;=Hba_5,Input!AL$25&lt;&gt;""),Input!$B$25&amp;";",""),IF(AND($G97&lt;Hta_6,$G97&gt;=Hba_6,Input!AL$26&lt;&gt;""),Input!$B$26&amp;";",""),IF(AND($G97&lt;Hta_7,$G97&gt;=Hba_7,Input!AL$27&lt;&gt;""),Input!$B$27&amp;";",""),IF(AND($G97&lt;Hta_8,$G97&gt;=Hba_8,Input!AL$28&lt;&gt;""),Input!$B$28&amp;";",""),IF(AND($G97&lt;Hta_9,$G97&gt;=Hba_9,Input!AL$29&lt;&gt;""),Input!$B$29&amp;";",""),IF(AND($G97&lt;Hta_10,$G97&gt;=Hba_10,Input!AL$30&lt;&gt;""),Input!$B$30&amp;";",""),IF(AND($G97&lt;Hta_11,$G97&gt;=Hba_11,Input!AL$31&lt;&gt;""),Input!$B$31&amp;";",""),IF(AND($G97&lt;Hta_12,$G97&gt;=Hba_12,Input!AL$32&lt;&gt;""),Input!$B$32&amp;";",""),IF(AND($G97&lt;Hta_13,$G97&gt;=Hba_13,Input!AL$33&lt;&gt;""),Input!$B$33&amp;";",""),IF(AND($G97&lt;Hta_14,$G97&gt;=Hba_14,Input!AL$34&lt;&gt;""),Input!$B$34&amp;";",""),IF(AND($G97&lt;Hta_15,$G97&gt;=Hba_15,Input!AL$35&lt;&gt;""),Input!$B$35&amp;";",""),IF(AND($G97&lt;Hta_16,$G97&gt;=Hba_16,Input!AL$36&lt;&gt;""),Input!$B$36&amp;";",""),IF(AND($G97&lt;Hta_17,$G97&gt;=Hba_17,Input!AL$37&lt;&gt;""),Input!$B$37&amp;";",""),IF(AND($G97&lt;Hta_18,$G97&gt;=Hba_18,Input!AL$38&lt;&gt;""),Input!$B$38&amp;";",""),IF(AND($G97&lt;Hta_19,$G97&gt;=Hba_19,Input!AL$39&lt;&gt;""),Input!$B$39&amp;";",""),IF(AND($G97&lt;Hta_20,$G97&gt;=Hba_20,Input!AL$40&lt;&gt;""),Input!$B$40&amp;";",""),IF(AND($G97&lt;Hta_21,$G97&gt;=Hba_21,Input!AL$41&lt;&gt;""),Input!$B$41&amp;";",""),IF(AND($G97&lt;Hta_22,$G97&gt;=Hba_22,Input!AL$42&lt;&gt;""),Input!$B$42&amp;";",""),IF(AND($G97&lt;Hta_23,$G97&gt;=Hba_23,Input!AL$43&lt;&gt;""),Input!$B$43&amp;";",""),IF(AND($G97&lt;Hta_24,$G97&gt;=Hba_24,Input!AL$44&lt;&gt;""),Input!$B$44&amp;";",""),IF(AND($G97&lt;Hta_25,$G97&gt;=Hba_25,Input!AL$45&lt;&gt;""),Input!$B$45&amp;";",""),IF(AND($G97&lt;Hta_26,$G97&gt;=Hba_26,Input!AL$46&lt;&gt;""),Input!$B$46&amp;";",""),IF(AND($G97&lt;Hta_27,$G97&gt;=Hba_27,Input!AL$47&lt;&gt;""),Input!$B$47&amp;";",""),IF(AND($G97&lt;Hta_28,$G97&gt;=Hba_28,Input!AL$48&lt;&gt;""),Input!$B$48&amp;";",""),IF(AND($G97&lt;Hta_29,$G97&gt;=Hba_29,Input!AL$49&lt;&gt;""),Input!$B$49&amp;";",""),IF(AND($G97&lt;Hta_30,$G97&gt;=Hba_30,Input!AL$50&lt;&gt;""),Input!$B$50&amp;";","")),"")</f>
        <v/>
      </c>
      <c r="CN97" s="60" t="str">
        <f t="shared" si="16"/>
        <v/>
      </c>
      <c r="CO97" s="798"/>
      <c r="CP97" s="799"/>
      <c r="CQ97" s="800"/>
      <c r="CR97" s="798"/>
      <c r="CS97" s="799"/>
      <c r="CT97" s="800"/>
      <c r="CU97" s="798" t="str">
        <f t="shared" si="17"/>
        <v/>
      </c>
      <c r="CV97" s="799"/>
      <c r="CW97" s="806"/>
      <c r="CX97" s="726"/>
      <c r="CY97" s="727"/>
      <c r="CZ97" s="732"/>
      <c r="DA97" s="726"/>
      <c r="DB97" s="727"/>
      <c r="DC97" s="732"/>
      <c r="DD97" s="726" t="str">
        <f t="shared" si="18"/>
        <v/>
      </c>
      <c r="DE97" s="727"/>
      <c r="DF97" s="728"/>
      <c r="DG97" s="53"/>
      <c r="DH97" s="54"/>
      <c r="DI97" s="54"/>
      <c r="DJ97" s="54"/>
      <c r="DK97" s="54"/>
      <c r="DL97" s="54"/>
      <c r="DM97" s="54"/>
      <c r="DN97" s="54"/>
      <c r="DO97" s="54"/>
      <c r="DP97" s="54"/>
      <c r="DQ97" s="57"/>
      <c r="DR97" s="57"/>
      <c r="DS97" s="57"/>
      <c r="DT97" s="57"/>
      <c r="DU97" s="57"/>
      <c r="DV97" s="57"/>
      <c r="DW97" s="57"/>
      <c r="DX97" s="57"/>
      <c r="DY97" s="57"/>
      <c r="DZ97" s="57"/>
      <c r="EA97" s="57"/>
      <c r="EB97" s="57"/>
      <c r="EC97" s="57"/>
      <c r="ED97" s="57"/>
      <c r="EE97" s="57"/>
      <c r="EF97" s="57"/>
      <c r="EG97" s="57"/>
      <c r="EH97" s="57"/>
      <c r="EI97" s="57"/>
      <c r="EJ97" s="57"/>
      <c r="EK97" s="57"/>
      <c r="EL97" s="133"/>
      <c r="EM97" s="133"/>
      <c r="EN97" s="133"/>
      <c r="EO97" s="133"/>
      <c r="EP97" s="133"/>
      <c r="EQ97" s="133"/>
      <c r="ER97" s="133"/>
      <c r="ES97" s="133"/>
      <c r="ET97" s="133"/>
      <c r="EU97" s="133"/>
      <c r="EV97" s="133"/>
      <c r="EW97" s="133"/>
      <c r="EX97" s="133"/>
      <c r="EY97" s="133"/>
      <c r="EZ97" s="133"/>
      <c r="FA97" s="133"/>
      <c r="FB97" s="133"/>
      <c r="FC97" s="133"/>
      <c r="FD97" s="133"/>
      <c r="FE97" s="133"/>
      <c r="FF97" s="133"/>
      <c r="FG97" s="133"/>
      <c r="FH97" s="133"/>
      <c r="FI97" s="133"/>
      <c r="FJ97" s="133"/>
      <c r="FK97" s="133"/>
      <c r="FL97" s="133"/>
      <c r="FM97" s="133"/>
      <c r="FN97" s="133"/>
      <c r="FO97" s="133"/>
      <c r="FQ97" s="125"/>
      <c r="FR97" s="123"/>
      <c r="FS97" s="121"/>
      <c r="FT97" s="119"/>
    </row>
    <row r="98" spans="2:176" ht="15.75" hidden="1" thickBot="1" x14ac:dyDescent="0.3">
      <c r="B98" s="62" t="b">
        <f>IF(OR(AND(G98&gt;='Geometry 2'!$AK$5,G98&lt;'Geometry 2'!$AL$5),AND(G98&gt;='Geometry 2'!$AK$6,G98&lt;'Geometry 2'!$AL$6),AND(G98&gt;='Geometry 2'!$AK$7,G98&lt;'Geometry 2'!$AL$7),AND(G98&gt;='Geometry 2'!$AK$8,G98&lt;'Geometry 2'!$AL$8),AND(G98&gt;='Geometry 2'!$AK$9,G98&lt;'Geometry 2'!$AL$9),AND(G98&gt;='Geometry 2'!$AK$10,G98&lt;'Geometry 2'!$AL$10),AND(G98&gt;='Geometry 2'!$AK$11,G98&lt;'Geometry 2'!$AL$11),AND(G98&gt;='Geometry 2'!$AK$12,G98&lt;'Geometry 2'!$AL$12),AND(G98&gt;='Geometry 2'!$AK$13,G98&lt;'Geometry 2'!$AL$13),AND(G98&gt;='Geometry 2'!$AK$14,G98&lt;'Geometry 2'!$AL$14)),TRUE,FALSE)</f>
        <v>0</v>
      </c>
      <c r="C98" s="4" t="str">
        <f t="shared" si="13"/>
        <v/>
      </c>
      <c r="D98" s="766" t="str">
        <f t="shared" si="14"/>
        <v/>
      </c>
      <c r="E98" s="767"/>
      <c r="F98" s="17" t="str">
        <f t="shared" si="12"/>
        <v/>
      </c>
      <c r="G98" s="768" t="str">
        <f>IF(D98="","",MAX(0,G97-IF(inc="n/a",999,inc),MAX(IF(G97&lt;=Hta_1,0,Hta_1),IF(G97&lt;=Hta_2,0,Hta_2),IF(G97&lt;=Hta_3,0,Hta_3),IF(G97&lt;=Hta_4,0,Hta_4),IF(G97&lt;=Hta_5,0,Hta_5),IF(G97&lt;=Hta_6,0,Hta_6),IF(G97&lt;=Hta_7,0,Hta_7),IF(G97&lt;=Hta_8,0,Hta_8),IF(G97&lt;=Hta_9,0,Hta_9),IF(G97&lt;=Hta_10,0,Hta_10),IF(G97&lt;=Hta_11,0,Hta_11),IF(G97&lt;=Hta_12,0,Hta_12),IF(G97&lt;=Hta_13,0,Hta_13),IF(G97&lt;=Hta_14,0,Hta_14),IF(G97&lt;=Hta_15,0,Hta_15),IF(G97&lt;=Hta_16,0,Hta_16),IF(G97&lt;=Hta_17,0,Hta_17),IF(G97&lt;=Hta_18,0,Hta_18),IF(G97&lt;=Hta_19,0,Hta_19),IF(G97&lt;=Hta_20,0,Hta_20),IF(G97&lt;=Hta_21,0,Hta_21),IF(G97&lt;=Hta_22,0,Hta_22),IF(G97&lt;=Hta_23,0,Hta_23),IF(G97&lt;=Hta_24,0,Hta_24),IF(G97&lt;=Hta_25,0,Hta_25),IF(G97&lt;=Hta_26,0,Hta_26),IF(G97&lt;=Hta_27,0,Hta_27),IF(G97&lt;=Hta_28,0,Hta_28),IF(G97&lt;=Hta_29,0,Hta_29),IF(G97&lt;=Hta_30,0,Hta_30)),MAX(IF(G97&lt;=Hta_1-0.25,0,Hta_1-0.25),IF(G97&lt;=Hta_2-0.25,0,Hta_2-0.25),IF(G97&lt;=Hta_3-0.25,0,Hta_3-0.25),IF(G97&lt;=Hta_4-0.25,0,Hta_4-0.25),IF(G97&lt;=Hta_5-0.25,0,Hta_5-0.25),IF(G97&lt;=Hta_6-0.25,0,Hta_6-0.25),IF(G97&lt;=Hta_7-0.25,0,Hta_7-0.25),IF(G97&lt;=Hta_8-0.25,0,Hta_8-0.25),IF(G97&lt;=Hta_9-0.25,0,Hta_9-0.25),IF(G97&lt;=Hta_10-0.25,0,Hta_10-0.25),IF(G97&lt;=Hta_11-0.25,0,Hta_11-0.25),IF(G97&lt;=Hta_12-0.25,0,Hta_12-0.25),IF(G97&lt;=Hta_13-0.25,0,Hta_13-0.25),IF(G97&lt;=Hta_14-0.25,0,Hta_14-0.25),IF(G97&lt;=Hta_15-0.25,0,Hta_15-0.25),IF(G97&lt;=Hta_16-0.25,0,Hta_16-0.25),IF(G97&lt;=Hta_17-0.25,0,Hta_17-0.25),IF(G97&lt;=Hta_18-0.25,0,Hta_18-0.25),IF(G97&lt;=Hta_19-0.25,0,Hta_19-0.25),IF(G97&lt;=Hta_20-0.25,0,Hta_20-0.25),IF(G97&lt;=Hta_21-0.25,0,Hta_21-0.25),IF(G97&lt;=Hta_22-0.25,0,Hta_22-0.25),IF(G97&lt;=Hta_23-0.25,0,Hta_23-0.25),IF(G97&lt;=Hta_24-0.25,0,Hta_24-0.25),IF(G97&lt;=Hta_25-0.25,0,Hta_25-0.25),IF(G97&lt;=Hta_26-0.25,0,Hta_26-0.25),IF(G97&lt;=Hta_27-0.25,0,Hta_27-0.25),IF(G97&lt;=Hta_28-0.25,0,Hta_28-0.25),IF(G97&lt;=Hta_29-0.25,0,Hta_29-0.25),IF(G97&lt;=Hta_30-0.25,0,Hta_30-0.25)),MAX(IF(G97&lt;=Hba_1,0,Hba_1),IF(G97&lt;=Hba_2,0,Hba_2),IF(G97&lt;=Hba_3,0,Hba_3),IF(G97&lt;=Hba_4,0,Hba_4),IF(G97&lt;=Hba_5,0,Hba_5),IF(G97&lt;=Hba_6,0,Hba_6),IF(G97&lt;=Hba_7,0,Hba_7),IF(G97&lt;=Hba_8,0,Hba_8),IF(G97&lt;=Hba_9,0,Hba_9),IF(G97&lt;=Hba_10,0,Hba_10),IF(G97&lt;=Hba_11,0,Hba_11),IF(G97&lt;=Hba_12,0,Hba_12),IF(G97&lt;=Hba_13,0,Hba_13),IF(G97&lt;=Hba_14,0,Hba_14),IF(G97&lt;=Hba_15,0,Hba_15),IF(G97&lt;=Hba_16,0,Hba_16),IF(G97&lt;=Hba_17,0,Hba_17),IF(G97&lt;=Hba_18,0,Hba_18),IF(G97&lt;=Hba_19,0,Hba_19),IF(G97&lt;=Hba_20,0,Hba_20),IF(G97&lt;=Hba_21,0,Hba_21),IF(G97&lt;=Hba_22,0,Hba_22),IF(G97&lt;=Hba_23,0,Hba_23),IF(G97&lt;=Hba_24,0,Hba_24),IF(G97&lt;=Hba_25,0,Hba_25),IF(G97&lt;=Hba_26,0,Hba_26),IF(G97&lt;=Hba_27,0,Hba_27),IF(G97&lt;=Hba_28,0,Hba_28),IF(G97&lt;=Hba_29,0,Hba_29),IF(G97&lt;=Hba_30,0,Hba_30)),MAX(IF(G97&lt;=Input!$C$8,0,Input!$C$8),IF(G97&lt;=Input!$C$9,0,Input!$C$9),IF(G97&lt;=Input!$C$10,0,Input!$C$10),IF(G97&lt;=Input!$C$11,0,Input!$C$11),IF(G97&lt;=Input!$C$12,0,Input!$C$12),IF(G97&lt;=Input!$C$13,0,Input!$C$13),IF(G97&lt;=Input!$C$14,0,Input!$C$14),IF(G97&lt;=Input!$C$15,0,Input!$C$15),IF(G97&lt;=Input!$C$16,0,Input!$C$16)),MAX(IF(G97&lt;=Hba_1-0.25,0,Hba_1-0.25),IF(G97&lt;=Hba_2-0.25,0,Hba_2-0.25),IF(G97&lt;=Hba_3-0.25,0,Hba_3-0.25),IF(G97&lt;=Hba_4-0.25,0,Hba_4-0.25),IF(G97&lt;=Hba_5-0.25,0,Hba_5-0.25),IF(G97&lt;=Hba_6-0.25,0,Hba_6-0.25),IF(G97&lt;=Hba_7-0.25,0,Hba_7-0.25),IF(G97&lt;=Hba_8-0.25,0,Hba_8-0.25),IF(G97&lt;=Hba_9-0.25,0,Hba_9-0.25),IF(G97&lt;=Hba_10-0.25,0,Hba_10-0.25),IF(G97&lt;=Hba_11-0.25,0,Hba_11-0.25),IF(G97&lt;=Hba_12-0.25,0,Hba_12-0.25),IF(G97&lt;=Hba_13-0.25,0,Hba_13-0.25),IF(G97&lt;=Hba_14-0.25,0,Hba_14-0.25),IF(G97&lt;=Hba_15-0.25,0,Hba_15-0.25),IF(G97&lt;=Hba_16-0.25,0,Hba_16-0.25),IF(G97&lt;=Hba_17-0.25,0,Hba_17-0.25),IF(G97&lt;=Hba_18-0.25,0,Hba_18-0.25),IF(G97&lt;=Hba_19-0.25,0,Hba_19-0.25),IF(G97&lt;=Hba_20-0.25,0,Hba_20-0.25),IF(G97&lt;=Hba_21-0.25,0,Hba_21-0.25),IF(G97&lt;=Hba_22-0.25,0,Hba_22-0.25),IF(G97&lt;=Hba_23-0.25,0,Hba_23-0.25),IF(G97&lt;=Hba_24-0.25,0,Hba_24-0.25),IF(G97&lt;=Hba_25-0.25,0,Hba_25-0.25),IF(G97&lt;=Hba_26-0.25,0,Hba_26-0.25),IF(G97&lt;=Hba_27-0.25,0,Hba_27-0.25),IF(G97&lt;=Hba_28-0.25,0,Hba_28-0.25),IF(G97&lt;=Hba_29-0.25,0,Hba_29-0.25),IF(G97&lt;=Hba_30-0.25,0,Hba_30-0.25)),IF(G97&lt;='Macro References'!$A$38,0,'Macro References'!$A$38)))</f>
        <v/>
      </c>
      <c r="H98" s="769"/>
      <c r="I98" s="228"/>
      <c r="J98" s="228"/>
      <c r="K98" s="228"/>
      <c r="L98" s="717" t="str">
        <f t="shared" si="11"/>
        <v/>
      </c>
      <c r="M98" s="717"/>
      <c r="N98" s="717"/>
      <c r="O98" s="717"/>
      <c r="P98" s="717" t="str">
        <f>IF(OR(G98=0,G98=""),"",IF(VLOOKUP(G98,'Geometry 2'!$C$4:$AI$14,1,TRUE)=VLOOKUP(G99,'Geometry 2'!$C$4:$AI$14,1,TRUE),"",IF(VLOOKUP(G98,'Geometry 2'!$C$4:$AI$14,33,TRUE)&lt;&gt;"n/a",MIN(G98,VLOOKUP(G98,'Geometry 2'!$C$4:$AI$14,1,TRUE))-VLOOKUP(G98,'Geometry 2'!$C$4:$AI$14,33,TRUE),"check")))</f>
        <v/>
      </c>
      <c r="Q98" s="717"/>
      <c r="R98" s="717"/>
      <c r="S98" s="717"/>
      <c r="T98" s="717" t="str">
        <f>IF($G98="","",VLOOKUP($G98,'Geometry 2'!$E$4:$AH$14,11,TRUE))</f>
        <v/>
      </c>
      <c r="U98" s="717"/>
      <c r="V98" s="717"/>
      <c r="W98" s="717"/>
      <c r="X98" s="716" t="str">
        <f>IF($G98="","",VLOOKUP($G98,'Geometry 2'!$E$4:$AJ$14,19,TRUE)-12*VLOOKUP($G98,'Geometry 2'!$E$4:$AJ$14,32,TRUE)*($D98-VLOOKUP($G98,'Geometry 2'!$E$5:$AH$14,1,TRUE)))</f>
        <v/>
      </c>
      <c r="Y98" s="716"/>
      <c r="Z98" s="716"/>
      <c r="AA98" s="716"/>
      <c r="AB98" s="757" t="str">
        <f>IF($G98="","",VLOOKUP($G98,'Geometry 2'!$E$4:$AJ$14,19,TRUE)-12*VLOOKUP($G98,'Geometry 2'!$E$4:$AJ$14,32,TRUE)*($G98-VLOOKUP($G98,'Geometry 2'!$E$5:$AH$14,1,TRUE)))</f>
        <v/>
      </c>
      <c r="AC98" s="758"/>
      <c r="AD98" s="758"/>
      <c r="AE98" s="759"/>
      <c r="AF98" s="716" t="str">
        <f>IF($G98="","",VLOOKUP($G98,'Geometry 2'!$E$4:$AJ$14,19,TRUE)-12*VLOOKUP($G98,'Geometry 2'!$E$4:$AJ$14,32,TRUE)*($G98-IF($P98="",0,$P98)-VLOOKUP($G98,'Geometry 2'!$E$5:$AH$14,1,TRUE)))</f>
        <v/>
      </c>
      <c r="AG98" s="716"/>
      <c r="AH98" s="716"/>
      <c r="AI98" s="716"/>
      <c r="AJ98" s="746" t="str">
        <f>IF($G98="","",VLOOKUP($G98,'Geometry 2'!$E$4:$AH$14,23,TRUE))</f>
        <v/>
      </c>
      <c r="AK98" s="747"/>
      <c r="AL98" s="747"/>
      <c r="AM98" s="748"/>
      <c r="AN98" s="717"/>
      <c r="AO98" s="717"/>
      <c r="AP98" s="717"/>
      <c r="AQ98" s="717"/>
      <c r="AR98" s="717" t="str">
        <f>IF($G98="","",VLOOKUP($G98,'Geometry 2'!$E$4:$AH$14,27,TRUE))</f>
        <v/>
      </c>
      <c r="AS98" s="717"/>
      <c r="AT98" s="717"/>
      <c r="AU98" s="718"/>
      <c r="AV98" s="715"/>
      <c r="AW98" s="716"/>
      <c r="AX98" s="716"/>
      <c r="AZ98" s="722" t="str">
        <f t="shared" si="15"/>
        <v/>
      </c>
      <c r="BA98" s="723"/>
      <c r="BB98" s="723"/>
      <c r="BC98" s="724"/>
      <c r="BD98" s="722"/>
      <c r="BE98" s="723"/>
      <c r="BF98" s="723"/>
      <c r="BG98" s="722" t="str">
        <f t="shared" si="19"/>
        <v/>
      </c>
      <c r="BH98" s="723"/>
      <c r="BI98" s="723"/>
      <c r="BJ98" s="723"/>
      <c r="BK98" s="724"/>
      <c r="BL98" s="722"/>
      <c r="BM98" s="723"/>
      <c r="BN98" s="723"/>
      <c r="BO98" s="723"/>
      <c r="BP98" s="725"/>
      <c r="BQ98" s="725"/>
      <c r="BR98" s="722" t="str">
        <f>IF(BP98="","",IF(OR(AND(Rev="H",Calculations!$F$27=TRUE),AND(Rev&lt;&gt;"H",Calculations!$F$30=TRUE)),IF(BP98&lt;=1,"Pass","Fail"),IF(BP98&lt;=1.05,"Pass","Fail")))</f>
        <v/>
      </c>
      <c r="BS98" s="723"/>
      <c r="BT98" s="724"/>
      <c r="BU98" s="49"/>
      <c r="BV98" s="25" t="str">
        <f>IFERROR(CONCATENATE(IF(AND($G98&lt;Hta_1,$G98&gt;=Hba_1,Input!U$21&lt;&gt;""),Input!$B$21&amp;";",""),IF(AND($G98&lt;Hta_2,$G98&gt;=Hba_2,Input!U$22&lt;&gt;""),Input!$B$22&amp;";",""),IF(AND($G98&lt;Hta_3,$G98&gt;=Hba_3,Input!U$23&lt;&gt;""),Input!$B$23&amp;";",""),IF(AND($G98&lt;Hta_4,$G98&gt;=Hba_4,Input!U$24&lt;&gt;""),Input!$B$24&amp;";",""),IF(AND($G98&lt;Hta_5,$G98&gt;=Hba_5,Input!U$25&lt;&gt;""),Input!$B$25&amp;";",""),IF(AND($G98&lt;Hta_6,$G98&gt;=Hba_6,Input!U$26&lt;&gt;""),Input!$B$26&amp;";",""),IF(AND($G98&lt;Hta_7,$G98&gt;=Hba_7,Input!U$27&lt;&gt;""),Input!$B$27&amp;";",""),IF(AND($G98&lt;Hta_8,$G98&gt;=Hba_8,Input!U$28&lt;&gt;""),Input!$B$28&amp;";",""),IF(AND($G98&lt;Hta_9,$G98&gt;=Hba_9,Input!U$29&lt;&gt;""),Input!$B$29&amp;";",""),IF(AND($G98&lt;Hta_10,$G98&gt;=Hba_10,Input!U$30&lt;&gt;""),Input!$B$30&amp;";",""),IF(AND($G98&lt;Hta_11,$G98&gt;=Hba_11,Input!U$31&lt;&gt;""),Input!$B$31&amp;";",""),IF(AND($G98&lt;Hta_12,$G98&gt;=Hba_12,Input!U$32&lt;&gt;""),Input!$B$32&amp;";",""),IF(AND($G98&lt;Hta_13,$G98&gt;=Hba_13,Input!U$33&lt;&gt;""),Input!$B$33&amp;";",""),IF(AND($G98&lt;Hta_14,$G98&gt;=Hba_14,Input!U$34&lt;&gt;""),Input!$B$34&amp;";",""),IF(AND($G98&lt;Hta_15,$G98&gt;=Hba_15,Input!U$35&lt;&gt;""),Input!$B$35&amp;";",""),IF(AND($G98&lt;Hta_16,$G98&gt;=Hba_16,Input!U$36&lt;&gt;""),Input!$B$36&amp;";",""),IF(AND($G98&lt;Hta_17,$G98&gt;=Hba_17,Input!U$37&lt;&gt;""),Input!$B$37&amp;";",""),IF(AND($G98&lt;Hta_18,$G98&gt;=Hba_18,Input!U$38&lt;&gt;""),Input!$B$38&amp;";",""),IF(AND($G98&lt;Hta_19,$G98&gt;=Hba_19,Input!U$39&lt;&gt;""),Input!$B$39&amp;";",""),IF(AND($G98&lt;Hta_20,$G98&gt;=Hba_20,Input!U$40&lt;&gt;""),Input!$B$40&amp;";",""),IF(AND($G98&lt;Hta_21,$G98&gt;=Hba_21,Input!U$41&lt;&gt;""),Input!$B$41&amp;";",""),IF(AND($G98&lt;Hta_22,$G98&gt;=Hba_22,Input!U$42&lt;&gt;""),Input!$B$42&amp;";",""),IF(AND($G98&lt;Hta_23,$G98&gt;=Hba_23,Input!U$43&lt;&gt;""),Input!$B$43&amp;";",""),IF(AND($G98&lt;Hta_24,$G98&gt;=Hba_24,Input!U$44&lt;&gt;""),Input!$B$44&amp;";",""),IF(AND($G98&lt;Hta_25,$G98&gt;=Hba_25,Input!U$45&lt;&gt;""),Input!$B$45&amp;";",""),IF(AND($G98&lt;Hta_26,$G98&gt;=Hba_26,Input!U$46&lt;&gt;""),Input!$B$46&amp;";",""),IF(AND($G98&lt;Hta_27,$G98&gt;=Hba_27,Input!U$47&lt;&gt;""),Input!$B$47&amp;";",""),IF(AND($G98&lt;Hta_28,$G98&gt;=Hba_28,Input!U$48&lt;&gt;""),Input!$B$48&amp;";",""),IF(AND($G98&lt;Hta_29,$G98&gt;=Hba_29,Input!U$49&lt;&gt;""),Input!$B$49&amp;";",""),IF(AND($G98&lt;Hta_30,$G98&gt;=Hba_30,Input!U$50&lt;&gt;""),Input!$B$50&amp;";","")),"")</f>
        <v/>
      </c>
      <c r="BW98" s="25" t="str">
        <f>IFERROR(CONCATENATE(IF(AND($G98&lt;Hta_1,$G98&gt;=Hba_1,Input!V$21&lt;&gt;""),Input!$B$21&amp;";",""),IF(AND($G98&lt;Hta_2,$G98&gt;=Hba_2,Input!V$22&lt;&gt;""),Input!$B$22&amp;";",""),IF(AND($G98&lt;Hta_3,$G98&gt;=Hba_3,Input!V$23&lt;&gt;""),Input!$B$23&amp;";",""),IF(AND($G98&lt;Hta_4,$G98&gt;=Hba_4,Input!V$24&lt;&gt;""),Input!$B$24&amp;";",""),IF(AND($G98&lt;Hta_5,$G98&gt;=Hba_5,Input!V$25&lt;&gt;""),Input!$B$25&amp;";",""),IF(AND($G98&lt;Hta_6,$G98&gt;=Hba_6,Input!V$26&lt;&gt;""),Input!$B$26&amp;";",""),IF(AND($G98&lt;Hta_7,$G98&gt;=Hba_7,Input!V$27&lt;&gt;""),Input!$B$27&amp;";",""),IF(AND($G98&lt;Hta_8,$G98&gt;=Hba_8,Input!V$28&lt;&gt;""),Input!$B$28&amp;";",""),IF(AND($G98&lt;Hta_9,$G98&gt;=Hba_9,Input!V$29&lt;&gt;""),Input!$B$29&amp;";",""),IF(AND($G98&lt;Hta_10,$G98&gt;=Hba_10,Input!V$30&lt;&gt;""),Input!$B$30&amp;";",""),IF(AND($G98&lt;Hta_11,$G98&gt;=Hba_11,Input!V$31&lt;&gt;""),Input!$B$31&amp;";",""),IF(AND($G98&lt;Hta_12,$G98&gt;=Hba_12,Input!V$32&lt;&gt;""),Input!$B$32&amp;";",""),IF(AND($G98&lt;Hta_13,$G98&gt;=Hba_13,Input!V$33&lt;&gt;""),Input!$B$33&amp;";",""),IF(AND($G98&lt;Hta_14,$G98&gt;=Hba_14,Input!V$34&lt;&gt;""),Input!$B$34&amp;";",""),IF(AND($G98&lt;Hta_15,$G98&gt;=Hba_15,Input!V$35&lt;&gt;""),Input!$B$35&amp;";",""),IF(AND($G98&lt;Hta_16,$G98&gt;=Hba_16,Input!V$36&lt;&gt;""),Input!$B$36&amp;";",""),IF(AND($G98&lt;Hta_17,$G98&gt;=Hba_17,Input!V$37&lt;&gt;""),Input!$B$37&amp;";",""),IF(AND($G98&lt;Hta_18,$G98&gt;=Hba_18,Input!V$38&lt;&gt;""),Input!$B$38&amp;";",""),IF(AND($G98&lt;Hta_19,$G98&gt;=Hba_19,Input!V$39&lt;&gt;""),Input!$B$39&amp;";",""),IF(AND($G98&lt;Hta_20,$G98&gt;=Hba_20,Input!V$40&lt;&gt;""),Input!$B$40&amp;";",""),IF(AND($G98&lt;Hta_21,$G98&gt;=Hba_21,Input!V$41&lt;&gt;""),Input!$B$41&amp;";",""),IF(AND($G98&lt;Hta_22,$G98&gt;=Hba_22,Input!V$42&lt;&gt;""),Input!$B$42&amp;";",""),IF(AND($G98&lt;Hta_23,$G98&gt;=Hba_23,Input!V$43&lt;&gt;""),Input!$B$43&amp;";",""),IF(AND($G98&lt;Hta_24,$G98&gt;=Hba_24,Input!V$44&lt;&gt;""),Input!$B$44&amp;";",""),IF(AND($G98&lt;Hta_25,$G98&gt;=Hba_25,Input!V$45&lt;&gt;""),Input!$B$45&amp;";",""),IF(AND($G98&lt;Hta_26,$G98&gt;=Hba_26,Input!V$46&lt;&gt;""),Input!$B$46&amp;";",""),IF(AND($G98&lt;Hta_27,$G98&gt;=Hba_27,Input!V$47&lt;&gt;""),Input!$B$47&amp;";",""),IF(AND($G98&lt;Hta_28,$G98&gt;=Hba_28,Input!V$48&lt;&gt;""),Input!$B$48&amp;";",""),IF(AND($G98&lt;Hta_29,$G98&gt;=Hba_29,Input!V$49&lt;&gt;""),Input!$B$49&amp;";",""),IF(AND($G98&lt;Hta_30,$G98&gt;=Hba_30,Input!V$50&lt;&gt;""),Input!$B$50&amp;";","")),"")</f>
        <v/>
      </c>
      <c r="BX98" s="25" t="str">
        <f>IFERROR(CONCATENATE(IF(AND($G98&lt;Hta_1,$G98&gt;=Hba_1,Input!W$21&lt;&gt;""),Input!$B$21&amp;";",""),IF(AND($G98&lt;Hta_2,$G98&gt;=Hba_2,Input!W$22&lt;&gt;""),Input!$B$22&amp;";",""),IF(AND($G98&lt;Hta_3,$G98&gt;=Hba_3,Input!W$23&lt;&gt;""),Input!$B$23&amp;";",""),IF(AND($G98&lt;Hta_4,$G98&gt;=Hba_4,Input!W$24&lt;&gt;""),Input!$B$24&amp;";",""),IF(AND($G98&lt;Hta_5,$G98&gt;=Hba_5,Input!W$25&lt;&gt;""),Input!$B$25&amp;";",""),IF(AND($G98&lt;Hta_6,$G98&gt;=Hba_6,Input!W$26&lt;&gt;""),Input!$B$26&amp;";",""),IF(AND($G98&lt;Hta_7,$G98&gt;=Hba_7,Input!W$27&lt;&gt;""),Input!$B$27&amp;";",""),IF(AND($G98&lt;Hta_8,$G98&gt;=Hba_8,Input!W$28&lt;&gt;""),Input!$B$28&amp;";",""),IF(AND($G98&lt;Hta_9,$G98&gt;=Hba_9,Input!W$29&lt;&gt;""),Input!$B$29&amp;";",""),IF(AND($G98&lt;Hta_10,$G98&gt;=Hba_10,Input!W$30&lt;&gt;""),Input!$B$30&amp;";",""),IF(AND($G98&lt;Hta_11,$G98&gt;=Hba_11,Input!W$31&lt;&gt;""),Input!$B$31&amp;";",""),IF(AND($G98&lt;Hta_12,$G98&gt;=Hba_12,Input!W$32&lt;&gt;""),Input!$B$32&amp;";",""),IF(AND($G98&lt;Hta_13,$G98&gt;=Hba_13,Input!W$33&lt;&gt;""),Input!$B$33&amp;";",""),IF(AND($G98&lt;Hta_14,$G98&gt;=Hba_14,Input!W$34&lt;&gt;""),Input!$B$34&amp;";",""),IF(AND($G98&lt;Hta_15,$G98&gt;=Hba_15,Input!W$35&lt;&gt;""),Input!$B$35&amp;";",""),IF(AND($G98&lt;Hta_16,$G98&gt;=Hba_16,Input!W$36&lt;&gt;""),Input!$B$36&amp;";",""),IF(AND($G98&lt;Hta_17,$G98&gt;=Hba_17,Input!W$37&lt;&gt;""),Input!$B$37&amp;";",""),IF(AND($G98&lt;Hta_18,$G98&gt;=Hba_18,Input!W$38&lt;&gt;""),Input!$B$38&amp;";",""),IF(AND($G98&lt;Hta_19,$G98&gt;=Hba_19,Input!W$39&lt;&gt;""),Input!$B$39&amp;";",""),IF(AND($G98&lt;Hta_20,$G98&gt;=Hba_20,Input!W$40&lt;&gt;""),Input!$B$40&amp;";",""),IF(AND($G98&lt;Hta_21,$G98&gt;=Hba_21,Input!W$41&lt;&gt;""),Input!$B$41&amp;";",""),IF(AND($G98&lt;Hta_22,$G98&gt;=Hba_22,Input!W$42&lt;&gt;""),Input!$B$42&amp;";",""),IF(AND($G98&lt;Hta_23,$G98&gt;=Hba_23,Input!W$43&lt;&gt;""),Input!$B$43&amp;";",""),IF(AND($G98&lt;Hta_24,$G98&gt;=Hba_24,Input!W$44&lt;&gt;""),Input!$B$44&amp;";",""),IF(AND($G98&lt;Hta_25,$G98&gt;=Hba_25,Input!W$45&lt;&gt;""),Input!$B$45&amp;";",""),IF(AND($G98&lt;Hta_26,$G98&gt;=Hba_26,Input!W$46&lt;&gt;""),Input!$B$46&amp;";",""),IF(AND($G98&lt;Hta_27,$G98&gt;=Hba_27,Input!W$47&lt;&gt;""),Input!$B$47&amp;";",""),IF(AND($G98&lt;Hta_28,$G98&gt;=Hba_28,Input!W$48&lt;&gt;""),Input!$B$48&amp;";",""),IF(AND($G98&lt;Hta_29,$G98&gt;=Hba_29,Input!W$49&lt;&gt;""),Input!$B$49&amp;";",""),IF(AND($G98&lt;Hta_30,$G98&gt;=Hba_30,Input!W$50&lt;&gt;""),Input!$B$50&amp;";","")),"")</f>
        <v/>
      </c>
      <c r="BY98" s="25" t="str">
        <f>IFERROR(CONCATENATE(IF(AND($G98&lt;Hta_1,$G98&gt;=Hba_1,Input!X$21&lt;&gt;""),Input!$B$21&amp;";",""),IF(AND($G98&lt;Hta_2,$G98&gt;=Hba_2,Input!X$22&lt;&gt;""),Input!$B$22&amp;";",""),IF(AND($G98&lt;Hta_3,$G98&gt;=Hba_3,Input!X$23&lt;&gt;""),Input!$B$23&amp;";",""),IF(AND($G98&lt;Hta_4,$G98&gt;=Hba_4,Input!X$24&lt;&gt;""),Input!$B$24&amp;";",""),IF(AND($G98&lt;Hta_5,$G98&gt;=Hba_5,Input!X$25&lt;&gt;""),Input!$B$25&amp;";",""),IF(AND($G98&lt;Hta_6,$G98&gt;=Hba_6,Input!X$26&lt;&gt;""),Input!$B$26&amp;";",""),IF(AND($G98&lt;Hta_7,$G98&gt;=Hba_7,Input!X$27&lt;&gt;""),Input!$B$27&amp;";",""),IF(AND($G98&lt;Hta_8,$G98&gt;=Hba_8,Input!X$28&lt;&gt;""),Input!$B$28&amp;";",""),IF(AND($G98&lt;Hta_9,$G98&gt;=Hba_9,Input!X$29&lt;&gt;""),Input!$B$29&amp;";",""),IF(AND($G98&lt;Hta_10,$G98&gt;=Hba_10,Input!X$30&lt;&gt;""),Input!$B$30&amp;";",""),IF(AND($G98&lt;Hta_11,$G98&gt;=Hba_11,Input!X$31&lt;&gt;""),Input!$B$31&amp;";",""),IF(AND($G98&lt;Hta_12,$G98&gt;=Hba_12,Input!X$32&lt;&gt;""),Input!$B$32&amp;";",""),IF(AND($G98&lt;Hta_13,$G98&gt;=Hba_13,Input!X$33&lt;&gt;""),Input!$B$33&amp;";",""),IF(AND($G98&lt;Hta_14,$G98&gt;=Hba_14,Input!X$34&lt;&gt;""),Input!$B$34&amp;";",""),IF(AND($G98&lt;Hta_15,$G98&gt;=Hba_15,Input!X$35&lt;&gt;""),Input!$B$35&amp;";",""),IF(AND($G98&lt;Hta_16,$G98&gt;=Hba_16,Input!X$36&lt;&gt;""),Input!$B$36&amp;";",""),IF(AND($G98&lt;Hta_17,$G98&gt;=Hba_17,Input!X$37&lt;&gt;""),Input!$B$37&amp;";",""),IF(AND($G98&lt;Hta_18,$G98&gt;=Hba_18,Input!X$38&lt;&gt;""),Input!$B$38&amp;";",""),IF(AND($G98&lt;Hta_19,$G98&gt;=Hba_19,Input!X$39&lt;&gt;""),Input!$B$39&amp;";",""),IF(AND($G98&lt;Hta_20,$G98&gt;=Hba_20,Input!X$40&lt;&gt;""),Input!$B$40&amp;";",""),IF(AND($G98&lt;Hta_21,$G98&gt;=Hba_21,Input!X$41&lt;&gt;""),Input!$B$41&amp;";",""),IF(AND($G98&lt;Hta_22,$G98&gt;=Hba_22,Input!X$42&lt;&gt;""),Input!$B$42&amp;";",""),IF(AND($G98&lt;Hta_23,$G98&gt;=Hba_23,Input!X$43&lt;&gt;""),Input!$B$43&amp;";",""),IF(AND($G98&lt;Hta_24,$G98&gt;=Hba_24,Input!X$44&lt;&gt;""),Input!$B$44&amp;";",""),IF(AND($G98&lt;Hta_25,$G98&gt;=Hba_25,Input!X$45&lt;&gt;""),Input!$B$45&amp;";",""),IF(AND($G98&lt;Hta_26,$G98&gt;=Hba_26,Input!X$46&lt;&gt;""),Input!$B$46&amp;";",""),IF(AND($G98&lt;Hta_27,$G98&gt;=Hba_27,Input!X$47&lt;&gt;""),Input!$B$47&amp;";",""),IF(AND($G98&lt;Hta_28,$G98&gt;=Hba_28,Input!X$48&lt;&gt;""),Input!$B$48&amp;";",""),IF(AND($G98&lt;Hta_29,$G98&gt;=Hba_29,Input!X$49&lt;&gt;""),Input!$B$49&amp;";",""),IF(AND($G98&lt;Hta_30,$G98&gt;=Hba_30,Input!X$50&lt;&gt;""),Input!$B$50&amp;";","")),"")</f>
        <v/>
      </c>
      <c r="BZ98" s="25" t="str">
        <f>IFERROR(CONCATENATE(IF(AND($G98&lt;Hta_1,$G98&gt;=Hba_1,Input!Y$21&lt;&gt;""),Input!$B$21&amp;";",""),IF(AND($G98&lt;Hta_2,$G98&gt;=Hba_2,Input!Y$22&lt;&gt;""),Input!$B$22&amp;";",""),IF(AND($G98&lt;Hta_3,$G98&gt;=Hba_3,Input!Y$23&lt;&gt;""),Input!$B$23&amp;";",""),IF(AND($G98&lt;Hta_4,$G98&gt;=Hba_4,Input!Y$24&lt;&gt;""),Input!$B$24&amp;";",""),IF(AND($G98&lt;Hta_5,$G98&gt;=Hba_5,Input!Y$25&lt;&gt;""),Input!$B$25&amp;";",""),IF(AND($G98&lt;Hta_6,$G98&gt;=Hba_6,Input!Y$26&lt;&gt;""),Input!$B$26&amp;";",""),IF(AND($G98&lt;Hta_7,$G98&gt;=Hba_7,Input!Y$27&lt;&gt;""),Input!$B$27&amp;";",""),IF(AND($G98&lt;Hta_8,$G98&gt;=Hba_8,Input!Y$28&lt;&gt;""),Input!$B$28&amp;";",""),IF(AND($G98&lt;Hta_9,$G98&gt;=Hba_9,Input!Y$29&lt;&gt;""),Input!$B$29&amp;";",""),IF(AND($G98&lt;Hta_10,$G98&gt;=Hba_10,Input!Y$30&lt;&gt;""),Input!$B$30&amp;";",""),IF(AND($G98&lt;Hta_11,$G98&gt;=Hba_11,Input!Y$31&lt;&gt;""),Input!$B$31&amp;";",""),IF(AND($G98&lt;Hta_12,$G98&gt;=Hba_12,Input!Y$32&lt;&gt;""),Input!$B$32&amp;";",""),IF(AND($G98&lt;Hta_13,$G98&gt;=Hba_13,Input!Y$33&lt;&gt;""),Input!$B$33&amp;";",""),IF(AND($G98&lt;Hta_14,$G98&gt;=Hba_14,Input!Y$34&lt;&gt;""),Input!$B$34&amp;";",""),IF(AND($G98&lt;Hta_15,$G98&gt;=Hba_15,Input!Y$35&lt;&gt;""),Input!$B$35&amp;";",""),IF(AND($G98&lt;Hta_16,$G98&gt;=Hba_16,Input!Y$36&lt;&gt;""),Input!$B$36&amp;";",""),IF(AND($G98&lt;Hta_17,$G98&gt;=Hba_17,Input!Y$37&lt;&gt;""),Input!$B$37&amp;";",""),IF(AND($G98&lt;Hta_18,$G98&gt;=Hba_18,Input!Y$38&lt;&gt;""),Input!$B$38&amp;";",""),IF(AND($G98&lt;Hta_19,$G98&gt;=Hba_19,Input!Y$39&lt;&gt;""),Input!$B$39&amp;";",""),IF(AND($G98&lt;Hta_20,$G98&gt;=Hba_20,Input!Y$40&lt;&gt;""),Input!$B$40&amp;";",""),IF(AND($G98&lt;Hta_21,$G98&gt;=Hba_21,Input!Y$41&lt;&gt;""),Input!$B$41&amp;";",""),IF(AND($G98&lt;Hta_22,$G98&gt;=Hba_22,Input!Y$42&lt;&gt;""),Input!$B$42&amp;";",""),IF(AND($G98&lt;Hta_23,$G98&gt;=Hba_23,Input!Y$43&lt;&gt;""),Input!$B$43&amp;";",""),IF(AND($G98&lt;Hta_24,$G98&gt;=Hba_24,Input!Y$44&lt;&gt;""),Input!$B$44&amp;";",""),IF(AND($G98&lt;Hta_25,$G98&gt;=Hba_25,Input!Y$45&lt;&gt;""),Input!$B$45&amp;";",""),IF(AND($G98&lt;Hta_26,$G98&gt;=Hba_26,Input!Y$46&lt;&gt;""),Input!$B$46&amp;";",""),IF(AND($G98&lt;Hta_27,$G98&gt;=Hba_27,Input!Y$47&lt;&gt;""),Input!$B$47&amp;";",""),IF(AND($G98&lt;Hta_28,$G98&gt;=Hba_28,Input!Y$48&lt;&gt;""),Input!$B$48&amp;";",""),IF(AND($G98&lt;Hta_29,$G98&gt;=Hba_29,Input!Y$49&lt;&gt;""),Input!$B$49&amp;";",""),IF(AND($G98&lt;Hta_30,$G98&gt;=Hba_30,Input!Y$50&lt;&gt;""),Input!$B$50&amp;";","")),"")</f>
        <v/>
      </c>
      <c r="CA98" s="25" t="str">
        <f>IFERROR(CONCATENATE(IF(AND($G98&lt;Hta_1,$G98&gt;=Hba_1,Input!Z$21&lt;&gt;""),Input!$B$21&amp;";",""),IF(AND($G98&lt;Hta_2,$G98&gt;=Hba_2,Input!Z$22&lt;&gt;""),Input!$B$22&amp;";",""),IF(AND($G98&lt;Hta_3,$G98&gt;=Hba_3,Input!Z$23&lt;&gt;""),Input!$B$23&amp;";",""),IF(AND($G98&lt;Hta_4,$G98&gt;=Hba_4,Input!Z$24&lt;&gt;""),Input!$B$24&amp;";",""),IF(AND($G98&lt;Hta_5,$G98&gt;=Hba_5,Input!Z$25&lt;&gt;""),Input!$B$25&amp;";",""),IF(AND($G98&lt;Hta_6,$G98&gt;=Hba_6,Input!Z$26&lt;&gt;""),Input!$B$26&amp;";",""),IF(AND($G98&lt;Hta_7,$G98&gt;=Hba_7,Input!Z$27&lt;&gt;""),Input!$B$27&amp;";",""),IF(AND($G98&lt;Hta_8,$G98&gt;=Hba_8,Input!Z$28&lt;&gt;""),Input!$B$28&amp;";",""),IF(AND($G98&lt;Hta_9,$G98&gt;=Hba_9,Input!Z$29&lt;&gt;""),Input!$B$29&amp;";",""),IF(AND($G98&lt;Hta_10,$G98&gt;=Hba_10,Input!Z$30&lt;&gt;""),Input!$B$30&amp;";",""),IF(AND($G98&lt;Hta_11,$G98&gt;=Hba_11,Input!Z$31&lt;&gt;""),Input!$B$31&amp;";",""),IF(AND($G98&lt;Hta_12,$G98&gt;=Hba_12,Input!Z$32&lt;&gt;""),Input!$B$32&amp;";",""),IF(AND($G98&lt;Hta_13,$G98&gt;=Hba_13,Input!Z$33&lt;&gt;""),Input!$B$33&amp;";",""),IF(AND($G98&lt;Hta_14,$G98&gt;=Hba_14,Input!Z$34&lt;&gt;""),Input!$B$34&amp;";",""),IF(AND($G98&lt;Hta_15,$G98&gt;=Hba_15,Input!Z$35&lt;&gt;""),Input!$B$35&amp;";",""),IF(AND($G98&lt;Hta_16,$G98&gt;=Hba_16,Input!Z$36&lt;&gt;""),Input!$B$36&amp;";",""),IF(AND($G98&lt;Hta_17,$G98&gt;=Hba_17,Input!Z$37&lt;&gt;""),Input!$B$37&amp;";",""),IF(AND($G98&lt;Hta_18,$G98&gt;=Hba_18,Input!Z$38&lt;&gt;""),Input!$B$38&amp;";",""),IF(AND($G98&lt;Hta_19,$G98&gt;=Hba_19,Input!Z$39&lt;&gt;""),Input!$B$39&amp;";",""),IF(AND($G98&lt;Hta_20,$G98&gt;=Hba_20,Input!Z$40&lt;&gt;""),Input!$B$40&amp;";",""),IF(AND($G98&lt;Hta_21,$G98&gt;=Hba_21,Input!Z$41&lt;&gt;""),Input!$B$41&amp;";",""),IF(AND($G98&lt;Hta_22,$G98&gt;=Hba_22,Input!Z$42&lt;&gt;""),Input!$B$42&amp;";",""),IF(AND($G98&lt;Hta_23,$G98&gt;=Hba_23,Input!Z$43&lt;&gt;""),Input!$B$43&amp;";",""),IF(AND($G98&lt;Hta_24,$G98&gt;=Hba_24,Input!Z$44&lt;&gt;""),Input!$B$44&amp;";",""),IF(AND($G98&lt;Hta_25,$G98&gt;=Hba_25,Input!Z$45&lt;&gt;""),Input!$B$45&amp;";",""),IF(AND($G98&lt;Hta_26,$G98&gt;=Hba_26,Input!Z$46&lt;&gt;""),Input!$B$46&amp;";",""),IF(AND($G98&lt;Hta_27,$G98&gt;=Hba_27,Input!Z$47&lt;&gt;""),Input!$B$47&amp;";",""),IF(AND($G98&lt;Hta_28,$G98&gt;=Hba_28,Input!Z$48&lt;&gt;""),Input!$B$48&amp;";",""),IF(AND($G98&lt;Hta_29,$G98&gt;=Hba_29,Input!Z$49&lt;&gt;""),Input!$B$49&amp;";",""),IF(AND($G98&lt;Hta_30,$G98&gt;=Hba_30,Input!Z$50&lt;&gt;""),Input!$B$50&amp;";","")),"")</f>
        <v/>
      </c>
      <c r="CB98" s="25" t="str">
        <f>IFERROR(CONCATENATE(IF(AND($G98&lt;Hta_1,$G98&gt;=Hba_1,Input!AA$21&lt;&gt;""),Input!$B$21&amp;";",""),IF(AND($G98&lt;Hta_2,$G98&gt;=Hba_2,Input!AA$22&lt;&gt;""),Input!$B$22&amp;";",""),IF(AND($G98&lt;Hta_3,$G98&gt;=Hba_3,Input!AA$23&lt;&gt;""),Input!$B$23&amp;";",""),IF(AND($G98&lt;Hta_4,$G98&gt;=Hba_4,Input!AA$24&lt;&gt;""),Input!$B$24&amp;";",""),IF(AND($G98&lt;Hta_5,$G98&gt;=Hba_5,Input!AA$25&lt;&gt;""),Input!$B$25&amp;";",""),IF(AND($G98&lt;Hta_6,$G98&gt;=Hba_6,Input!AA$26&lt;&gt;""),Input!$B$26&amp;";",""),IF(AND($G98&lt;Hta_7,$G98&gt;=Hba_7,Input!AA$27&lt;&gt;""),Input!$B$27&amp;";",""),IF(AND($G98&lt;Hta_8,$G98&gt;=Hba_8,Input!AA$28&lt;&gt;""),Input!$B$28&amp;";",""),IF(AND($G98&lt;Hta_9,$G98&gt;=Hba_9,Input!AA$29&lt;&gt;""),Input!$B$29&amp;";",""),IF(AND($G98&lt;Hta_10,$G98&gt;=Hba_10,Input!AA$30&lt;&gt;""),Input!$B$30&amp;";",""),IF(AND($G98&lt;Hta_11,$G98&gt;=Hba_11,Input!AA$31&lt;&gt;""),Input!$B$31&amp;";",""),IF(AND($G98&lt;Hta_12,$G98&gt;=Hba_12,Input!AA$32&lt;&gt;""),Input!$B$32&amp;";",""),IF(AND($G98&lt;Hta_13,$G98&gt;=Hba_13,Input!AA$33&lt;&gt;""),Input!$B$33&amp;";",""),IF(AND($G98&lt;Hta_14,$G98&gt;=Hba_14,Input!AA$34&lt;&gt;""),Input!$B$34&amp;";",""),IF(AND($G98&lt;Hta_15,$G98&gt;=Hba_15,Input!AA$35&lt;&gt;""),Input!$B$35&amp;";",""),IF(AND($G98&lt;Hta_16,$G98&gt;=Hba_16,Input!AA$36&lt;&gt;""),Input!$B$36&amp;";",""),IF(AND($G98&lt;Hta_17,$G98&gt;=Hba_17,Input!AA$37&lt;&gt;""),Input!$B$37&amp;";",""),IF(AND($G98&lt;Hta_18,$G98&gt;=Hba_18,Input!AA$38&lt;&gt;""),Input!$B$38&amp;";",""),IF(AND($G98&lt;Hta_19,$G98&gt;=Hba_19,Input!AA$39&lt;&gt;""),Input!$B$39&amp;";",""),IF(AND($G98&lt;Hta_20,$G98&gt;=Hba_20,Input!AA$40&lt;&gt;""),Input!$B$40&amp;";",""),IF(AND($G98&lt;Hta_21,$G98&gt;=Hba_21,Input!AA$41&lt;&gt;""),Input!$B$41&amp;";",""),IF(AND($G98&lt;Hta_22,$G98&gt;=Hba_22,Input!AA$42&lt;&gt;""),Input!$B$42&amp;";",""),IF(AND($G98&lt;Hta_23,$G98&gt;=Hba_23,Input!AA$43&lt;&gt;""),Input!$B$43&amp;";",""),IF(AND($G98&lt;Hta_24,$G98&gt;=Hba_24,Input!AA$44&lt;&gt;""),Input!$B$44&amp;";",""),IF(AND($G98&lt;Hta_25,$G98&gt;=Hba_25,Input!AA$45&lt;&gt;""),Input!$B$45&amp;";",""),IF(AND($G98&lt;Hta_26,$G98&gt;=Hba_26,Input!AA$46&lt;&gt;""),Input!$B$46&amp;";",""),IF(AND($G98&lt;Hta_27,$G98&gt;=Hba_27,Input!AA$47&lt;&gt;""),Input!$B$47&amp;";",""),IF(AND($G98&lt;Hta_28,$G98&gt;=Hba_28,Input!AA$48&lt;&gt;""),Input!$B$48&amp;";",""),IF(AND($G98&lt;Hta_29,$G98&gt;=Hba_29,Input!AA$49&lt;&gt;""),Input!$B$49&amp;";",""),IF(AND($G98&lt;Hta_30,$G98&gt;=Hba_30,Input!AA$50&lt;&gt;""),Input!$B$50&amp;";","")),"")</f>
        <v/>
      </c>
      <c r="CC98" s="25" t="str">
        <f>IFERROR(CONCATENATE(IF(AND($G98&lt;Hta_1,$G98&gt;=Hba_1,Input!AB$21&lt;&gt;""),Input!$B$21&amp;";",""),IF(AND($G98&lt;Hta_2,$G98&gt;=Hba_2,Input!AB$22&lt;&gt;""),Input!$B$22&amp;";",""),IF(AND($G98&lt;Hta_3,$G98&gt;=Hba_3,Input!AB$23&lt;&gt;""),Input!$B$23&amp;";",""),IF(AND($G98&lt;Hta_4,$G98&gt;=Hba_4,Input!AB$24&lt;&gt;""),Input!$B$24&amp;";",""),IF(AND($G98&lt;Hta_5,$G98&gt;=Hba_5,Input!AB$25&lt;&gt;""),Input!$B$25&amp;";",""),IF(AND($G98&lt;Hta_6,$G98&gt;=Hba_6,Input!AB$26&lt;&gt;""),Input!$B$26&amp;";",""),IF(AND($G98&lt;Hta_7,$G98&gt;=Hba_7,Input!AB$27&lt;&gt;""),Input!$B$27&amp;";",""),IF(AND($G98&lt;Hta_8,$G98&gt;=Hba_8,Input!AB$28&lt;&gt;""),Input!$B$28&amp;";",""),IF(AND($G98&lt;Hta_9,$G98&gt;=Hba_9,Input!AB$29&lt;&gt;""),Input!$B$29&amp;";",""),IF(AND($G98&lt;Hta_10,$G98&gt;=Hba_10,Input!AB$30&lt;&gt;""),Input!$B$30&amp;";",""),IF(AND($G98&lt;Hta_11,$G98&gt;=Hba_11,Input!AB$31&lt;&gt;""),Input!$B$31&amp;";",""),IF(AND($G98&lt;Hta_12,$G98&gt;=Hba_12,Input!AB$32&lt;&gt;""),Input!$B$32&amp;";",""),IF(AND($G98&lt;Hta_13,$G98&gt;=Hba_13,Input!AB$33&lt;&gt;""),Input!$B$33&amp;";",""),IF(AND($G98&lt;Hta_14,$G98&gt;=Hba_14,Input!AB$34&lt;&gt;""),Input!$B$34&amp;";",""),IF(AND($G98&lt;Hta_15,$G98&gt;=Hba_15,Input!AB$35&lt;&gt;""),Input!$B$35&amp;";",""),IF(AND($G98&lt;Hta_16,$G98&gt;=Hba_16,Input!AB$36&lt;&gt;""),Input!$B$36&amp;";",""),IF(AND($G98&lt;Hta_17,$G98&gt;=Hba_17,Input!AB$37&lt;&gt;""),Input!$B$37&amp;";",""),IF(AND($G98&lt;Hta_18,$G98&gt;=Hba_18,Input!AB$38&lt;&gt;""),Input!$B$38&amp;";",""),IF(AND($G98&lt;Hta_19,$G98&gt;=Hba_19,Input!AB$39&lt;&gt;""),Input!$B$39&amp;";",""),IF(AND($G98&lt;Hta_20,$G98&gt;=Hba_20,Input!AB$40&lt;&gt;""),Input!$B$40&amp;";",""),IF(AND($G98&lt;Hta_21,$G98&gt;=Hba_21,Input!AB$41&lt;&gt;""),Input!$B$41&amp;";",""),IF(AND($G98&lt;Hta_22,$G98&gt;=Hba_22,Input!AB$42&lt;&gt;""),Input!$B$42&amp;";",""),IF(AND($G98&lt;Hta_23,$G98&gt;=Hba_23,Input!AB$43&lt;&gt;""),Input!$B$43&amp;";",""),IF(AND($G98&lt;Hta_24,$G98&gt;=Hba_24,Input!AB$44&lt;&gt;""),Input!$B$44&amp;";",""),IF(AND($G98&lt;Hta_25,$G98&gt;=Hba_25,Input!AB$45&lt;&gt;""),Input!$B$45&amp;";",""),IF(AND($G98&lt;Hta_26,$G98&gt;=Hba_26,Input!AB$46&lt;&gt;""),Input!$B$46&amp;";",""),IF(AND($G98&lt;Hta_27,$G98&gt;=Hba_27,Input!AB$47&lt;&gt;""),Input!$B$47&amp;";",""),IF(AND($G98&lt;Hta_28,$G98&gt;=Hba_28,Input!AB$48&lt;&gt;""),Input!$B$48&amp;";",""),IF(AND($G98&lt;Hta_29,$G98&gt;=Hba_29,Input!AB$49&lt;&gt;""),Input!$B$49&amp;";",""),IF(AND($G98&lt;Hta_30,$G98&gt;=Hba_30,Input!AB$50&lt;&gt;""),Input!$B$50&amp;";","")),"")</f>
        <v/>
      </c>
      <c r="CD98" s="25" t="str">
        <f>IFERROR(CONCATENATE(IF(AND($G98&lt;Hta_1,$G98&gt;=Hba_1,Input!AC$21&lt;&gt;""),Input!$B$21&amp;";",""),IF(AND($G98&lt;Hta_2,$G98&gt;=Hba_2,Input!AC$22&lt;&gt;""),Input!$B$22&amp;";",""),IF(AND($G98&lt;Hta_3,$G98&gt;=Hba_3,Input!AC$23&lt;&gt;""),Input!$B$23&amp;";",""),IF(AND($G98&lt;Hta_4,$G98&gt;=Hba_4,Input!AC$24&lt;&gt;""),Input!$B$24&amp;";",""),IF(AND($G98&lt;Hta_5,$G98&gt;=Hba_5,Input!AC$25&lt;&gt;""),Input!$B$25&amp;";",""),IF(AND($G98&lt;Hta_6,$G98&gt;=Hba_6,Input!AC$26&lt;&gt;""),Input!$B$26&amp;";",""),IF(AND($G98&lt;Hta_7,$G98&gt;=Hba_7,Input!AC$27&lt;&gt;""),Input!$B$27&amp;";",""),IF(AND($G98&lt;Hta_8,$G98&gt;=Hba_8,Input!AC$28&lt;&gt;""),Input!$B$28&amp;";",""),IF(AND($G98&lt;Hta_9,$G98&gt;=Hba_9,Input!AC$29&lt;&gt;""),Input!$B$29&amp;";",""),IF(AND($G98&lt;Hta_10,$G98&gt;=Hba_10,Input!AC$30&lt;&gt;""),Input!$B$30&amp;";",""),IF(AND($G98&lt;Hta_11,$G98&gt;=Hba_11,Input!AC$31&lt;&gt;""),Input!$B$31&amp;";",""),IF(AND($G98&lt;Hta_12,$G98&gt;=Hba_12,Input!AC$32&lt;&gt;""),Input!$B$32&amp;";",""),IF(AND($G98&lt;Hta_13,$G98&gt;=Hba_13,Input!AC$33&lt;&gt;""),Input!$B$33&amp;";",""),IF(AND($G98&lt;Hta_14,$G98&gt;=Hba_14,Input!AC$34&lt;&gt;""),Input!$B$34&amp;";",""),IF(AND($G98&lt;Hta_15,$G98&gt;=Hba_15,Input!AC$35&lt;&gt;""),Input!$B$35&amp;";",""),IF(AND($G98&lt;Hta_16,$G98&gt;=Hba_16,Input!AC$36&lt;&gt;""),Input!$B$36&amp;";",""),IF(AND($G98&lt;Hta_17,$G98&gt;=Hba_17,Input!AC$37&lt;&gt;""),Input!$B$37&amp;";",""),IF(AND($G98&lt;Hta_18,$G98&gt;=Hba_18,Input!AC$38&lt;&gt;""),Input!$B$38&amp;";",""),IF(AND($G98&lt;Hta_19,$G98&gt;=Hba_19,Input!AC$39&lt;&gt;""),Input!$B$39&amp;";",""),IF(AND($G98&lt;Hta_20,$G98&gt;=Hba_20,Input!AC$40&lt;&gt;""),Input!$B$40&amp;";",""),IF(AND($G98&lt;Hta_21,$G98&gt;=Hba_21,Input!AC$41&lt;&gt;""),Input!$B$41&amp;";",""),IF(AND($G98&lt;Hta_22,$G98&gt;=Hba_22,Input!AC$42&lt;&gt;""),Input!$B$42&amp;";",""),IF(AND($G98&lt;Hta_23,$G98&gt;=Hba_23,Input!AC$43&lt;&gt;""),Input!$B$43&amp;";",""),IF(AND($G98&lt;Hta_24,$G98&gt;=Hba_24,Input!AC$44&lt;&gt;""),Input!$B$44&amp;";",""),IF(AND($G98&lt;Hta_25,$G98&gt;=Hba_25,Input!AC$45&lt;&gt;""),Input!$B$45&amp;";",""),IF(AND($G98&lt;Hta_26,$G98&gt;=Hba_26,Input!AC$46&lt;&gt;""),Input!$B$46&amp;";",""),IF(AND($G98&lt;Hta_27,$G98&gt;=Hba_27,Input!AC$47&lt;&gt;""),Input!$B$47&amp;";",""),IF(AND($G98&lt;Hta_28,$G98&gt;=Hba_28,Input!AC$48&lt;&gt;""),Input!$B$48&amp;";",""),IF(AND($G98&lt;Hta_29,$G98&gt;=Hba_29,Input!AC$49&lt;&gt;""),Input!$B$49&amp;";",""),IF(AND($G98&lt;Hta_30,$G98&gt;=Hba_30,Input!AC$50&lt;&gt;""),Input!$B$50&amp;";","")),"")</f>
        <v/>
      </c>
      <c r="CE98" s="25" t="str">
        <f>IFERROR(CONCATENATE(IF(AND($G98&lt;Hta_1,$G98&gt;=Hba_1,Input!AD$21&lt;&gt;""),Input!$B$21&amp;";",""),IF(AND($G98&lt;Hta_2,$G98&gt;=Hba_2,Input!AD$22&lt;&gt;""),Input!$B$22&amp;";",""),IF(AND($G98&lt;Hta_3,$G98&gt;=Hba_3,Input!AD$23&lt;&gt;""),Input!$B$23&amp;";",""),IF(AND($G98&lt;Hta_4,$G98&gt;=Hba_4,Input!AD$24&lt;&gt;""),Input!$B$24&amp;";",""),IF(AND($G98&lt;Hta_5,$G98&gt;=Hba_5,Input!AD$25&lt;&gt;""),Input!$B$25&amp;";",""),IF(AND($G98&lt;Hta_6,$G98&gt;=Hba_6,Input!AD$26&lt;&gt;""),Input!$B$26&amp;";",""),IF(AND($G98&lt;Hta_7,$G98&gt;=Hba_7,Input!AD$27&lt;&gt;""),Input!$B$27&amp;";",""),IF(AND($G98&lt;Hta_8,$G98&gt;=Hba_8,Input!AD$28&lt;&gt;""),Input!$B$28&amp;";",""),IF(AND($G98&lt;Hta_9,$G98&gt;=Hba_9,Input!AD$29&lt;&gt;""),Input!$B$29&amp;";",""),IF(AND($G98&lt;Hta_10,$G98&gt;=Hba_10,Input!AD$30&lt;&gt;""),Input!$B$30&amp;";",""),IF(AND($G98&lt;Hta_11,$G98&gt;=Hba_11,Input!AD$31&lt;&gt;""),Input!$B$31&amp;";",""),IF(AND($G98&lt;Hta_12,$G98&gt;=Hba_12,Input!AD$32&lt;&gt;""),Input!$B$32&amp;";",""),IF(AND($G98&lt;Hta_13,$G98&gt;=Hba_13,Input!AD$33&lt;&gt;""),Input!$B$33&amp;";",""),IF(AND($G98&lt;Hta_14,$G98&gt;=Hba_14,Input!AD$34&lt;&gt;""),Input!$B$34&amp;";",""),IF(AND($G98&lt;Hta_15,$G98&gt;=Hba_15,Input!AD$35&lt;&gt;""),Input!$B$35&amp;";",""),IF(AND($G98&lt;Hta_16,$G98&gt;=Hba_16,Input!AD$36&lt;&gt;""),Input!$B$36&amp;";",""),IF(AND($G98&lt;Hta_17,$G98&gt;=Hba_17,Input!AD$37&lt;&gt;""),Input!$B$37&amp;";",""),IF(AND($G98&lt;Hta_18,$G98&gt;=Hba_18,Input!AD$38&lt;&gt;""),Input!$B$38&amp;";",""),IF(AND($G98&lt;Hta_19,$G98&gt;=Hba_19,Input!AD$39&lt;&gt;""),Input!$B$39&amp;";",""),IF(AND($G98&lt;Hta_20,$G98&gt;=Hba_20,Input!AD$40&lt;&gt;""),Input!$B$40&amp;";",""),IF(AND($G98&lt;Hta_21,$G98&gt;=Hba_21,Input!AD$41&lt;&gt;""),Input!$B$41&amp;";",""),IF(AND($G98&lt;Hta_22,$G98&gt;=Hba_22,Input!AD$42&lt;&gt;""),Input!$B$42&amp;";",""),IF(AND($G98&lt;Hta_23,$G98&gt;=Hba_23,Input!AD$43&lt;&gt;""),Input!$B$43&amp;";",""),IF(AND($G98&lt;Hta_24,$G98&gt;=Hba_24,Input!AD$44&lt;&gt;""),Input!$B$44&amp;";",""),IF(AND($G98&lt;Hta_25,$G98&gt;=Hba_25,Input!AD$45&lt;&gt;""),Input!$B$45&amp;";",""),IF(AND($G98&lt;Hta_26,$G98&gt;=Hba_26,Input!AD$46&lt;&gt;""),Input!$B$46&amp;";",""),IF(AND($G98&lt;Hta_27,$G98&gt;=Hba_27,Input!AD$47&lt;&gt;""),Input!$B$47&amp;";",""),IF(AND($G98&lt;Hta_28,$G98&gt;=Hba_28,Input!AD$48&lt;&gt;""),Input!$B$48&amp;";",""),IF(AND($G98&lt;Hta_29,$G98&gt;=Hba_29,Input!AD$49&lt;&gt;""),Input!$B$49&amp;";",""),IF(AND($G98&lt;Hta_30,$G98&gt;=Hba_30,Input!AD$50&lt;&gt;""),Input!$B$50&amp;";","")),"")</f>
        <v/>
      </c>
      <c r="CF98" s="25" t="str">
        <f>IFERROR(CONCATENATE(IF(AND($G98&lt;Hta_1,$G98&gt;=Hba_1,Input!AE$21&lt;&gt;""),Input!$B$21&amp;";",""),IF(AND($G98&lt;Hta_2,$G98&gt;=Hba_2,Input!AE$22&lt;&gt;""),Input!$B$22&amp;";",""),IF(AND($G98&lt;Hta_3,$G98&gt;=Hba_3,Input!AE$23&lt;&gt;""),Input!$B$23&amp;";",""),IF(AND($G98&lt;Hta_4,$G98&gt;=Hba_4,Input!AE$24&lt;&gt;""),Input!$B$24&amp;";",""),IF(AND($G98&lt;Hta_5,$G98&gt;=Hba_5,Input!AE$25&lt;&gt;""),Input!$B$25&amp;";",""),IF(AND($G98&lt;Hta_6,$G98&gt;=Hba_6,Input!AE$26&lt;&gt;""),Input!$B$26&amp;";",""),IF(AND($G98&lt;Hta_7,$G98&gt;=Hba_7,Input!AE$27&lt;&gt;""),Input!$B$27&amp;";",""),IF(AND($G98&lt;Hta_8,$G98&gt;=Hba_8,Input!AE$28&lt;&gt;""),Input!$B$28&amp;";",""),IF(AND($G98&lt;Hta_9,$G98&gt;=Hba_9,Input!AE$29&lt;&gt;""),Input!$B$29&amp;";",""),IF(AND($G98&lt;Hta_10,$G98&gt;=Hba_10,Input!AE$30&lt;&gt;""),Input!$B$30&amp;";",""),IF(AND($G98&lt;Hta_11,$G98&gt;=Hba_11,Input!AE$31&lt;&gt;""),Input!$B$31&amp;";",""),IF(AND($G98&lt;Hta_12,$G98&gt;=Hba_12,Input!AE$32&lt;&gt;""),Input!$B$32&amp;";",""),IF(AND($G98&lt;Hta_13,$G98&gt;=Hba_13,Input!AE$33&lt;&gt;""),Input!$B$33&amp;";",""),IF(AND($G98&lt;Hta_14,$G98&gt;=Hba_14,Input!AE$34&lt;&gt;""),Input!$B$34&amp;";",""),IF(AND($G98&lt;Hta_15,$G98&gt;=Hba_15,Input!AE$35&lt;&gt;""),Input!$B$35&amp;";",""),IF(AND($G98&lt;Hta_16,$G98&gt;=Hba_16,Input!AE$36&lt;&gt;""),Input!$B$36&amp;";",""),IF(AND($G98&lt;Hta_17,$G98&gt;=Hba_17,Input!AE$37&lt;&gt;""),Input!$B$37&amp;";",""),IF(AND($G98&lt;Hta_18,$G98&gt;=Hba_18,Input!AE$38&lt;&gt;""),Input!$B$38&amp;";",""),IF(AND($G98&lt;Hta_19,$G98&gt;=Hba_19,Input!AE$39&lt;&gt;""),Input!$B$39&amp;";",""),IF(AND($G98&lt;Hta_20,$G98&gt;=Hba_20,Input!AE$40&lt;&gt;""),Input!$B$40&amp;";",""),IF(AND($G98&lt;Hta_21,$G98&gt;=Hba_21,Input!AE$41&lt;&gt;""),Input!$B$41&amp;";",""),IF(AND($G98&lt;Hta_22,$G98&gt;=Hba_22,Input!AE$42&lt;&gt;""),Input!$B$42&amp;";",""),IF(AND($G98&lt;Hta_23,$G98&gt;=Hba_23,Input!AE$43&lt;&gt;""),Input!$B$43&amp;";",""),IF(AND($G98&lt;Hta_24,$G98&gt;=Hba_24,Input!AE$44&lt;&gt;""),Input!$B$44&amp;";",""),IF(AND($G98&lt;Hta_25,$G98&gt;=Hba_25,Input!AE$45&lt;&gt;""),Input!$B$45&amp;";",""),IF(AND($G98&lt;Hta_26,$G98&gt;=Hba_26,Input!AE$46&lt;&gt;""),Input!$B$46&amp;";",""),IF(AND($G98&lt;Hta_27,$G98&gt;=Hba_27,Input!AE$47&lt;&gt;""),Input!$B$47&amp;";",""),IF(AND($G98&lt;Hta_28,$G98&gt;=Hba_28,Input!AE$48&lt;&gt;""),Input!$B$48&amp;";",""),IF(AND($G98&lt;Hta_29,$G98&gt;=Hba_29,Input!AE$49&lt;&gt;""),Input!$B$49&amp;";",""),IF(AND($G98&lt;Hta_30,$G98&gt;=Hba_30,Input!AE$50&lt;&gt;""),Input!$B$50&amp;";","")),"")</f>
        <v/>
      </c>
      <c r="CG98" s="25" t="str">
        <f>IFERROR(CONCATENATE(IF(AND($G98&lt;Hta_1,$G98&gt;=Hba_1,Input!AF$21&lt;&gt;""),Input!$B$21&amp;";",""),IF(AND($G98&lt;Hta_2,$G98&gt;=Hba_2,Input!AF$22&lt;&gt;""),Input!$B$22&amp;";",""),IF(AND($G98&lt;Hta_3,$G98&gt;=Hba_3,Input!AF$23&lt;&gt;""),Input!$B$23&amp;";",""),IF(AND($G98&lt;Hta_4,$G98&gt;=Hba_4,Input!AF$24&lt;&gt;""),Input!$B$24&amp;";",""),IF(AND($G98&lt;Hta_5,$G98&gt;=Hba_5,Input!AF$25&lt;&gt;""),Input!$B$25&amp;";",""),IF(AND($G98&lt;Hta_6,$G98&gt;=Hba_6,Input!AF$26&lt;&gt;""),Input!$B$26&amp;";",""),IF(AND($G98&lt;Hta_7,$G98&gt;=Hba_7,Input!AF$27&lt;&gt;""),Input!$B$27&amp;";",""),IF(AND($G98&lt;Hta_8,$G98&gt;=Hba_8,Input!AF$28&lt;&gt;""),Input!$B$28&amp;";",""),IF(AND($G98&lt;Hta_9,$G98&gt;=Hba_9,Input!AF$29&lt;&gt;""),Input!$B$29&amp;";",""),IF(AND($G98&lt;Hta_10,$G98&gt;=Hba_10,Input!AF$30&lt;&gt;""),Input!$B$30&amp;";",""),IF(AND($G98&lt;Hta_11,$G98&gt;=Hba_11,Input!AF$31&lt;&gt;""),Input!$B$31&amp;";",""),IF(AND($G98&lt;Hta_12,$G98&gt;=Hba_12,Input!AF$32&lt;&gt;""),Input!$B$32&amp;";",""),IF(AND($G98&lt;Hta_13,$G98&gt;=Hba_13,Input!AF$33&lt;&gt;""),Input!$B$33&amp;";",""),IF(AND($G98&lt;Hta_14,$G98&gt;=Hba_14,Input!AF$34&lt;&gt;""),Input!$B$34&amp;";",""),IF(AND($G98&lt;Hta_15,$G98&gt;=Hba_15,Input!AF$35&lt;&gt;""),Input!$B$35&amp;";",""),IF(AND($G98&lt;Hta_16,$G98&gt;=Hba_16,Input!AF$36&lt;&gt;""),Input!$B$36&amp;";",""),IF(AND($G98&lt;Hta_17,$G98&gt;=Hba_17,Input!AF$37&lt;&gt;""),Input!$B$37&amp;";",""),IF(AND($G98&lt;Hta_18,$G98&gt;=Hba_18,Input!AF$38&lt;&gt;""),Input!$B$38&amp;";",""),IF(AND($G98&lt;Hta_19,$G98&gt;=Hba_19,Input!AF$39&lt;&gt;""),Input!$B$39&amp;";",""),IF(AND($G98&lt;Hta_20,$G98&gt;=Hba_20,Input!AF$40&lt;&gt;""),Input!$B$40&amp;";",""),IF(AND($G98&lt;Hta_21,$G98&gt;=Hba_21,Input!AF$41&lt;&gt;""),Input!$B$41&amp;";",""),IF(AND($G98&lt;Hta_22,$G98&gt;=Hba_22,Input!AF$42&lt;&gt;""),Input!$B$42&amp;";",""),IF(AND($G98&lt;Hta_23,$G98&gt;=Hba_23,Input!AF$43&lt;&gt;""),Input!$B$43&amp;";",""),IF(AND($G98&lt;Hta_24,$G98&gt;=Hba_24,Input!AF$44&lt;&gt;""),Input!$B$44&amp;";",""),IF(AND($G98&lt;Hta_25,$G98&gt;=Hba_25,Input!AF$45&lt;&gt;""),Input!$B$45&amp;";",""),IF(AND($G98&lt;Hta_26,$G98&gt;=Hba_26,Input!AF$46&lt;&gt;""),Input!$B$46&amp;";",""),IF(AND($G98&lt;Hta_27,$G98&gt;=Hba_27,Input!AF$47&lt;&gt;""),Input!$B$47&amp;";",""),IF(AND($G98&lt;Hta_28,$G98&gt;=Hba_28,Input!AF$48&lt;&gt;""),Input!$B$48&amp;";",""),IF(AND($G98&lt;Hta_29,$G98&gt;=Hba_29,Input!AF$49&lt;&gt;""),Input!$B$49&amp;";",""),IF(AND($G98&lt;Hta_30,$G98&gt;=Hba_30,Input!AF$50&lt;&gt;""),Input!$B$50&amp;";","")),"")</f>
        <v/>
      </c>
      <c r="CH98" s="25" t="str">
        <f>IFERROR(CONCATENATE(IF(AND($G98&lt;Hta_1,$G98&gt;=Hba_1,Input!AG$21&lt;&gt;""),Input!$B$21&amp;";",""),IF(AND($G98&lt;Hta_2,$G98&gt;=Hba_2,Input!AG$22&lt;&gt;""),Input!$B$22&amp;";",""),IF(AND($G98&lt;Hta_3,$G98&gt;=Hba_3,Input!AG$23&lt;&gt;""),Input!$B$23&amp;";",""),IF(AND($G98&lt;Hta_4,$G98&gt;=Hba_4,Input!AG$24&lt;&gt;""),Input!$B$24&amp;";",""),IF(AND($G98&lt;Hta_5,$G98&gt;=Hba_5,Input!AG$25&lt;&gt;""),Input!$B$25&amp;";",""),IF(AND($G98&lt;Hta_6,$G98&gt;=Hba_6,Input!AG$26&lt;&gt;""),Input!$B$26&amp;";",""),IF(AND($G98&lt;Hta_7,$G98&gt;=Hba_7,Input!AG$27&lt;&gt;""),Input!$B$27&amp;";",""),IF(AND($G98&lt;Hta_8,$G98&gt;=Hba_8,Input!AG$28&lt;&gt;""),Input!$B$28&amp;";",""),IF(AND($G98&lt;Hta_9,$G98&gt;=Hba_9,Input!AG$29&lt;&gt;""),Input!$B$29&amp;";",""),IF(AND($G98&lt;Hta_10,$G98&gt;=Hba_10,Input!AG$30&lt;&gt;""),Input!$B$30&amp;";",""),IF(AND($G98&lt;Hta_11,$G98&gt;=Hba_11,Input!AG$31&lt;&gt;""),Input!$B$31&amp;";",""),IF(AND($G98&lt;Hta_12,$G98&gt;=Hba_12,Input!AG$32&lt;&gt;""),Input!$B$32&amp;";",""),IF(AND($G98&lt;Hta_13,$G98&gt;=Hba_13,Input!AG$33&lt;&gt;""),Input!$B$33&amp;";",""),IF(AND($G98&lt;Hta_14,$G98&gt;=Hba_14,Input!AG$34&lt;&gt;""),Input!$B$34&amp;";",""),IF(AND($G98&lt;Hta_15,$G98&gt;=Hba_15,Input!AG$35&lt;&gt;""),Input!$B$35&amp;";",""),IF(AND($G98&lt;Hta_16,$G98&gt;=Hba_16,Input!AG$36&lt;&gt;""),Input!$B$36&amp;";",""),IF(AND($G98&lt;Hta_17,$G98&gt;=Hba_17,Input!AG$37&lt;&gt;""),Input!$B$37&amp;";",""),IF(AND($G98&lt;Hta_18,$G98&gt;=Hba_18,Input!AG$38&lt;&gt;""),Input!$B$38&amp;";",""),IF(AND($G98&lt;Hta_19,$G98&gt;=Hba_19,Input!AG$39&lt;&gt;""),Input!$B$39&amp;";",""),IF(AND($G98&lt;Hta_20,$G98&gt;=Hba_20,Input!AG$40&lt;&gt;""),Input!$B$40&amp;";",""),IF(AND($G98&lt;Hta_21,$G98&gt;=Hba_21,Input!AG$41&lt;&gt;""),Input!$B$41&amp;";",""),IF(AND($G98&lt;Hta_22,$G98&gt;=Hba_22,Input!AG$42&lt;&gt;""),Input!$B$42&amp;";",""),IF(AND($G98&lt;Hta_23,$G98&gt;=Hba_23,Input!AG$43&lt;&gt;""),Input!$B$43&amp;";",""),IF(AND($G98&lt;Hta_24,$G98&gt;=Hba_24,Input!AG$44&lt;&gt;""),Input!$B$44&amp;";",""),IF(AND($G98&lt;Hta_25,$G98&gt;=Hba_25,Input!AG$45&lt;&gt;""),Input!$B$45&amp;";",""),IF(AND($G98&lt;Hta_26,$G98&gt;=Hba_26,Input!AG$46&lt;&gt;""),Input!$B$46&amp;";",""),IF(AND($G98&lt;Hta_27,$G98&gt;=Hba_27,Input!AG$47&lt;&gt;""),Input!$B$47&amp;";",""),IF(AND($G98&lt;Hta_28,$G98&gt;=Hba_28,Input!AG$48&lt;&gt;""),Input!$B$48&amp;";",""),IF(AND($G98&lt;Hta_29,$G98&gt;=Hba_29,Input!AG$49&lt;&gt;""),Input!$B$49&amp;";",""),IF(AND($G98&lt;Hta_30,$G98&gt;=Hba_30,Input!AG$50&lt;&gt;""),Input!$B$50&amp;";","")),"")</f>
        <v/>
      </c>
      <c r="CI98" s="25" t="str">
        <f>IFERROR(CONCATENATE(IF(AND($G98&lt;Hta_1,$G98&gt;=Hba_1,Input!AH$21&lt;&gt;""),Input!$B$21&amp;";",""),IF(AND($G98&lt;Hta_2,$G98&gt;=Hba_2,Input!AH$22&lt;&gt;""),Input!$B$22&amp;";",""),IF(AND($G98&lt;Hta_3,$G98&gt;=Hba_3,Input!AH$23&lt;&gt;""),Input!$B$23&amp;";",""),IF(AND($G98&lt;Hta_4,$G98&gt;=Hba_4,Input!AH$24&lt;&gt;""),Input!$B$24&amp;";",""),IF(AND($G98&lt;Hta_5,$G98&gt;=Hba_5,Input!AH$25&lt;&gt;""),Input!$B$25&amp;";",""),IF(AND($G98&lt;Hta_6,$G98&gt;=Hba_6,Input!AH$26&lt;&gt;""),Input!$B$26&amp;";",""),IF(AND($G98&lt;Hta_7,$G98&gt;=Hba_7,Input!AH$27&lt;&gt;""),Input!$B$27&amp;";",""),IF(AND($G98&lt;Hta_8,$G98&gt;=Hba_8,Input!AH$28&lt;&gt;""),Input!$B$28&amp;";",""),IF(AND($G98&lt;Hta_9,$G98&gt;=Hba_9,Input!AH$29&lt;&gt;""),Input!$B$29&amp;";",""),IF(AND($G98&lt;Hta_10,$G98&gt;=Hba_10,Input!AH$30&lt;&gt;""),Input!$B$30&amp;";",""),IF(AND($G98&lt;Hta_11,$G98&gt;=Hba_11,Input!AH$31&lt;&gt;""),Input!$B$31&amp;";",""),IF(AND($G98&lt;Hta_12,$G98&gt;=Hba_12,Input!AH$32&lt;&gt;""),Input!$B$32&amp;";",""),IF(AND($G98&lt;Hta_13,$G98&gt;=Hba_13,Input!AH$33&lt;&gt;""),Input!$B$33&amp;";",""),IF(AND($G98&lt;Hta_14,$G98&gt;=Hba_14,Input!AH$34&lt;&gt;""),Input!$B$34&amp;";",""),IF(AND($G98&lt;Hta_15,$G98&gt;=Hba_15,Input!AH$35&lt;&gt;""),Input!$B$35&amp;";",""),IF(AND($G98&lt;Hta_16,$G98&gt;=Hba_16,Input!AH$36&lt;&gt;""),Input!$B$36&amp;";",""),IF(AND($G98&lt;Hta_17,$G98&gt;=Hba_17,Input!AH$37&lt;&gt;""),Input!$B$37&amp;";",""),IF(AND($G98&lt;Hta_18,$G98&gt;=Hba_18,Input!AH$38&lt;&gt;""),Input!$B$38&amp;";",""),IF(AND($G98&lt;Hta_19,$G98&gt;=Hba_19,Input!AH$39&lt;&gt;""),Input!$B$39&amp;";",""),IF(AND($G98&lt;Hta_20,$G98&gt;=Hba_20,Input!AH$40&lt;&gt;""),Input!$B$40&amp;";",""),IF(AND($G98&lt;Hta_21,$G98&gt;=Hba_21,Input!AH$41&lt;&gt;""),Input!$B$41&amp;";",""),IF(AND($G98&lt;Hta_22,$G98&gt;=Hba_22,Input!AH$42&lt;&gt;""),Input!$B$42&amp;";",""),IF(AND($G98&lt;Hta_23,$G98&gt;=Hba_23,Input!AH$43&lt;&gt;""),Input!$B$43&amp;";",""),IF(AND($G98&lt;Hta_24,$G98&gt;=Hba_24,Input!AH$44&lt;&gt;""),Input!$B$44&amp;";",""),IF(AND($G98&lt;Hta_25,$G98&gt;=Hba_25,Input!AH$45&lt;&gt;""),Input!$B$45&amp;";",""),IF(AND($G98&lt;Hta_26,$G98&gt;=Hba_26,Input!AH$46&lt;&gt;""),Input!$B$46&amp;";",""),IF(AND($G98&lt;Hta_27,$G98&gt;=Hba_27,Input!AH$47&lt;&gt;""),Input!$B$47&amp;";",""),IF(AND($G98&lt;Hta_28,$G98&gt;=Hba_28,Input!AH$48&lt;&gt;""),Input!$B$48&amp;";",""),IF(AND($G98&lt;Hta_29,$G98&gt;=Hba_29,Input!AH$49&lt;&gt;""),Input!$B$49&amp;";",""),IF(AND($G98&lt;Hta_30,$G98&gt;=Hba_30,Input!AH$50&lt;&gt;""),Input!$B$50&amp;";","")),"")</f>
        <v/>
      </c>
      <c r="CJ98" s="25" t="str">
        <f>IFERROR(CONCATENATE(IF(AND($G98&lt;Hta_1,$G98&gt;=Hba_1,Input!AI$21&lt;&gt;""),Input!$B$21&amp;";",""),IF(AND($G98&lt;Hta_2,$G98&gt;=Hba_2,Input!AI$22&lt;&gt;""),Input!$B$22&amp;";",""),IF(AND($G98&lt;Hta_3,$G98&gt;=Hba_3,Input!AI$23&lt;&gt;""),Input!$B$23&amp;";",""),IF(AND($G98&lt;Hta_4,$G98&gt;=Hba_4,Input!AI$24&lt;&gt;""),Input!$B$24&amp;";",""),IF(AND($G98&lt;Hta_5,$G98&gt;=Hba_5,Input!AI$25&lt;&gt;""),Input!$B$25&amp;";",""),IF(AND($G98&lt;Hta_6,$G98&gt;=Hba_6,Input!AI$26&lt;&gt;""),Input!$B$26&amp;";",""),IF(AND($G98&lt;Hta_7,$G98&gt;=Hba_7,Input!AI$27&lt;&gt;""),Input!$B$27&amp;";",""),IF(AND($G98&lt;Hta_8,$G98&gt;=Hba_8,Input!AI$28&lt;&gt;""),Input!$B$28&amp;";",""),IF(AND($G98&lt;Hta_9,$G98&gt;=Hba_9,Input!AI$29&lt;&gt;""),Input!$B$29&amp;";",""),IF(AND($G98&lt;Hta_10,$G98&gt;=Hba_10,Input!AI$30&lt;&gt;""),Input!$B$30&amp;";",""),IF(AND($G98&lt;Hta_11,$G98&gt;=Hba_11,Input!AI$31&lt;&gt;""),Input!$B$31&amp;";",""),IF(AND($G98&lt;Hta_12,$G98&gt;=Hba_12,Input!AI$32&lt;&gt;""),Input!$B$32&amp;";",""),IF(AND($G98&lt;Hta_13,$G98&gt;=Hba_13,Input!AI$33&lt;&gt;""),Input!$B$33&amp;";",""),IF(AND($G98&lt;Hta_14,$G98&gt;=Hba_14,Input!AI$34&lt;&gt;""),Input!$B$34&amp;";",""),IF(AND($G98&lt;Hta_15,$G98&gt;=Hba_15,Input!AI$35&lt;&gt;""),Input!$B$35&amp;";",""),IF(AND($G98&lt;Hta_16,$G98&gt;=Hba_16,Input!AI$36&lt;&gt;""),Input!$B$36&amp;";",""),IF(AND($G98&lt;Hta_17,$G98&gt;=Hba_17,Input!AI$37&lt;&gt;""),Input!$B$37&amp;";",""),IF(AND($G98&lt;Hta_18,$G98&gt;=Hba_18,Input!AI$38&lt;&gt;""),Input!$B$38&amp;";",""),IF(AND($G98&lt;Hta_19,$G98&gt;=Hba_19,Input!AI$39&lt;&gt;""),Input!$B$39&amp;";",""),IF(AND($G98&lt;Hta_20,$G98&gt;=Hba_20,Input!AI$40&lt;&gt;""),Input!$B$40&amp;";",""),IF(AND($G98&lt;Hta_21,$G98&gt;=Hba_21,Input!AI$41&lt;&gt;""),Input!$B$41&amp;";",""),IF(AND($G98&lt;Hta_22,$G98&gt;=Hba_22,Input!AI$42&lt;&gt;""),Input!$B$42&amp;";",""),IF(AND($G98&lt;Hta_23,$G98&gt;=Hba_23,Input!AI$43&lt;&gt;""),Input!$B$43&amp;";",""),IF(AND($G98&lt;Hta_24,$G98&gt;=Hba_24,Input!AI$44&lt;&gt;""),Input!$B$44&amp;";",""),IF(AND($G98&lt;Hta_25,$G98&gt;=Hba_25,Input!AI$45&lt;&gt;""),Input!$B$45&amp;";",""),IF(AND($G98&lt;Hta_26,$G98&gt;=Hba_26,Input!AI$46&lt;&gt;""),Input!$B$46&amp;";",""),IF(AND($G98&lt;Hta_27,$G98&gt;=Hba_27,Input!AI$47&lt;&gt;""),Input!$B$47&amp;";",""),IF(AND($G98&lt;Hta_28,$G98&gt;=Hba_28,Input!AI$48&lt;&gt;""),Input!$B$48&amp;";",""),IF(AND($G98&lt;Hta_29,$G98&gt;=Hba_29,Input!AI$49&lt;&gt;""),Input!$B$49&amp;";",""),IF(AND($G98&lt;Hta_30,$G98&gt;=Hba_30,Input!AI$50&lt;&gt;""),Input!$B$50&amp;";","")),"")</f>
        <v/>
      </c>
      <c r="CK98" s="25" t="str">
        <f>IFERROR(CONCATENATE(IF(AND($G98&lt;Hta_1,$G98&gt;=Hba_1,Input!AJ$21&lt;&gt;""),Input!$B$21&amp;";",""),IF(AND($G98&lt;Hta_2,$G98&gt;=Hba_2,Input!AJ$22&lt;&gt;""),Input!$B$22&amp;";",""),IF(AND($G98&lt;Hta_3,$G98&gt;=Hba_3,Input!AJ$23&lt;&gt;""),Input!$B$23&amp;";",""),IF(AND($G98&lt;Hta_4,$G98&gt;=Hba_4,Input!AJ$24&lt;&gt;""),Input!$B$24&amp;";",""),IF(AND($G98&lt;Hta_5,$G98&gt;=Hba_5,Input!AJ$25&lt;&gt;""),Input!$B$25&amp;";",""),IF(AND($G98&lt;Hta_6,$G98&gt;=Hba_6,Input!AJ$26&lt;&gt;""),Input!$B$26&amp;";",""),IF(AND($G98&lt;Hta_7,$G98&gt;=Hba_7,Input!AJ$27&lt;&gt;""),Input!$B$27&amp;";",""),IF(AND($G98&lt;Hta_8,$G98&gt;=Hba_8,Input!AJ$28&lt;&gt;""),Input!$B$28&amp;";",""),IF(AND($G98&lt;Hta_9,$G98&gt;=Hba_9,Input!AJ$29&lt;&gt;""),Input!$B$29&amp;";",""),IF(AND($G98&lt;Hta_10,$G98&gt;=Hba_10,Input!AJ$30&lt;&gt;""),Input!$B$30&amp;";",""),IF(AND($G98&lt;Hta_11,$G98&gt;=Hba_11,Input!AJ$31&lt;&gt;""),Input!$B$31&amp;";",""),IF(AND($G98&lt;Hta_12,$G98&gt;=Hba_12,Input!AJ$32&lt;&gt;""),Input!$B$32&amp;";",""),IF(AND($G98&lt;Hta_13,$G98&gt;=Hba_13,Input!AJ$33&lt;&gt;""),Input!$B$33&amp;";",""),IF(AND($G98&lt;Hta_14,$G98&gt;=Hba_14,Input!AJ$34&lt;&gt;""),Input!$B$34&amp;";",""),IF(AND($G98&lt;Hta_15,$G98&gt;=Hba_15,Input!AJ$35&lt;&gt;""),Input!$B$35&amp;";",""),IF(AND($G98&lt;Hta_16,$G98&gt;=Hba_16,Input!AJ$36&lt;&gt;""),Input!$B$36&amp;";",""),IF(AND($G98&lt;Hta_17,$G98&gt;=Hba_17,Input!AJ$37&lt;&gt;""),Input!$B$37&amp;";",""),IF(AND($G98&lt;Hta_18,$G98&gt;=Hba_18,Input!AJ$38&lt;&gt;""),Input!$B$38&amp;";",""),IF(AND($G98&lt;Hta_19,$G98&gt;=Hba_19,Input!AJ$39&lt;&gt;""),Input!$B$39&amp;";",""),IF(AND($G98&lt;Hta_20,$G98&gt;=Hba_20,Input!AJ$40&lt;&gt;""),Input!$B$40&amp;";",""),IF(AND($G98&lt;Hta_21,$G98&gt;=Hba_21,Input!AJ$41&lt;&gt;""),Input!$B$41&amp;";",""),IF(AND($G98&lt;Hta_22,$G98&gt;=Hba_22,Input!AJ$42&lt;&gt;""),Input!$B$42&amp;";",""),IF(AND($G98&lt;Hta_23,$G98&gt;=Hba_23,Input!AJ$43&lt;&gt;""),Input!$B$43&amp;";",""),IF(AND($G98&lt;Hta_24,$G98&gt;=Hba_24,Input!AJ$44&lt;&gt;""),Input!$B$44&amp;";",""),IF(AND($G98&lt;Hta_25,$G98&gt;=Hba_25,Input!AJ$45&lt;&gt;""),Input!$B$45&amp;";",""),IF(AND($G98&lt;Hta_26,$G98&gt;=Hba_26,Input!AJ$46&lt;&gt;""),Input!$B$46&amp;";",""),IF(AND($G98&lt;Hta_27,$G98&gt;=Hba_27,Input!AJ$47&lt;&gt;""),Input!$B$47&amp;";",""),IF(AND($G98&lt;Hta_28,$G98&gt;=Hba_28,Input!AJ$48&lt;&gt;""),Input!$B$48&amp;";",""),IF(AND($G98&lt;Hta_29,$G98&gt;=Hba_29,Input!AJ$49&lt;&gt;""),Input!$B$49&amp;";",""),IF(AND($G98&lt;Hta_30,$G98&gt;=Hba_30,Input!AJ$50&lt;&gt;""),Input!$B$50&amp;";","")),"")</f>
        <v/>
      </c>
      <c r="CL98" s="25" t="str">
        <f>IFERROR(CONCATENATE(IF(AND($G98&lt;Hta_1,$G98&gt;=Hba_1,Input!AK$21&lt;&gt;""),Input!$B$21&amp;";",""),IF(AND($G98&lt;Hta_2,$G98&gt;=Hba_2,Input!AK$22&lt;&gt;""),Input!$B$22&amp;";",""),IF(AND($G98&lt;Hta_3,$G98&gt;=Hba_3,Input!AK$23&lt;&gt;""),Input!$B$23&amp;";",""),IF(AND($G98&lt;Hta_4,$G98&gt;=Hba_4,Input!AK$24&lt;&gt;""),Input!$B$24&amp;";",""),IF(AND($G98&lt;Hta_5,$G98&gt;=Hba_5,Input!AK$25&lt;&gt;""),Input!$B$25&amp;";",""),IF(AND($G98&lt;Hta_6,$G98&gt;=Hba_6,Input!AK$26&lt;&gt;""),Input!$B$26&amp;";",""),IF(AND($G98&lt;Hta_7,$G98&gt;=Hba_7,Input!AK$27&lt;&gt;""),Input!$B$27&amp;";",""),IF(AND($G98&lt;Hta_8,$G98&gt;=Hba_8,Input!AK$28&lt;&gt;""),Input!$B$28&amp;";",""),IF(AND($G98&lt;Hta_9,$G98&gt;=Hba_9,Input!AK$29&lt;&gt;""),Input!$B$29&amp;";",""),IF(AND($G98&lt;Hta_10,$G98&gt;=Hba_10,Input!AK$30&lt;&gt;""),Input!$B$30&amp;";",""),IF(AND($G98&lt;Hta_11,$G98&gt;=Hba_11,Input!AK$31&lt;&gt;""),Input!$B$31&amp;";",""),IF(AND($G98&lt;Hta_12,$G98&gt;=Hba_12,Input!AK$32&lt;&gt;""),Input!$B$32&amp;";",""),IF(AND($G98&lt;Hta_13,$G98&gt;=Hba_13,Input!AK$33&lt;&gt;""),Input!$B$33&amp;";",""),IF(AND($G98&lt;Hta_14,$G98&gt;=Hba_14,Input!AK$34&lt;&gt;""),Input!$B$34&amp;";",""),IF(AND($G98&lt;Hta_15,$G98&gt;=Hba_15,Input!AK$35&lt;&gt;""),Input!$B$35&amp;";",""),IF(AND($G98&lt;Hta_16,$G98&gt;=Hba_16,Input!AK$36&lt;&gt;""),Input!$B$36&amp;";",""),IF(AND($G98&lt;Hta_17,$G98&gt;=Hba_17,Input!AK$37&lt;&gt;""),Input!$B$37&amp;";",""),IF(AND($G98&lt;Hta_18,$G98&gt;=Hba_18,Input!AK$38&lt;&gt;""),Input!$B$38&amp;";",""),IF(AND($G98&lt;Hta_19,$G98&gt;=Hba_19,Input!AK$39&lt;&gt;""),Input!$B$39&amp;";",""),IF(AND($G98&lt;Hta_20,$G98&gt;=Hba_20,Input!AK$40&lt;&gt;""),Input!$B$40&amp;";",""),IF(AND($G98&lt;Hta_21,$G98&gt;=Hba_21,Input!AK$41&lt;&gt;""),Input!$B$41&amp;";",""),IF(AND($G98&lt;Hta_22,$G98&gt;=Hba_22,Input!AK$42&lt;&gt;""),Input!$B$42&amp;";",""),IF(AND($G98&lt;Hta_23,$G98&gt;=Hba_23,Input!AK$43&lt;&gt;""),Input!$B$43&amp;";",""),IF(AND($G98&lt;Hta_24,$G98&gt;=Hba_24,Input!AK$44&lt;&gt;""),Input!$B$44&amp;";",""),IF(AND($G98&lt;Hta_25,$G98&gt;=Hba_25,Input!AK$45&lt;&gt;""),Input!$B$45&amp;";",""),IF(AND($G98&lt;Hta_26,$G98&gt;=Hba_26,Input!AK$46&lt;&gt;""),Input!$B$46&amp;";",""),IF(AND($G98&lt;Hta_27,$G98&gt;=Hba_27,Input!AK$47&lt;&gt;""),Input!$B$47&amp;";",""),IF(AND($G98&lt;Hta_28,$G98&gt;=Hba_28,Input!AK$48&lt;&gt;""),Input!$B$48&amp;";",""),IF(AND($G98&lt;Hta_29,$G98&gt;=Hba_29,Input!AK$49&lt;&gt;""),Input!$B$49&amp;";",""),IF(AND($G98&lt;Hta_30,$G98&gt;=Hba_30,Input!AK$50&lt;&gt;""),Input!$B$50&amp;";","")),"")</f>
        <v/>
      </c>
      <c r="CM98" s="25" t="str">
        <f>IFERROR(CONCATENATE(IF(AND($G98&lt;Hta_1,$G98&gt;=Hba_1,Input!AL$21&lt;&gt;""),Input!$B$21&amp;";",""),IF(AND($G98&lt;Hta_2,$G98&gt;=Hba_2,Input!AL$22&lt;&gt;""),Input!$B$22&amp;";",""),IF(AND($G98&lt;Hta_3,$G98&gt;=Hba_3,Input!AL$23&lt;&gt;""),Input!$B$23&amp;";",""),IF(AND($G98&lt;Hta_4,$G98&gt;=Hba_4,Input!AL$24&lt;&gt;""),Input!$B$24&amp;";",""),IF(AND($G98&lt;Hta_5,$G98&gt;=Hba_5,Input!AL$25&lt;&gt;""),Input!$B$25&amp;";",""),IF(AND($G98&lt;Hta_6,$G98&gt;=Hba_6,Input!AL$26&lt;&gt;""),Input!$B$26&amp;";",""),IF(AND($G98&lt;Hta_7,$G98&gt;=Hba_7,Input!AL$27&lt;&gt;""),Input!$B$27&amp;";",""),IF(AND($G98&lt;Hta_8,$G98&gt;=Hba_8,Input!AL$28&lt;&gt;""),Input!$B$28&amp;";",""),IF(AND($G98&lt;Hta_9,$G98&gt;=Hba_9,Input!AL$29&lt;&gt;""),Input!$B$29&amp;";",""),IF(AND($G98&lt;Hta_10,$G98&gt;=Hba_10,Input!AL$30&lt;&gt;""),Input!$B$30&amp;";",""),IF(AND($G98&lt;Hta_11,$G98&gt;=Hba_11,Input!AL$31&lt;&gt;""),Input!$B$31&amp;";",""),IF(AND($G98&lt;Hta_12,$G98&gt;=Hba_12,Input!AL$32&lt;&gt;""),Input!$B$32&amp;";",""),IF(AND($G98&lt;Hta_13,$G98&gt;=Hba_13,Input!AL$33&lt;&gt;""),Input!$B$33&amp;";",""),IF(AND($G98&lt;Hta_14,$G98&gt;=Hba_14,Input!AL$34&lt;&gt;""),Input!$B$34&amp;";",""),IF(AND($G98&lt;Hta_15,$G98&gt;=Hba_15,Input!AL$35&lt;&gt;""),Input!$B$35&amp;";",""),IF(AND($G98&lt;Hta_16,$G98&gt;=Hba_16,Input!AL$36&lt;&gt;""),Input!$B$36&amp;";",""),IF(AND($G98&lt;Hta_17,$G98&gt;=Hba_17,Input!AL$37&lt;&gt;""),Input!$B$37&amp;";",""),IF(AND($G98&lt;Hta_18,$G98&gt;=Hba_18,Input!AL$38&lt;&gt;""),Input!$B$38&amp;";",""),IF(AND($G98&lt;Hta_19,$G98&gt;=Hba_19,Input!AL$39&lt;&gt;""),Input!$B$39&amp;";",""),IF(AND($G98&lt;Hta_20,$G98&gt;=Hba_20,Input!AL$40&lt;&gt;""),Input!$B$40&amp;";",""),IF(AND($G98&lt;Hta_21,$G98&gt;=Hba_21,Input!AL$41&lt;&gt;""),Input!$B$41&amp;";",""),IF(AND($G98&lt;Hta_22,$G98&gt;=Hba_22,Input!AL$42&lt;&gt;""),Input!$B$42&amp;";",""),IF(AND($G98&lt;Hta_23,$G98&gt;=Hba_23,Input!AL$43&lt;&gt;""),Input!$B$43&amp;";",""),IF(AND($G98&lt;Hta_24,$G98&gt;=Hba_24,Input!AL$44&lt;&gt;""),Input!$B$44&amp;";",""),IF(AND($G98&lt;Hta_25,$G98&gt;=Hba_25,Input!AL$45&lt;&gt;""),Input!$B$45&amp;";",""),IF(AND($G98&lt;Hta_26,$G98&gt;=Hba_26,Input!AL$46&lt;&gt;""),Input!$B$46&amp;";",""),IF(AND($G98&lt;Hta_27,$G98&gt;=Hba_27,Input!AL$47&lt;&gt;""),Input!$B$47&amp;";",""),IF(AND($G98&lt;Hta_28,$G98&gt;=Hba_28,Input!AL$48&lt;&gt;""),Input!$B$48&amp;";",""),IF(AND($G98&lt;Hta_29,$G98&gt;=Hba_29,Input!AL$49&lt;&gt;""),Input!$B$49&amp;";",""),IF(AND($G98&lt;Hta_30,$G98&gt;=Hba_30,Input!AL$50&lt;&gt;""),Input!$B$50&amp;";","")),"")</f>
        <v/>
      </c>
      <c r="CN98" s="59" t="str">
        <f t="shared" si="16"/>
        <v/>
      </c>
      <c r="CO98" s="791"/>
      <c r="CP98" s="792"/>
      <c r="CQ98" s="793"/>
      <c r="CR98" s="791"/>
      <c r="CS98" s="792"/>
      <c r="CT98" s="793"/>
      <c r="CU98" s="791" t="str">
        <f t="shared" si="17"/>
        <v/>
      </c>
      <c r="CV98" s="792"/>
      <c r="CW98" s="807"/>
      <c r="CX98" s="808"/>
      <c r="CY98" s="730"/>
      <c r="CZ98" s="809"/>
      <c r="DA98" s="733"/>
      <c r="DB98" s="734"/>
      <c r="DC98" s="735"/>
      <c r="DD98" s="729" t="str">
        <f t="shared" si="18"/>
        <v/>
      </c>
      <c r="DE98" s="730"/>
      <c r="DF98" s="731"/>
      <c r="DG98" s="55"/>
      <c r="DH98" s="56"/>
      <c r="DI98" s="56"/>
      <c r="DJ98" s="56"/>
      <c r="DK98" s="56"/>
      <c r="DL98" s="56"/>
      <c r="DM98" s="56"/>
      <c r="DN98" s="56"/>
      <c r="DO98" s="56"/>
      <c r="DP98" s="56"/>
      <c r="DQ98" s="58"/>
      <c r="DR98" s="58"/>
      <c r="DS98" s="58"/>
      <c r="DT98" s="58"/>
      <c r="DU98" s="58"/>
      <c r="DV98" s="58"/>
      <c r="DW98" s="58"/>
      <c r="DX98" s="58"/>
      <c r="DY98" s="58"/>
      <c r="DZ98" s="58"/>
      <c r="EA98" s="58"/>
      <c r="EB98" s="58"/>
      <c r="EC98" s="58"/>
      <c r="ED98" s="58"/>
      <c r="EE98" s="58"/>
      <c r="EF98" s="58"/>
      <c r="EG98" s="58"/>
      <c r="EH98" s="58"/>
      <c r="EI98" s="58"/>
      <c r="EJ98" s="58"/>
      <c r="EK98" s="58"/>
      <c r="EL98" s="134"/>
      <c r="EM98" s="134"/>
      <c r="EN98" s="134"/>
      <c r="EO98" s="134"/>
      <c r="EP98" s="134"/>
      <c r="EQ98" s="134"/>
      <c r="ER98" s="134"/>
      <c r="ES98" s="134"/>
      <c r="ET98" s="134"/>
      <c r="EU98" s="134"/>
      <c r="EV98" s="134"/>
      <c r="EW98" s="134"/>
      <c r="EX98" s="134"/>
      <c r="EY98" s="134"/>
      <c r="EZ98" s="134"/>
      <c r="FA98" s="134"/>
      <c r="FB98" s="134"/>
      <c r="FC98" s="134"/>
      <c r="FD98" s="134"/>
      <c r="FE98" s="134"/>
      <c r="FF98" s="134"/>
      <c r="FG98" s="134"/>
      <c r="FH98" s="134"/>
      <c r="FI98" s="134"/>
      <c r="FJ98" s="134"/>
      <c r="FK98" s="134"/>
      <c r="FL98" s="134"/>
      <c r="FM98" s="134"/>
      <c r="FN98" s="134"/>
      <c r="FO98" s="134"/>
      <c r="FQ98" s="124"/>
      <c r="FR98" s="122"/>
      <c r="FS98" s="120"/>
      <c r="FT98" s="119"/>
    </row>
    <row r="99" spans="2:176" ht="15.75" hidden="1" thickBot="1" x14ac:dyDescent="0.3">
      <c r="B99" s="62" t="b">
        <f>IF(OR(AND(G99&gt;='Geometry 2'!$AK$5,G99&lt;'Geometry 2'!$AL$5),AND(G99&gt;='Geometry 2'!$AK$6,G99&lt;'Geometry 2'!$AL$6),AND(G99&gt;='Geometry 2'!$AK$7,G99&lt;'Geometry 2'!$AL$7),AND(G99&gt;='Geometry 2'!$AK$8,G99&lt;'Geometry 2'!$AL$8),AND(G99&gt;='Geometry 2'!$AK$9,G99&lt;'Geometry 2'!$AL$9),AND(G99&gt;='Geometry 2'!$AK$10,G99&lt;'Geometry 2'!$AL$10),AND(G99&gt;='Geometry 2'!$AK$11,G99&lt;'Geometry 2'!$AL$11),AND(G99&gt;='Geometry 2'!$AK$12,G99&lt;'Geometry 2'!$AL$12),AND(G99&gt;='Geometry 2'!$AK$13,G99&lt;'Geometry 2'!$AL$13),AND(G99&gt;='Geometry 2'!$AK$14,G99&lt;'Geometry 2'!$AL$14)),TRUE,FALSE)</f>
        <v>0</v>
      </c>
      <c r="C99" s="4" t="str">
        <f t="shared" si="13"/>
        <v/>
      </c>
      <c r="D99" s="766" t="str">
        <f t="shared" si="14"/>
        <v/>
      </c>
      <c r="E99" s="767"/>
      <c r="F99" s="17" t="str">
        <f t="shared" si="12"/>
        <v/>
      </c>
      <c r="G99" s="768" t="str">
        <f>IF(D99="","",MAX(0,G98-IF(inc="n/a",999,inc),MAX(IF(G98&lt;=Hta_1,0,Hta_1),IF(G98&lt;=Hta_2,0,Hta_2),IF(G98&lt;=Hta_3,0,Hta_3),IF(G98&lt;=Hta_4,0,Hta_4),IF(G98&lt;=Hta_5,0,Hta_5),IF(G98&lt;=Hta_6,0,Hta_6),IF(G98&lt;=Hta_7,0,Hta_7),IF(G98&lt;=Hta_8,0,Hta_8),IF(G98&lt;=Hta_9,0,Hta_9),IF(G98&lt;=Hta_10,0,Hta_10),IF(G98&lt;=Hta_11,0,Hta_11),IF(G98&lt;=Hta_12,0,Hta_12),IF(G98&lt;=Hta_13,0,Hta_13),IF(G98&lt;=Hta_14,0,Hta_14),IF(G98&lt;=Hta_15,0,Hta_15),IF(G98&lt;=Hta_16,0,Hta_16),IF(G98&lt;=Hta_17,0,Hta_17),IF(G98&lt;=Hta_18,0,Hta_18),IF(G98&lt;=Hta_19,0,Hta_19),IF(G98&lt;=Hta_20,0,Hta_20),IF(G98&lt;=Hta_21,0,Hta_21),IF(G98&lt;=Hta_22,0,Hta_22),IF(G98&lt;=Hta_23,0,Hta_23),IF(G98&lt;=Hta_24,0,Hta_24),IF(G98&lt;=Hta_25,0,Hta_25),IF(G98&lt;=Hta_26,0,Hta_26),IF(G98&lt;=Hta_27,0,Hta_27),IF(G98&lt;=Hta_28,0,Hta_28),IF(G98&lt;=Hta_29,0,Hta_29),IF(G98&lt;=Hta_30,0,Hta_30)),MAX(IF(G98&lt;=Hta_1-0.25,0,Hta_1-0.25),IF(G98&lt;=Hta_2-0.25,0,Hta_2-0.25),IF(G98&lt;=Hta_3-0.25,0,Hta_3-0.25),IF(G98&lt;=Hta_4-0.25,0,Hta_4-0.25),IF(G98&lt;=Hta_5-0.25,0,Hta_5-0.25),IF(G98&lt;=Hta_6-0.25,0,Hta_6-0.25),IF(G98&lt;=Hta_7-0.25,0,Hta_7-0.25),IF(G98&lt;=Hta_8-0.25,0,Hta_8-0.25),IF(G98&lt;=Hta_9-0.25,0,Hta_9-0.25),IF(G98&lt;=Hta_10-0.25,0,Hta_10-0.25),IF(G98&lt;=Hta_11-0.25,0,Hta_11-0.25),IF(G98&lt;=Hta_12-0.25,0,Hta_12-0.25),IF(G98&lt;=Hta_13-0.25,0,Hta_13-0.25),IF(G98&lt;=Hta_14-0.25,0,Hta_14-0.25),IF(G98&lt;=Hta_15-0.25,0,Hta_15-0.25),IF(G98&lt;=Hta_16-0.25,0,Hta_16-0.25),IF(G98&lt;=Hta_17-0.25,0,Hta_17-0.25),IF(G98&lt;=Hta_18-0.25,0,Hta_18-0.25),IF(G98&lt;=Hta_19-0.25,0,Hta_19-0.25),IF(G98&lt;=Hta_20-0.25,0,Hta_20-0.25),IF(G98&lt;=Hta_21-0.25,0,Hta_21-0.25),IF(G98&lt;=Hta_22-0.25,0,Hta_22-0.25),IF(G98&lt;=Hta_23-0.25,0,Hta_23-0.25),IF(G98&lt;=Hta_24-0.25,0,Hta_24-0.25),IF(G98&lt;=Hta_25-0.25,0,Hta_25-0.25),IF(G98&lt;=Hta_26-0.25,0,Hta_26-0.25),IF(G98&lt;=Hta_27-0.25,0,Hta_27-0.25),IF(G98&lt;=Hta_28-0.25,0,Hta_28-0.25),IF(G98&lt;=Hta_29-0.25,0,Hta_29-0.25),IF(G98&lt;=Hta_30-0.25,0,Hta_30-0.25)),MAX(IF(G98&lt;=Hba_1,0,Hba_1),IF(G98&lt;=Hba_2,0,Hba_2),IF(G98&lt;=Hba_3,0,Hba_3),IF(G98&lt;=Hba_4,0,Hba_4),IF(G98&lt;=Hba_5,0,Hba_5),IF(G98&lt;=Hba_6,0,Hba_6),IF(G98&lt;=Hba_7,0,Hba_7),IF(G98&lt;=Hba_8,0,Hba_8),IF(G98&lt;=Hba_9,0,Hba_9),IF(G98&lt;=Hba_10,0,Hba_10),IF(G98&lt;=Hba_11,0,Hba_11),IF(G98&lt;=Hba_12,0,Hba_12),IF(G98&lt;=Hba_13,0,Hba_13),IF(G98&lt;=Hba_14,0,Hba_14),IF(G98&lt;=Hba_15,0,Hba_15),IF(G98&lt;=Hba_16,0,Hba_16),IF(G98&lt;=Hba_17,0,Hba_17),IF(G98&lt;=Hba_18,0,Hba_18),IF(G98&lt;=Hba_19,0,Hba_19),IF(G98&lt;=Hba_20,0,Hba_20),IF(G98&lt;=Hba_21,0,Hba_21),IF(G98&lt;=Hba_22,0,Hba_22),IF(G98&lt;=Hba_23,0,Hba_23),IF(G98&lt;=Hba_24,0,Hba_24),IF(G98&lt;=Hba_25,0,Hba_25),IF(G98&lt;=Hba_26,0,Hba_26),IF(G98&lt;=Hba_27,0,Hba_27),IF(G98&lt;=Hba_28,0,Hba_28),IF(G98&lt;=Hba_29,0,Hba_29),IF(G98&lt;=Hba_30,0,Hba_30)),MAX(IF(G98&lt;=Input!$C$8,0,Input!$C$8),IF(G98&lt;=Input!$C$9,0,Input!$C$9),IF(G98&lt;=Input!$C$10,0,Input!$C$10),IF(G98&lt;=Input!$C$11,0,Input!$C$11),IF(G98&lt;=Input!$C$12,0,Input!$C$12),IF(G98&lt;=Input!$C$13,0,Input!$C$13),IF(G98&lt;=Input!$C$14,0,Input!$C$14),IF(G98&lt;=Input!$C$15,0,Input!$C$15),IF(G98&lt;=Input!$C$16,0,Input!$C$16)),MAX(IF(G98&lt;=Hba_1-0.25,0,Hba_1-0.25),IF(G98&lt;=Hba_2-0.25,0,Hba_2-0.25),IF(G98&lt;=Hba_3-0.25,0,Hba_3-0.25),IF(G98&lt;=Hba_4-0.25,0,Hba_4-0.25),IF(G98&lt;=Hba_5-0.25,0,Hba_5-0.25),IF(G98&lt;=Hba_6-0.25,0,Hba_6-0.25),IF(G98&lt;=Hba_7-0.25,0,Hba_7-0.25),IF(G98&lt;=Hba_8-0.25,0,Hba_8-0.25),IF(G98&lt;=Hba_9-0.25,0,Hba_9-0.25),IF(G98&lt;=Hba_10-0.25,0,Hba_10-0.25),IF(G98&lt;=Hba_11-0.25,0,Hba_11-0.25),IF(G98&lt;=Hba_12-0.25,0,Hba_12-0.25),IF(G98&lt;=Hba_13-0.25,0,Hba_13-0.25),IF(G98&lt;=Hba_14-0.25,0,Hba_14-0.25),IF(G98&lt;=Hba_15-0.25,0,Hba_15-0.25),IF(G98&lt;=Hba_16-0.25,0,Hba_16-0.25),IF(G98&lt;=Hba_17-0.25,0,Hba_17-0.25),IF(G98&lt;=Hba_18-0.25,0,Hba_18-0.25),IF(G98&lt;=Hba_19-0.25,0,Hba_19-0.25),IF(G98&lt;=Hba_20-0.25,0,Hba_20-0.25),IF(G98&lt;=Hba_21-0.25,0,Hba_21-0.25),IF(G98&lt;=Hba_22-0.25,0,Hba_22-0.25),IF(G98&lt;=Hba_23-0.25,0,Hba_23-0.25),IF(G98&lt;=Hba_24-0.25,0,Hba_24-0.25),IF(G98&lt;=Hba_25-0.25,0,Hba_25-0.25),IF(G98&lt;=Hba_26-0.25,0,Hba_26-0.25),IF(G98&lt;=Hba_27-0.25,0,Hba_27-0.25),IF(G98&lt;=Hba_28-0.25,0,Hba_28-0.25),IF(G98&lt;=Hba_29-0.25,0,Hba_29-0.25),IF(G98&lt;=Hba_30-0.25,0,Hba_30-0.25)),IF(G98&lt;='Macro References'!$A$38,0,'Macro References'!$A$38)))</f>
        <v/>
      </c>
      <c r="H99" s="769"/>
      <c r="I99" s="228"/>
      <c r="J99" s="228"/>
      <c r="K99" s="228"/>
      <c r="L99" s="717" t="str">
        <f t="shared" si="11"/>
        <v/>
      </c>
      <c r="M99" s="717"/>
      <c r="N99" s="717"/>
      <c r="O99" s="717"/>
      <c r="P99" s="717" t="str">
        <f>IF(OR(G99=0,G99=""),"",IF(VLOOKUP(G99,'Geometry 2'!$C$4:$AI$14,1,TRUE)=VLOOKUP(G100,'Geometry 2'!$C$4:$AI$14,1,TRUE),"",IF(VLOOKUP(G99,'Geometry 2'!$C$4:$AI$14,33,TRUE)&lt;&gt;"n/a",MIN(G99,VLOOKUP(G99,'Geometry 2'!$C$4:$AI$14,1,TRUE))-VLOOKUP(G99,'Geometry 2'!$C$4:$AI$14,33,TRUE),"check")))</f>
        <v/>
      </c>
      <c r="Q99" s="717"/>
      <c r="R99" s="717"/>
      <c r="S99" s="717"/>
      <c r="T99" s="717" t="str">
        <f>IF($G99="","",VLOOKUP($G99,'Geometry 2'!$E$4:$AH$14,11,TRUE))</f>
        <v/>
      </c>
      <c r="U99" s="717"/>
      <c r="V99" s="717"/>
      <c r="W99" s="717"/>
      <c r="X99" s="716" t="str">
        <f>IF($G99="","",VLOOKUP($G99,'Geometry 2'!$E$4:$AJ$14,19,TRUE)-12*VLOOKUP($G99,'Geometry 2'!$E$4:$AJ$14,32,TRUE)*($D99-VLOOKUP($G99,'Geometry 2'!$E$5:$AH$14,1,TRUE)))</f>
        <v/>
      </c>
      <c r="Y99" s="716"/>
      <c r="Z99" s="716"/>
      <c r="AA99" s="716"/>
      <c r="AB99" s="757" t="str">
        <f>IF($G99="","",VLOOKUP($G99,'Geometry 2'!$E$4:$AJ$14,19,TRUE)-12*VLOOKUP($G99,'Geometry 2'!$E$4:$AJ$14,32,TRUE)*($G99-VLOOKUP($G99,'Geometry 2'!$E$5:$AH$14,1,TRUE)))</f>
        <v/>
      </c>
      <c r="AC99" s="758"/>
      <c r="AD99" s="758"/>
      <c r="AE99" s="759"/>
      <c r="AF99" s="716" t="str">
        <f>IF($G99="","",VLOOKUP($G99,'Geometry 2'!$E$4:$AJ$14,19,TRUE)-12*VLOOKUP($G99,'Geometry 2'!$E$4:$AJ$14,32,TRUE)*($G99-IF($P99="",0,$P99)-VLOOKUP($G99,'Geometry 2'!$E$5:$AH$14,1,TRUE)))</f>
        <v/>
      </c>
      <c r="AG99" s="716"/>
      <c r="AH99" s="716"/>
      <c r="AI99" s="716"/>
      <c r="AJ99" s="746" t="str">
        <f>IF($G99="","",VLOOKUP($G99,'Geometry 2'!$E$4:$AH$14,23,TRUE))</f>
        <v/>
      </c>
      <c r="AK99" s="747"/>
      <c r="AL99" s="747"/>
      <c r="AM99" s="748"/>
      <c r="AN99" s="717"/>
      <c r="AO99" s="717"/>
      <c r="AP99" s="717"/>
      <c r="AQ99" s="717"/>
      <c r="AR99" s="717" t="str">
        <f>IF($G99="","",VLOOKUP($G99,'Geometry 2'!$E$4:$AH$14,27,TRUE))</f>
        <v/>
      </c>
      <c r="AS99" s="717"/>
      <c r="AT99" s="717"/>
      <c r="AU99" s="718"/>
      <c r="AV99" s="715"/>
      <c r="AW99" s="716"/>
      <c r="AX99" s="716"/>
      <c r="AZ99" s="722" t="str">
        <f t="shared" si="15"/>
        <v/>
      </c>
      <c r="BA99" s="723"/>
      <c r="BB99" s="723"/>
      <c r="BC99" s="724"/>
      <c r="BD99" s="722"/>
      <c r="BE99" s="723"/>
      <c r="BF99" s="723"/>
      <c r="BG99" s="722" t="str">
        <f t="shared" si="19"/>
        <v/>
      </c>
      <c r="BH99" s="723"/>
      <c r="BI99" s="723"/>
      <c r="BJ99" s="723"/>
      <c r="BK99" s="724"/>
      <c r="BL99" s="722"/>
      <c r="BM99" s="723"/>
      <c r="BN99" s="723"/>
      <c r="BO99" s="723"/>
      <c r="BP99" s="725"/>
      <c r="BQ99" s="725"/>
      <c r="BR99" s="722" t="str">
        <f>IF(BP99="","",IF(OR(AND(Rev="H",Calculations!$F$27=TRUE),AND(Rev&lt;&gt;"H",Calculations!$F$30=TRUE)),IF(BP99&lt;=1,"Pass","Fail"),IF(BP99&lt;=1.05,"Pass","Fail")))</f>
        <v/>
      </c>
      <c r="BS99" s="723"/>
      <c r="BT99" s="724"/>
      <c r="BU99" s="49"/>
      <c r="BV99" s="25" t="str">
        <f>IFERROR(CONCATENATE(IF(AND($G99&lt;Hta_1,$G99&gt;=Hba_1,Input!U$21&lt;&gt;""),Input!$B$21&amp;";",""),IF(AND($G99&lt;Hta_2,$G99&gt;=Hba_2,Input!U$22&lt;&gt;""),Input!$B$22&amp;";",""),IF(AND($G99&lt;Hta_3,$G99&gt;=Hba_3,Input!U$23&lt;&gt;""),Input!$B$23&amp;";",""),IF(AND($G99&lt;Hta_4,$G99&gt;=Hba_4,Input!U$24&lt;&gt;""),Input!$B$24&amp;";",""),IF(AND($G99&lt;Hta_5,$G99&gt;=Hba_5,Input!U$25&lt;&gt;""),Input!$B$25&amp;";",""),IF(AND($G99&lt;Hta_6,$G99&gt;=Hba_6,Input!U$26&lt;&gt;""),Input!$B$26&amp;";",""),IF(AND($G99&lt;Hta_7,$G99&gt;=Hba_7,Input!U$27&lt;&gt;""),Input!$B$27&amp;";",""),IF(AND($G99&lt;Hta_8,$G99&gt;=Hba_8,Input!U$28&lt;&gt;""),Input!$B$28&amp;";",""),IF(AND($G99&lt;Hta_9,$G99&gt;=Hba_9,Input!U$29&lt;&gt;""),Input!$B$29&amp;";",""),IF(AND($G99&lt;Hta_10,$G99&gt;=Hba_10,Input!U$30&lt;&gt;""),Input!$B$30&amp;";",""),IF(AND($G99&lt;Hta_11,$G99&gt;=Hba_11,Input!U$31&lt;&gt;""),Input!$B$31&amp;";",""),IF(AND($G99&lt;Hta_12,$G99&gt;=Hba_12,Input!U$32&lt;&gt;""),Input!$B$32&amp;";",""),IF(AND($G99&lt;Hta_13,$G99&gt;=Hba_13,Input!U$33&lt;&gt;""),Input!$B$33&amp;";",""),IF(AND($G99&lt;Hta_14,$G99&gt;=Hba_14,Input!U$34&lt;&gt;""),Input!$B$34&amp;";",""),IF(AND($G99&lt;Hta_15,$G99&gt;=Hba_15,Input!U$35&lt;&gt;""),Input!$B$35&amp;";",""),IF(AND($G99&lt;Hta_16,$G99&gt;=Hba_16,Input!U$36&lt;&gt;""),Input!$B$36&amp;";",""),IF(AND($G99&lt;Hta_17,$G99&gt;=Hba_17,Input!U$37&lt;&gt;""),Input!$B$37&amp;";",""),IF(AND($G99&lt;Hta_18,$G99&gt;=Hba_18,Input!U$38&lt;&gt;""),Input!$B$38&amp;";",""),IF(AND($G99&lt;Hta_19,$G99&gt;=Hba_19,Input!U$39&lt;&gt;""),Input!$B$39&amp;";",""),IF(AND($G99&lt;Hta_20,$G99&gt;=Hba_20,Input!U$40&lt;&gt;""),Input!$B$40&amp;";",""),IF(AND($G99&lt;Hta_21,$G99&gt;=Hba_21,Input!U$41&lt;&gt;""),Input!$B$41&amp;";",""),IF(AND($G99&lt;Hta_22,$G99&gt;=Hba_22,Input!U$42&lt;&gt;""),Input!$B$42&amp;";",""),IF(AND($G99&lt;Hta_23,$G99&gt;=Hba_23,Input!U$43&lt;&gt;""),Input!$B$43&amp;";",""),IF(AND($G99&lt;Hta_24,$G99&gt;=Hba_24,Input!U$44&lt;&gt;""),Input!$B$44&amp;";",""),IF(AND($G99&lt;Hta_25,$G99&gt;=Hba_25,Input!U$45&lt;&gt;""),Input!$B$45&amp;";",""),IF(AND($G99&lt;Hta_26,$G99&gt;=Hba_26,Input!U$46&lt;&gt;""),Input!$B$46&amp;";",""),IF(AND($G99&lt;Hta_27,$G99&gt;=Hba_27,Input!U$47&lt;&gt;""),Input!$B$47&amp;";",""),IF(AND($G99&lt;Hta_28,$G99&gt;=Hba_28,Input!U$48&lt;&gt;""),Input!$B$48&amp;";",""),IF(AND($G99&lt;Hta_29,$G99&gt;=Hba_29,Input!U$49&lt;&gt;""),Input!$B$49&amp;";",""),IF(AND($G99&lt;Hta_30,$G99&gt;=Hba_30,Input!U$50&lt;&gt;""),Input!$B$50&amp;";","")),"")</f>
        <v/>
      </c>
      <c r="BW99" s="25" t="str">
        <f>IFERROR(CONCATENATE(IF(AND($G99&lt;Hta_1,$G99&gt;=Hba_1,Input!V$21&lt;&gt;""),Input!$B$21&amp;";",""),IF(AND($G99&lt;Hta_2,$G99&gt;=Hba_2,Input!V$22&lt;&gt;""),Input!$B$22&amp;";",""),IF(AND($G99&lt;Hta_3,$G99&gt;=Hba_3,Input!V$23&lt;&gt;""),Input!$B$23&amp;";",""),IF(AND($G99&lt;Hta_4,$G99&gt;=Hba_4,Input!V$24&lt;&gt;""),Input!$B$24&amp;";",""),IF(AND($G99&lt;Hta_5,$G99&gt;=Hba_5,Input!V$25&lt;&gt;""),Input!$B$25&amp;";",""),IF(AND($G99&lt;Hta_6,$G99&gt;=Hba_6,Input!V$26&lt;&gt;""),Input!$B$26&amp;";",""),IF(AND($G99&lt;Hta_7,$G99&gt;=Hba_7,Input!V$27&lt;&gt;""),Input!$B$27&amp;";",""),IF(AND($G99&lt;Hta_8,$G99&gt;=Hba_8,Input!V$28&lt;&gt;""),Input!$B$28&amp;";",""),IF(AND($G99&lt;Hta_9,$G99&gt;=Hba_9,Input!V$29&lt;&gt;""),Input!$B$29&amp;";",""),IF(AND($G99&lt;Hta_10,$G99&gt;=Hba_10,Input!V$30&lt;&gt;""),Input!$B$30&amp;";",""),IF(AND($G99&lt;Hta_11,$G99&gt;=Hba_11,Input!V$31&lt;&gt;""),Input!$B$31&amp;";",""),IF(AND($G99&lt;Hta_12,$G99&gt;=Hba_12,Input!V$32&lt;&gt;""),Input!$B$32&amp;";",""),IF(AND($G99&lt;Hta_13,$G99&gt;=Hba_13,Input!V$33&lt;&gt;""),Input!$B$33&amp;";",""),IF(AND($G99&lt;Hta_14,$G99&gt;=Hba_14,Input!V$34&lt;&gt;""),Input!$B$34&amp;";",""),IF(AND($G99&lt;Hta_15,$G99&gt;=Hba_15,Input!V$35&lt;&gt;""),Input!$B$35&amp;";",""),IF(AND($G99&lt;Hta_16,$G99&gt;=Hba_16,Input!V$36&lt;&gt;""),Input!$B$36&amp;";",""),IF(AND($G99&lt;Hta_17,$G99&gt;=Hba_17,Input!V$37&lt;&gt;""),Input!$B$37&amp;";",""),IF(AND($G99&lt;Hta_18,$G99&gt;=Hba_18,Input!V$38&lt;&gt;""),Input!$B$38&amp;";",""),IF(AND($G99&lt;Hta_19,$G99&gt;=Hba_19,Input!V$39&lt;&gt;""),Input!$B$39&amp;";",""),IF(AND($G99&lt;Hta_20,$G99&gt;=Hba_20,Input!V$40&lt;&gt;""),Input!$B$40&amp;";",""),IF(AND($G99&lt;Hta_21,$G99&gt;=Hba_21,Input!V$41&lt;&gt;""),Input!$B$41&amp;";",""),IF(AND($G99&lt;Hta_22,$G99&gt;=Hba_22,Input!V$42&lt;&gt;""),Input!$B$42&amp;";",""),IF(AND($G99&lt;Hta_23,$G99&gt;=Hba_23,Input!V$43&lt;&gt;""),Input!$B$43&amp;";",""),IF(AND($G99&lt;Hta_24,$G99&gt;=Hba_24,Input!V$44&lt;&gt;""),Input!$B$44&amp;";",""),IF(AND($G99&lt;Hta_25,$G99&gt;=Hba_25,Input!V$45&lt;&gt;""),Input!$B$45&amp;";",""),IF(AND($G99&lt;Hta_26,$G99&gt;=Hba_26,Input!V$46&lt;&gt;""),Input!$B$46&amp;";",""),IF(AND($G99&lt;Hta_27,$G99&gt;=Hba_27,Input!V$47&lt;&gt;""),Input!$B$47&amp;";",""),IF(AND($G99&lt;Hta_28,$G99&gt;=Hba_28,Input!V$48&lt;&gt;""),Input!$B$48&amp;";",""),IF(AND($G99&lt;Hta_29,$G99&gt;=Hba_29,Input!V$49&lt;&gt;""),Input!$B$49&amp;";",""),IF(AND($G99&lt;Hta_30,$G99&gt;=Hba_30,Input!V$50&lt;&gt;""),Input!$B$50&amp;";","")),"")</f>
        <v/>
      </c>
      <c r="BX99" s="25" t="str">
        <f>IFERROR(CONCATENATE(IF(AND($G99&lt;Hta_1,$G99&gt;=Hba_1,Input!W$21&lt;&gt;""),Input!$B$21&amp;";",""),IF(AND($G99&lt;Hta_2,$G99&gt;=Hba_2,Input!W$22&lt;&gt;""),Input!$B$22&amp;";",""),IF(AND($G99&lt;Hta_3,$G99&gt;=Hba_3,Input!W$23&lt;&gt;""),Input!$B$23&amp;";",""),IF(AND($G99&lt;Hta_4,$G99&gt;=Hba_4,Input!W$24&lt;&gt;""),Input!$B$24&amp;";",""),IF(AND($G99&lt;Hta_5,$G99&gt;=Hba_5,Input!W$25&lt;&gt;""),Input!$B$25&amp;";",""),IF(AND($G99&lt;Hta_6,$G99&gt;=Hba_6,Input!W$26&lt;&gt;""),Input!$B$26&amp;";",""),IF(AND($G99&lt;Hta_7,$G99&gt;=Hba_7,Input!W$27&lt;&gt;""),Input!$B$27&amp;";",""),IF(AND($G99&lt;Hta_8,$G99&gt;=Hba_8,Input!W$28&lt;&gt;""),Input!$B$28&amp;";",""),IF(AND($G99&lt;Hta_9,$G99&gt;=Hba_9,Input!W$29&lt;&gt;""),Input!$B$29&amp;";",""),IF(AND($G99&lt;Hta_10,$G99&gt;=Hba_10,Input!W$30&lt;&gt;""),Input!$B$30&amp;";",""),IF(AND($G99&lt;Hta_11,$G99&gt;=Hba_11,Input!W$31&lt;&gt;""),Input!$B$31&amp;";",""),IF(AND($G99&lt;Hta_12,$G99&gt;=Hba_12,Input!W$32&lt;&gt;""),Input!$B$32&amp;";",""),IF(AND($G99&lt;Hta_13,$G99&gt;=Hba_13,Input!W$33&lt;&gt;""),Input!$B$33&amp;";",""),IF(AND($G99&lt;Hta_14,$G99&gt;=Hba_14,Input!W$34&lt;&gt;""),Input!$B$34&amp;";",""),IF(AND($G99&lt;Hta_15,$G99&gt;=Hba_15,Input!W$35&lt;&gt;""),Input!$B$35&amp;";",""),IF(AND($G99&lt;Hta_16,$G99&gt;=Hba_16,Input!W$36&lt;&gt;""),Input!$B$36&amp;";",""),IF(AND($G99&lt;Hta_17,$G99&gt;=Hba_17,Input!W$37&lt;&gt;""),Input!$B$37&amp;";",""),IF(AND($G99&lt;Hta_18,$G99&gt;=Hba_18,Input!W$38&lt;&gt;""),Input!$B$38&amp;";",""),IF(AND($G99&lt;Hta_19,$G99&gt;=Hba_19,Input!W$39&lt;&gt;""),Input!$B$39&amp;";",""),IF(AND($G99&lt;Hta_20,$G99&gt;=Hba_20,Input!W$40&lt;&gt;""),Input!$B$40&amp;";",""),IF(AND($G99&lt;Hta_21,$G99&gt;=Hba_21,Input!W$41&lt;&gt;""),Input!$B$41&amp;";",""),IF(AND($G99&lt;Hta_22,$G99&gt;=Hba_22,Input!W$42&lt;&gt;""),Input!$B$42&amp;";",""),IF(AND($G99&lt;Hta_23,$G99&gt;=Hba_23,Input!W$43&lt;&gt;""),Input!$B$43&amp;";",""),IF(AND($G99&lt;Hta_24,$G99&gt;=Hba_24,Input!W$44&lt;&gt;""),Input!$B$44&amp;";",""),IF(AND($G99&lt;Hta_25,$G99&gt;=Hba_25,Input!W$45&lt;&gt;""),Input!$B$45&amp;";",""),IF(AND($G99&lt;Hta_26,$G99&gt;=Hba_26,Input!W$46&lt;&gt;""),Input!$B$46&amp;";",""),IF(AND($G99&lt;Hta_27,$G99&gt;=Hba_27,Input!W$47&lt;&gt;""),Input!$B$47&amp;";",""),IF(AND($G99&lt;Hta_28,$G99&gt;=Hba_28,Input!W$48&lt;&gt;""),Input!$B$48&amp;";",""),IF(AND($G99&lt;Hta_29,$G99&gt;=Hba_29,Input!W$49&lt;&gt;""),Input!$B$49&amp;";",""),IF(AND($G99&lt;Hta_30,$G99&gt;=Hba_30,Input!W$50&lt;&gt;""),Input!$B$50&amp;";","")),"")</f>
        <v/>
      </c>
      <c r="BY99" s="25" t="str">
        <f>IFERROR(CONCATENATE(IF(AND($G99&lt;Hta_1,$G99&gt;=Hba_1,Input!X$21&lt;&gt;""),Input!$B$21&amp;";",""),IF(AND($G99&lt;Hta_2,$G99&gt;=Hba_2,Input!X$22&lt;&gt;""),Input!$B$22&amp;";",""),IF(AND($G99&lt;Hta_3,$G99&gt;=Hba_3,Input!X$23&lt;&gt;""),Input!$B$23&amp;";",""),IF(AND($G99&lt;Hta_4,$G99&gt;=Hba_4,Input!X$24&lt;&gt;""),Input!$B$24&amp;";",""),IF(AND($G99&lt;Hta_5,$G99&gt;=Hba_5,Input!X$25&lt;&gt;""),Input!$B$25&amp;";",""),IF(AND($G99&lt;Hta_6,$G99&gt;=Hba_6,Input!X$26&lt;&gt;""),Input!$B$26&amp;";",""),IF(AND($G99&lt;Hta_7,$G99&gt;=Hba_7,Input!X$27&lt;&gt;""),Input!$B$27&amp;";",""),IF(AND($G99&lt;Hta_8,$G99&gt;=Hba_8,Input!X$28&lt;&gt;""),Input!$B$28&amp;";",""),IF(AND($G99&lt;Hta_9,$G99&gt;=Hba_9,Input!X$29&lt;&gt;""),Input!$B$29&amp;";",""),IF(AND($G99&lt;Hta_10,$G99&gt;=Hba_10,Input!X$30&lt;&gt;""),Input!$B$30&amp;";",""),IF(AND($G99&lt;Hta_11,$G99&gt;=Hba_11,Input!X$31&lt;&gt;""),Input!$B$31&amp;";",""),IF(AND($G99&lt;Hta_12,$G99&gt;=Hba_12,Input!X$32&lt;&gt;""),Input!$B$32&amp;";",""),IF(AND($G99&lt;Hta_13,$G99&gt;=Hba_13,Input!X$33&lt;&gt;""),Input!$B$33&amp;";",""),IF(AND($G99&lt;Hta_14,$G99&gt;=Hba_14,Input!X$34&lt;&gt;""),Input!$B$34&amp;";",""),IF(AND($G99&lt;Hta_15,$G99&gt;=Hba_15,Input!X$35&lt;&gt;""),Input!$B$35&amp;";",""),IF(AND($G99&lt;Hta_16,$G99&gt;=Hba_16,Input!X$36&lt;&gt;""),Input!$B$36&amp;";",""),IF(AND($G99&lt;Hta_17,$G99&gt;=Hba_17,Input!X$37&lt;&gt;""),Input!$B$37&amp;";",""),IF(AND($G99&lt;Hta_18,$G99&gt;=Hba_18,Input!X$38&lt;&gt;""),Input!$B$38&amp;";",""),IF(AND($G99&lt;Hta_19,$G99&gt;=Hba_19,Input!X$39&lt;&gt;""),Input!$B$39&amp;";",""),IF(AND($G99&lt;Hta_20,$G99&gt;=Hba_20,Input!X$40&lt;&gt;""),Input!$B$40&amp;";",""),IF(AND($G99&lt;Hta_21,$G99&gt;=Hba_21,Input!X$41&lt;&gt;""),Input!$B$41&amp;";",""),IF(AND($G99&lt;Hta_22,$G99&gt;=Hba_22,Input!X$42&lt;&gt;""),Input!$B$42&amp;";",""),IF(AND($G99&lt;Hta_23,$G99&gt;=Hba_23,Input!X$43&lt;&gt;""),Input!$B$43&amp;";",""),IF(AND($G99&lt;Hta_24,$G99&gt;=Hba_24,Input!X$44&lt;&gt;""),Input!$B$44&amp;";",""),IF(AND($G99&lt;Hta_25,$G99&gt;=Hba_25,Input!X$45&lt;&gt;""),Input!$B$45&amp;";",""),IF(AND($G99&lt;Hta_26,$G99&gt;=Hba_26,Input!X$46&lt;&gt;""),Input!$B$46&amp;";",""),IF(AND($G99&lt;Hta_27,$G99&gt;=Hba_27,Input!X$47&lt;&gt;""),Input!$B$47&amp;";",""),IF(AND($G99&lt;Hta_28,$G99&gt;=Hba_28,Input!X$48&lt;&gt;""),Input!$B$48&amp;";",""),IF(AND($G99&lt;Hta_29,$G99&gt;=Hba_29,Input!X$49&lt;&gt;""),Input!$B$49&amp;";",""),IF(AND($G99&lt;Hta_30,$G99&gt;=Hba_30,Input!X$50&lt;&gt;""),Input!$B$50&amp;";","")),"")</f>
        <v/>
      </c>
      <c r="BZ99" s="25" t="str">
        <f>IFERROR(CONCATENATE(IF(AND($G99&lt;Hta_1,$G99&gt;=Hba_1,Input!Y$21&lt;&gt;""),Input!$B$21&amp;";",""),IF(AND($G99&lt;Hta_2,$G99&gt;=Hba_2,Input!Y$22&lt;&gt;""),Input!$B$22&amp;";",""),IF(AND($G99&lt;Hta_3,$G99&gt;=Hba_3,Input!Y$23&lt;&gt;""),Input!$B$23&amp;";",""),IF(AND($G99&lt;Hta_4,$G99&gt;=Hba_4,Input!Y$24&lt;&gt;""),Input!$B$24&amp;";",""),IF(AND($G99&lt;Hta_5,$G99&gt;=Hba_5,Input!Y$25&lt;&gt;""),Input!$B$25&amp;";",""),IF(AND($G99&lt;Hta_6,$G99&gt;=Hba_6,Input!Y$26&lt;&gt;""),Input!$B$26&amp;";",""),IF(AND($G99&lt;Hta_7,$G99&gt;=Hba_7,Input!Y$27&lt;&gt;""),Input!$B$27&amp;";",""),IF(AND($G99&lt;Hta_8,$G99&gt;=Hba_8,Input!Y$28&lt;&gt;""),Input!$B$28&amp;";",""),IF(AND($G99&lt;Hta_9,$G99&gt;=Hba_9,Input!Y$29&lt;&gt;""),Input!$B$29&amp;";",""),IF(AND($G99&lt;Hta_10,$G99&gt;=Hba_10,Input!Y$30&lt;&gt;""),Input!$B$30&amp;";",""),IF(AND($G99&lt;Hta_11,$G99&gt;=Hba_11,Input!Y$31&lt;&gt;""),Input!$B$31&amp;";",""),IF(AND($G99&lt;Hta_12,$G99&gt;=Hba_12,Input!Y$32&lt;&gt;""),Input!$B$32&amp;";",""),IF(AND($G99&lt;Hta_13,$G99&gt;=Hba_13,Input!Y$33&lt;&gt;""),Input!$B$33&amp;";",""),IF(AND($G99&lt;Hta_14,$G99&gt;=Hba_14,Input!Y$34&lt;&gt;""),Input!$B$34&amp;";",""),IF(AND($G99&lt;Hta_15,$G99&gt;=Hba_15,Input!Y$35&lt;&gt;""),Input!$B$35&amp;";",""),IF(AND($G99&lt;Hta_16,$G99&gt;=Hba_16,Input!Y$36&lt;&gt;""),Input!$B$36&amp;";",""),IF(AND($G99&lt;Hta_17,$G99&gt;=Hba_17,Input!Y$37&lt;&gt;""),Input!$B$37&amp;";",""),IF(AND($G99&lt;Hta_18,$G99&gt;=Hba_18,Input!Y$38&lt;&gt;""),Input!$B$38&amp;";",""),IF(AND($G99&lt;Hta_19,$G99&gt;=Hba_19,Input!Y$39&lt;&gt;""),Input!$B$39&amp;";",""),IF(AND($G99&lt;Hta_20,$G99&gt;=Hba_20,Input!Y$40&lt;&gt;""),Input!$B$40&amp;";",""),IF(AND($G99&lt;Hta_21,$G99&gt;=Hba_21,Input!Y$41&lt;&gt;""),Input!$B$41&amp;";",""),IF(AND($G99&lt;Hta_22,$G99&gt;=Hba_22,Input!Y$42&lt;&gt;""),Input!$B$42&amp;";",""),IF(AND($G99&lt;Hta_23,$G99&gt;=Hba_23,Input!Y$43&lt;&gt;""),Input!$B$43&amp;";",""),IF(AND($G99&lt;Hta_24,$G99&gt;=Hba_24,Input!Y$44&lt;&gt;""),Input!$B$44&amp;";",""),IF(AND($G99&lt;Hta_25,$G99&gt;=Hba_25,Input!Y$45&lt;&gt;""),Input!$B$45&amp;";",""),IF(AND($G99&lt;Hta_26,$G99&gt;=Hba_26,Input!Y$46&lt;&gt;""),Input!$B$46&amp;";",""),IF(AND($G99&lt;Hta_27,$G99&gt;=Hba_27,Input!Y$47&lt;&gt;""),Input!$B$47&amp;";",""),IF(AND($G99&lt;Hta_28,$G99&gt;=Hba_28,Input!Y$48&lt;&gt;""),Input!$B$48&amp;";",""),IF(AND($G99&lt;Hta_29,$G99&gt;=Hba_29,Input!Y$49&lt;&gt;""),Input!$B$49&amp;";",""),IF(AND($G99&lt;Hta_30,$G99&gt;=Hba_30,Input!Y$50&lt;&gt;""),Input!$B$50&amp;";","")),"")</f>
        <v/>
      </c>
      <c r="CA99" s="25" t="str">
        <f>IFERROR(CONCATENATE(IF(AND($G99&lt;Hta_1,$G99&gt;=Hba_1,Input!Z$21&lt;&gt;""),Input!$B$21&amp;";",""),IF(AND($G99&lt;Hta_2,$G99&gt;=Hba_2,Input!Z$22&lt;&gt;""),Input!$B$22&amp;";",""),IF(AND($G99&lt;Hta_3,$G99&gt;=Hba_3,Input!Z$23&lt;&gt;""),Input!$B$23&amp;";",""),IF(AND($G99&lt;Hta_4,$G99&gt;=Hba_4,Input!Z$24&lt;&gt;""),Input!$B$24&amp;";",""),IF(AND($G99&lt;Hta_5,$G99&gt;=Hba_5,Input!Z$25&lt;&gt;""),Input!$B$25&amp;";",""),IF(AND($G99&lt;Hta_6,$G99&gt;=Hba_6,Input!Z$26&lt;&gt;""),Input!$B$26&amp;";",""),IF(AND($G99&lt;Hta_7,$G99&gt;=Hba_7,Input!Z$27&lt;&gt;""),Input!$B$27&amp;";",""),IF(AND($G99&lt;Hta_8,$G99&gt;=Hba_8,Input!Z$28&lt;&gt;""),Input!$B$28&amp;";",""),IF(AND($G99&lt;Hta_9,$G99&gt;=Hba_9,Input!Z$29&lt;&gt;""),Input!$B$29&amp;";",""),IF(AND($G99&lt;Hta_10,$G99&gt;=Hba_10,Input!Z$30&lt;&gt;""),Input!$B$30&amp;";",""),IF(AND($G99&lt;Hta_11,$G99&gt;=Hba_11,Input!Z$31&lt;&gt;""),Input!$B$31&amp;";",""),IF(AND($G99&lt;Hta_12,$G99&gt;=Hba_12,Input!Z$32&lt;&gt;""),Input!$B$32&amp;";",""),IF(AND($G99&lt;Hta_13,$G99&gt;=Hba_13,Input!Z$33&lt;&gt;""),Input!$B$33&amp;";",""),IF(AND($G99&lt;Hta_14,$G99&gt;=Hba_14,Input!Z$34&lt;&gt;""),Input!$B$34&amp;";",""),IF(AND($G99&lt;Hta_15,$G99&gt;=Hba_15,Input!Z$35&lt;&gt;""),Input!$B$35&amp;";",""),IF(AND($G99&lt;Hta_16,$G99&gt;=Hba_16,Input!Z$36&lt;&gt;""),Input!$B$36&amp;";",""),IF(AND($G99&lt;Hta_17,$G99&gt;=Hba_17,Input!Z$37&lt;&gt;""),Input!$B$37&amp;";",""),IF(AND($G99&lt;Hta_18,$G99&gt;=Hba_18,Input!Z$38&lt;&gt;""),Input!$B$38&amp;";",""),IF(AND($G99&lt;Hta_19,$G99&gt;=Hba_19,Input!Z$39&lt;&gt;""),Input!$B$39&amp;";",""),IF(AND($G99&lt;Hta_20,$G99&gt;=Hba_20,Input!Z$40&lt;&gt;""),Input!$B$40&amp;";",""),IF(AND($G99&lt;Hta_21,$G99&gt;=Hba_21,Input!Z$41&lt;&gt;""),Input!$B$41&amp;";",""),IF(AND($G99&lt;Hta_22,$G99&gt;=Hba_22,Input!Z$42&lt;&gt;""),Input!$B$42&amp;";",""),IF(AND($G99&lt;Hta_23,$G99&gt;=Hba_23,Input!Z$43&lt;&gt;""),Input!$B$43&amp;";",""),IF(AND($G99&lt;Hta_24,$G99&gt;=Hba_24,Input!Z$44&lt;&gt;""),Input!$B$44&amp;";",""),IF(AND($G99&lt;Hta_25,$G99&gt;=Hba_25,Input!Z$45&lt;&gt;""),Input!$B$45&amp;";",""),IF(AND($G99&lt;Hta_26,$G99&gt;=Hba_26,Input!Z$46&lt;&gt;""),Input!$B$46&amp;";",""),IF(AND($G99&lt;Hta_27,$G99&gt;=Hba_27,Input!Z$47&lt;&gt;""),Input!$B$47&amp;";",""),IF(AND($G99&lt;Hta_28,$G99&gt;=Hba_28,Input!Z$48&lt;&gt;""),Input!$B$48&amp;";",""),IF(AND($G99&lt;Hta_29,$G99&gt;=Hba_29,Input!Z$49&lt;&gt;""),Input!$B$49&amp;";",""),IF(AND($G99&lt;Hta_30,$G99&gt;=Hba_30,Input!Z$50&lt;&gt;""),Input!$B$50&amp;";","")),"")</f>
        <v/>
      </c>
      <c r="CB99" s="25" t="str">
        <f>IFERROR(CONCATENATE(IF(AND($G99&lt;Hta_1,$G99&gt;=Hba_1,Input!AA$21&lt;&gt;""),Input!$B$21&amp;";",""),IF(AND($G99&lt;Hta_2,$G99&gt;=Hba_2,Input!AA$22&lt;&gt;""),Input!$B$22&amp;";",""),IF(AND($G99&lt;Hta_3,$G99&gt;=Hba_3,Input!AA$23&lt;&gt;""),Input!$B$23&amp;";",""),IF(AND($G99&lt;Hta_4,$G99&gt;=Hba_4,Input!AA$24&lt;&gt;""),Input!$B$24&amp;";",""),IF(AND($G99&lt;Hta_5,$G99&gt;=Hba_5,Input!AA$25&lt;&gt;""),Input!$B$25&amp;";",""),IF(AND($G99&lt;Hta_6,$G99&gt;=Hba_6,Input!AA$26&lt;&gt;""),Input!$B$26&amp;";",""),IF(AND($G99&lt;Hta_7,$G99&gt;=Hba_7,Input!AA$27&lt;&gt;""),Input!$B$27&amp;";",""),IF(AND($G99&lt;Hta_8,$G99&gt;=Hba_8,Input!AA$28&lt;&gt;""),Input!$B$28&amp;";",""),IF(AND($G99&lt;Hta_9,$G99&gt;=Hba_9,Input!AA$29&lt;&gt;""),Input!$B$29&amp;";",""),IF(AND($G99&lt;Hta_10,$G99&gt;=Hba_10,Input!AA$30&lt;&gt;""),Input!$B$30&amp;";",""),IF(AND($G99&lt;Hta_11,$G99&gt;=Hba_11,Input!AA$31&lt;&gt;""),Input!$B$31&amp;";",""),IF(AND($G99&lt;Hta_12,$G99&gt;=Hba_12,Input!AA$32&lt;&gt;""),Input!$B$32&amp;";",""),IF(AND($G99&lt;Hta_13,$G99&gt;=Hba_13,Input!AA$33&lt;&gt;""),Input!$B$33&amp;";",""),IF(AND($G99&lt;Hta_14,$G99&gt;=Hba_14,Input!AA$34&lt;&gt;""),Input!$B$34&amp;";",""),IF(AND($G99&lt;Hta_15,$G99&gt;=Hba_15,Input!AA$35&lt;&gt;""),Input!$B$35&amp;";",""),IF(AND($G99&lt;Hta_16,$G99&gt;=Hba_16,Input!AA$36&lt;&gt;""),Input!$B$36&amp;";",""),IF(AND($G99&lt;Hta_17,$G99&gt;=Hba_17,Input!AA$37&lt;&gt;""),Input!$B$37&amp;";",""),IF(AND($G99&lt;Hta_18,$G99&gt;=Hba_18,Input!AA$38&lt;&gt;""),Input!$B$38&amp;";",""),IF(AND($G99&lt;Hta_19,$G99&gt;=Hba_19,Input!AA$39&lt;&gt;""),Input!$B$39&amp;";",""),IF(AND($G99&lt;Hta_20,$G99&gt;=Hba_20,Input!AA$40&lt;&gt;""),Input!$B$40&amp;";",""),IF(AND($G99&lt;Hta_21,$G99&gt;=Hba_21,Input!AA$41&lt;&gt;""),Input!$B$41&amp;";",""),IF(AND($G99&lt;Hta_22,$G99&gt;=Hba_22,Input!AA$42&lt;&gt;""),Input!$B$42&amp;";",""),IF(AND($G99&lt;Hta_23,$G99&gt;=Hba_23,Input!AA$43&lt;&gt;""),Input!$B$43&amp;";",""),IF(AND($G99&lt;Hta_24,$G99&gt;=Hba_24,Input!AA$44&lt;&gt;""),Input!$B$44&amp;";",""),IF(AND($G99&lt;Hta_25,$G99&gt;=Hba_25,Input!AA$45&lt;&gt;""),Input!$B$45&amp;";",""),IF(AND($G99&lt;Hta_26,$G99&gt;=Hba_26,Input!AA$46&lt;&gt;""),Input!$B$46&amp;";",""),IF(AND($G99&lt;Hta_27,$G99&gt;=Hba_27,Input!AA$47&lt;&gt;""),Input!$B$47&amp;";",""),IF(AND($G99&lt;Hta_28,$G99&gt;=Hba_28,Input!AA$48&lt;&gt;""),Input!$B$48&amp;";",""),IF(AND($G99&lt;Hta_29,$G99&gt;=Hba_29,Input!AA$49&lt;&gt;""),Input!$B$49&amp;";",""),IF(AND($G99&lt;Hta_30,$G99&gt;=Hba_30,Input!AA$50&lt;&gt;""),Input!$B$50&amp;";","")),"")</f>
        <v/>
      </c>
      <c r="CC99" s="25" t="str">
        <f>IFERROR(CONCATENATE(IF(AND($G99&lt;Hta_1,$G99&gt;=Hba_1,Input!AB$21&lt;&gt;""),Input!$B$21&amp;";",""),IF(AND($G99&lt;Hta_2,$G99&gt;=Hba_2,Input!AB$22&lt;&gt;""),Input!$B$22&amp;";",""),IF(AND($G99&lt;Hta_3,$G99&gt;=Hba_3,Input!AB$23&lt;&gt;""),Input!$B$23&amp;";",""),IF(AND($G99&lt;Hta_4,$G99&gt;=Hba_4,Input!AB$24&lt;&gt;""),Input!$B$24&amp;";",""),IF(AND($G99&lt;Hta_5,$G99&gt;=Hba_5,Input!AB$25&lt;&gt;""),Input!$B$25&amp;";",""),IF(AND($G99&lt;Hta_6,$G99&gt;=Hba_6,Input!AB$26&lt;&gt;""),Input!$B$26&amp;";",""),IF(AND($G99&lt;Hta_7,$G99&gt;=Hba_7,Input!AB$27&lt;&gt;""),Input!$B$27&amp;";",""),IF(AND($G99&lt;Hta_8,$G99&gt;=Hba_8,Input!AB$28&lt;&gt;""),Input!$B$28&amp;";",""),IF(AND($G99&lt;Hta_9,$G99&gt;=Hba_9,Input!AB$29&lt;&gt;""),Input!$B$29&amp;";",""),IF(AND($G99&lt;Hta_10,$G99&gt;=Hba_10,Input!AB$30&lt;&gt;""),Input!$B$30&amp;";",""),IF(AND($G99&lt;Hta_11,$G99&gt;=Hba_11,Input!AB$31&lt;&gt;""),Input!$B$31&amp;";",""),IF(AND($G99&lt;Hta_12,$G99&gt;=Hba_12,Input!AB$32&lt;&gt;""),Input!$B$32&amp;";",""),IF(AND($G99&lt;Hta_13,$G99&gt;=Hba_13,Input!AB$33&lt;&gt;""),Input!$B$33&amp;";",""),IF(AND($G99&lt;Hta_14,$G99&gt;=Hba_14,Input!AB$34&lt;&gt;""),Input!$B$34&amp;";",""),IF(AND($G99&lt;Hta_15,$G99&gt;=Hba_15,Input!AB$35&lt;&gt;""),Input!$B$35&amp;";",""),IF(AND($G99&lt;Hta_16,$G99&gt;=Hba_16,Input!AB$36&lt;&gt;""),Input!$B$36&amp;";",""),IF(AND($G99&lt;Hta_17,$G99&gt;=Hba_17,Input!AB$37&lt;&gt;""),Input!$B$37&amp;";",""),IF(AND($G99&lt;Hta_18,$G99&gt;=Hba_18,Input!AB$38&lt;&gt;""),Input!$B$38&amp;";",""),IF(AND($G99&lt;Hta_19,$G99&gt;=Hba_19,Input!AB$39&lt;&gt;""),Input!$B$39&amp;";",""),IF(AND($G99&lt;Hta_20,$G99&gt;=Hba_20,Input!AB$40&lt;&gt;""),Input!$B$40&amp;";",""),IF(AND($G99&lt;Hta_21,$G99&gt;=Hba_21,Input!AB$41&lt;&gt;""),Input!$B$41&amp;";",""),IF(AND($G99&lt;Hta_22,$G99&gt;=Hba_22,Input!AB$42&lt;&gt;""),Input!$B$42&amp;";",""),IF(AND($G99&lt;Hta_23,$G99&gt;=Hba_23,Input!AB$43&lt;&gt;""),Input!$B$43&amp;";",""),IF(AND($G99&lt;Hta_24,$G99&gt;=Hba_24,Input!AB$44&lt;&gt;""),Input!$B$44&amp;";",""),IF(AND($G99&lt;Hta_25,$G99&gt;=Hba_25,Input!AB$45&lt;&gt;""),Input!$B$45&amp;";",""),IF(AND($G99&lt;Hta_26,$G99&gt;=Hba_26,Input!AB$46&lt;&gt;""),Input!$B$46&amp;";",""),IF(AND($G99&lt;Hta_27,$G99&gt;=Hba_27,Input!AB$47&lt;&gt;""),Input!$B$47&amp;";",""),IF(AND($G99&lt;Hta_28,$G99&gt;=Hba_28,Input!AB$48&lt;&gt;""),Input!$B$48&amp;";",""),IF(AND($G99&lt;Hta_29,$G99&gt;=Hba_29,Input!AB$49&lt;&gt;""),Input!$B$49&amp;";",""),IF(AND($G99&lt;Hta_30,$G99&gt;=Hba_30,Input!AB$50&lt;&gt;""),Input!$B$50&amp;";","")),"")</f>
        <v/>
      </c>
      <c r="CD99" s="25" t="str">
        <f>IFERROR(CONCATENATE(IF(AND($G99&lt;Hta_1,$G99&gt;=Hba_1,Input!AC$21&lt;&gt;""),Input!$B$21&amp;";",""),IF(AND($G99&lt;Hta_2,$G99&gt;=Hba_2,Input!AC$22&lt;&gt;""),Input!$B$22&amp;";",""),IF(AND($G99&lt;Hta_3,$G99&gt;=Hba_3,Input!AC$23&lt;&gt;""),Input!$B$23&amp;";",""),IF(AND($G99&lt;Hta_4,$G99&gt;=Hba_4,Input!AC$24&lt;&gt;""),Input!$B$24&amp;";",""),IF(AND($G99&lt;Hta_5,$G99&gt;=Hba_5,Input!AC$25&lt;&gt;""),Input!$B$25&amp;";",""),IF(AND($G99&lt;Hta_6,$G99&gt;=Hba_6,Input!AC$26&lt;&gt;""),Input!$B$26&amp;";",""),IF(AND($G99&lt;Hta_7,$G99&gt;=Hba_7,Input!AC$27&lt;&gt;""),Input!$B$27&amp;";",""),IF(AND($G99&lt;Hta_8,$G99&gt;=Hba_8,Input!AC$28&lt;&gt;""),Input!$B$28&amp;";",""),IF(AND($G99&lt;Hta_9,$G99&gt;=Hba_9,Input!AC$29&lt;&gt;""),Input!$B$29&amp;";",""),IF(AND($G99&lt;Hta_10,$G99&gt;=Hba_10,Input!AC$30&lt;&gt;""),Input!$B$30&amp;";",""),IF(AND($G99&lt;Hta_11,$G99&gt;=Hba_11,Input!AC$31&lt;&gt;""),Input!$B$31&amp;";",""),IF(AND($G99&lt;Hta_12,$G99&gt;=Hba_12,Input!AC$32&lt;&gt;""),Input!$B$32&amp;";",""),IF(AND($G99&lt;Hta_13,$G99&gt;=Hba_13,Input!AC$33&lt;&gt;""),Input!$B$33&amp;";",""),IF(AND($G99&lt;Hta_14,$G99&gt;=Hba_14,Input!AC$34&lt;&gt;""),Input!$B$34&amp;";",""),IF(AND($G99&lt;Hta_15,$G99&gt;=Hba_15,Input!AC$35&lt;&gt;""),Input!$B$35&amp;";",""),IF(AND($G99&lt;Hta_16,$G99&gt;=Hba_16,Input!AC$36&lt;&gt;""),Input!$B$36&amp;";",""),IF(AND($G99&lt;Hta_17,$G99&gt;=Hba_17,Input!AC$37&lt;&gt;""),Input!$B$37&amp;";",""),IF(AND($G99&lt;Hta_18,$G99&gt;=Hba_18,Input!AC$38&lt;&gt;""),Input!$B$38&amp;";",""),IF(AND($G99&lt;Hta_19,$G99&gt;=Hba_19,Input!AC$39&lt;&gt;""),Input!$B$39&amp;";",""),IF(AND($G99&lt;Hta_20,$G99&gt;=Hba_20,Input!AC$40&lt;&gt;""),Input!$B$40&amp;";",""),IF(AND($G99&lt;Hta_21,$G99&gt;=Hba_21,Input!AC$41&lt;&gt;""),Input!$B$41&amp;";",""),IF(AND($G99&lt;Hta_22,$G99&gt;=Hba_22,Input!AC$42&lt;&gt;""),Input!$B$42&amp;";",""),IF(AND($G99&lt;Hta_23,$G99&gt;=Hba_23,Input!AC$43&lt;&gt;""),Input!$B$43&amp;";",""),IF(AND($G99&lt;Hta_24,$G99&gt;=Hba_24,Input!AC$44&lt;&gt;""),Input!$B$44&amp;";",""),IF(AND($G99&lt;Hta_25,$G99&gt;=Hba_25,Input!AC$45&lt;&gt;""),Input!$B$45&amp;";",""),IF(AND($G99&lt;Hta_26,$G99&gt;=Hba_26,Input!AC$46&lt;&gt;""),Input!$B$46&amp;";",""),IF(AND($G99&lt;Hta_27,$G99&gt;=Hba_27,Input!AC$47&lt;&gt;""),Input!$B$47&amp;";",""),IF(AND($G99&lt;Hta_28,$G99&gt;=Hba_28,Input!AC$48&lt;&gt;""),Input!$B$48&amp;";",""),IF(AND($G99&lt;Hta_29,$G99&gt;=Hba_29,Input!AC$49&lt;&gt;""),Input!$B$49&amp;";",""),IF(AND($G99&lt;Hta_30,$G99&gt;=Hba_30,Input!AC$50&lt;&gt;""),Input!$B$50&amp;";","")),"")</f>
        <v/>
      </c>
      <c r="CE99" s="25" t="str">
        <f>IFERROR(CONCATENATE(IF(AND($G99&lt;Hta_1,$G99&gt;=Hba_1,Input!AD$21&lt;&gt;""),Input!$B$21&amp;";",""),IF(AND($G99&lt;Hta_2,$G99&gt;=Hba_2,Input!AD$22&lt;&gt;""),Input!$B$22&amp;";",""),IF(AND($G99&lt;Hta_3,$G99&gt;=Hba_3,Input!AD$23&lt;&gt;""),Input!$B$23&amp;";",""),IF(AND($G99&lt;Hta_4,$G99&gt;=Hba_4,Input!AD$24&lt;&gt;""),Input!$B$24&amp;";",""),IF(AND($G99&lt;Hta_5,$G99&gt;=Hba_5,Input!AD$25&lt;&gt;""),Input!$B$25&amp;";",""),IF(AND($G99&lt;Hta_6,$G99&gt;=Hba_6,Input!AD$26&lt;&gt;""),Input!$B$26&amp;";",""),IF(AND($G99&lt;Hta_7,$G99&gt;=Hba_7,Input!AD$27&lt;&gt;""),Input!$B$27&amp;";",""),IF(AND($G99&lt;Hta_8,$G99&gt;=Hba_8,Input!AD$28&lt;&gt;""),Input!$B$28&amp;";",""),IF(AND($G99&lt;Hta_9,$G99&gt;=Hba_9,Input!AD$29&lt;&gt;""),Input!$B$29&amp;";",""),IF(AND($G99&lt;Hta_10,$G99&gt;=Hba_10,Input!AD$30&lt;&gt;""),Input!$B$30&amp;";",""),IF(AND($G99&lt;Hta_11,$G99&gt;=Hba_11,Input!AD$31&lt;&gt;""),Input!$B$31&amp;";",""),IF(AND($G99&lt;Hta_12,$G99&gt;=Hba_12,Input!AD$32&lt;&gt;""),Input!$B$32&amp;";",""),IF(AND($G99&lt;Hta_13,$G99&gt;=Hba_13,Input!AD$33&lt;&gt;""),Input!$B$33&amp;";",""),IF(AND($G99&lt;Hta_14,$G99&gt;=Hba_14,Input!AD$34&lt;&gt;""),Input!$B$34&amp;";",""),IF(AND($G99&lt;Hta_15,$G99&gt;=Hba_15,Input!AD$35&lt;&gt;""),Input!$B$35&amp;";",""),IF(AND($G99&lt;Hta_16,$G99&gt;=Hba_16,Input!AD$36&lt;&gt;""),Input!$B$36&amp;";",""),IF(AND($G99&lt;Hta_17,$G99&gt;=Hba_17,Input!AD$37&lt;&gt;""),Input!$B$37&amp;";",""),IF(AND($G99&lt;Hta_18,$G99&gt;=Hba_18,Input!AD$38&lt;&gt;""),Input!$B$38&amp;";",""),IF(AND($G99&lt;Hta_19,$G99&gt;=Hba_19,Input!AD$39&lt;&gt;""),Input!$B$39&amp;";",""),IF(AND($G99&lt;Hta_20,$G99&gt;=Hba_20,Input!AD$40&lt;&gt;""),Input!$B$40&amp;";",""),IF(AND($G99&lt;Hta_21,$G99&gt;=Hba_21,Input!AD$41&lt;&gt;""),Input!$B$41&amp;";",""),IF(AND($G99&lt;Hta_22,$G99&gt;=Hba_22,Input!AD$42&lt;&gt;""),Input!$B$42&amp;";",""),IF(AND($G99&lt;Hta_23,$G99&gt;=Hba_23,Input!AD$43&lt;&gt;""),Input!$B$43&amp;";",""),IF(AND($G99&lt;Hta_24,$G99&gt;=Hba_24,Input!AD$44&lt;&gt;""),Input!$B$44&amp;";",""),IF(AND($G99&lt;Hta_25,$G99&gt;=Hba_25,Input!AD$45&lt;&gt;""),Input!$B$45&amp;";",""),IF(AND($G99&lt;Hta_26,$G99&gt;=Hba_26,Input!AD$46&lt;&gt;""),Input!$B$46&amp;";",""),IF(AND($G99&lt;Hta_27,$G99&gt;=Hba_27,Input!AD$47&lt;&gt;""),Input!$B$47&amp;";",""),IF(AND($G99&lt;Hta_28,$G99&gt;=Hba_28,Input!AD$48&lt;&gt;""),Input!$B$48&amp;";",""),IF(AND($G99&lt;Hta_29,$G99&gt;=Hba_29,Input!AD$49&lt;&gt;""),Input!$B$49&amp;";",""),IF(AND($G99&lt;Hta_30,$G99&gt;=Hba_30,Input!AD$50&lt;&gt;""),Input!$B$50&amp;";","")),"")</f>
        <v/>
      </c>
      <c r="CF99" s="25" t="str">
        <f>IFERROR(CONCATENATE(IF(AND($G99&lt;Hta_1,$G99&gt;=Hba_1,Input!AE$21&lt;&gt;""),Input!$B$21&amp;";",""),IF(AND($G99&lt;Hta_2,$G99&gt;=Hba_2,Input!AE$22&lt;&gt;""),Input!$B$22&amp;";",""),IF(AND($G99&lt;Hta_3,$G99&gt;=Hba_3,Input!AE$23&lt;&gt;""),Input!$B$23&amp;";",""),IF(AND($G99&lt;Hta_4,$G99&gt;=Hba_4,Input!AE$24&lt;&gt;""),Input!$B$24&amp;";",""),IF(AND($G99&lt;Hta_5,$G99&gt;=Hba_5,Input!AE$25&lt;&gt;""),Input!$B$25&amp;";",""),IF(AND($G99&lt;Hta_6,$G99&gt;=Hba_6,Input!AE$26&lt;&gt;""),Input!$B$26&amp;";",""),IF(AND($G99&lt;Hta_7,$G99&gt;=Hba_7,Input!AE$27&lt;&gt;""),Input!$B$27&amp;";",""),IF(AND($G99&lt;Hta_8,$G99&gt;=Hba_8,Input!AE$28&lt;&gt;""),Input!$B$28&amp;";",""),IF(AND($G99&lt;Hta_9,$G99&gt;=Hba_9,Input!AE$29&lt;&gt;""),Input!$B$29&amp;";",""),IF(AND($G99&lt;Hta_10,$G99&gt;=Hba_10,Input!AE$30&lt;&gt;""),Input!$B$30&amp;";",""),IF(AND($G99&lt;Hta_11,$G99&gt;=Hba_11,Input!AE$31&lt;&gt;""),Input!$B$31&amp;";",""),IF(AND($G99&lt;Hta_12,$G99&gt;=Hba_12,Input!AE$32&lt;&gt;""),Input!$B$32&amp;";",""),IF(AND($G99&lt;Hta_13,$G99&gt;=Hba_13,Input!AE$33&lt;&gt;""),Input!$B$33&amp;";",""),IF(AND($G99&lt;Hta_14,$G99&gt;=Hba_14,Input!AE$34&lt;&gt;""),Input!$B$34&amp;";",""),IF(AND($G99&lt;Hta_15,$G99&gt;=Hba_15,Input!AE$35&lt;&gt;""),Input!$B$35&amp;";",""),IF(AND($G99&lt;Hta_16,$G99&gt;=Hba_16,Input!AE$36&lt;&gt;""),Input!$B$36&amp;";",""),IF(AND($G99&lt;Hta_17,$G99&gt;=Hba_17,Input!AE$37&lt;&gt;""),Input!$B$37&amp;";",""),IF(AND($G99&lt;Hta_18,$G99&gt;=Hba_18,Input!AE$38&lt;&gt;""),Input!$B$38&amp;";",""),IF(AND($G99&lt;Hta_19,$G99&gt;=Hba_19,Input!AE$39&lt;&gt;""),Input!$B$39&amp;";",""),IF(AND($G99&lt;Hta_20,$G99&gt;=Hba_20,Input!AE$40&lt;&gt;""),Input!$B$40&amp;";",""),IF(AND($G99&lt;Hta_21,$G99&gt;=Hba_21,Input!AE$41&lt;&gt;""),Input!$B$41&amp;";",""),IF(AND($G99&lt;Hta_22,$G99&gt;=Hba_22,Input!AE$42&lt;&gt;""),Input!$B$42&amp;";",""),IF(AND($G99&lt;Hta_23,$G99&gt;=Hba_23,Input!AE$43&lt;&gt;""),Input!$B$43&amp;";",""),IF(AND($G99&lt;Hta_24,$G99&gt;=Hba_24,Input!AE$44&lt;&gt;""),Input!$B$44&amp;";",""),IF(AND($G99&lt;Hta_25,$G99&gt;=Hba_25,Input!AE$45&lt;&gt;""),Input!$B$45&amp;";",""),IF(AND($G99&lt;Hta_26,$G99&gt;=Hba_26,Input!AE$46&lt;&gt;""),Input!$B$46&amp;";",""),IF(AND($G99&lt;Hta_27,$G99&gt;=Hba_27,Input!AE$47&lt;&gt;""),Input!$B$47&amp;";",""),IF(AND($G99&lt;Hta_28,$G99&gt;=Hba_28,Input!AE$48&lt;&gt;""),Input!$B$48&amp;";",""),IF(AND($G99&lt;Hta_29,$G99&gt;=Hba_29,Input!AE$49&lt;&gt;""),Input!$B$49&amp;";",""),IF(AND($G99&lt;Hta_30,$G99&gt;=Hba_30,Input!AE$50&lt;&gt;""),Input!$B$50&amp;";","")),"")</f>
        <v/>
      </c>
      <c r="CG99" s="25" t="str">
        <f>IFERROR(CONCATENATE(IF(AND($G99&lt;Hta_1,$G99&gt;=Hba_1,Input!AF$21&lt;&gt;""),Input!$B$21&amp;";",""),IF(AND($G99&lt;Hta_2,$G99&gt;=Hba_2,Input!AF$22&lt;&gt;""),Input!$B$22&amp;";",""),IF(AND($G99&lt;Hta_3,$G99&gt;=Hba_3,Input!AF$23&lt;&gt;""),Input!$B$23&amp;";",""),IF(AND($G99&lt;Hta_4,$G99&gt;=Hba_4,Input!AF$24&lt;&gt;""),Input!$B$24&amp;";",""),IF(AND($G99&lt;Hta_5,$G99&gt;=Hba_5,Input!AF$25&lt;&gt;""),Input!$B$25&amp;";",""),IF(AND($G99&lt;Hta_6,$G99&gt;=Hba_6,Input!AF$26&lt;&gt;""),Input!$B$26&amp;";",""),IF(AND($G99&lt;Hta_7,$G99&gt;=Hba_7,Input!AF$27&lt;&gt;""),Input!$B$27&amp;";",""),IF(AND($G99&lt;Hta_8,$G99&gt;=Hba_8,Input!AF$28&lt;&gt;""),Input!$B$28&amp;";",""),IF(AND($G99&lt;Hta_9,$G99&gt;=Hba_9,Input!AF$29&lt;&gt;""),Input!$B$29&amp;";",""),IF(AND($G99&lt;Hta_10,$G99&gt;=Hba_10,Input!AF$30&lt;&gt;""),Input!$B$30&amp;";",""),IF(AND($G99&lt;Hta_11,$G99&gt;=Hba_11,Input!AF$31&lt;&gt;""),Input!$B$31&amp;";",""),IF(AND($G99&lt;Hta_12,$G99&gt;=Hba_12,Input!AF$32&lt;&gt;""),Input!$B$32&amp;";",""),IF(AND($G99&lt;Hta_13,$G99&gt;=Hba_13,Input!AF$33&lt;&gt;""),Input!$B$33&amp;";",""),IF(AND($G99&lt;Hta_14,$G99&gt;=Hba_14,Input!AF$34&lt;&gt;""),Input!$B$34&amp;";",""),IF(AND($G99&lt;Hta_15,$G99&gt;=Hba_15,Input!AF$35&lt;&gt;""),Input!$B$35&amp;";",""),IF(AND($G99&lt;Hta_16,$G99&gt;=Hba_16,Input!AF$36&lt;&gt;""),Input!$B$36&amp;";",""),IF(AND($G99&lt;Hta_17,$G99&gt;=Hba_17,Input!AF$37&lt;&gt;""),Input!$B$37&amp;";",""),IF(AND($G99&lt;Hta_18,$G99&gt;=Hba_18,Input!AF$38&lt;&gt;""),Input!$B$38&amp;";",""),IF(AND($G99&lt;Hta_19,$G99&gt;=Hba_19,Input!AF$39&lt;&gt;""),Input!$B$39&amp;";",""),IF(AND($G99&lt;Hta_20,$G99&gt;=Hba_20,Input!AF$40&lt;&gt;""),Input!$B$40&amp;";",""),IF(AND($G99&lt;Hta_21,$G99&gt;=Hba_21,Input!AF$41&lt;&gt;""),Input!$B$41&amp;";",""),IF(AND($G99&lt;Hta_22,$G99&gt;=Hba_22,Input!AF$42&lt;&gt;""),Input!$B$42&amp;";",""),IF(AND($G99&lt;Hta_23,$G99&gt;=Hba_23,Input!AF$43&lt;&gt;""),Input!$B$43&amp;";",""),IF(AND($G99&lt;Hta_24,$G99&gt;=Hba_24,Input!AF$44&lt;&gt;""),Input!$B$44&amp;";",""),IF(AND($G99&lt;Hta_25,$G99&gt;=Hba_25,Input!AF$45&lt;&gt;""),Input!$B$45&amp;";",""),IF(AND($G99&lt;Hta_26,$G99&gt;=Hba_26,Input!AF$46&lt;&gt;""),Input!$B$46&amp;";",""),IF(AND($G99&lt;Hta_27,$G99&gt;=Hba_27,Input!AF$47&lt;&gt;""),Input!$B$47&amp;";",""),IF(AND($G99&lt;Hta_28,$G99&gt;=Hba_28,Input!AF$48&lt;&gt;""),Input!$B$48&amp;";",""),IF(AND($G99&lt;Hta_29,$G99&gt;=Hba_29,Input!AF$49&lt;&gt;""),Input!$B$49&amp;";",""),IF(AND($G99&lt;Hta_30,$G99&gt;=Hba_30,Input!AF$50&lt;&gt;""),Input!$B$50&amp;";","")),"")</f>
        <v/>
      </c>
      <c r="CH99" s="25" t="str">
        <f>IFERROR(CONCATENATE(IF(AND($G99&lt;Hta_1,$G99&gt;=Hba_1,Input!AG$21&lt;&gt;""),Input!$B$21&amp;";",""),IF(AND($G99&lt;Hta_2,$G99&gt;=Hba_2,Input!AG$22&lt;&gt;""),Input!$B$22&amp;";",""),IF(AND($G99&lt;Hta_3,$G99&gt;=Hba_3,Input!AG$23&lt;&gt;""),Input!$B$23&amp;";",""),IF(AND($G99&lt;Hta_4,$G99&gt;=Hba_4,Input!AG$24&lt;&gt;""),Input!$B$24&amp;";",""),IF(AND($G99&lt;Hta_5,$G99&gt;=Hba_5,Input!AG$25&lt;&gt;""),Input!$B$25&amp;";",""),IF(AND($G99&lt;Hta_6,$G99&gt;=Hba_6,Input!AG$26&lt;&gt;""),Input!$B$26&amp;";",""),IF(AND($G99&lt;Hta_7,$G99&gt;=Hba_7,Input!AG$27&lt;&gt;""),Input!$B$27&amp;";",""),IF(AND($G99&lt;Hta_8,$G99&gt;=Hba_8,Input!AG$28&lt;&gt;""),Input!$B$28&amp;";",""),IF(AND($G99&lt;Hta_9,$G99&gt;=Hba_9,Input!AG$29&lt;&gt;""),Input!$B$29&amp;";",""),IF(AND($G99&lt;Hta_10,$G99&gt;=Hba_10,Input!AG$30&lt;&gt;""),Input!$B$30&amp;";",""),IF(AND($G99&lt;Hta_11,$G99&gt;=Hba_11,Input!AG$31&lt;&gt;""),Input!$B$31&amp;";",""),IF(AND($G99&lt;Hta_12,$G99&gt;=Hba_12,Input!AG$32&lt;&gt;""),Input!$B$32&amp;";",""),IF(AND($G99&lt;Hta_13,$G99&gt;=Hba_13,Input!AG$33&lt;&gt;""),Input!$B$33&amp;";",""),IF(AND($G99&lt;Hta_14,$G99&gt;=Hba_14,Input!AG$34&lt;&gt;""),Input!$B$34&amp;";",""),IF(AND($G99&lt;Hta_15,$G99&gt;=Hba_15,Input!AG$35&lt;&gt;""),Input!$B$35&amp;";",""),IF(AND($G99&lt;Hta_16,$G99&gt;=Hba_16,Input!AG$36&lt;&gt;""),Input!$B$36&amp;";",""),IF(AND($G99&lt;Hta_17,$G99&gt;=Hba_17,Input!AG$37&lt;&gt;""),Input!$B$37&amp;";",""),IF(AND($G99&lt;Hta_18,$G99&gt;=Hba_18,Input!AG$38&lt;&gt;""),Input!$B$38&amp;";",""),IF(AND($G99&lt;Hta_19,$G99&gt;=Hba_19,Input!AG$39&lt;&gt;""),Input!$B$39&amp;";",""),IF(AND($G99&lt;Hta_20,$G99&gt;=Hba_20,Input!AG$40&lt;&gt;""),Input!$B$40&amp;";",""),IF(AND($G99&lt;Hta_21,$G99&gt;=Hba_21,Input!AG$41&lt;&gt;""),Input!$B$41&amp;";",""),IF(AND($G99&lt;Hta_22,$G99&gt;=Hba_22,Input!AG$42&lt;&gt;""),Input!$B$42&amp;";",""),IF(AND($G99&lt;Hta_23,$G99&gt;=Hba_23,Input!AG$43&lt;&gt;""),Input!$B$43&amp;";",""),IF(AND($G99&lt;Hta_24,$G99&gt;=Hba_24,Input!AG$44&lt;&gt;""),Input!$B$44&amp;";",""),IF(AND($G99&lt;Hta_25,$G99&gt;=Hba_25,Input!AG$45&lt;&gt;""),Input!$B$45&amp;";",""),IF(AND($G99&lt;Hta_26,$G99&gt;=Hba_26,Input!AG$46&lt;&gt;""),Input!$B$46&amp;";",""),IF(AND($G99&lt;Hta_27,$G99&gt;=Hba_27,Input!AG$47&lt;&gt;""),Input!$B$47&amp;";",""),IF(AND($G99&lt;Hta_28,$G99&gt;=Hba_28,Input!AG$48&lt;&gt;""),Input!$B$48&amp;";",""),IF(AND($G99&lt;Hta_29,$G99&gt;=Hba_29,Input!AG$49&lt;&gt;""),Input!$B$49&amp;";",""),IF(AND($G99&lt;Hta_30,$G99&gt;=Hba_30,Input!AG$50&lt;&gt;""),Input!$B$50&amp;";","")),"")</f>
        <v/>
      </c>
      <c r="CI99" s="25" t="str">
        <f>IFERROR(CONCATENATE(IF(AND($G99&lt;Hta_1,$G99&gt;=Hba_1,Input!AH$21&lt;&gt;""),Input!$B$21&amp;";",""),IF(AND($G99&lt;Hta_2,$G99&gt;=Hba_2,Input!AH$22&lt;&gt;""),Input!$B$22&amp;";",""),IF(AND($G99&lt;Hta_3,$G99&gt;=Hba_3,Input!AH$23&lt;&gt;""),Input!$B$23&amp;";",""),IF(AND($G99&lt;Hta_4,$G99&gt;=Hba_4,Input!AH$24&lt;&gt;""),Input!$B$24&amp;";",""),IF(AND($G99&lt;Hta_5,$G99&gt;=Hba_5,Input!AH$25&lt;&gt;""),Input!$B$25&amp;";",""),IF(AND($G99&lt;Hta_6,$G99&gt;=Hba_6,Input!AH$26&lt;&gt;""),Input!$B$26&amp;";",""),IF(AND($G99&lt;Hta_7,$G99&gt;=Hba_7,Input!AH$27&lt;&gt;""),Input!$B$27&amp;";",""),IF(AND($G99&lt;Hta_8,$G99&gt;=Hba_8,Input!AH$28&lt;&gt;""),Input!$B$28&amp;";",""),IF(AND($G99&lt;Hta_9,$G99&gt;=Hba_9,Input!AH$29&lt;&gt;""),Input!$B$29&amp;";",""),IF(AND($G99&lt;Hta_10,$G99&gt;=Hba_10,Input!AH$30&lt;&gt;""),Input!$B$30&amp;";",""),IF(AND($G99&lt;Hta_11,$G99&gt;=Hba_11,Input!AH$31&lt;&gt;""),Input!$B$31&amp;";",""),IF(AND($G99&lt;Hta_12,$G99&gt;=Hba_12,Input!AH$32&lt;&gt;""),Input!$B$32&amp;";",""),IF(AND($G99&lt;Hta_13,$G99&gt;=Hba_13,Input!AH$33&lt;&gt;""),Input!$B$33&amp;";",""),IF(AND($G99&lt;Hta_14,$G99&gt;=Hba_14,Input!AH$34&lt;&gt;""),Input!$B$34&amp;";",""),IF(AND($G99&lt;Hta_15,$G99&gt;=Hba_15,Input!AH$35&lt;&gt;""),Input!$B$35&amp;";",""),IF(AND($G99&lt;Hta_16,$G99&gt;=Hba_16,Input!AH$36&lt;&gt;""),Input!$B$36&amp;";",""),IF(AND($G99&lt;Hta_17,$G99&gt;=Hba_17,Input!AH$37&lt;&gt;""),Input!$B$37&amp;";",""),IF(AND($G99&lt;Hta_18,$G99&gt;=Hba_18,Input!AH$38&lt;&gt;""),Input!$B$38&amp;";",""),IF(AND($G99&lt;Hta_19,$G99&gt;=Hba_19,Input!AH$39&lt;&gt;""),Input!$B$39&amp;";",""),IF(AND($G99&lt;Hta_20,$G99&gt;=Hba_20,Input!AH$40&lt;&gt;""),Input!$B$40&amp;";",""),IF(AND($G99&lt;Hta_21,$G99&gt;=Hba_21,Input!AH$41&lt;&gt;""),Input!$B$41&amp;";",""),IF(AND($G99&lt;Hta_22,$G99&gt;=Hba_22,Input!AH$42&lt;&gt;""),Input!$B$42&amp;";",""),IF(AND($G99&lt;Hta_23,$G99&gt;=Hba_23,Input!AH$43&lt;&gt;""),Input!$B$43&amp;";",""),IF(AND($G99&lt;Hta_24,$G99&gt;=Hba_24,Input!AH$44&lt;&gt;""),Input!$B$44&amp;";",""),IF(AND($G99&lt;Hta_25,$G99&gt;=Hba_25,Input!AH$45&lt;&gt;""),Input!$B$45&amp;";",""),IF(AND($G99&lt;Hta_26,$G99&gt;=Hba_26,Input!AH$46&lt;&gt;""),Input!$B$46&amp;";",""),IF(AND($G99&lt;Hta_27,$G99&gt;=Hba_27,Input!AH$47&lt;&gt;""),Input!$B$47&amp;";",""),IF(AND($G99&lt;Hta_28,$G99&gt;=Hba_28,Input!AH$48&lt;&gt;""),Input!$B$48&amp;";",""),IF(AND($G99&lt;Hta_29,$G99&gt;=Hba_29,Input!AH$49&lt;&gt;""),Input!$B$49&amp;";",""),IF(AND($G99&lt;Hta_30,$G99&gt;=Hba_30,Input!AH$50&lt;&gt;""),Input!$B$50&amp;";","")),"")</f>
        <v/>
      </c>
      <c r="CJ99" s="25" t="str">
        <f>IFERROR(CONCATENATE(IF(AND($G99&lt;Hta_1,$G99&gt;=Hba_1,Input!AI$21&lt;&gt;""),Input!$B$21&amp;";",""),IF(AND($G99&lt;Hta_2,$G99&gt;=Hba_2,Input!AI$22&lt;&gt;""),Input!$B$22&amp;";",""),IF(AND($G99&lt;Hta_3,$G99&gt;=Hba_3,Input!AI$23&lt;&gt;""),Input!$B$23&amp;";",""),IF(AND($G99&lt;Hta_4,$G99&gt;=Hba_4,Input!AI$24&lt;&gt;""),Input!$B$24&amp;";",""),IF(AND($G99&lt;Hta_5,$G99&gt;=Hba_5,Input!AI$25&lt;&gt;""),Input!$B$25&amp;";",""),IF(AND($G99&lt;Hta_6,$G99&gt;=Hba_6,Input!AI$26&lt;&gt;""),Input!$B$26&amp;";",""),IF(AND($G99&lt;Hta_7,$G99&gt;=Hba_7,Input!AI$27&lt;&gt;""),Input!$B$27&amp;";",""),IF(AND($G99&lt;Hta_8,$G99&gt;=Hba_8,Input!AI$28&lt;&gt;""),Input!$B$28&amp;";",""),IF(AND($G99&lt;Hta_9,$G99&gt;=Hba_9,Input!AI$29&lt;&gt;""),Input!$B$29&amp;";",""),IF(AND($G99&lt;Hta_10,$G99&gt;=Hba_10,Input!AI$30&lt;&gt;""),Input!$B$30&amp;";",""),IF(AND($G99&lt;Hta_11,$G99&gt;=Hba_11,Input!AI$31&lt;&gt;""),Input!$B$31&amp;";",""),IF(AND($G99&lt;Hta_12,$G99&gt;=Hba_12,Input!AI$32&lt;&gt;""),Input!$B$32&amp;";",""),IF(AND($G99&lt;Hta_13,$G99&gt;=Hba_13,Input!AI$33&lt;&gt;""),Input!$B$33&amp;";",""),IF(AND($G99&lt;Hta_14,$G99&gt;=Hba_14,Input!AI$34&lt;&gt;""),Input!$B$34&amp;";",""),IF(AND($G99&lt;Hta_15,$G99&gt;=Hba_15,Input!AI$35&lt;&gt;""),Input!$B$35&amp;";",""),IF(AND($G99&lt;Hta_16,$G99&gt;=Hba_16,Input!AI$36&lt;&gt;""),Input!$B$36&amp;";",""),IF(AND($G99&lt;Hta_17,$G99&gt;=Hba_17,Input!AI$37&lt;&gt;""),Input!$B$37&amp;";",""),IF(AND($G99&lt;Hta_18,$G99&gt;=Hba_18,Input!AI$38&lt;&gt;""),Input!$B$38&amp;";",""),IF(AND($G99&lt;Hta_19,$G99&gt;=Hba_19,Input!AI$39&lt;&gt;""),Input!$B$39&amp;";",""),IF(AND($G99&lt;Hta_20,$G99&gt;=Hba_20,Input!AI$40&lt;&gt;""),Input!$B$40&amp;";",""),IF(AND($G99&lt;Hta_21,$G99&gt;=Hba_21,Input!AI$41&lt;&gt;""),Input!$B$41&amp;";",""),IF(AND($G99&lt;Hta_22,$G99&gt;=Hba_22,Input!AI$42&lt;&gt;""),Input!$B$42&amp;";",""),IF(AND($G99&lt;Hta_23,$G99&gt;=Hba_23,Input!AI$43&lt;&gt;""),Input!$B$43&amp;";",""),IF(AND($G99&lt;Hta_24,$G99&gt;=Hba_24,Input!AI$44&lt;&gt;""),Input!$B$44&amp;";",""),IF(AND($G99&lt;Hta_25,$G99&gt;=Hba_25,Input!AI$45&lt;&gt;""),Input!$B$45&amp;";",""),IF(AND($G99&lt;Hta_26,$G99&gt;=Hba_26,Input!AI$46&lt;&gt;""),Input!$B$46&amp;";",""),IF(AND($G99&lt;Hta_27,$G99&gt;=Hba_27,Input!AI$47&lt;&gt;""),Input!$B$47&amp;";",""),IF(AND($G99&lt;Hta_28,$G99&gt;=Hba_28,Input!AI$48&lt;&gt;""),Input!$B$48&amp;";",""),IF(AND($G99&lt;Hta_29,$G99&gt;=Hba_29,Input!AI$49&lt;&gt;""),Input!$B$49&amp;";",""),IF(AND($G99&lt;Hta_30,$G99&gt;=Hba_30,Input!AI$50&lt;&gt;""),Input!$B$50&amp;";","")),"")</f>
        <v/>
      </c>
      <c r="CK99" s="25" t="str">
        <f>IFERROR(CONCATENATE(IF(AND($G99&lt;Hta_1,$G99&gt;=Hba_1,Input!AJ$21&lt;&gt;""),Input!$B$21&amp;";",""),IF(AND($G99&lt;Hta_2,$G99&gt;=Hba_2,Input!AJ$22&lt;&gt;""),Input!$B$22&amp;";",""),IF(AND($G99&lt;Hta_3,$G99&gt;=Hba_3,Input!AJ$23&lt;&gt;""),Input!$B$23&amp;";",""),IF(AND($G99&lt;Hta_4,$G99&gt;=Hba_4,Input!AJ$24&lt;&gt;""),Input!$B$24&amp;";",""),IF(AND($G99&lt;Hta_5,$G99&gt;=Hba_5,Input!AJ$25&lt;&gt;""),Input!$B$25&amp;";",""),IF(AND($G99&lt;Hta_6,$G99&gt;=Hba_6,Input!AJ$26&lt;&gt;""),Input!$B$26&amp;";",""),IF(AND($G99&lt;Hta_7,$G99&gt;=Hba_7,Input!AJ$27&lt;&gt;""),Input!$B$27&amp;";",""),IF(AND($G99&lt;Hta_8,$G99&gt;=Hba_8,Input!AJ$28&lt;&gt;""),Input!$B$28&amp;";",""),IF(AND($G99&lt;Hta_9,$G99&gt;=Hba_9,Input!AJ$29&lt;&gt;""),Input!$B$29&amp;";",""),IF(AND($G99&lt;Hta_10,$G99&gt;=Hba_10,Input!AJ$30&lt;&gt;""),Input!$B$30&amp;";",""),IF(AND($G99&lt;Hta_11,$G99&gt;=Hba_11,Input!AJ$31&lt;&gt;""),Input!$B$31&amp;";",""),IF(AND($G99&lt;Hta_12,$G99&gt;=Hba_12,Input!AJ$32&lt;&gt;""),Input!$B$32&amp;";",""),IF(AND($G99&lt;Hta_13,$G99&gt;=Hba_13,Input!AJ$33&lt;&gt;""),Input!$B$33&amp;";",""),IF(AND($G99&lt;Hta_14,$G99&gt;=Hba_14,Input!AJ$34&lt;&gt;""),Input!$B$34&amp;";",""),IF(AND($G99&lt;Hta_15,$G99&gt;=Hba_15,Input!AJ$35&lt;&gt;""),Input!$B$35&amp;";",""),IF(AND($G99&lt;Hta_16,$G99&gt;=Hba_16,Input!AJ$36&lt;&gt;""),Input!$B$36&amp;";",""),IF(AND($G99&lt;Hta_17,$G99&gt;=Hba_17,Input!AJ$37&lt;&gt;""),Input!$B$37&amp;";",""),IF(AND($G99&lt;Hta_18,$G99&gt;=Hba_18,Input!AJ$38&lt;&gt;""),Input!$B$38&amp;";",""),IF(AND($G99&lt;Hta_19,$G99&gt;=Hba_19,Input!AJ$39&lt;&gt;""),Input!$B$39&amp;";",""),IF(AND($G99&lt;Hta_20,$G99&gt;=Hba_20,Input!AJ$40&lt;&gt;""),Input!$B$40&amp;";",""),IF(AND($G99&lt;Hta_21,$G99&gt;=Hba_21,Input!AJ$41&lt;&gt;""),Input!$B$41&amp;";",""),IF(AND($G99&lt;Hta_22,$G99&gt;=Hba_22,Input!AJ$42&lt;&gt;""),Input!$B$42&amp;";",""),IF(AND($G99&lt;Hta_23,$G99&gt;=Hba_23,Input!AJ$43&lt;&gt;""),Input!$B$43&amp;";",""),IF(AND($G99&lt;Hta_24,$G99&gt;=Hba_24,Input!AJ$44&lt;&gt;""),Input!$B$44&amp;";",""),IF(AND($G99&lt;Hta_25,$G99&gt;=Hba_25,Input!AJ$45&lt;&gt;""),Input!$B$45&amp;";",""),IF(AND($G99&lt;Hta_26,$G99&gt;=Hba_26,Input!AJ$46&lt;&gt;""),Input!$B$46&amp;";",""),IF(AND($G99&lt;Hta_27,$G99&gt;=Hba_27,Input!AJ$47&lt;&gt;""),Input!$B$47&amp;";",""),IF(AND($G99&lt;Hta_28,$G99&gt;=Hba_28,Input!AJ$48&lt;&gt;""),Input!$B$48&amp;";",""),IF(AND($G99&lt;Hta_29,$G99&gt;=Hba_29,Input!AJ$49&lt;&gt;""),Input!$B$49&amp;";",""),IF(AND($G99&lt;Hta_30,$G99&gt;=Hba_30,Input!AJ$50&lt;&gt;""),Input!$B$50&amp;";","")),"")</f>
        <v/>
      </c>
      <c r="CL99" s="25" t="str">
        <f>IFERROR(CONCATENATE(IF(AND($G99&lt;Hta_1,$G99&gt;=Hba_1,Input!AK$21&lt;&gt;""),Input!$B$21&amp;";",""),IF(AND($G99&lt;Hta_2,$G99&gt;=Hba_2,Input!AK$22&lt;&gt;""),Input!$B$22&amp;";",""),IF(AND($G99&lt;Hta_3,$G99&gt;=Hba_3,Input!AK$23&lt;&gt;""),Input!$B$23&amp;";",""),IF(AND($G99&lt;Hta_4,$G99&gt;=Hba_4,Input!AK$24&lt;&gt;""),Input!$B$24&amp;";",""),IF(AND($G99&lt;Hta_5,$G99&gt;=Hba_5,Input!AK$25&lt;&gt;""),Input!$B$25&amp;";",""),IF(AND($G99&lt;Hta_6,$G99&gt;=Hba_6,Input!AK$26&lt;&gt;""),Input!$B$26&amp;";",""),IF(AND($G99&lt;Hta_7,$G99&gt;=Hba_7,Input!AK$27&lt;&gt;""),Input!$B$27&amp;";",""),IF(AND($G99&lt;Hta_8,$G99&gt;=Hba_8,Input!AK$28&lt;&gt;""),Input!$B$28&amp;";",""),IF(AND($G99&lt;Hta_9,$G99&gt;=Hba_9,Input!AK$29&lt;&gt;""),Input!$B$29&amp;";",""),IF(AND($G99&lt;Hta_10,$G99&gt;=Hba_10,Input!AK$30&lt;&gt;""),Input!$B$30&amp;";",""),IF(AND($G99&lt;Hta_11,$G99&gt;=Hba_11,Input!AK$31&lt;&gt;""),Input!$B$31&amp;";",""),IF(AND($G99&lt;Hta_12,$G99&gt;=Hba_12,Input!AK$32&lt;&gt;""),Input!$B$32&amp;";",""),IF(AND($G99&lt;Hta_13,$G99&gt;=Hba_13,Input!AK$33&lt;&gt;""),Input!$B$33&amp;";",""),IF(AND($G99&lt;Hta_14,$G99&gt;=Hba_14,Input!AK$34&lt;&gt;""),Input!$B$34&amp;";",""),IF(AND($G99&lt;Hta_15,$G99&gt;=Hba_15,Input!AK$35&lt;&gt;""),Input!$B$35&amp;";",""),IF(AND($G99&lt;Hta_16,$G99&gt;=Hba_16,Input!AK$36&lt;&gt;""),Input!$B$36&amp;";",""),IF(AND($G99&lt;Hta_17,$G99&gt;=Hba_17,Input!AK$37&lt;&gt;""),Input!$B$37&amp;";",""),IF(AND($G99&lt;Hta_18,$G99&gt;=Hba_18,Input!AK$38&lt;&gt;""),Input!$B$38&amp;";",""),IF(AND($G99&lt;Hta_19,$G99&gt;=Hba_19,Input!AK$39&lt;&gt;""),Input!$B$39&amp;";",""),IF(AND($G99&lt;Hta_20,$G99&gt;=Hba_20,Input!AK$40&lt;&gt;""),Input!$B$40&amp;";",""),IF(AND($G99&lt;Hta_21,$G99&gt;=Hba_21,Input!AK$41&lt;&gt;""),Input!$B$41&amp;";",""),IF(AND($G99&lt;Hta_22,$G99&gt;=Hba_22,Input!AK$42&lt;&gt;""),Input!$B$42&amp;";",""),IF(AND($G99&lt;Hta_23,$G99&gt;=Hba_23,Input!AK$43&lt;&gt;""),Input!$B$43&amp;";",""),IF(AND($G99&lt;Hta_24,$G99&gt;=Hba_24,Input!AK$44&lt;&gt;""),Input!$B$44&amp;";",""),IF(AND($G99&lt;Hta_25,$G99&gt;=Hba_25,Input!AK$45&lt;&gt;""),Input!$B$45&amp;";",""),IF(AND($G99&lt;Hta_26,$G99&gt;=Hba_26,Input!AK$46&lt;&gt;""),Input!$B$46&amp;";",""),IF(AND($G99&lt;Hta_27,$G99&gt;=Hba_27,Input!AK$47&lt;&gt;""),Input!$B$47&amp;";",""),IF(AND($G99&lt;Hta_28,$G99&gt;=Hba_28,Input!AK$48&lt;&gt;""),Input!$B$48&amp;";",""),IF(AND($G99&lt;Hta_29,$G99&gt;=Hba_29,Input!AK$49&lt;&gt;""),Input!$B$49&amp;";",""),IF(AND($G99&lt;Hta_30,$G99&gt;=Hba_30,Input!AK$50&lt;&gt;""),Input!$B$50&amp;";","")),"")</f>
        <v/>
      </c>
      <c r="CM99" s="25" t="str">
        <f>IFERROR(CONCATENATE(IF(AND($G99&lt;Hta_1,$G99&gt;=Hba_1,Input!AL$21&lt;&gt;""),Input!$B$21&amp;";",""),IF(AND($G99&lt;Hta_2,$G99&gt;=Hba_2,Input!AL$22&lt;&gt;""),Input!$B$22&amp;";",""),IF(AND($G99&lt;Hta_3,$G99&gt;=Hba_3,Input!AL$23&lt;&gt;""),Input!$B$23&amp;";",""),IF(AND($G99&lt;Hta_4,$G99&gt;=Hba_4,Input!AL$24&lt;&gt;""),Input!$B$24&amp;";",""),IF(AND($G99&lt;Hta_5,$G99&gt;=Hba_5,Input!AL$25&lt;&gt;""),Input!$B$25&amp;";",""),IF(AND($G99&lt;Hta_6,$G99&gt;=Hba_6,Input!AL$26&lt;&gt;""),Input!$B$26&amp;";",""),IF(AND($G99&lt;Hta_7,$G99&gt;=Hba_7,Input!AL$27&lt;&gt;""),Input!$B$27&amp;";",""),IF(AND($G99&lt;Hta_8,$G99&gt;=Hba_8,Input!AL$28&lt;&gt;""),Input!$B$28&amp;";",""),IF(AND($G99&lt;Hta_9,$G99&gt;=Hba_9,Input!AL$29&lt;&gt;""),Input!$B$29&amp;";",""),IF(AND($G99&lt;Hta_10,$G99&gt;=Hba_10,Input!AL$30&lt;&gt;""),Input!$B$30&amp;";",""),IF(AND($G99&lt;Hta_11,$G99&gt;=Hba_11,Input!AL$31&lt;&gt;""),Input!$B$31&amp;";",""),IF(AND($G99&lt;Hta_12,$G99&gt;=Hba_12,Input!AL$32&lt;&gt;""),Input!$B$32&amp;";",""),IF(AND($G99&lt;Hta_13,$G99&gt;=Hba_13,Input!AL$33&lt;&gt;""),Input!$B$33&amp;";",""),IF(AND($G99&lt;Hta_14,$G99&gt;=Hba_14,Input!AL$34&lt;&gt;""),Input!$B$34&amp;";",""),IF(AND($G99&lt;Hta_15,$G99&gt;=Hba_15,Input!AL$35&lt;&gt;""),Input!$B$35&amp;";",""),IF(AND($G99&lt;Hta_16,$G99&gt;=Hba_16,Input!AL$36&lt;&gt;""),Input!$B$36&amp;";",""),IF(AND($G99&lt;Hta_17,$G99&gt;=Hba_17,Input!AL$37&lt;&gt;""),Input!$B$37&amp;";",""),IF(AND($G99&lt;Hta_18,$G99&gt;=Hba_18,Input!AL$38&lt;&gt;""),Input!$B$38&amp;";",""),IF(AND($G99&lt;Hta_19,$G99&gt;=Hba_19,Input!AL$39&lt;&gt;""),Input!$B$39&amp;";",""),IF(AND($G99&lt;Hta_20,$G99&gt;=Hba_20,Input!AL$40&lt;&gt;""),Input!$B$40&amp;";",""),IF(AND($G99&lt;Hta_21,$G99&gt;=Hba_21,Input!AL$41&lt;&gt;""),Input!$B$41&amp;";",""),IF(AND($G99&lt;Hta_22,$G99&gt;=Hba_22,Input!AL$42&lt;&gt;""),Input!$B$42&amp;";",""),IF(AND($G99&lt;Hta_23,$G99&gt;=Hba_23,Input!AL$43&lt;&gt;""),Input!$B$43&amp;";",""),IF(AND($G99&lt;Hta_24,$G99&gt;=Hba_24,Input!AL$44&lt;&gt;""),Input!$B$44&amp;";",""),IF(AND($G99&lt;Hta_25,$G99&gt;=Hba_25,Input!AL$45&lt;&gt;""),Input!$B$45&amp;";",""),IF(AND($G99&lt;Hta_26,$G99&gt;=Hba_26,Input!AL$46&lt;&gt;""),Input!$B$46&amp;";",""),IF(AND($G99&lt;Hta_27,$G99&gt;=Hba_27,Input!AL$47&lt;&gt;""),Input!$B$47&amp;";",""),IF(AND($G99&lt;Hta_28,$G99&gt;=Hba_28,Input!AL$48&lt;&gt;""),Input!$B$48&amp;";",""),IF(AND($G99&lt;Hta_29,$G99&gt;=Hba_29,Input!AL$49&lt;&gt;""),Input!$B$49&amp;";",""),IF(AND($G99&lt;Hta_30,$G99&gt;=Hba_30,Input!AL$50&lt;&gt;""),Input!$B$50&amp;";","")),"")</f>
        <v/>
      </c>
      <c r="CN99" s="60" t="str">
        <f t="shared" si="16"/>
        <v/>
      </c>
      <c r="CO99" s="798"/>
      <c r="CP99" s="799"/>
      <c r="CQ99" s="800"/>
      <c r="CR99" s="798"/>
      <c r="CS99" s="799"/>
      <c r="CT99" s="800"/>
      <c r="CU99" s="798" t="str">
        <f t="shared" si="17"/>
        <v/>
      </c>
      <c r="CV99" s="799"/>
      <c r="CW99" s="806"/>
      <c r="CX99" s="726"/>
      <c r="CY99" s="727"/>
      <c r="CZ99" s="732"/>
      <c r="DA99" s="726"/>
      <c r="DB99" s="727"/>
      <c r="DC99" s="732"/>
      <c r="DD99" s="726" t="str">
        <f t="shared" si="18"/>
        <v/>
      </c>
      <c r="DE99" s="727"/>
      <c r="DF99" s="728"/>
      <c r="DG99" s="53"/>
      <c r="DH99" s="54"/>
      <c r="DI99" s="54"/>
      <c r="DJ99" s="54"/>
      <c r="DK99" s="54"/>
      <c r="DL99" s="54"/>
      <c r="DM99" s="54"/>
      <c r="DN99" s="54"/>
      <c r="DO99" s="54"/>
      <c r="DP99" s="54"/>
      <c r="DQ99" s="57"/>
      <c r="DR99" s="57"/>
      <c r="DS99" s="57"/>
      <c r="DT99" s="57"/>
      <c r="DU99" s="57"/>
      <c r="DV99" s="57"/>
      <c r="DW99" s="57"/>
      <c r="DX99" s="57"/>
      <c r="DY99" s="57"/>
      <c r="DZ99" s="57"/>
      <c r="EA99" s="57"/>
      <c r="EB99" s="57"/>
      <c r="EC99" s="57"/>
      <c r="ED99" s="57"/>
      <c r="EE99" s="57"/>
      <c r="EF99" s="57"/>
      <c r="EG99" s="57"/>
      <c r="EH99" s="57"/>
      <c r="EI99" s="57"/>
      <c r="EJ99" s="57"/>
      <c r="EK99" s="57"/>
      <c r="EL99" s="133"/>
      <c r="EM99" s="133"/>
      <c r="EN99" s="133"/>
      <c r="EO99" s="133"/>
      <c r="EP99" s="133"/>
      <c r="EQ99" s="133"/>
      <c r="ER99" s="133"/>
      <c r="ES99" s="133"/>
      <c r="ET99" s="133"/>
      <c r="EU99" s="133"/>
      <c r="EV99" s="133"/>
      <c r="EW99" s="133"/>
      <c r="EX99" s="133"/>
      <c r="EY99" s="133"/>
      <c r="EZ99" s="133"/>
      <c r="FA99" s="133"/>
      <c r="FB99" s="133"/>
      <c r="FC99" s="133"/>
      <c r="FD99" s="133"/>
      <c r="FE99" s="133"/>
      <c r="FF99" s="133"/>
      <c r="FG99" s="133"/>
      <c r="FH99" s="133"/>
      <c r="FI99" s="133"/>
      <c r="FJ99" s="133"/>
      <c r="FK99" s="133"/>
      <c r="FL99" s="133"/>
      <c r="FM99" s="133"/>
      <c r="FN99" s="133"/>
      <c r="FO99" s="133"/>
      <c r="FQ99" s="125"/>
      <c r="FR99" s="123"/>
      <c r="FS99" s="121"/>
      <c r="FT99" s="119"/>
    </row>
    <row r="100" spans="2:176" ht="15.75" hidden="1" thickBot="1" x14ac:dyDescent="0.3">
      <c r="B100" s="62" t="b">
        <f>IF(OR(AND(G100&gt;='Geometry 2'!$AK$5,G100&lt;'Geometry 2'!$AL$5),AND(G100&gt;='Geometry 2'!$AK$6,G100&lt;'Geometry 2'!$AL$6),AND(G100&gt;='Geometry 2'!$AK$7,G100&lt;'Geometry 2'!$AL$7),AND(G100&gt;='Geometry 2'!$AK$8,G100&lt;'Geometry 2'!$AL$8),AND(G100&gt;='Geometry 2'!$AK$9,G100&lt;'Geometry 2'!$AL$9),AND(G100&gt;='Geometry 2'!$AK$10,G100&lt;'Geometry 2'!$AL$10),AND(G100&gt;='Geometry 2'!$AK$11,G100&lt;'Geometry 2'!$AL$11),AND(G100&gt;='Geometry 2'!$AK$12,G100&lt;'Geometry 2'!$AL$12),AND(G100&gt;='Geometry 2'!$AK$13,G100&lt;'Geometry 2'!$AL$13),AND(G100&gt;='Geometry 2'!$AK$14,G100&lt;'Geometry 2'!$AL$14)),TRUE,FALSE)</f>
        <v>0</v>
      </c>
      <c r="C100" s="4" t="str">
        <f t="shared" si="13"/>
        <v/>
      </c>
      <c r="D100" s="766" t="str">
        <f t="shared" si="14"/>
        <v/>
      </c>
      <c r="E100" s="767"/>
      <c r="F100" s="17" t="str">
        <f t="shared" si="12"/>
        <v/>
      </c>
      <c r="G100" s="768" t="str">
        <f>IF(D100="","",MAX(0,G99-IF(inc="n/a",999,inc),MAX(IF(G99&lt;=Hta_1,0,Hta_1),IF(G99&lt;=Hta_2,0,Hta_2),IF(G99&lt;=Hta_3,0,Hta_3),IF(G99&lt;=Hta_4,0,Hta_4),IF(G99&lt;=Hta_5,0,Hta_5),IF(G99&lt;=Hta_6,0,Hta_6),IF(G99&lt;=Hta_7,0,Hta_7),IF(G99&lt;=Hta_8,0,Hta_8),IF(G99&lt;=Hta_9,0,Hta_9),IF(G99&lt;=Hta_10,0,Hta_10),IF(G99&lt;=Hta_11,0,Hta_11),IF(G99&lt;=Hta_12,0,Hta_12),IF(G99&lt;=Hta_13,0,Hta_13),IF(G99&lt;=Hta_14,0,Hta_14),IF(G99&lt;=Hta_15,0,Hta_15),IF(G99&lt;=Hta_16,0,Hta_16),IF(G99&lt;=Hta_17,0,Hta_17),IF(G99&lt;=Hta_18,0,Hta_18),IF(G99&lt;=Hta_19,0,Hta_19),IF(G99&lt;=Hta_20,0,Hta_20),IF(G99&lt;=Hta_21,0,Hta_21),IF(G99&lt;=Hta_22,0,Hta_22),IF(G99&lt;=Hta_23,0,Hta_23),IF(G99&lt;=Hta_24,0,Hta_24),IF(G99&lt;=Hta_25,0,Hta_25),IF(G99&lt;=Hta_26,0,Hta_26),IF(G99&lt;=Hta_27,0,Hta_27),IF(G99&lt;=Hta_28,0,Hta_28),IF(G99&lt;=Hta_29,0,Hta_29),IF(G99&lt;=Hta_30,0,Hta_30)),MAX(IF(G99&lt;=Hta_1-0.25,0,Hta_1-0.25),IF(G99&lt;=Hta_2-0.25,0,Hta_2-0.25),IF(G99&lt;=Hta_3-0.25,0,Hta_3-0.25),IF(G99&lt;=Hta_4-0.25,0,Hta_4-0.25),IF(G99&lt;=Hta_5-0.25,0,Hta_5-0.25),IF(G99&lt;=Hta_6-0.25,0,Hta_6-0.25),IF(G99&lt;=Hta_7-0.25,0,Hta_7-0.25),IF(G99&lt;=Hta_8-0.25,0,Hta_8-0.25),IF(G99&lt;=Hta_9-0.25,0,Hta_9-0.25),IF(G99&lt;=Hta_10-0.25,0,Hta_10-0.25),IF(G99&lt;=Hta_11-0.25,0,Hta_11-0.25),IF(G99&lt;=Hta_12-0.25,0,Hta_12-0.25),IF(G99&lt;=Hta_13-0.25,0,Hta_13-0.25),IF(G99&lt;=Hta_14-0.25,0,Hta_14-0.25),IF(G99&lt;=Hta_15-0.25,0,Hta_15-0.25),IF(G99&lt;=Hta_16-0.25,0,Hta_16-0.25),IF(G99&lt;=Hta_17-0.25,0,Hta_17-0.25),IF(G99&lt;=Hta_18-0.25,0,Hta_18-0.25),IF(G99&lt;=Hta_19-0.25,0,Hta_19-0.25),IF(G99&lt;=Hta_20-0.25,0,Hta_20-0.25),IF(G99&lt;=Hta_21-0.25,0,Hta_21-0.25),IF(G99&lt;=Hta_22-0.25,0,Hta_22-0.25),IF(G99&lt;=Hta_23-0.25,0,Hta_23-0.25),IF(G99&lt;=Hta_24-0.25,0,Hta_24-0.25),IF(G99&lt;=Hta_25-0.25,0,Hta_25-0.25),IF(G99&lt;=Hta_26-0.25,0,Hta_26-0.25),IF(G99&lt;=Hta_27-0.25,0,Hta_27-0.25),IF(G99&lt;=Hta_28-0.25,0,Hta_28-0.25),IF(G99&lt;=Hta_29-0.25,0,Hta_29-0.25),IF(G99&lt;=Hta_30-0.25,0,Hta_30-0.25)),MAX(IF(G99&lt;=Hba_1,0,Hba_1),IF(G99&lt;=Hba_2,0,Hba_2),IF(G99&lt;=Hba_3,0,Hba_3),IF(G99&lt;=Hba_4,0,Hba_4),IF(G99&lt;=Hba_5,0,Hba_5),IF(G99&lt;=Hba_6,0,Hba_6),IF(G99&lt;=Hba_7,0,Hba_7),IF(G99&lt;=Hba_8,0,Hba_8),IF(G99&lt;=Hba_9,0,Hba_9),IF(G99&lt;=Hba_10,0,Hba_10),IF(G99&lt;=Hba_11,0,Hba_11),IF(G99&lt;=Hba_12,0,Hba_12),IF(G99&lt;=Hba_13,0,Hba_13),IF(G99&lt;=Hba_14,0,Hba_14),IF(G99&lt;=Hba_15,0,Hba_15),IF(G99&lt;=Hba_16,0,Hba_16),IF(G99&lt;=Hba_17,0,Hba_17),IF(G99&lt;=Hba_18,0,Hba_18),IF(G99&lt;=Hba_19,0,Hba_19),IF(G99&lt;=Hba_20,0,Hba_20),IF(G99&lt;=Hba_21,0,Hba_21),IF(G99&lt;=Hba_22,0,Hba_22),IF(G99&lt;=Hba_23,0,Hba_23),IF(G99&lt;=Hba_24,0,Hba_24),IF(G99&lt;=Hba_25,0,Hba_25),IF(G99&lt;=Hba_26,0,Hba_26),IF(G99&lt;=Hba_27,0,Hba_27),IF(G99&lt;=Hba_28,0,Hba_28),IF(G99&lt;=Hba_29,0,Hba_29),IF(G99&lt;=Hba_30,0,Hba_30)),MAX(IF(G99&lt;=Input!$C$8,0,Input!$C$8),IF(G99&lt;=Input!$C$9,0,Input!$C$9),IF(G99&lt;=Input!$C$10,0,Input!$C$10),IF(G99&lt;=Input!$C$11,0,Input!$C$11),IF(G99&lt;=Input!$C$12,0,Input!$C$12),IF(G99&lt;=Input!$C$13,0,Input!$C$13),IF(G99&lt;=Input!$C$14,0,Input!$C$14),IF(G99&lt;=Input!$C$15,0,Input!$C$15),IF(G99&lt;=Input!$C$16,0,Input!$C$16)),MAX(IF(G99&lt;=Hba_1-0.25,0,Hba_1-0.25),IF(G99&lt;=Hba_2-0.25,0,Hba_2-0.25),IF(G99&lt;=Hba_3-0.25,0,Hba_3-0.25),IF(G99&lt;=Hba_4-0.25,0,Hba_4-0.25),IF(G99&lt;=Hba_5-0.25,0,Hba_5-0.25),IF(G99&lt;=Hba_6-0.25,0,Hba_6-0.25),IF(G99&lt;=Hba_7-0.25,0,Hba_7-0.25),IF(G99&lt;=Hba_8-0.25,0,Hba_8-0.25),IF(G99&lt;=Hba_9-0.25,0,Hba_9-0.25),IF(G99&lt;=Hba_10-0.25,0,Hba_10-0.25),IF(G99&lt;=Hba_11-0.25,0,Hba_11-0.25),IF(G99&lt;=Hba_12-0.25,0,Hba_12-0.25),IF(G99&lt;=Hba_13-0.25,0,Hba_13-0.25),IF(G99&lt;=Hba_14-0.25,0,Hba_14-0.25),IF(G99&lt;=Hba_15-0.25,0,Hba_15-0.25),IF(G99&lt;=Hba_16-0.25,0,Hba_16-0.25),IF(G99&lt;=Hba_17-0.25,0,Hba_17-0.25),IF(G99&lt;=Hba_18-0.25,0,Hba_18-0.25),IF(G99&lt;=Hba_19-0.25,0,Hba_19-0.25),IF(G99&lt;=Hba_20-0.25,0,Hba_20-0.25),IF(G99&lt;=Hba_21-0.25,0,Hba_21-0.25),IF(G99&lt;=Hba_22-0.25,0,Hba_22-0.25),IF(G99&lt;=Hba_23-0.25,0,Hba_23-0.25),IF(G99&lt;=Hba_24-0.25,0,Hba_24-0.25),IF(G99&lt;=Hba_25-0.25,0,Hba_25-0.25),IF(G99&lt;=Hba_26-0.25,0,Hba_26-0.25),IF(G99&lt;=Hba_27-0.25,0,Hba_27-0.25),IF(G99&lt;=Hba_28-0.25,0,Hba_28-0.25),IF(G99&lt;=Hba_29-0.25,0,Hba_29-0.25),IF(G99&lt;=Hba_30-0.25,0,Hba_30-0.25)),IF(G99&lt;='Macro References'!$A$38,0,'Macro References'!$A$38)))</f>
        <v/>
      </c>
      <c r="H100" s="769"/>
      <c r="I100" s="228"/>
      <c r="J100" s="228"/>
      <c r="K100" s="228"/>
      <c r="L100" s="717" t="str">
        <f t="shared" si="11"/>
        <v/>
      </c>
      <c r="M100" s="717"/>
      <c r="N100" s="717"/>
      <c r="O100" s="717"/>
      <c r="P100" s="717" t="str">
        <f>IF(OR(G100=0,G100=""),"",IF(VLOOKUP(G100,'Geometry 2'!$C$4:$AI$14,1,TRUE)=VLOOKUP(G101,'Geometry 2'!$C$4:$AI$14,1,TRUE),"",IF(VLOOKUP(G100,'Geometry 2'!$C$4:$AI$14,33,TRUE)&lt;&gt;"n/a",MIN(G100,VLOOKUP(G100,'Geometry 2'!$C$4:$AI$14,1,TRUE))-VLOOKUP(G100,'Geometry 2'!$C$4:$AI$14,33,TRUE),"check")))</f>
        <v/>
      </c>
      <c r="Q100" s="717"/>
      <c r="R100" s="717"/>
      <c r="S100" s="717"/>
      <c r="T100" s="717" t="str">
        <f>IF($G100="","",VLOOKUP($G100,'Geometry 2'!$E$4:$AH$14,11,TRUE))</f>
        <v/>
      </c>
      <c r="U100" s="717"/>
      <c r="V100" s="717"/>
      <c r="W100" s="717"/>
      <c r="X100" s="716" t="str">
        <f>IF($G100="","",VLOOKUP($G100,'Geometry 2'!$E$4:$AJ$14,19,TRUE)-12*VLOOKUP($G100,'Geometry 2'!$E$4:$AJ$14,32,TRUE)*($D100-VLOOKUP($G100,'Geometry 2'!$E$5:$AH$14,1,TRUE)))</f>
        <v/>
      </c>
      <c r="Y100" s="716"/>
      <c r="Z100" s="716"/>
      <c r="AA100" s="716"/>
      <c r="AB100" s="757" t="str">
        <f>IF($G100="","",VLOOKUP($G100,'Geometry 2'!$E$4:$AJ$14,19,TRUE)-12*VLOOKUP($G100,'Geometry 2'!$E$4:$AJ$14,32,TRUE)*($G100-VLOOKUP($G100,'Geometry 2'!$E$5:$AH$14,1,TRUE)))</f>
        <v/>
      </c>
      <c r="AC100" s="758"/>
      <c r="AD100" s="758"/>
      <c r="AE100" s="759"/>
      <c r="AF100" s="716" t="str">
        <f>IF($G100="","",VLOOKUP($G100,'Geometry 2'!$E$4:$AJ$14,19,TRUE)-12*VLOOKUP($G100,'Geometry 2'!$E$4:$AJ$14,32,TRUE)*($G100-IF($P100="",0,$P100)-VLOOKUP($G100,'Geometry 2'!$E$5:$AH$14,1,TRUE)))</f>
        <v/>
      </c>
      <c r="AG100" s="716"/>
      <c r="AH100" s="716"/>
      <c r="AI100" s="716"/>
      <c r="AJ100" s="746" t="str">
        <f>IF($G100="","",VLOOKUP($G100,'Geometry 2'!$E$4:$AH$14,23,TRUE))</f>
        <v/>
      </c>
      <c r="AK100" s="747"/>
      <c r="AL100" s="747"/>
      <c r="AM100" s="748"/>
      <c r="AN100" s="717"/>
      <c r="AO100" s="717"/>
      <c r="AP100" s="717"/>
      <c r="AQ100" s="717"/>
      <c r="AR100" s="717" t="str">
        <f>IF($G100="","",VLOOKUP($G100,'Geometry 2'!$E$4:$AH$14,27,TRUE))</f>
        <v/>
      </c>
      <c r="AS100" s="717"/>
      <c r="AT100" s="717"/>
      <c r="AU100" s="718"/>
      <c r="AV100" s="715"/>
      <c r="AW100" s="716"/>
      <c r="AX100" s="716"/>
      <c r="AZ100" s="722" t="str">
        <f t="shared" si="15"/>
        <v/>
      </c>
      <c r="BA100" s="723"/>
      <c r="BB100" s="723"/>
      <c r="BC100" s="724"/>
      <c r="BD100" s="722"/>
      <c r="BE100" s="723"/>
      <c r="BF100" s="723"/>
      <c r="BG100" s="722" t="str">
        <f t="shared" si="19"/>
        <v/>
      </c>
      <c r="BH100" s="723"/>
      <c r="BI100" s="723"/>
      <c r="BJ100" s="723"/>
      <c r="BK100" s="724"/>
      <c r="BL100" s="722"/>
      <c r="BM100" s="723"/>
      <c r="BN100" s="723"/>
      <c r="BO100" s="723"/>
      <c r="BP100" s="725"/>
      <c r="BQ100" s="725"/>
      <c r="BR100" s="722" t="str">
        <f>IF(BP100="","",IF(OR(AND(Rev="H",Calculations!$F$27=TRUE),AND(Rev&lt;&gt;"H",Calculations!$F$30=TRUE)),IF(BP100&lt;=1,"Pass","Fail"),IF(BP100&lt;=1.05,"Pass","Fail")))</f>
        <v/>
      </c>
      <c r="BS100" s="723"/>
      <c r="BT100" s="724"/>
      <c r="BU100" s="49"/>
      <c r="BV100" s="25" t="str">
        <f>IFERROR(CONCATENATE(IF(AND($G100&lt;Hta_1,$G100&gt;=Hba_1,Input!U$21&lt;&gt;""),Input!$B$21&amp;";",""),IF(AND($G100&lt;Hta_2,$G100&gt;=Hba_2,Input!U$22&lt;&gt;""),Input!$B$22&amp;";",""),IF(AND($G100&lt;Hta_3,$G100&gt;=Hba_3,Input!U$23&lt;&gt;""),Input!$B$23&amp;";",""),IF(AND($G100&lt;Hta_4,$G100&gt;=Hba_4,Input!U$24&lt;&gt;""),Input!$B$24&amp;";",""),IF(AND($G100&lt;Hta_5,$G100&gt;=Hba_5,Input!U$25&lt;&gt;""),Input!$B$25&amp;";",""),IF(AND($G100&lt;Hta_6,$G100&gt;=Hba_6,Input!U$26&lt;&gt;""),Input!$B$26&amp;";",""),IF(AND($G100&lt;Hta_7,$G100&gt;=Hba_7,Input!U$27&lt;&gt;""),Input!$B$27&amp;";",""),IF(AND($G100&lt;Hta_8,$G100&gt;=Hba_8,Input!U$28&lt;&gt;""),Input!$B$28&amp;";",""),IF(AND($G100&lt;Hta_9,$G100&gt;=Hba_9,Input!U$29&lt;&gt;""),Input!$B$29&amp;";",""),IF(AND($G100&lt;Hta_10,$G100&gt;=Hba_10,Input!U$30&lt;&gt;""),Input!$B$30&amp;";",""),IF(AND($G100&lt;Hta_11,$G100&gt;=Hba_11,Input!U$31&lt;&gt;""),Input!$B$31&amp;";",""),IF(AND($G100&lt;Hta_12,$G100&gt;=Hba_12,Input!U$32&lt;&gt;""),Input!$B$32&amp;";",""),IF(AND($G100&lt;Hta_13,$G100&gt;=Hba_13,Input!U$33&lt;&gt;""),Input!$B$33&amp;";",""),IF(AND($G100&lt;Hta_14,$G100&gt;=Hba_14,Input!U$34&lt;&gt;""),Input!$B$34&amp;";",""),IF(AND($G100&lt;Hta_15,$G100&gt;=Hba_15,Input!U$35&lt;&gt;""),Input!$B$35&amp;";",""),IF(AND($G100&lt;Hta_16,$G100&gt;=Hba_16,Input!U$36&lt;&gt;""),Input!$B$36&amp;";",""),IF(AND($G100&lt;Hta_17,$G100&gt;=Hba_17,Input!U$37&lt;&gt;""),Input!$B$37&amp;";",""),IF(AND($G100&lt;Hta_18,$G100&gt;=Hba_18,Input!U$38&lt;&gt;""),Input!$B$38&amp;";",""),IF(AND($G100&lt;Hta_19,$G100&gt;=Hba_19,Input!U$39&lt;&gt;""),Input!$B$39&amp;";",""),IF(AND($G100&lt;Hta_20,$G100&gt;=Hba_20,Input!U$40&lt;&gt;""),Input!$B$40&amp;";",""),IF(AND($G100&lt;Hta_21,$G100&gt;=Hba_21,Input!U$41&lt;&gt;""),Input!$B$41&amp;";",""),IF(AND($G100&lt;Hta_22,$G100&gt;=Hba_22,Input!U$42&lt;&gt;""),Input!$B$42&amp;";",""),IF(AND($G100&lt;Hta_23,$G100&gt;=Hba_23,Input!U$43&lt;&gt;""),Input!$B$43&amp;";",""),IF(AND($G100&lt;Hta_24,$G100&gt;=Hba_24,Input!U$44&lt;&gt;""),Input!$B$44&amp;";",""),IF(AND($G100&lt;Hta_25,$G100&gt;=Hba_25,Input!U$45&lt;&gt;""),Input!$B$45&amp;";",""),IF(AND($G100&lt;Hta_26,$G100&gt;=Hba_26,Input!U$46&lt;&gt;""),Input!$B$46&amp;";",""),IF(AND($G100&lt;Hta_27,$G100&gt;=Hba_27,Input!U$47&lt;&gt;""),Input!$B$47&amp;";",""),IF(AND($G100&lt;Hta_28,$G100&gt;=Hba_28,Input!U$48&lt;&gt;""),Input!$B$48&amp;";",""),IF(AND($G100&lt;Hta_29,$G100&gt;=Hba_29,Input!U$49&lt;&gt;""),Input!$B$49&amp;";",""),IF(AND($G100&lt;Hta_30,$G100&gt;=Hba_30,Input!U$50&lt;&gt;""),Input!$B$50&amp;";","")),"")</f>
        <v/>
      </c>
      <c r="BW100" s="25" t="str">
        <f>IFERROR(CONCATENATE(IF(AND($G100&lt;Hta_1,$G100&gt;=Hba_1,Input!V$21&lt;&gt;""),Input!$B$21&amp;";",""),IF(AND($G100&lt;Hta_2,$G100&gt;=Hba_2,Input!V$22&lt;&gt;""),Input!$B$22&amp;";",""),IF(AND($G100&lt;Hta_3,$G100&gt;=Hba_3,Input!V$23&lt;&gt;""),Input!$B$23&amp;";",""),IF(AND($G100&lt;Hta_4,$G100&gt;=Hba_4,Input!V$24&lt;&gt;""),Input!$B$24&amp;";",""),IF(AND($G100&lt;Hta_5,$G100&gt;=Hba_5,Input!V$25&lt;&gt;""),Input!$B$25&amp;";",""),IF(AND($G100&lt;Hta_6,$G100&gt;=Hba_6,Input!V$26&lt;&gt;""),Input!$B$26&amp;";",""),IF(AND($G100&lt;Hta_7,$G100&gt;=Hba_7,Input!V$27&lt;&gt;""),Input!$B$27&amp;";",""),IF(AND($G100&lt;Hta_8,$G100&gt;=Hba_8,Input!V$28&lt;&gt;""),Input!$B$28&amp;";",""),IF(AND($G100&lt;Hta_9,$G100&gt;=Hba_9,Input!V$29&lt;&gt;""),Input!$B$29&amp;";",""),IF(AND($G100&lt;Hta_10,$G100&gt;=Hba_10,Input!V$30&lt;&gt;""),Input!$B$30&amp;";",""),IF(AND($G100&lt;Hta_11,$G100&gt;=Hba_11,Input!V$31&lt;&gt;""),Input!$B$31&amp;";",""),IF(AND($G100&lt;Hta_12,$G100&gt;=Hba_12,Input!V$32&lt;&gt;""),Input!$B$32&amp;";",""),IF(AND($G100&lt;Hta_13,$G100&gt;=Hba_13,Input!V$33&lt;&gt;""),Input!$B$33&amp;";",""),IF(AND($G100&lt;Hta_14,$G100&gt;=Hba_14,Input!V$34&lt;&gt;""),Input!$B$34&amp;";",""),IF(AND($G100&lt;Hta_15,$G100&gt;=Hba_15,Input!V$35&lt;&gt;""),Input!$B$35&amp;";",""),IF(AND($G100&lt;Hta_16,$G100&gt;=Hba_16,Input!V$36&lt;&gt;""),Input!$B$36&amp;";",""),IF(AND($G100&lt;Hta_17,$G100&gt;=Hba_17,Input!V$37&lt;&gt;""),Input!$B$37&amp;";",""),IF(AND($G100&lt;Hta_18,$G100&gt;=Hba_18,Input!V$38&lt;&gt;""),Input!$B$38&amp;";",""),IF(AND($G100&lt;Hta_19,$G100&gt;=Hba_19,Input!V$39&lt;&gt;""),Input!$B$39&amp;";",""),IF(AND($G100&lt;Hta_20,$G100&gt;=Hba_20,Input!V$40&lt;&gt;""),Input!$B$40&amp;";",""),IF(AND($G100&lt;Hta_21,$G100&gt;=Hba_21,Input!V$41&lt;&gt;""),Input!$B$41&amp;";",""),IF(AND($G100&lt;Hta_22,$G100&gt;=Hba_22,Input!V$42&lt;&gt;""),Input!$B$42&amp;";",""),IF(AND($G100&lt;Hta_23,$G100&gt;=Hba_23,Input!V$43&lt;&gt;""),Input!$B$43&amp;";",""),IF(AND($G100&lt;Hta_24,$G100&gt;=Hba_24,Input!V$44&lt;&gt;""),Input!$B$44&amp;";",""),IF(AND($G100&lt;Hta_25,$G100&gt;=Hba_25,Input!V$45&lt;&gt;""),Input!$B$45&amp;";",""),IF(AND($G100&lt;Hta_26,$G100&gt;=Hba_26,Input!V$46&lt;&gt;""),Input!$B$46&amp;";",""),IF(AND($G100&lt;Hta_27,$G100&gt;=Hba_27,Input!V$47&lt;&gt;""),Input!$B$47&amp;";",""),IF(AND($G100&lt;Hta_28,$G100&gt;=Hba_28,Input!V$48&lt;&gt;""),Input!$B$48&amp;";",""),IF(AND($G100&lt;Hta_29,$G100&gt;=Hba_29,Input!V$49&lt;&gt;""),Input!$B$49&amp;";",""),IF(AND($G100&lt;Hta_30,$G100&gt;=Hba_30,Input!V$50&lt;&gt;""),Input!$B$50&amp;";","")),"")</f>
        <v/>
      </c>
      <c r="BX100" s="25" t="str">
        <f>IFERROR(CONCATENATE(IF(AND($G100&lt;Hta_1,$G100&gt;=Hba_1,Input!W$21&lt;&gt;""),Input!$B$21&amp;";",""),IF(AND($G100&lt;Hta_2,$G100&gt;=Hba_2,Input!W$22&lt;&gt;""),Input!$B$22&amp;";",""),IF(AND($G100&lt;Hta_3,$G100&gt;=Hba_3,Input!W$23&lt;&gt;""),Input!$B$23&amp;";",""),IF(AND($G100&lt;Hta_4,$G100&gt;=Hba_4,Input!W$24&lt;&gt;""),Input!$B$24&amp;";",""),IF(AND($G100&lt;Hta_5,$G100&gt;=Hba_5,Input!W$25&lt;&gt;""),Input!$B$25&amp;";",""),IF(AND($G100&lt;Hta_6,$G100&gt;=Hba_6,Input!W$26&lt;&gt;""),Input!$B$26&amp;";",""),IF(AND($G100&lt;Hta_7,$G100&gt;=Hba_7,Input!W$27&lt;&gt;""),Input!$B$27&amp;";",""),IF(AND($G100&lt;Hta_8,$G100&gt;=Hba_8,Input!W$28&lt;&gt;""),Input!$B$28&amp;";",""),IF(AND($G100&lt;Hta_9,$G100&gt;=Hba_9,Input!W$29&lt;&gt;""),Input!$B$29&amp;";",""),IF(AND($G100&lt;Hta_10,$G100&gt;=Hba_10,Input!W$30&lt;&gt;""),Input!$B$30&amp;";",""),IF(AND($G100&lt;Hta_11,$G100&gt;=Hba_11,Input!W$31&lt;&gt;""),Input!$B$31&amp;";",""),IF(AND($G100&lt;Hta_12,$G100&gt;=Hba_12,Input!W$32&lt;&gt;""),Input!$B$32&amp;";",""),IF(AND($G100&lt;Hta_13,$G100&gt;=Hba_13,Input!W$33&lt;&gt;""),Input!$B$33&amp;";",""),IF(AND($G100&lt;Hta_14,$G100&gt;=Hba_14,Input!W$34&lt;&gt;""),Input!$B$34&amp;";",""),IF(AND($G100&lt;Hta_15,$G100&gt;=Hba_15,Input!W$35&lt;&gt;""),Input!$B$35&amp;";",""),IF(AND($G100&lt;Hta_16,$G100&gt;=Hba_16,Input!W$36&lt;&gt;""),Input!$B$36&amp;";",""),IF(AND($G100&lt;Hta_17,$G100&gt;=Hba_17,Input!W$37&lt;&gt;""),Input!$B$37&amp;";",""),IF(AND($G100&lt;Hta_18,$G100&gt;=Hba_18,Input!W$38&lt;&gt;""),Input!$B$38&amp;";",""),IF(AND($G100&lt;Hta_19,$G100&gt;=Hba_19,Input!W$39&lt;&gt;""),Input!$B$39&amp;";",""),IF(AND($G100&lt;Hta_20,$G100&gt;=Hba_20,Input!W$40&lt;&gt;""),Input!$B$40&amp;";",""),IF(AND($G100&lt;Hta_21,$G100&gt;=Hba_21,Input!W$41&lt;&gt;""),Input!$B$41&amp;";",""),IF(AND($G100&lt;Hta_22,$G100&gt;=Hba_22,Input!W$42&lt;&gt;""),Input!$B$42&amp;";",""),IF(AND($G100&lt;Hta_23,$G100&gt;=Hba_23,Input!W$43&lt;&gt;""),Input!$B$43&amp;";",""),IF(AND($G100&lt;Hta_24,$G100&gt;=Hba_24,Input!W$44&lt;&gt;""),Input!$B$44&amp;";",""),IF(AND($G100&lt;Hta_25,$G100&gt;=Hba_25,Input!W$45&lt;&gt;""),Input!$B$45&amp;";",""),IF(AND($G100&lt;Hta_26,$G100&gt;=Hba_26,Input!W$46&lt;&gt;""),Input!$B$46&amp;";",""),IF(AND($G100&lt;Hta_27,$G100&gt;=Hba_27,Input!W$47&lt;&gt;""),Input!$B$47&amp;";",""),IF(AND($G100&lt;Hta_28,$G100&gt;=Hba_28,Input!W$48&lt;&gt;""),Input!$B$48&amp;";",""),IF(AND($G100&lt;Hta_29,$G100&gt;=Hba_29,Input!W$49&lt;&gt;""),Input!$B$49&amp;";",""),IF(AND($G100&lt;Hta_30,$G100&gt;=Hba_30,Input!W$50&lt;&gt;""),Input!$B$50&amp;";","")),"")</f>
        <v/>
      </c>
      <c r="BY100" s="25" t="str">
        <f>IFERROR(CONCATENATE(IF(AND($G100&lt;Hta_1,$G100&gt;=Hba_1,Input!X$21&lt;&gt;""),Input!$B$21&amp;";",""),IF(AND($G100&lt;Hta_2,$G100&gt;=Hba_2,Input!X$22&lt;&gt;""),Input!$B$22&amp;";",""),IF(AND($G100&lt;Hta_3,$G100&gt;=Hba_3,Input!X$23&lt;&gt;""),Input!$B$23&amp;";",""),IF(AND($G100&lt;Hta_4,$G100&gt;=Hba_4,Input!X$24&lt;&gt;""),Input!$B$24&amp;";",""),IF(AND($G100&lt;Hta_5,$G100&gt;=Hba_5,Input!X$25&lt;&gt;""),Input!$B$25&amp;";",""),IF(AND($G100&lt;Hta_6,$G100&gt;=Hba_6,Input!X$26&lt;&gt;""),Input!$B$26&amp;";",""),IF(AND($G100&lt;Hta_7,$G100&gt;=Hba_7,Input!X$27&lt;&gt;""),Input!$B$27&amp;";",""),IF(AND($G100&lt;Hta_8,$G100&gt;=Hba_8,Input!X$28&lt;&gt;""),Input!$B$28&amp;";",""),IF(AND($G100&lt;Hta_9,$G100&gt;=Hba_9,Input!X$29&lt;&gt;""),Input!$B$29&amp;";",""),IF(AND($G100&lt;Hta_10,$G100&gt;=Hba_10,Input!X$30&lt;&gt;""),Input!$B$30&amp;";",""),IF(AND($G100&lt;Hta_11,$G100&gt;=Hba_11,Input!X$31&lt;&gt;""),Input!$B$31&amp;";",""),IF(AND($G100&lt;Hta_12,$G100&gt;=Hba_12,Input!X$32&lt;&gt;""),Input!$B$32&amp;";",""),IF(AND($G100&lt;Hta_13,$G100&gt;=Hba_13,Input!X$33&lt;&gt;""),Input!$B$33&amp;";",""),IF(AND($G100&lt;Hta_14,$G100&gt;=Hba_14,Input!X$34&lt;&gt;""),Input!$B$34&amp;";",""),IF(AND($G100&lt;Hta_15,$G100&gt;=Hba_15,Input!X$35&lt;&gt;""),Input!$B$35&amp;";",""),IF(AND($G100&lt;Hta_16,$G100&gt;=Hba_16,Input!X$36&lt;&gt;""),Input!$B$36&amp;";",""),IF(AND($G100&lt;Hta_17,$G100&gt;=Hba_17,Input!X$37&lt;&gt;""),Input!$B$37&amp;";",""),IF(AND($G100&lt;Hta_18,$G100&gt;=Hba_18,Input!X$38&lt;&gt;""),Input!$B$38&amp;";",""),IF(AND($G100&lt;Hta_19,$G100&gt;=Hba_19,Input!X$39&lt;&gt;""),Input!$B$39&amp;";",""),IF(AND($G100&lt;Hta_20,$G100&gt;=Hba_20,Input!X$40&lt;&gt;""),Input!$B$40&amp;";",""),IF(AND($G100&lt;Hta_21,$G100&gt;=Hba_21,Input!X$41&lt;&gt;""),Input!$B$41&amp;";",""),IF(AND($G100&lt;Hta_22,$G100&gt;=Hba_22,Input!X$42&lt;&gt;""),Input!$B$42&amp;";",""),IF(AND($G100&lt;Hta_23,$G100&gt;=Hba_23,Input!X$43&lt;&gt;""),Input!$B$43&amp;";",""),IF(AND($G100&lt;Hta_24,$G100&gt;=Hba_24,Input!X$44&lt;&gt;""),Input!$B$44&amp;";",""),IF(AND($G100&lt;Hta_25,$G100&gt;=Hba_25,Input!X$45&lt;&gt;""),Input!$B$45&amp;";",""),IF(AND($G100&lt;Hta_26,$G100&gt;=Hba_26,Input!X$46&lt;&gt;""),Input!$B$46&amp;";",""),IF(AND($G100&lt;Hta_27,$G100&gt;=Hba_27,Input!X$47&lt;&gt;""),Input!$B$47&amp;";",""),IF(AND($G100&lt;Hta_28,$G100&gt;=Hba_28,Input!X$48&lt;&gt;""),Input!$B$48&amp;";",""),IF(AND($G100&lt;Hta_29,$G100&gt;=Hba_29,Input!X$49&lt;&gt;""),Input!$B$49&amp;";",""),IF(AND($G100&lt;Hta_30,$G100&gt;=Hba_30,Input!X$50&lt;&gt;""),Input!$B$50&amp;";","")),"")</f>
        <v/>
      </c>
      <c r="BZ100" s="25" t="str">
        <f>IFERROR(CONCATENATE(IF(AND($G100&lt;Hta_1,$G100&gt;=Hba_1,Input!Y$21&lt;&gt;""),Input!$B$21&amp;";",""),IF(AND($G100&lt;Hta_2,$G100&gt;=Hba_2,Input!Y$22&lt;&gt;""),Input!$B$22&amp;";",""),IF(AND($G100&lt;Hta_3,$G100&gt;=Hba_3,Input!Y$23&lt;&gt;""),Input!$B$23&amp;";",""),IF(AND($G100&lt;Hta_4,$G100&gt;=Hba_4,Input!Y$24&lt;&gt;""),Input!$B$24&amp;";",""),IF(AND($G100&lt;Hta_5,$G100&gt;=Hba_5,Input!Y$25&lt;&gt;""),Input!$B$25&amp;";",""),IF(AND($G100&lt;Hta_6,$G100&gt;=Hba_6,Input!Y$26&lt;&gt;""),Input!$B$26&amp;";",""),IF(AND($G100&lt;Hta_7,$G100&gt;=Hba_7,Input!Y$27&lt;&gt;""),Input!$B$27&amp;";",""),IF(AND($G100&lt;Hta_8,$G100&gt;=Hba_8,Input!Y$28&lt;&gt;""),Input!$B$28&amp;";",""),IF(AND($G100&lt;Hta_9,$G100&gt;=Hba_9,Input!Y$29&lt;&gt;""),Input!$B$29&amp;";",""),IF(AND($G100&lt;Hta_10,$G100&gt;=Hba_10,Input!Y$30&lt;&gt;""),Input!$B$30&amp;";",""),IF(AND($G100&lt;Hta_11,$G100&gt;=Hba_11,Input!Y$31&lt;&gt;""),Input!$B$31&amp;";",""),IF(AND($G100&lt;Hta_12,$G100&gt;=Hba_12,Input!Y$32&lt;&gt;""),Input!$B$32&amp;";",""),IF(AND($G100&lt;Hta_13,$G100&gt;=Hba_13,Input!Y$33&lt;&gt;""),Input!$B$33&amp;";",""),IF(AND($G100&lt;Hta_14,$G100&gt;=Hba_14,Input!Y$34&lt;&gt;""),Input!$B$34&amp;";",""),IF(AND($G100&lt;Hta_15,$G100&gt;=Hba_15,Input!Y$35&lt;&gt;""),Input!$B$35&amp;";",""),IF(AND($G100&lt;Hta_16,$G100&gt;=Hba_16,Input!Y$36&lt;&gt;""),Input!$B$36&amp;";",""),IF(AND($G100&lt;Hta_17,$G100&gt;=Hba_17,Input!Y$37&lt;&gt;""),Input!$B$37&amp;";",""),IF(AND($G100&lt;Hta_18,$G100&gt;=Hba_18,Input!Y$38&lt;&gt;""),Input!$B$38&amp;";",""),IF(AND($G100&lt;Hta_19,$G100&gt;=Hba_19,Input!Y$39&lt;&gt;""),Input!$B$39&amp;";",""),IF(AND($G100&lt;Hta_20,$G100&gt;=Hba_20,Input!Y$40&lt;&gt;""),Input!$B$40&amp;";",""),IF(AND($G100&lt;Hta_21,$G100&gt;=Hba_21,Input!Y$41&lt;&gt;""),Input!$B$41&amp;";",""),IF(AND($G100&lt;Hta_22,$G100&gt;=Hba_22,Input!Y$42&lt;&gt;""),Input!$B$42&amp;";",""),IF(AND($G100&lt;Hta_23,$G100&gt;=Hba_23,Input!Y$43&lt;&gt;""),Input!$B$43&amp;";",""),IF(AND($G100&lt;Hta_24,$G100&gt;=Hba_24,Input!Y$44&lt;&gt;""),Input!$B$44&amp;";",""),IF(AND($G100&lt;Hta_25,$G100&gt;=Hba_25,Input!Y$45&lt;&gt;""),Input!$B$45&amp;";",""),IF(AND($G100&lt;Hta_26,$G100&gt;=Hba_26,Input!Y$46&lt;&gt;""),Input!$B$46&amp;";",""),IF(AND($G100&lt;Hta_27,$G100&gt;=Hba_27,Input!Y$47&lt;&gt;""),Input!$B$47&amp;";",""),IF(AND($G100&lt;Hta_28,$G100&gt;=Hba_28,Input!Y$48&lt;&gt;""),Input!$B$48&amp;";",""),IF(AND($G100&lt;Hta_29,$G100&gt;=Hba_29,Input!Y$49&lt;&gt;""),Input!$B$49&amp;";",""),IF(AND($G100&lt;Hta_30,$G100&gt;=Hba_30,Input!Y$50&lt;&gt;""),Input!$B$50&amp;";","")),"")</f>
        <v/>
      </c>
      <c r="CA100" s="25" t="str">
        <f>IFERROR(CONCATENATE(IF(AND($G100&lt;Hta_1,$G100&gt;=Hba_1,Input!Z$21&lt;&gt;""),Input!$B$21&amp;";",""),IF(AND($G100&lt;Hta_2,$G100&gt;=Hba_2,Input!Z$22&lt;&gt;""),Input!$B$22&amp;";",""),IF(AND($G100&lt;Hta_3,$G100&gt;=Hba_3,Input!Z$23&lt;&gt;""),Input!$B$23&amp;";",""),IF(AND($G100&lt;Hta_4,$G100&gt;=Hba_4,Input!Z$24&lt;&gt;""),Input!$B$24&amp;";",""),IF(AND($G100&lt;Hta_5,$G100&gt;=Hba_5,Input!Z$25&lt;&gt;""),Input!$B$25&amp;";",""),IF(AND($G100&lt;Hta_6,$G100&gt;=Hba_6,Input!Z$26&lt;&gt;""),Input!$B$26&amp;";",""),IF(AND($G100&lt;Hta_7,$G100&gt;=Hba_7,Input!Z$27&lt;&gt;""),Input!$B$27&amp;";",""),IF(AND($G100&lt;Hta_8,$G100&gt;=Hba_8,Input!Z$28&lt;&gt;""),Input!$B$28&amp;";",""),IF(AND($G100&lt;Hta_9,$G100&gt;=Hba_9,Input!Z$29&lt;&gt;""),Input!$B$29&amp;";",""),IF(AND($G100&lt;Hta_10,$G100&gt;=Hba_10,Input!Z$30&lt;&gt;""),Input!$B$30&amp;";",""),IF(AND($G100&lt;Hta_11,$G100&gt;=Hba_11,Input!Z$31&lt;&gt;""),Input!$B$31&amp;";",""),IF(AND($G100&lt;Hta_12,$G100&gt;=Hba_12,Input!Z$32&lt;&gt;""),Input!$B$32&amp;";",""),IF(AND($G100&lt;Hta_13,$G100&gt;=Hba_13,Input!Z$33&lt;&gt;""),Input!$B$33&amp;";",""),IF(AND($G100&lt;Hta_14,$G100&gt;=Hba_14,Input!Z$34&lt;&gt;""),Input!$B$34&amp;";",""),IF(AND($G100&lt;Hta_15,$G100&gt;=Hba_15,Input!Z$35&lt;&gt;""),Input!$B$35&amp;";",""),IF(AND($G100&lt;Hta_16,$G100&gt;=Hba_16,Input!Z$36&lt;&gt;""),Input!$B$36&amp;";",""),IF(AND($G100&lt;Hta_17,$G100&gt;=Hba_17,Input!Z$37&lt;&gt;""),Input!$B$37&amp;";",""),IF(AND($G100&lt;Hta_18,$G100&gt;=Hba_18,Input!Z$38&lt;&gt;""),Input!$B$38&amp;";",""),IF(AND($G100&lt;Hta_19,$G100&gt;=Hba_19,Input!Z$39&lt;&gt;""),Input!$B$39&amp;";",""),IF(AND($G100&lt;Hta_20,$G100&gt;=Hba_20,Input!Z$40&lt;&gt;""),Input!$B$40&amp;";",""),IF(AND($G100&lt;Hta_21,$G100&gt;=Hba_21,Input!Z$41&lt;&gt;""),Input!$B$41&amp;";",""),IF(AND($G100&lt;Hta_22,$G100&gt;=Hba_22,Input!Z$42&lt;&gt;""),Input!$B$42&amp;";",""),IF(AND($G100&lt;Hta_23,$G100&gt;=Hba_23,Input!Z$43&lt;&gt;""),Input!$B$43&amp;";",""),IF(AND($G100&lt;Hta_24,$G100&gt;=Hba_24,Input!Z$44&lt;&gt;""),Input!$B$44&amp;";",""),IF(AND($G100&lt;Hta_25,$G100&gt;=Hba_25,Input!Z$45&lt;&gt;""),Input!$B$45&amp;";",""),IF(AND($G100&lt;Hta_26,$G100&gt;=Hba_26,Input!Z$46&lt;&gt;""),Input!$B$46&amp;";",""),IF(AND($G100&lt;Hta_27,$G100&gt;=Hba_27,Input!Z$47&lt;&gt;""),Input!$B$47&amp;";",""),IF(AND($G100&lt;Hta_28,$G100&gt;=Hba_28,Input!Z$48&lt;&gt;""),Input!$B$48&amp;";",""),IF(AND($G100&lt;Hta_29,$G100&gt;=Hba_29,Input!Z$49&lt;&gt;""),Input!$B$49&amp;";",""),IF(AND($G100&lt;Hta_30,$G100&gt;=Hba_30,Input!Z$50&lt;&gt;""),Input!$B$50&amp;";","")),"")</f>
        <v/>
      </c>
      <c r="CB100" s="25" t="str">
        <f>IFERROR(CONCATENATE(IF(AND($G100&lt;Hta_1,$G100&gt;=Hba_1,Input!AA$21&lt;&gt;""),Input!$B$21&amp;";",""),IF(AND($G100&lt;Hta_2,$G100&gt;=Hba_2,Input!AA$22&lt;&gt;""),Input!$B$22&amp;";",""),IF(AND($G100&lt;Hta_3,$G100&gt;=Hba_3,Input!AA$23&lt;&gt;""),Input!$B$23&amp;";",""),IF(AND($G100&lt;Hta_4,$G100&gt;=Hba_4,Input!AA$24&lt;&gt;""),Input!$B$24&amp;";",""),IF(AND($G100&lt;Hta_5,$G100&gt;=Hba_5,Input!AA$25&lt;&gt;""),Input!$B$25&amp;";",""),IF(AND($G100&lt;Hta_6,$G100&gt;=Hba_6,Input!AA$26&lt;&gt;""),Input!$B$26&amp;";",""),IF(AND($G100&lt;Hta_7,$G100&gt;=Hba_7,Input!AA$27&lt;&gt;""),Input!$B$27&amp;";",""),IF(AND($G100&lt;Hta_8,$G100&gt;=Hba_8,Input!AA$28&lt;&gt;""),Input!$B$28&amp;";",""),IF(AND($G100&lt;Hta_9,$G100&gt;=Hba_9,Input!AA$29&lt;&gt;""),Input!$B$29&amp;";",""),IF(AND($G100&lt;Hta_10,$G100&gt;=Hba_10,Input!AA$30&lt;&gt;""),Input!$B$30&amp;";",""),IF(AND($G100&lt;Hta_11,$G100&gt;=Hba_11,Input!AA$31&lt;&gt;""),Input!$B$31&amp;";",""),IF(AND($G100&lt;Hta_12,$G100&gt;=Hba_12,Input!AA$32&lt;&gt;""),Input!$B$32&amp;";",""),IF(AND($G100&lt;Hta_13,$G100&gt;=Hba_13,Input!AA$33&lt;&gt;""),Input!$B$33&amp;";",""),IF(AND($G100&lt;Hta_14,$G100&gt;=Hba_14,Input!AA$34&lt;&gt;""),Input!$B$34&amp;";",""),IF(AND($G100&lt;Hta_15,$G100&gt;=Hba_15,Input!AA$35&lt;&gt;""),Input!$B$35&amp;";",""),IF(AND($G100&lt;Hta_16,$G100&gt;=Hba_16,Input!AA$36&lt;&gt;""),Input!$B$36&amp;";",""),IF(AND($G100&lt;Hta_17,$G100&gt;=Hba_17,Input!AA$37&lt;&gt;""),Input!$B$37&amp;";",""),IF(AND($G100&lt;Hta_18,$G100&gt;=Hba_18,Input!AA$38&lt;&gt;""),Input!$B$38&amp;";",""),IF(AND($G100&lt;Hta_19,$G100&gt;=Hba_19,Input!AA$39&lt;&gt;""),Input!$B$39&amp;";",""),IF(AND($G100&lt;Hta_20,$G100&gt;=Hba_20,Input!AA$40&lt;&gt;""),Input!$B$40&amp;";",""),IF(AND($G100&lt;Hta_21,$G100&gt;=Hba_21,Input!AA$41&lt;&gt;""),Input!$B$41&amp;";",""),IF(AND($G100&lt;Hta_22,$G100&gt;=Hba_22,Input!AA$42&lt;&gt;""),Input!$B$42&amp;";",""),IF(AND($G100&lt;Hta_23,$G100&gt;=Hba_23,Input!AA$43&lt;&gt;""),Input!$B$43&amp;";",""),IF(AND($G100&lt;Hta_24,$G100&gt;=Hba_24,Input!AA$44&lt;&gt;""),Input!$B$44&amp;";",""),IF(AND($G100&lt;Hta_25,$G100&gt;=Hba_25,Input!AA$45&lt;&gt;""),Input!$B$45&amp;";",""),IF(AND($G100&lt;Hta_26,$G100&gt;=Hba_26,Input!AA$46&lt;&gt;""),Input!$B$46&amp;";",""),IF(AND($G100&lt;Hta_27,$G100&gt;=Hba_27,Input!AA$47&lt;&gt;""),Input!$B$47&amp;";",""),IF(AND($G100&lt;Hta_28,$G100&gt;=Hba_28,Input!AA$48&lt;&gt;""),Input!$B$48&amp;";",""),IF(AND($G100&lt;Hta_29,$G100&gt;=Hba_29,Input!AA$49&lt;&gt;""),Input!$B$49&amp;";",""),IF(AND($G100&lt;Hta_30,$G100&gt;=Hba_30,Input!AA$50&lt;&gt;""),Input!$B$50&amp;";","")),"")</f>
        <v/>
      </c>
      <c r="CC100" s="25" t="str">
        <f>IFERROR(CONCATENATE(IF(AND($G100&lt;Hta_1,$G100&gt;=Hba_1,Input!AB$21&lt;&gt;""),Input!$B$21&amp;";",""),IF(AND($G100&lt;Hta_2,$G100&gt;=Hba_2,Input!AB$22&lt;&gt;""),Input!$B$22&amp;";",""),IF(AND($G100&lt;Hta_3,$G100&gt;=Hba_3,Input!AB$23&lt;&gt;""),Input!$B$23&amp;";",""),IF(AND($G100&lt;Hta_4,$G100&gt;=Hba_4,Input!AB$24&lt;&gt;""),Input!$B$24&amp;";",""),IF(AND($G100&lt;Hta_5,$G100&gt;=Hba_5,Input!AB$25&lt;&gt;""),Input!$B$25&amp;";",""),IF(AND($G100&lt;Hta_6,$G100&gt;=Hba_6,Input!AB$26&lt;&gt;""),Input!$B$26&amp;";",""),IF(AND($G100&lt;Hta_7,$G100&gt;=Hba_7,Input!AB$27&lt;&gt;""),Input!$B$27&amp;";",""),IF(AND($G100&lt;Hta_8,$G100&gt;=Hba_8,Input!AB$28&lt;&gt;""),Input!$B$28&amp;";",""),IF(AND($G100&lt;Hta_9,$G100&gt;=Hba_9,Input!AB$29&lt;&gt;""),Input!$B$29&amp;";",""),IF(AND($G100&lt;Hta_10,$G100&gt;=Hba_10,Input!AB$30&lt;&gt;""),Input!$B$30&amp;";",""),IF(AND($G100&lt;Hta_11,$G100&gt;=Hba_11,Input!AB$31&lt;&gt;""),Input!$B$31&amp;";",""),IF(AND($G100&lt;Hta_12,$G100&gt;=Hba_12,Input!AB$32&lt;&gt;""),Input!$B$32&amp;";",""),IF(AND($G100&lt;Hta_13,$G100&gt;=Hba_13,Input!AB$33&lt;&gt;""),Input!$B$33&amp;";",""),IF(AND($G100&lt;Hta_14,$G100&gt;=Hba_14,Input!AB$34&lt;&gt;""),Input!$B$34&amp;";",""),IF(AND($G100&lt;Hta_15,$G100&gt;=Hba_15,Input!AB$35&lt;&gt;""),Input!$B$35&amp;";",""),IF(AND($G100&lt;Hta_16,$G100&gt;=Hba_16,Input!AB$36&lt;&gt;""),Input!$B$36&amp;";",""),IF(AND($G100&lt;Hta_17,$G100&gt;=Hba_17,Input!AB$37&lt;&gt;""),Input!$B$37&amp;";",""),IF(AND($G100&lt;Hta_18,$G100&gt;=Hba_18,Input!AB$38&lt;&gt;""),Input!$B$38&amp;";",""),IF(AND($G100&lt;Hta_19,$G100&gt;=Hba_19,Input!AB$39&lt;&gt;""),Input!$B$39&amp;";",""),IF(AND($G100&lt;Hta_20,$G100&gt;=Hba_20,Input!AB$40&lt;&gt;""),Input!$B$40&amp;";",""),IF(AND($G100&lt;Hta_21,$G100&gt;=Hba_21,Input!AB$41&lt;&gt;""),Input!$B$41&amp;";",""),IF(AND($G100&lt;Hta_22,$G100&gt;=Hba_22,Input!AB$42&lt;&gt;""),Input!$B$42&amp;";",""),IF(AND($G100&lt;Hta_23,$G100&gt;=Hba_23,Input!AB$43&lt;&gt;""),Input!$B$43&amp;";",""),IF(AND($G100&lt;Hta_24,$G100&gt;=Hba_24,Input!AB$44&lt;&gt;""),Input!$B$44&amp;";",""),IF(AND($G100&lt;Hta_25,$G100&gt;=Hba_25,Input!AB$45&lt;&gt;""),Input!$B$45&amp;";",""),IF(AND($G100&lt;Hta_26,$G100&gt;=Hba_26,Input!AB$46&lt;&gt;""),Input!$B$46&amp;";",""),IF(AND($G100&lt;Hta_27,$G100&gt;=Hba_27,Input!AB$47&lt;&gt;""),Input!$B$47&amp;";",""),IF(AND($G100&lt;Hta_28,$G100&gt;=Hba_28,Input!AB$48&lt;&gt;""),Input!$B$48&amp;";",""),IF(AND($G100&lt;Hta_29,$G100&gt;=Hba_29,Input!AB$49&lt;&gt;""),Input!$B$49&amp;";",""),IF(AND($G100&lt;Hta_30,$G100&gt;=Hba_30,Input!AB$50&lt;&gt;""),Input!$B$50&amp;";","")),"")</f>
        <v/>
      </c>
      <c r="CD100" s="25" t="str">
        <f>IFERROR(CONCATENATE(IF(AND($G100&lt;Hta_1,$G100&gt;=Hba_1,Input!AC$21&lt;&gt;""),Input!$B$21&amp;";",""),IF(AND($G100&lt;Hta_2,$G100&gt;=Hba_2,Input!AC$22&lt;&gt;""),Input!$B$22&amp;";",""),IF(AND($G100&lt;Hta_3,$G100&gt;=Hba_3,Input!AC$23&lt;&gt;""),Input!$B$23&amp;";",""),IF(AND($G100&lt;Hta_4,$G100&gt;=Hba_4,Input!AC$24&lt;&gt;""),Input!$B$24&amp;";",""),IF(AND($G100&lt;Hta_5,$G100&gt;=Hba_5,Input!AC$25&lt;&gt;""),Input!$B$25&amp;";",""),IF(AND($G100&lt;Hta_6,$G100&gt;=Hba_6,Input!AC$26&lt;&gt;""),Input!$B$26&amp;";",""),IF(AND($G100&lt;Hta_7,$G100&gt;=Hba_7,Input!AC$27&lt;&gt;""),Input!$B$27&amp;";",""),IF(AND($G100&lt;Hta_8,$G100&gt;=Hba_8,Input!AC$28&lt;&gt;""),Input!$B$28&amp;";",""),IF(AND($G100&lt;Hta_9,$G100&gt;=Hba_9,Input!AC$29&lt;&gt;""),Input!$B$29&amp;";",""),IF(AND($G100&lt;Hta_10,$G100&gt;=Hba_10,Input!AC$30&lt;&gt;""),Input!$B$30&amp;";",""),IF(AND($G100&lt;Hta_11,$G100&gt;=Hba_11,Input!AC$31&lt;&gt;""),Input!$B$31&amp;";",""),IF(AND($G100&lt;Hta_12,$G100&gt;=Hba_12,Input!AC$32&lt;&gt;""),Input!$B$32&amp;";",""),IF(AND($G100&lt;Hta_13,$G100&gt;=Hba_13,Input!AC$33&lt;&gt;""),Input!$B$33&amp;";",""),IF(AND($G100&lt;Hta_14,$G100&gt;=Hba_14,Input!AC$34&lt;&gt;""),Input!$B$34&amp;";",""),IF(AND($G100&lt;Hta_15,$G100&gt;=Hba_15,Input!AC$35&lt;&gt;""),Input!$B$35&amp;";",""),IF(AND($G100&lt;Hta_16,$G100&gt;=Hba_16,Input!AC$36&lt;&gt;""),Input!$B$36&amp;";",""),IF(AND($G100&lt;Hta_17,$G100&gt;=Hba_17,Input!AC$37&lt;&gt;""),Input!$B$37&amp;";",""),IF(AND($G100&lt;Hta_18,$G100&gt;=Hba_18,Input!AC$38&lt;&gt;""),Input!$B$38&amp;";",""),IF(AND($G100&lt;Hta_19,$G100&gt;=Hba_19,Input!AC$39&lt;&gt;""),Input!$B$39&amp;";",""),IF(AND($G100&lt;Hta_20,$G100&gt;=Hba_20,Input!AC$40&lt;&gt;""),Input!$B$40&amp;";",""),IF(AND($G100&lt;Hta_21,$G100&gt;=Hba_21,Input!AC$41&lt;&gt;""),Input!$B$41&amp;";",""),IF(AND($G100&lt;Hta_22,$G100&gt;=Hba_22,Input!AC$42&lt;&gt;""),Input!$B$42&amp;";",""),IF(AND($G100&lt;Hta_23,$G100&gt;=Hba_23,Input!AC$43&lt;&gt;""),Input!$B$43&amp;";",""),IF(AND($G100&lt;Hta_24,$G100&gt;=Hba_24,Input!AC$44&lt;&gt;""),Input!$B$44&amp;";",""),IF(AND($G100&lt;Hta_25,$G100&gt;=Hba_25,Input!AC$45&lt;&gt;""),Input!$B$45&amp;";",""),IF(AND($G100&lt;Hta_26,$G100&gt;=Hba_26,Input!AC$46&lt;&gt;""),Input!$B$46&amp;";",""),IF(AND($G100&lt;Hta_27,$G100&gt;=Hba_27,Input!AC$47&lt;&gt;""),Input!$B$47&amp;";",""),IF(AND($G100&lt;Hta_28,$G100&gt;=Hba_28,Input!AC$48&lt;&gt;""),Input!$B$48&amp;";",""),IF(AND($G100&lt;Hta_29,$G100&gt;=Hba_29,Input!AC$49&lt;&gt;""),Input!$B$49&amp;";",""),IF(AND($G100&lt;Hta_30,$G100&gt;=Hba_30,Input!AC$50&lt;&gt;""),Input!$B$50&amp;";","")),"")</f>
        <v/>
      </c>
      <c r="CE100" s="25" t="str">
        <f>IFERROR(CONCATENATE(IF(AND($G100&lt;Hta_1,$G100&gt;=Hba_1,Input!AD$21&lt;&gt;""),Input!$B$21&amp;";",""),IF(AND($G100&lt;Hta_2,$G100&gt;=Hba_2,Input!AD$22&lt;&gt;""),Input!$B$22&amp;";",""),IF(AND($G100&lt;Hta_3,$G100&gt;=Hba_3,Input!AD$23&lt;&gt;""),Input!$B$23&amp;";",""),IF(AND($G100&lt;Hta_4,$G100&gt;=Hba_4,Input!AD$24&lt;&gt;""),Input!$B$24&amp;";",""),IF(AND($G100&lt;Hta_5,$G100&gt;=Hba_5,Input!AD$25&lt;&gt;""),Input!$B$25&amp;";",""),IF(AND($G100&lt;Hta_6,$G100&gt;=Hba_6,Input!AD$26&lt;&gt;""),Input!$B$26&amp;";",""),IF(AND($G100&lt;Hta_7,$G100&gt;=Hba_7,Input!AD$27&lt;&gt;""),Input!$B$27&amp;";",""),IF(AND($G100&lt;Hta_8,$G100&gt;=Hba_8,Input!AD$28&lt;&gt;""),Input!$B$28&amp;";",""),IF(AND($G100&lt;Hta_9,$G100&gt;=Hba_9,Input!AD$29&lt;&gt;""),Input!$B$29&amp;";",""),IF(AND($G100&lt;Hta_10,$G100&gt;=Hba_10,Input!AD$30&lt;&gt;""),Input!$B$30&amp;";",""),IF(AND($G100&lt;Hta_11,$G100&gt;=Hba_11,Input!AD$31&lt;&gt;""),Input!$B$31&amp;";",""),IF(AND($G100&lt;Hta_12,$G100&gt;=Hba_12,Input!AD$32&lt;&gt;""),Input!$B$32&amp;";",""),IF(AND($G100&lt;Hta_13,$G100&gt;=Hba_13,Input!AD$33&lt;&gt;""),Input!$B$33&amp;";",""),IF(AND($G100&lt;Hta_14,$G100&gt;=Hba_14,Input!AD$34&lt;&gt;""),Input!$B$34&amp;";",""),IF(AND($G100&lt;Hta_15,$G100&gt;=Hba_15,Input!AD$35&lt;&gt;""),Input!$B$35&amp;";",""),IF(AND($G100&lt;Hta_16,$G100&gt;=Hba_16,Input!AD$36&lt;&gt;""),Input!$B$36&amp;";",""),IF(AND($G100&lt;Hta_17,$G100&gt;=Hba_17,Input!AD$37&lt;&gt;""),Input!$B$37&amp;";",""),IF(AND($G100&lt;Hta_18,$G100&gt;=Hba_18,Input!AD$38&lt;&gt;""),Input!$B$38&amp;";",""),IF(AND($G100&lt;Hta_19,$G100&gt;=Hba_19,Input!AD$39&lt;&gt;""),Input!$B$39&amp;";",""),IF(AND($G100&lt;Hta_20,$G100&gt;=Hba_20,Input!AD$40&lt;&gt;""),Input!$B$40&amp;";",""),IF(AND($G100&lt;Hta_21,$G100&gt;=Hba_21,Input!AD$41&lt;&gt;""),Input!$B$41&amp;";",""),IF(AND($G100&lt;Hta_22,$G100&gt;=Hba_22,Input!AD$42&lt;&gt;""),Input!$B$42&amp;";",""),IF(AND($G100&lt;Hta_23,$G100&gt;=Hba_23,Input!AD$43&lt;&gt;""),Input!$B$43&amp;";",""),IF(AND($G100&lt;Hta_24,$G100&gt;=Hba_24,Input!AD$44&lt;&gt;""),Input!$B$44&amp;";",""),IF(AND($G100&lt;Hta_25,$G100&gt;=Hba_25,Input!AD$45&lt;&gt;""),Input!$B$45&amp;";",""),IF(AND($G100&lt;Hta_26,$G100&gt;=Hba_26,Input!AD$46&lt;&gt;""),Input!$B$46&amp;";",""),IF(AND($G100&lt;Hta_27,$G100&gt;=Hba_27,Input!AD$47&lt;&gt;""),Input!$B$47&amp;";",""),IF(AND($G100&lt;Hta_28,$G100&gt;=Hba_28,Input!AD$48&lt;&gt;""),Input!$B$48&amp;";",""),IF(AND($G100&lt;Hta_29,$G100&gt;=Hba_29,Input!AD$49&lt;&gt;""),Input!$B$49&amp;";",""),IF(AND($G100&lt;Hta_30,$G100&gt;=Hba_30,Input!AD$50&lt;&gt;""),Input!$B$50&amp;";","")),"")</f>
        <v/>
      </c>
      <c r="CF100" s="25" t="str">
        <f>IFERROR(CONCATENATE(IF(AND($G100&lt;Hta_1,$G100&gt;=Hba_1,Input!AE$21&lt;&gt;""),Input!$B$21&amp;";",""),IF(AND($G100&lt;Hta_2,$G100&gt;=Hba_2,Input!AE$22&lt;&gt;""),Input!$B$22&amp;";",""),IF(AND($G100&lt;Hta_3,$G100&gt;=Hba_3,Input!AE$23&lt;&gt;""),Input!$B$23&amp;";",""),IF(AND($G100&lt;Hta_4,$G100&gt;=Hba_4,Input!AE$24&lt;&gt;""),Input!$B$24&amp;";",""),IF(AND($G100&lt;Hta_5,$G100&gt;=Hba_5,Input!AE$25&lt;&gt;""),Input!$B$25&amp;";",""),IF(AND($G100&lt;Hta_6,$G100&gt;=Hba_6,Input!AE$26&lt;&gt;""),Input!$B$26&amp;";",""),IF(AND($G100&lt;Hta_7,$G100&gt;=Hba_7,Input!AE$27&lt;&gt;""),Input!$B$27&amp;";",""),IF(AND($G100&lt;Hta_8,$G100&gt;=Hba_8,Input!AE$28&lt;&gt;""),Input!$B$28&amp;";",""),IF(AND($G100&lt;Hta_9,$G100&gt;=Hba_9,Input!AE$29&lt;&gt;""),Input!$B$29&amp;";",""),IF(AND($G100&lt;Hta_10,$G100&gt;=Hba_10,Input!AE$30&lt;&gt;""),Input!$B$30&amp;";",""),IF(AND($G100&lt;Hta_11,$G100&gt;=Hba_11,Input!AE$31&lt;&gt;""),Input!$B$31&amp;";",""),IF(AND($G100&lt;Hta_12,$G100&gt;=Hba_12,Input!AE$32&lt;&gt;""),Input!$B$32&amp;";",""),IF(AND($G100&lt;Hta_13,$G100&gt;=Hba_13,Input!AE$33&lt;&gt;""),Input!$B$33&amp;";",""),IF(AND($G100&lt;Hta_14,$G100&gt;=Hba_14,Input!AE$34&lt;&gt;""),Input!$B$34&amp;";",""),IF(AND($G100&lt;Hta_15,$G100&gt;=Hba_15,Input!AE$35&lt;&gt;""),Input!$B$35&amp;";",""),IF(AND($G100&lt;Hta_16,$G100&gt;=Hba_16,Input!AE$36&lt;&gt;""),Input!$B$36&amp;";",""),IF(AND($G100&lt;Hta_17,$G100&gt;=Hba_17,Input!AE$37&lt;&gt;""),Input!$B$37&amp;";",""),IF(AND($G100&lt;Hta_18,$G100&gt;=Hba_18,Input!AE$38&lt;&gt;""),Input!$B$38&amp;";",""),IF(AND($G100&lt;Hta_19,$G100&gt;=Hba_19,Input!AE$39&lt;&gt;""),Input!$B$39&amp;";",""),IF(AND($G100&lt;Hta_20,$G100&gt;=Hba_20,Input!AE$40&lt;&gt;""),Input!$B$40&amp;";",""),IF(AND($G100&lt;Hta_21,$G100&gt;=Hba_21,Input!AE$41&lt;&gt;""),Input!$B$41&amp;";",""),IF(AND($G100&lt;Hta_22,$G100&gt;=Hba_22,Input!AE$42&lt;&gt;""),Input!$B$42&amp;";",""),IF(AND($G100&lt;Hta_23,$G100&gt;=Hba_23,Input!AE$43&lt;&gt;""),Input!$B$43&amp;";",""),IF(AND($G100&lt;Hta_24,$G100&gt;=Hba_24,Input!AE$44&lt;&gt;""),Input!$B$44&amp;";",""),IF(AND($G100&lt;Hta_25,$G100&gt;=Hba_25,Input!AE$45&lt;&gt;""),Input!$B$45&amp;";",""),IF(AND($G100&lt;Hta_26,$G100&gt;=Hba_26,Input!AE$46&lt;&gt;""),Input!$B$46&amp;";",""),IF(AND($G100&lt;Hta_27,$G100&gt;=Hba_27,Input!AE$47&lt;&gt;""),Input!$B$47&amp;";",""),IF(AND($G100&lt;Hta_28,$G100&gt;=Hba_28,Input!AE$48&lt;&gt;""),Input!$B$48&amp;";",""),IF(AND($G100&lt;Hta_29,$G100&gt;=Hba_29,Input!AE$49&lt;&gt;""),Input!$B$49&amp;";",""),IF(AND($G100&lt;Hta_30,$G100&gt;=Hba_30,Input!AE$50&lt;&gt;""),Input!$B$50&amp;";","")),"")</f>
        <v/>
      </c>
      <c r="CG100" s="25" t="str">
        <f>IFERROR(CONCATENATE(IF(AND($G100&lt;Hta_1,$G100&gt;=Hba_1,Input!AF$21&lt;&gt;""),Input!$B$21&amp;";",""),IF(AND($G100&lt;Hta_2,$G100&gt;=Hba_2,Input!AF$22&lt;&gt;""),Input!$B$22&amp;";",""),IF(AND($G100&lt;Hta_3,$G100&gt;=Hba_3,Input!AF$23&lt;&gt;""),Input!$B$23&amp;";",""),IF(AND($G100&lt;Hta_4,$G100&gt;=Hba_4,Input!AF$24&lt;&gt;""),Input!$B$24&amp;";",""),IF(AND($G100&lt;Hta_5,$G100&gt;=Hba_5,Input!AF$25&lt;&gt;""),Input!$B$25&amp;";",""),IF(AND($G100&lt;Hta_6,$G100&gt;=Hba_6,Input!AF$26&lt;&gt;""),Input!$B$26&amp;";",""),IF(AND($G100&lt;Hta_7,$G100&gt;=Hba_7,Input!AF$27&lt;&gt;""),Input!$B$27&amp;";",""),IF(AND($G100&lt;Hta_8,$G100&gt;=Hba_8,Input!AF$28&lt;&gt;""),Input!$B$28&amp;";",""),IF(AND($G100&lt;Hta_9,$G100&gt;=Hba_9,Input!AF$29&lt;&gt;""),Input!$B$29&amp;";",""),IF(AND($G100&lt;Hta_10,$G100&gt;=Hba_10,Input!AF$30&lt;&gt;""),Input!$B$30&amp;";",""),IF(AND($G100&lt;Hta_11,$G100&gt;=Hba_11,Input!AF$31&lt;&gt;""),Input!$B$31&amp;";",""),IF(AND($G100&lt;Hta_12,$G100&gt;=Hba_12,Input!AF$32&lt;&gt;""),Input!$B$32&amp;";",""),IF(AND($G100&lt;Hta_13,$G100&gt;=Hba_13,Input!AF$33&lt;&gt;""),Input!$B$33&amp;";",""),IF(AND($G100&lt;Hta_14,$G100&gt;=Hba_14,Input!AF$34&lt;&gt;""),Input!$B$34&amp;";",""),IF(AND($G100&lt;Hta_15,$G100&gt;=Hba_15,Input!AF$35&lt;&gt;""),Input!$B$35&amp;";",""),IF(AND($G100&lt;Hta_16,$G100&gt;=Hba_16,Input!AF$36&lt;&gt;""),Input!$B$36&amp;";",""),IF(AND($G100&lt;Hta_17,$G100&gt;=Hba_17,Input!AF$37&lt;&gt;""),Input!$B$37&amp;";",""),IF(AND($G100&lt;Hta_18,$G100&gt;=Hba_18,Input!AF$38&lt;&gt;""),Input!$B$38&amp;";",""),IF(AND($G100&lt;Hta_19,$G100&gt;=Hba_19,Input!AF$39&lt;&gt;""),Input!$B$39&amp;";",""),IF(AND($G100&lt;Hta_20,$G100&gt;=Hba_20,Input!AF$40&lt;&gt;""),Input!$B$40&amp;";",""),IF(AND($G100&lt;Hta_21,$G100&gt;=Hba_21,Input!AF$41&lt;&gt;""),Input!$B$41&amp;";",""),IF(AND($G100&lt;Hta_22,$G100&gt;=Hba_22,Input!AF$42&lt;&gt;""),Input!$B$42&amp;";",""),IF(AND($G100&lt;Hta_23,$G100&gt;=Hba_23,Input!AF$43&lt;&gt;""),Input!$B$43&amp;";",""),IF(AND($G100&lt;Hta_24,$G100&gt;=Hba_24,Input!AF$44&lt;&gt;""),Input!$B$44&amp;";",""),IF(AND($G100&lt;Hta_25,$G100&gt;=Hba_25,Input!AF$45&lt;&gt;""),Input!$B$45&amp;";",""),IF(AND($G100&lt;Hta_26,$G100&gt;=Hba_26,Input!AF$46&lt;&gt;""),Input!$B$46&amp;";",""),IF(AND($G100&lt;Hta_27,$G100&gt;=Hba_27,Input!AF$47&lt;&gt;""),Input!$B$47&amp;";",""),IF(AND($G100&lt;Hta_28,$G100&gt;=Hba_28,Input!AF$48&lt;&gt;""),Input!$B$48&amp;";",""),IF(AND($G100&lt;Hta_29,$G100&gt;=Hba_29,Input!AF$49&lt;&gt;""),Input!$B$49&amp;";",""),IF(AND($G100&lt;Hta_30,$G100&gt;=Hba_30,Input!AF$50&lt;&gt;""),Input!$B$50&amp;";","")),"")</f>
        <v/>
      </c>
      <c r="CH100" s="25" t="str">
        <f>IFERROR(CONCATENATE(IF(AND($G100&lt;Hta_1,$G100&gt;=Hba_1,Input!AG$21&lt;&gt;""),Input!$B$21&amp;";",""),IF(AND($G100&lt;Hta_2,$G100&gt;=Hba_2,Input!AG$22&lt;&gt;""),Input!$B$22&amp;";",""),IF(AND($G100&lt;Hta_3,$G100&gt;=Hba_3,Input!AG$23&lt;&gt;""),Input!$B$23&amp;";",""),IF(AND($G100&lt;Hta_4,$G100&gt;=Hba_4,Input!AG$24&lt;&gt;""),Input!$B$24&amp;";",""),IF(AND($G100&lt;Hta_5,$G100&gt;=Hba_5,Input!AG$25&lt;&gt;""),Input!$B$25&amp;";",""),IF(AND($G100&lt;Hta_6,$G100&gt;=Hba_6,Input!AG$26&lt;&gt;""),Input!$B$26&amp;";",""),IF(AND($G100&lt;Hta_7,$G100&gt;=Hba_7,Input!AG$27&lt;&gt;""),Input!$B$27&amp;";",""),IF(AND($G100&lt;Hta_8,$G100&gt;=Hba_8,Input!AG$28&lt;&gt;""),Input!$B$28&amp;";",""),IF(AND($G100&lt;Hta_9,$G100&gt;=Hba_9,Input!AG$29&lt;&gt;""),Input!$B$29&amp;";",""),IF(AND($G100&lt;Hta_10,$G100&gt;=Hba_10,Input!AG$30&lt;&gt;""),Input!$B$30&amp;";",""),IF(AND($G100&lt;Hta_11,$G100&gt;=Hba_11,Input!AG$31&lt;&gt;""),Input!$B$31&amp;";",""),IF(AND($G100&lt;Hta_12,$G100&gt;=Hba_12,Input!AG$32&lt;&gt;""),Input!$B$32&amp;";",""),IF(AND($G100&lt;Hta_13,$G100&gt;=Hba_13,Input!AG$33&lt;&gt;""),Input!$B$33&amp;";",""),IF(AND($G100&lt;Hta_14,$G100&gt;=Hba_14,Input!AG$34&lt;&gt;""),Input!$B$34&amp;";",""),IF(AND($G100&lt;Hta_15,$G100&gt;=Hba_15,Input!AG$35&lt;&gt;""),Input!$B$35&amp;";",""),IF(AND($G100&lt;Hta_16,$G100&gt;=Hba_16,Input!AG$36&lt;&gt;""),Input!$B$36&amp;";",""),IF(AND($G100&lt;Hta_17,$G100&gt;=Hba_17,Input!AG$37&lt;&gt;""),Input!$B$37&amp;";",""),IF(AND($G100&lt;Hta_18,$G100&gt;=Hba_18,Input!AG$38&lt;&gt;""),Input!$B$38&amp;";",""),IF(AND($G100&lt;Hta_19,$G100&gt;=Hba_19,Input!AG$39&lt;&gt;""),Input!$B$39&amp;";",""),IF(AND($G100&lt;Hta_20,$G100&gt;=Hba_20,Input!AG$40&lt;&gt;""),Input!$B$40&amp;";",""),IF(AND($G100&lt;Hta_21,$G100&gt;=Hba_21,Input!AG$41&lt;&gt;""),Input!$B$41&amp;";",""),IF(AND($G100&lt;Hta_22,$G100&gt;=Hba_22,Input!AG$42&lt;&gt;""),Input!$B$42&amp;";",""),IF(AND($G100&lt;Hta_23,$G100&gt;=Hba_23,Input!AG$43&lt;&gt;""),Input!$B$43&amp;";",""),IF(AND($G100&lt;Hta_24,$G100&gt;=Hba_24,Input!AG$44&lt;&gt;""),Input!$B$44&amp;";",""),IF(AND($G100&lt;Hta_25,$G100&gt;=Hba_25,Input!AG$45&lt;&gt;""),Input!$B$45&amp;";",""),IF(AND($G100&lt;Hta_26,$G100&gt;=Hba_26,Input!AG$46&lt;&gt;""),Input!$B$46&amp;";",""),IF(AND($G100&lt;Hta_27,$G100&gt;=Hba_27,Input!AG$47&lt;&gt;""),Input!$B$47&amp;";",""),IF(AND($G100&lt;Hta_28,$G100&gt;=Hba_28,Input!AG$48&lt;&gt;""),Input!$B$48&amp;";",""),IF(AND($G100&lt;Hta_29,$G100&gt;=Hba_29,Input!AG$49&lt;&gt;""),Input!$B$49&amp;";",""),IF(AND($G100&lt;Hta_30,$G100&gt;=Hba_30,Input!AG$50&lt;&gt;""),Input!$B$50&amp;";","")),"")</f>
        <v/>
      </c>
      <c r="CI100" s="25" t="str">
        <f>IFERROR(CONCATENATE(IF(AND($G100&lt;Hta_1,$G100&gt;=Hba_1,Input!AH$21&lt;&gt;""),Input!$B$21&amp;";",""),IF(AND($G100&lt;Hta_2,$G100&gt;=Hba_2,Input!AH$22&lt;&gt;""),Input!$B$22&amp;";",""),IF(AND($G100&lt;Hta_3,$G100&gt;=Hba_3,Input!AH$23&lt;&gt;""),Input!$B$23&amp;";",""),IF(AND($G100&lt;Hta_4,$G100&gt;=Hba_4,Input!AH$24&lt;&gt;""),Input!$B$24&amp;";",""),IF(AND($G100&lt;Hta_5,$G100&gt;=Hba_5,Input!AH$25&lt;&gt;""),Input!$B$25&amp;";",""),IF(AND($G100&lt;Hta_6,$G100&gt;=Hba_6,Input!AH$26&lt;&gt;""),Input!$B$26&amp;";",""),IF(AND($G100&lt;Hta_7,$G100&gt;=Hba_7,Input!AH$27&lt;&gt;""),Input!$B$27&amp;";",""),IF(AND($G100&lt;Hta_8,$G100&gt;=Hba_8,Input!AH$28&lt;&gt;""),Input!$B$28&amp;";",""),IF(AND($G100&lt;Hta_9,$G100&gt;=Hba_9,Input!AH$29&lt;&gt;""),Input!$B$29&amp;";",""),IF(AND($G100&lt;Hta_10,$G100&gt;=Hba_10,Input!AH$30&lt;&gt;""),Input!$B$30&amp;";",""),IF(AND($G100&lt;Hta_11,$G100&gt;=Hba_11,Input!AH$31&lt;&gt;""),Input!$B$31&amp;";",""),IF(AND($G100&lt;Hta_12,$G100&gt;=Hba_12,Input!AH$32&lt;&gt;""),Input!$B$32&amp;";",""),IF(AND($G100&lt;Hta_13,$G100&gt;=Hba_13,Input!AH$33&lt;&gt;""),Input!$B$33&amp;";",""),IF(AND($G100&lt;Hta_14,$G100&gt;=Hba_14,Input!AH$34&lt;&gt;""),Input!$B$34&amp;";",""),IF(AND($G100&lt;Hta_15,$G100&gt;=Hba_15,Input!AH$35&lt;&gt;""),Input!$B$35&amp;";",""),IF(AND($G100&lt;Hta_16,$G100&gt;=Hba_16,Input!AH$36&lt;&gt;""),Input!$B$36&amp;";",""),IF(AND($G100&lt;Hta_17,$G100&gt;=Hba_17,Input!AH$37&lt;&gt;""),Input!$B$37&amp;";",""),IF(AND($G100&lt;Hta_18,$G100&gt;=Hba_18,Input!AH$38&lt;&gt;""),Input!$B$38&amp;";",""),IF(AND($G100&lt;Hta_19,$G100&gt;=Hba_19,Input!AH$39&lt;&gt;""),Input!$B$39&amp;";",""),IF(AND($G100&lt;Hta_20,$G100&gt;=Hba_20,Input!AH$40&lt;&gt;""),Input!$B$40&amp;";",""),IF(AND($G100&lt;Hta_21,$G100&gt;=Hba_21,Input!AH$41&lt;&gt;""),Input!$B$41&amp;";",""),IF(AND($G100&lt;Hta_22,$G100&gt;=Hba_22,Input!AH$42&lt;&gt;""),Input!$B$42&amp;";",""),IF(AND($G100&lt;Hta_23,$G100&gt;=Hba_23,Input!AH$43&lt;&gt;""),Input!$B$43&amp;";",""),IF(AND($G100&lt;Hta_24,$G100&gt;=Hba_24,Input!AH$44&lt;&gt;""),Input!$B$44&amp;";",""),IF(AND($G100&lt;Hta_25,$G100&gt;=Hba_25,Input!AH$45&lt;&gt;""),Input!$B$45&amp;";",""),IF(AND($G100&lt;Hta_26,$G100&gt;=Hba_26,Input!AH$46&lt;&gt;""),Input!$B$46&amp;";",""),IF(AND($G100&lt;Hta_27,$G100&gt;=Hba_27,Input!AH$47&lt;&gt;""),Input!$B$47&amp;";",""),IF(AND($G100&lt;Hta_28,$G100&gt;=Hba_28,Input!AH$48&lt;&gt;""),Input!$B$48&amp;";",""),IF(AND($G100&lt;Hta_29,$G100&gt;=Hba_29,Input!AH$49&lt;&gt;""),Input!$B$49&amp;";",""),IF(AND($G100&lt;Hta_30,$G100&gt;=Hba_30,Input!AH$50&lt;&gt;""),Input!$B$50&amp;";","")),"")</f>
        <v/>
      </c>
      <c r="CJ100" s="25" t="str">
        <f>IFERROR(CONCATENATE(IF(AND($G100&lt;Hta_1,$G100&gt;=Hba_1,Input!AI$21&lt;&gt;""),Input!$B$21&amp;";",""),IF(AND($G100&lt;Hta_2,$G100&gt;=Hba_2,Input!AI$22&lt;&gt;""),Input!$B$22&amp;";",""),IF(AND($G100&lt;Hta_3,$G100&gt;=Hba_3,Input!AI$23&lt;&gt;""),Input!$B$23&amp;";",""),IF(AND($G100&lt;Hta_4,$G100&gt;=Hba_4,Input!AI$24&lt;&gt;""),Input!$B$24&amp;";",""),IF(AND($G100&lt;Hta_5,$G100&gt;=Hba_5,Input!AI$25&lt;&gt;""),Input!$B$25&amp;";",""),IF(AND($G100&lt;Hta_6,$G100&gt;=Hba_6,Input!AI$26&lt;&gt;""),Input!$B$26&amp;";",""),IF(AND($G100&lt;Hta_7,$G100&gt;=Hba_7,Input!AI$27&lt;&gt;""),Input!$B$27&amp;";",""),IF(AND($G100&lt;Hta_8,$G100&gt;=Hba_8,Input!AI$28&lt;&gt;""),Input!$B$28&amp;";",""),IF(AND($G100&lt;Hta_9,$G100&gt;=Hba_9,Input!AI$29&lt;&gt;""),Input!$B$29&amp;";",""),IF(AND($G100&lt;Hta_10,$G100&gt;=Hba_10,Input!AI$30&lt;&gt;""),Input!$B$30&amp;";",""),IF(AND($G100&lt;Hta_11,$G100&gt;=Hba_11,Input!AI$31&lt;&gt;""),Input!$B$31&amp;";",""),IF(AND($G100&lt;Hta_12,$G100&gt;=Hba_12,Input!AI$32&lt;&gt;""),Input!$B$32&amp;";",""),IF(AND($G100&lt;Hta_13,$G100&gt;=Hba_13,Input!AI$33&lt;&gt;""),Input!$B$33&amp;";",""),IF(AND($G100&lt;Hta_14,$G100&gt;=Hba_14,Input!AI$34&lt;&gt;""),Input!$B$34&amp;";",""),IF(AND($G100&lt;Hta_15,$G100&gt;=Hba_15,Input!AI$35&lt;&gt;""),Input!$B$35&amp;";",""),IF(AND($G100&lt;Hta_16,$G100&gt;=Hba_16,Input!AI$36&lt;&gt;""),Input!$B$36&amp;";",""),IF(AND($G100&lt;Hta_17,$G100&gt;=Hba_17,Input!AI$37&lt;&gt;""),Input!$B$37&amp;";",""),IF(AND($G100&lt;Hta_18,$G100&gt;=Hba_18,Input!AI$38&lt;&gt;""),Input!$B$38&amp;";",""),IF(AND($G100&lt;Hta_19,$G100&gt;=Hba_19,Input!AI$39&lt;&gt;""),Input!$B$39&amp;";",""),IF(AND($G100&lt;Hta_20,$G100&gt;=Hba_20,Input!AI$40&lt;&gt;""),Input!$B$40&amp;";",""),IF(AND($G100&lt;Hta_21,$G100&gt;=Hba_21,Input!AI$41&lt;&gt;""),Input!$B$41&amp;";",""),IF(AND($G100&lt;Hta_22,$G100&gt;=Hba_22,Input!AI$42&lt;&gt;""),Input!$B$42&amp;";",""),IF(AND($G100&lt;Hta_23,$G100&gt;=Hba_23,Input!AI$43&lt;&gt;""),Input!$B$43&amp;";",""),IF(AND($G100&lt;Hta_24,$G100&gt;=Hba_24,Input!AI$44&lt;&gt;""),Input!$B$44&amp;";",""),IF(AND($G100&lt;Hta_25,$G100&gt;=Hba_25,Input!AI$45&lt;&gt;""),Input!$B$45&amp;";",""),IF(AND($G100&lt;Hta_26,$G100&gt;=Hba_26,Input!AI$46&lt;&gt;""),Input!$B$46&amp;";",""),IF(AND($G100&lt;Hta_27,$G100&gt;=Hba_27,Input!AI$47&lt;&gt;""),Input!$B$47&amp;";",""),IF(AND($G100&lt;Hta_28,$G100&gt;=Hba_28,Input!AI$48&lt;&gt;""),Input!$B$48&amp;";",""),IF(AND($G100&lt;Hta_29,$G100&gt;=Hba_29,Input!AI$49&lt;&gt;""),Input!$B$49&amp;";",""),IF(AND($G100&lt;Hta_30,$G100&gt;=Hba_30,Input!AI$50&lt;&gt;""),Input!$B$50&amp;";","")),"")</f>
        <v/>
      </c>
      <c r="CK100" s="25" t="str">
        <f>IFERROR(CONCATENATE(IF(AND($G100&lt;Hta_1,$G100&gt;=Hba_1,Input!AJ$21&lt;&gt;""),Input!$B$21&amp;";",""),IF(AND($G100&lt;Hta_2,$G100&gt;=Hba_2,Input!AJ$22&lt;&gt;""),Input!$B$22&amp;";",""),IF(AND($G100&lt;Hta_3,$G100&gt;=Hba_3,Input!AJ$23&lt;&gt;""),Input!$B$23&amp;";",""),IF(AND($G100&lt;Hta_4,$G100&gt;=Hba_4,Input!AJ$24&lt;&gt;""),Input!$B$24&amp;";",""),IF(AND($G100&lt;Hta_5,$G100&gt;=Hba_5,Input!AJ$25&lt;&gt;""),Input!$B$25&amp;";",""),IF(AND($G100&lt;Hta_6,$G100&gt;=Hba_6,Input!AJ$26&lt;&gt;""),Input!$B$26&amp;";",""),IF(AND($G100&lt;Hta_7,$G100&gt;=Hba_7,Input!AJ$27&lt;&gt;""),Input!$B$27&amp;";",""),IF(AND($G100&lt;Hta_8,$G100&gt;=Hba_8,Input!AJ$28&lt;&gt;""),Input!$B$28&amp;";",""),IF(AND($G100&lt;Hta_9,$G100&gt;=Hba_9,Input!AJ$29&lt;&gt;""),Input!$B$29&amp;";",""),IF(AND($G100&lt;Hta_10,$G100&gt;=Hba_10,Input!AJ$30&lt;&gt;""),Input!$B$30&amp;";",""),IF(AND($G100&lt;Hta_11,$G100&gt;=Hba_11,Input!AJ$31&lt;&gt;""),Input!$B$31&amp;";",""),IF(AND($G100&lt;Hta_12,$G100&gt;=Hba_12,Input!AJ$32&lt;&gt;""),Input!$B$32&amp;";",""),IF(AND($G100&lt;Hta_13,$G100&gt;=Hba_13,Input!AJ$33&lt;&gt;""),Input!$B$33&amp;";",""),IF(AND($G100&lt;Hta_14,$G100&gt;=Hba_14,Input!AJ$34&lt;&gt;""),Input!$B$34&amp;";",""),IF(AND($G100&lt;Hta_15,$G100&gt;=Hba_15,Input!AJ$35&lt;&gt;""),Input!$B$35&amp;";",""),IF(AND($G100&lt;Hta_16,$G100&gt;=Hba_16,Input!AJ$36&lt;&gt;""),Input!$B$36&amp;";",""),IF(AND($G100&lt;Hta_17,$G100&gt;=Hba_17,Input!AJ$37&lt;&gt;""),Input!$B$37&amp;";",""),IF(AND($G100&lt;Hta_18,$G100&gt;=Hba_18,Input!AJ$38&lt;&gt;""),Input!$B$38&amp;";",""),IF(AND($G100&lt;Hta_19,$G100&gt;=Hba_19,Input!AJ$39&lt;&gt;""),Input!$B$39&amp;";",""),IF(AND($G100&lt;Hta_20,$G100&gt;=Hba_20,Input!AJ$40&lt;&gt;""),Input!$B$40&amp;";",""),IF(AND($G100&lt;Hta_21,$G100&gt;=Hba_21,Input!AJ$41&lt;&gt;""),Input!$B$41&amp;";",""),IF(AND($G100&lt;Hta_22,$G100&gt;=Hba_22,Input!AJ$42&lt;&gt;""),Input!$B$42&amp;";",""),IF(AND($G100&lt;Hta_23,$G100&gt;=Hba_23,Input!AJ$43&lt;&gt;""),Input!$B$43&amp;";",""),IF(AND($G100&lt;Hta_24,$G100&gt;=Hba_24,Input!AJ$44&lt;&gt;""),Input!$B$44&amp;";",""),IF(AND($G100&lt;Hta_25,$G100&gt;=Hba_25,Input!AJ$45&lt;&gt;""),Input!$B$45&amp;";",""),IF(AND($G100&lt;Hta_26,$G100&gt;=Hba_26,Input!AJ$46&lt;&gt;""),Input!$B$46&amp;";",""),IF(AND($G100&lt;Hta_27,$G100&gt;=Hba_27,Input!AJ$47&lt;&gt;""),Input!$B$47&amp;";",""),IF(AND($G100&lt;Hta_28,$G100&gt;=Hba_28,Input!AJ$48&lt;&gt;""),Input!$B$48&amp;";",""),IF(AND($G100&lt;Hta_29,$G100&gt;=Hba_29,Input!AJ$49&lt;&gt;""),Input!$B$49&amp;";",""),IF(AND($G100&lt;Hta_30,$G100&gt;=Hba_30,Input!AJ$50&lt;&gt;""),Input!$B$50&amp;";","")),"")</f>
        <v/>
      </c>
      <c r="CL100" s="25" t="str">
        <f>IFERROR(CONCATENATE(IF(AND($G100&lt;Hta_1,$G100&gt;=Hba_1,Input!AK$21&lt;&gt;""),Input!$B$21&amp;";",""),IF(AND($G100&lt;Hta_2,$G100&gt;=Hba_2,Input!AK$22&lt;&gt;""),Input!$B$22&amp;";",""),IF(AND($G100&lt;Hta_3,$G100&gt;=Hba_3,Input!AK$23&lt;&gt;""),Input!$B$23&amp;";",""),IF(AND($G100&lt;Hta_4,$G100&gt;=Hba_4,Input!AK$24&lt;&gt;""),Input!$B$24&amp;";",""),IF(AND($G100&lt;Hta_5,$G100&gt;=Hba_5,Input!AK$25&lt;&gt;""),Input!$B$25&amp;";",""),IF(AND($G100&lt;Hta_6,$G100&gt;=Hba_6,Input!AK$26&lt;&gt;""),Input!$B$26&amp;";",""),IF(AND($G100&lt;Hta_7,$G100&gt;=Hba_7,Input!AK$27&lt;&gt;""),Input!$B$27&amp;";",""),IF(AND($G100&lt;Hta_8,$G100&gt;=Hba_8,Input!AK$28&lt;&gt;""),Input!$B$28&amp;";",""),IF(AND($G100&lt;Hta_9,$G100&gt;=Hba_9,Input!AK$29&lt;&gt;""),Input!$B$29&amp;";",""),IF(AND($G100&lt;Hta_10,$G100&gt;=Hba_10,Input!AK$30&lt;&gt;""),Input!$B$30&amp;";",""),IF(AND($G100&lt;Hta_11,$G100&gt;=Hba_11,Input!AK$31&lt;&gt;""),Input!$B$31&amp;";",""),IF(AND($G100&lt;Hta_12,$G100&gt;=Hba_12,Input!AK$32&lt;&gt;""),Input!$B$32&amp;";",""),IF(AND($G100&lt;Hta_13,$G100&gt;=Hba_13,Input!AK$33&lt;&gt;""),Input!$B$33&amp;";",""),IF(AND($G100&lt;Hta_14,$G100&gt;=Hba_14,Input!AK$34&lt;&gt;""),Input!$B$34&amp;";",""),IF(AND($G100&lt;Hta_15,$G100&gt;=Hba_15,Input!AK$35&lt;&gt;""),Input!$B$35&amp;";",""),IF(AND($G100&lt;Hta_16,$G100&gt;=Hba_16,Input!AK$36&lt;&gt;""),Input!$B$36&amp;";",""),IF(AND($G100&lt;Hta_17,$G100&gt;=Hba_17,Input!AK$37&lt;&gt;""),Input!$B$37&amp;";",""),IF(AND($G100&lt;Hta_18,$G100&gt;=Hba_18,Input!AK$38&lt;&gt;""),Input!$B$38&amp;";",""),IF(AND($G100&lt;Hta_19,$G100&gt;=Hba_19,Input!AK$39&lt;&gt;""),Input!$B$39&amp;";",""),IF(AND($G100&lt;Hta_20,$G100&gt;=Hba_20,Input!AK$40&lt;&gt;""),Input!$B$40&amp;";",""),IF(AND($G100&lt;Hta_21,$G100&gt;=Hba_21,Input!AK$41&lt;&gt;""),Input!$B$41&amp;";",""),IF(AND($G100&lt;Hta_22,$G100&gt;=Hba_22,Input!AK$42&lt;&gt;""),Input!$B$42&amp;";",""),IF(AND($G100&lt;Hta_23,$G100&gt;=Hba_23,Input!AK$43&lt;&gt;""),Input!$B$43&amp;";",""),IF(AND($G100&lt;Hta_24,$G100&gt;=Hba_24,Input!AK$44&lt;&gt;""),Input!$B$44&amp;";",""),IF(AND($G100&lt;Hta_25,$G100&gt;=Hba_25,Input!AK$45&lt;&gt;""),Input!$B$45&amp;";",""),IF(AND($G100&lt;Hta_26,$G100&gt;=Hba_26,Input!AK$46&lt;&gt;""),Input!$B$46&amp;";",""),IF(AND($G100&lt;Hta_27,$G100&gt;=Hba_27,Input!AK$47&lt;&gt;""),Input!$B$47&amp;";",""),IF(AND($G100&lt;Hta_28,$G100&gt;=Hba_28,Input!AK$48&lt;&gt;""),Input!$B$48&amp;";",""),IF(AND($G100&lt;Hta_29,$G100&gt;=Hba_29,Input!AK$49&lt;&gt;""),Input!$B$49&amp;";",""),IF(AND($G100&lt;Hta_30,$G100&gt;=Hba_30,Input!AK$50&lt;&gt;""),Input!$B$50&amp;";","")),"")</f>
        <v/>
      </c>
      <c r="CM100" s="25" t="str">
        <f>IFERROR(CONCATENATE(IF(AND($G100&lt;Hta_1,$G100&gt;=Hba_1,Input!AL$21&lt;&gt;""),Input!$B$21&amp;";",""),IF(AND($G100&lt;Hta_2,$G100&gt;=Hba_2,Input!AL$22&lt;&gt;""),Input!$B$22&amp;";",""),IF(AND($G100&lt;Hta_3,$G100&gt;=Hba_3,Input!AL$23&lt;&gt;""),Input!$B$23&amp;";",""),IF(AND($G100&lt;Hta_4,$G100&gt;=Hba_4,Input!AL$24&lt;&gt;""),Input!$B$24&amp;";",""),IF(AND($G100&lt;Hta_5,$G100&gt;=Hba_5,Input!AL$25&lt;&gt;""),Input!$B$25&amp;";",""),IF(AND($G100&lt;Hta_6,$G100&gt;=Hba_6,Input!AL$26&lt;&gt;""),Input!$B$26&amp;";",""),IF(AND($G100&lt;Hta_7,$G100&gt;=Hba_7,Input!AL$27&lt;&gt;""),Input!$B$27&amp;";",""),IF(AND($G100&lt;Hta_8,$G100&gt;=Hba_8,Input!AL$28&lt;&gt;""),Input!$B$28&amp;";",""),IF(AND($G100&lt;Hta_9,$G100&gt;=Hba_9,Input!AL$29&lt;&gt;""),Input!$B$29&amp;";",""),IF(AND($G100&lt;Hta_10,$G100&gt;=Hba_10,Input!AL$30&lt;&gt;""),Input!$B$30&amp;";",""),IF(AND($G100&lt;Hta_11,$G100&gt;=Hba_11,Input!AL$31&lt;&gt;""),Input!$B$31&amp;";",""),IF(AND($G100&lt;Hta_12,$G100&gt;=Hba_12,Input!AL$32&lt;&gt;""),Input!$B$32&amp;";",""),IF(AND($G100&lt;Hta_13,$G100&gt;=Hba_13,Input!AL$33&lt;&gt;""),Input!$B$33&amp;";",""),IF(AND($G100&lt;Hta_14,$G100&gt;=Hba_14,Input!AL$34&lt;&gt;""),Input!$B$34&amp;";",""),IF(AND($G100&lt;Hta_15,$G100&gt;=Hba_15,Input!AL$35&lt;&gt;""),Input!$B$35&amp;";",""),IF(AND($G100&lt;Hta_16,$G100&gt;=Hba_16,Input!AL$36&lt;&gt;""),Input!$B$36&amp;";",""),IF(AND($G100&lt;Hta_17,$G100&gt;=Hba_17,Input!AL$37&lt;&gt;""),Input!$B$37&amp;";",""),IF(AND($G100&lt;Hta_18,$G100&gt;=Hba_18,Input!AL$38&lt;&gt;""),Input!$B$38&amp;";",""),IF(AND($G100&lt;Hta_19,$G100&gt;=Hba_19,Input!AL$39&lt;&gt;""),Input!$B$39&amp;";",""),IF(AND($G100&lt;Hta_20,$G100&gt;=Hba_20,Input!AL$40&lt;&gt;""),Input!$B$40&amp;";",""),IF(AND($G100&lt;Hta_21,$G100&gt;=Hba_21,Input!AL$41&lt;&gt;""),Input!$B$41&amp;";",""),IF(AND($G100&lt;Hta_22,$G100&gt;=Hba_22,Input!AL$42&lt;&gt;""),Input!$B$42&amp;";",""),IF(AND($G100&lt;Hta_23,$G100&gt;=Hba_23,Input!AL$43&lt;&gt;""),Input!$B$43&amp;";",""),IF(AND($G100&lt;Hta_24,$G100&gt;=Hba_24,Input!AL$44&lt;&gt;""),Input!$B$44&amp;";",""),IF(AND($G100&lt;Hta_25,$G100&gt;=Hba_25,Input!AL$45&lt;&gt;""),Input!$B$45&amp;";",""),IF(AND($G100&lt;Hta_26,$G100&gt;=Hba_26,Input!AL$46&lt;&gt;""),Input!$B$46&amp;";",""),IF(AND($G100&lt;Hta_27,$G100&gt;=Hba_27,Input!AL$47&lt;&gt;""),Input!$B$47&amp;";",""),IF(AND($G100&lt;Hta_28,$G100&gt;=Hba_28,Input!AL$48&lt;&gt;""),Input!$B$48&amp;";",""),IF(AND($G100&lt;Hta_29,$G100&gt;=Hba_29,Input!AL$49&lt;&gt;""),Input!$B$49&amp;";",""),IF(AND($G100&lt;Hta_30,$G100&gt;=Hba_30,Input!AL$50&lt;&gt;""),Input!$B$50&amp;";","")),"")</f>
        <v/>
      </c>
      <c r="CN100" s="59" t="str">
        <f t="shared" si="16"/>
        <v/>
      </c>
      <c r="CO100" s="791"/>
      <c r="CP100" s="792"/>
      <c r="CQ100" s="793"/>
      <c r="CR100" s="791"/>
      <c r="CS100" s="792"/>
      <c r="CT100" s="793"/>
      <c r="CU100" s="791" t="str">
        <f t="shared" si="17"/>
        <v/>
      </c>
      <c r="CV100" s="792"/>
      <c r="CW100" s="807"/>
      <c r="CX100" s="808"/>
      <c r="CY100" s="730"/>
      <c r="CZ100" s="809"/>
      <c r="DA100" s="733"/>
      <c r="DB100" s="734"/>
      <c r="DC100" s="735"/>
      <c r="DD100" s="729" t="str">
        <f t="shared" si="18"/>
        <v/>
      </c>
      <c r="DE100" s="730"/>
      <c r="DF100" s="731"/>
      <c r="DG100" s="55"/>
      <c r="DH100" s="56"/>
      <c r="DI100" s="56"/>
      <c r="DJ100" s="56"/>
      <c r="DK100" s="56"/>
      <c r="DL100" s="56"/>
      <c r="DM100" s="56"/>
      <c r="DN100" s="56"/>
      <c r="DO100" s="56"/>
      <c r="DP100" s="56"/>
      <c r="DQ100" s="58"/>
      <c r="DR100" s="58"/>
      <c r="DS100" s="58"/>
      <c r="DT100" s="58"/>
      <c r="DU100" s="58"/>
      <c r="DV100" s="58"/>
      <c r="DW100" s="58"/>
      <c r="DX100" s="58"/>
      <c r="DY100" s="58"/>
      <c r="DZ100" s="58"/>
      <c r="EA100" s="58"/>
      <c r="EB100" s="58"/>
      <c r="EC100" s="58"/>
      <c r="ED100" s="58"/>
      <c r="EE100" s="58"/>
      <c r="EF100" s="58"/>
      <c r="EG100" s="58"/>
      <c r="EH100" s="58"/>
      <c r="EI100" s="58"/>
      <c r="EJ100" s="58"/>
      <c r="EK100" s="58"/>
      <c r="EL100" s="134"/>
      <c r="EM100" s="134"/>
      <c r="EN100" s="134"/>
      <c r="EO100" s="134"/>
      <c r="EP100" s="134"/>
      <c r="EQ100" s="134"/>
      <c r="ER100" s="134"/>
      <c r="ES100" s="134"/>
      <c r="ET100" s="134"/>
      <c r="EU100" s="134"/>
      <c r="EV100" s="134"/>
      <c r="EW100" s="134"/>
      <c r="EX100" s="134"/>
      <c r="EY100" s="134"/>
      <c r="EZ100" s="134"/>
      <c r="FA100" s="134"/>
      <c r="FB100" s="134"/>
      <c r="FC100" s="134"/>
      <c r="FD100" s="134"/>
      <c r="FE100" s="134"/>
      <c r="FF100" s="134"/>
      <c r="FG100" s="134"/>
      <c r="FH100" s="134"/>
      <c r="FI100" s="134"/>
      <c r="FJ100" s="134"/>
      <c r="FK100" s="134"/>
      <c r="FL100" s="134"/>
      <c r="FM100" s="134"/>
      <c r="FN100" s="134"/>
      <c r="FO100" s="134"/>
      <c r="FQ100" s="124"/>
      <c r="FR100" s="122"/>
      <c r="FS100" s="120"/>
      <c r="FT100" s="119"/>
    </row>
    <row r="101" spans="2:176" ht="15.75" hidden="1" thickBot="1" x14ac:dyDescent="0.3">
      <c r="B101" s="62" t="b">
        <f>IF(OR(AND(G101&gt;='Geometry 2'!$AK$5,G101&lt;'Geometry 2'!$AL$5),AND(G101&gt;='Geometry 2'!$AK$6,G101&lt;'Geometry 2'!$AL$6),AND(G101&gt;='Geometry 2'!$AK$7,G101&lt;'Geometry 2'!$AL$7),AND(G101&gt;='Geometry 2'!$AK$8,G101&lt;'Geometry 2'!$AL$8),AND(G101&gt;='Geometry 2'!$AK$9,G101&lt;'Geometry 2'!$AL$9),AND(G101&gt;='Geometry 2'!$AK$10,G101&lt;'Geometry 2'!$AL$10),AND(G101&gt;='Geometry 2'!$AK$11,G101&lt;'Geometry 2'!$AL$11),AND(G101&gt;='Geometry 2'!$AK$12,G101&lt;'Geometry 2'!$AL$12),AND(G101&gt;='Geometry 2'!$AK$13,G101&lt;'Geometry 2'!$AL$13),AND(G101&gt;='Geometry 2'!$AK$14,G101&lt;'Geometry 2'!$AL$14)),TRUE,FALSE)</f>
        <v>0</v>
      </c>
      <c r="C101" s="4" t="str">
        <f t="shared" si="13"/>
        <v/>
      </c>
      <c r="D101" s="766" t="str">
        <f t="shared" si="14"/>
        <v/>
      </c>
      <c r="E101" s="767"/>
      <c r="F101" s="17" t="str">
        <f t="shared" si="12"/>
        <v/>
      </c>
      <c r="G101" s="768" t="str">
        <f>IF(D101="","",MAX(0,G100-IF(inc="n/a",999,inc),MAX(IF(G100&lt;=Hta_1,0,Hta_1),IF(G100&lt;=Hta_2,0,Hta_2),IF(G100&lt;=Hta_3,0,Hta_3),IF(G100&lt;=Hta_4,0,Hta_4),IF(G100&lt;=Hta_5,0,Hta_5),IF(G100&lt;=Hta_6,0,Hta_6),IF(G100&lt;=Hta_7,0,Hta_7),IF(G100&lt;=Hta_8,0,Hta_8),IF(G100&lt;=Hta_9,0,Hta_9),IF(G100&lt;=Hta_10,0,Hta_10),IF(G100&lt;=Hta_11,0,Hta_11),IF(G100&lt;=Hta_12,0,Hta_12),IF(G100&lt;=Hta_13,0,Hta_13),IF(G100&lt;=Hta_14,0,Hta_14),IF(G100&lt;=Hta_15,0,Hta_15),IF(G100&lt;=Hta_16,0,Hta_16),IF(G100&lt;=Hta_17,0,Hta_17),IF(G100&lt;=Hta_18,0,Hta_18),IF(G100&lt;=Hta_19,0,Hta_19),IF(G100&lt;=Hta_20,0,Hta_20),IF(G100&lt;=Hta_21,0,Hta_21),IF(G100&lt;=Hta_22,0,Hta_22),IF(G100&lt;=Hta_23,0,Hta_23),IF(G100&lt;=Hta_24,0,Hta_24),IF(G100&lt;=Hta_25,0,Hta_25),IF(G100&lt;=Hta_26,0,Hta_26),IF(G100&lt;=Hta_27,0,Hta_27),IF(G100&lt;=Hta_28,0,Hta_28),IF(G100&lt;=Hta_29,0,Hta_29),IF(G100&lt;=Hta_30,0,Hta_30)),MAX(IF(G100&lt;=Hta_1-0.25,0,Hta_1-0.25),IF(G100&lt;=Hta_2-0.25,0,Hta_2-0.25),IF(G100&lt;=Hta_3-0.25,0,Hta_3-0.25),IF(G100&lt;=Hta_4-0.25,0,Hta_4-0.25),IF(G100&lt;=Hta_5-0.25,0,Hta_5-0.25),IF(G100&lt;=Hta_6-0.25,0,Hta_6-0.25),IF(G100&lt;=Hta_7-0.25,0,Hta_7-0.25),IF(G100&lt;=Hta_8-0.25,0,Hta_8-0.25),IF(G100&lt;=Hta_9-0.25,0,Hta_9-0.25),IF(G100&lt;=Hta_10-0.25,0,Hta_10-0.25),IF(G100&lt;=Hta_11-0.25,0,Hta_11-0.25),IF(G100&lt;=Hta_12-0.25,0,Hta_12-0.25),IF(G100&lt;=Hta_13-0.25,0,Hta_13-0.25),IF(G100&lt;=Hta_14-0.25,0,Hta_14-0.25),IF(G100&lt;=Hta_15-0.25,0,Hta_15-0.25),IF(G100&lt;=Hta_16-0.25,0,Hta_16-0.25),IF(G100&lt;=Hta_17-0.25,0,Hta_17-0.25),IF(G100&lt;=Hta_18-0.25,0,Hta_18-0.25),IF(G100&lt;=Hta_19-0.25,0,Hta_19-0.25),IF(G100&lt;=Hta_20-0.25,0,Hta_20-0.25),IF(G100&lt;=Hta_21-0.25,0,Hta_21-0.25),IF(G100&lt;=Hta_22-0.25,0,Hta_22-0.25),IF(G100&lt;=Hta_23-0.25,0,Hta_23-0.25),IF(G100&lt;=Hta_24-0.25,0,Hta_24-0.25),IF(G100&lt;=Hta_25-0.25,0,Hta_25-0.25),IF(G100&lt;=Hta_26-0.25,0,Hta_26-0.25),IF(G100&lt;=Hta_27-0.25,0,Hta_27-0.25),IF(G100&lt;=Hta_28-0.25,0,Hta_28-0.25),IF(G100&lt;=Hta_29-0.25,0,Hta_29-0.25),IF(G100&lt;=Hta_30-0.25,0,Hta_30-0.25)),MAX(IF(G100&lt;=Hba_1,0,Hba_1),IF(G100&lt;=Hba_2,0,Hba_2),IF(G100&lt;=Hba_3,0,Hba_3),IF(G100&lt;=Hba_4,0,Hba_4),IF(G100&lt;=Hba_5,0,Hba_5),IF(G100&lt;=Hba_6,0,Hba_6),IF(G100&lt;=Hba_7,0,Hba_7),IF(G100&lt;=Hba_8,0,Hba_8),IF(G100&lt;=Hba_9,0,Hba_9),IF(G100&lt;=Hba_10,0,Hba_10),IF(G100&lt;=Hba_11,0,Hba_11),IF(G100&lt;=Hba_12,0,Hba_12),IF(G100&lt;=Hba_13,0,Hba_13),IF(G100&lt;=Hba_14,0,Hba_14),IF(G100&lt;=Hba_15,0,Hba_15),IF(G100&lt;=Hba_16,0,Hba_16),IF(G100&lt;=Hba_17,0,Hba_17),IF(G100&lt;=Hba_18,0,Hba_18),IF(G100&lt;=Hba_19,0,Hba_19),IF(G100&lt;=Hba_20,0,Hba_20),IF(G100&lt;=Hba_21,0,Hba_21),IF(G100&lt;=Hba_22,0,Hba_22),IF(G100&lt;=Hba_23,0,Hba_23),IF(G100&lt;=Hba_24,0,Hba_24),IF(G100&lt;=Hba_25,0,Hba_25),IF(G100&lt;=Hba_26,0,Hba_26),IF(G100&lt;=Hba_27,0,Hba_27),IF(G100&lt;=Hba_28,0,Hba_28),IF(G100&lt;=Hba_29,0,Hba_29),IF(G100&lt;=Hba_30,0,Hba_30)),MAX(IF(G100&lt;=Input!$C$8,0,Input!$C$8),IF(G100&lt;=Input!$C$9,0,Input!$C$9),IF(G100&lt;=Input!$C$10,0,Input!$C$10),IF(G100&lt;=Input!$C$11,0,Input!$C$11),IF(G100&lt;=Input!$C$12,0,Input!$C$12),IF(G100&lt;=Input!$C$13,0,Input!$C$13),IF(G100&lt;=Input!$C$14,0,Input!$C$14),IF(G100&lt;=Input!$C$15,0,Input!$C$15),IF(G100&lt;=Input!$C$16,0,Input!$C$16)),MAX(IF(G100&lt;=Hba_1-0.25,0,Hba_1-0.25),IF(G100&lt;=Hba_2-0.25,0,Hba_2-0.25),IF(G100&lt;=Hba_3-0.25,0,Hba_3-0.25),IF(G100&lt;=Hba_4-0.25,0,Hba_4-0.25),IF(G100&lt;=Hba_5-0.25,0,Hba_5-0.25),IF(G100&lt;=Hba_6-0.25,0,Hba_6-0.25),IF(G100&lt;=Hba_7-0.25,0,Hba_7-0.25),IF(G100&lt;=Hba_8-0.25,0,Hba_8-0.25),IF(G100&lt;=Hba_9-0.25,0,Hba_9-0.25),IF(G100&lt;=Hba_10-0.25,0,Hba_10-0.25),IF(G100&lt;=Hba_11-0.25,0,Hba_11-0.25),IF(G100&lt;=Hba_12-0.25,0,Hba_12-0.25),IF(G100&lt;=Hba_13-0.25,0,Hba_13-0.25),IF(G100&lt;=Hba_14-0.25,0,Hba_14-0.25),IF(G100&lt;=Hba_15-0.25,0,Hba_15-0.25),IF(G100&lt;=Hba_16-0.25,0,Hba_16-0.25),IF(G100&lt;=Hba_17-0.25,0,Hba_17-0.25),IF(G100&lt;=Hba_18-0.25,0,Hba_18-0.25),IF(G100&lt;=Hba_19-0.25,0,Hba_19-0.25),IF(G100&lt;=Hba_20-0.25,0,Hba_20-0.25),IF(G100&lt;=Hba_21-0.25,0,Hba_21-0.25),IF(G100&lt;=Hba_22-0.25,0,Hba_22-0.25),IF(G100&lt;=Hba_23-0.25,0,Hba_23-0.25),IF(G100&lt;=Hba_24-0.25,0,Hba_24-0.25),IF(G100&lt;=Hba_25-0.25,0,Hba_25-0.25),IF(G100&lt;=Hba_26-0.25,0,Hba_26-0.25),IF(G100&lt;=Hba_27-0.25,0,Hba_27-0.25),IF(G100&lt;=Hba_28-0.25,0,Hba_28-0.25),IF(G100&lt;=Hba_29-0.25,0,Hba_29-0.25),IF(G100&lt;=Hba_30-0.25,0,Hba_30-0.25)),IF(G100&lt;='Macro References'!$A$38,0,'Macro References'!$A$38)))</f>
        <v/>
      </c>
      <c r="H101" s="769"/>
      <c r="I101" s="228"/>
      <c r="J101" s="228"/>
      <c r="K101" s="228"/>
      <c r="L101" s="717" t="str">
        <f t="shared" si="11"/>
        <v/>
      </c>
      <c r="M101" s="717"/>
      <c r="N101" s="717"/>
      <c r="O101" s="717"/>
      <c r="P101" s="717" t="str">
        <f>IF(OR(G101=0,G101=""),"",IF(VLOOKUP(G101,'Geometry 2'!$C$4:$AI$14,1,TRUE)=VLOOKUP(G102,'Geometry 2'!$C$4:$AI$14,1,TRUE),"",IF(VLOOKUP(G101,'Geometry 2'!$C$4:$AI$14,33,TRUE)&lt;&gt;"n/a",MIN(G101,VLOOKUP(G101,'Geometry 2'!$C$4:$AI$14,1,TRUE))-VLOOKUP(G101,'Geometry 2'!$C$4:$AI$14,33,TRUE),"check")))</f>
        <v/>
      </c>
      <c r="Q101" s="717"/>
      <c r="R101" s="717"/>
      <c r="S101" s="717"/>
      <c r="T101" s="717" t="str">
        <f>IF($G101="","",VLOOKUP($G101,'Geometry 2'!$E$4:$AH$14,11,TRUE))</f>
        <v/>
      </c>
      <c r="U101" s="717"/>
      <c r="V101" s="717"/>
      <c r="W101" s="717"/>
      <c r="X101" s="716" t="str">
        <f>IF($G101="","",VLOOKUP($G101,'Geometry 2'!$E$4:$AJ$14,19,TRUE)-12*VLOOKUP($G101,'Geometry 2'!$E$4:$AJ$14,32,TRUE)*($D101-VLOOKUP($G101,'Geometry 2'!$E$5:$AH$14,1,TRUE)))</f>
        <v/>
      </c>
      <c r="Y101" s="716"/>
      <c r="Z101" s="716"/>
      <c r="AA101" s="716"/>
      <c r="AB101" s="757" t="str">
        <f>IF($G101="","",VLOOKUP($G101,'Geometry 2'!$E$4:$AJ$14,19,TRUE)-12*VLOOKUP($G101,'Geometry 2'!$E$4:$AJ$14,32,TRUE)*($G101-VLOOKUP($G101,'Geometry 2'!$E$5:$AH$14,1,TRUE)))</f>
        <v/>
      </c>
      <c r="AC101" s="758"/>
      <c r="AD101" s="758"/>
      <c r="AE101" s="759"/>
      <c r="AF101" s="716" t="str">
        <f>IF($G101="","",VLOOKUP($G101,'Geometry 2'!$E$4:$AJ$14,19,TRUE)-12*VLOOKUP($G101,'Geometry 2'!$E$4:$AJ$14,32,TRUE)*($G101-IF($P101="",0,$P101)-VLOOKUP($G101,'Geometry 2'!$E$5:$AH$14,1,TRUE)))</f>
        <v/>
      </c>
      <c r="AG101" s="716"/>
      <c r="AH101" s="716"/>
      <c r="AI101" s="716"/>
      <c r="AJ101" s="746" t="str">
        <f>IF($G101="","",VLOOKUP($G101,'Geometry 2'!$E$4:$AH$14,23,TRUE))</f>
        <v/>
      </c>
      <c r="AK101" s="747"/>
      <c r="AL101" s="747"/>
      <c r="AM101" s="748"/>
      <c r="AN101" s="717"/>
      <c r="AO101" s="717"/>
      <c r="AP101" s="717"/>
      <c r="AQ101" s="717"/>
      <c r="AR101" s="717" t="str">
        <f>IF($G101="","",VLOOKUP($G101,'Geometry 2'!$E$4:$AH$14,27,TRUE))</f>
        <v/>
      </c>
      <c r="AS101" s="717"/>
      <c r="AT101" s="717"/>
      <c r="AU101" s="718"/>
      <c r="AV101" s="715"/>
      <c r="AW101" s="716"/>
      <c r="AX101" s="716"/>
      <c r="AZ101" s="722" t="str">
        <f t="shared" si="15"/>
        <v/>
      </c>
      <c r="BA101" s="723"/>
      <c r="BB101" s="723"/>
      <c r="BC101" s="724"/>
      <c r="BD101" s="722"/>
      <c r="BE101" s="723"/>
      <c r="BF101" s="723"/>
      <c r="BG101" s="722" t="str">
        <f t="shared" si="19"/>
        <v/>
      </c>
      <c r="BH101" s="723"/>
      <c r="BI101" s="723"/>
      <c r="BJ101" s="723"/>
      <c r="BK101" s="724"/>
      <c r="BL101" s="722"/>
      <c r="BM101" s="723"/>
      <c r="BN101" s="723"/>
      <c r="BO101" s="723"/>
      <c r="BP101" s="725"/>
      <c r="BQ101" s="725"/>
      <c r="BR101" s="722" t="str">
        <f>IF(BP101="","",IF(OR(AND(Rev="H",Calculations!$F$27=TRUE),AND(Rev&lt;&gt;"H",Calculations!$F$30=TRUE)),IF(BP101&lt;=1,"Pass","Fail"),IF(BP101&lt;=1.05,"Pass","Fail")))</f>
        <v/>
      </c>
      <c r="BS101" s="723"/>
      <c r="BT101" s="724"/>
      <c r="BU101" s="49"/>
      <c r="BV101" s="25" t="str">
        <f>IFERROR(CONCATENATE(IF(AND($G101&lt;Hta_1,$G101&gt;=Hba_1,Input!U$21&lt;&gt;""),Input!$B$21&amp;";",""),IF(AND($G101&lt;Hta_2,$G101&gt;=Hba_2,Input!U$22&lt;&gt;""),Input!$B$22&amp;";",""),IF(AND($G101&lt;Hta_3,$G101&gt;=Hba_3,Input!U$23&lt;&gt;""),Input!$B$23&amp;";",""),IF(AND($G101&lt;Hta_4,$G101&gt;=Hba_4,Input!U$24&lt;&gt;""),Input!$B$24&amp;";",""),IF(AND($G101&lt;Hta_5,$G101&gt;=Hba_5,Input!U$25&lt;&gt;""),Input!$B$25&amp;";",""),IF(AND($G101&lt;Hta_6,$G101&gt;=Hba_6,Input!U$26&lt;&gt;""),Input!$B$26&amp;";",""),IF(AND($G101&lt;Hta_7,$G101&gt;=Hba_7,Input!U$27&lt;&gt;""),Input!$B$27&amp;";",""),IF(AND($G101&lt;Hta_8,$G101&gt;=Hba_8,Input!U$28&lt;&gt;""),Input!$B$28&amp;";",""),IF(AND($G101&lt;Hta_9,$G101&gt;=Hba_9,Input!U$29&lt;&gt;""),Input!$B$29&amp;";",""),IF(AND($G101&lt;Hta_10,$G101&gt;=Hba_10,Input!U$30&lt;&gt;""),Input!$B$30&amp;";",""),IF(AND($G101&lt;Hta_11,$G101&gt;=Hba_11,Input!U$31&lt;&gt;""),Input!$B$31&amp;";",""),IF(AND($G101&lt;Hta_12,$G101&gt;=Hba_12,Input!U$32&lt;&gt;""),Input!$B$32&amp;";",""),IF(AND($G101&lt;Hta_13,$G101&gt;=Hba_13,Input!U$33&lt;&gt;""),Input!$B$33&amp;";",""),IF(AND($G101&lt;Hta_14,$G101&gt;=Hba_14,Input!U$34&lt;&gt;""),Input!$B$34&amp;";",""),IF(AND($G101&lt;Hta_15,$G101&gt;=Hba_15,Input!U$35&lt;&gt;""),Input!$B$35&amp;";",""),IF(AND($G101&lt;Hta_16,$G101&gt;=Hba_16,Input!U$36&lt;&gt;""),Input!$B$36&amp;";",""),IF(AND($G101&lt;Hta_17,$G101&gt;=Hba_17,Input!U$37&lt;&gt;""),Input!$B$37&amp;";",""),IF(AND($G101&lt;Hta_18,$G101&gt;=Hba_18,Input!U$38&lt;&gt;""),Input!$B$38&amp;";",""),IF(AND($G101&lt;Hta_19,$G101&gt;=Hba_19,Input!U$39&lt;&gt;""),Input!$B$39&amp;";",""),IF(AND($G101&lt;Hta_20,$G101&gt;=Hba_20,Input!U$40&lt;&gt;""),Input!$B$40&amp;";",""),IF(AND($G101&lt;Hta_21,$G101&gt;=Hba_21,Input!U$41&lt;&gt;""),Input!$B$41&amp;";",""),IF(AND($G101&lt;Hta_22,$G101&gt;=Hba_22,Input!U$42&lt;&gt;""),Input!$B$42&amp;";",""),IF(AND($G101&lt;Hta_23,$G101&gt;=Hba_23,Input!U$43&lt;&gt;""),Input!$B$43&amp;";",""),IF(AND($G101&lt;Hta_24,$G101&gt;=Hba_24,Input!U$44&lt;&gt;""),Input!$B$44&amp;";",""),IF(AND($G101&lt;Hta_25,$G101&gt;=Hba_25,Input!U$45&lt;&gt;""),Input!$B$45&amp;";",""),IF(AND($G101&lt;Hta_26,$G101&gt;=Hba_26,Input!U$46&lt;&gt;""),Input!$B$46&amp;";",""),IF(AND($G101&lt;Hta_27,$G101&gt;=Hba_27,Input!U$47&lt;&gt;""),Input!$B$47&amp;";",""),IF(AND($G101&lt;Hta_28,$G101&gt;=Hba_28,Input!U$48&lt;&gt;""),Input!$B$48&amp;";",""),IF(AND($G101&lt;Hta_29,$G101&gt;=Hba_29,Input!U$49&lt;&gt;""),Input!$B$49&amp;";",""),IF(AND($G101&lt;Hta_30,$G101&gt;=Hba_30,Input!U$50&lt;&gt;""),Input!$B$50&amp;";","")),"")</f>
        <v/>
      </c>
      <c r="BW101" s="25" t="str">
        <f>IFERROR(CONCATENATE(IF(AND($G101&lt;Hta_1,$G101&gt;=Hba_1,Input!V$21&lt;&gt;""),Input!$B$21&amp;";",""),IF(AND($G101&lt;Hta_2,$G101&gt;=Hba_2,Input!V$22&lt;&gt;""),Input!$B$22&amp;";",""),IF(AND($G101&lt;Hta_3,$G101&gt;=Hba_3,Input!V$23&lt;&gt;""),Input!$B$23&amp;";",""),IF(AND($G101&lt;Hta_4,$G101&gt;=Hba_4,Input!V$24&lt;&gt;""),Input!$B$24&amp;";",""),IF(AND($G101&lt;Hta_5,$G101&gt;=Hba_5,Input!V$25&lt;&gt;""),Input!$B$25&amp;";",""),IF(AND($G101&lt;Hta_6,$G101&gt;=Hba_6,Input!V$26&lt;&gt;""),Input!$B$26&amp;";",""),IF(AND($G101&lt;Hta_7,$G101&gt;=Hba_7,Input!V$27&lt;&gt;""),Input!$B$27&amp;";",""),IF(AND($G101&lt;Hta_8,$G101&gt;=Hba_8,Input!V$28&lt;&gt;""),Input!$B$28&amp;";",""),IF(AND($G101&lt;Hta_9,$G101&gt;=Hba_9,Input!V$29&lt;&gt;""),Input!$B$29&amp;";",""),IF(AND($G101&lt;Hta_10,$G101&gt;=Hba_10,Input!V$30&lt;&gt;""),Input!$B$30&amp;";",""),IF(AND($G101&lt;Hta_11,$G101&gt;=Hba_11,Input!V$31&lt;&gt;""),Input!$B$31&amp;";",""),IF(AND($G101&lt;Hta_12,$G101&gt;=Hba_12,Input!V$32&lt;&gt;""),Input!$B$32&amp;";",""),IF(AND($G101&lt;Hta_13,$G101&gt;=Hba_13,Input!V$33&lt;&gt;""),Input!$B$33&amp;";",""),IF(AND($G101&lt;Hta_14,$G101&gt;=Hba_14,Input!V$34&lt;&gt;""),Input!$B$34&amp;";",""),IF(AND($G101&lt;Hta_15,$G101&gt;=Hba_15,Input!V$35&lt;&gt;""),Input!$B$35&amp;";",""),IF(AND($G101&lt;Hta_16,$G101&gt;=Hba_16,Input!V$36&lt;&gt;""),Input!$B$36&amp;";",""),IF(AND($G101&lt;Hta_17,$G101&gt;=Hba_17,Input!V$37&lt;&gt;""),Input!$B$37&amp;";",""),IF(AND($G101&lt;Hta_18,$G101&gt;=Hba_18,Input!V$38&lt;&gt;""),Input!$B$38&amp;";",""),IF(AND($G101&lt;Hta_19,$G101&gt;=Hba_19,Input!V$39&lt;&gt;""),Input!$B$39&amp;";",""),IF(AND($G101&lt;Hta_20,$G101&gt;=Hba_20,Input!V$40&lt;&gt;""),Input!$B$40&amp;";",""),IF(AND($G101&lt;Hta_21,$G101&gt;=Hba_21,Input!V$41&lt;&gt;""),Input!$B$41&amp;";",""),IF(AND($G101&lt;Hta_22,$G101&gt;=Hba_22,Input!V$42&lt;&gt;""),Input!$B$42&amp;";",""),IF(AND($G101&lt;Hta_23,$G101&gt;=Hba_23,Input!V$43&lt;&gt;""),Input!$B$43&amp;";",""),IF(AND($G101&lt;Hta_24,$G101&gt;=Hba_24,Input!V$44&lt;&gt;""),Input!$B$44&amp;";",""),IF(AND($G101&lt;Hta_25,$G101&gt;=Hba_25,Input!V$45&lt;&gt;""),Input!$B$45&amp;";",""),IF(AND($G101&lt;Hta_26,$G101&gt;=Hba_26,Input!V$46&lt;&gt;""),Input!$B$46&amp;";",""),IF(AND($G101&lt;Hta_27,$G101&gt;=Hba_27,Input!V$47&lt;&gt;""),Input!$B$47&amp;";",""),IF(AND($G101&lt;Hta_28,$G101&gt;=Hba_28,Input!V$48&lt;&gt;""),Input!$B$48&amp;";",""),IF(AND($G101&lt;Hta_29,$G101&gt;=Hba_29,Input!V$49&lt;&gt;""),Input!$B$49&amp;";",""),IF(AND($G101&lt;Hta_30,$G101&gt;=Hba_30,Input!V$50&lt;&gt;""),Input!$B$50&amp;";","")),"")</f>
        <v/>
      </c>
      <c r="BX101" s="25" t="str">
        <f>IFERROR(CONCATENATE(IF(AND($G101&lt;Hta_1,$G101&gt;=Hba_1,Input!W$21&lt;&gt;""),Input!$B$21&amp;";",""),IF(AND($G101&lt;Hta_2,$G101&gt;=Hba_2,Input!W$22&lt;&gt;""),Input!$B$22&amp;";",""),IF(AND($G101&lt;Hta_3,$G101&gt;=Hba_3,Input!W$23&lt;&gt;""),Input!$B$23&amp;";",""),IF(AND($G101&lt;Hta_4,$G101&gt;=Hba_4,Input!W$24&lt;&gt;""),Input!$B$24&amp;";",""),IF(AND($G101&lt;Hta_5,$G101&gt;=Hba_5,Input!W$25&lt;&gt;""),Input!$B$25&amp;";",""),IF(AND($G101&lt;Hta_6,$G101&gt;=Hba_6,Input!W$26&lt;&gt;""),Input!$B$26&amp;";",""),IF(AND($G101&lt;Hta_7,$G101&gt;=Hba_7,Input!W$27&lt;&gt;""),Input!$B$27&amp;";",""),IF(AND($G101&lt;Hta_8,$G101&gt;=Hba_8,Input!W$28&lt;&gt;""),Input!$B$28&amp;";",""),IF(AND($G101&lt;Hta_9,$G101&gt;=Hba_9,Input!W$29&lt;&gt;""),Input!$B$29&amp;";",""),IF(AND($G101&lt;Hta_10,$G101&gt;=Hba_10,Input!W$30&lt;&gt;""),Input!$B$30&amp;";",""),IF(AND($G101&lt;Hta_11,$G101&gt;=Hba_11,Input!W$31&lt;&gt;""),Input!$B$31&amp;";",""),IF(AND($G101&lt;Hta_12,$G101&gt;=Hba_12,Input!W$32&lt;&gt;""),Input!$B$32&amp;";",""),IF(AND($G101&lt;Hta_13,$G101&gt;=Hba_13,Input!W$33&lt;&gt;""),Input!$B$33&amp;";",""),IF(AND($G101&lt;Hta_14,$G101&gt;=Hba_14,Input!W$34&lt;&gt;""),Input!$B$34&amp;";",""),IF(AND($G101&lt;Hta_15,$G101&gt;=Hba_15,Input!W$35&lt;&gt;""),Input!$B$35&amp;";",""),IF(AND($G101&lt;Hta_16,$G101&gt;=Hba_16,Input!W$36&lt;&gt;""),Input!$B$36&amp;";",""),IF(AND($G101&lt;Hta_17,$G101&gt;=Hba_17,Input!W$37&lt;&gt;""),Input!$B$37&amp;";",""),IF(AND($G101&lt;Hta_18,$G101&gt;=Hba_18,Input!W$38&lt;&gt;""),Input!$B$38&amp;";",""),IF(AND($G101&lt;Hta_19,$G101&gt;=Hba_19,Input!W$39&lt;&gt;""),Input!$B$39&amp;";",""),IF(AND($G101&lt;Hta_20,$G101&gt;=Hba_20,Input!W$40&lt;&gt;""),Input!$B$40&amp;";",""),IF(AND($G101&lt;Hta_21,$G101&gt;=Hba_21,Input!W$41&lt;&gt;""),Input!$B$41&amp;";",""),IF(AND($G101&lt;Hta_22,$G101&gt;=Hba_22,Input!W$42&lt;&gt;""),Input!$B$42&amp;";",""),IF(AND($G101&lt;Hta_23,$G101&gt;=Hba_23,Input!W$43&lt;&gt;""),Input!$B$43&amp;";",""),IF(AND($G101&lt;Hta_24,$G101&gt;=Hba_24,Input!W$44&lt;&gt;""),Input!$B$44&amp;";",""),IF(AND($G101&lt;Hta_25,$G101&gt;=Hba_25,Input!W$45&lt;&gt;""),Input!$B$45&amp;";",""),IF(AND($G101&lt;Hta_26,$G101&gt;=Hba_26,Input!W$46&lt;&gt;""),Input!$B$46&amp;";",""),IF(AND($G101&lt;Hta_27,$G101&gt;=Hba_27,Input!W$47&lt;&gt;""),Input!$B$47&amp;";",""),IF(AND($G101&lt;Hta_28,$G101&gt;=Hba_28,Input!W$48&lt;&gt;""),Input!$B$48&amp;";",""),IF(AND($G101&lt;Hta_29,$G101&gt;=Hba_29,Input!W$49&lt;&gt;""),Input!$B$49&amp;";",""),IF(AND($G101&lt;Hta_30,$G101&gt;=Hba_30,Input!W$50&lt;&gt;""),Input!$B$50&amp;";","")),"")</f>
        <v/>
      </c>
      <c r="BY101" s="25" t="str">
        <f>IFERROR(CONCATENATE(IF(AND($G101&lt;Hta_1,$G101&gt;=Hba_1,Input!X$21&lt;&gt;""),Input!$B$21&amp;";",""),IF(AND($G101&lt;Hta_2,$G101&gt;=Hba_2,Input!X$22&lt;&gt;""),Input!$B$22&amp;";",""),IF(AND($G101&lt;Hta_3,$G101&gt;=Hba_3,Input!X$23&lt;&gt;""),Input!$B$23&amp;";",""),IF(AND($G101&lt;Hta_4,$G101&gt;=Hba_4,Input!X$24&lt;&gt;""),Input!$B$24&amp;";",""),IF(AND($G101&lt;Hta_5,$G101&gt;=Hba_5,Input!X$25&lt;&gt;""),Input!$B$25&amp;";",""),IF(AND($G101&lt;Hta_6,$G101&gt;=Hba_6,Input!X$26&lt;&gt;""),Input!$B$26&amp;";",""),IF(AND($G101&lt;Hta_7,$G101&gt;=Hba_7,Input!X$27&lt;&gt;""),Input!$B$27&amp;";",""),IF(AND($G101&lt;Hta_8,$G101&gt;=Hba_8,Input!X$28&lt;&gt;""),Input!$B$28&amp;";",""),IF(AND($G101&lt;Hta_9,$G101&gt;=Hba_9,Input!X$29&lt;&gt;""),Input!$B$29&amp;";",""),IF(AND($G101&lt;Hta_10,$G101&gt;=Hba_10,Input!X$30&lt;&gt;""),Input!$B$30&amp;";",""),IF(AND($G101&lt;Hta_11,$G101&gt;=Hba_11,Input!X$31&lt;&gt;""),Input!$B$31&amp;";",""),IF(AND($G101&lt;Hta_12,$G101&gt;=Hba_12,Input!X$32&lt;&gt;""),Input!$B$32&amp;";",""),IF(AND($G101&lt;Hta_13,$G101&gt;=Hba_13,Input!X$33&lt;&gt;""),Input!$B$33&amp;";",""),IF(AND($G101&lt;Hta_14,$G101&gt;=Hba_14,Input!X$34&lt;&gt;""),Input!$B$34&amp;";",""),IF(AND($G101&lt;Hta_15,$G101&gt;=Hba_15,Input!X$35&lt;&gt;""),Input!$B$35&amp;";",""),IF(AND($G101&lt;Hta_16,$G101&gt;=Hba_16,Input!X$36&lt;&gt;""),Input!$B$36&amp;";",""),IF(AND($G101&lt;Hta_17,$G101&gt;=Hba_17,Input!X$37&lt;&gt;""),Input!$B$37&amp;";",""),IF(AND($G101&lt;Hta_18,$G101&gt;=Hba_18,Input!X$38&lt;&gt;""),Input!$B$38&amp;";",""),IF(AND($G101&lt;Hta_19,$G101&gt;=Hba_19,Input!X$39&lt;&gt;""),Input!$B$39&amp;";",""),IF(AND($G101&lt;Hta_20,$G101&gt;=Hba_20,Input!X$40&lt;&gt;""),Input!$B$40&amp;";",""),IF(AND($G101&lt;Hta_21,$G101&gt;=Hba_21,Input!X$41&lt;&gt;""),Input!$B$41&amp;";",""),IF(AND($G101&lt;Hta_22,$G101&gt;=Hba_22,Input!X$42&lt;&gt;""),Input!$B$42&amp;";",""),IF(AND($G101&lt;Hta_23,$G101&gt;=Hba_23,Input!X$43&lt;&gt;""),Input!$B$43&amp;";",""),IF(AND($G101&lt;Hta_24,$G101&gt;=Hba_24,Input!X$44&lt;&gt;""),Input!$B$44&amp;";",""),IF(AND($G101&lt;Hta_25,$G101&gt;=Hba_25,Input!X$45&lt;&gt;""),Input!$B$45&amp;";",""),IF(AND($G101&lt;Hta_26,$G101&gt;=Hba_26,Input!X$46&lt;&gt;""),Input!$B$46&amp;";",""),IF(AND($G101&lt;Hta_27,$G101&gt;=Hba_27,Input!X$47&lt;&gt;""),Input!$B$47&amp;";",""),IF(AND($G101&lt;Hta_28,$G101&gt;=Hba_28,Input!X$48&lt;&gt;""),Input!$B$48&amp;";",""),IF(AND($G101&lt;Hta_29,$G101&gt;=Hba_29,Input!X$49&lt;&gt;""),Input!$B$49&amp;";",""),IF(AND($G101&lt;Hta_30,$G101&gt;=Hba_30,Input!X$50&lt;&gt;""),Input!$B$50&amp;";","")),"")</f>
        <v/>
      </c>
      <c r="BZ101" s="25" t="str">
        <f>IFERROR(CONCATENATE(IF(AND($G101&lt;Hta_1,$G101&gt;=Hba_1,Input!Y$21&lt;&gt;""),Input!$B$21&amp;";",""),IF(AND($G101&lt;Hta_2,$G101&gt;=Hba_2,Input!Y$22&lt;&gt;""),Input!$B$22&amp;";",""),IF(AND($G101&lt;Hta_3,$G101&gt;=Hba_3,Input!Y$23&lt;&gt;""),Input!$B$23&amp;";",""),IF(AND($G101&lt;Hta_4,$G101&gt;=Hba_4,Input!Y$24&lt;&gt;""),Input!$B$24&amp;";",""),IF(AND($G101&lt;Hta_5,$G101&gt;=Hba_5,Input!Y$25&lt;&gt;""),Input!$B$25&amp;";",""),IF(AND($G101&lt;Hta_6,$G101&gt;=Hba_6,Input!Y$26&lt;&gt;""),Input!$B$26&amp;";",""),IF(AND($G101&lt;Hta_7,$G101&gt;=Hba_7,Input!Y$27&lt;&gt;""),Input!$B$27&amp;";",""),IF(AND($G101&lt;Hta_8,$G101&gt;=Hba_8,Input!Y$28&lt;&gt;""),Input!$B$28&amp;";",""),IF(AND($G101&lt;Hta_9,$G101&gt;=Hba_9,Input!Y$29&lt;&gt;""),Input!$B$29&amp;";",""),IF(AND($G101&lt;Hta_10,$G101&gt;=Hba_10,Input!Y$30&lt;&gt;""),Input!$B$30&amp;";",""),IF(AND($G101&lt;Hta_11,$G101&gt;=Hba_11,Input!Y$31&lt;&gt;""),Input!$B$31&amp;";",""),IF(AND($G101&lt;Hta_12,$G101&gt;=Hba_12,Input!Y$32&lt;&gt;""),Input!$B$32&amp;";",""),IF(AND($G101&lt;Hta_13,$G101&gt;=Hba_13,Input!Y$33&lt;&gt;""),Input!$B$33&amp;";",""),IF(AND($G101&lt;Hta_14,$G101&gt;=Hba_14,Input!Y$34&lt;&gt;""),Input!$B$34&amp;";",""),IF(AND($G101&lt;Hta_15,$G101&gt;=Hba_15,Input!Y$35&lt;&gt;""),Input!$B$35&amp;";",""),IF(AND($G101&lt;Hta_16,$G101&gt;=Hba_16,Input!Y$36&lt;&gt;""),Input!$B$36&amp;";",""),IF(AND($G101&lt;Hta_17,$G101&gt;=Hba_17,Input!Y$37&lt;&gt;""),Input!$B$37&amp;";",""),IF(AND($G101&lt;Hta_18,$G101&gt;=Hba_18,Input!Y$38&lt;&gt;""),Input!$B$38&amp;";",""),IF(AND($G101&lt;Hta_19,$G101&gt;=Hba_19,Input!Y$39&lt;&gt;""),Input!$B$39&amp;";",""),IF(AND($G101&lt;Hta_20,$G101&gt;=Hba_20,Input!Y$40&lt;&gt;""),Input!$B$40&amp;";",""),IF(AND($G101&lt;Hta_21,$G101&gt;=Hba_21,Input!Y$41&lt;&gt;""),Input!$B$41&amp;";",""),IF(AND($G101&lt;Hta_22,$G101&gt;=Hba_22,Input!Y$42&lt;&gt;""),Input!$B$42&amp;";",""),IF(AND($G101&lt;Hta_23,$G101&gt;=Hba_23,Input!Y$43&lt;&gt;""),Input!$B$43&amp;";",""),IF(AND($G101&lt;Hta_24,$G101&gt;=Hba_24,Input!Y$44&lt;&gt;""),Input!$B$44&amp;";",""),IF(AND($G101&lt;Hta_25,$G101&gt;=Hba_25,Input!Y$45&lt;&gt;""),Input!$B$45&amp;";",""),IF(AND($G101&lt;Hta_26,$G101&gt;=Hba_26,Input!Y$46&lt;&gt;""),Input!$B$46&amp;";",""),IF(AND($G101&lt;Hta_27,$G101&gt;=Hba_27,Input!Y$47&lt;&gt;""),Input!$B$47&amp;";",""),IF(AND($G101&lt;Hta_28,$G101&gt;=Hba_28,Input!Y$48&lt;&gt;""),Input!$B$48&amp;";",""),IF(AND($G101&lt;Hta_29,$G101&gt;=Hba_29,Input!Y$49&lt;&gt;""),Input!$B$49&amp;";",""),IF(AND($G101&lt;Hta_30,$G101&gt;=Hba_30,Input!Y$50&lt;&gt;""),Input!$B$50&amp;";","")),"")</f>
        <v/>
      </c>
      <c r="CA101" s="25" t="str">
        <f>IFERROR(CONCATENATE(IF(AND($G101&lt;Hta_1,$G101&gt;=Hba_1,Input!Z$21&lt;&gt;""),Input!$B$21&amp;";",""),IF(AND($G101&lt;Hta_2,$G101&gt;=Hba_2,Input!Z$22&lt;&gt;""),Input!$B$22&amp;";",""),IF(AND($G101&lt;Hta_3,$G101&gt;=Hba_3,Input!Z$23&lt;&gt;""),Input!$B$23&amp;";",""),IF(AND($G101&lt;Hta_4,$G101&gt;=Hba_4,Input!Z$24&lt;&gt;""),Input!$B$24&amp;";",""),IF(AND($G101&lt;Hta_5,$G101&gt;=Hba_5,Input!Z$25&lt;&gt;""),Input!$B$25&amp;";",""),IF(AND($G101&lt;Hta_6,$G101&gt;=Hba_6,Input!Z$26&lt;&gt;""),Input!$B$26&amp;";",""),IF(AND($G101&lt;Hta_7,$G101&gt;=Hba_7,Input!Z$27&lt;&gt;""),Input!$B$27&amp;";",""),IF(AND($G101&lt;Hta_8,$G101&gt;=Hba_8,Input!Z$28&lt;&gt;""),Input!$B$28&amp;";",""),IF(AND($G101&lt;Hta_9,$G101&gt;=Hba_9,Input!Z$29&lt;&gt;""),Input!$B$29&amp;";",""),IF(AND($G101&lt;Hta_10,$G101&gt;=Hba_10,Input!Z$30&lt;&gt;""),Input!$B$30&amp;";",""),IF(AND($G101&lt;Hta_11,$G101&gt;=Hba_11,Input!Z$31&lt;&gt;""),Input!$B$31&amp;";",""),IF(AND($G101&lt;Hta_12,$G101&gt;=Hba_12,Input!Z$32&lt;&gt;""),Input!$B$32&amp;";",""),IF(AND($G101&lt;Hta_13,$G101&gt;=Hba_13,Input!Z$33&lt;&gt;""),Input!$B$33&amp;";",""),IF(AND($G101&lt;Hta_14,$G101&gt;=Hba_14,Input!Z$34&lt;&gt;""),Input!$B$34&amp;";",""),IF(AND($G101&lt;Hta_15,$G101&gt;=Hba_15,Input!Z$35&lt;&gt;""),Input!$B$35&amp;";",""),IF(AND($G101&lt;Hta_16,$G101&gt;=Hba_16,Input!Z$36&lt;&gt;""),Input!$B$36&amp;";",""),IF(AND($G101&lt;Hta_17,$G101&gt;=Hba_17,Input!Z$37&lt;&gt;""),Input!$B$37&amp;";",""),IF(AND($G101&lt;Hta_18,$G101&gt;=Hba_18,Input!Z$38&lt;&gt;""),Input!$B$38&amp;";",""),IF(AND($G101&lt;Hta_19,$G101&gt;=Hba_19,Input!Z$39&lt;&gt;""),Input!$B$39&amp;";",""),IF(AND($G101&lt;Hta_20,$G101&gt;=Hba_20,Input!Z$40&lt;&gt;""),Input!$B$40&amp;";",""),IF(AND($G101&lt;Hta_21,$G101&gt;=Hba_21,Input!Z$41&lt;&gt;""),Input!$B$41&amp;";",""),IF(AND($G101&lt;Hta_22,$G101&gt;=Hba_22,Input!Z$42&lt;&gt;""),Input!$B$42&amp;";",""),IF(AND($G101&lt;Hta_23,$G101&gt;=Hba_23,Input!Z$43&lt;&gt;""),Input!$B$43&amp;";",""),IF(AND($G101&lt;Hta_24,$G101&gt;=Hba_24,Input!Z$44&lt;&gt;""),Input!$B$44&amp;";",""),IF(AND($G101&lt;Hta_25,$G101&gt;=Hba_25,Input!Z$45&lt;&gt;""),Input!$B$45&amp;";",""),IF(AND($G101&lt;Hta_26,$G101&gt;=Hba_26,Input!Z$46&lt;&gt;""),Input!$B$46&amp;";",""),IF(AND($G101&lt;Hta_27,$G101&gt;=Hba_27,Input!Z$47&lt;&gt;""),Input!$B$47&amp;";",""),IF(AND($G101&lt;Hta_28,$G101&gt;=Hba_28,Input!Z$48&lt;&gt;""),Input!$B$48&amp;";",""),IF(AND($G101&lt;Hta_29,$G101&gt;=Hba_29,Input!Z$49&lt;&gt;""),Input!$B$49&amp;";",""),IF(AND($G101&lt;Hta_30,$G101&gt;=Hba_30,Input!Z$50&lt;&gt;""),Input!$B$50&amp;";","")),"")</f>
        <v/>
      </c>
      <c r="CB101" s="25" t="str">
        <f>IFERROR(CONCATENATE(IF(AND($G101&lt;Hta_1,$G101&gt;=Hba_1,Input!AA$21&lt;&gt;""),Input!$B$21&amp;";",""),IF(AND($G101&lt;Hta_2,$G101&gt;=Hba_2,Input!AA$22&lt;&gt;""),Input!$B$22&amp;";",""),IF(AND($G101&lt;Hta_3,$G101&gt;=Hba_3,Input!AA$23&lt;&gt;""),Input!$B$23&amp;";",""),IF(AND($G101&lt;Hta_4,$G101&gt;=Hba_4,Input!AA$24&lt;&gt;""),Input!$B$24&amp;";",""),IF(AND($G101&lt;Hta_5,$G101&gt;=Hba_5,Input!AA$25&lt;&gt;""),Input!$B$25&amp;";",""),IF(AND($G101&lt;Hta_6,$G101&gt;=Hba_6,Input!AA$26&lt;&gt;""),Input!$B$26&amp;";",""),IF(AND($G101&lt;Hta_7,$G101&gt;=Hba_7,Input!AA$27&lt;&gt;""),Input!$B$27&amp;";",""),IF(AND($G101&lt;Hta_8,$G101&gt;=Hba_8,Input!AA$28&lt;&gt;""),Input!$B$28&amp;";",""),IF(AND($G101&lt;Hta_9,$G101&gt;=Hba_9,Input!AA$29&lt;&gt;""),Input!$B$29&amp;";",""),IF(AND($G101&lt;Hta_10,$G101&gt;=Hba_10,Input!AA$30&lt;&gt;""),Input!$B$30&amp;";",""),IF(AND($G101&lt;Hta_11,$G101&gt;=Hba_11,Input!AA$31&lt;&gt;""),Input!$B$31&amp;";",""),IF(AND($G101&lt;Hta_12,$G101&gt;=Hba_12,Input!AA$32&lt;&gt;""),Input!$B$32&amp;";",""),IF(AND($G101&lt;Hta_13,$G101&gt;=Hba_13,Input!AA$33&lt;&gt;""),Input!$B$33&amp;";",""),IF(AND($G101&lt;Hta_14,$G101&gt;=Hba_14,Input!AA$34&lt;&gt;""),Input!$B$34&amp;";",""),IF(AND($G101&lt;Hta_15,$G101&gt;=Hba_15,Input!AA$35&lt;&gt;""),Input!$B$35&amp;";",""),IF(AND($G101&lt;Hta_16,$G101&gt;=Hba_16,Input!AA$36&lt;&gt;""),Input!$B$36&amp;";",""),IF(AND($G101&lt;Hta_17,$G101&gt;=Hba_17,Input!AA$37&lt;&gt;""),Input!$B$37&amp;";",""),IF(AND($G101&lt;Hta_18,$G101&gt;=Hba_18,Input!AA$38&lt;&gt;""),Input!$B$38&amp;";",""),IF(AND($G101&lt;Hta_19,$G101&gt;=Hba_19,Input!AA$39&lt;&gt;""),Input!$B$39&amp;";",""),IF(AND($G101&lt;Hta_20,$G101&gt;=Hba_20,Input!AA$40&lt;&gt;""),Input!$B$40&amp;";",""),IF(AND($G101&lt;Hta_21,$G101&gt;=Hba_21,Input!AA$41&lt;&gt;""),Input!$B$41&amp;";",""),IF(AND($G101&lt;Hta_22,$G101&gt;=Hba_22,Input!AA$42&lt;&gt;""),Input!$B$42&amp;";",""),IF(AND($G101&lt;Hta_23,$G101&gt;=Hba_23,Input!AA$43&lt;&gt;""),Input!$B$43&amp;";",""),IF(AND($G101&lt;Hta_24,$G101&gt;=Hba_24,Input!AA$44&lt;&gt;""),Input!$B$44&amp;";",""),IF(AND($G101&lt;Hta_25,$G101&gt;=Hba_25,Input!AA$45&lt;&gt;""),Input!$B$45&amp;";",""),IF(AND($G101&lt;Hta_26,$G101&gt;=Hba_26,Input!AA$46&lt;&gt;""),Input!$B$46&amp;";",""),IF(AND($G101&lt;Hta_27,$G101&gt;=Hba_27,Input!AA$47&lt;&gt;""),Input!$B$47&amp;";",""),IF(AND($G101&lt;Hta_28,$G101&gt;=Hba_28,Input!AA$48&lt;&gt;""),Input!$B$48&amp;";",""),IF(AND($G101&lt;Hta_29,$G101&gt;=Hba_29,Input!AA$49&lt;&gt;""),Input!$B$49&amp;";",""),IF(AND($G101&lt;Hta_30,$G101&gt;=Hba_30,Input!AA$50&lt;&gt;""),Input!$B$50&amp;";","")),"")</f>
        <v/>
      </c>
      <c r="CC101" s="25" t="str">
        <f>IFERROR(CONCATENATE(IF(AND($G101&lt;Hta_1,$G101&gt;=Hba_1,Input!AB$21&lt;&gt;""),Input!$B$21&amp;";",""),IF(AND($G101&lt;Hta_2,$G101&gt;=Hba_2,Input!AB$22&lt;&gt;""),Input!$B$22&amp;";",""),IF(AND($G101&lt;Hta_3,$G101&gt;=Hba_3,Input!AB$23&lt;&gt;""),Input!$B$23&amp;";",""),IF(AND($G101&lt;Hta_4,$G101&gt;=Hba_4,Input!AB$24&lt;&gt;""),Input!$B$24&amp;";",""),IF(AND($G101&lt;Hta_5,$G101&gt;=Hba_5,Input!AB$25&lt;&gt;""),Input!$B$25&amp;";",""),IF(AND($G101&lt;Hta_6,$G101&gt;=Hba_6,Input!AB$26&lt;&gt;""),Input!$B$26&amp;";",""),IF(AND($G101&lt;Hta_7,$G101&gt;=Hba_7,Input!AB$27&lt;&gt;""),Input!$B$27&amp;";",""),IF(AND($G101&lt;Hta_8,$G101&gt;=Hba_8,Input!AB$28&lt;&gt;""),Input!$B$28&amp;";",""),IF(AND($G101&lt;Hta_9,$G101&gt;=Hba_9,Input!AB$29&lt;&gt;""),Input!$B$29&amp;";",""),IF(AND($G101&lt;Hta_10,$G101&gt;=Hba_10,Input!AB$30&lt;&gt;""),Input!$B$30&amp;";",""),IF(AND($G101&lt;Hta_11,$G101&gt;=Hba_11,Input!AB$31&lt;&gt;""),Input!$B$31&amp;";",""),IF(AND($G101&lt;Hta_12,$G101&gt;=Hba_12,Input!AB$32&lt;&gt;""),Input!$B$32&amp;";",""),IF(AND($G101&lt;Hta_13,$G101&gt;=Hba_13,Input!AB$33&lt;&gt;""),Input!$B$33&amp;";",""),IF(AND($G101&lt;Hta_14,$G101&gt;=Hba_14,Input!AB$34&lt;&gt;""),Input!$B$34&amp;";",""),IF(AND($G101&lt;Hta_15,$G101&gt;=Hba_15,Input!AB$35&lt;&gt;""),Input!$B$35&amp;";",""),IF(AND($G101&lt;Hta_16,$G101&gt;=Hba_16,Input!AB$36&lt;&gt;""),Input!$B$36&amp;";",""),IF(AND($G101&lt;Hta_17,$G101&gt;=Hba_17,Input!AB$37&lt;&gt;""),Input!$B$37&amp;";",""),IF(AND($G101&lt;Hta_18,$G101&gt;=Hba_18,Input!AB$38&lt;&gt;""),Input!$B$38&amp;";",""),IF(AND($G101&lt;Hta_19,$G101&gt;=Hba_19,Input!AB$39&lt;&gt;""),Input!$B$39&amp;";",""),IF(AND($G101&lt;Hta_20,$G101&gt;=Hba_20,Input!AB$40&lt;&gt;""),Input!$B$40&amp;";",""),IF(AND($G101&lt;Hta_21,$G101&gt;=Hba_21,Input!AB$41&lt;&gt;""),Input!$B$41&amp;";",""),IF(AND($G101&lt;Hta_22,$G101&gt;=Hba_22,Input!AB$42&lt;&gt;""),Input!$B$42&amp;";",""),IF(AND($G101&lt;Hta_23,$G101&gt;=Hba_23,Input!AB$43&lt;&gt;""),Input!$B$43&amp;";",""),IF(AND($G101&lt;Hta_24,$G101&gt;=Hba_24,Input!AB$44&lt;&gt;""),Input!$B$44&amp;";",""),IF(AND($G101&lt;Hta_25,$G101&gt;=Hba_25,Input!AB$45&lt;&gt;""),Input!$B$45&amp;";",""),IF(AND($G101&lt;Hta_26,$G101&gt;=Hba_26,Input!AB$46&lt;&gt;""),Input!$B$46&amp;";",""),IF(AND($G101&lt;Hta_27,$G101&gt;=Hba_27,Input!AB$47&lt;&gt;""),Input!$B$47&amp;";",""),IF(AND($G101&lt;Hta_28,$G101&gt;=Hba_28,Input!AB$48&lt;&gt;""),Input!$B$48&amp;";",""),IF(AND($G101&lt;Hta_29,$G101&gt;=Hba_29,Input!AB$49&lt;&gt;""),Input!$B$49&amp;";",""),IF(AND($G101&lt;Hta_30,$G101&gt;=Hba_30,Input!AB$50&lt;&gt;""),Input!$B$50&amp;";","")),"")</f>
        <v/>
      </c>
      <c r="CD101" s="25" t="str">
        <f>IFERROR(CONCATENATE(IF(AND($G101&lt;Hta_1,$G101&gt;=Hba_1,Input!AC$21&lt;&gt;""),Input!$B$21&amp;";",""),IF(AND($G101&lt;Hta_2,$G101&gt;=Hba_2,Input!AC$22&lt;&gt;""),Input!$B$22&amp;";",""),IF(AND($G101&lt;Hta_3,$G101&gt;=Hba_3,Input!AC$23&lt;&gt;""),Input!$B$23&amp;";",""),IF(AND($G101&lt;Hta_4,$G101&gt;=Hba_4,Input!AC$24&lt;&gt;""),Input!$B$24&amp;";",""),IF(AND($G101&lt;Hta_5,$G101&gt;=Hba_5,Input!AC$25&lt;&gt;""),Input!$B$25&amp;";",""),IF(AND($G101&lt;Hta_6,$G101&gt;=Hba_6,Input!AC$26&lt;&gt;""),Input!$B$26&amp;";",""),IF(AND($G101&lt;Hta_7,$G101&gt;=Hba_7,Input!AC$27&lt;&gt;""),Input!$B$27&amp;";",""),IF(AND($G101&lt;Hta_8,$G101&gt;=Hba_8,Input!AC$28&lt;&gt;""),Input!$B$28&amp;";",""),IF(AND($G101&lt;Hta_9,$G101&gt;=Hba_9,Input!AC$29&lt;&gt;""),Input!$B$29&amp;";",""),IF(AND($G101&lt;Hta_10,$G101&gt;=Hba_10,Input!AC$30&lt;&gt;""),Input!$B$30&amp;";",""),IF(AND($G101&lt;Hta_11,$G101&gt;=Hba_11,Input!AC$31&lt;&gt;""),Input!$B$31&amp;";",""),IF(AND($G101&lt;Hta_12,$G101&gt;=Hba_12,Input!AC$32&lt;&gt;""),Input!$B$32&amp;";",""),IF(AND($G101&lt;Hta_13,$G101&gt;=Hba_13,Input!AC$33&lt;&gt;""),Input!$B$33&amp;";",""),IF(AND($G101&lt;Hta_14,$G101&gt;=Hba_14,Input!AC$34&lt;&gt;""),Input!$B$34&amp;";",""),IF(AND($G101&lt;Hta_15,$G101&gt;=Hba_15,Input!AC$35&lt;&gt;""),Input!$B$35&amp;";",""),IF(AND($G101&lt;Hta_16,$G101&gt;=Hba_16,Input!AC$36&lt;&gt;""),Input!$B$36&amp;";",""),IF(AND($G101&lt;Hta_17,$G101&gt;=Hba_17,Input!AC$37&lt;&gt;""),Input!$B$37&amp;";",""),IF(AND($G101&lt;Hta_18,$G101&gt;=Hba_18,Input!AC$38&lt;&gt;""),Input!$B$38&amp;";",""),IF(AND($G101&lt;Hta_19,$G101&gt;=Hba_19,Input!AC$39&lt;&gt;""),Input!$B$39&amp;";",""),IF(AND($G101&lt;Hta_20,$G101&gt;=Hba_20,Input!AC$40&lt;&gt;""),Input!$B$40&amp;";",""),IF(AND($G101&lt;Hta_21,$G101&gt;=Hba_21,Input!AC$41&lt;&gt;""),Input!$B$41&amp;";",""),IF(AND($G101&lt;Hta_22,$G101&gt;=Hba_22,Input!AC$42&lt;&gt;""),Input!$B$42&amp;";",""),IF(AND($G101&lt;Hta_23,$G101&gt;=Hba_23,Input!AC$43&lt;&gt;""),Input!$B$43&amp;";",""),IF(AND($G101&lt;Hta_24,$G101&gt;=Hba_24,Input!AC$44&lt;&gt;""),Input!$B$44&amp;";",""),IF(AND($G101&lt;Hta_25,$G101&gt;=Hba_25,Input!AC$45&lt;&gt;""),Input!$B$45&amp;";",""),IF(AND($G101&lt;Hta_26,$G101&gt;=Hba_26,Input!AC$46&lt;&gt;""),Input!$B$46&amp;";",""),IF(AND($G101&lt;Hta_27,$G101&gt;=Hba_27,Input!AC$47&lt;&gt;""),Input!$B$47&amp;";",""),IF(AND($G101&lt;Hta_28,$G101&gt;=Hba_28,Input!AC$48&lt;&gt;""),Input!$B$48&amp;";",""),IF(AND($G101&lt;Hta_29,$G101&gt;=Hba_29,Input!AC$49&lt;&gt;""),Input!$B$49&amp;";",""),IF(AND($G101&lt;Hta_30,$G101&gt;=Hba_30,Input!AC$50&lt;&gt;""),Input!$B$50&amp;";","")),"")</f>
        <v/>
      </c>
      <c r="CE101" s="25" t="str">
        <f>IFERROR(CONCATENATE(IF(AND($G101&lt;Hta_1,$G101&gt;=Hba_1,Input!AD$21&lt;&gt;""),Input!$B$21&amp;";",""),IF(AND($G101&lt;Hta_2,$G101&gt;=Hba_2,Input!AD$22&lt;&gt;""),Input!$B$22&amp;";",""),IF(AND($G101&lt;Hta_3,$G101&gt;=Hba_3,Input!AD$23&lt;&gt;""),Input!$B$23&amp;";",""),IF(AND($G101&lt;Hta_4,$G101&gt;=Hba_4,Input!AD$24&lt;&gt;""),Input!$B$24&amp;";",""),IF(AND($G101&lt;Hta_5,$G101&gt;=Hba_5,Input!AD$25&lt;&gt;""),Input!$B$25&amp;";",""),IF(AND($G101&lt;Hta_6,$G101&gt;=Hba_6,Input!AD$26&lt;&gt;""),Input!$B$26&amp;";",""),IF(AND($G101&lt;Hta_7,$G101&gt;=Hba_7,Input!AD$27&lt;&gt;""),Input!$B$27&amp;";",""),IF(AND($G101&lt;Hta_8,$G101&gt;=Hba_8,Input!AD$28&lt;&gt;""),Input!$B$28&amp;";",""),IF(AND($G101&lt;Hta_9,$G101&gt;=Hba_9,Input!AD$29&lt;&gt;""),Input!$B$29&amp;";",""),IF(AND($G101&lt;Hta_10,$G101&gt;=Hba_10,Input!AD$30&lt;&gt;""),Input!$B$30&amp;";",""),IF(AND($G101&lt;Hta_11,$G101&gt;=Hba_11,Input!AD$31&lt;&gt;""),Input!$B$31&amp;";",""),IF(AND($G101&lt;Hta_12,$G101&gt;=Hba_12,Input!AD$32&lt;&gt;""),Input!$B$32&amp;";",""),IF(AND($G101&lt;Hta_13,$G101&gt;=Hba_13,Input!AD$33&lt;&gt;""),Input!$B$33&amp;";",""),IF(AND($G101&lt;Hta_14,$G101&gt;=Hba_14,Input!AD$34&lt;&gt;""),Input!$B$34&amp;";",""),IF(AND($G101&lt;Hta_15,$G101&gt;=Hba_15,Input!AD$35&lt;&gt;""),Input!$B$35&amp;";",""),IF(AND($G101&lt;Hta_16,$G101&gt;=Hba_16,Input!AD$36&lt;&gt;""),Input!$B$36&amp;";",""),IF(AND($G101&lt;Hta_17,$G101&gt;=Hba_17,Input!AD$37&lt;&gt;""),Input!$B$37&amp;";",""),IF(AND($G101&lt;Hta_18,$G101&gt;=Hba_18,Input!AD$38&lt;&gt;""),Input!$B$38&amp;";",""),IF(AND($G101&lt;Hta_19,$G101&gt;=Hba_19,Input!AD$39&lt;&gt;""),Input!$B$39&amp;";",""),IF(AND($G101&lt;Hta_20,$G101&gt;=Hba_20,Input!AD$40&lt;&gt;""),Input!$B$40&amp;";",""),IF(AND($G101&lt;Hta_21,$G101&gt;=Hba_21,Input!AD$41&lt;&gt;""),Input!$B$41&amp;";",""),IF(AND($G101&lt;Hta_22,$G101&gt;=Hba_22,Input!AD$42&lt;&gt;""),Input!$B$42&amp;";",""),IF(AND($G101&lt;Hta_23,$G101&gt;=Hba_23,Input!AD$43&lt;&gt;""),Input!$B$43&amp;";",""),IF(AND($G101&lt;Hta_24,$G101&gt;=Hba_24,Input!AD$44&lt;&gt;""),Input!$B$44&amp;";",""),IF(AND($G101&lt;Hta_25,$G101&gt;=Hba_25,Input!AD$45&lt;&gt;""),Input!$B$45&amp;";",""),IF(AND($G101&lt;Hta_26,$G101&gt;=Hba_26,Input!AD$46&lt;&gt;""),Input!$B$46&amp;";",""),IF(AND($G101&lt;Hta_27,$G101&gt;=Hba_27,Input!AD$47&lt;&gt;""),Input!$B$47&amp;";",""),IF(AND($G101&lt;Hta_28,$G101&gt;=Hba_28,Input!AD$48&lt;&gt;""),Input!$B$48&amp;";",""),IF(AND($G101&lt;Hta_29,$G101&gt;=Hba_29,Input!AD$49&lt;&gt;""),Input!$B$49&amp;";",""),IF(AND($G101&lt;Hta_30,$G101&gt;=Hba_30,Input!AD$50&lt;&gt;""),Input!$B$50&amp;";","")),"")</f>
        <v/>
      </c>
      <c r="CF101" s="25" t="str">
        <f>IFERROR(CONCATENATE(IF(AND($G101&lt;Hta_1,$G101&gt;=Hba_1,Input!AE$21&lt;&gt;""),Input!$B$21&amp;";",""),IF(AND($G101&lt;Hta_2,$G101&gt;=Hba_2,Input!AE$22&lt;&gt;""),Input!$B$22&amp;";",""),IF(AND($G101&lt;Hta_3,$G101&gt;=Hba_3,Input!AE$23&lt;&gt;""),Input!$B$23&amp;";",""),IF(AND($G101&lt;Hta_4,$G101&gt;=Hba_4,Input!AE$24&lt;&gt;""),Input!$B$24&amp;";",""),IF(AND($G101&lt;Hta_5,$G101&gt;=Hba_5,Input!AE$25&lt;&gt;""),Input!$B$25&amp;";",""),IF(AND($G101&lt;Hta_6,$G101&gt;=Hba_6,Input!AE$26&lt;&gt;""),Input!$B$26&amp;";",""),IF(AND($G101&lt;Hta_7,$G101&gt;=Hba_7,Input!AE$27&lt;&gt;""),Input!$B$27&amp;";",""),IF(AND($G101&lt;Hta_8,$G101&gt;=Hba_8,Input!AE$28&lt;&gt;""),Input!$B$28&amp;";",""),IF(AND($G101&lt;Hta_9,$G101&gt;=Hba_9,Input!AE$29&lt;&gt;""),Input!$B$29&amp;";",""),IF(AND($G101&lt;Hta_10,$G101&gt;=Hba_10,Input!AE$30&lt;&gt;""),Input!$B$30&amp;";",""),IF(AND($G101&lt;Hta_11,$G101&gt;=Hba_11,Input!AE$31&lt;&gt;""),Input!$B$31&amp;";",""),IF(AND($G101&lt;Hta_12,$G101&gt;=Hba_12,Input!AE$32&lt;&gt;""),Input!$B$32&amp;";",""),IF(AND($G101&lt;Hta_13,$G101&gt;=Hba_13,Input!AE$33&lt;&gt;""),Input!$B$33&amp;";",""),IF(AND($G101&lt;Hta_14,$G101&gt;=Hba_14,Input!AE$34&lt;&gt;""),Input!$B$34&amp;";",""),IF(AND($G101&lt;Hta_15,$G101&gt;=Hba_15,Input!AE$35&lt;&gt;""),Input!$B$35&amp;";",""),IF(AND($G101&lt;Hta_16,$G101&gt;=Hba_16,Input!AE$36&lt;&gt;""),Input!$B$36&amp;";",""),IF(AND($G101&lt;Hta_17,$G101&gt;=Hba_17,Input!AE$37&lt;&gt;""),Input!$B$37&amp;";",""),IF(AND($G101&lt;Hta_18,$G101&gt;=Hba_18,Input!AE$38&lt;&gt;""),Input!$B$38&amp;";",""),IF(AND($G101&lt;Hta_19,$G101&gt;=Hba_19,Input!AE$39&lt;&gt;""),Input!$B$39&amp;";",""),IF(AND($G101&lt;Hta_20,$G101&gt;=Hba_20,Input!AE$40&lt;&gt;""),Input!$B$40&amp;";",""),IF(AND($G101&lt;Hta_21,$G101&gt;=Hba_21,Input!AE$41&lt;&gt;""),Input!$B$41&amp;";",""),IF(AND($G101&lt;Hta_22,$G101&gt;=Hba_22,Input!AE$42&lt;&gt;""),Input!$B$42&amp;";",""),IF(AND($G101&lt;Hta_23,$G101&gt;=Hba_23,Input!AE$43&lt;&gt;""),Input!$B$43&amp;";",""),IF(AND($G101&lt;Hta_24,$G101&gt;=Hba_24,Input!AE$44&lt;&gt;""),Input!$B$44&amp;";",""),IF(AND($G101&lt;Hta_25,$G101&gt;=Hba_25,Input!AE$45&lt;&gt;""),Input!$B$45&amp;";",""),IF(AND($G101&lt;Hta_26,$G101&gt;=Hba_26,Input!AE$46&lt;&gt;""),Input!$B$46&amp;";",""),IF(AND($G101&lt;Hta_27,$G101&gt;=Hba_27,Input!AE$47&lt;&gt;""),Input!$B$47&amp;";",""),IF(AND($G101&lt;Hta_28,$G101&gt;=Hba_28,Input!AE$48&lt;&gt;""),Input!$B$48&amp;";",""),IF(AND($G101&lt;Hta_29,$G101&gt;=Hba_29,Input!AE$49&lt;&gt;""),Input!$B$49&amp;";",""),IF(AND($G101&lt;Hta_30,$G101&gt;=Hba_30,Input!AE$50&lt;&gt;""),Input!$B$50&amp;";","")),"")</f>
        <v/>
      </c>
      <c r="CG101" s="25" t="str">
        <f>IFERROR(CONCATENATE(IF(AND($G101&lt;Hta_1,$G101&gt;=Hba_1,Input!AF$21&lt;&gt;""),Input!$B$21&amp;";",""),IF(AND($G101&lt;Hta_2,$G101&gt;=Hba_2,Input!AF$22&lt;&gt;""),Input!$B$22&amp;";",""),IF(AND($G101&lt;Hta_3,$G101&gt;=Hba_3,Input!AF$23&lt;&gt;""),Input!$B$23&amp;";",""),IF(AND($G101&lt;Hta_4,$G101&gt;=Hba_4,Input!AF$24&lt;&gt;""),Input!$B$24&amp;";",""),IF(AND($G101&lt;Hta_5,$G101&gt;=Hba_5,Input!AF$25&lt;&gt;""),Input!$B$25&amp;";",""),IF(AND($G101&lt;Hta_6,$G101&gt;=Hba_6,Input!AF$26&lt;&gt;""),Input!$B$26&amp;";",""),IF(AND($G101&lt;Hta_7,$G101&gt;=Hba_7,Input!AF$27&lt;&gt;""),Input!$B$27&amp;";",""),IF(AND($G101&lt;Hta_8,$G101&gt;=Hba_8,Input!AF$28&lt;&gt;""),Input!$B$28&amp;";",""),IF(AND($G101&lt;Hta_9,$G101&gt;=Hba_9,Input!AF$29&lt;&gt;""),Input!$B$29&amp;";",""),IF(AND($G101&lt;Hta_10,$G101&gt;=Hba_10,Input!AF$30&lt;&gt;""),Input!$B$30&amp;";",""),IF(AND($G101&lt;Hta_11,$G101&gt;=Hba_11,Input!AF$31&lt;&gt;""),Input!$B$31&amp;";",""),IF(AND($G101&lt;Hta_12,$G101&gt;=Hba_12,Input!AF$32&lt;&gt;""),Input!$B$32&amp;";",""),IF(AND($G101&lt;Hta_13,$G101&gt;=Hba_13,Input!AF$33&lt;&gt;""),Input!$B$33&amp;";",""),IF(AND($G101&lt;Hta_14,$G101&gt;=Hba_14,Input!AF$34&lt;&gt;""),Input!$B$34&amp;";",""),IF(AND($G101&lt;Hta_15,$G101&gt;=Hba_15,Input!AF$35&lt;&gt;""),Input!$B$35&amp;";",""),IF(AND($G101&lt;Hta_16,$G101&gt;=Hba_16,Input!AF$36&lt;&gt;""),Input!$B$36&amp;";",""),IF(AND($G101&lt;Hta_17,$G101&gt;=Hba_17,Input!AF$37&lt;&gt;""),Input!$B$37&amp;";",""),IF(AND($G101&lt;Hta_18,$G101&gt;=Hba_18,Input!AF$38&lt;&gt;""),Input!$B$38&amp;";",""),IF(AND($G101&lt;Hta_19,$G101&gt;=Hba_19,Input!AF$39&lt;&gt;""),Input!$B$39&amp;";",""),IF(AND($G101&lt;Hta_20,$G101&gt;=Hba_20,Input!AF$40&lt;&gt;""),Input!$B$40&amp;";",""),IF(AND($G101&lt;Hta_21,$G101&gt;=Hba_21,Input!AF$41&lt;&gt;""),Input!$B$41&amp;";",""),IF(AND($G101&lt;Hta_22,$G101&gt;=Hba_22,Input!AF$42&lt;&gt;""),Input!$B$42&amp;";",""),IF(AND($G101&lt;Hta_23,$G101&gt;=Hba_23,Input!AF$43&lt;&gt;""),Input!$B$43&amp;";",""),IF(AND($G101&lt;Hta_24,$G101&gt;=Hba_24,Input!AF$44&lt;&gt;""),Input!$B$44&amp;";",""),IF(AND($G101&lt;Hta_25,$G101&gt;=Hba_25,Input!AF$45&lt;&gt;""),Input!$B$45&amp;";",""),IF(AND($G101&lt;Hta_26,$G101&gt;=Hba_26,Input!AF$46&lt;&gt;""),Input!$B$46&amp;";",""),IF(AND($G101&lt;Hta_27,$G101&gt;=Hba_27,Input!AF$47&lt;&gt;""),Input!$B$47&amp;";",""),IF(AND($G101&lt;Hta_28,$G101&gt;=Hba_28,Input!AF$48&lt;&gt;""),Input!$B$48&amp;";",""),IF(AND($G101&lt;Hta_29,$G101&gt;=Hba_29,Input!AF$49&lt;&gt;""),Input!$B$49&amp;";",""),IF(AND($G101&lt;Hta_30,$G101&gt;=Hba_30,Input!AF$50&lt;&gt;""),Input!$B$50&amp;";","")),"")</f>
        <v/>
      </c>
      <c r="CH101" s="25" t="str">
        <f>IFERROR(CONCATENATE(IF(AND($G101&lt;Hta_1,$G101&gt;=Hba_1,Input!AG$21&lt;&gt;""),Input!$B$21&amp;";",""),IF(AND($G101&lt;Hta_2,$G101&gt;=Hba_2,Input!AG$22&lt;&gt;""),Input!$B$22&amp;";",""),IF(AND($G101&lt;Hta_3,$G101&gt;=Hba_3,Input!AG$23&lt;&gt;""),Input!$B$23&amp;";",""),IF(AND($G101&lt;Hta_4,$G101&gt;=Hba_4,Input!AG$24&lt;&gt;""),Input!$B$24&amp;";",""),IF(AND($G101&lt;Hta_5,$G101&gt;=Hba_5,Input!AG$25&lt;&gt;""),Input!$B$25&amp;";",""),IF(AND($G101&lt;Hta_6,$G101&gt;=Hba_6,Input!AG$26&lt;&gt;""),Input!$B$26&amp;";",""),IF(AND($G101&lt;Hta_7,$G101&gt;=Hba_7,Input!AG$27&lt;&gt;""),Input!$B$27&amp;";",""),IF(AND($G101&lt;Hta_8,$G101&gt;=Hba_8,Input!AG$28&lt;&gt;""),Input!$B$28&amp;";",""),IF(AND($G101&lt;Hta_9,$G101&gt;=Hba_9,Input!AG$29&lt;&gt;""),Input!$B$29&amp;";",""),IF(AND($G101&lt;Hta_10,$G101&gt;=Hba_10,Input!AG$30&lt;&gt;""),Input!$B$30&amp;";",""),IF(AND($G101&lt;Hta_11,$G101&gt;=Hba_11,Input!AG$31&lt;&gt;""),Input!$B$31&amp;";",""),IF(AND($G101&lt;Hta_12,$G101&gt;=Hba_12,Input!AG$32&lt;&gt;""),Input!$B$32&amp;";",""),IF(AND($G101&lt;Hta_13,$G101&gt;=Hba_13,Input!AG$33&lt;&gt;""),Input!$B$33&amp;";",""),IF(AND($G101&lt;Hta_14,$G101&gt;=Hba_14,Input!AG$34&lt;&gt;""),Input!$B$34&amp;";",""),IF(AND($G101&lt;Hta_15,$G101&gt;=Hba_15,Input!AG$35&lt;&gt;""),Input!$B$35&amp;";",""),IF(AND($G101&lt;Hta_16,$G101&gt;=Hba_16,Input!AG$36&lt;&gt;""),Input!$B$36&amp;";",""),IF(AND($G101&lt;Hta_17,$G101&gt;=Hba_17,Input!AG$37&lt;&gt;""),Input!$B$37&amp;";",""),IF(AND($G101&lt;Hta_18,$G101&gt;=Hba_18,Input!AG$38&lt;&gt;""),Input!$B$38&amp;";",""),IF(AND($G101&lt;Hta_19,$G101&gt;=Hba_19,Input!AG$39&lt;&gt;""),Input!$B$39&amp;";",""),IF(AND($G101&lt;Hta_20,$G101&gt;=Hba_20,Input!AG$40&lt;&gt;""),Input!$B$40&amp;";",""),IF(AND($G101&lt;Hta_21,$G101&gt;=Hba_21,Input!AG$41&lt;&gt;""),Input!$B$41&amp;";",""),IF(AND($G101&lt;Hta_22,$G101&gt;=Hba_22,Input!AG$42&lt;&gt;""),Input!$B$42&amp;";",""),IF(AND($G101&lt;Hta_23,$G101&gt;=Hba_23,Input!AG$43&lt;&gt;""),Input!$B$43&amp;";",""),IF(AND($G101&lt;Hta_24,$G101&gt;=Hba_24,Input!AG$44&lt;&gt;""),Input!$B$44&amp;";",""),IF(AND($G101&lt;Hta_25,$G101&gt;=Hba_25,Input!AG$45&lt;&gt;""),Input!$B$45&amp;";",""),IF(AND($G101&lt;Hta_26,$G101&gt;=Hba_26,Input!AG$46&lt;&gt;""),Input!$B$46&amp;";",""),IF(AND($G101&lt;Hta_27,$G101&gt;=Hba_27,Input!AG$47&lt;&gt;""),Input!$B$47&amp;";",""),IF(AND($G101&lt;Hta_28,$G101&gt;=Hba_28,Input!AG$48&lt;&gt;""),Input!$B$48&amp;";",""),IF(AND($G101&lt;Hta_29,$G101&gt;=Hba_29,Input!AG$49&lt;&gt;""),Input!$B$49&amp;";",""),IF(AND($G101&lt;Hta_30,$G101&gt;=Hba_30,Input!AG$50&lt;&gt;""),Input!$B$50&amp;";","")),"")</f>
        <v/>
      </c>
      <c r="CI101" s="25" t="str">
        <f>IFERROR(CONCATENATE(IF(AND($G101&lt;Hta_1,$G101&gt;=Hba_1,Input!AH$21&lt;&gt;""),Input!$B$21&amp;";",""),IF(AND($G101&lt;Hta_2,$G101&gt;=Hba_2,Input!AH$22&lt;&gt;""),Input!$B$22&amp;";",""),IF(AND($G101&lt;Hta_3,$G101&gt;=Hba_3,Input!AH$23&lt;&gt;""),Input!$B$23&amp;";",""),IF(AND($G101&lt;Hta_4,$G101&gt;=Hba_4,Input!AH$24&lt;&gt;""),Input!$B$24&amp;";",""),IF(AND($G101&lt;Hta_5,$G101&gt;=Hba_5,Input!AH$25&lt;&gt;""),Input!$B$25&amp;";",""),IF(AND($G101&lt;Hta_6,$G101&gt;=Hba_6,Input!AH$26&lt;&gt;""),Input!$B$26&amp;";",""),IF(AND($G101&lt;Hta_7,$G101&gt;=Hba_7,Input!AH$27&lt;&gt;""),Input!$B$27&amp;";",""),IF(AND($G101&lt;Hta_8,$G101&gt;=Hba_8,Input!AH$28&lt;&gt;""),Input!$B$28&amp;";",""),IF(AND($G101&lt;Hta_9,$G101&gt;=Hba_9,Input!AH$29&lt;&gt;""),Input!$B$29&amp;";",""),IF(AND($G101&lt;Hta_10,$G101&gt;=Hba_10,Input!AH$30&lt;&gt;""),Input!$B$30&amp;";",""),IF(AND($G101&lt;Hta_11,$G101&gt;=Hba_11,Input!AH$31&lt;&gt;""),Input!$B$31&amp;";",""),IF(AND($G101&lt;Hta_12,$G101&gt;=Hba_12,Input!AH$32&lt;&gt;""),Input!$B$32&amp;";",""),IF(AND($G101&lt;Hta_13,$G101&gt;=Hba_13,Input!AH$33&lt;&gt;""),Input!$B$33&amp;";",""),IF(AND($G101&lt;Hta_14,$G101&gt;=Hba_14,Input!AH$34&lt;&gt;""),Input!$B$34&amp;";",""),IF(AND($G101&lt;Hta_15,$G101&gt;=Hba_15,Input!AH$35&lt;&gt;""),Input!$B$35&amp;";",""),IF(AND($G101&lt;Hta_16,$G101&gt;=Hba_16,Input!AH$36&lt;&gt;""),Input!$B$36&amp;";",""),IF(AND($G101&lt;Hta_17,$G101&gt;=Hba_17,Input!AH$37&lt;&gt;""),Input!$B$37&amp;";",""),IF(AND($G101&lt;Hta_18,$G101&gt;=Hba_18,Input!AH$38&lt;&gt;""),Input!$B$38&amp;";",""),IF(AND($G101&lt;Hta_19,$G101&gt;=Hba_19,Input!AH$39&lt;&gt;""),Input!$B$39&amp;";",""),IF(AND($G101&lt;Hta_20,$G101&gt;=Hba_20,Input!AH$40&lt;&gt;""),Input!$B$40&amp;";",""),IF(AND($G101&lt;Hta_21,$G101&gt;=Hba_21,Input!AH$41&lt;&gt;""),Input!$B$41&amp;";",""),IF(AND($G101&lt;Hta_22,$G101&gt;=Hba_22,Input!AH$42&lt;&gt;""),Input!$B$42&amp;";",""),IF(AND($G101&lt;Hta_23,$G101&gt;=Hba_23,Input!AH$43&lt;&gt;""),Input!$B$43&amp;";",""),IF(AND($G101&lt;Hta_24,$G101&gt;=Hba_24,Input!AH$44&lt;&gt;""),Input!$B$44&amp;";",""),IF(AND($G101&lt;Hta_25,$G101&gt;=Hba_25,Input!AH$45&lt;&gt;""),Input!$B$45&amp;";",""),IF(AND($G101&lt;Hta_26,$G101&gt;=Hba_26,Input!AH$46&lt;&gt;""),Input!$B$46&amp;";",""),IF(AND($G101&lt;Hta_27,$G101&gt;=Hba_27,Input!AH$47&lt;&gt;""),Input!$B$47&amp;";",""),IF(AND($G101&lt;Hta_28,$G101&gt;=Hba_28,Input!AH$48&lt;&gt;""),Input!$B$48&amp;";",""),IF(AND($G101&lt;Hta_29,$G101&gt;=Hba_29,Input!AH$49&lt;&gt;""),Input!$B$49&amp;";",""),IF(AND($G101&lt;Hta_30,$G101&gt;=Hba_30,Input!AH$50&lt;&gt;""),Input!$B$50&amp;";","")),"")</f>
        <v/>
      </c>
      <c r="CJ101" s="25" t="str">
        <f>IFERROR(CONCATENATE(IF(AND($G101&lt;Hta_1,$G101&gt;=Hba_1,Input!AI$21&lt;&gt;""),Input!$B$21&amp;";",""),IF(AND($G101&lt;Hta_2,$G101&gt;=Hba_2,Input!AI$22&lt;&gt;""),Input!$B$22&amp;";",""),IF(AND($G101&lt;Hta_3,$G101&gt;=Hba_3,Input!AI$23&lt;&gt;""),Input!$B$23&amp;";",""),IF(AND($G101&lt;Hta_4,$G101&gt;=Hba_4,Input!AI$24&lt;&gt;""),Input!$B$24&amp;";",""),IF(AND($G101&lt;Hta_5,$G101&gt;=Hba_5,Input!AI$25&lt;&gt;""),Input!$B$25&amp;";",""),IF(AND($G101&lt;Hta_6,$G101&gt;=Hba_6,Input!AI$26&lt;&gt;""),Input!$B$26&amp;";",""),IF(AND($G101&lt;Hta_7,$G101&gt;=Hba_7,Input!AI$27&lt;&gt;""),Input!$B$27&amp;";",""),IF(AND($G101&lt;Hta_8,$G101&gt;=Hba_8,Input!AI$28&lt;&gt;""),Input!$B$28&amp;";",""),IF(AND($G101&lt;Hta_9,$G101&gt;=Hba_9,Input!AI$29&lt;&gt;""),Input!$B$29&amp;";",""),IF(AND($G101&lt;Hta_10,$G101&gt;=Hba_10,Input!AI$30&lt;&gt;""),Input!$B$30&amp;";",""),IF(AND($G101&lt;Hta_11,$G101&gt;=Hba_11,Input!AI$31&lt;&gt;""),Input!$B$31&amp;";",""),IF(AND($G101&lt;Hta_12,$G101&gt;=Hba_12,Input!AI$32&lt;&gt;""),Input!$B$32&amp;";",""),IF(AND($G101&lt;Hta_13,$G101&gt;=Hba_13,Input!AI$33&lt;&gt;""),Input!$B$33&amp;";",""),IF(AND($G101&lt;Hta_14,$G101&gt;=Hba_14,Input!AI$34&lt;&gt;""),Input!$B$34&amp;";",""),IF(AND($G101&lt;Hta_15,$G101&gt;=Hba_15,Input!AI$35&lt;&gt;""),Input!$B$35&amp;";",""),IF(AND($G101&lt;Hta_16,$G101&gt;=Hba_16,Input!AI$36&lt;&gt;""),Input!$B$36&amp;";",""),IF(AND($G101&lt;Hta_17,$G101&gt;=Hba_17,Input!AI$37&lt;&gt;""),Input!$B$37&amp;";",""),IF(AND($G101&lt;Hta_18,$G101&gt;=Hba_18,Input!AI$38&lt;&gt;""),Input!$B$38&amp;";",""),IF(AND($G101&lt;Hta_19,$G101&gt;=Hba_19,Input!AI$39&lt;&gt;""),Input!$B$39&amp;";",""),IF(AND($G101&lt;Hta_20,$G101&gt;=Hba_20,Input!AI$40&lt;&gt;""),Input!$B$40&amp;";",""),IF(AND($G101&lt;Hta_21,$G101&gt;=Hba_21,Input!AI$41&lt;&gt;""),Input!$B$41&amp;";",""),IF(AND($G101&lt;Hta_22,$G101&gt;=Hba_22,Input!AI$42&lt;&gt;""),Input!$B$42&amp;";",""),IF(AND($G101&lt;Hta_23,$G101&gt;=Hba_23,Input!AI$43&lt;&gt;""),Input!$B$43&amp;";",""),IF(AND($G101&lt;Hta_24,$G101&gt;=Hba_24,Input!AI$44&lt;&gt;""),Input!$B$44&amp;";",""),IF(AND($G101&lt;Hta_25,$G101&gt;=Hba_25,Input!AI$45&lt;&gt;""),Input!$B$45&amp;";",""),IF(AND($G101&lt;Hta_26,$G101&gt;=Hba_26,Input!AI$46&lt;&gt;""),Input!$B$46&amp;";",""),IF(AND($G101&lt;Hta_27,$G101&gt;=Hba_27,Input!AI$47&lt;&gt;""),Input!$B$47&amp;";",""),IF(AND($G101&lt;Hta_28,$G101&gt;=Hba_28,Input!AI$48&lt;&gt;""),Input!$B$48&amp;";",""),IF(AND($G101&lt;Hta_29,$G101&gt;=Hba_29,Input!AI$49&lt;&gt;""),Input!$B$49&amp;";",""),IF(AND($G101&lt;Hta_30,$G101&gt;=Hba_30,Input!AI$50&lt;&gt;""),Input!$B$50&amp;";","")),"")</f>
        <v/>
      </c>
      <c r="CK101" s="25" t="str">
        <f>IFERROR(CONCATENATE(IF(AND($G101&lt;Hta_1,$G101&gt;=Hba_1,Input!AJ$21&lt;&gt;""),Input!$B$21&amp;";",""),IF(AND($G101&lt;Hta_2,$G101&gt;=Hba_2,Input!AJ$22&lt;&gt;""),Input!$B$22&amp;";",""),IF(AND($G101&lt;Hta_3,$G101&gt;=Hba_3,Input!AJ$23&lt;&gt;""),Input!$B$23&amp;";",""),IF(AND($G101&lt;Hta_4,$G101&gt;=Hba_4,Input!AJ$24&lt;&gt;""),Input!$B$24&amp;";",""),IF(AND($G101&lt;Hta_5,$G101&gt;=Hba_5,Input!AJ$25&lt;&gt;""),Input!$B$25&amp;";",""),IF(AND($G101&lt;Hta_6,$G101&gt;=Hba_6,Input!AJ$26&lt;&gt;""),Input!$B$26&amp;";",""),IF(AND($G101&lt;Hta_7,$G101&gt;=Hba_7,Input!AJ$27&lt;&gt;""),Input!$B$27&amp;";",""),IF(AND($G101&lt;Hta_8,$G101&gt;=Hba_8,Input!AJ$28&lt;&gt;""),Input!$B$28&amp;";",""),IF(AND($G101&lt;Hta_9,$G101&gt;=Hba_9,Input!AJ$29&lt;&gt;""),Input!$B$29&amp;";",""),IF(AND($G101&lt;Hta_10,$G101&gt;=Hba_10,Input!AJ$30&lt;&gt;""),Input!$B$30&amp;";",""),IF(AND($G101&lt;Hta_11,$G101&gt;=Hba_11,Input!AJ$31&lt;&gt;""),Input!$B$31&amp;";",""),IF(AND($G101&lt;Hta_12,$G101&gt;=Hba_12,Input!AJ$32&lt;&gt;""),Input!$B$32&amp;";",""),IF(AND($G101&lt;Hta_13,$G101&gt;=Hba_13,Input!AJ$33&lt;&gt;""),Input!$B$33&amp;";",""),IF(AND($G101&lt;Hta_14,$G101&gt;=Hba_14,Input!AJ$34&lt;&gt;""),Input!$B$34&amp;";",""),IF(AND($G101&lt;Hta_15,$G101&gt;=Hba_15,Input!AJ$35&lt;&gt;""),Input!$B$35&amp;";",""),IF(AND($G101&lt;Hta_16,$G101&gt;=Hba_16,Input!AJ$36&lt;&gt;""),Input!$B$36&amp;";",""),IF(AND($G101&lt;Hta_17,$G101&gt;=Hba_17,Input!AJ$37&lt;&gt;""),Input!$B$37&amp;";",""),IF(AND($G101&lt;Hta_18,$G101&gt;=Hba_18,Input!AJ$38&lt;&gt;""),Input!$B$38&amp;";",""),IF(AND($G101&lt;Hta_19,$G101&gt;=Hba_19,Input!AJ$39&lt;&gt;""),Input!$B$39&amp;";",""),IF(AND($G101&lt;Hta_20,$G101&gt;=Hba_20,Input!AJ$40&lt;&gt;""),Input!$B$40&amp;";",""),IF(AND($G101&lt;Hta_21,$G101&gt;=Hba_21,Input!AJ$41&lt;&gt;""),Input!$B$41&amp;";",""),IF(AND($G101&lt;Hta_22,$G101&gt;=Hba_22,Input!AJ$42&lt;&gt;""),Input!$B$42&amp;";",""),IF(AND($G101&lt;Hta_23,$G101&gt;=Hba_23,Input!AJ$43&lt;&gt;""),Input!$B$43&amp;";",""),IF(AND($G101&lt;Hta_24,$G101&gt;=Hba_24,Input!AJ$44&lt;&gt;""),Input!$B$44&amp;";",""),IF(AND($G101&lt;Hta_25,$G101&gt;=Hba_25,Input!AJ$45&lt;&gt;""),Input!$B$45&amp;";",""),IF(AND($G101&lt;Hta_26,$G101&gt;=Hba_26,Input!AJ$46&lt;&gt;""),Input!$B$46&amp;";",""),IF(AND($G101&lt;Hta_27,$G101&gt;=Hba_27,Input!AJ$47&lt;&gt;""),Input!$B$47&amp;";",""),IF(AND($G101&lt;Hta_28,$G101&gt;=Hba_28,Input!AJ$48&lt;&gt;""),Input!$B$48&amp;";",""),IF(AND($G101&lt;Hta_29,$G101&gt;=Hba_29,Input!AJ$49&lt;&gt;""),Input!$B$49&amp;";",""),IF(AND($G101&lt;Hta_30,$G101&gt;=Hba_30,Input!AJ$50&lt;&gt;""),Input!$B$50&amp;";","")),"")</f>
        <v/>
      </c>
      <c r="CL101" s="25" t="str">
        <f>IFERROR(CONCATENATE(IF(AND($G101&lt;Hta_1,$G101&gt;=Hba_1,Input!AK$21&lt;&gt;""),Input!$B$21&amp;";",""),IF(AND($G101&lt;Hta_2,$G101&gt;=Hba_2,Input!AK$22&lt;&gt;""),Input!$B$22&amp;";",""),IF(AND($G101&lt;Hta_3,$G101&gt;=Hba_3,Input!AK$23&lt;&gt;""),Input!$B$23&amp;";",""),IF(AND($G101&lt;Hta_4,$G101&gt;=Hba_4,Input!AK$24&lt;&gt;""),Input!$B$24&amp;";",""),IF(AND($G101&lt;Hta_5,$G101&gt;=Hba_5,Input!AK$25&lt;&gt;""),Input!$B$25&amp;";",""),IF(AND($G101&lt;Hta_6,$G101&gt;=Hba_6,Input!AK$26&lt;&gt;""),Input!$B$26&amp;";",""),IF(AND($G101&lt;Hta_7,$G101&gt;=Hba_7,Input!AK$27&lt;&gt;""),Input!$B$27&amp;";",""),IF(AND($G101&lt;Hta_8,$G101&gt;=Hba_8,Input!AK$28&lt;&gt;""),Input!$B$28&amp;";",""),IF(AND($G101&lt;Hta_9,$G101&gt;=Hba_9,Input!AK$29&lt;&gt;""),Input!$B$29&amp;";",""),IF(AND($G101&lt;Hta_10,$G101&gt;=Hba_10,Input!AK$30&lt;&gt;""),Input!$B$30&amp;";",""),IF(AND($G101&lt;Hta_11,$G101&gt;=Hba_11,Input!AK$31&lt;&gt;""),Input!$B$31&amp;";",""),IF(AND($G101&lt;Hta_12,$G101&gt;=Hba_12,Input!AK$32&lt;&gt;""),Input!$B$32&amp;";",""),IF(AND($G101&lt;Hta_13,$G101&gt;=Hba_13,Input!AK$33&lt;&gt;""),Input!$B$33&amp;";",""),IF(AND($G101&lt;Hta_14,$G101&gt;=Hba_14,Input!AK$34&lt;&gt;""),Input!$B$34&amp;";",""),IF(AND($G101&lt;Hta_15,$G101&gt;=Hba_15,Input!AK$35&lt;&gt;""),Input!$B$35&amp;";",""),IF(AND($G101&lt;Hta_16,$G101&gt;=Hba_16,Input!AK$36&lt;&gt;""),Input!$B$36&amp;";",""),IF(AND($G101&lt;Hta_17,$G101&gt;=Hba_17,Input!AK$37&lt;&gt;""),Input!$B$37&amp;";",""),IF(AND($G101&lt;Hta_18,$G101&gt;=Hba_18,Input!AK$38&lt;&gt;""),Input!$B$38&amp;";",""),IF(AND($G101&lt;Hta_19,$G101&gt;=Hba_19,Input!AK$39&lt;&gt;""),Input!$B$39&amp;";",""),IF(AND($G101&lt;Hta_20,$G101&gt;=Hba_20,Input!AK$40&lt;&gt;""),Input!$B$40&amp;";",""),IF(AND($G101&lt;Hta_21,$G101&gt;=Hba_21,Input!AK$41&lt;&gt;""),Input!$B$41&amp;";",""),IF(AND($G101&lt;Hta_22,$G101&gt;=Hba_22,Input!AK$42&lt;&gt;""),Input!$B$42&amp;";",""),IF(AND($G101&lt;Hta_23,$G101&gt;=Hba_23,Input!AK$43&lt;&gt;""),Input!$B$43&amp;";",""),IF(AND($G101&lt;Hta_24,$G101&gt;=Hba_24,Input!AK$44&lt;&gt;""),Input!$B$44&amp;";",""),IF(AND($G101&lt;Hta_25,$G101&gt;=Hba_25,Input!AK$45&lt;&gt;""),Input!$B$45&amp;";",""),IF(AND($G101&lt;Hta_26,$G101&gt;=Hba_26,Input!AK$46&lt;&gt;""),Input!$B$46&amp;";",""),IF(AND($G101&lt;Hta_27,$G101&gt;=Hba_27,Input!AK$47&lt;&gt;""),Input!$B$47&amp;";",""),IF(AND($G101&lt;Hta_28,$G101&gt;=Hba_28,Input!AK$48&lt;&gt;""),Input!$B$48&amp;";",""),IF(AND($G101&lt;Hta_29,$G101&gt;=Hba_29,Input!AK$49&lt;&gt;""),Input!$B$49&amp;";",""),IF(AND($G101&lt;Hta_30,$G101&gt;=Hba_30,Input!AK$50&lt;&gt;""),Input!$B$50&amp;";","")),"")</f>
        <v/>
      </c>
      <c r="CM101" s="25" t="str">
        <f>IFERROR(CONCATENATE(IF(AND($G101&lt;Hta_1,$G101&gt;=Hba_1,Input!AL$21&lt;&gt;""),Input!$B$21&amp;";",""),IF(AND($G101&lt;Hta_2,$G101&gt;=Hba_2,Input!AL$22&lt;&gt;""),Input!$B$22&amp;";",""),IF(AND($G101&lt;Hta_3,$G101&gt;=Hba_3,Input!AL$23&lt;&gt;""),Input!$B$23&amp;";",""),IF(AND($G101&lt;Hta_4,$G101&gt;=Hba_4,Input!AL$24&lt;&gt;""),Input!$B$24&amp;";",""),IF(AND($G101&lt;Hta_5,$G101&gt;=Hba_5,Input!AL$25&lt;&gt;""),Input!$B$25&amp;";",""),IF(AND($G101&lt;Hta_6,$G101&gt;=Hba_6,Input!AL$26&lt;&gt;""),Input!$B$26&amp;";",""),IF(AND($G101&lt;Hta_7,$G101&gt;=Hba_7,Input!AL$27&lt;&gt;""),Input!$B$27&amp;";",""),IF(AND($G101&lt;Hta_8,$G101&gt;=Hba_8,Input!AL$28&lt;&gt;""),Input!$B$28&amp;";",""),IF(AND($G101&lt;Hta_9,$G101&gt;=Hba_9,Input!AL$29&lt;&gt;""),Input!$B$29&amp;";",""),IF(AND($G101&lt;Hta_10,$G101&gt;=Hba_10,Input!AL$30&lt;&gt;""),Input!$B$30&amp;";",""),IF(AND($G101&lt;Hta_11,$G101&gt;=Hba_11,Input!AL$31&lt;&gt;""),Input!$B$31&amp;";",""),IF(AND($G101&lt;Hta_12,$G101&gt;=Hba_12,Input!AL$32&lt;&gt;""),Input!$B$32&amp;";",""),IF(AND($G101&lt;Hta_13,$G101&gt;=Hba_13,Input!AL$33&lt;&gt;""),Input!$B$33&amp;";",""),IF(AND($G101&lt;Hta_14,$G101&gt;=Hba_14,Input!AL$34&lt;&gt;""),Input!$B$34&amp;";",""),IF(AND($G101&lt;Hta_15,$G101&gt;=Hba_15,Input!AL$35&lt;&gt;""),Input!$B$35&amp;";",""),IF(AND($G101&lt;Hta_16,$G101&gt;=Hba_16,Input!AL$36&lt;&gt;""),Input!$B$36&amp;";",""),IF(AND($G101&lt;Hta_17,$G101&gt;=Hba_17,Input!AL$37&lt;&gt;""),Input!$B$37&amp;";",""),IF(AND($G101&lt;Hta_18,$G101&gt;=Hba_18,Input!AL$38&lt;&gt;""),Input!$B$38&amp;";",""),IF(AND($G101&lt;Hta_19,$G101&gt;=Hba_19,Input!AL$39&lt;&gt;""),Input!$B$39&amp;";",""),IF(AND($G101&lt;Hta_20,$G101&gt;=Hba_20,Input!AL$40&lt;&gt;""),Input!$B$40&amp;";",""),IF(AND($G101&lt;Hta_21,$G101&gt;=Hba_21,Input!AL$41&lt;&gt;""),Input!$B$41&amp;";",""),IF(AND($G101&lt;Hta_22,$G101&gt;=Hba_22,Input!AL$42&lt;&gt;""),Input!$B$42&amp;";",""),IF(AND($G101&lt;Hta_23,$G101&gt;=Hba_23,Input!AL$43&lt;&gt;""),Input!$B$43&amp;";",""),IF(AND($G101&lt;Hta_24,$G101&gt;=Hba_24,Input!AL$44&lt;&gt;""),Input!$B$44&amp;";",""),IF(AND($G101&lt;Hta_25,$G101&gt;=Hba_25,Input!AL$45&lt;&gt;""),Input!$B$45&amp;";",""),IF(AND($G101&lt;Hta_26,$G101&gt;=Hba_26,Input!AL$46&lt;&gt;""),Input!$B$46&amp;";",""),IF(AND($G101&lt;Hta_27,$G101&gt;=Hba_27,Input!AL$47&lt;&gt;""),Input!$B$47&amp;";",""),IF(AND($G101&lt;Hta_28,$G101&gt;=Hba_28,Input!AL$48&lt;&gt;""),Input!$B$48&amp;";",""),IF(AND($G101&lt;Hta_29,$G101&gt;=Hba_29,Input!AL$49&lt;&gt;""),Input!$B$49&amp;";",""),IF(AND($G101&lt;Hta_30,$G101&gt;=Hba_30,Input!AL$50&lt;&gt;""),Input!$B$50&amp;";","")),"")</f>
        <v/>
      </c>
      <c r="CN101" s="60" t="str">
        <f t="shared" si="16"/>
        <v/>
      </c>
      <c r="CO101" s="798"/>
      <c r="CP101" s="799"/>
      <c r="CQ101" s="800"/>
      <c r="CR101" s="798"/>
      <c r="CS101" s="799"/>
      <c r="CT101" s="800"/>
      <c r="CU101" s="798" t="str">
        <f t="shared" si="17"/>
        <v/>
      </c>
      <c r="CV101" s="799"/>
      <c r="CW101" s="806"/>
      <c r="CX101" s="726"/>
      <c r="CY101" s="727"/>
      <c r="CZ101" s="732"/>
      <c r="DA101" s="726"/>
      <c r="DB101" s="727"/>
      <c r="DC101" s="732"/>
      <c r="DD101" s="726" t="str">
        <f t="shared" si="18"/>
        <v/>
      </c>
      <c r="DE101" s="727"/>
      <c r="DF101" s="728"/>
      <c r="DG101" s="53"/>
      <c r="DH101" s="54"/>
      <c r="DI101" s="54"/>
      <c r="DJ101" s="54"/>
      <c r="DK101" s="54"/>
      <c r="DL101" s="54"/>
      <c r="DM101" s="54"/>
      <c r="DN101" s="54"/>
      <c r="DO101" s="54"/>
      <c r="DP101" s="54"/>
      <c r="DQ101" s="57"/>
      <c r="DR101" s="57"/>
      <c r="DS101" s="57"/>
      <c r="DT101" s="57"/>
      <c r="DU101" s="57"/>
      <c r="DV101" s="57"/>
      <c r="DW101" s="57"/>
      <c r="DX101" s="57"/>
      <c r="DY101" s="57"/>
      <c r="DZ101" s="57"/>
      <c r="EA101" s="57"/>
      <c r="EB101" s="57"/>
      <c r="EC101" s="57"/>
      <c r="ED101" s="57"/>
      <c r="EE101" s="57"/>
      <c r="EF101" s="57"/>
      <c r="EG101" s="57"/>
      <c r="EH101" s="57"/>
      <c r="EI101" s="57"/>
      <c r="EJ101" s="57"/>
      <c r="EK101" s="57"/>
      <c r="EL101" s="133"/>
      <c r="EM101" s="133"/>
      <c r="EN101" s="133"/>
      <c r="EO101" s="133"/>
      <c r="EP101" s="133"/>
      <c r="EQ101" s="133"/>
      <c r="ER101" s="133"/>
      <c r="ES101" s="133"/>
      <c r="ET101" s="133"/>
      <c r="EU101" s="133"/>
      <c r="EV101" s="133"/>
      <c r="EW101" s="133"/>
      <c r="EX101" s="133"/>
      <c r="EY101" s="133"/>
      <c r="EZ101" s="133"/>
      <c r="FA101" s="133"/>
      <c r="FB101" s="133"/>
      <c r="FC101" s="133"/>
      <c r="FD101" s="133"/>
      <c r="FE101" s="133"/>
      <c r="FF101" s="133"/>
      <c r="FG101" s="133"/>
      <c r="FH101" s="133"/>
      <c r="FI101" s="133"/>
      <c r="FJ101" s="133"/>
      <c r="FK101" s="133"/>
      <c r="FL101" s="133"/>
      <c r="FM101" s="133"/>
      <c r="FN101" s="133"/>
      <c r="FO101" s="133"/>
      <c r="FQ101" s="125"/>
      <c r="FR101" s="123"/>
      <c r="FS101" s="121"/>
      <c r="FT101" s="119"/>
    </row>
    <row r="102" spans="2:176" ht="15.75" hidden="1" thickBot="1" x14ac:dyDescent="0.3">
      <c r="B102" s="62" t="b">
        <f>IF(OR(AND(G102&gt;='Geometry 2'!$AK$5,G102&lt;'Geometry 2'!$AL$5),AND(G102&gt;='Geometry 2'!$AK$6,G102&lt;'Geometry 2'!$AL$6),AND(G102&gt;='Geometry 2'!$AK$7,G102&lt;'Geometry 2'!$AL$7),AND(G102&gt;='Geometry 2'!$AK$8,G102&lt;'Geometry 2'!$AL$8),AND(G102&gt;='Geometry 2'!$AK$9,G102&lt;'Geometry 2'!$AL$9),AND(G102&gt;='Geometry 2'!$AK$10,G102&lt;'Geometry 2'!$AL$10),AND(G102&gt;='Geometry 2'!$AK$11,G102&lt;'Geometry 2'!$AL$11),AND(G102&gt;='Geometry 2'!$AK$12,G102&lt;'Geometry 2'!$AL$12),AND(G102&gt;='Geometry 2'!$AK$13,G102&lt;'Geometry 2'!$AL$13),AND(G102&gt;='Geometry 2'!$AK$14,G102&lt;'Geometry 2'!$AL$14)),TRUE,FALSE)</f>
        <v>0</v>
      </c>
      <c r="C102" s="4" t="str">
        <f t="shared" si="13"/>
        <v/>
      </c>
      <c r="D102" s="766" t="str">
        <f t="shared" si="14"/>
        <v/>
      </c>
      <c r="E102" s="767"/>
      <c r="F102" s="17" t="str">
        <f t="shared" si="12"/>
        <v/>
      </c>
      <c r="G102" s="768" t="str">
        <f>IF(D102="","",MAX(0,G101-IF(inc="n/a",999,inc),MAX(IF(G101&lt;=Hta_1,0,Hta_1),IF(G101&lt;=Hta_2,0,Hta_2),IF(G101&lt;=Hta_3,0,Hta_3),IF(G101&lt;=Hta_4,0,Hta_4),IF(G101&lt;=Hta_5,0,Hta_5),IF(G101&lt;=Hta_6,0,Hta_6),IF(G101&lt;=Hta_7,0,Hta_7),IF(G101&lt;=Hta_8,0,Hta_8),IF(G101&lt;=Hta_9,0,Hta_9),IF(G101&lt;=Hta_10,0,Hta_10),IF(G101&lt;=Hta_11,0,Hta_11),IF(G101&lt;=Hta_12,0,Hta_12),IF(G101&lt;=Hta_13,0,Hta_13),IF(G101&lt;=Hta_14,0,Hta_14),IF(G101&lt;=Hta_15,0,Hta_15),IF(G101&lt;=Hta_16,0,Hta_16),IF(G101&lt;=Hta_17,0,Hta_17),IF(G101&lt;=Hta_18,0,Hta_18),IF(G101&lt;=Hta_19,0,Hta_19),IF(G101&lt;=Hta_20,0,Hta_20),IF(G101&lt;=Hta_21,0,Hta_21),IF(G101&lt;=Hta_22,0,Hta_22),IF(G101&lt;=Hta_23,0,Hta_23),IF(G101&lt;=Hta_24,0,Hta_24),IF(G101&lt;=Hta_25,0,Hta_25),IF(G101&lt;=Hta_26,0,Hta_26),IF(G101&lt;=Hta_27,0,Hta_27),IF(G101&lt;=Hta_28,0,Hta_28),IF(G101&lt;=Hta_29,0,Hta_29),IF(G101&lt;=Hta_30,0,Hta_30)),MAX(IF(G101&lt;=Hta_1-0.25,0,Hta_1-0.25),IF(G101&lt;=Hta_2-0.25,0,Hta_2-0.25),IF(G101&lt;=Hta_3-0.25,0,Hta_3-0.25),IF(G101&lt;=Hta_4-0.25,0,Hta_4-0.25),IF(G101&lt;=Hta_5-0.25,0,Hta_5-0.25),IF(G101&lt;=Hta_6-0.25,0,Hta_6-0.25),IF(G101&lt;=Hta_7-0.25,0,Hta_7-0.25),IF(G101&lt;=Hta_8-0.25,0,Hta_8-0.25),IF(G101&lt;=Hta_9-0.25,0,Hta_9-0.25),IF(G101&lt;=Hta_10-0.25,0,Hta_10-0.25),IF(G101&lt;=Hta_11-0.25,0,Hta_11-0.25),IF(G101&lt;=Hta_12-0.25,0,Hta_12-0.25),IF(G101&lt;=Hta_13-0.25,0,Hta_13-0.25),IF(G101&lt;=Hta_14-0.25,0,Hta_14-0.25),IF(G101&lt;=Hta_15-0.25,0,Hta_15-0.25),IF(G101&lt;=Hta_16-0.25,0,Hta_16-0.25),IF(G101&lt;=Hta_17-0.25,0,Hta_17-0.25),IF(G101&lt;=Hta_18-0.25,0,Hta_18-0.25),IF(G101&lt;=Hta_19-0.25,0,Hta_19-0.25),IF(G101&lt;=Hta_20-0.25,0,Hta_20-0.25),IF(G101&lt;=Hta_21-0.25,0,Hta_21-0.25),IF(G101&lt;=Hta_22-0.25,0,Hta_22-0.25),IF(G101&lt;=Hta_23-0.25,0,Hta_23-0.25),IF(G101&lt;=Hta_24-0.25,0,Hta_24-0.25),IF(G101&lt;=Hta_25-0.25,0,Hta_25-0.25),IF(G101&lt;=Hta_26-0.25,0,Hta_26-0.25),IF(G101&lt;=Hta_27-0.25,0,Hta_27-0.25),IF(G101&lt;=Hta_28-0.25,0,Hta_28-0.25),IF(G101&lt;=Hta_29-0.25,0,Hta_29-0.25),IF(G101&lt;=Hta_30-0.25,0,Hta_30-0.25)),MAX(IF(G101&lt;=Hba_1,0,Hba_1),IF(G101&lt;=Hba_2,0,Hba_2),IF(G101&lt;=Hba_3,0,Hba_3),IF(G101&lt;=Hba_4,0,Hba_4),IF(G101&lt;=Hba_5,0,Hba_5),IF(G101&lt;=Hba_6,0,Hba_6),IF(G101&lt;=Hba_7,0,Hba_7),IF(G101&lt;=Hba_8,0,Hba_8),IF(G101&lt;=Hba_9,0,Hba_9),IF(G101&lt;=Hba_10,0,Hba_10),IF(G101&lt;=Hba_11,0,Hba_11),IF(G101&lt;=Hba_12,0,Hba_12),IF(G101&lt;=Hba_13,0,Hba_13),IF(G101&lt;=Hba_14,0,Hba_14),IF(G101&lt;=Hba_15,0,Hba_15),IF(G101&lt;=Hba_16,0,Hba_16),IF(G101&lt;=Hba_17,0,Hba_17),IF(G101&lt;=Hba_18,0,Hba_18),IF(G101&lt;=Hba_19,0,Hba_19),IF(G101&lt;=Hba_20,0,Hba_20),IF(G101&lt;=Hba_21,0,Hba_21),IF(G101&lt;=Hba_22,0,Hba_22),IF(G101&lt;=Hba_23,0,Hba_23),IF(G101&lt;=Hba_24,0,Hba_24),IF(G101&lt;=Hba_25,0,Hba_25),IF(G101&lt;=Hba_26,0,Hba_26),IF(G101&lt;=Hba_27,0,Hba_27),IF(G101&lt;=Hba_28,0,Hba_28),IF(G101&lt;=Hba_29,0,Hba_29),IF(G101&lt;=Hba_30,0,Hba_30)),MAX(IF(G101&lt;=Input!$C$8,0,Input!$C$8),IF(G101&lt;=Input!$C$9,0,Input!$C$9),IF(G101&lt;=Input!$C$10,0,Input!$C$10),IF(G101&lt;=Input!$C$11,0,Input!$C$11),IF(G101&lt;=Input!$C$12,0,Input!$C$12),IF(G101&lt;=Input!$C$13,0,Input!$C$13),IF(G101&lt;=Input!$C$14,0,Input!$C$14),IF(G101&lt;=Input!$C$15,0,Input!$C$15),IF(G101&lt;=Input!$C$16,0,Input!$C$16)),MAX(IF(G101&lt;=Hba_1-0.25,0,Hba_1-0.25),IF(G101&lt;=Hba_2-0.25,0,Hba_2-0.25),IF(G101&lt;=Hba_3-0.25,0,Hba_3-0.25),IF(G101&lt;=Hba_4-0.25,0,Hba_4-0.25),IF(G101&lt;=Hba_5-0.25,0,Hba_5-0.25),IF(G101&lt;=Hba_6-0.25,0,Hba_6-0.25),IF(G101&lt;=Hba_7-0.25,0,Hba_7-0.25),IF(G101&lt;=Hba_8-0.25,0,Hba_8-0.25),IF(G101&lt;=Hba_9-0.25,0,Hba_9-0.25),IF(G101&lt;=Hba_10-0.25,0,Hba_10-0.25),IF(G101&lt;=Hba_11-0.25,0,Hba_11-0.25),IF(G101&lt;=Hba_12-0.25,0,Hba_12-0.25),IF(G101&lt;=Hba_13-0.25,0,Hba_13-0.25),IF(G101&lt;=Hba_14-0.25,0,Hba_14-0.25),IF(G101&lt;=Hba_15-0.25,0,Hba_15-0.25),IF(G101&lt;=Hba_16-0.25,0,Hba_16-0.25),IF(G101&lt;=Hba_17-0.25,0,Hba_17-0.25),IF(G101&lt;=Hba_18-0.25,0,Hba_18-0.25),IF(G101&lt;=Hba_19-0.25,0,Hba_19-0.25),IF(G101&lt;=Hba_20-0.25,0,Hba_20-0.25),IF(G101&lt;=Hba_21-0.25,0,Hba_21-0.25),IF(G101&lt;=Hba_22-0.25,0,Hba_22-0.25),IF(G101&lt;=Hba_23-0.25,0,Hba_23-0.25),IF(G101&lt;=Hba_24-0.25,0,Hba_24-0.25),IF(G101&lt;=Hba_25-0.25,0,Hba_25-0.25),IF(G101&lt;=Hba_26-0.25,0,Hba_26-0.25),IF(G101&lt;=Hba_27-0.25,0,Hba_27-0.25),IF(G101&lt;=Hba_28-0.25,0,Hba_28-0.25),IF(G101&lt;=Hba_29-0.25,0,Hba_29-0.25),IF(G101&lt;=Hba_30-0.25,0,Hba_30-0.25)),IF(G101&lt;='Macro References'!$A$38,0,'Macro References'!$A$38)))</f>
        <v/>
      </c>
      <c r="H102" s="769"/>
      <c r="I102" s="228"/>
      <c r="J102" s="228"/>
      <c r="K102" s="228"/>
      <c r="L102" s="717" t="str">
        <f t="shared" si="11"/>
        <v/>
      </c>
      <c r="M102" s="717"/>
      <c r="N102" s="717"/>
      <c r="O102" s="717"/>
      <c r="P102" s="717" t="str">
        <f>IF(OR(G102=0,G102=""),"",IF(VLOOKUP(G102,'Geometry 2'!$C$4:$AI$14,1,TRUE)=VLOOKUP(G103,'Geometry 2'!$C$4:$AI$14,1,TRUE),"",IF(VLOOKUP(G102,'Geometry 2'!$C$4:$AI$14,33,TRUE)&lt;&gt;"n/a",MIN(G102,VLOOKUP(G102,'Geometry 2'!$C$4:$AI$14,1,TRUE))-VLOOKUP(G102,'Geometry 2'!$C$4:$AI$14,33,TRUE),"check")))</f>
        <v/>
      </c>
      <c r="Q102" s="717"/>
      <c r="R102" s="717"/>
      <c r="S102" s="717"/>
      <c r="T102" s="717" t="str">
        <f>IF($G102="","",VLOOKUP($G102,'Geometry 2'!$E$4:$AH$14,11,TRUE))</f>
        <v/>
      </c>
      <c r="U102" s="717"/>
      <c r="V102" s="717"/>
      <c r="W102" s="717"/>
      <c r="X102" s="716" t="str">
        <f>IF($G102="","",VLOOKUP($G102,'Geometry 2'!$E$4:$AJ$14,19,TRUE)-12*VLOOKUP($G102,'Geometry 2'!$E$4:$AJ$14,32,TRUE)*($D102-VLOOKUP($G102,'Geometry 2'!$E$5:$AH$14,1,TRUE)))</f>
        <v/>
      </c>
      <c r="Y102" s="716"/>
      <c r="Z102" s="716"/>
      <c r="AA102" s="716"/>
      <c r="AB102" s="757" t="str">
        <f>IF($G102="","",VLOOKUP($G102,'Geometry 2'!$E$4:$AJ$14,19,TRUE)-12*VLOOKUP($G102,'Geometry 2'!$E$4:$AJ$14,32,TRUE)*($G102-VLOOKUP($G102,'Geometry 2'!$E$5:$AH$14,1,TRUE)))</f>
        <v/>
      </c>
      <c r="AC102" s="758"/>
      <c r="AD102" s="758"/>
      <c r="AE102" s="759"/>
      <c r="AF102" s="716" t="str">
        <f>IF($G102="","",VLOOKUP($G102,'Geometry 2'!$E$4:$AJ$14,19,TRUE)-12*VLOOKUP($G102,'Geometry 2'!$E$4:$AJ$14,32,TRUE)*($G102-IF($P102="",0,$P102)-VLOOKUP($G102,'Geometry 2'!$E$5:$AH$14,1,TRUE)))</f>
        <v/>
      </c>
      <c r="AG102" s="716"/>
      <c r="AH102" s="716"/>
      <c r="AI102" s="716"/>
      <c r="AJ102" s="746" t="str">
        <f>IF($G102="","",VLOOKUP($G102,'Geometry 2'!$E$4:$AH$14,23,TRUE))</f>
        <v/>
      </c>
      <c r="AK102" s="747"/>
      <c r="AL102" s="747"/>
      <c r="AM102" s="748"/>
      <c r="AN102" s="717"/>
      <c r="AO102" s="717"/>
      <c r="AP102" s="717"/>
      <c r="AQ102" s="717"/>
      <c r="AR102" s="717" t="str">
        <f>IF($G102="","",VLOOKUP($G102,'Geometry 2'!$E$4:$AH$14,27,TRUE))</f>
        <v/>
      </c>
      <c r="AS102" s="717"/>
      <c r="AT102" s="717"/>
      <c r="AU102" s="718"/>
      <c r="AV102" s="715"/>
      <c r="AW102" s="716"/>
      <c r="AX102" s="716"/>
      <c r="AZ102" s="722" t="str">
        <f t="shared" si="15"/>
        <v/>
      </c>
      <c r="BA102" s="723"/>
      <c r="BB102" s="723"/>
      <c r="BC102" s="724"/>
      <c r="BD102" s="722"/>
      <c r="BE102" s="723"/>
      <c r="BF102" s="723"/>
      <c r="BG102" s="722" t="str">
        <f t="shared" si="19"/>
        <v/>
      </c>
      <c r="BH102" s="723"/>
      <c r="BI102" s="723"/>
      <c r="BJ102" s="723"/>
      <c r="BK102" s="724"/>
      <c r="BL102" s="722"/>
      <c r="BM102" s="723"/>
      <c r="BN102" s="723"/>
      <c r="BO102" s="723"/>
      <c r="BP102" s="725"/>
      <c r="BQ102" s="725"/>
      <c r="BR102" s="722" t="str">
        <f>IF(BP102="","",IF(OR(AND(Rev="H",Calculations!$F$27=TRUE),AND(Rev&lt;&gt;"H",Calculations!$F$30=TRUE)),IF(BP102&lt;=1,"Pass","Fail"),IF(BP102&lt;=1.05,"Pass","Fail")))</f>
        <v/>
      </c>
      <c r="BS102" s="723"/>
      <c r="BT102" s="724"/>
      <c r="BU102" s="49"/>
      <c r="BV102" s="25" t="str">
        <f>IFERROR(CONCATENATE(IF(AND($G102&lt;Hta_1,$G102&gt;=Hba_1,Input!U$21&lt;&gt;""),Input!$B$21&amp;";",""),IF(AND($G102&lt;Hta_2,$G102&gt;=Hba_2,Input!U$22&lt;&gt;""),Input!$B$22&amp;";",""),IF(AND($G102&lt;Hta_3,$G102&gt;=Hba_3,Input!U$23&lt;&gt;""),Input!$B$23&amp;";",""),IF(AND($G102&lt;Hta_4,$G102&gt;=Hba_4,Input!U$24&lt;&gt;""),Input!$B$24&amp;";",""),IF(AND($G102&lt;Hta_5,$G102&gt;=Hba_5,Input!U$25&lt;&gt;""),Input!$B$25&amp;";",""),IF(AND($G102&lt;Hta_6,$G102&gt;=Hba_6,Input!U$26&lt;&gt;""),Input!$B$26&amp;";",""),IF(AND($G102&lt;Hta_7,$G102&gt;=Hba_7,Input!U$27&lt;&gt;""),Input!$B$27&amp;";",""),IF(AND($G102&lt;Hta_8,$G102&gt;=Hba_8,Input!U$28&lt;&gt;""),Input!$B$28&amp;";",""),IF(AND($G102&lt;Hta_9,$G102&gt;=Hba_9,Input!U$29&lt;&gt;""),Input!$B$29&amp;";",""),IF(AND($G102&lt;Hta_10,$G102&gt;=Hba_10,Input!U$30&lt;&gt;""),Input!$B$30&amp;";",""),IF(AND($G102&lt;Hta_11,$G102&gt;=Hba_11,Input!U$31&lt;&gt;""),Input!$B$31&amp;";",""),IF(AND($G102&lt;Hta_12,$G102&gt;=Hba_12,Input!U$32&lt;&gt;""),Input!$B$32&amp;";",""),IF(AND($G102&lt;Hta_13,$G102&gt;=Hba_13,Input!U$33&lt;&gt;""),Input!$B$33&amp;";",""),IF(AND($G102&lt;Hta_14,$G102&gt;=Hba_14,Input!U$34&lt;&gt;""),Input!$B$34&amp;";",""),IF(AND($G102&lt;Hta_15,$G102&gt;=Hba_15,Input!U$35&lt;&gt;""),Input!$B$35&amp;";",""),IF(AND($G102&lt;Hta_16,$G102&gt;=Hba_16,Input!U$36&lt;&gt;""),Input!$B$36&amp;";",""),IF(AND($G102&lt;Hta_17,$G102&gt;=Hba_17,Input!U$37&lt;&gt;""),Input!$B$37&amp;";",""),IF(AND($G102&lt;Hta_18,$G102&gt;=Hba_18,Input!U$38&lt;&gt;""),Input!$B$38&amp;";",""),IF(AND($G102&lt;Hta_19,$G102&gt;=Hba_19,Input!U$39&lt;&gt;""),Input!$B$39&amp;";",""),IF(AND($G102&lt;Hta_20,$G102&gt;=Hba_20,Input!U$40&lt;&gt;""),Input!$B$40&amp;";",""),IF(AND($G102&lt;Hta_21,$G102&gt;=Hba_21,Input!U$41&lt;&gt;""),Input!$B$41&amp;";",""),IF(AND($G102&lt;Hta_22,$G102&gt;=Hba_22,Input!U$42&lt;&gt;""),Input!$B$42&amp;";",""),IF(AND($G102&lt;Hta_23,$G102&gt;=Hba_23,Input!U$43&lt;&gt;""),Input!$B$43&amp;";",""),IF(AND($G102&lt;Hta_24,$G102&gt;=Hba_24,Input!U$44&lt;&gt;""),Input!$B$44&amp;";",""),IF(AND($G102&lt;Hta_25,$G102&gt;=Hba_25,Input!U$45&lt;&gt;""),Input!$B$45&amp;";",""),IF(AND($G102&lt;Hta_26,$G102&gt;=Hba_26,Input!U$46&lt;&gt;""),Input!$B$46&amp;";",""),IF(AND($G102&lt;Hta_27,$G102&gt;=Hba_27,Input!U$47&lt;&gt;""),Input!$B$47&amp;";",""),IF(AND($G102&lt;Hta_28,$G102&gt;=Hba_28,Input!U$48&lt;&gt;""),Input!$B$48&amp;";",""),IF(AND($G102&lt;Hta_29,$G102&gt;=Hba_29,Input!U$49&lt;&gt;""),Input!$B$49&amp;";",""),IF(AND($G102&lt;Hta_30,$G102&gt;=Hba_30,Input!U$50&lt;&gt;""),Input!$B$50&amp;";","")),"")</f>
        <v/>
      </c>
      <c r="BW102" s="25" t="str">
        <f>IFERROR(CONCATENATE(IF(AND($G102&lt;Hta_1,$G102&gt;=Hba_1,Input!V$21&lt;&gt;""),Input!$B$21&amp;";",""),IF(AND($G102&lt;Hta_2,$G102&gt;=Hba_2,Input!V$22&lt;&gt;""),Input!$B$22&amp;";",""),IF(AND($G102&lt;Hta_3,$G102&gt;=Hba_3,Input!V$23&lt;&gt;""),Input!$B$23&amp;";",""),IF(AND($G102&lt;Hta_4,$G102&gt;=Hba_4,Input!V$24&lt;&gt;""),Input!$B$24&amp;";",""),IF(AND($G102&lt;Hta_5,$G102&gt;=Hba_5,Input!V$25&lt;&gt;""),Input!$B$25&amp;";",""),IF(AND($G102&lt;Hta_6,$G102&gt;=Hba_6,Input!V$26&lt;&gt;""),Input!$B$26&amp;";",""),IF(AND($G102&lt;Hta_7,$G102&gt;=Hba_7,Input!V$27&lt;&gt;""),Input!$B$27&amp;";",""),IF(AND($G102&lt;Hta_8,$G102&gt;=Hba_8,Input!V$28&lt;&gt;""),Input!$B$28&amp;";",""),IF(AND($G102&lt;Hta_9,$G102&gt;=Hba_9,Input!V$29&lt;&gt;""),Input!$B$29&amp;";",""),IF(AND($G102&lt;Hta_10,$G102&gt;=Hba_10,Input!V$30&lt;&gt;""),Input!$B$30&amp;";",""),IF(AND($G102&lt;Hta_11,$G102&gt;=Hba_11,Input!V$31&lt;&gt;""),Input!$B$31&amp;";",""),IF(AND($G102&lt;Hta_12,$G102&gt;=Hba_12,Input!V$32&lt;&gt;""),Input!$B$32&amp;";",""),IF(AND($G102&lt;Hta_13,$G102&gt;=Hba_13,Input!V$33&lt;&gt;""),Input!$B$33&amp;";",""),IF(AND($G102&lt;Hta_14,$G102&gt;=Hba_14,Input!V$34&lt;&gt;""),Input!$B$34&amp;";",""),IF(AND($G102&lt;Hta_15,$G102&gt;=Hba_15,Input!V$35&lt;&gt;""),Input!$B$35&amp;";",""),IF(AND($G102&lt;Hta_16,$G102&gt;=Hba_16,Input!V$36&lt;&gt;""),Input!$B$36&amp;";",""),IF(AND($G102&lt;Hta_17,$G102&gt;=Hba_17,Input!V$37&lt;&gt;""),Input!$B$37&amp;";",""),IF(AND($G102&lt;Hta_18,$G102&gt;=Hba_18,Input!V$38&lt;&gt;""),Input!$B$38&amp;";",""),IF(AND($G102&lt;Hta_19,$G102&gt;=Hba_19,Input!V$39&lt;&gt;""),Input!$B$39&amp;";",""),IF(AND($G102&lt;Hta_20,$G102&gt;=Hba_20,Input!V$40&lt;&gt;""),Input!$B$40&amp;";",""),IF(AND($G102&lt;Hta_21,$G102&gt;=Hba_21,Input!V$41&lt;&gt;""),Input!$B$41&amp;";",""),IF(AND($G102&lt;Hta_22,$G102&gt;=Hba_22,Input!V$42&lt;&gt;""),Input!$B$42&amp;";",""),IF(AND($G102&lt;Hta_23,$G102&gt;=Hba_23,Input!V$43&lt;&gt;""),Input!$B$43&amp;";",""),IF(AND($G102&lt;Hta_24,$G102&gt;=Hba_24,Input!V$44&lt;&gt;""),Input!$B$44&amp;";",""),IF(AND($G102&lt;Hta_25,$G102&gt;=Hba_25,Input!V$45&lt;&gt;""),Input!$B$45&amp;";",""),IF(AND($G102&lt;Hta_26,$G102&gt;=Hba_26,Input!V$46&lt;&gt;""),Input!$B$46&amp;";",""),IF(AND($G102&lt;Hta_27,$G102&gt;=Hba_27,Input!V$47&lt;&gt;""),Input!$B$47&amp;";",""),IF(AND($G102&lt;Hta_28,$G102&gt;=Hba_28,Input!V$48&lt;&gt;""),Input!$B$48&amp;";",""),IF(AND($G102&lt;Hta_29,$G102&gt;=Hba_29,Input!V$49&lt;&gt;""),Input!$B$49&amp;";",""),IF(AND($G102&lt;Hta_30,$G102&gt;=Hba_30,Input!V$50&lt;&gt;""),Input!$B$50&amp;";","")),"")</f>
        <v/>
      </c>
      <c r="BX102" s="25" t="str">
        <f>IFERROR(CONCATENATE(IF(AND($G102&lt;Hta_1,$G102&gt;=Hba_1,Input!W$21&lt;&gt;""),Input!$B$21&amp;";",""),IF(AND($G102&lt;Hta_2,$G102&gt;=Hba_2,Input!W$22&lt;&gt;""),Input!$B$22&amp;";",""),IF(AND($G102&lt;Hta_3,$G102&gt;=Hba_3,Input!W$23&lt;&gt;""),Input!$B$23&amp;";",""),IF(AND($G102&lt;Hta_4,$G102&gt;=Hba_4,Input!W$24&lt;&gt;""),Input!$B$24&amp;";",""),IF(AND($G102&lt;Hta_5,$G102&gt;=Hba_5,Input!W$25&lt;&gt;""),Input!$B$25&amp;";",""),IF(AND($G102&lt;Hta_6,$G102&gt;=Hba_6,Input!W$26&lt;&gt;""),Input!$B$26&amp;";",""),IF(AND($G102&lt;Hta_7,$G102&gt;=Hba_7,Input!W$27&lt;&gt;""),Input!$B$27&amp;";",""),IF(AND($G102&lt;Hta_8,$G102&gt;=Hba_8,Input!W$28&lt;&gt;""),Input!$B$28&amp;";",""),IF(AND($G102&lt;Hta_9,$G102&gt;=Hba_9,Input!W$29&lt;&gt;""),Input!$B$29&amp;";",""),IF(AND($G102&lt;Hta_10,$G102&gt;=Hba_10,Input!W$30&lt;&gt;""),Input!$B$30&amp;";",""),IF(AND($G102&lt;Hta_11,$G102&gt;=Hba_11,Input!W$31&lt;&gt;""),Input!$B$31&amp;";",""),IF(AND($G102&lt;Hta_12,$G102&gt;=Hba_12,Input!W$32&lt;&gt;""),Input!$B$32&amp;";",""),IF(AND($G102&lt;Hta_13,$G102&gt;=Hba_13,Input!W$33&lt;&gt;""),Input!$B$33&amp;";",""),IF(AND($G102&lt;Hta_14,$G102&gt;=Hba_14,Input!W$34&lt;&gt;""),Input!$B$34&amp;";",""),IF(AND($G102&lt;Hta_15,$G102&gt;=Hba_15,Input!W$35&lt;&gt;""),Input!$B$35&amp;";",""),IF(AND($G102&lt;Hta_16,$G102&gt;=Hba_16,Input!W$36&lt;&gt;""),Input!$B$36&amp;";",""),IF(AND($G102&lt;Hta_17,$G102&gt;=Hba_17,Input!W$37&lt;&gt;""),Input!$B$37&amp;";",""),IF(AND($G102&lt;Hta_18,$G102&gt;=Hba_18,Input!W$38&lt;&gt;""),Input!$B$38&amp;";",""),IF(AND($G102&lt;Hta_19,$G102&gt;=Hba_19,Input!W$39&lt;&gt;""),Input!$B$39&amp;";",""),IF(AND($G102&lt;Hta_20,$G102&gt;=Hba_20,Input!W$40&lt;&gt;""),Input!$B$40&amp;";",""),IF(AND($G102&lt;Hta_21,$G102&gt;=Hba_21,Input!W$41&lt;&gt;""),Input!$B$41&amp;";",""),IF(AND($G102&lt;Hta_22,$G102&gt;=Hba_22,Input!W$42&lt;&gt;""),Input!$B$42&amp;";",""),IF(AND($G102&lt;Hta_23,$G102&gt;=Hba_23,Input!W$43&lt;&gt;""),Input!$B$43&amp;";",""),IF(AND($G102&lt;Hta_24,$G102&gt;=Hba_24,Input!W$44&lt;&gt;""),Input!$B$44&amp;";",""),IF(AND($G102&lt;Hta_25,$G102&gt;=Hba_25,Input!W$45&lt;&gt;""),Input!$B$45&amp;";",""),IF(AND($G102&lt;Hta_26,$G102&gt;=Hba_26,Input!W$46&lt;&gt;""),Input!$B$46&amp;";",""),IF(AND($G102&lt;Hta_27,$G102&gt;=Hba_27,Input!W$47&lt;&gt;""),Input!$B$47&amp;";",""),IF(AND($G102&lt;Hta_28,$G102&gt;=Hba_28,Input!W$48&lt;&gt;""),Input!$B$48&amp;";",""),IF(AND($G102&lt;Hta_29,$G102&gt;=Hba_29,Input!W$49&lt;&gt;""),Input!$B$49&amp;";",""),IF(AND($G102&lt;Hta_30,$G102&gt;=Hba_30,Input!W$50&lt;&gt;""),Input!$B$50&amp;";","")),"")</f>
        <v/>
      </c>
      <c r="BY102" s="25" t="str">
        <f>IFERROR(CONCATENATE(IF(AND($G102&lt;Hta_1,$G102&gt;=Hba_1,Input!X$21&lt;&gt;""),Input!$B$21&amp;";",""),IF(AND($G102&lt;Hta_2,$G102&gt;=Hba_2,Input!X$22&lt;&gt;""),Input!$B$22&amp;";",""),IF(AND($G102&lt;Hta_3,$G102&gt;=Hba_3,Input!X$23&lt;&gt;""),Input!$B$23&amp;";",""),IF(AND($G102&lt;Hta_4,$G102&gt;=Hba_4,Input!X$24&lt;&gt;""),Input!$B$24&amp;";",""),IF(AND($G102&lt;Hta_5,$G102&gt;=Hba_5,Input!X$25&lt;&gt;""),Input!$B$25&amp;";",""),IF(AND($G102&lt;Hta_6,$G102&gt;=Hba_6,Input!X$26&lt;&gt;""),Input!$B$26&amp;";",""),IF(AND($G102&lt;Hta_7,$G102&gt;=Hba_7,Input!X$27&lt;&gt;""),Input!$B$27&amp;";",""),IF(AND($G102&lt;Hta_8,$G102&gt;=Hba_8,Input!X$28&lt;&gt;""),Input!$B$28&amp;";",""),IF(AND($G102&lt;Hta_9,$G102&gt;=Hba_9,Input!X$29&lt;&gt;""),Input!$B$29&amp;";",""),IF(AND($G102&lt;Hta_10,$G102&gt;=Hba_10,Input!X$30&lt;&gt;""),Input!$B$30&amp;";",""),IF(AND($G102&lt;Hta_11,$G102&gt;=Hba_11,Input!X$31&lt;&gt;""),Input!$B$31&amp;";",""),IF(AND($G102&lt;Hta_12,$G102&gt;=Hba_12,Input!X$32&lt;&gt;""),Input!$B$32&amp;";",""),IF(AND($G102&lt;Hta_13,$G102&gt;=Hba_13,Input!X$33&lt;&gt;""),Input!$B$33&amp;";",""),IF(AND($G102&lt;Hta_14,$G102&gt;=Hba_14,Input!X$34&lt;&gt;""),Input!$B$34&amp;";",""),IF(AND($G102&lt;Hta_15,$G102&gt;=Hba_15,Input!X$35&lt;&gt;""),Input!$B$35&amp;";",""),IF(AND($G102&lt;Hta_16,$G102&gt;=Hba_16,Input!X$36&lt;&gt;""),Input!$B$36&amp;";",""),IF(AND($G102&lt;Hta_17,$G102&gt;=Hba_17,Input!X$37&lt;&gt;""),Input!$B$37&amp;";",""),IF(AND($G102&lt;Hta_18,$G102&gt;=Hba_18,Input!X$38&lt;&gt;""),Input!$B$38&amp;";",""),IF(AND($G102&lt;Hta_19,$G102&gt;=Hba_19,Input!X$39&lt;&gt;""),Input!$B$39&amp;";",""),IF(AND($G102&lt;Hta_20,$G102&gt;=Hba_20,Input!X$40&lt;&gt;""),Input!$B$40&amp;";",""),IF(AND($G102&lt;Hta_21,$G102&gt;=Hba_21,Input!X$41&lt;&gt;""),Input!$B$41&amp;";",""),IF(AND($G102&lt;Hta_22,$G102&gt;=Hba_22,Input!X$42&lt;&gt;""),Input!$B$42&amp;";",""),IF(AND($G102&lt;Hta_23,$G102&gt;=Hba_23,Input!X$43&lt;&gt;""),Input!$B$43&amp;";",""),IF(AND($G102&lt;Hta_24,$G102&gt;=Hba_24,Input!X$44&lt;&gt;""),Input!$B$44&amp;";",""),IF(AND($G102&lt;Hta_25,$G102&gt;=Hba_25,Input!X$45&lt;&gt;""),Input!$B$45&amp;";",""),IF(AND($G102&lt;Hta_26,$G102&gt;=Hba_26,Input!X$46&lt;&gt;""),Input!$B$46&amp;";",""),IF(AND($G102&lt;Hta_27,$G102&gt;=Hba_27,Input!X$47&lt;&gt;""),Input!$B$47&amp;";",""),IF(AND($G102&lt;Hta_28,$G102&gt;=Hba_28,Input!X$48&lt;&gt;""),Input!$B$48&amp;";",""),IF(AND($G102&lt;Hta_29,$G102&gt;=Hba_29,Input!X$49&lt;&gt;""),Input!$B$49&amp;";",""),IF(AND($G102&lt;Hta_30,$G102&gt;=Hba_30,Input!X$50&lt;&gt;""),Input!$B$50&amp;";","")),"")</f>
        <v/>
      </c>
      <c r="BZ102" s="25" t="str">
        <f>IFERROR(CONCATENATE(IF(AND($G102&lt;Hta_1,$G102&gt;=Hba_1,Input!Y$21&lt;&gt;""),Input!$B$21&amp;";",""),IF(AND($G102&lt;Hta_2,$G102&gt;=Hba_2,Input!Y$22&lt;&gt;""),Input!$B$22&amp;";",""),IF(AND($G102&lt;Hta_3,$G102&gt;=Hba_3,Input!Y$23&lt;&gt;""),Input!$B$23&amp;";",""),IF(AND($G102&lt;Hta_4,$G102&gt;=Hba_4,Input!Y$24&lt;&gt;""),Input!$B$24&amp;";",""),IF(AND($G102&lt;Hta_5,$G102&gt;=Hba_5,Input!Y$25&lt;&gt;""),Input!$B$25&amp;";",""),IF(AND($G102&lt;Hta_6,$G102&gt;=Hba_6,Input!Y$26&lt;&gt;""),Input!$B$26&amp;";",""),IF(AND($G102&lt;Hta_7,$G102&gt;=Hba_7,Input!Y$27&lt;&gt;""),Input!$B$27&amp;";",""),IF(AND($G102&lt;Hta_8,$G102&gt;=Hba_8,Input!Y$28&lt;&gt;""),Input!$B$28&amp;";",""),IF(AND($G102&lt;Hta_9,$G102&gt;=Hba_9,Input!Y$29&lt;&gt;""),Input!$B$29&amp;";",""),IF(AND($G102&lt;Hta_10,$G102&gt;=Hba_10,Input!Y$30&lt;&gt;""),Input!$B$30&amp;";",""),IF(AND($G102&lt;Hta_11,$G102&gt;=Hba_11,Input!Y$31&lt;&gt;""),Input!$B$31&amp;";",""),IF(AND($G102&lt;Hta_12,$G102&gt;=Hba_12,Input!Y$32&lt;&gt;""),Input!$B$32&amp;";",""),IF(AND($G102&lt;Hta_13,$G102&gt;=Hba_13,Input!Y$33&lt;&gt;""),Input!$B$33&amp;";",""),IF(AND($G102&lt;Hta_14,$G102&gt;=Hba_14,Input!Y$34&lt;&gt;""),Input!$B$34&amp;";",""),IF(AND($G102&lt;Hta_15,$G102&gt;=Hba_15,Input!Y$35&lt;&gt;""),Input!$B$35&amp;";",""),IF(AND($G102&lt;Hta_16,$G102&gt;=Hba_16,Input!Y$36&lt;&gt;""),Input!$B$36&amp;";",""),IF(AND($G102&lt;Hta_17,$G102&gt;=Hba_17,Input!Y$37&lt;&gt;""),Input!$B$37&amp;";",""),IF(AND($G102&lt;Hta_18,$G102&gt;=Hba_18,Input!Y$38&lt;&gt;""),Input!$B$38&amp;";",""),IF(AND($G102&lt;Hta_19,$G102&gt;=Hba_19,Input!Y$39&lt;&gt;""),Input!$B$39&amp;";",""),IF(AND($G102&lt;Hta_20,$G102&gt;=Hba_20,Input!Y$40&lt;&gt;""),Input!$B$40&amp;";",""),IF(AND($G102&lt;Hta_21,$G102&gt;=Hba_21,Input!Y$41&lt;&gt;""),Input!$B$41&amp;";",""),IF(AND($G102&lt;Hta_22,$G102&gt;=Hba_22,Input!Y$42&lt;&gt;""),Input!$B$42&amp;";",""),IF(AND($G102&lt;Hta_23,$G102&gt;=Hba_23,Input!Y$43&lt;&gt;""),Input!$B$43&amp;";",""),IF(AND($G102&lt;Hta_24,$G102&gt;=Hba_24,Input!Y$44&lt;&gt;""),Input!$B$44&amp;";",""),IF(AND($G102&lt;Hta_25,$G102&gt;=Hba_25,Input!Y$45&lt;&gt;""),Input!$B$45&amp;";",""),IF(AND($G102&lt;Hta_26,$G102&gt;=Hba_26,Input!Y$46&lt;&gt;""),Input!$B$46&amp;";",""),IF(AND($G102&lt;Hta_27,$G102&gt;=Hba_27,Input!Y$47&lt;&gt;""),Input!$B$47&amp;";",""),IF(AND($G102&lt;Hta_28,$G102&gt;=Hba_28,Input!Y$48&lt;&gt;""),Input!$B$48&amp;";",""),IF(AND($G102&lt;Hta_29,$G102&gt;=Hba_29,Input!Y$49&lt;&gt;""),Input!$B$49&amp;";",""),IF(AND($G102&lt;Hta_30,$G102&gt;=Hba_30,Input!Y$50&lt;&gt;""),Input!$B$50&amp;";","")),"")</f>
        <v/>
      </c>
      <c r="CA102" s="25" t="str">
        <f>IFERROR(CONCATENATE(IF(AND($G102&lt;Hta_1,$G102&gt;=Hba_1,Input!Z$21&lt;&gt;""),Input!$B$21&amp;";",""),IF(AND($G102&lt;Hta_2,$G102&gt;=Hba_2,Input!Z$22&lt;&gt;""),Input!$B$22&amp;";",""),IF(AND($G102&lt;Hta_3,$G102&gt;=Hba_3,Input!Z$23&lt;&gt;""),Input!$B$23&amp;";",""),IF(AND($G102&lt;Hta_4,$G102&gt;=Hba_4,Input!Z$24&lt;&gt;""),Input!$B$24&amp;";",""),IF(AND($G102&lt;Hta_5,$G102&gt;=Hba_5,Input!Z$25&lt;&gt;""),Input!$B$25&amp;";",""),IF(AND($G102&lt;Hta_6,$G102&gt;=Hba_6,Input!Z$26&lt;&gt;""),Input!$B$26&amp;";",""),IF(AND($G102&lt;Hta_7,$G102&gt;=Hba_7,Input!Z$27&lt;&gt;""),Input!$B$27&amp;";",""),IF(AND($G102&lt;Hta_8,$G102&gt;=Hba_8,Input!Z$28&lt;&gt;""),Input!$B$28&amp;";",""),IF(AND($G102&lt;Hta_9,$G102&gt;=Hba_9,Input!Z$29&lt;&gt;""),Input!$B$29&amp;";",""),IF(AND($G102&lt;Hta_10,$G102&gt;=Hba_10,Input!Z$30&lt;&gt;""),Input!$B$30&amp;";",""),IF(AND($G102&lt;Hta_11,$G102&gt;=Hba_11,Input!Z$31&lt;&gt;""),Input!$B$31&amp;";",""),IF(AND($G102&lt;Hta_12,$G102&gt;=Hba_12,Input!Z$32&lt;&gt;""),Input!$B$32&amp;";",""),IF(AND($G102&lt;Hta_13,$G102&gt;=Hba_13,Input!Z$33&lt;&gt;""),Input!$B$33&amp;";",""),IF(AND($G102&lt;Hta_14,$G102&gt;=Hba_14,Input!Z$34&lt;&gt;""),Input!$B$34&amp;";",""),IF(AND($G102&lt;Hta_15,$G102&gt;=Hba_15,Input!Z$35&lt;&gt;""),Input!$B$35&amp;";",""),IF(AND($G102&lt;Hta_16,$G102&gt;=Hba_16,Input!Z$36&lt;&gt;""),Input!$B$36&amp;";",""),IF(AND($G102&lt;Hta_17,$G102&gt;=Hba_17,Input!Z$37&lt;&gt;""),Input!$B$37&amp;";",""),IF(AND($G102&lt;Hta_18,$G102&gt;=Hba_18,Input!Z$38&lt;&gt;""),Input!$B$38&amp;";",""),IF(AND($G102&lt;Hta_19,$G102&gt;=Hba_19,Input!Z$39&lt;&gt;""),Input!$B$39&amp;";",""),IF(AND($G102&lt;Hta_20,$G102&gt;=Hba_20,Input!Z$40&lt;&gt;""),Input!$B$40&amp;";",""),IF(AND($G102&lt;Hta_21,$G102&gt;=Hba_21,Input!Z$41&lt;&gt;""),Input!$B$41&amp;";",""),IF(AND($G102&lt;Hta_22,$G102&gt;=Hba_22,Input!Z$42&lt;&gt;""),Input!$B$42&amp;";",""),IF(AND($G102&lt;Hta_23,$G102&gt;=Hba_23,Input!Z$43&lt;&gt;""),Input!$B$43&amp;";",""),IF(AND($G102&lt;Hta_24,$G102&gt;=Hba_24,Input!Z$44&lt;&gt;""),Input!$B$44&amp;";",""),IF(AND($G102&lt;Hta_25,$G102&gt;=Hba_25,Input!Z$45&lt;&gt;""),Input!$B$45&amp;";",""),IF(AND($G102&lt;Hta_26,$G102&gt;=Hba_26,Input!Z$46&lt;&gt;""),Input!$B$46&amp;";",""),IF(AND($G102&lt;Hta_27,$G102&gt;=Hba_27,Input!Z$47&lt;&gt;""),Input!$B$47&amp;";",""),IF(AND($G102&lt;Hta_28,$G102&gt;=Hba_28,Input!Z$48&lt;&gt;""),Input!$B$48&amp;";",""),IF(AND($G102&lt;Hta_29,$G102&gt;=Hba_29,Input!Z$49&lt;&gt;""),Input!$B$49&amp;";",""),IF(AND($G102&lt;Hta_30,$G102&gt;=Hba_30,Input!Z$50&lt;&gt;""),Input!$B$50&amp;";","")),"")</f>
        <v/>
      </c>
      <c r="CB102" s="25" t="str">
        <f>IFERROR(CONCATENATE(IF(AND($G102&lt;Hta_1,$G102&gt;=Hba_1,Input!AA$21&lt;&gt;""),Input!$B$21&amp;";",""),IF(AND($G102&lt;Hta_2,$G102&gt;=Hba_2,Input!AA$22&lt;&gt;""),Input!$B$22&amp;";",""),IF(AND($G102&lt;Hta_3,$G102&gt;=Hba_3,Input!AA$23&lt;&gt;""),Input!$B$23&amp;";",""),IF(AND($G102&lt;Hta_4,$G102&gt;=Hba_4,Input!AA$24&lt;&gt;""),Input!$B$24&amp;";",""),IF(AND($G102&lt;Hta_5,$G102&gt;=Hba_5,Input!AA$25&lt;&gt;""),Input!$B$25&amp;";",""),IF(AND($G102&lt;Hta_6,$G102&gt;=Hba_6,Input!AA$26&lt;&gt;""),Input!$B$26&amp;";",""),IF(AND($G102&lt;Hta_7,$G102&gt;=Hba_7,Input!AA$27&lt;&gt;""),Input!$B$27&amp;";",""),IF(AND($G102&lt;Hta_8,$G102&gt;=Hba_8,Input!AA$28&lt;&gt;""),Input!$B$28&amp;";",""),IF(AND($G102&lt;Hta_9,$G102&gt;=Hba_9,Input!AA$29&lt;&gt;""),Input!$B$29&amp;";",""),IF(AND($G102&lt;Hta_10,$G102&gt;=Hba_10,Input!AA$30&lt;&gt;""),Input!$B$30&amp;";",""),IF(AND($G102&lt;Hta_11,$G102&gt;=Hba_11,Input!AA$31&lt;&gt;""),Input!$B$31&amp;";",""),IF(AND($G102&lt;Hta_12,$G102&gt;=Hba_12,Input!AA$32&lt;&gt;""),Input!$B$32&amp;";",""),IF(AND($G102&lt;Hta_13,$G102&gt;=Hba_13,Input!AA$33&lt;&gt;""),Input!$B$33&amp;";",""),IF(AND($G102&lt;Hta_14,$G102&gt;=Hba_14,Input!AA$34&lt;&gt;""),Input!$B$34&amp;";",""),IF(AND($G102&lt;Hta_15,$G102&gt;=Hba_15,Input!AA$35&lt;&gt;""),Input!$B$35&amp;";",""),IF(AND($G102&lt;Hta_16,$G102&gt;=Hba_16,Input!AA$36&lt;&gt;""),Input!$B$36&amp;";",""),IF(AND($G102&lt;Hta_17,$G102&gt;=Hba_17,Input!AA$37&lt;&gt;""),Input!$B$37&amp;";",""),IF(AND($G102&lt;Hta_18,$G102&gt;=Hba_18,Input!AA$38&lt;&gt;""),Input!$B$38&amp;";",""),IF(AND($G102&lt;Hta_19,$G102&gt;=Hba_19,Input!AA$39&lt;&gt;""),Input!$B$39&amp;";",""),IF(AND($G102&lt;Hta_20,$G102&gt;=Hba_20,Input!AA$40&lt;&gt;""),Input!$B$40&amp;";",""),IF(AND($G102&lt;Hta_21,$G102&gt;=Hba_21,Input!AA$41&lt;&gt;""),Input!$B$41&amp;";",""),IF(AND($G102&lt;Hta_22,$G102&gt;=Hba_22,Input!AA$42&lt;&gt;""),Input!$B$42&amp;";",""),IF(AND($G102&lt;Hta_23,$G102&gt;=Hba_23,Input!AA$43&lt;&gt;""),Input!$B$43&amp;";",""),IF(AND($G102&lt;Hta_24,$G102&gt;=Hba_24,Input!AA$44&lt;&gt;""),Input!$B$44&amp;";",""),IF(AND($G102&lt;Hta_25,$G102&gt;=Hba_25,Input!AA$45&lt;&gt;""),Input!$B$45&amp;";",""),IF(AND($G102&lt;Hta_26,$G102&gt;=Hba_26,Input!AA$46&lt;&gt;""),Input!$B$46&amp;";",""),IF(AND($G102&lt;Hta_27,$G102&gt;=Hba_27,Input!AA$47&lt;&gt;""),Input!$B$47&amp;";",""),IF(AND($G102&lt;Hta_28,$G102&gt;=Hba_28,Input!AA$48&lt;&gt;""),Input!$B$48&amp;";",""),IF(AND($G102&lt;Hta_29,$G102&gt;=Hba_29,Input!AA$49&lt;&gt;""),Input!$B$49&amp;";",""),IF(AND($G102&lt;Hta_30,$G102&gt;=Hba_30,Input!AA$50&lt;&gt;""),Input!$B$50&amp;";","")),"")</f>
        <v/>
      </c>
      <c r="CC102" s="25" t="str">
        <f>IFERROR(CONCATENATE(IF(AND($G102&lt;Hta_1,$G102&gt;=Hba_1,Input!AB$21&lt;&gt;""),Input!$B$21&amp;";",""),IF(AND($G102&lt;Hta_2,$G102&gt;=Hba_2,Input!AB$22&lt;&gt;""),Input!$B$22&amp;";",""),IF(AND($G102&lt;Hta_3,$G102&gt;=Hba_3,Input!AB$23&lt;&gt;""),Input!$B$23&amp;";",""),IF(AND($G102&lt;Hta_4,$G102&gt;=Hba_4,Input!AB$24&lt;&gt;""),Input!$B$24&amp;";",""),IF(AND($G102&lt;Hta_5,$G102&gt;=Hba_5,Input!AB$25&lt;&gt;""),Input!$B$25&amp;";",""),IF(AND($G102&lt;Hta_6,$G102&gt;=Hba_6,Input!AB$26&lt;&gt;""),Input!$B$26&amp;";",""),IF(AND($G102&lt;Hta_7,$G102&gt;=Hba_7,Input!AB$27&lt;&gt;""),Input!$B$27&amp;";",""),IF(AND($G102&lt;Hta_8,$G102&gt;=Hba_8,Input!AB$28&lt;&gt;""),Input!$B$28&amp;";",""),IF(AND($G102&lt;Hta_9,$G102&gt;=Hba_9,Input!AB$29&lt;&gt;""),Input!$B$29&amp;";",""),IF(AND($G102&lt;Hta_10,$G102&gt;=Hba_10,Input!AB$30&lt;&gt;""),Input!$B$30&amp;";",""),IF(AND($G102&lt;Hta_11,$G102&gt;=Hba_11,Input!AB$31&lt;&gt;""),Input!$B$31&amp;";",""),IF(AND($G102&lt;Hta_12,$G102&gt;=Hba_12,Input!AB$32&lt;&gt;""),Input!$B$32&amp;";",""),IF(AND($G102&lt;Hta_13,$G102&gt;=Hba_13,Input!AB$33&lt;&gt;""),Input!$B$33&amp;";",""),IF(AND($G102&lt;Hta_14,$G102&gt;=Hba_14,Input!AB$34&lt;&gt;""),Input!$B$34&amp;";",""),IF(AND($G102&lt;Hta_15,$G102&gt;=Hba_15,Input!AB$35&lt;&gt;""),Input!$B$35&amp;";",""),IF(AND($G102&lt;Hta_16,$G102&gt;=Hba_16,Input!AB$36&lt;&gt;""),Input!$B$36&amp;";",""),IF(AND($G102&lt;Hta_17,$G102&gt;=Hba_17,Input!AB$37&lt;&gt;""),Input!$B$37&amp;";",""),IF(AND($G102&lt;Hta_18,$G102&gt;=Hba_18,Input!AB$38&lt;&gt;""),Input!$B$38&amp;";",""),IF(AND($G102&lt;Hta_19,$G102&gt;=Hba_19,Input!AB$39&lt;&gt;""),Input!$B$39&amp;";",""),IF(AND($G102&lt;Hta_20,$G102&gt;=Hba_20,Input!AB$40&lt;&gt;""),Input!$B$40&amp;";",""),IF(AND($G102&lt;Hta_21,$G102&gt;=Hba_21,Input!AB$41&lt;&gt;""),Input!$B$41&amp;";",""),IF(AND($G102&lt;Hta_22,$G102&gt;=Hba_22,Input!AB$42&lt;&gt;""),Input!$B$42&amp;";",""),IF(AND($G102&lt;Hta_23,$G102&gt;=Hba_23,Input!AB$43&lt;&gt;""),Input!$B$43&amp;";",""),IF(AND($G102&lt;Hta_24,$G102&gt;=Hba_24,Input!AB$44&lt;&gt;""),Input!$B$44&amp;";",""),IF(AND($G102&lt;Hta_25,$G102&gt;=Hba_25,Input!AB$45&lt;&gt;""),Input!$B$45&amp;";",""),IF(AND($G102&lt;Hta_26,$G102&gt;=Hba_26,Input!AB$46&lt;&gt;""),Input!$B$46&amp;";",""),IF(AND($G102&lt;Hta_27,$G102&gt;=Hba_27,Input!AB$47&lt;&gt;""),Input!$B$47&amp;";",""),IF(AND($G102&lt;Hta_28,$G102&gt;=Hba_28,Input!AB$48&lt;&gt;""),Input!$B$48&amp;";",""),IF(AND($G102&lt;Hta_29,$G102&gt;=Hba_29,Input!AB$49&lt;&gt;""),Input!$B$49&amp;";",""),IF(AND($G102&lt;Hta_30,$G102&gt;=Hba_30,Input!AB$50&lt;&gt;""),Input!$B$50&amp;";","")),"")</f>
        <v/>
      </c>
      <c r="CD102" s="25" t="str">
        <f>IFERROR(CONCATENATE(IF(AND($G102&lt;Hta_1,$G102&gt;=Hba_1,Input!AC$21&lt;&gt;""),Input!$B$21&amp;";",""),IF(AND($G102&lt;Hta_2,$G102&gt;=Hba_2,Input!AC$22&lt;&gt;""),Input!$B$22&amp;";",""),IF(AND($G102&lt;Hta_3,$G102&gt;=Hba_3,Input!AC$23&lt;&gt;""),Input!$B$23&amp;";",""),IF(AND($G102&lt;Hta_4,$G102&gt;=Hba_4,Input!AC$24&lt;&gt;""),Input!$B$24&amp;";",""),IF(AND($G102&lt;Hta_5,$G102&gt;=Hba_5,Input!AC$25&lt;&gt;""),Input!$B$25&amp;";",""),IF(AND($G102&lt;Hta_6,$G102&gt;=Hba_6,Input!AC$26&lt;&gt;""),Input!$B$26&amp;";",""),IF(AND($G102&lt;Hta_7,$G102&gt;=Hba_7,Input!AC$27&lt;&gt;""),Input!$B$27&amp;";",""),IF(AND($G102&lt;Hta_8,$G102&gt;=Hba_8,Input!AC$28&lt;&gt;""),Input!$B$28&amp;";",""),IF(AND($G102&lt;Hta_9,$G102&gt;=Hba_9,Input!AC$29&lt;&gt;""),Input!$B$29&amp;";",""),IF(AND($G102&lt;Hta_10,$G102&gt;=Hba_10,Input!AC$30&lt;&gt;""),Input!$B$30&amp;";",""),IF(AND($G102&lt;Hta_11,$G102&gt;=Hba_11,Input!AC$31&lt;&gt;""),Input!$B$31&amp;";",""),IF(AND($G102&lt;Hta_12,$G102&gt;=Hba_12,Input!AC$32&lt;&gt;""),Input!$B$32&amp;";",""),IF(AND($G102&lt;Hta_13,$G102&gt;=Hba_13,Input!AC$33&lt;&gt;""),Input!$B$33&amp;";",""),IF(AND($G102&lt;Hta_14,$G102&gt;=Hba_14,Input!AC$34&lt;&gt;""),Input!$B$34&amp;";",""),IF(AND($G102&lt;Hta_15,$G102&gt;=Hba_15,Input!AC$35&lt;&gt;""),Input!$B$35&amp;";",""),IF(AND($G102&lt;Hta_16,$G102&gt;=Hba_16,Input!AC$36&lt;&gt;""),Input!$B$36&amp;";",""),IF(AND($G102&lt;Hta_17,$G102&gt;=Hba_17,Input!AC$37&lt;&gt;""),Input!$B$37&amp;";",""),IF(AND($G102&lt;Hta_18,$G102&gt;=Hba_18,Input!AC$38&lt;&gt;""),Input!$B$38&amp;";",""),IF(AND($G102&lt;Hta_19,$G102&gt;=Hba_19,Input!AC$39&lt;&gt;""),Input!$B$39&amp;";",""),IF(AND($G102&lt;Hta_20,$G102&gt;=Hba_20,Input!AC$40&lt;&gt;""),Input!$B$40&amp;";",""),IF(AND($G102&lt;Hta_21,$G102&gt;=Hba_21,Input!AC$41&lt;&gt;""),Input!$B$41&amp;";",""),IF(AND($G102&lt;Hta_22,$G102&gt;=Hba_22,Input!AC$42&lt;&gt;""),Input!$B$42&amp;";",""),IF(AND($G102&lt;Hta_23,$G102&gt;=Hba_23,Input!AC$43&lt;&gt;""),Input!$B$43&amp;";",""),IF(AND($G102&lt;Hta_24,$G102&gt;=Hba_24,Input!AC$44&lt;&gt;""),Input!$B$44&amp;";",""),IF(AND($G102&lt;Hta_25,$G102&gt;=Hba_25,Input!AC$45&lt;&gt;""),Input!$B$45&amp;";",""),IF(AND($G102&lt;Hta_26,$G102&gt;=Hba_26,Input!AC$46&lt;&gt;""),Input!$B$46&amp;";",""),IF(AND($G102&lt;Hta_27,$G102&gt;=Hba_27,Input!AC$47&lt;&gt;""),Input!$B$47&amp;";",""),IF(AND($G102&lt;Hta_28,$G102&gt;=Hba_28,Input!AC$48&lt;&gt;""),Input!$B$48&amp;";",""),IF(AND($G102&lt;Hta_29,$G102&gt;=Hba_29,Input!AC$49&lt;&gt;""),Input!$B$49&amp;";",""),IF(AND($G102&lt;Hta_30,$G102&gt;=Hba_30,Input!AC$50&lt;&gt;""),Input!$B$50&amp;";","")),"")</f>
        <v/>
      </c>
      <c r="CE102" s="25" t="str">
        <f>IFERROR(CONCATENATE(IF(AND($G102&lt;Hta_1,$G102&gt;=Hba_1,Input!AD$21&lt;&gt;""),Input!$B$21&amp;";",""),IF(AND($G102&lt;Hta_2,$G102&gt;=Hba_2,Input!AD$22&lt;&gt;""),Input!$B$22&amp;";",""),IF(AND($G102&lt;Hta_3,$G102&gt;=Hba_3,Input!AD$23&lt;&gt;""),Input!$B$23&amp;";",""),IF(AND($G102&lt;Hta_4,$G102&gt;=Hba_4,Input!AD$24&lt;&gt;""),Input!$B$24&amp;";",""),IF(AND($G102&lt;Hta_5,$G102&gt;=Hba_5,Input!AD$25&lt;&gt;""),Input!$B$25&amp;";",""),IF(AND($G102&lt;Hta_6,$G102&gt;=Hba_6,Input!AD$26&lt;&gt;""),Input!$B$26&amp;";",""),IF(AND($G102&lt;Hta_7,$G102&gt;=Hba_7,Input!AD$27&lt;&gt;""),Input!$B$27&amp;";",""),IF(AND($G102&lt;Hta_8,$G102&gt;=Hba_8,Input!AD$28&lt;&gt;""),Input!$B$28&amp;";",""),IF(AND($G102&lt;Hta_9,$G102&gt;=Hba_9,Input!AD$29&lt;&gt;""),Input!$B$29&amp;";",""),IF(AND($G102&lt;Hta_10,$G102&gt;=Hba_10,Input!AD$30&lt;&gt;""),Input!$B$30&amp;";",""),IF(AND($G102&lt;Hta_11,$G102&gt;=Hba_11,Input!AD$31&lt;&gt;""),Input!$B$31&amp;";",""),IF(AND($G102&lt;Hta_12,$G102&gt;=Hba_12,Input!AD$32&lt;&gt;""),Input!$B$32&amp;";",""),IF(AND($G102&lt;Hta_13,$G102&gt;=Hba_13,Input!AD$33&lt;&gt;""),Input!$B$33&amp;";",""),IF(AND($G102&lt;Hta_14,$G102&gt;=Hba_14,Input!AD$34&lt;&gt;""),Input!$B$34&amp;";",""),IF(AND($G102&lt;Hta_15,$G102&gt;=Hba_15,Input!AD$35&lt;&gt;""),Input!$B$35&amp;";",""),IF(AND($G102&lt;Hta_16,$G102&gt;=Hba_16,Input!AD$36&lt;&gt;""),Input!$B$36&amp;";",""),IF(AND($G102&lt;Hta_17,$G102&gt;=Hba_17,Input!AD$37&lt;&gt;""),Input!$B$37&amp;";",""),IF(AND($G102&lt;Hta_18,$G102&gt;=Hba_18,Input!AD$38&lt;&gt;""),Input!$B$38&amp;";",""),IF(AND($G102&lt;Hta_19,$G102&gt;=Hba_19,Input!AD$39&lt;&gt;""),Input!$B$39&amp;";",""),IF(AND($G102&lt;Hta_20,$G102&gt;=Hba_20,Input!AD$40&lt;&gt;""),Input!$B$40&amp;";",""),IF(AND($G102&lt;Hta_21,$G102&gt;=Hba_21,Input!AD$41&lt;&gt;""),Input!$B$41&amp;";",""),IF(AND($G102&lt;Hta_22,$G102&gt;=Hba_22,Input!AD$42&lt;&gt;""),Input!$B$42&amp;";",""),IF(AND($G102&lt;Hta_23,$G102&gt;=Hba_23,Input!AD$43&lt;&gt;""),Input!$B$43&amp;";",""),IF(AND($G102&lt;Hta_24,$G102&gt;=Hba_24,Input!AD$44&lt;&gt;""),Input!$B$44&amp;";",""),IF(AND($G102&lt;Hta_25,$G102&gt;=Hba_25,Input!AD$45&lt;&gt;""),Input!$B$45&amp;";",""),IF(AND($G102&lt;Hta_26,$G102&gt;=Hba_26,Input!AD$46&lt;&gt;""),Input!$B$46&amp;";",""),IF(AND($G102&lt;Hta_27,$G102&gt;=Hba_27,Input!AD$47&lt;&gt;""),Input!$B$47&amp;";",""),IF(AND($G102&lt;Hta_28,$G102&gt;=Hba_28,Input!AD$48&lt;&gt;""),Input!$B$48&amp;";",""),IF(AND($G102&lt;Hta_29,$G102&gt;=Hba_29,Input!AD$49&lt;&gt;""),Input!$B$49&amp;";",""),IF(AND($G102&lt;Hta_30,$G102&gt;=Hba_30,Input!AD$50&lt;&gt;""),Input!$B$50&amp;";","")),"")</f>
        <v/>
      </c>
      <c r="CF102" s="25" t="str">
        <f>IFERROR(CONCATENATE(IF(AND($G102&lt;Hta_1,$G102&gt;=Hba_1,Input!AE$21&lt;&gt;""),Input!$B$21&amp;";",""),IF(AND($G102&lt;Hta_2,$G102&gt;=Hba_2,Input!AE$22&lt;&gt;""),Input!$B$22&amp;";",""),IF(AND($G102&lt;Hta_3,$G102&gt;=Hba_3,Input!AE$23&lt;&gt;""),Input!$B$23&amp;";",""),IF(AND($G102&lt;Hta_4,$G102&gt;=Hba_4,Input!AE$24&lt;&gt;""),Input!$B$24&amp;";",""),IF(AND($G102&lt;Hta_5,$G102&gt;=Hba_5,Input!AE$25&lt;&gt;""),Input!$B$25&amp;";",""),IF(AND($G102&lt;Hta_6,$G102&gt;=Hba_6,Input!AE$26&lt;&gt;""),Input!$B$26&amp;";",""),IF(AND($G102&lt;Hta_7,$G102&gt;=Hba_7,Input!AE$27&lt;&gt;""),Input!$B$27&amp;";",""),IF(AND($G102&lt;Hta_8,$G102&gt;=Hba_8,Input!AE$28&lt;&gt;""),Input!$B$28&amp;";",""),IF(AND($G102&lt;Hta_9,$G102&gt;=Hba_9,Input!AE$29&lt;&gt;""),Input!$B$29&amp;";",""),IF(AND($G102&lt;Hta_10,$G102&gt;=Hba_10,Input!AE$30&lt;&gt;""),Input!$B$30&amp;";",""),IF(AND($G102&lt;Hta_11,$G102&gt;=Hba_11,Input!AE$31&lt;&gt;""),Input!$B$31&amp;";",""),IF(AND($G102&lt;Hta_12,$G102&gt;=Hba_12,Input!AE$32&lt;&gt;""),Input!$B$32&amp;";",""),IF(AND($G102&lt;Hta_13,$G102&gt;=Hba_13,Input!AE$33&lt;&gt;""),Input!$B$33&amp;";",""),IF(AND($G102&lt;Hta_14,$G102&gt;=Hba_14,Input!AE$34&lt;&gt;""),Input!$B$34&amp;";",""),IF(AND($G102&lt;Hta_15,$G102&gt;=Hba_15,Input!AE$35&lt;&gt;""),Input!$B$35&amp;";",""),IF(AND($G102&lt;Hta_16,$G102&gt;=Hba_16,Input!AE$36&lt;&gt;""),Input!$B$36&amp;";",""),IF(AND($G102&lt;Hta_17,$G102&gt;=Hba_17,Input!AE$37&lt;&gt;""),Input!$B$37&amp;";",""),IF(AND($G102&lt;Hta_18,$G102&gt;=Hba_18,Input!AE$38&lt;&gt;""),Input!$B$38&amp;";",""),IF(AND($G102&lt;Hta_19,$G102&gt;=Hba_19,Input!AE$39&lt;&gt;""),Input!$B$39&amp;";",""),IF(AND($G102&lt;Hta_20,$G102&gt;=Hba_20,Input!AE$40&lt;&gt;""),Input!$B$40&amp;";",""),IF(AND($G102&lt;Hta_21,$G102&gt;=Hba_21,Input!AE$41&lt;&gt;""),Input!$B$41&amp;";",""),IF(AND($G102&lt;Hta_22,$G102&gt;=Hba_22,Input!AE$42&lt;&gt;""),Input!$B$42&amp;";",""),IF(AND($G102&lt;Hta_23,$G102&gt;=Hba_23,Input!AE$43&lt;&gt;""),Input!$B$43&amp;";",""),IF(AND($G102&lt;Hta_24,$G102&gt;=Hba_24,Input!AE$44&lt;&gt;""),Input!$B$44&amp;";",""),IF(AND($G102&lt;Hta_25,$G102&gt;=Hba_25,Input!AE$45&lt;&gt;""),Input!$B$45&amp;";",""),IF(AND($G102&lt;Hta_26,$G102&gt;=Hba_26,Input!AE$46&lt;&gt;""),Input!$B$46&amp;";",""),IF(AND($G102&lt;Hta_27,$G102&gt;=Hba_27,Input!AE$47&lt;&gt;""),Input!$B$47&amp;";",""),IF(AND($G102&lt;Hta_28,$G102&gt;=Hba_28,Input!AE$48&lt;&gt;""),Input!$B$48&amp;";",""),IF(AND($G102&lt;Hta_29,$G102&gt;=Hba_29,Input!AE$49&lt;&gt;""),Input!$B$49&amp;";",""),IF(AND($G102&lt;Hta_30,$G102&gt;=Hba_30,Input!AE$50&lt;&gt;""),Input!$B$50&amp;";","")),"")</f>
        <v/>
      </c>
      <c r="CG102" s="25" t="str">
        <f>IFERROR(CONCATENATE(IF(AND($G102&lt;Hta_1,$G102&gt;=Hba_1,Input!AF$21&lt;&gt;""),Input!$B$21&amp;";",""),IF(AND($G102&lt;Hta_2,$G102&gt;=Hba_2,Input!AF$22&lt;&gt;""),Input!$B$22&amp;";",""),IF(AND($G102&lt;Hta_3,$G102&gt;=Hba_3,Input!AF$23&lt;&gt;""),Input!$B$23&amp;";",""),IF(AND($G102&lt;Hta_4,$G102&gt;=Hba_4,Input!AF$24&lt;&gt;""),Input!$B$24&amp;";",""),IF(AND($G102&lt;Hta_5,$G102&gt;=Hba_5,Input!AF$25&lt;&gt;""),Input!$B$25&amp;";",""),IF(AND($G102&lt;Hta_6,$G102&gt;=Hba_6,Input!AF$26&lt;&gt;""),Input!$B$26&amp;";",""),IF(AND($G102&lt;Hta_7,$G102&gt;=Hba_7,Input!AF$27&lt;&gt;""),Input!$B$27&amp;";",""),IF(AND($G102&lt;Hta_8,$G102&gt;=Hba_8,Input!AF$28&lt;&gt;""),Input!$B$28&amp;";",""),IF(AND($G102&lt;Hta_9,$G102&gt;=Hba_9,Input!AF$29&lt;&gt;""),Input!$B$29&amp;";",""),IF(AND($G102&lt;Hta_10,$G102&gt;=Hba_10,Input!AF$30&lt;&gt;""),Input!$B$30&amp;";",""),IF(AND($G102&lt;Hta_11,$G102&gt;=Hba_11,Input!AF$31&lt;&gt;""),Input!$B$31&amp;";",""),IF(AND($G102&lt;Hta_12,$G102&gt;=Hba_12,Input!AF$32&lt;&gt;""),Input!$B$32&amp;";",""),IF(AND($G102&lt;Hta_13,$G102&gt;=Hba_13,Input!AF$33&lt;&gt;""),Input!$B$33&amp;";",""),IF(AND($G102&lt;Hta_14,$G102&gt;=Hba_14,Input!AF$34&lt;&gt;""),Input!$B$34&amp;";",""),IF(AND($G102&lt;Hta_15,$G102&gt;=Hba_15,Input!AF$35&lt;&gt;""),Input!$B$35&amp;";",""),IF(AND($G102&lt;Hta_16,$G102&gt;=Hba_16,Input!AF$36&lt;&gt;""),Input!$B$36&amp;";",""),IF(AND($G102&lt;Hta_17,$G102&gt;=Hba_17,Input!AF$37&lt;&gt;""),Input!$B$37&amp;";",""),IF(AND($G102&lt;Hta_18,$G102&gt;=Hba_18,Input!AF$38&lt;&gt;""),Input!$B$38&amp;";",""),IF(AND($G102&lt;Hta_19,$G102&gt;=Hba_19,Input!AF$39&lt;&gt;""),Input!$B$39&amp;";",""),IF(AND($G102&lt;Hta_20,$G102&gt;=Hba_20,Input!AF$40&lt;&gt;""),Input!$B$40&amp;";",""),IF(AND($G102&lt;Hta_21,$G102&gt;=Hba_21,Input!AF$41&lt;&gt;""),Input!$B$41&amp;";",""),IF(AND($G102&lt;Hta_22,$G102&gt;=Hba_22,Input!AF$42&lt;&gt;""),Input!$B$42&amp;";",""),IF(AND($G102&lt;Hta_23,$G102&gt;=Hba_23,Input!AF$43&lt;&gt;""),Input!$B$43&amp;";",""),IF(AND($G102&lt;Hta_24,$G102&gt;=Hba_24,Input!AF$44&lt;&gt;""),Input!$B$44&amp;";",""),IF(AND($G102&lt;Hta_25,$G102&gt;=Hba_25,Input!AF$45&lt;&gt;""),Input!$B$45&amp;";",""),IF(AND($G102&lt;Hta_26,$G102&gt;=Hba_26,Input!AF$46&lt;&gt;""),Input!$B$46&amp;";",""),IF(AND($G102&lt;Hta_27,$G102&gt;=Hba_27,Input!AF$47&lt;&gt;""),Input!$B$47&amp;";",""),IF(AND($G102&lt;Hta_28,$G102&gt;=Hba_28,Input!AF$48&lt;&gt;""),Input!$B$48&amp;";",""),IF(AND($G102&lt;Hta_29,$G102&gt;=Hba_29,Input!AF$49&lt;&gt;""),Input!$B$49&amp;";",""),IF(AND($G102&lt;Hta_30,$G102&gt;=Hba_30,Input!AF$50&lt;&gt;""),Input!$B$50&amp;";","")),"")</f>
        <v/>
      </c>
      <c r="CH102" s="25" t="str">
        <f>IFERROR(CONCATENATE(IF(AND($G102&lt;Hta_1,$G102&gt;=Hba_1,Input!AG$21&lt;&gt;""),Input!$B$21&amp;";",""),IF(AND($G102&lt;Hta_2,$G102&gt;=Hba_2,Input!AG$22&lt;&gt;""),Input!$B$22&amp;";",""),IF(AND($G102&lt;Hta_3,$G102&gt;=Hba_3,Input!AG$23&lt;&gt;""),Input!$B$23&amp;";",""),IF(AND($G102&lt;Hta_4,$G102&gt;=Hba_4,Input!AG$24&lt;&gt;""),Input!$B$24&amp;";",""),IF(AND($G102&lt;Hta_5,$G102&gt;=Hba_5,Input!AG$25&lt;&gt;""),Input!$B$25&amp;";",""),IF(AND($G102&lt;Hta_6,$G102&gt;=Hba_6,Input!AG$26&lt;&gt;""),Input!$B$26&amp;";",""),IF(AND($G102&lt;Hta_7,$G102&gt;=Hba_7,Input!AG$27&lt;&gt;""),Input!$B$27&amp;";",""),IF(AND($G102&lt;Hta_8,$G102&gt;=Hba_8,Input!AG$28&lt;&gt;""),Input!$B$28&amp;";",""),IF(AND($G102&lt;Hta_9,$G102&gt;=Hba_9,Input!AG$29&lt;&gt;""),Input!$B$29&amp;";",""),IF(AND($G102&lt;Hta_10,$G102&gt;=Hba_10,Input!AG$30&lt;&gt;""),Input!$B$30&amp;";",""),IF(AND($G102&lt;Hta_11,$G102&gt;=Hba_11,Input!AG$31&lt;&gt;""),Input!$B$31&amp;";",""),IF(AND($G102&lt;Hta_12,$G102&gt;=Hba_12,Input!AG$32&lt;&gt;""),Input!$B$32&amp;";",""),IF(AND($G102&lt;Hta_13,$G102&gt;=Hba_13,Input!AG$33&lt;&gt;""),Input!$B$33&amp;";",""),IF(AND($G102&lt;Hta_14,$G102&gt;=Hba_14,Input!AG$34&lt;&gt;""),Input!$B$34&amp;";",""),IF(AND($G102&lt;Hta_15,$G102&gt;=Hba_15,Input!AG$35&lt;&gt;""),Input!$B$35&amp;";",""),IF(AND($G102&lt;Hta_16,$G102&gt;=Hba_16,Input!AG$36&lt;&gt;""),Input!$B$36&amp;";",""),IF(AND($G102&lt;Hta_17,$G102&gt;=Hba_17,Input!AG$37&lt;&gt;""),Input!$B$37&amp;";",""),IF(AND($G102&lt;Hta_18,$G102&gt;=Hba_18,Input!AG$38&lt;&gt;""),Input!$B$38&amp;";",""),IF(AND($G102&lt;Hta_19,$G102&gt;=Hba_19,Input!AG$39&lt;&gt;""),Input!$B$39&amp;";",""),IF(AND($G102&lt;Hta_20,$G102&gt;=Hba_20,Input!AG$40&lt;&gt;""),Input!$B$40&amp;";",""),IF(AND($G102&lt;Hta_21,$G102&gt;=Hba_21,Input!AG$41&lt;&gt;""),Input!$B$41&amp;";",""),IF(AND($G102&lt;Hta_22,$G102&gt;=Hba_22,Input!AG$42&lt;&gt;""),Input!$B$42&amp;";",""),IF(AND($G102&lt;Hta_23,$G102&gt;=Hba_23,Input!AG$43&lt;&gt;""),Input!$B$43&amp;";",""),IF(AND($G102&lt;Hta_24,$G102&gt;=Hba_24,Input!AG$44&lt;&gt;""),Input!$B$44&amp;";",""),IF(AND($G102&lt;Hta_25,$G102&gt;=Hba_25,Input!AG$45&lt;&gt;""),Input!$B$45&amp;";",""),IF(AND($G102&lt;Hta_26,$G102&gt;=Hba_26,Input!AG$46&lt;&gt;""),Input!$B$46&amp;";",""),IF(AND($G102&lt;Hta_27,$G102&gt;=Hba_27,Input!AG$47&lt;&gt;""),Input!$B$47&amp;";",""),IF(AND($G102&lt;Hta_28,$G102&gt;=Hba_28,Input!AG$48&lt;&gt;""),Input!$B$48&amp;";",""),IF(AND($G102&lt;Hta_29,$G102&gt;=Hba_29,Input!AG$49&lt;&gt;""),Input!$B$49&amp;";",""),IF(AND($G102&lt;Hta_30,$G102&gt;=Hba_30,Input!AG$50&lt;&gt;""),Input!$B$50&amp;";","")),"")</f>
        <v/>
      </c>
      <c r="CI102" s="25" t="str">
        <f>IFERROR(CONCATENATE(IF(AND($G102&lt;Hta_1,$G102&gt;=Hba_1,Input!AH$21&lt;&gt;""),Input!$B$21&amp;";",""),IF(AND($G102&lt;Hta_2,$G102&gt;=Hba_2,Input!AH$22&lt;&gt;""),Input!$B$22&amp;";",""),IF(AND($G102&lt;Hta_3,$G102&gt;=Hba_3,Input!AH$23&lt;&gt;""),Input!$B$23&amp;";",""),IF(AND($G102&lt;Hta_4,$G102&gt;=Hba_4,Input!AH$24&lt;&gt;""),Input!$B$24&amp;";",""),IF(AND($G102&lt;Hta_5,$G102&gt;=Hba_5,Input!AH$25&lt;&gt;""),Input!$B$25&amp;";",""),IF(AND($G102&lt;Hta_6,$G102&gt;=Hba_6,Input!AH$26&lt;&gt;""),Input!$B$26&amp;";",""),IF(AND($G102&lt;Hta_7,$G102&gt;=Hba_7,Input!AH$27&lt;&gt;""),Input!$B$27&amp;";",""),IF(AND($G102&lt;Hta_8,$G102&gt;=Hba_8,Input!AH$28&lt;&gt;""),Input!$B$28&amp;";",""),IF(AND($G102&lt;Hta_9,$G102&gt;=Hba_9,Input!AH$29&lt;&gt;""),Input!$B$29&amp;";",""),IF(AND($G102&lt;Hta_10,$G102&gt;=Hba_10,Input!AH$30&lt;&gt;""),Input!$B$30&amp;";",""),IF(AND($G102&lt;Hta_11,$G102&gt;=Hba_11,Input!AH$31&lt;&gt;""),Input!$B$31&amp;";",""),IF(AND($G102&lt;Hta_12,$G102&gt;=Hba_12,Input!AH$32&lt;&gt;""),Input!$B$32&amp;";",""),IF(AND($G102&lt;Hta_13,$G102&gt;=Hba_13,Input!AH$33&lt;&gt;""),Input!$B$33&amp;";",""),IF(AND($G102&lt;Hta_14,$G102&gt;=Hba_14,Input!AH$34&lt;&gt;""),Input!$B$34&amp;";",""),IF(AND($G102&lt;Hta_15,$G102&gt;=Hba_15,Input!AH$35&lt;&gt;""),Input!$B$35&amp;";",""),IF(AND($G102&lt;Hta_16,$G102&gt;=Hba_16,Input!AH$36&lt;&gt;""),Input!$B$36&amp;";",""),IF(AND($G102&lt;Hta_17,$G102&gt;=Hba_17,Input!AH$37&lt;&gt;""),Input!$B$37&amp;";",""),IF(AND($G102&lt;Hta_18,$G102&gt;=Hba_18,Input!AH$38&lt;&gt;""),Input!$B$38&amp;";",""),IF(AND($G102&lt;Hta_19,$G102&gt;=Hba_19,Input!AH$39&lt;&gt;""),Input!$B$39&amp;";",""),IF(AND($G102&lt;Hta_20,$G102&gt;=Hba_20,Input!AH$40&lt;&gt;""),Input!$B$40&amp;";",""),IF(AND($G102&lt;Hta_21,$G102&gt;=Hba_21,Input!AH$41&lt;&gt;""),Input!$B$41&amp;";",""),IF(AND($G102&lt;Hta_22,$G102&gt;=Hba_22,Input!AH$42&lt;&gt;""),Input!$B$42&amp;";",""),IF(AND($G102&lt;Hta_23,$G102&gt;=Hba_23,Input!AH$43&lt;&gt;""),Input!$B$43&amp;";",""),IF(AND($G102&lt;Hta_24,$G102&gt;=Hba_24,Input!AH$44&lt;&gt;""),Input!$B$44&amp;";",""),IF(AND($G102&lt;Hta_25,$G102&gt;=Hba_25,Input!AH$45&lt;&gt;""),Input!$B$45&amp;";",""),IF(AND($G102&lt;Hta_26,$G102&gt;=Hba_26,Input!AH$46&lt;&gt;""),Input!$B$46&amp;";",""),IF(AND($G102&lt;Hta_27,$G102&gt;=Hba_27,Input!AH$47&lt;&gt;""),Input!$B$47&amp;";",""),IF(AND($G102&lt;Hta_28,$G102&gt;=Hba_28,Input!AH$48&lt;&gt;""),Input!$B$48&amp;";",""),IF(AND($G102&lt;Hta_29,$G102&gt;=Hba_29,Input!AH$49&lt;&gt;""),Input!$B$49&amp;";",""),IF(AND($G102&lt;Hta_30,$G102&gt;=Hba_30,Input!AH$50&lt;&gt;""),Input!$B$50&amp;";","")),"")</f>
        <v/>
      </c>
      <c r="CJ102" s="25" t="str">
        <f>IFERROR(CONCATENATE(IF(AND($G102&lt;Hta_1,$G102&gt;=Hba_1,Input!AI$21&lt;&gt;""),Input!$B$21&amp;";",""),IF(AND($G102&lt;Hta_2,$G102&gt;=Hba_2,Input!AI$22&lt;&gt;""),Input!$B$22&amp;";",""),IF(AND($G102&lt;Hta_3,$G102&gt;=Hba_3,Input!AI$23&lt;&gt;""),Input!$B$23&amp;";",""),IF(AND($G102&lt;Hta_4,$G102&gt;=Hba_4,Input!AI$24&lt;&gt;""),Input!$B$24&amp;";",""),IF(AND($G102&lt;Hta_5,$G102&gt;=Hba_5,Input!AI$25&lt;&gt;""),Input!$B$25&amp;";",""),IF(AND($G102&lt;Hta_6,$G102&gt;=Hba_6,Input!AI$26&lt;&gt;""),Input!$B$26&amp;";",""),IF(AND($G102&lt;Hta_7,$G102&gt;=Hba_7,Input!AI$27&lt;&gt;""),Input!$B$27&amp;";",""),IF(AND($G102&lt;Hta_8,$G102&gt;=Hba_8,Input!AI$28&lt;&gt;""),Input!$B$28&amp;";",""),IF(AND($G102&lt;Hta_9,$G102&gt;=Hba_9,Input!AI$29&lt;&gt;""),Input!$B$29&amp;";",""),IF(AND($G102&lt;Hta_10,$G102&gt;=Hba_10,Input!AI$30&lt;&gt;""),Input!$B$30&amp;";",""),IF(AND($G102&lt;Hta_11,$G102&gt;=Hba_11,Input!AI$31&lt;&gt;""),Input!$B$31&amp;";",""),IF(AND($G102&lt;Hta_12,$G102&gt;=Hba_12,Input!AI$32&lt;&gt;""),Input!$B$32&amp;";",""),IF(AND($G102&lt;Hta_13,$G102&gt;=Hba_13,Input!AI$33&lt;&gt;""),Input!$B$33&amp;";",""),IF(AND($G102&lt;Hta_14,$G102&gt;=Hba_14,Input!AI$34&lt;&gt;""),Input!$B$34&amp;";",""),IF(AND($G102&lt;Hta_15,$G102&gt;=Hba_15,Input!AI$35&lt;&gt;""),Input!$B$35&amp;";",""),IF(AND($G102&lt;Hta_16,$G102&gt;=Hba_16,Input!AI$36&lt;&gt;""),Input!$B$36&amp;";",""),IF(AND($G102&lt;Hta_17,$G102&gt;=Hba_17,Input!AI$37&lt;&gt;""),Input!$B$37&amp;";",""),IF(AND($G102&lt;Hta_18,$G102&gt;=Hba_18,Input!AI$38&lt;&gt;""),Input!$B$38&amp;";",""),IF(AND($G102&lt;Hta_19,$G102&gt;=Hba_19,Input!AI$39&lt;&gt;""),Input!$B$39&amp;";",""),IF(AND($G102&lt;Hta_20,$G102&gt;=Hba_20,Input!AI$40&lt;&gt;""),Input!$B$40&amp;";",""),IF(AND($G102&lt;Hta_21,$G102&gt;=Hba_21,Input!AI$41&lt;&gt;""),Input!$B$41&amp;";",""),IF(AND($G102&lt;Hta_22,$G102&gt;=Hba_22,Input!AI$42&lt;&gt;""),Input!$B$42&amp;";",""),IF(AND($G102&lt;Hta_23,$G102&gt;=Hba_23,Input!AI$43&lt;&gt;""),Input!$B$43&amp;";",""),IF(AND($G102&lt;Hta_24,$G102&gt;=Hba_24,Input!AI$44&lt;&gt;""),Input!$B$44&amp;";",""),IF(AND($G102&lt;Hta_25,$G102&gt;=Hba_25,Input!AI$45&lt;&gt;""),Input!$B$45&amp;";",""),IF(AND($G102&lt;Hta_26,$G102&gt;=Hba_26,Input!AI$46&lt;&gt;""),Input!$B$46&amp;";",""),IF(AND($G102&lt;Hta_27,$G102&gt;=Hba_27,Input!AI$47&lt;&gt;""),Input!$B$47&amp;";",""),IF(AND($G102&lt;Hta_28,$G102&gt;=Hba_28,Input!AI$48&lt;&gt;""),Input!$B$48&amp;";",""),IF(AND($G102&lt;Hta_29,$G102&gt;=Hba_29,Input!AI$49&lt;&gt;""),Input!$B$49&amp;";",""),IF(AND($G102&lt;Hta_30,$G102&gt;=Hba_30,Input!AI$50&lt;&gt;""),Input!$B$50&amp;";","")),"")</f>
        <v/>
      </c>
      <c r="CK102" s="25" t="str">
        <f>IFERROR(CONCATENATE(IF(AND($G102&lt;Hta_1,$G102&gt;=Hba_1,Input!AJ$21&lt;&gt;""),Input!$B$21&amp;";",""),IF(AND($G102&lt;Hta_2,$G102&gt;=Hba_2,Input!AJ$22&lt;&gt;""),Input!$B$22&amp;";",""),IF(AND($G102&lt;Hta_3,$G102&gt;=Hba_3,Input!AJ$23&lt;&gt;""),Input!$B$23&amp;";",""),IF(AND($G102&lt;Hta_4,$G102&gt;=Hba_4,Input!AJ$24&lt;&gt;""),Input!$B$24&amp;";",""),IF(AND($G102&lt;Hta_5,$G102&gt;=Hba_5,Input!AJ$25&lt;&gt;""),Input!$B$25&amp;";",""),IF(AND($G102&lt;Hta_6,$G102&gt;=Hba_6,Input!AJ$26&lt;&gt;""),Input!$B$26&amp;";",""),IF(AND($G102&lt;Hta_7,$G102&gt;=Hba_7,Input!AJ$27&lt;&gt;""),Input!$B$27&amp;";",""),IF(AND($G102&lt;Hta_8,$G102&gt;=Hba_8,Input!AJ$28&lt;&gt;""),Input!$B$28&amp;";",""),IF(AND($G102&lt;Hta_9,$G102&gt;=Hba_9,Input!AJ$29&lt;&gt;""),Input!$B$29&amp;";",""),IF(AND($G102&lt;Hta_10,$G102&gt;=Hba_10,Input!AJ$30&lt;&gt;""),Input!$B$30&amp;";",""),IF(AND($G102&lt;Hta_11,$G102&gt;=Hba_11,Input!AJ$31&lt;&gt;""),Input!$B$31&amp;";",""),IF(AND($G102&lt;Hta_12,$G102&gt;=Hba_12,Input!AJ$32&lt;&gt;""),Input!$B$32&amp;";",""),IF(AND($G102&lt;Hta_13,$G102&gt;=Hba_13,Input!AJ$33&lt;&gt;""),Input!$B$33&amp;";",""),IF(AND($G102&lt;Hta_14,$G102&gt;=Hba_14,Input!AJ$34&lt;&gt;""),Input!$B$34&amp;";",""),IF(AND($G102&lt;Hta_15,$G102&gt;=Hba_15,Input!AJ$35&lt;&gt;""),Input!$B$35&amp;";",""),IF(AND($G102&lt;Hta_16,$G102&gt;=Hba_16,Input!AJ$36&lt;&gt;""),Input!$B$36&amp;";",""),IF(AND($G102&lt;Hta_17,$G102&gt;=Hba_17,Input!AJ$37&lt;&gt;""),Input!$B$37&amp;";",""),IF(AND($G102&lt;Hta_18,$G102&gt;=Hba_18,Input!AJ$38&lt;&gt;""),Input!$B$38&amp;";",""),IF(AND($G102&lt;Hta_19,$G102&gt;=Hba_19,Input!AJ$39&lt;&gt;""),Input!$B$39&amp;";",""),IF(AND($G102&lt;Hta_20,$G102&gt;=Hba_20,Input!AJ$40&lt;&gt;""),Input!$B$40&amp;";",""),IF(AND($G102&lt;Hta_21,$G102&gt;=Hba_21,Input!AJ$41&lt;&gt;""),Input!$B$41&amp;";",""),IF(AND($G102&lt;Hta_22,$G102&gt;=Hba_22,Input!AJ$42&lt;&gt;""),Input!$B$42&amp;";",""),IF(AND($G102&lt;Hta_23,$G102&gt;=Hba_23,Input!AJ$43&lt;&gt;""),Input!$B$43&amp;";",""),IF(AND($G102&lt;Hta_24,$G102&gt;=Hba_24,Input!AJ$44&lt;&gt;""),Input!$B$44&amp;";",""),IF(AND($G102&lt;Hta_25,$G102&gt;=Hba_25,Input!AJ$45&lt;&gt;""),Input!$B$45&amp;";",""),IF(AND($G102&lt;Hta_26,$G102&gt;=Hba_26,Input!AJ$46&lt;&gt;""),Input!$B$46&amp;";",""),IF(AND($G102&lt;Hta_27,$G102&gt;=Hba_27,Input!AJ$47&lt;&gt;""),Input!$B$47&amp;";",""),IF(AND($G102&lt;Hta_28,$G102&gt;=Hba_28,Input!AJ$48&lt;&gt;""),Input!$B$48&amp;";",""),IF(AND($G102&lt;Hta_29,$G102&gt;=Hba_29,Input!AJ$49&lt;&gt;""),Input!$B$49&amp;";",""),IF(AND($G102&lt;Hta_30,$G102&gt;=Hba_30,Input!AJ$50&lt;&gt;""),Input!$B$50&amp;";","")),"")</f>
        <v/>
      </c>
      <c r="CL102" s="25" t="str">
        <f>IFERROR(CONCATENATE(IF(AND($G102&lt;Hta_1,$G102&gt;=Hba_1,Input!AK$21&lt;&gt;""),Input!$B$21&amp;";",""),IF(AND($G102&lt;Hta_2,$G102&gt;=Hba_2,Input!AK$22&lt;&gt;""),Input!$B$22&amp;";",""),IF(AND($G102&lt;Hta_3,$G102&gt;=Hba_3,Input!AK$23&lt;&gt;""),Input!$B$23&amp;";",""),IF(AND($G102&lt;Hta_4,$G102&gt;=Hba_4,Input!AK$24&lt;&gt;""),Input!$B$24&amp;";",""),IF(AND($G102&lt;Hta_5,$G102&gt;=Hba_5,Input!AK$25&lt;&gt;""),Input!$B$25&amp;";",""),IF(AND($G102&lt;Hta_6,$G102&gt;=Hba_6,Input!AK$26&lt;&gt;""),Input!$B$26&amp;";",""),IF(AND($G102&lt;Hta_7,$G102&gt;=Hba_7,Input!AK$27&lt;&gt;""),Input!$B$27&amp;";",""),IF(AND($G102&lt;Hta_8,$G102&gt;=Hba_8,Input!AK$28&lt;&gt;""),Input!$B$28&amp;";",""),IF(AND($G102&lt;Hta_9,$G102&gt;=Hba_9,Input!AK$29&lt;&gt;""),Input!$B$29&amp;";",""),IF(AND($G102&lt;Hta_10,$G102&gt;=Hba_10,Input!AK$30&lt;&gt;""),Input!$B$30&amp;";",""),IF(AND($G102&lt;Hta_11,$G102&gt;=Hba_11,Input!AK$31&lt;&gt;""),Input!$B$31&amp;";",""),IF(AND($G102&lt;Hta_12,$G102&gt;=Hba_12,Input!AK$32&lt;&gt;""),Input!$B$32&amp;";",""),IF(AND($G102&lt;Hta_13,$G102&gt;=Hba_13,Input!AK$33&lt;&gt;""),Input!$B$33&amp;";",""),IF(AND($G102&lt;Hta_14,$G102&gt;=Hba_14,Input!AK$34&lt;&gt;""),Input!$B$34&amp;";",""),IF(AND($G102&lt;Hta_15,$G102&gt;=Hba_15,Input!AK$35&lt;&gt;""),Input!$B$35&amp;";",""),IF(AND($G102&lt;Hta_16,$G102&gt;=Hba_16,Input!AK$36&lt;&gt;""),Input!$B$36&amp;";",""),IF(AND($G102&lt;Hta_17,$G102&gt;=Hba_17,Input!AK$37&lt;&gt;""),Input!$B$37&amp;";",""),IF(AND($G102&lt;Hta_18,$G102&gt;=Hba_18,Input!AK$38&lt;&gt;""),Input!$B$38&amp;";",""),IF(AND($G102&lt;Hta_19,$G102&gt;=Hba_19,Input!AK$39&lt;&gt;""),Input!$B$39&amp;";",""),IF(AND($G102&lt;Hta_20,$G102&gt;=Hba_20,Input!AK$40&lt;&gt;""),Input!$B$40&amp;";",""),IF(AND($G102&lt;Hta_21,$G102&gt;=Hba_21,Input!AK$41&lt;&gt;""),Input!$B$41&amp;";",""),IF(AND($G102&lt;Hta_22,$G102&gt;=Hba_22,Input!AK$42&lt;&gt;""),Input!$B$42&amp;";",""),IF(AND($G102&lt;Hta_23,$G102&gt;=Hba_23,Input!AK$43&lt;&gt;""),Input!$B$43&amp;";",""),IF(AND($G102&lt;Hta_24,$G102&gt;=Hba_24,Input!AK$44&lt;&gt;""),Input!$B$44&amp;";",""),IF(AND($G102&lt;Hta_25,$G102&gt;=Hba_25,Input!AK$45&lt;&gt;""),Input!$B$45&amp;";",""),IF(AND($G102&lt;Hta_26,$G102&gt;=Hba_26,Input!AK$46&lt;&gt;""),Input!$B$46&amp;";",""),IF(AND($G102&lt;Hta_27,$G102&gt;=Hba_27,Input!AK$47&lt;&gt;""),Input!$B$47&amp;";",""),IF(AND($G102&lt;Hta_28,$G102&gt;=Hba_28,Input!AK$48&lt;&gt;""),Input!$B$48&amp;";",""),IF(AND($G102&lt;Hta_29,$G102&gt;=Hba_29,Input!AK$49&lt;&gt;""),Input!$B$49&amp;";",""),IF(AND($G102&lt;Hta_30,$G102&gt;=Hba_30,Input!AK$50&lt;&gt;""),Input!$B$50&amp;";","")),"")</f>
        <v/>
      </c>
      <c r="CM102" s="25" t="str">
        <f>IFERROR(CONCATENATE(IF(AND($G102&lt;Hta_1,$G102&gt;=Hba_1,Input!AL$21&lt;&gt;""),Input!$B$21&amp;";",""),IF(AND($G102&lt;Hta_2,$G102&gt;=Hba_2,Input!AL$22&lt;&gt;""),Input!$B$22&amp;";",""),IF(AND($G102&lt;Hta_3,$G102&gt;=Hba_3,Input!AL$23&lt;&gt;""),Input!$B$23&amp;";",""),IF(AND($G102&lt;Hta_4,$G102&gt;=Hba_4,Input!AL$24&lt;&gt;""),Input!$B$24&amp;";",""),IF(AND($G102&lt;Hta_5,$G102&gt;=Hba_5,Input!AL$25&lt;&gt;""),Input!$B$25&amp;";",""),IF(AND($G102&lt;Hta_6,$G102&gt;=Hba_6,Input!AL$26&lt;&gt;""),Input!$B$26&amp;";",""),IF(AND($G102&lt;Hta_7,$G102&gt;=Hba_7,Input!AL$27&lt;&gt;""),Input!$B$27&amp;";",""),IF(AND($G102&lt;Hta_8,$G102&gt;=Hba_8,Input!AL$28&lt;&gt;""),Input!$B$28&amp;";",""),IF(AND($G102&lt;Hta_9,$G102&gt;=Hba_9,Input!AL$29&lt;&gt;""),Input!$B$29&amp;";",""),IF(AND($G102&lt;Hta_10,$G102&gt;=Hba_10,Input!AL$30&lt;&gt;""),Input!$B$30&amp;";",""),IF(AND($G102&lt;Hta_11,$G102&gt;=Hba_11,Input!AL$31&lt;&gt;""),Input!$B$31&amp;";",""),IF(AND($G102&lt;Hta_12,$G102&gt;=Hba_12,Input!AL$32&lt;&gt;""),Input!$B$32&amp;";",""),IF(AND($G102&lt;Hta_13,$G102&gt;=Hba_13,Input!AL$33&lt;&gt;""),Input!$B$33&amp;";",""),IF(AND($G102&lt;Hta_14,$G102&gt;=Hba_14,Input!AL$34&lt;&gt;""),Input!$B$34&amp;";",""),IF(AND($G102&lt;Hta_15,$G102&gt;=Hba_15,Input!AL$35&lt;&gt;""),Input!$B$35&amp;";",""),IF(AND($G102&lt;Hta_16,$G102&gt;=Hba_16,Input!AL$36&lt;&gt;""),Input!$B$36&amp;";",""),IF(AND($G102&lt;Hta_17,$G102&gt;=Hba_17,Input!AL$37&lt;&gt;""),Input!$B$37&amp;";",""),IF(AND($G102&lt;Hta_18,$G102&gt;=Hba_18,Input!AL$38&lt;&gt;""),Input!$B$38&amp;";",""),IF(AND($G102&lt;Hta_19,$G102&gt;=Hba_19,Input!AL$39&lt;&gt;""),Input!$B$39&amp;";",""),IF(AND($G102&lt;Hta_20,$G102&gt;=Hba_20,Input!AL$40&lt;&gt;""),Input!$B$40&amp;";",""),IF(AND($G102&lt;Hta_21,$G102&gt;=Hba_21,Input!AL$41&lt;&gt;""),Input!$B$41&amp;";",""),IF(AND($G102&lt;Hta_22,$G102&gt;=Hba_22,Input!AL$42&lt;&gt;""),Input!$B$42&amp;";",""),IF(AND($G102&lt;Hta_23,$G102&gt;=Hba_23,Input!AL$43&lt;&gt;""),Input!$B$43&amp;";",""),IF(AND($G102&lt;Hta_24,$G102&gt;=Hba_24,Input!AL$44&lt;&gt;""),Input!$B$44&amp;";",""),IF(AND($G102&lt;Hta_25,$G102&gt;=Hba_25,Input!AL$45&lt;&gt;""),Input!$B$45&amp;";",""),IF(AND($G102&lt;Hta_26,$G102&gt;=Hba_26,Input!AL$46&lt;&gt;""),Input!$B$46&amp;";",""),IF(AND($G102&lt;Hta_27,$G102&gt;=Hba_27,Input!AL$47&lt;&gt;""),Input!$B$47&amp;";",""),IF(AND($G102&lt;Hta_28,$G102&gt;=Hba_28,Input!AL$48&lt;&gt;""),Input!$B$48&amp;";",""),IF(AND($G102&lt;Hta_29,$G102&gt;=Hba_29,Input!AL$49&lt;&gt;""),Input!$B$49&amp;";",""),IF(AND($G102&lt;Hta_30,$G102&gt;=Hba_30,Input!AL$50&lt;&gt;""),Input!$B$50&amp;";","")),"")</f>
        <v/>
      </c>
      <c r="CN102" s="59" t="str">
        <f t="shared" si="16"/>
        <v/>
      </c>
      <c r="CO102" s="791"/>
      <c r="CP102" s="792"/>
      <c r="CQ102" s="793"/>
      <c r="CR102" s="791"/>
      <c r="CS102" s="792"/>
      <c r="CT102" s="793"/>
      <c r="CU102" s="791" t="str">
        <f t="shared" si="17"/>
        <v/>
      </c>
      <c r="CV102" s="792"/>
      <c r="CW102" s="807"/>
      <c r="CX102" s="808"/>
      <c r="CY102" s="730"/>
      <c r="CZ102" s="809"/>
      <c r="DA102" s="733"/>
      <c r="DB102" s="734"/>
      <c r="DC102" s="735"/>
      <c r="DD102" s="729" t="str">
        <f t="shared" si="18"/>
        <v/>
      </c>
      <c r="DE102" s="730"/>
      <c r="DF102" s="731"/>
      <c r="DG102" s="55"/>
      <c r="DH102" s="56"/>
      <c r="DI102" s="56"/>
      <c r="DJ102" s="56"/>
      <c r="DK102" s="56"/>
      <c r="DL102" s="56"/>
      <c r="DM102" s="56"/>
      <c r="DN102" s="56"/>
      <c r="DO102" s="56"/>
      <c r="DP102" s="56"/>
      <c r="DQ102" s="58"/>
      <c r="DR102" s="58"/>
      <c r="DS102" s="58"/>
      <c r="DT102" s="58"/>
      <c r="DU102" s="58"/>
      <c r="DV102" s="58"/>
      <c r="DW102" s="58"/>
      <c r="DX102" s="58"/>
      <c r="DY102" s="58"/>
      <c r="DZ102" s="58"/>
      <c r="EA102" s="58"/>
      <c r="EB102" s="58"/>
      <c r="EC102" s="58"/>
      <c r="ED102" s="58"/>
      <c r="EE102" s="58"/>
      <c r="EF102" s="58"/>
      <c r="EG102" s="58"/>
      <c r="EH102" s="58"/>
      <c r="EI102" s="58"/>
      <c r="EJ102" s="58"/>
      <c r="EK102" s="58"/>
      <c r="EL102" s="134"/>
      <c r="EM102" s="134"/>
      <c r="EN102" s="134"/>
      <c r="EO102" s="134"/>
      <c r="EP102" s="134"/>
      <c r="EQ102" s="134"/>
      <c r="ER102" s="134"/>
      <c r="ES102" s="134"/>
      <c r="ET102" s="134"/>
      <c r="EU102" s="134"/>
      <c r="EV102" s="134"/>
      <c r="EW102" s="134"/>
      <c r="EX102" s="134"/>
      <c r="EY102" s="134"/>
      <c r="EZ102" s="134"/>
      <c r="FA102" s="134"/>
      <c r="FB102" s="134"/>
      <c r="FC102" s="134"/>
      <c r="FD102" s="134"/>
      <c r="FE102" s="134"/>
      <c r="FF102" s="134"/>
      <c r="FG102" s="134"/>
      <c r="FH102" s="134"/>
      <c r="FI102" s="134"/>
      <c r="FJ102" s="134"/>
      <c r="FK102" s="134"/>
      <c r="FL102" s="134"/>
      <c r="FM102" s="134"/>
      <c r="FN102" s="134"/>
      <c r="FO102" s="134"/>
      <c r="FQ102" s="124"/>
      <c r="FR102" s="122"/>
      <c r="FS102" s="120"/>
      <c r="FT102" s="119"/>
    </row>
    <row r="103" spans="2:176" ht="15.75" hidden="1" thickBot="1" x14ac:dyDescent="0.3">
      <c r="B103" s="62" t="b">
        <f>IF(OR(AND(G103&gt;='Geometry 2'!$AK$5,G103&lt;'Geometry 2'!$AL$5),AND(G103&gt;='Geometry 2'!$AK$6,G103&lt;'Geometry 2'!$AL$6),AND(G103&gt;='Geometry 2'!$AK$7,G103&lt;'Geometry 2'!$AL$7),AND(G103&gt;='Geometry 2'!$AK$8,G103&lt;'Geometry 2'!$AL$8),AND(G103&gt;='Geometry 2'!$AK$9,G103&lt;'Geometry 2'!$AL$9),AND(G103&gt;='Geometry 2'!$AK$10,G103&lt;'Geometry 2'!$AL$10),AND(G103&gt;='Geometry 2'!$AK$11,G103&lt;'Geometry 2'!$AL$11),AND(G103&gt;='Geometry 2'!$AK$12,G103&lt;'Geometry 2'!$AL$12),AND(G103&gt;='Geometry 2'!$AK$13,G103&lt;'Geometry 2'!$AL$13),AND(G103&gt;='Geometry 2'!$AK$14,G103&lt;'Geometry 2'!$AL$14)),TRUE,FALSE)</f>
        <v>0</v>
      </c>
      <c r="C103" s="4" t="str">
        <f t="shared" si="13"/>
        <v/>
      </c>
      <c r="D103" s="766" t="str">
        <f t="shared" si="14"/>
        <v/>
      </c>
      <c r="E103" s="767"/>
      <c r="F103" s="17" t="str">
        <f t="shared" si="12"/>
        <v/>
      </c>
      <c r="G103" s="768" t="str">
        <f>IF(D103="","",MAX(0,G102-IF(inc="n/a",999,inc),MAX(IF(G102&lt;=Hta_1,0,Hta_1),IF(G102&lt;=Hta_2,0,Hta_2),IF(G102&lt;=Hta_3,0,Hta_3),IF(G102&lt;=Hta_4,0,Hta_4),IF(G102&lt;=Hta_5,0,Hta_5),IF(G102&lt;=Hta_6,0,Hta_6),IF(G102&lt;=Hta_7,0,Hta_7),IF(G102&lt;=Hta_8,0,Hta_8),IF(G102&lt;=Hta_9,0,Hta_9),IF(G102&lt;=Hta_10,0,Hta_10),IF(G102&lt;=Hta_11,0,Hta_11),IF(G102&lt;=Hta_12,0,Hta_12),IF(G102&lt;=Hta_13,0,Hta_13),IF(G102&lt;=Hta_14,0,Hta_14),IF(G102&lt;=Hta_15,0,Hta_15),IF(G102&lt;=Hta_16,0,Hta_16),IF(G102&lt;=Hta_17,0,Hta_17),IF(G102&lt;=Hta_18,0,Hta_18),IF(G102&lt;=Hta_19,0,Hta_19),IF(G102&lt;=Hta_20,0,Hta_20),IF(G102&lt;=Hta_21,0,Hta_21),IF(G102&lt;=Hta_22,0,Hta_22),IF(G102&lt;=Hta_23,0,Hta_23),IF(G102&lt;=Hta_24,0,Hta_24),IF(G102&lt;=Hta_25,0,Hta_25),IF(G102&lt;=Hta_26,0,Hta_26),IF(G102&lt;=Hta_27,0,Hta_27),IF(G102&lt;=Hta_28,0,Hta_28),IF(G102&lt;=Hta_29,0,Hta_29),IF(G102&lt;=Hta_30,0,Hta_30)),MAX(IF(G102&lt;=Hta_1-0.25,0,Hta_1-0.25),IF(G102&lt;=Hta_2-0.25,0,Hta_2-0.25),IF(G102&lt;=Hta_3-0.25,0,Hta_3-0.25),IF(G102&lt;=Hta_4-0.25,0,Hta_4-0.25),IF(G102&lt;=Hta_5-0.25,0,Hta_5-0.25),IF(G102&lt;=Hta_6-0.25,0,Hta_6-0.25),IF(G102&lt;=Hta_7-0.25,0,Hta_7-0.25),IF(G102&lt;=Hta_8-0.25,0,Hta_8-0.25),IF(G102&lt;=Hta_9-0.25,0,Hta_9-0.25),IF(G102&lt;=Hta_10-0.25,0,Hta_10-0.25),IF(G102&lt;=Hta_11-0.25,0,Hta_11-0.25),IF(G102&lt;=Hta_12-0.25,0,Hta_12-0.25),IF(G102&lt;=Hta_13-0.25,0,Hta_13-0.25),IF(G102&lt;=Hta_14-0.25,0,Hta_14-0.25),IF(G102&lt;=Hta_15-0.25,0,Hta_15-0.25),IF(G102&lt;=Hta_16-0.25,0,Hta_16-0.25),IF(G102&lt;=Hta_17-0.25,0,Hta_17-0.25),IF(G102&lt;=Hta_18-0.25,0,Hta_18-0.25),IF(G102&lt;=Hta_19-0.25,0,Hta_19-0.25),IF(G102&lt;=Hta_20-0.25,0,Hta_20-0.25),IF(G102&lt;=Hta_21-0.25,0,Hta_21-0.25),IF(G102&lt;=Hta_22-0.25,0,Hta_22-0.25),IF(G102&lt;=Hta_23-0.25,0,Hta_23-0.25),IF(G102&lt;=Hta_24-0.25,0,Hta_24-0.25),IF(G102&lt;=Hta_25-0.25,0,Hta_25-0.25),IF(G102&lt;=Hta_26-0.25,0,Hta_26-0.25),IF(G102&lt;=Hta_27-0.25,0,Hta_27-0.25),IF(G102&lt;=Hta_28-0.25,0,Hta_28-0.25),IF(G102&lt;=Hta_29-0.25,0,Hta_29-0.25),IF(G102&lt;=Hta_30-0.25,0,Hta_30-0.25)),MAX(IF(G102&lt;=Hba_1,0,Hba_1),IF(G102&lt;=Hba_2,0,Hba_2),IF(G102&lt;=Hba_3,0,Hba_3),IF(G102&lt;=Hba_4,0,Hba_4),IF(G102&lt;=Hba_5,0,Hba_5),IF(G102&lt;=Hba_6,0,Hba_6),IF(G102&lt;=Hba_7,0,Hba_7),IF(G102&lt;=Hba_8,0,Hba_8),IF(G102&lt;=Hba_9,0,Hba_9),IF(G102&lt;=Hba_10,0,Hba_10),IF(G102&lt;=Hba_11,0,Hba_11),IF(G102&lt;=Hba_12,0,Hba_12),IF(G102&lt;=Hba_13,0,Hba_13),IF(G102&lt;=Hba_14,0,Hba_14),IF(G102&lt;=Hba_15,0,Hba_15),IF(G102&lt;=Hba_16,0,Hba_16),IF(G102&lt;=Hba_17,0,Hba_17),IF(G102&lt;=Hba_18,0,Hba_18),IF(G102&lt;=Hba_19,0,Hba_19),IF(G102&lt;=Hba_20,0,Hba_20),IF(G102&lt;=Hba_21,0,Hba_21),IF(G102&lt;=Hba_22,0,Hba_22),IF(G102&lt;=Hba_23,0,Hba_23),IF(G102&lt;=Hba_24,0,Hba_24),IF(G102&lt;=Hba_25,0,Hba_25),IF(G102&lt;=Hba_26,0,Hba_26),IF(G102&lt;=Hba_27,0,Hba_27),IF(G102&lt;=Hba_28,0,Hba_28),IF(G102&lt;=Hba_29,0,Hba_29),IF(G102&lt;=Hba_30,0,Hba_30)),MAX(IF(G102&lt;=Input!$C$8,0,Input!$C$8),IF(G102&lt;=Input!$C$9,0,Input!$C$9),IF(G102&lt;=Input!$C$10,0,Input!$C$10),IF(G102&lt;=Input!$C$11,0,Input!$C$11),IF(G102&lt;=Input!$C$12,0,Input!$C$12),IF(G102&lt;=Input!$C$13,0,Input!$C$13),IF(G102&lt;=Input!$C$14,0,Input!$C$14),IF(G102&lt;=Input!$C$15,0,Input!$C$15),IF(G102&lt;=Input!$C$16,0,Input!$C$16)),MAX(IF(G102&lt;=Hba_1-0.25,0,Hba_1-0.25),IF(G102&lt;=Hba_2-0.25,0,Hba_2-0.25),IF(G102&lt;=Hba_3-0.25,0,Hba_3-0.25),IF(G102&lt;=Hba_4-0.25,0,Hba_4-0.25),IF(G102&lt;=Hba_5-0.25,0,Hba_5-0.25),IF(G102&lt;=Hba_6-0.25,0,Hba_6-0.25),IF(G102&lt;=Hba_7-0.25,0,Hba_7-0.25),IF(G102&lt;=Hba_8-0.25,0,Hba_8-0.25),IF(G102&lt;=Hba_9-0.25,0,Hba_9-0.25),IF(G102&lt;=Hba_10-0.25,0,Hba_10-0.25),IF(G102&lt;=Hba_11-0.25,0,Hba_11-0.25),IF(G102&lt;=Hba_12-0.25,0,Hba_12-0.25),IF(G102&lt;=Hba_13-0.25,0,Hba_13-0.25),IF(G102&lt;=Hba_14-0.25,0,Hba_14-0.25),IF(G102&lt;=Hba_15-0.25,0,Hba_15-0.25),IF(G102&lt;=Hba_16-0.25,0,Hba_16-0.25),IF(G102&lt;=Hba_17-0.25,0,Hba_17-0.25),IF(G102&lt;=Hba_18-0.25,0,Hba_18-0.25),IF(G102&lt;=Hba_19-0.25,0,Hba_19-0.25),IF(G102&lt;=Hba_20-0.25,0,Hba_20-0.25),IF(G102&lt;=Hba_21-0.25,0,Hba_21-0.25),IF(G102&lt;=Hba_22-0.25,0,Hba_22-0.25),IF(G102&lt;=Hba_23-0.25,0,Hba_23-0.25),IF(G102&lt;=Hba_24-0.25,0,Hba_24-0.25),IF(G102&lt;=Hba_25-0.25,0,Hba_25-0.25),IF(G102&lt;=Hba_26-0.25,0,Hba_26-0.25),IF(G102&lt;=Hba_27-0.25,0,Hba_27-0.25),IF(G102&lt;=Hba_28-0.25,0,Hba_28-0.25),IF(G102&lt;=Hba_29-0.25,0,Hba_29-0.25),IF(G102&lt;=Hba_30-0.25,0,Hba_30-0.25)),IF(G102&lt;='Macro References'!$A$38,0,'Macro References'!$A$38)))</f>
        <v/>
      </c>
      <c r="H103" s="769"/>
      <c r="I103" s="228"/>
      <c r="J103" s="228"/>
      <c r="K103" s="228"/>
      <c r="L103" s="717" t="str">
        <f t="shared" si="11"/>
        <v/>
      </c>
      <c r="M103" s="717"/>
      <c r="N103" s="717"/>
      <c r="O103" s="717"/>
      <c r="P103" s="717" t="str">
        <f>IF(OR(G103=0,G103=""),"",IF(VLOOKUP(G103,'Geometry 2'!$C$4:$AI$14,1,TRUE)=VLOOKUP(G104,'Geometry 2'!$C$4:$AI$14,1,TRUE),"",IF(VLOOKUP(G103,'Geometry 2'!$C$4:$AI$14,33,TRUE)&lt;&gt;"n/a",MIN(G103,VLOOKUP(G103,'Geometry 2'!$C$4:$AI$14,1,TRUE))-VLOOKUP(G103,'Geometry 2'!$C$4:$AI$14,33,TRUE),"check")))</f>
        <v/>
      </c>
      <c r="Q103" s="717"/>
      <c r="R103" s="717"/>
      <c r="S103" s="717"/>
      <c r="T103" s="717" t="str">
        <f>IF($G103="","",VLOOKUP($G103,'Geometry 2'!$E$4:$AH$14,11,TRUE))</f>
        <v/>
      </c>
      <c r="U103" s="717"/>
      <c r="V103" s="717"/>
      <c r="W103" s="717"/>
      <c r="X103" s="716" t="str">
        <f>IF($G103="","",VLOOKUP($G103,'Geometry 2'!$E$4:$AJ$14,19,TRUE)-12*VLOOKUP($G103,'Geometry 2'!$E$4:$AJ$14,32,TRUE)*($D103-VLOOKUP($G103,'Geometry 2'!$E$5:$AH$14,1,TRUE)))</f>
        <v/>
      </c>
      <c r="Y103" s="716"/>
      <c r="Z103" s="716"/>
      <c r="AA103" s="716"/>
      <c r="AB103" s="757" t="str">
        <f>IF($G103="","",VLOOKUP($G103,'Geometry 2'!$E$4:$AJ$14,19,TRUE)-12*VLOOKUP($G103,'Geometry 2'!$E$4:$AJ$14,32,TRUE)*($G103-VLOOKUP($G103,'Geometry 2'!$E$5:$AH$14,1,TRUE)))</f>
        <v/>
      </c>
      <c r="AC103" s="758"/>
      <c r="AD103" s="758"/>
      <c r="AE103" s="759"/>
      <c r="AF103" s="716" t="str">
        <f>IF($G103="","",VLOOKUP($G103,'Geometry 2'!$E$4:$AJ$14,19,TRUE)-12*VLOOKUP($G103,'Geometry 2'!$E$4:$AJ$14,32,TRUE)*($G103-IF($P103="",0,$P103)-VLOOKUP($G103,'Geometry 2'!$E$5:$AH$14,1,TRUE)))</f>
        <v/>
      </c>
      <c r="AG103" s="716"/>
      <c r="AH103" s="716"/>
      <c r="AI103" s="716"/>
      <c r="AJ103" s="746" t="str">
        <f>IF($G103="","",VLOOKUP($G103,'Geometry 2'!$E$4:$AH$14,23,TRUE))</f>
        <v/>
      </c>
      <c r="AK103" s="747"/>
      <c r="AL103" s="747"/>
      <c r="AM103" s="748"/>
      <c r="AN103" s="717"/>
      <c r="AO103" s="717"/>
      <c r="AP103" s="717"/>
      <c r="AQ103" s="717"/>
      <c r="AR103" s="717" t="str">
        <f>IF($G103="","",VLOOKUP($G103,'Geometry 2'!$E$4:$AH$14,27,TRUE))</f>
        <v/>
      </c>
      <c r="AS103" s="717"/>
      <c r="AT103" s="717"/>
      <c r="AU103" s="718"/>
      <c r="AV103" s="715"/>
      <c r="AW103" s="716"/>
      <c r="AX103" s="716"/>
      <c r="AZ103" s="722" t="str">
        <f t="shared" si="15"/>
        <v/>
      </c>
      <c r="BA103" s="723"/>
      <c r="BB103" s="723"/>
      <c r="BC103" s="724"/>
      <c r="BD103" s="722"/>
      <c r="BE103" s="723"/>
      <c r="BF103" s="723"/>
      <c r="BG103" s="722" t="str">
        <f t="shared" si="19"/>
        <v/>
      </c>
      <c r="BH103" s="723"/>
      <c r="BI103" s="723"/>
      <c r="BJ103" s="723"/>
      <c r="BK103" s="724"/>
      <c r="BL103" s="722"/>
      <c r="BM103" s="723"/>
      <c r="BN103" s="723"/>
      <c r="BO103" s="723"/>
      <c r="BP103" s="725"/>
      <c r="BQ103" s="725"/>
      <c r="BR103" s="722" t="str">
        <f>IF(BP103="","",IF(OR(AND(Rev="H",Calculations!$F$27=TRUE),AND(Rev&lt;&gt;"H",Calculations!$F$30=TRUE)),IF(BP103&lt;=1,"Pass","Fail"),IF(BP103&lt;=1.05,"Pass","Fail")))</f>
        <v/>
      </c>
      <c r="BS103" s="723"/>
      <c r="BT103" s="724"/>
      <c r="BU103" s="49"/>
      <c r="BV103" s="25" t="str">
        <f>IFERROR(CONCATENATE(IF(AND($G103&lt;Hta_1,$G103&gt;=Hba_1,Input!U$21&lt;&gt;""),Input!$B$21&amp;";",""),IF(AND($G103&lt;Hta_2,$G103&gt;=Hba_2,Input!U$22&lt;&gt;""),Input!$B$22&amp;";",""),IF(AND($G103&lt;Hta_3,$G103&gt;=Hba_3,Input!U$23&lt;&gt;""),Input!$B$23&amp;";",""),IF(AND($G103&lt;Hta_4,$G103&gt;=Hba_4,Input!U$24&lt;&gt;""),Input!$B$24&amp;";",""),IF(AND($G103&lt;Hta_5,$G103&gt;=Hba_5,Input!U$25&lt;&gt;""),Input!$B$25&amp;";",""),IF(AND($G103&lt;Hta_6,$G103&gt;=Hba_6,Input!U$26&lt;&gt;""),Input!$B$26&amp;";",""),IF(AND($G103&lt;Hta_7,$G103&gt;=Hba_7,Input!U$27&lt;&gt;""),Input!$B$27&amp;";",""),IF(AND($G103&lt;Hta_8,$G103&gt;=Hba_8,Input!U$28&lt;&gt;""),Input!$B$28&amp;";",""),IF(AND($G103&lt;Hta_9,$G103&gt;=Hba_9,Input!U$29&lt;&gt;""),Input!$B$29&amp;";",""),IF(AND($G103&lt;Hta_10,$G103&gt;=Hba_10,Input!U$30&lt;&gt;""),Input!$B$30&amp;";",""),IF(AND($G103&lt;Hta_11,$G103&gt;=Hba_11,Input!U$31&lt;&gt;""),Input!$B$31&amp;";",""),IF(AND($G103&lt;Hta_12,$G103&gt;=Hba_12,Input!U$32&lt;&gt;""),Input!$B$32&amp;";",""),IF(AND($G103&lt;Hta_13,$G103&gt;=Hba_13,Input!U$33&lt;&gt;""),Input!$B$33&amp;";",""),IF(AND($G103&lt;Hta_14,$G103&gt;=Hba_14,Input!U$34&lt;&gt;""),Input!$B$34&amp;";",""),IF(AND($G103&lt;Hta_15,$G103&gt;=Hba_15,Input!U$35&lt;&gt;""),Input!$B$35&amp;";",""),IF(AND($G103&lt;Hta_16,$G103&gt;=Hba_16,Input!U$36&lt;&gt;""),Input!$B$36&amp;";",""),IF(AND($G103&lt;Hta_17,$G103&gt;=Hba_17,Input!U$37&lt;&gt;""),Input!$B$37&amp;";",""),IF(AND($G103&lt;Hta_18,$G103&gt;=Hba_18,Input!U$38&lt;&gt;""),Input!$B$38&amp;";",""),IF(AND($G103&lt;Hta_19,$G103&gt;=Hba_19,Input!U$39&lt;&gt;""),Input!$B$39&amp;";",""),IF(AND($G103&lt;Hta_20,$G103&gt;=Hba_20,Input!U$40&lt;&gt;""),Input!$B$40&amp;";",""),IF(AND($G103&lt;Hta_21,$G103&gt;=Hba_21,Input!U$41&lt;&gt;""),Input!$B$41&amp;";",""),IF(AND($G103&lt;Hta_22,$G103&gt;=Hba_22,Input!U$42&lt;&gt;""),Input!$B$42&amp;";",""),IF(AND($G103&lt;Hta_23,$G103&gt;=Hba_23,Input!U$43&lt;&gt;""),Input!$B$43&amp;";",""),IF(AND($G103&lt;Hta_24,$G103&gt;=Hba_24,Input!U$44&lt;&gt;""),Input!$B$44&amp;";",""),IF(AND($G103&lt;Hta_25,$G103&gt;=Hba_25,Input!U$45&lt;&gt;""),Input!$B$45&amp;";",""),IF(AND($G103&lt;Hta_26,$G103&gt;=Hba_26,Input!U$46&lt;&gt;""),Input!$B$46&amp;";",""),IF(AND($G103&lt;Hta_27,$G103&gt;=Hba_27,Input!U$47&lt;&gt;""),Input!$B$47&amp;";",""),IF(AND($G103&lt;Hta_28,$G103&gt;=Hba_28,Input!U$48&lt;&gt;""),Input!$B$48&amp;";",""),IF(AND($G103&lt;Hta_29,$G103&gt;=Hba_29,Input!U$49&lt;&gt;""),Input!$B$49&amp;";",""),IF(AND($G103&lt;Hta_30,$G103&gt;=Hba_30,Input!U$50&lt;&gt;""),Input!$B$50&amp;";","")),"")</f>
        <v/>
      </c>
      <c r="BW103" s="25" t="str">
        <f>IFERROR(CONCATENATE(IF(AND($G103&lt;Hta_1,$G103&gt;=Hba_1,Input!V$21&lt;&gt;""),Input!$B$21&amp;";",""),IF(AND($G103&lt;Hta_2,$G103&gt;=Hba_2,Input!V$22&lt;&gt;""),Input!$B$22&amp;";",""),IF(AND($G103&lt;Hta_3,$G103&gt;=Hba_3,Input!V$23&lt;&gt;""),Input!$B$23&amp;";",""),IF(AND($G103&lt;Hta_4,$G103&gt;=Hba_4,Input!V$24&lt;&gt;""),Input!$B$24&amp;";",""),IF(AND($G103&lt;Hta_5,$G103&gt;=Hba_5,Input!V$25&lt;&gt;""),Input!$B$25&amp;";",""),IF(AND($G103&lt;Hta_6,$G103&gt;=Hba_6,Input!V$26&lt;&gt;""),Input!$B$26&amp;";",""),IF(AND($G103&lt;Hta_7,$G103&gt;=Hba_7,Input!V$27&lt;&gt;""),Input!$B$27&amp;";",""),IF(AND($G103&lt;Hta_8,$G103&gt;=Hba_8,Input!V$28&lt;&gt;""),Input!$B$28&amp;";",""),IF(AND($G103&lt;Hta_9,$G103&gt;=Hba_9,Input!V$29&lt;&gt;""),Input!$B$29&amp;";",""),IF(AND($G103&lt;Hta_10,$G103&gt;=Hba_10,Input!V$30&lt;&gt;""),Input!$B$30&amp;";",""),IF(AND($G103&lt;Hta_11,$G103&gt;=Hba_11,Input!V$31&lt;&gt;""),Input!$B$31&amp;";",""),IF(AND($G103&lt;Hta_12,$G103&gt;=Hba_12,Input!V$32&lt;&gt;""),Input!$B$32&amp;";",""),IF(AND($G103&lt;Hta_13,$G103&gt;=Hba_13,Input!V$33&lt;&gt;""),Input!$B$33&amp;";",""),IF(AND($G103&lt;Hta_14,$G103&gt;=Hba_14,Input!V$34&lt;&gt;""),Input!$B$34&amp;";",""),IF(AND($G103&lt;Hta_15,$G103&gt;=Hba_15,Input!V$35&lt;&gt;""),Input!$B$35&amp;";",""),IF(AND($G103&lt;Hta_16,$G103&gt;=Hba_16,Input!V$36&lt;&gt;""),Input!$B$36&amp;";",""),IF(AND($G103&lt;Hta_17,$G103&gt;=Hba_17,Input!V$37&lt;&gt;""),Input!$B$37&amp;";",""),IF(AND($G103&lt;Hta_18,$G103&gt;=Hba_18,Input!V$38&lt;&gt;""),Input!$B$38&amp;";",""),IF(AND($G103&lt;Hta_19,$G103&gt;=Hba_19,Input!V$39&lt;&gt;""),Input!$B$39&amp;";",""),IF(AND($G103&lt;Hta_20,$G103&gt;=Hba_20,Input!V$40&lt;&gt;""),Input!$B$40&amp;";",""),IF(AND($G103&lt;Hta_21,$G103&gt;=Hba_21,Input!V$41&lt;&gt;""),Input!$B$41&amp;";",""),IF(AND($G103&lt;Hta_22,$G103&gt;=Hba_22,Input!V$42&lt;&gt;""),Input!$B$42&amp;";",""),IF(AND($G103&lt;Hta_23,$G103&gt;=Hba_23,Input!V$43&lt;&gt;""),Input!$B$43&amp;";",""),IF(AND($G103&lt;Hta_24,$G103&gt;=Hba_24,Input!V$44&lt;&gt;""),Input!$B$44&amp;";",""),IF(AND($G103&lt;Hta_25,$G103&gt;=Hba_25,Input!V$45&lt;&gt;""),Input!$B$45&amp;";",""),IF(AND($G103&lt;Hta_26,$G103&gt;=Hba_26,Input!V$46&lt;&gt;""),Input!$B$46&amp;";",""),IF(AND($G103&lt;Hta_27,$G103&gt;=Hba_27,Input!V$47&lt;&gt;""),Input!$B$47&amp;";",""),IF(AND($G103&lt;Hta_28,$G103&gt;=Hba_28,Input!V$48&lt;&gt;""),Input!$B$48&amp;";",""),IF(AND($G103&lt;Hta_29,$G103&gt;=Hba_29,Input!V$49&lt;&gt;""),Input!$B$49&amp;";",""),IF(AND($G103&lt;Hta_30,$G103&gt;=Hba_30,Input!V$50&lt;&gt;""),Input!$B$50&amp;";","")),"")</f>
        <v/>
      </c>
      <c r="BX103" s="25" t="str">
        <f>IFERROR(CONCATENATE(IF(AND($G103&lt;Hta_1,$G103&gt;=Hba_1,Input!W$21&lt;&gt;""),Input!$B$21&amp;";",""),IF(AND($G103&lt;Hta_2,$G103&gt;=Hba_2,Input!W$22&lt;&gt;""),Input!$B$22&amp;";",""),IF(AND($G103&lt;Hta_3,$G103&gt;=Hba_3,Input!W$23&lt;&gt;""),Input!$B$23&amp;";",""),IF(AND($G103&lt;Hta_4,$G103&gt;=Hba_4,Input!W$24&lt;&gt;""),Input!$B$24&amp;";",""),IF(AND($G103&lt;Hta_5,$G103&gt;=Hba_5,Input!W$25&lt;&gt;""),Input!$B$25&amp;";",""),IF(AND($G103&lt;Hta_6,$G103&gt;=Hba_6,Input!W$26&lt;&gt;""),Input!$B$26&amp;";",""),IF(AND($G103&lt;Hta_7,$G103&gt;=Hba_7,Input!W$27&lt;&gt;""),Input!$B$27&amp;";",""),IF(AND($G103&lt;Hta_8,$G103&gt;=Hba_8,Input!W$28&lt;&gt;""),Input!$B$28&amp;";",""),IF(AND($G103&lt;Hta_9,$G103&gt;=Hba_9,Input!W$29&lt;&gt;""),Input!$B$29&amp;";",""),IF(AND($G103&lt;Hta_10,$G103&gt;=Hba_10,Input!W$30&lt;&gt;""),Input!$B$30&amp;";",""),IF(AND($G103&lt;Hta_11,$G103&gt;=Hba_11,Input!W$31&lt;&gt;""),Input!$B$31&amp;";",""),IF(AND($G103&lt;Hta_12,$G103&gt;=Hba_12,Input!W$32&lt;&gt;""),Input!$B$32&amp;";",""),IF(AND($G103&lt;Hta_13,$G103&gt;=Hba_13,Input!W$33&lt;&gt;""),Input!$B$33&amp;";",""),IF(AND($G103&lt;Hta_14,$G103&gt;=Hba_14,Input!W$34&lt;&gt;""),Input!$B$34&amp;";",""),IF(AND($G103&lt;Hta_15,$G103&gt;=Hba_15,Input!W$35&lt;&gt;""),Input!$B$35&amp;";",""),IF(AND($G103&lt;Hta_16,$G103&gt;=Hba_16,Input!W$36&lt;&gt;""),Input!$B$36&amp;";",""),IF(AND($G103&lt;Hta_17,$G103&gt;=Hba_17,Input!W$37&lt;&gt;""),Input!$B$37&amp;";",""),IF(AND($G103&lt;Hta_18,$G103&gt;=Hba_18,Input!W$38&lt;&gt;""),Input!$B$38&amp;";",""),IF(AND($G103&lt;Hta_19,$G103&gt;=Hba_19,Input!W$39&lt;&gt;""),Input!$B$39&amp;";",""),IF(AND($G103&lt;Hta_20,$G103&gt;=Hba_20,Input!W$40&lt;&gt;""),Input!$B$40&amp;";",""),IF(AND($G103&lt;Hta_21,$G103&gt;=Hba_21,Input!W$41&lt;&gt;""),Input!$B$41&amp;";",""),IF(AND($G103&lt;Hta_22,$G103&gt;=Hba_22,Input!W$42&lt;&gt;""),Input!$B$42&amp;";",""),IF(AND($G103&lt;Hta_23,$G103&gt;=Hba_23,Input!W$43&lt;&gt;""),Input!$B$43&amp;";",""),IF(AND($G103&lt;Hta_24,$G103&gt;=Hba_24,Input!W$44&lt;&gt;""),Input!$B$44&amp;";",""),IF(AND($G103&lt;Hta_25,$G103&gt;=Hba_25,Input!W$45&lt;&gt;""),Input!$B$45&amp;";",""),IF(AND($G103&lt;Hta_26,$G103&gt;=Hba_26,Input!W$46&lt;&gt;""),Input!$B$46&amp;";",""),IF(AND($G103&lt;Hta_27,$G103&gt;=Hba_27,Input!W$47&lt;&gt;""),Input!$B$47&amp;";",""),IF(AND($G103&lt;Hta_28,$G103&gt;=Hba_28,Input!W$48&lt;&gt;""),Input!$B$48&amp;";",""),IF(AND($G103&lt;Hta_29,$G103&gt;=Hba_29,Input!W$49&lt;&gt;""),Input!$B$49&amp;";",""),IF(AND($G103&lt;Hta_30,$G103&gt;=Hba_30,Input!W$50&lt;&gt;""),Input!$B$50&amp;";","")),"")</f>
        <v/>
      </c>
      <c r="BY103" s="25" t="str">
        <f>IFERROR(CONCATENATE(IF(AND($G103&lt;Hta_1,$G103&gt;=Hba_1,Input!X$21&lt;&gt;""),Input!$B$21&amp;";",""),IF(AND($G103&lt;Hta_2,$G103&gt;=Hba_2,Input!X$22&lt;&gt;""),Input!$B$22&amp;";",""),IF(AND($G103&lt;Hta_3,$G103&gt;=Hba_3,Input!X$23&lt;&gt;""),Input!$B$23&amp;";",""),IF(AND($G103&lt;Hta_4,$G103&gt;=Hba_4,Input!X$24&lt;&gt;""),Input!$B$24&amp;";",""),IF(AND($G103&lt;Hta_5,$G103&gt;=Hba_5,Input!X$25&lt;&gt;""),Input!$B$25&amp;";",""),IF(AND($G103&lt;Hta_6,$G103&gt;=Hba_6,Input!X$26&lt;&gt;""),Input!$B$26&amp;";",""),IF(AND($G103&lt;Hta_7,$G103&gt;=Hba_7,Input!X$27&lt;&gt;""),Input!$B$27&amp;";",""),IF(AND($G103&lt;Hta_8,$G103&gt;=Hba_8,Input!X$28&lt;&gt;""),Input!$B$28&amp;";",""),IF(AND($G103&lt;Hta_9,$G103&gt;=Hba_9,Input!X$29&lt;&gt;""),Input!$B$29&amp;";",""),IF(AND($G103&lt;Hta_10,$G103&gt;=Hba_10,Input!X$30&lt;&gt;""),Input!$B$30&amp;";",""),IF(AND($G103&lt;Hta_11,$G103&gt;=Hba_11,Input!X$31&lt;&gt;""),Input!$B$31&amp;";",""),IF(AND($G103&lt;Hta_12,$G103&gt;=Hba_12,Input!X$32&lt;&gt;""),Input!$B$32&amp;";",""),IF(AND($G103&lt;Hta_13,$G103&gt;=Hba_13,Input!X$33&lt;&gt;""),Input!$B$33&amp;";",""),IF(AND($G103&lt;Hta_14,$G103&gt;=Hba_14,Input!X$34&lt;&gt;""),Input!$B$34&amp;";",""),IF(AND($G103&lt;Hta_15,$G103&gt;=Hba_15,Input!X$35&lt;&gt;""),Input!$B$35&amp;";",""),IF(AND($G103&lt;Hta_16,$G103&gt;=Hba_16,Input!X$36&lt;&gt;""),Input!$B$36&amp;";",""),IF(AND($G103&lt;Hta_17,$G103&gt;=Hba_17,Input!X$37&lt;&gt;""),Input!$B$37&amp;";",""),IF(AND($G103&lt;Hta_18,$G103&gt;=Hba_18,Input!X$38&lt;&gt;""),Input!$B$38&amp;";",""),IF(AND($G103&lt;Hta_19,$G103&gt;=Hba_19,Input!X$39&lt;&gt;""),Input!$B$39&amp;";",""),IF(AND($G103&lt;Hta_20,$G103&gt;=Hba_20,Input!X$40&lt;&gt;""),Input!$B$40&amp;";",""),IF(AND($G103&lt;Hta_21,$G103&gt;=Hba_21,Input!X$41&lt;&gt;""),Input!$B$41&amp;";",""),IF(AND($G103&lt;Hta_22,$G103&gt;=Hba_22,Input!X$42&lt;&gt;""),Input!$B$42&amp;";",""),IF(AND($G103&lt;Hta_23,$G103&gt;=Hba_23,Input!X$43&lt;&gt;""),Input!$B$43&amp;";",""),IF(AND($G103&lt;Hta_24,$G103&gt;=Hba_24,Input!X$44&lt;&gt;""),Input!$B$44&amp;";",""),IF(AND($G103&lt;Hta_25,$G103&gt;=Hba_25,Input!X$45&lt;&gt;""),Input!$B$45&amp;";",""),IF(AND($G103&lt;Hta_26,$G103&gt;=Hba_26,Input!X$46&lt;&gt;""),Input!$B$46&amp;";",""),IF(AND($G103&lt;Hta_27,$G103&gt;=Hba_27,Input!X$47&lt;&gt;""),Input!$B$47&amp;";",""),IF(AND($G103&lt;Hta_28,$G103&gt;=Hba_28,Input!X$48&lt;&gt;""),Input!$B$48&amp;";",""),IF(AND($G103&lt;Hta_29,$G103&gt;=Hba_29,Input!X$49&lt;&gt;""),Input!$B$49&amp;";",""),IF(AND($G103&lt;Hta_30,$G103&gt;=Hba_30,Input!X$50&lt;&gt;""),Input!$B$50&amp;";","")),"")</f>
        <v/>
      </c>
      <c r="BZ103" s="25" t="str">
        <f>IFERROR(CONCATENATE(IF(AND($G103&lt;Hta_1,$G103&gt;=Hba_1,Input!Y$21&lt;&gt;""),Input!$B$21&amp;";",""),IF(AND($G103&lt;Hta_2,$G103&gt;=Hba_2,Input!Y$22&lt;&gt;""),Input!$B$22&amp;";",""),IF(AND($G103&lt;Hta_3,$G103&gt;=Hba_3,Input!Y$23&lt;&gt;""),Input!$B$23&amp;";",""),IF(AND($G103&lt;Hta_4,$G103&gt;=Hba_4,Input!Y$24&lt;&gt;""),Input!$B$24&amp;";",""),IF(AND($G103&lt;Hta_5,$G103&gt;=Hba_5,Input!Y$25&lt;&gt;""),Input!$B$25&amp;";",""),IF(AND($G103&lt;Hta_6,$G103&gt;=Hba_6,Input!Y$26&lt;&gt;""),Input!$B$26&amp;";",""),IF(AND($G103&lt;Hta_7,$G103&gt;=Hba_7,Input!Y$27&lt;&gt;""),Input!$B$27&amp;";",""),IF(AND($G103&lt;Hta_8,$G103&gt;=Hba_8,Input!Y$28&lt;&gt;""),Input!$B$28&amp;";",""),IF(AND($G103&lt;Hta_9,$G103&gt;=Hba_9,Input!Y$29&lt;&gt;""),Input!$B$29&amp;";",""),IF(AND($G103&lt;Hta_10,$G103&gt;=Hba_10,Input!Y$30&lt;&gt;""),Input!$B$30&amp;";",""),IF(AND($G103&lt;Hta_11,$G103&gt;=Hba_11,Input!Y$31&lt;&gt;""),Input!$B$31&amp;";",""),IF(AND($G103&lt;Hta_12,$G103&gt;=Hba_12,Input!Y$32&lt;&gt;""),Input!$B$32&amp;";",""),IF(AND($G103&lt;Hta_13,$G103&gt;=Hba_13,Input!Y$33&lt;&gt;""),Input!$B$33&amp;";",""),IF(AND($G103&lt;Hta_14,$G103&gt;=Hba_14,Input!Y$34&lt;&gt;""),Input!$B$34&amp;";",""),IF(AND($G103&lt;Hta_15,$G103&gt;=Hba_15,Input!Y$35&lt;&gt;""),Input!$B$35&amp;";",""),IF(AND($G103&lt;Hta_16,$G103&gt;=Hba_16,Input!Y$36&lt;&gt;""),Input!$B$36&amp;";",""),IF(AND($G103&lt;Hta_17,$G103&gt;=Hba_17,Input!Y$37&lt;&gt;""),Input!$B$37&amp;";",""),IF(AND($G103&lt;Hta_18,$G103&gt;=Hba_18,Input!Y$38&lt;&gt;""),Input!$B$38&amp;";",""),IF(AND($G103&lt;Hta_19,$G103&gt;=Hba_19,Input!Y$39&lt;&gt;""),Input!$B$39&amp;";",""),IF(AND($G103&lt;Hta_20,$G103&gt;=Hba_20,Input!Y$40&lt;&gt;""),Input!$B$40&amp;";",""),IF(AND($G103&lt;Hta_21,$G103&gt;=Hba_21,Input!Y$41&lt;&gt;""),Input!$B$41&amp;";",""),IF(AND($G103&lt;Hta_22,$G103&gt;=Hba_22,Input!Y$42&lt;&gt;""),Input!$B$42&amp;";",""),IF(AND($G103&lt;Hta_23,$G103&gt;=Hba_23,Input!Y$43&lt;&gt;""),Input!$B$43&amp;";",""),IF(AND($G103&lt;Hta_24,$G103&gt;=Hba_24,Input!Y$44&lt;&gt;""),Input!$B$44&amp;";",""),IF(AND($G103&lt;Hta_25,$G103&gt;=Hba_25,Input!Y$45&lt;&gt;""),Input!$B$45&amp;";",""),IF(AND($G103&lt;Hta_26,$G103&gt;=Hba_26,Input!Y$46&lt;&gt;""),Input!$B$46&amp;";",""),IF(AND($G103&lt;Hta_27,$G103&gt;=Hba_27,Input!Y$47&lt;&gt;""),Input!$B$47&amp;";",""),IF(AND($G103&lt;Hta_28,$G103&gt;=Hba_28,Input!Y$48&lt;&gt;""),Input!$B$48&amp;";",""),IF(AND($G103&lt;Hta_29,$G103&gt;=Hba_29,Input!Y$49&lt;&gt;""),Input!$B$49&amp;";",""),IF(AND($G103&lt;Hta_30,$G103&gt;=Hba_30,Input!Y$50&lt;&gt;""),Input!$B$50&amp;";","")),"")</f>
        <v/>
      </c>
      <c r="CA103" s="25" t="str">
        <f>IFERROR(CONCATENATE(IF(AND($G103&lt;Hta_1,$G103&gt;=Hba_1,Input!Z$21&lt;&gt;""),Input!$B$21&amp;";",""),IF(AND($G103&lt;Hta_2,$G103&gt;=Hba_2,Input!Z$22&lt;&gt;""),Input!$B$22&amp;";",""),IF(AND($G103&lt;Hta_3,$G103&gt;=Hba_3,Input!Z$23&lt;&gt;""),Input!$B$23&amp;";",""),IF(AND($G103&lt;Hta_4,$G103&gt;=Hba_4,Input!Z$24&lt;&gt;""),Input!$B$24&amp;";",""),IF(AND($G103&lt;Hta_5,$G103&gt;=Hba_5,Input!Z$25&lt;&gt;""),Input!$B$25&amp;";",""),IF(AND($G103&lt;Hta_6,$G103&gt;=Hba_6,Input!Z$26&lt;&gt;""),Input!$B$26&amp;";",""),IF(AND($G103&lt;Hta_7,$G103&gt;=Hba_7,Input!Z$27&lt;&gt;""),Input!$B$27&amp;";",""),IF(AND($G103&lt;Hta_8,$G103&gt;=Hba_8,Input!Z$28&lt;&gt;""),Input!$B$28&amp;";",""),IF(AND($G103&lt;Hta_9,$G103&gt;=Hba_9,Input!Z$29&lt;&gt;""),Input!$B$29&amp;";",""),IF(AND($G103&lt;Hta_10,$G103&gt;=Hba_10,Input!Z$30&lt;&gt;""),Input!$B$30&amp;";",""),IF(AND($G103&lt;Hta_11,$G103&gt;=Hba_11,Input!Z$31&lt;&gt;""),Input!$B$31&amp;";",""),IF(AND($G103&lt;Hta_12,$G103&gt;=Hba_12,Input!Z$32&lt;&gt;""),Input!$B$32&amp;";",""),IF(AND($G103&lt;Hta_13,$G103&gt;=Hba_13,Input!Z$33&lt;&gt;""),Input!$B$33&amp;";",""),IF(AND($G103&lt;Hta_14,$G103&gt;=Hba_14,Input!Z$34&lt;&gt;""),Input!$B$34&amp;";",""),IF(AND($G103&lt;Hta_15,$G103&gt;=Hba_15,Input!Z$35&lt;&gt;""),Input!$B$35&amp;";",""),IF(AND($G103&lt;Hta_16,$G103&gt;=Hba_16,Input!Z$36&lt;&gt;""),Input!$B$36&amp;";",""),IF(AND($G103&lt;Hta_17,$G103&gt;=Hba_17,Input!Z$37&lt;&gt;""),Input!$B$37&amp;";",""),IF(AND($G103&lt;Hta_18,$G103&gt;=Hba_18,Input!Z$38&lt;&gt;""),Input!$B$38&amp;";",""),IF(AND($G103&lt;Hta_19,$G103&gt;=Hba_19,Input!Z$39&lt;&gt;""),Input!$B$39&amp;";",""),IF(AND($G103&lt;Hta_20,$G103&gt;=Hba_20,Input!Z$40&lt;&gt;""),Input!$B$40&amp;";",""),IF(AND($G103&lt;Hta_21,$G103&gt;=Hba_21,Input!Z$41&lt;&gt;""),Input!$B$41&amp;";",""),IF(AND($G103&lt;Hta_22,$G103&gt;=Hba_22,Input!Z$42&lt;&gt;""),Input!$B$42&amp;";",""),IF(AND($G103&lt;Hta_23,$G103&gt;=Hba_23,Input!Z$43&lt;&gt;""),Input!$B$43&amp;";",""),IF(AND($G103&lt;Hta_24,$G103&gt;=Hba_24,Input!Z$44&lt;&gt;""),Input!$B$44&amp;";",""),IF(AND($G103&lt;Hta_25,$G103&gt;=Hba_25,Input!Z$45&lt;&gt;""),Input!$B$45&amp;";",""),IF(AND($G103&lt;Hta_26,$G103&gt;=Hba_26,Input!Z$46&lt;&gt;""),Input!$B$46&amp;";",""),IF(AND($G103&lt;Hta_27,$G103&gt;=Hba_27,Input!Z$47&lt;&gt;""),Input!$B$47&amp;";",""),IF(AND($G103&lt;Hta_28,$G103&gt;=Hba_28,Input!Z$48&lt;&gt;""),Input!$B$48&amp;";",""),IF(AND($G103&lt;Hta_29,$G103&gt;=Hba_29,Input!Z$49&lt;&gt;""),Input!$B$49&amp;";",""),IF(AND($G103&lt;Hta_30,$G103&gt;=Hba_30,Input!Z$50&lt;&gt;""),Input!$B$50&amp;";","")),"")</f>
        <v/>
      </c>
      <c r="CB103" s="25" t="str">
        <f>IFERROR(CONCATENATE(IF(AND($G103&lt;Hta_1,$G103&gt;=Hba_1,Input!AA$21&lt;&gt;""),Input!$B$21&amp;";",""),IF(AND($G103&lt;Hta_2,$G103&gt;=Hba_2,Input!AA$22&lt;&gt;""),Input!$B$22&amp;";",""),IF(AND($G103&lt;Hta_3,$G103&gt;=Hba_3,Input!AA$23&lt;&gt;""),Input!$B$23&amp;";",""),IF(AND($G103&lt;Hta_4,$G103&gt;=Hba_4,Input!AA$24&lt;&gt;""),Input!$B$24&amp;";",""),IF(AND($G103&lt;Hta_5,$G103&gt;=Hba_5,Input!AA$25&lt;&gt;""),Input!$B$25&amp;";",""),IF(AND($G103&lt;Hta_6,$G103&gt;=Hba_6,Input!AA$26&lt;&gt;""),Input!$B$26&amp;";",""),IF(AND($G103&lt;Hta_7,$G103&gt;=Hba_7,Input!AA$27&lt;&gt;""),Input!$B$27&amp;";",""),IF(AND($G103&lt;Hta_8,$G103&gt;=Hba_8,Input!AA$28&lt;&gt;""),Input!$B$28&amp;";",""),IF(AND($G103&lt;Hta_9,$G103&gt;=Hba_9,Input!AA$29&lt;&gt;""),Input!$B$29&amp;";",""),IF(AND($G103&lt;Hta_10,$G103&gt;=Hba_10,Input!AA$30&lt;&gt;""),Input!$B$30&amp;";",""),IF(AND($G103&lt;Hta_11,$G103&gt;=Hba_11,Input!AA$31&lt;&gt;""),Input!$B$31&amp;";",""),IF(AND($G103&lt;Hta_12,$G103&gt;=Hba_12,Input!AA$32&lt;&gt;""),Input!$B$32&amp;";",""),IF(AND($G103&lt;Hta_13,$G103&gt;=Hba_13,Input!AA$33&lt;&gt;""),Input!$B$33&amp;";",""),IF(AND($G103&lt;Hta_14,$G103&gt;=Hba_14,Input!AA$34&lt;&gt;""),Input!$B$34&amp;";",""),IF(AND($G103&lt;Hta_15,$G103&gt;=Hba_15,Input!AA$35&lt;&gt;""),Input!$B$35&amp;";",""),IF(AND($G103&lt;Hta_16,$G103&gt;=Hba_16,Input!AA$36&lt;&gt;""),Input!$B$36&amp;";",""),IF(AND($G103&lt;Hta_17,$G103&gt;=Hba_17,Input!AA$37&lt;&gt;""),Input!$B$37&amp;";",""),IF(AND($G103&lt;Hta_18,$G103&gt;=Hba_18,Input!AA$38&lt;&gt;""),Input!$B$38&amp;";",""),IF(AND($G103&lt;Hta_19,$G103&gt;=Hba_19,Input!AA$39&lt;&gt;""),Input!$B$39&amp;";",""),IF(AND($G103&lt;Hta_20,$G103&gt;=Hba_20,Input!AA$40&lt;&gt;""),Input!$B$40&amp;";",""),IF(AND($G103&lt;Hta_21,$G103&gt;=Hba_21,Input!AA$41&lt;&gt;""),Input!$B$41&amp;";",""),IF(AND($G103&lt;Hta_22,$G103&gt;=Hba_22,Input!AA$42&lt;&gt;""),Input!$B$42&amp;";",""),IF(AND($G103&lt;Hta_23,$G103&gt;=Hba_23,Input!AA$43&lt;&gt;""),Input!$B$43&amp;";",""),IF(AND($G103&lt;Hta_24,$G103&gt;=Hba_24,Input!AA$44&lt;&gt;""),Input!$B$44&amp;";",""),IF(AND($G103&lt;Hta_25,$G103&gt;=Hba_25,Input!AA$45&lt;&gt;""),Input!$B$45&amp;";",""),IF(AND($G103&lt;Hta_26,$G103&gt;=Hba_26,Input!AA$46&lt;&gt;""),Input!$B$46&amp;";",""),IF(AND($G103&lt;Hta_27,$G103&gt;=Hba_27,Input!AA$47&lt;&gt;""),Input!$B$47&amp;";",""),IF(AND($G103&lt;Hta_28,$G103&gt;=Hba_28,Input!AA$48&lt;&gt;""),Input!$B$48&amp;";",""),IF(AND($G103&lt;Hta_29,$G103&gt;=Hba_29,Input!AA$49&lt;&gt;""),Input!$B$49&amp;";",""),IF(AND($G103&lt;Hta_30,$G103&gt;=Hba_30,Input!AA$50&lt;&gt;""),Input!$B$50&amp;";","")),"")</f>
        <v/>
      </c>
      <c r="CC103" s="25" t="str">
        <f>IFERROR(CONCATENATE(IF(AND($G103&lt;Hta_1,$G103&gt;=Hba_1,Input!AB$21&lt;&gt;""),Input!$B$21&amp;";",""),IF(AND($G103&lt;Hta_2,$G103&gt;=Hba_2,Input!AB$22&lt;&gt;""),Input!$B$22&amp;";",""),IF(AND($G103&lt;Hta_3,$G103&gt;=Hba_3,Input!AB$23&lt;&gt;""),Input!$B$23&amp;";",""),IF(AND($G103&lt;Hta_4,$G103&gt;=Hba_4,Input!AB$24&lt;&gt;""),Input!$B$24&amp;";",""),IF(AND($G103&lt;Hta_5,$G103&gt;=Hba_5,Input!AB$25&lt;&gt;""),Input!$B$25&amp;";",""),IF(AND($G103&lt;Hta_6,$G103&gt;=Hba_6,Input!AB$26&lt;&gt;""),Input!$B$26&amp;";",""),IF(AND($G103&lt;Hta_7,$G103&gt;=Hba_7,Input!AB$27&lt;&gt;""),Input!$B$27&amp;";",""),IF(AND($G103&lt;Hta_8,$G103&gt;=Hba_8,Input!AB$28&lt;&gt;""),Input!$B$28&amp;";",""),IF(AND($G103&lt;Hta_9,$G103&gt;=Hba_9,Input!AB$29&lt;&gt;""),Input!$B$29&amp;";",""),IF(AND($G103&lt;Hta_10,$G103&gt;=Hba_10,Input!AB$30&lt;&gt;""),Input!$B$30&amp;";",""),IF(AND($G103&lt;Hta_11,$G103&gt;=Hba_11,Input!AB$31&lt;&gt;""),Input!$B$31&amp;";",""),IF(AND($G103&lt;Hta_12,$G103&gt;=Hba_12,Input!AB$32&lt;&gt;""),Input!$B$32&amp;";",""),IF(AND($G103&lt;Hta_13,$G103&gt;=Hba_13,Input!AB$33&lt;&gt;""),Input!$B$33&amp;";",""),IF(AND($G103&lt;Hta_14,$G103&gt;=Hba_14,Input!AB$34&lt;&gt;""),Input!$B$34&amp;";",""),IF(AND($G103&lt;Hta_15,$G103&gt;=Hba_15,Input!AB$35&lt;&gt;""),Input!$B$35&amp;";",""),IF(AND($G103&lt;Hta_16,$G103&gt;=Hba_16,Input!AB$36&lt;&gt;""),Input!$B$36&amp;";",""),IF(AND($G103&lt;Hta_17,$G103&gt;=Hba_17,Input!AB$37&lt;&gt;""),Input!$B$37&amp;";",""),IF(AND($G103&lt;Hta_18,$G103&gt;=Hba_18,Input!AB$38&lt;&gt;""),Input!$B$38&amp;";",""),IF(AND($G103&lt;Hta_19,$G103&gt;=Hba_19,Input!AB$39&lt;&gt;""),Input!$B$39&amp;";",""),IF(AND($G103&lt;Hta_20,$G103&gt;=Hba_20,Input!AB$40&lt;&gt;""),Input!$B$40&amp;";",""),IF(AND($G103&lt;Hta_21,$G103&gt;=Hba_21,Input!AB$41&lt;&gt;""),Input!$B$41&amp;";",""),IF(AND($G103&lt;Hta_22,$G103&gt;=Hba_22,Input!AB$42&lt;&gt;""),Input!$B$42&amp;";",""),IF(AND($G103&lt;Hta_23,$G103&gt;=Hba_23,Input!AB$43&lt;&gt;""),Input!$B$43&amp;";",""),IF(AND($G103&lt;Hta_24,$G103&gt;=Hba_24,Input!AB$44&lt;&gt;""),Input!$B$44&amp;";",""),IF(AND($G103&lt;Hta_25,$G103&gt;=Hba_25,Input!AB$45&lt;&gt;""),Input!$B$45&amp;";",""),IF(AND($G103&lt;Hta_26,$G103&gt;=Hba_26,Input!AB$46&lt;&gt;""),Input!$B$46&amp;";",""),IF(AND($G103&lt;Hta_27,$G103&gt;=Hba_27,Input!AB$47&lt;&gt;""),Input!$B$47&amp;";",""),IF(AND($G103&lt;Hta_28,$G103&gt;=Hba_28,Input!AB$48&lt;&gt;""),Input!$B$48&amp;";",""),IF(AND($G103&lt;Hta_29,$G103&gt;=Hba_29,Input!AB$49&lt;&gt;""),Input!$B$49&amp;";",""),IF(AND($G103&lt;Hta_30,$G103&gt;=Hba_30,Input!AB$50&lt;&gt;""),Input!$B$50&amp;";","")),"")</f>
        <v/>
      </c>
      <c r="CD103" s="25" t="str">
        <f>IFERROR(CONCATENATE(IF(AND($G103&lt;Hta_1,$G103&gt;=Hba_1,Input!AC$21&lt;&gt;""),Input!$B$21&amp;";",""),IF(AND($G103&lt;Hta_2,$G103&gt;=Hba_2,Input!AC$22&lt;&gt;""),Input!$B$22&amp;";",""),IF(AND($G103&lt;Hta_3,$G103&gt;=Hba_3,Input!AC$23&lt;&gt;""),Input!$B$23&amp;";",""),IF(AND($G103&lt;Hta_4,$G103&gt;=Hba_4,Input!AC$24&lt;&gt;""),Input!$B$24&amp;";",""),IF(AND($G103&lt;Hta_5,$G103&gt;=Hba_5,Input!AC$25&lt;&gt;""),Input!$B$25&amp;";",""),IF(AND($G103&lt;Hta_6,$G103&gt;=Hba_6,Input!AC$26&lt;&gt;""),Input!$B$26&amp;";",""),IF(AND($G103&lt;Hta_7,$G103&gt;=Hba_7,Input!AC$27&lt;&gt;""),Input!$B$27&amp;";",""),IF(AND($G103&lt;Hta_8,$G103&gt;=Hba_8,Input!AC$28&lt;&gt;""),Input!$B$28&amp;";",""),IF(AND($G103&lt;Hta_9,$G103&gt;=Hba_9,Input!AC$29&lt;&gt;""),Input!$B$29&amp;";",""),IF(AND($G103&lt;Hta_10,$G103&gt;=Hba_10,Input!AC$30&lt;&gt;""),Input!$B$30&amp;";",""),IF(AND($G103&lt;Hta_11,$G103&gt;=Hba_11,Input!AC$31&lt;&gt;""),Input!$B$31&amp;";",""),IF(AND($G103&lt;Hta_12,$G103&gt;=Hba_12,Input!AC$32&lt;&gt;""),Input!$B$32&amp;";",""),IF(AND($G103&lt;Hta_13,$G103&gt;=Hba_13,Input!AC$33&lt;&gt;""),Input!$B$33&amp;";",""),IF(AND($G103&lt;Hta_14,$G103&gt;=Hba_14,Input!AC$34&lt;&gt;""),Input!$B$34&amp;";",""),IF(AND($G103&lt;Hta_15,$G103&gt;=Hba_15,Input!AC$35&lt;&gt;""),Input!$B$35&amp;";",""),IF(AND($G103&lt;Hta_16,$G103&gt;=Hba_16,Input!AC$36&lt;&gt;""),Input!$B$36&amp;";",""),IF(AND($G103&lt;Hta_17,$G103&gt;=Hba_17,Input!AC$37&lt;&gt;""),Input!$B$37&amp;";",""),IF(AND($G103&lt;Hta_18,$G103&gt;=Hba_18,Input!AC$38&lt;&gt;""),Input!$B$38&amp;";",""),IF(AND($G103&lt;Hta_19,$G103&gt;=Hba_19,Input!AC$39&lt;&gt;""),Input!$B$39&amp;";",""),IF(AND($G103&lt;Hta_20,$G103&gt;=Hba_20,Input!AC$40&lt;&gt;""),Input!$B$40&amp;";",""),IF(AND($G103&lt;Hta_21,$G103&gt;=Hba_21,Input!AC$41&lt;&gt;""),Input!$B$41&amp;";",""),IF(AND($G103&lt;Hta_22,$G103&gt;=Hba_22,Input!AC$42&lt;&gt;""),Input!$B$42&amp;";",""),IF(AND($G103&lt;Hta_23,$G103&gt;=Hba_23,Input!AC$43&lt;&gt;""),Input!$B$43&amp;";",""),IF(AND($G103&lt;Hta_24,$G103&gt;=Hba_24,Input!AC$44&lt;&gt;""),Input!$B$44&amp;";",""),IF(AND($G103&lt;Hta_25,$G103&gt;=Hba_25,Input!AC$45&lt;&gt;""),Input!$B$45&amp;";",""),IF(AND($G103&lt;Hta_26,$G103&gt;=Hba_26,Input!AC$46&lt;&gt;""),Input!$B$46&amp;";",""),IF(AND($G103&lt;Hta_27,$G103&gt;=Hba_27,Input!AC$47&lt;&gt;""),Input!$B$47&amp;";",""),IF(AND($G103&lt;Hta_28,$G103&gt;=Hba_28,Input!AC$48&lt;&gt;""),Input!$B$48&amp;";",""),IF(AND($G103&lt;Hta_29,$G103&gt;=Hba_29,Input!AC$49&lt;&gt;""),Input!$B$49&amp;";",""),IF(AND($G103&lt;Hta_30,$G103&gt;=Hba_30,Input!AC$50&lt;&gt;""),Input!$B$50&amp;";","")),"")</f>
        <v/>
      </c>
      <c r="CE103" s="25" t="str">
        <f>IFERROR(CONCATENATE(IF(AND($G103&lt;Hta_1,$G103&gt;=Hba_1,Input!AD$21&lt;&gt;""),Input!$B$21&amp;";",""),IF(AND($G103&lt;Hta_2,$G103&gt;=Hba_2,Input!AD$22&lt;&gt;""),Input!$B$22&amp;";",""),IF(AND($G103&lt;Hta_3,$G103&gt;=Hba_3,Input!AD$23&lt;&gt;""),Input!$B$23&amp;";",""),IF(AND($G103&lt;Hta_4,$G103&gt;=Hba_4,Input!AD$24&lt;&gt;""),Input!$B$24&amp;";",""),IF(AND($G103&lt;Hta_5,$G103&gt;=Hba_5,Input!AD$25&lt;&gt;""),Input!$B$25&amp;";",""),IF(AND($G103&lt;Hta_6,$G103&gt;=Hba_6,Input!AD$26&lt;&gt;""),Input!$B$26&amp;";",""),IF(AND($G103&lt;Hta_7,$G103&gt;=Hba_7,Input!AD$27&lt;&gt;""),Input!$B$27&amp;";",""),IF(AND($G103&lt;Hta_8,$G103&gt;=Hba_8,Input!AD$28&lt;&gt;""),Input!$B$28&amp;";",""),IF(AND($G103&lt;Hta_9,$G103&gt;=Hba_9,Input!AD$29&lt;&gt;""),Input!$B$29&amp;";",""),IF(AND($G103&lt;Hta_10,$G103&gt;=Hba_10,Input!AD$30&lt;&gt;""),Input!$B$30&amp;";",""),IF(AND($G103&lt;Hta_11,$G103&gt;=Hba_11,Input!AD$31&lt;&gt;""),Input!$B$31&amp;";",""),IF(AND($G103&lt;Hta_12,$G103&gt;=Hba_12,Input!AD$32&lt;&gt;""),Input!$B$32&amp;";",""),IF(AND($G103&lt;Hta_13,$G103&gt;=Hba_13,Input!AD$33&lt;&gt;""),Input!$B$33&amp;";",""),IF(AND($G103&lt;Hta_14,$G103&gt;=Hba_14,Input!AD$34&lt;&gt;""),Input!$B$34&amp;";",""),IF(AND($G103&lt;Hta_15,$G103&gt;=Hba_15,Input!AD$35&lt;&gt;""),Input!$B$35&amp;";",""),IF(AND($G103&lt;Hta_16,$G103&gt;=Hba_16,Input!AD$36&lt;&gt;""),Input!$B$36&amp;";",""),IF(AND($G103&lt;Hta_17,$G103&gt;=Hba_17,Input!AD$37&lt;&gt;""),Input!$B$37&amp;";",""),IF(AND($G103&lt;Hta_18,$G103&gt;=Hba_18,Input!AD$38&lt;&gt;""),Input!$B$38&amp;";",""),IF(AND($G103&lt;Hta_19,$G103&gt;=Hba_19,Input!AD$39&lt;&gt;""),Input!$B$39&amp;";",""),IF(AND($G103&lt;Hta_20,$G103&gt;=Hba_20,Input!AD$40&lt;&gt;""),Input!$B$40&amp;";",""),IF(AND($G103&lt;Hta_21,$G103&gt;=Hba_21,Input!AD$41&lt;&gt;""),Input!$B$41&amp;";",""),IF(AND($G103&lt;Hta_22,$G103&gt;=Hba_22,Input!AD$42&lt;&gt;""),Input!$B$42&amp;";",""),IF(AND($G103&lt;Hta_23,$G103&gt;=Hba_23,Input!AD$43&lt;&gt;""),Input!$B$43&amp;";",""),IF(AND($G103&lt;Hta_24,$G103&gt;=Hba_24,Input!AD$44&lt;&gt;""),Input!$B$44&amp;";",""),IF(AND($G103&lt;Hta_25,$G103&gt;=Hba_25,Input!AD$45&lt;&gt;""),Input!$B$45&amp;";",""),IF(AND($G103&lt;Hta_26,$G103&gt;=Hba_26,Input!AD$46&lt;&gt;""),Input!$B$46&amp;";",""),IF(AND($G103&lt;Hta_27,$G103&gt;=Hba_27,Input!AD$47&lt;&gt;""),Input!$B$47&amp;";",""),IF(AND($G103&lt;Hta_28,$G103&gt;=Hba_28,Input!AD$48&lt;&gt;""),Input!$B$48&amp;";",""),IF(AND($G103&lt;Hta_29,$G103&gt;=Hba_29,Input!AD$49&lt;&gt;""),Input!$B$49&amp;";",""),IF(AND($G103&lt;Hta_30,$G103&gt;=Hba_30,Input!AD$50&lt;&gt;""),Input!$B$50&amp;";","")),"")</f>
        <v/>
      </c>
      <c r="CF103" s="25" t="str">
        <f>IFERROR(CONCATENATE(IF(AND($G103&lt;Hta_1,$G103&gt;=Hba_1,Input!AE$21&lt;&gt;""),Input!$B$21&amp;";",""),IF(AND($G103&lt;Hta_2,$G103&gt;=Hba_2,Input!AE$22&lt;&gt;""),Input!$B$22&amp;";",""),IF(AND($G103&lt;Hta_3,$G103&gt;=Hba_3,Input!AE$23&lt;&gt;""),Input!$B$23&amp;";",""),IF(AND($G103&lt;Hta_4,$G103&gt;=Hba_4,Input!AE$24&lt;&gt;""),Input!$B$24&amp;";",""),IF(AND($G103&lt;Hta_5,$G103&gt;=Hba_5,Input!AE$25&lt;&gt;""),Input!$B$25&amp;";",""),IF(AND($G103&lt;Hta_6,$G103&gt;=Hba_6,Input!AE$26&lt;&gt;""),Input!$B$26&amp;";",""),IF(AND($G103&lt;Hta_7,$G103&gt;=Hba_7,Input!AE$27&lt;&gt;""),Input!$B$27&amp;";",""),IF(AND($G103&lt;Hta_8,$G103&gt;=Hba_8,Input!AE$28&lt;&gt;""),Input!$B$28&amp;";",""),IF(AND($G103&lt;Hta_9,$G103&gt;=Hba_9,Input!AE$29&lt;&gt;""),Input!$B$29&amp;";",""),IF(AND($G103&lt;Hta_10,$G103&gt;=Hba_10,Input!AE$30&lt;&gt;""),Input!$B$30&amp;";",""),IF(AND($G103&lt;Hta_11,$G103&gt;=Hba_11,Input!AE$31&lt;&gt;""),Input!$B$31&amp;";",""),IF(AND($G103&lt;Hta_12,$G103&gt;=Hba_12,Input!AE$32&lt;&gt;""),Input!$B$32&amp;";",""),IF(AND($G103&lt;Hta_13,$G103&gt;=Hba_13,Input!AE$33&lt;&gt;""),Input!$B$33&amp;";",""),IF(AND($G103&lt;Hta_14,$G103&gt;=Hba_14,Input!AE$34&lt;&gt;""),Input!$B$34&amp;";",""),IF(AND($G103&lt;Hta_15,$G103&gt;=Hba_15,Input!AE$35&lt;&gt;""),Input!$B$35&amp;";",""),IF(AND($G103&lt;Hta_16,$G103&gt;=Hba_16,Input!AE$36&lt;&gt;""),Input!$B$36&amp;";",""),IF(AND($G103&lt;Hta_17,$G103&gt;=Hba_17,Input!AE$37&lt;&gt;""),Input!$B$37&amp;";",""),IF(AND($G103&lt;Hta_18,$G103&gt;=Hba_18,Input!AE$38&lt;&gt;""),Input!$B$38&amp;";",""),IF(AND($G103&lt;Hta_19,$G103&gt;=Hba_19,Input!AE$39&lt;&gt;""),Input!$B$39&amp;";",""),IF(AND($G103&lt;Hta_20,$G103&gt;=Hba_20,Input!AE$40&lt;&gt;""),Input!$B$40&amp;";",""),IF(AND($G103&lt;Hta_21,$G103&gt;=Hba_21,Input!AE$41&lt;&gt;""),Input!$B$41&amp;";",""),IF(AND($G103&lt;Hta_22,$G103&gt;=Hba_22,Input!AE$42&lt;&gt;""),Input!$B$42&amp;";",""),IF(AND($G103&lt;Hta_23,$G103&gt;=Hba_23,Input!AE$43&lt;&gt;""),Input!$B$43&amp;";",""),IF(AND($G103&lt;Hta_24,$G103&gt;=Hba_24,Input!AE$44&lt;&gt;""),Input!$B$44&amp;";",""),IF(AND($G103&lt;Hta_25,$G103&gt;=Hba_25,Input!AE$45&lt;&gt;""),Input!$B$45&amp;";",""),IF(AND($G103&lt;Hta_26,$G103&gt;=Hba_26,Input!AE$46&lt;&gt;""),Input!$B$46&amp;";",""),IF(AND($G103&lt;Hta_27,$G103&gt;=Hba_27,Input!AE$47&lt;&gt;""),Input!$B$47&amp;";",""),IF(AND($G103&lt;Hta_28,$G103&gt;=Hba_28,Input!AE$48&lt;&gt;""),Input!$B$48&amp;";",""),IF(AND($G103&lt;Hta_29,$G103&gt;=Hba_29,Input!AE$49&lt;&gt;""),Input!$B$49&amp;";",""),IF(AND($G103&lt;Hta_30,$G103&gt;=Hba_30,Input!AE$50&lt;&gt;""),Input!$B$50&amp;";","")),"")</f>
        <v/>
      </c>
      <c r="CG103" s="25" t="str">
        <f>IFERROR(CONCATENATE(IF(AND($G103&lt;Hta_1,$G103&gt;=Hba_1,Input!AF$21&lt;&gt;""),Input!$B$21&amp;";",""),IF(AND($G103&lt;Hta_2,$G103&gt;=Hba_2,Input!AF$22&lt;&gt;""),Input!$B$22&amp;";",""),IF(AND($G103&lt;Hta_3,$G103&gt;=Hba_3,Input!AF$23&lt;&gt;""),Input!$B$23&amp;";",""),IF(AND($G103&lt;Hta_4,$G103&gt;=Hba_4,Input!AF$24&lt;&gt;""),Input!$B$24&amp;";",""),IF(AND($G103&lt;Hta_5,$G103&gt;=Hba_5,Input!AF$25&lt;&gt;""),Input!$B$25&amp;";",""),IF(AND($G103&lt;Hta_6,$G103&gt;=Hba_6,Input!AF$26&lt;&gt;""),Input!$B$26&amp;";",""),IF(AND($G103&lt;Hta_7,$G103&gt;=Hba_7,Input!AF$27&lt;&gt;""),Input!$B$27&amp;";",""),IF(AND($G103&lt;Hta_8,$G103&gt;=Hba_8,Input!AF$28&lt;&gt;""),Input!$B$28&amp;";",""),IF(AND($G103&lt;Hta_9,$G103&gt;=Hba_9,Input!AF$29&lt;&gt;""),Input!$B$29&amp;";",""),IF(AND($G103&lt;Hta_10,$G103&gt;=Hba_10,Input!AF$30&lt;&gt;""),Input!$B$30&amp;";",""),IF(AND($G103&lt;Hta_11,$G103&gt;=Hba_11,Input!AF$31&lt;&gt;""),Input!$B$31&amp;";",""),IF(AND($G103&lt;Hta_12,$G103&gt;=Hba_12,Input!AF$32&lt;&gt;""),Input!$B$32&amp;";",""),IF(AND($G103&lt;Hta_13,$G103&gt;=Hba_13,Input!AF$33&lt;&gt;""),Input!$B$33&amp;";",""),IF(AND($G103&lt;Hta_14,$G103&gt;=Hba_14,Input!AF$34&lt;&gt;""),Input!$B$34&amp;";",""),IF(AND($G103&lt;Hta_15,$G103&gt;=Hba_15,Input!AF$35&lt;&gt;""),Input!$B$35&amp;";",""),IF(AND($G103&lt;Hta_16,$G103&gt;=Hba_16,Input!AF$36&lt;&gt;""),Input!$B$36&amp;";",""),IF(AND($G103&lt;Hta_17,$G103&gt;=Hba_17,Input!AF$37&lt;&gt;""),Input!$B$37&amp;";",""),IF(AND($G103&lt;Hta_18,$G103&gt;=Hba_18,Input!AF$38&lt;&gt;""),Input!$B$38&amp;";",""),IF(AND($G103&lt;Hta_19,$G103&gt;=Hba_19,Input!AF$39&lt;&gt;""),Input!$B$39&amp;";",""),IF(AND($G103&lt;Hta_20,$G103&gt;=Hba_20,Input!AF$40&lt;&gt;""),Input!$B$40&amp;";",""),IF(AND($G103&lt;Hta_21,$G103&gt;=Hba_21,Input!AF$41&lt;&gt;""),Input!$B$41&amp;";",""),IF(AND($G103&lt;Hta_22,$G103&gt;=Hba_22,Input!AF$42&lt;&gt;""),Input!$B$42&amp;";",""),IF(AND($G103&lt;Hta_23,$G103&gt;=Hba_23,Input!AF$43&lt;&gt;""),Input!$B$43&amp;";",""),IF(AND($G103&lt;Hta_24,$G103&gt;=Hba_24,Input!AF$44&lt;&gt;""),Input!$B$44&amp;";",""),IF(AND($G103&lt;Hta_25,$G103&gt;=Hba_25,Input!AF$45&lt;&gt;""),Input!$B$45&amp;";",""),IF(AND($G103&lt;Hta_26,$G103&gt;=Hba_26,Input!AF$46&lt;&gt;""),Input!$B$46&amp;";",""),IF(AND($G103&lt;Hta_27,$G103&gt;=Hba_27,Input!AF$47&lt;&gt;""),Input!$B$47&amp;";",""),IF(AND($G103&lt;Hta_28,$G103&gt;=Hba_28,Input!AF$48&lt;&gt;""),Input!$B$48&amp;";",""),IF(AND($G103&lt;Hta_29,$G103&gt;=Hba_29,Input!AF$49&lt;&gt;""),Input!$B$49&amp;";",""),IF(AND($G103&lt;Hta_30,$G103&gt;=Hba_30,Input!AF$50&lt;&gt;""),Input!$B$50&amp;";","")),"")</f>
        <v/>
      </c>
      <c r="CH103" s="25" t="str">
        <f>IFERROR(CONCATENATE(IF(AND($G103&lt;Hta_1,$G103&gt;=Hba_1,Input!AG$21&lt;&gt;""),Input!$B$21&amp;";",""),IF(AND($G103&lt;Hta_2,$G103&gt;=Hba_2,Input!AG$22&lt;&gt;""),Input!$B$22&amp;";",""),IF(AND($G103&lt;Hta_3,$G103&gt;=Hba_3,Input!AG$23&lt;&gt;""),Input!$B$23&amp;";",""),IF(AND($G103&lt;Hta_4,$G103&gt;=Hba_4,Input!AG$24&lt;&gt;""),Input!$B$24&amp;";",""),IF(AND($G103&lt;Hta_5,$G103&gt;=Hba_5,Input!AG$25&lt;&gt;""),Input!$B$25&amp;";",""),IF(AND($G103&lt;Hta_6,$G103&gt;=Hba_6,Input!AG$26&lt;&gt;""),Input!$B$26&amp;";",""),IF(AND($G103&lt;Hta_7,$G103&gt;=Hba_7,Input!AG$27&lt;&gt;""),Input!$B$27&amp;";",""),IF(AND($G103&lt;Hta_8,$G103&gt;=Hba_8,Input!AG$28&lt;&gt;""),Input!$B$28&amp;";",""),IF(AND($G103&lt;Hta_9,$G103&gt;=Hba_9,Input!AG$29&lt;&gt;""),Input!$B$29&amp;";",""),IF(AND($G103&lt;Hta_10,$G103&gt;=Hba_10,Input!AG$30&lt;&gt;""),Input!$B$30&amp;";",""),IF(AND($G103&lt;Hta_11,$G103&gt;=Hba_11,Input!AG$31&lt;&gt;""),Input!$B$31&amp;";",""),IF(AND($G103&lt;Hta_12,$G103&gt;=Hba_12,Input!AG$32&lt;&gt;""),Input!$B$32&amp;";",""),IF(AND($G103&lt;Hta_13,$G103&gt;=Hba_13,Input!AG$33&lt;&gt;""),Input!$B$33&amp;";",""),IF(AND($G103&lt;Hta_14,$G103&gt;=Hba_14,Input!AG$34&lt;&gt;""),Input!$B$34&amp;";",""),IF(AND($G103&lt;Hta_15,$G103&gt;=Hba_15,Input!AG$35&lt;&gt;""),Input!$B$35&amp;";",""),IF(AND($G103&lt;Hta_16,$G103&gt;=Hba_16,Input!AG$36&lt;&gt;""),Input!$B$36&amp;";",""),IF(AND($G103&lt;Hta_17,$G103&gt;=Hba_17,Input!AG$37&lt;&gt;""),Input!$B$37&amp;";",""),IF(AND($G103&lt;Hta_18,$G103&gt;=Hba_18,Input!AG$38&lt;&gt;""),Input!$B$38&amp;";",""),IF(AND($G103&lt;Hta_19,$G103&gt;=Hba_19,Input!AG$39&lt;&gt;""),Input!$B$39&amp;";",""),IF(AND($G103&lt;Hta_20,$G103&gt;=Hba_20,Input!AG$40&lt;&gt;""),Input!$B$40&amp;";",""),IF(AND($G103&lt;Hta_21,$G103&gt;=Hba_21,Input!AG$41&lt;&gt;""),Input!$B$41&amp;";",""),IF(AND($G103&lt;Hta_22,$G103&gt;=Hba_22,Input!AG$42&lt;&gt;""),Input!$B$42&amp;";",""),IF(AND($G103&lt;Hta_23,$G103&gt;=Hba_23,Input!AG$43&lt;&gt;""),Input!$B$43&amp;";",""),IF(AND($G103&lt;Hta_24,$G103&gt;=Hba_24,Input!AG$44&lt;&gt;""),Input!$B$44&amp;";",""),IF(AND($G103&lt;Hta_25,$G103&gt;=Hba_25,Input!AG$45&lt;&gt;""),Input!$B$45&amp;";",""),IF(AND($G103&lt;Hta_26,$G103&gt;=Hba_26,Input!AG$46&lt;&gt;""),Input!$B$46&amp;";",""),IF(AND($G103&lt;Hta_27,$G103&gt;=Hba_27,Input!AG$47&lt;&gt;""),Input!$B$47&amp;";",""),IF(AND($G103&lt;Hta_28,$G103&gt;=Hba_28,Input!AG$48&lt;&gt;""),Input!$B$48&amp;";",""),IF(AND($G103&lt;Hta_29,$G103&gt;=Hba_29,Input!AG$49&lt;&gt;""),Input!$B$49&amp;";",""),IF(AND($G103&lt;Hta_30,$G103&gt;=Hba_30,Input!AG$50&lt;&gt;""),Input!$B$50&amp;";","")),"")</f>
        <v/>
      </c>
      <c r="CI103" s="25" t="str">
        <f>IFERROR(CONCATENATE(IF(AND($G103&lt;Hta_1,$G103&gt;=Hba_1,Input!AH$21&lt;&gt;""),Input!$B$21&amp;";",""),IF(AND($G103&lt;Hta_2,$G103&gt;=Hba_2,Input!AH$22&lt;&gt;""),Input!$B$22&amp;";",""),IF(AND($G103&lt;Hta_3,$G103&gt;=Hba_3,Input!AH$23&lt;&gt;""),Input!$B$23&amp;";",""),IF(AND($G103&lt;Hta_4,$G103&gt;=Hba_4,Input!AH$24&lt;&gt;""),Input!$B$24&amp;";",""),IF(AND($G103&lt;Hta_5,$G103&gt;=Hba_5,Input!AH$25&lt;&gt;""),Input!$B$25&amp;";",""),IF(AND($G103&lt;Hta_6,$G103&gt;=Hba_6,Input!AH$26&lt;&gt;""),Input!$B$26&amp;";",""),IF(AND($G103&lt;Hta_7,$G103&gt;=Hba_7,Input!AH$27&lt;&gt;""),Input!$B$27&amp;";",""),IF(AND($G103&lt;Hta_8,$G103&gt;=Hba_8,Input!AH$28&lt;&gt;""),Input!$B$28&amp;";",""),IF(AND($G103&lt;Hta_9,$G103&gt;=Hba_9,Input!AH$29&lt;&gt;""),Input!$B$29&amp;";",""),IF(AND($G103&lt;Hta_10,$G103&gt;=Hba_10,Input!AH$30&lt;&gt;""),Input!$B$30&amp;";",""),IF(AND($G103&lt;Hta_11,$G103&gt;=Hba_11,Input!AH$31&lt;&gt;""),Input!$B$31&amp;";",""),IF(AND($G103&lt;Hta_12,$G103&gt;=Hba_12,Input!AH$32&lt;&gt;""),Input!$B$32&amp;";",""),IF(AND($G103&lt;Hta_13,$G103&gt;=Hba_13,Input!AH$33&lt;&gt;""),Input!$B$33&amp;";",""),IF(AND($G103&lt;Hta_14,$G103&gt;=Hba_14,Input!AH$34&lt;&gt;""),Input!$B$34&amp;";",""),IF(AND($G103&lt;Hta_15,$G103&gt;=Hba_15,Input!AH$35&lt;&gt;""),Input!$B$35&amp;";",""),IF(AND($G103&lt;Hta_16,$G103&gt;=Hba_16,Input!AH$36&lt;&gt;""),Input!$B$36&amp;";",""),IF(AND($G103&lt;Hta_17,$G103&gt;=Hba_17,Input!AH$37&lt;&gt;""),Input!$B$37&amp;";",""),IF(AND($G103&lt;Hta_18,$G103&gt;=Hba_18,Input!AH$38&lt;&gt;""),Input!$B$38&amp;";",""),IF(AND($G103&lt;Hta_19,$G103&gt;=Hba_19,Input!AH$39&lt;&gt;""),Input!$B$39&amp;";",""),IF(AND($G103&lt;Hta_20,$G103&gt;=Hba_20,Input!AH$40&lt;&gt;""),Input!$B$40&amp;";",""),IF(AND($G103&lt;Hta_21,$G103&gt;=Hba_21,Input!AH$41&lt;&gt;""),Input!$B$41&amp;";",""),IF(AND($G103&lt;Hta_22,$G103&gt;=Hba_22,Input!AH$42&lt;&gt;""),Input!$B$42&amp;";",""),IF(AND($G103&lt;Hta_23,$G103&gt;=Hba_23,Input!AH$43&lt;&gt;""),Input!$B$43&amp;";",""),IF(AND($G103&lt;Hta_24,$G103&gt;=Hba_24,Input!AH$44&lt;&gt;""),Input!$B$44&amp;";",""),IF(AND($G103&lt;Hta_25,$G103&gt;=Hba_25,Input!AH$45&lt;&gt;""),Input!$B$45&amp;";",""),IF(AND($G103&lt;Hta_26,$G103&gt;=Hba_26,Input!AH$46&lt;&gt;""),Input!$B$46&amp;";",""),IF(AND($G103&lt;Hta_27,$G103&gt;=Hba_27,Input!AH$47&lt;&gt;""),Input!$B$47&amp;";",""),IF(AND($G103&lt;Hta_28,$G103&gt;=Hba_28,Input!AH$48&lt;&gt;""),Input!$B$48&amp;";",""),IF(AND($G103&lt;Hta_29,$G103&gt;=Hba_29,Input!AH$49&lt;&gt;""),Input!$B$49&amp;";",""),IF(AND($G103&lt;Hta_30,$G103&gt;=Hba_30,Input!AH$50&lt;&gt;""),Input!$B$50&amp;";","")),"")</f>
        <v/>
      </c>
      <c r="CJ103" s="25" t="str">
        <f>IFERROR(CONCATENATE(IF(AND($G103&lt;Hta_1,$G103&gt;=Hba_1,Input!AI$21&lt;&gt;""),Input!$B$21&amp;";",""),IF(AND($G103&lt;Hta_2,$G103&gt;=Hba_2,Input!AI$22&lt;&gt;""),Input!$B$22&amp;";",""),IF(AND($G103&lt;Hta_3,$G103&gt;=Hba_3,Input!AI$23&lt;&gt;""),Input!$B$23&amp;";",""),IF(AND($G103&lt;Hta_4,$G103&gt;=Hba_4,Input!AI$24&lt;&gt;""),Input!$B$24&amp;";",""),IF(AND($G103&lt;Hta_5,$G103&gt;=Hba_5,Input!AI$25&lt;&gt;""),Input!$B$25&amp;";",""),IF(AND($G103&lt;Hta_6,$G103&gt;=Hba_6,Input!AI$26&lt;&gt;""),Input!$B$26&amp;";",""),IF(AND($G103&lt;Hta_7,$G103&gt;=Hba_7,Input!AI$27&lt;&gt;""),Input!$B$27&amp;";",""),IF(AND($G103&lt;Hta_8,$G103&gt;=Hba_8,Input!AI$28&lt;&gt;""),Input!$B$28&amp;";",""),IF(AND($G103&lt;Hta_9,$G103&gt;=Hba_9,Input!AI$29&lt;&gt;""),Input!$B$29&amp;";",""),IF(AND($G103&lt;Hta_10,$G103&gt;=Hba_10,Input!AI$30&lt;&gt;""),Input!$B$30&amp;";",""),IF(AND($G103&lt;Hta_11,$G103&gt;=Hba_11,Input!AI$31&lt;&gt;""),Input!$B$31&amp;";",""),IF(AND($G103&lt;Hta_12,$G103&gt;=Hba_12,Input!AI$32&lt;&gt;""),Input!$B$32&amp;";",""),IF(AND($G103&lt;Hta_13,$G103&gt;=Hba_13,Input!AI$33&lt;&gt;""),Input!$B$33&amp;";",""),IF(AND($G103&lt;Hta_14,$G103&gt;=Hba_14,Input!AI$34&lt;&gt;""),Input!$B$34&amp;";",""),IF(AND($G103&lt;Hta_15,$G103&gt;=Hba_15,Input!AI$35&lt;&gt;""),Input!$B$35&amp;";",""),IF(AND($G103&lt;Hta_16,$G103&gt;=Hba_16,Input!AI$36&lt;&gt;""),Input!$B$36&amp;";",""),IF(AND($G103&lt;Hta_17,$G103&gt;=Hba_17,Input!AI$37&lt;&gt;""),Input!$B$37&amp;";",""),IF(AND($G103&lt;Hta_18,$G103&gt;=Hba_18,Input!AI$38&lt;&gt;""),Input!$B$38&amp;";",""),IF(AND($G103&lt;Hta_19,$G103&gt;=Hba_19,Input!AI$39&lt;&gt;""),Input!$B$39&amp;";",""),IF(AND($G103&lt;Hta_20,$G103&gt;=Hba_20,Input!AI$40&lt;&gt;""),Input!$B$40&amp;";",""),IF(AND($G103&lt;Hta_21,$G103&gt;=Hba_21,Input!AI$41&lt;&gt;""),Input!$B$41&amp;";",""),IF(AND($G103&lt;Hta_22,$G103&gt;=Hba_22,Input!AI$42&lt;&gt;""),Input!$B$42&amp;";",""),IF(AND($G103&lt;Hta_23,$G103&gt;=Hba_23,Input!AI$43&lt;&gt;""),Input!$B$43&amp;";",""),IF(AND($G103&lt;Hta_24,$G103&gt;=Hba_24,Input!AI$44&lt;&gt;""),Input!$B$44&amp;";",""),IF(AND($G103&lt;Hta_25,$G103&gt;=Hba_25,Input!AI$45&lt;&gt;""),Input!$B$45&amp;";",""),IF(AND($G103&lt;Hta_26,$G103&gt;=Hba_26,Input!AI$46&lt;&gt;""),Input!$B$46&amp;";",""),IF(AND($G103&lt;Hta_27,$G103&gt;=Hba_27,Input!AI$47&lt;&gt;""),Input!$B$47&amp;";",""),IF(AND($G103&lt;Hta_28,$G103&gt;=Hba_28,Input!AI$48&lt;&gt;""),Input!$B$48&amp;";",""),IF(AND($G103&lt;Hta_29,$G103&gt;=Hba_29,Input!AI$49&lt;&gt;""),Input!$B$49&amp;";",""),IF(AND($G103&lt;Hta_30,$G103&gt;=Hba_30,Input!AI$50&lt;&gt;""),Input!$B$50&amp;";","")),"")</f>
        <v/>
      </c>
      <c r="CK103" s="25" t="str">
        <f>IFERROR(CONCATENATE(IF(AND($G103&lt;Hta_1,$G103&gt;=Hba_1,Input!AJ$21&lt;&gt;""),Input!$B$21&amp;";",""),IF(AND($G103&lt;Hta_2,$G103&gt;=Hba_2,Input!AJ$22&lt;&gt;""),Input!$B$22&amp;";",""),IF(AND($G103&lt;Hta_3,$G103&gt;=Hba_3,Input!AJ$23&lt;&gt;""),Input!$B$23&amp;";",""),IF(AND($G103&lt;Hta_4,$G103&gt;=Hba_4,Input!AJ$24&lt;&gt;""),Input!$B$24&amp;";",""),IF(AND($G103&lt;Hta_5,$G103&gt;=Hba_5,Input!AJ$25&lt;&gt;""),Input!$B$25&amp;";",""),IF(AND($G103&lt;Hta_6,$G103&gt;=Hba_6,Input!AJ$26&lt;&gt;""),Input!$B$26&amp;";",""),IF(AND($G103&lt;Hta_7,$G103&gt;=Hba_7,Input!AJ$27&lt;&gt;""),Input!$B$27&amp;";",""),IF(AND($G103&lt;Hta_8,$G103&gt;=Hba_8,Input!AJ$28&lt;&gt;""),Input!$B$28&amp;";",""),IF(AND($G103&lt;Hta_9,$G103&gt;=Hba_9,Input!AJ$29&lt;&gt;""),Input!$B$29&amp;";",""),IF(AND($G103&lt;Hta_10,$G103&gt;=Hba_10,Input!AJ$30&lt;&gt;""),Input!$B$30&amp;";",""),IF(AND($G103&lt;Hta_11,$G103&gt;=Hba_11,Input!AJ$31&lt;&gt;""),Input!$B$31&amp;";",""),IF(AND($G103&lt;Hta_12,$G103&gt;=Hba_12,Input!AJ$32&lt;&gt;""),Input!$B$32&amp;";",""),IF(AND($G103&lt;Hta_13,$G103&gt;=Hba_13,Input!AJ$33&lt;&gt;""),Input!$B$33&amp;";",""),IF(AND($G103&lt;Hta_14,$G103&gt;=Hba_14,Input!AJ$34&lt;&gt;""),Input!$B$34&amp;";",""),IF(AND($G103&lt;Hta_15,$G103&gt;=Hba_15,Input!AJ$35&lt;&gt;""),Input!$B$35&amp;";",""),IF(AND($G103&lt;Hta_16,$G103&gt;=Hba_16,Input!AJ$36&lt;&gt;""),Input!$B$36&amp;";",""),IF(AND($G103&lt;Hta_17,$G103&gt;=Hba_17,Input!AJ$37&lt;&gt;""),Input!$B$37&amp;";",""),IF(AND($G103&lt;Hta_18,$G103&gt;=Hba_18,Input!AJ$38&lt;&gt;""),Input!$B$38&amp;";",""),IF(AND($G103&lt;Hta_19,$G103&gt;=Hba_19,Input!AJ$39&lt;&gt;""),Input!$B$39&amp;";",""),IF(AND($G103&lt;Hta_20,$G103&gt;=Hba_20,Input!AJ$40&lt;&gt;""),Input!$B$40&amp;";",""),IF(AND($G103&lt;Hta_21,$G103&gt;=Hba_21,Input!AJ$41&lt;&gt;""),Input!$B$41&amp;";",""),IF(AND($G103&lt;Hta_22,$G103&gt;=Hba_22,Input!AJ$42&lt;&gt;""),Input!$B$42&amp;";",""),IF(AND($G103&lt;Hta_23,$G103&gt;=Hba_23,Input!AJ$43&lt;&gt;""),Input!$B$43&amp;";",""),IF(AND($G103&lt;Hta_24,$G103&gt;=Hba_24,Input!AJ$44&lt;&gt;""),Input!$B$44&amp;";",""),IF(AND($G103&lt;Hta_25,$G103&gt;=Hba_25,Input!AJ$45&lt;&gt;""),Input!$B$45&amp;";",""),IF(AND($G103&lt;Hta_26,$G103&gt;=Hba_26,Input!AJ$46&lt;&gt;""),Input!$B$46&amp;";",""),IF(AND($G103&lt;Hta_27,$G103&gt;=Hba_27,Input!AJ$47&lt;&gt;""),Input!$B$47&amp;";",""),IF(AND($G103&lt;Hta_28,$G103&gt;=Hba_28,Input!AJ$48&lt;&gt;""),Input!$B$48&amp;";",""),IF(AND($G103&lt;Hta_29,$G103&gt;=Hba_29,Input!AJ$49&lt;&gt;""),Input!$B$49&amp;";",""),IF(AND($G103&lt;Hta_30,$G103&gt;=Hba_30,Input!AJ$50&lt;&gt;""),Input!$B$50&amp;";","")),"")</f>
        <v/>
      </c>
      <c r="CL103" s="25" t="str">
        <f>IFERROR(CONCATENATE(IF(AND($G103&lt;Hta_1,$G103&gt;=Hba_1,Input!AK$21&lt;&gt;""),Input!$B$21&amp;";",""),IF(AND($G103&lt;Hta_2,$G103&gt;=Hba_2,Input!AK$22&lt;&gt;""),Input!$B$22&amp;";",""),IF(AND($G103&lt;Hta_3,$G103&gt;=Hba_3,Input!AK$23&lt;&gt;""),Input!$B$23&amp;";",""),IF(AND($G103&lt;Hta_4,$G103&gt;=Hba_4,Input!AK$24&lt;&gt;""),Input!$B$24&amp;";",""),IF(AND($G103&lt;Hta_5,$G103&gt;=Hba_5,Input!AK$25&lt;&gt;""),Input!$B$25&amp;";",""),IF(AND($G103&lt;Hta_6,$G103&gt;=Hba_6,Input!AK$26&lt;&gt;""),Input!$B$26&amp;";",""),IF(AND($G103&lt;Hta_7,$G103&gt;=Hba_7,Input!AK$27&lt;&gt;""),Input!$B$27&amp;";",""),IF(AND($G103&lt;Hta_8,$G103&gt;=Hba_8,Input!AK$28&lt;&gt;""),Input!$B$28&amp;";",""),IF(AND($G103&lt;Hta_9,$G103&gt;=Hba_9,Input!AK$29&lt;&gt;""),Input!$B$29&amp;";",""),IF(AND($G103&lt;Hta_10,$G103&gt;=Hba_10,Input!AK$30&lt;&gt;""),Input!$B$30&amp;";",""),IF(AND($G103&lt;Hta_11,$G103&gt;=Hba_11,Input!AK$31&lt;&gt;""),Input!$B$31&amp;";",""),IF(AND($G103&lt;Hta_12,$G103&gt;=Hba_12,Input!AK$32&lt;&gt;""),Input!$B$32&amp;";",""),IF(AND($G103&lt;Hta_13,$G103&gt;=Hba_13,Input!AK$33&lt;&gt;""),Input!$B$33&amp;";",""),IF(AND($G103&lt;Hta_14,$G103&gt;=Hba_14,Input!AK$34&lt;&gt;""),Input!$B$34&amp;";",""),IF(AND($G103&lt;Hta_15,$G103&gt;=Hba_15,Input!AK$35&lt;&gt;""),Input!$B$35&amp;";",""),IF(AND($G103&lt;Hta_16,$G103&gt;=Hba_16,Input!AK$36&lt;&gt;""),Input!$B$36&amp;";",""),IF(AND($G103&lt;Hta_17,$G103&gt;=Hba_17,Input!AK$37&lt;&gt;""),Input!$B$37&amp;";",""),IF(AND($G103&lt;Hta_18,$G103&gt;=Hba_18,Input!AK$38&lt;&gt;""),Input!$B$38&amp;";",""),IF(AND($G103&lt;Hta_19,$G103&gt;=Hba_19,Input!AK$39&lt;&gt;""),Input!$B$39&amp;";",""),IF(AND($G103&lt;Hta_20,$G103&gt;=Hba_20,Input!AK$40&lt;&gt;""),Input!$B$40&amp;";",""),IF(AND($G103&lt;Hta_21,$G103&gt;=Hba_21,Input!AK$41&lt;&gt;""),Input!$B$41&amp;";",""),IF(AND($G103&lt;Hta_22,$G103&gt;=Hba_22,Input!AK$42&lt;&gt;""),Input!$B$42&amp;";",""),IF(AND($G103&lt;Hta_23,$G103&gt;=Hba_23,Input!AK$43&lt;&gt;""),Input!$B$43&amp;";",""),IF(AND($G103&lt;Hta_24,$G103&gt;=Hba_24,Input!AK$44&lt;&gt;""),Input!$B$44&amp;";",""),IF(AND($G103&lt;Hta_25,$G103&gt;=Hba_25,Input!AK$45&lt;&gt;""),Input!$B$45&amp;";",""),IF(AND($G103&lt;Hta_26,$G103&gt;=Hba_26,Input!AK$46&lt;&gt;""),Input!$B$46&amp;";",""),IF(AND($G103&lt;Hta_27,$G103&gt;=Hba_27,Input!AK$47&lt;&gt;""),Input!$B$47&amp;";",""),IF(AND($G103&lt;Hta_28,$G103&gt;=Hba_28,Input!AK$48&lt;&gt;""),Input!$B$48&amp;";",""),IF(AND($G103&lt;Hta_29,$G103&gt;=Hba_29,Input!AK$49&lt;&gt;""),Input!$B$49&amp;";",""),IF(AND($G103&lt;Hta_30,$G103&gt;=Hba_30,Input!AK$50&lt;&gt;""),Input!$B$50&amp;";","")),"")</f>
        <v/>
      </c>
      <c r="CM103" s="25" t="str">
        <f>IFERROR(CONCATENATE(IF(AND($G103&lt;Hta_1,$G103&gt;=Hba_1,Input!AL$21&lt;&gt;""),Input!$B$21&amp;";",""),IF(AND($G103&lt;Hta_2,$G103&gt;=Hba_2,Input!AL$22&lt;&gt;""),Input!$B$22&amp;";",""),IF(AND($G103&lt;Hta_3,$G103&gt;=Hba_3,Input!AL$23&lt;&gt;""),Input!$B$23&amp;";",""),IF(AND($G103&lt;Hta_4,$G103&gt;=Hba_4,Input!AL$24&lt;&gt;""),Input!$B$24&amp;";",""),IF(AND($G103&lt;Hta_5,$G103&gt;=Hba_5,Input!AL$25&lt;&gt;""),Input!$B$25&amp;";",""),IF(AND($G103&lt;Hta_6,$G103&gt;=Hba_6,Input!AL$26&lt;&gt;""),Input!$B$26&amp;";",""),IF(AND($G103&lt;Hta_7,$G103&gt;=Hba_7,Input!AL$27&lt;&gt;""),Input!$B$27&amp;";",""),IF(AND($G103&lt;Hta_8,$G103&gt;=Hba_8,Input!AL$28&lt;&gt;""),Input!$B$28&amp;";",""),IF(AND($G103&lt;Hta_9,$G103&gt;=Hba_9,Input!AL$29&lt;&gt;""),Input!$B$29&amp;";",""),IF(AND($G103&lt;Hta_10,$G103&gt;=Hba_10,Input!AL$30&lt;&gt;""),Input!$B$30&amp;";",""),IF(AND($G103&lt;Hta_11,$G103&gt;=Hba_11,Input!AL$31&lt;&gt;""),Input!$B$31&amp;";",""),IF(AND($G103&lt;Hta_12,$G103&gt;=Hba_12,Input!AL$32&lt;&gt;""),Input!$B$32&amp;";",""),IF(AND($G103&lt;Hta_13,$G103&gt;=Hba_13,Input!AL$33&lt;&gt;""),Input!$B$33&amp;";",""),IF(AND($G103&lt;Hta_14,$G103&gt;=Hba_14,Input!AL$34&lt;&gt;""),Input!$B$34&amp;";",""),IF(AND($G103&lt;Hta_15,$G103&gt;=Hba_15,Input!AL$35&lt;&gt;""),Input!$B$35&amp;";",""),IF(AND($G103&lt;Hta_16,$G103&gt;=Hba_16,Input!AL$36&lt;&gt;""),Input!$B$36&amp;";",""),IF(AND($G103&lt;Hta_17,$G103&gt;=Hba_17,Input!AL$37&lt;&gt;""),Input!$B$37&amp;";",""),IF(AND($G103&lt;Hta_18,$G103&gt;=Hba_18,Input!AL$38&lt;&gt;""),Input!$B$38&amp;";",""),IF(AND($G103&lt;Hta_19,$G103&gt;=Hba_19,Input!AL$39&lt;&gt;""),Input!$B$39&amp;";",""),IF(AND($G103&lt;Hta_20,$G103&gt;=Hba_20,Input!AL$40&lt;&gt;""),Input!$B$40&amp;";",""),IF(AND($G103&lt;Hta_21,$G103&gt;=Hba_21,Input!AL$41&lt;&gt;""),Input!$B$41&amp;";",""),IF(AND($G103&lt;Hta_22,$G103&gt;=Hba_22,Input!AL$42&lt;&gt;""),Input!$B$42&amp;";",""),IF(AND($G103&lt;Hta_23,$G103&gt;=Hba_23,Input!AL$43&lt;&gt;""),Input!$B$43&amp;";",""),IF(AND($G103&lt;Hta_24,$G103&gt;=Hba_24,Input!AL$44&lt;&gt;""),Input!$B$44&amp;";",""),IF(AND($G103&lt;Hta_25,$G103&gt;=Hba_25,Input!AL$45&lt;&gt;""),Input!$B$45&amp;";",""),IF(AND($G103&lt;Hta_26,$G103&gt;=Hba_26,Input!AL$46&lt;&gt;""),Input!$B$46&amp;";",""),IF(AND($G103&lt;Hta_27,$G103&gt;=Hba_27,Input!AL$47&lt;&gt;""),Input!$B$47&amp;";",""),IF(AND($G103&lt;Hta_28,$G103&gt;=Hba_28,Input!AL$48&lt;&gt;""),Input!$B$48&amp;";",""),IF(AND($G103&lt;Hta_29,$G103&gt;=Hba_29,Input!AL$49&lt;&gt;""),Input!$B$49&amp;";",""),IF(AND($G103&lt;Hta_30,$G103&gt;=Hba_30,Input!AL$50&lt;&gt;""),Input!$B$50&amp;";","")),"")</f>
        <v/>
      </c>
      <c r="CN103" s="60" t="str">
        <f t="shared" si="16"/>
        <v/>
      </c>
      <c r="CO103" s="798"/>
      <c r="CP103" s="799"/>
      <c r="CQ103" s="800"/>
      <c r="CR103" s="798"/>
      <c r="CS103" s="799"/>
      <c r="CT103" s="800"/>
      <c r="CU103" s="798" t="str">
        <f t="shared" si="17"/>
        <v/>
      </c>
      <c r="CV103" s="799"/>
      <c r="CW103" s="806"/>
      <c r="CX103" s="726"/>
      <c r="CY103" s="727"/>
      <c r="CZ103" s="732"/>
      <c r="DA103" s="726"/>
      <c r="DB103" s="727"/>
      <c r="DC103" s="732"/>
      <c r="DD103" s="726" t="str">
        <f t="shared" si="18"/>
        <v/>
      </c>
      <c r="DE103" s="727"/>
      <c r="DF103" s="728"/>
      <c r="DG103" s="53"/>
      <c r="DH103" s="54"/>
      <c r="DI103" s="54"/>
      <c r="DJ103" s="54"/>
      <c r="DK103" s="54"/>
      <c r="DL103" s="54"/>
      <c r="DM103" s="54"/>
      <c r="DN103" s="54"/>
      <c r="DO103" s="54"/>
      <c r="DP103" s="54"/>
      <c r="DQ103" s="57"/>
      <c r="DR103" s="57"/>
      <c r="DS103" s="57"/>
      <c r="DT103" s="57"/>
      <c r="DU103" s="57"/>
      <c r="DV103" s="57"/>
      <c r="DW103" s="57"/>
      <c r="DX103" s="57"/>
      <c r="DY103" s="57"/>
      <c r="DZ103" s="57"/>
      <c r="EA103" s="57"/>
      <c r="EB103" s="57"/>
      <c r="EC103" s="57"/>
      <c r="ED103" s="57"/>
      <c r="EE103" s="57"/>
      <c r="EF103" s="57"/>
      <c r="EG103" s="57"/>
      <c r="EH103" s="57"/>
      <c r="EI103" s="57"/>
      <c r="EJ103" s="57"/>
      <c r="EK103" s="57"/>
      <c r="EL103" s="133"/>
      <c r="EM103" s="133"/>
      <c r="EN103" s="133"/>
      <c r="EO103" s="133"/>
      <c r="EP103" s="133"/>
      <c r="EQ103" s="133"/>
      <c r="ER103" s="133"/>
      <c r="ES103" s="133"/>
      <c r="ET103" s="133"/>
      <c r="EU103" s="133"/>
      <c r="EV103" s="133"/>
      <c r="EW103" s="133"/>
      <c r="EX103" s="133"/>
      <c r="EY103" s="133"/>
      <c r="EZ103" s="133"/>
      <c r="FA103" s="133"/>
      <c r="FB103" s="133"/>
      <c r="FC103" s="133"/>
      <c r="FD103" s="133"/>
      <c r="FE103" s="133"/>
      <c r="FF103" s="133"/>
      <c r="FG103" s="133"/>
      <c r="FH103" s="133"/>
      <c r="FI103" s="133"/>
      <c r="FJ103" s="133"/>
      <c r="FK103" s="133"/>
      <c r="FL103" s="133"/>
      <c r="FM103" s="133"/>
      <c r="FN103" s="133"/>
      <c r="FO103" s="133"/>
      <c r="FQ103" s="125"/>
      <c r="FR103" s="123"/>
      <c r="FS103" s="121"/>
      <c r="FT103" s="119"/>
    </row>
    <row r="104" spans="2:176" ht="15.75" hidden="1" thickBot="1" x14ac:dyDescent="0.3">
      <c r="B104" s="62" t="b">
        <f>IF(OR(AND(G104&gt;='Geometry 2'!$AK$5,G104&lt;'Geometry 2'!$AL$5),AND(G104&gt;='Geometry 2'!$AK$6,G104&lt;'Geometry 2'!$AL$6),AND(G104&gt;='Geometry 2'!$AK$7,G104&lt;'Geometry 2'!$AL$7),AND(G104&gt;='Geometry 2'!$AK$8,G104&lt;'Geometry 2'!$AL$8),AND(G104&gt;='Geometry 2'!$AK$9,G104&lt;'Geometry 2'!$AL$9),AND(G104&gt;='Geometry 2'!$AK$10,G104&lt;'Geometry 2'!$AL$10),AND(G104&gt;='Geometry 2'!$AK$11,G104&lt;'Geometry 2'!$AL$11),AND(G104&gt;='Geometry 2'!$AK$12,G104&lt;'Geometry 2'!$AL$12),AND(G104&gt;='Geometry 2'!$AK$13,G104&lt;'Geometry 2'!$AL$13),AND(G104&gt;='Geometry 2'!$AK$14,G104&lt;'Geometry 2'!$AL$14)),TRUE,FALSE)</f>
        <v>0</v>
      </c>
      <c r="C104" s="4" t="str">
        <f t="shared" si="13"/>
        <v/>
      </c>
      <c r="D104" s="779" t="str">
        <f t="shared" si="14"/>
        <v/>
      </c>
      <c r="E104" s="780"/>
      <c r="F104" s="227" t="str">
        <f t="shared" si="12"/>
        <v/>
      </c>
      <c r="G104" s="781" t="str">
        <f>IF(D104="","",MAX(0,G103-IF(inc="n/a",999,inc),MAX(IF(G103&lt;=Hta_1,0,Hta_1),IF(G103&lt;=Hta_2,0,Hta_2),IF(G103&lt;=Hta_3,0,Hta_3),IF(G103&lt;=Hta_4,0,Hta_4),IF(G103&lt;=Hta_5,0,Hta_5),IF(G103&lt;=Hta_6,0,Hta_6),IF(G103&lt;=Hta_7,0,Hta_7),IF(G103&lt;=Hta_8,0,Hta_8),IF(G103&lt;=Hta_9,0,Hta_9),IF(G103&lt;=Hta_10,0,Hta_10),IF(G103&lt;=Hta_11,0,Hta_11),IF(G103&lt;=Hta_12,0,Hta_12),IF(G103&lt;=Hta_13,0,Hta_13),IF(G103&lt;=Hta_14,0,Hta_14),IF(G103&lt;=Hta_15,0,Hta_15),IF(G103&lt;=Hta_16,0,Hta_16),IF(G103&lt;=Hta_17,0,Hta_17),IF(G103&lt;=Hta_18,0,Hta_18),IF(G103&lt;=Hta_19,0,Hta_19),IF(G103&lt;=Hta_20,0,Hta_20),IF(G103&lt;=Hta_21,0,Hta_21),IF(G103&lt;=Hta_22,0,Hta_22),IF(G103&lt;=Hta_23,0,Hta_23),IF(G103&lt;=Hta_24,0,Hta_24),IF(G103&lt;=Hta_25,0,Hta_25),IF(G103&lt;=Hta_26,0,Hta_26),IF(G103&lt;=Hta_27,0,Hta_27),IF(G103&lt;=Hta_28,0,Hta_28),IF(G103&lt;=Hta_29,0,Hta_29),IF(G103&lt;=Hta_30,0,Hta_30)),MAX(IF(G103&lt;=Hta_1-0.25,0,Hta_1-0.25),IF(G103&lt;=Hta_2-0.25,0,Hta_2-0.25),IF(G103&lt;=Hta_3-0.25,0,Hta_3-0.25),IF(G103&lt;=Hta_4-0.25,0,Hta_4-0.25),IF(G103&lt;=Hta_5-0.25,0,Hta_5-0.25),IF(G103&lt;=Hta_6-0.25,0,Hta_6-0.25),IF(G103&lt;=Hta_7-0.25,0,Hta_7-0.25),IF(G103&lt;=Hta_8-0.25,0,Hta_8-0.25),IF(G103&lt;=Hta_9-0.25,0,Hta_9-0.25),IF(G103&lt;=Hta_10-0.25,0,Hta_10-0.25),IF(G103&lt;=Hta_11-0.25,0,Hta_11-0.25),IF(G103&lt;=Hta_12-0.25,0,Hta_12-0.25),IF(G103&lt;=Hta_13-0.25,0,Hta_13-0.25),IF(G103&lt;=Hta_14-0.25,0,Hta_14-0.25),IF(G103&lt;=Hta_15-0.25,0,Hta_15-0.25),IF(G103&lt;=Hta_16-0.25,0,Hta_16-0.25),IF(G103&lt;=Hta_17-0.25,0,Hta_17-0.25),IF(G103&lt;=Hta_18-0.25,0,Hta_18-0.25),IF(G103&lt;=Hta_19-0.25,0,Hta_19-0.25),IF(G103&lt;=Hta_20-0.25,0,Hta_20-0.25),IF(G103&lt;=Hta_21-0.25,0,Hta_21-0.25),IF(G103&lt;=Hta_22-0.25,0,Hta_22-0.25),IF(G103&lt;=Hta_23-0.25,0,Hta_23-0.25),IF(G103&lt;=Hta_24-0.25,0,Hta_24-0.25),IF(G103&lt;=Hta_25-0.25,0,Hta_25-0.25),IF(G103&lt;=Hta_26-0.25,0,Hta_26-0.25),IF(G103&lt;=Hta_27-0.25,0,Hta_27-0.25),IF(G103&lt;=Hta_28-0.25,0,Hta_28-0.25),IF(G103&lt;=Hta_29-0.25,0,Hta_29-0.25),IF(G103&lt;=Hta_30-0.25,0,Hta_30-0.25)),MAX(IF(G103&lt;=Hba_1,0,Hba_1),IF(G103&lt;=Hba_2,0,Hba_2),IF(G103&lt;=Hba_3,0,Hba_3),IF(G103&lt;=Hba_4,0,Hba_4),IF(G103&lt;=Hba_5,0,Hba_5),IF(G103&lt;=Hba_6,0,Hba_6),IF(G103&lt;=Hba_7,0,Hba_7),IF(G103&lt;=Hba_8,0,Hba_8),IF(G103&lt;=Hba_9,0,Hba_9),IF(G103&lt;=Hba_10,0,Hba_10),IF(G103&lt;=Hba_11,0,Hba_11),IF(G103&lt;=Hba_12,0,Hba_12),IF(G103&lt;=Hba_13,0,Hba_13),IF(G103&lt;=Hba_14,0,Hba_14),IF(G103&lt;=Hba_15,0,Hba_15),IF(G103&lt;=Hba_16,0,Hba_16),IF(G103&lt;=Hba_17,0,Hba_17),IF(G103&lt;=Hba_18,0,Hba_18),IF(G103&lt;=Hba_19,0,Hba_19),IF(G103&lt;=Hba_20,0,Hba_20),IF(G103&lt;=Hba_21,0,Hba_21),IF(G103&lt;=Hba_22,0,Hba_22),IF(G103&lt;=Hba_23,0,Hba_23),IF(G103&lt;=Hba_24,0,Hba_24),IF(G103&lt;=Hba_25,0,Hba_25),IF(G103&lt;=Hba_26,0,Hba_26),IF(G103&lt;=Hba_27,0,Hba_27),IF(G103&lt;=Hba_28,0,Hba_28),IF(G103&lt;=Hba_29,0,Hba_29),IF(G103&lt;=Hba_30,0,Hba_30)),MAX(IF(G103&lt;=Input!$C$8,0,Input!$C$8),IF(G103&lt;=Input!$C$9,0,Input!$C$9),IF(G103&lt;=Input!$C$10,0,Input!$C$10),IF(G103&lt;=Input!$C$11,0,Input!$C$11),IF(G103&lt;=Input!$C$12,0,Input!$C$12),IF(G103&lt;=Input!$C$13,0,Input!$C$13),IF(G103&lt;=Input!$C$14,0,Input!$C$14),IF(G103&lt;=Input!$C$15,0,Input!$C$15),IF(G103&lt;=Input!$C$16,0,Input!$C$16)),MAX(IF(G103&lt;=Hba_1-0.25,0,Hba_1-0.25),IF(G103&lt;=Hba_2-0.25,0,Hba_2-0.25),IF(G103&lt;=Hba_3-0.25,0,Hba_3-0.25),IF(G103&lt;=Hba_4-0.25,0,Hba_4-0.25),IF(G103&lt;=Hba_5-0.25,0,Hba_5-0.25),IF(G103&lt;=Hba_6-0.25,0,Hba_6-0.25),IF(G103&lt;=Hba_7-0.25,0,Hba_7-0.25),IF(G103&lt;=Hba_8-0.25,0,Hba_8-0.25),IF(G103&lt;=Hba_9-0.25,0,Hba_9-0.25),IF(G103&lt;=Hba_10-0.25,0,Hba_10-0.25),IF(G103&lt;=Hba_11-0.25,0,Hba_11-0.25),IF(G103&lt;=Hba_12-0.25,0,Hba_12-0.25),IF(G103&lt;=Hba_13-0.25,0,Hba_13-0.25),IF(G103&lt;=Hba_14-0.25,0,Hba_14-0.25),IF(G103&lt;=Hba_15-0.25,0,Hba_15-0.25),IF(G103&lt;=Hba_16-0.25,0,Hba_16-0.25),IF(G103&lt;=Hba_17-0.25,0,Hba_17-0.25),IF(G103&lt;=Hba_18-0.25,0,Hba_18-0.25),IF(G103&lt;=Hba_19-0.25,0,Hba_19-0.25),IF(G103&lt;=Hba_20-0.25,0,Hba_20-0.25),IF(G103&lt;=Hba_21-0.25,0,Hba_21-0.25),IF(G103&lt;=Hba_22-0.25,0,Hba_22-0.25),IF(G103&lt;=Hba_23-0.25,0,Hba_23-0.25),IF(G103&lt;=Hba_24-0.25,0,Hba_24-0.25),IF(G103&lt;=Hba_25-0.25,0,Hba_25-0.25),IF(G103&lt;=Hba_26-0.25,0,Hba_26-0.25),IF(G103&lt;=Hba_27-0.25,0,Hba_27-0.25),IF(G103&lt;=Hba_28-0.25,0,Hba_28-0.25),IF(G103&lt;=Hba_29-0.25,0,Hba_29-0.25),IF(G103&lt;=Hba_30-0.25,0,Hba_30-0.25)),IF(G103&lt;='Macro References'!$A$38,0,'Macro References'!$A$38)))</f>
        <v/>
      </c>
      <c r="H104" s="782"/>
      <c r="I104" s="229"/>
      <c r="J104" s="229"/>
      <c r="K104" s="229"/>
      <c r="L104" s="771" t="str">
        <f t="shared" si="11"/>
        <v/>
      </c>
      <c r="M104" s="771"/>
      <c r="N104" s="771"/>
      <c r="O104" s="771"/>
      <c r="P104" s="771" t="str">
        <f>IF(OR(G104=0,G104=""),"",IF(VLOOKUP(G104,'Geometry 2'!$C$4:$AI$14,1,TRUE)=VLOOKUP(G106,'Geometry 2'!$C$4:$AI$14,1,TRUE),"",IF(VLOOKUP(G104,'Geometry 2'!$C$4:$AI$14,33,TRUE)&lt;&gt;"n/a",MIN(G104,VLOOKUP(G104,'Geometry 2'!$C$4:$AI$14,1,TRUE))-VLOOKUP(G104,'Geometry 2'!$C$4:$AI$14,33,TRUE),"check")))</f>
        <v/>
      </c>
      <c r="Q104" s="771"/>
      <c r="R104" s="771"/>
      <c r="S104" s="771"/>
      <c r="T104" s="771" t="str">
        <f>IF($G104="","",VLOOKUP($G104,'Geometry 2'!$E$4:$AH$14,11,TRUE))</f>
        <v/>
      </c>
      <c r="U104" s="771"/>
      <c r="V104" s="771"/>
      <c r="W104" s="771"/>
      <c r="X104" s="753" t="str">
        <f>IF($G104="","",VLOOKUP($G104,'Geometry 2'!$E$4:$AJ$14,19,TRUE)-12*VLOOKUP($G104,'Geometry 2'!$E$4:$AJ$14,32,TRUE)*($D104-VLOOKUP($G104,'Geometry 2'!$E$5:$AH$14,1,TRUE)))</f>
        <v/>
      </c>
      <c r="Y104" s="753"/>
      <c r="Z104" s="753"/>
      <c r="AA104" s="753"/>
      <c r="AB104" s="773" t="str">
        <f>IF($G104="","",VLOOKUP($G104,'Geometry 2'!$E$4:$AJ$14,19,TRUE)-12*VLOOKUP($G104,'Geometry 2'!$E$4:$AJ$14,32,TRUE)*($G104-VLOOKUP($G104,'Geometry 2'!$E$5:$AH$14,1,TRUE)))</f>
        <v/>
      </c>
      <c r="AC104" s="774"/>
      <c r="AD104" s="774"/>
      <c r="AE104" s="775"/>
      <c r="AF104" s="753" t="str">
        <f>IF($G104="","",VLOOKUP($G104,'Geometry 2'!$E$4:$AJ$14,19,TRUE)-12*VLOOKUP($G104,'Geometry 2'!$E$4:$AJ$14,32,TRUE)*($G104-IF($P104="",0,$P104)-VLOOKUP($G104,'Geometry 2'!$E$5:$AH$14,1,TRUE)))</f>
        <v/>
      </c>
      <c r="AG104" s="753"/>
      <c r="AH104" s="753"/>
      <c r="AI104" s="753"/>
      <c r="AJ104" s="776" t="str">
        <f>IF($G104="","",VLOOKUP($G104,'Geometry 2'!$E$4:$AH$14,23,TRUE))</f>
        <v/>
      </c>
      <c r="AK104" s="777"/>
      <c r="AL104" s="777"/>
      <c r="AM104" s="778"/>
      <c r="AN104" s="771"/>
      <c r="AO104" s="771"/>
      <c r="AP104" s="771"/>
      <c r="AQ104" s="771"/>
      <c r="AR104" s="771" t="str">
        <f>IF($G104="","",VLOOKUP($G104,'Geometry 2'!$E$4:$AH$14,27,TRUE))</f>
        <v/>
      </c>
      <c r="AS104" s="771"/>
      <c r="AT104" s="771"/>
      <c r="AU104" s="772"/>
      <c r="AV104" s="752"/>
      <c r="AW104" s="753"/>
      <c r="AX104" s="753"/>
      <c r="AZ104" s="722" t="str">
        <f t="shared" si="15"/>
        <v/>
      </c>
      <c r="BA104" s="723"/>
      <c r="BB104" s="723"/>
      <c r="BC104" s="724"/>
      <c r="BD104" s="722"/>
      <c r="BE104" s="723"/>
      <c r="BF104" s="723"/>
      <c r="BG104" s="722" t="str">
        <f t="shared" si="19"/>
        <v/>
      </c>
      <c r="BH104" s="723"/>
      <c r="BI104" s="723"/>
      <c r="BJ104" s="723"/>
      <c r="BK104" s="724"/>
      <c r="BL104" s="722"/>
      <c r="BM104" s="723"/>
      <c r="BN104" s="723"/>
      <c r="BO104" s="723"/>
      <c r="BP104" s="725"/>
      <c r="BQ104" s="725"/>
      <c r="BR104" s="722" t="str">
        <f>IF(BP104="","",IF(OR(AND(Rev="H",Calculations!$F$27=TRUE),AND(Rev&lt;&gt;"H",Calculations!$F$30=TRUE)),IF(BP104&lt;=1,"Pass","Fail"),IF(BP104&lt;=1.05,"Pass","Fail")))</f>
        <v/>
      </c>
      <c r="BS104" s="723"/>
      <c r="BT104" s="724"/>
      <c r="BU104" s="49"/>
      <c r="BV104" s="25" t="str">
        <f>IFERROR(CONCATENATE(IF(AND($G104&lt;Hta_1,$G104&gt;=Hba_1,Input!U$21&lt;&gt;""),Input!$B$21&amp;";",""),IF(AND($G104&lt;Hta_2,$G104&gt;=Hba_2,Input!U$22&lt;&gt;""),Input!$B$22&amp;";",""),IF(AND($G104&lt;Hta_3,$G104&gt;=Hba_3,Input!U$23&lt;&gt;""),Input!$B$23&amp;";",""),IF(AND($G104&lt;Hta_4,$G104&gt;=Hba_4,Input!U$24&lt;&gt;""),Input!$B$24&amp;";",""),IF(AND($G104&lt;Hta_5,$G104&gt;=Hba_5,Input!U$25&lt;&gt;""),Input!$B$25&amp;";",""),IF(AND($G104&lt;Hta_6,$G104&gt;=Hba_6,Input!U$26&lt;&gt;""),Input!$B$26&amp;";",""),IF(AND($G104&lt;Hta_7,$G104&gt;=Hba_7,Input!U$27&lt;&gt;""),Input!$B$27&amp;";",""),IF(AND($G104&lt;Hta_8,$G104&gt;=Hba_8,Input!U$28&lt;&gt;""),Input!$B$28&amp;";",""),IF(AND($G104&lt;Hta_9,$G104&gt;=Hba_9,Input!U$29&lt;&gt;""),Input!$B$29&amp;";",""),IF(AND($G104&lt;Hta_10,$G104&gt;=Hba_10,Input!U$30&lt;&gt;""),Input!$B$30&amp;";",""),IF(AND($G104&lt;Hta_11,$G104&gt;=Hba_11,Input!U$31&lt;&gt;""),Input!$B$31&amp;";",""),IF(AND($G104&lt;Hta_12,$G104&gt;=Hba_12,Input!U$32&lt;&gt;""),Input!$B$32&amp;";",""),IF(AND($G104&lt;Hta_13,$G104&gt;=Hba_13,Input!U$33&lt;&gt;""),Input!$B$33&amp;";",""),IF(AND($G104&lt;Hta_14,$G104&gt;=Hba_14,Input!U$34&lt;&gt;""),Input!$B$34&amp;";",""),IF(AND($G104&lt;Hta_15,$G104&gt;=Hba_15,Input!U$35&lt;&gt;""),Input!$B$35&amp;";",""),IF(AND($G104&lt;Hta_16,$G104&gt;=Hba_16,Input!U$36&lt;&gt;""),Input!$B$36&amp;";",""),IF(AND($G104&lt;Hta_17,$G104&gt;=Hba_17,Input!U$37&lt;&gt;""),Input!$B$37&amp;";",""),IF(AND($G104&lt;Hta_18,$G104&gt;=Hba_18,Input!U$38&lt;&gt;""),Input!$B$38&amp;";",""),IF(AND($G104&lt;Hta_19,$G104&gt;=Hba_19,Input!U$39&lt;&gt;""),Input!$B$39&amp;";",""),IF(AND($G104&lt;Hta_20,$G104&gt;=Hba_20,Input!U$40&lt;&gt;""),Input!$B$40&amp;";",""),IF(AND($G104&lt;Hta_21,$G104&gt;=Hba_21,Input!U$41&lt;&gt;""),Input!$B$41&amp;";",""),IF(AND($G104&lt;Hta_22,$G104&gt;=Hba_22,Input!U$42&lt;&gt;""),Input!$B$42&amp;";",""),IF(AND($G104&lt;Hta_23,$G104&gt;=Hba_23,Input!U$43&lt;&gt;""),Input!$B$43&amp;";",""),IF(AND($G104&lt;Hta_24,$G104&gt;=Hba_24,Input!U$44&lt;&gt;""),Input!$B$44&amp;";",""),IF(AND($G104&lt;Hta_25,$G104&gt;=Hba_25,Input!U$45&lt;&gt;""),Input!$B$45&amp;";",""),IF(AND($G104&lt;Hta_26,$G104&gt;=Hba_26,Input!U$46&lt;&gt;""),Input!$B$46&amp;";",""),IF(AND($G104&lt;Hta_27,$G104&gt;=Hba_27,Input!U$47&lt;&gt;""),Input!$B$47&amp;";",""),IF(AND($G104&lt;Hta_28,$G104&gt;=Hba_28,Input!U$48&lt;&gt;""),Input!$B$48&amp;";",""),IF(AND($G104&lt;Hta_29,$G104&gt;=Hba_29,Input!U$49&lt;&gt;""),Input!$B$49&amp;";",""),IF(AND($G104&lt;Hta_30,$G104&gt;=Hba_30,Input!U$50&lt;&gt;""),Input!$B$50&amp;";","")),"")</f>
        <v/>
      </c>
      <c r="BW104" s="25" t="str">
        <f>IFERROR(CONCATENATE(IF(AND($G104&lt;Hta_1,$G104&gt;=Hba_1,Input!V$21&lt;&gt;""),Input!$B$21&amp;";",""),IF(AND($G104&lt;Hta_2,$G104&gt;=Hba_2,Input!V$22&lt;&gt;""),Input!$B$22&amp;";",""),IF(AND($G104&lt;Hta_3,$G104&gt;=Hba_3,Input!V$23&lt;&gt;""),Input!$B$23&amp;";",""),IF(AND($G104&lt;Hta_4,$G104&gt;=Hba_4,Input!V$24&lt;&gt;""),Input!$B$24&amp;";",""),IF(AND($G104&lt;Hta_5,$G104&gt;=Hba_5,Input!V$25&lt;&gt;""),Input!$B$25&amp;";",""),IF(AND($G104&lt;Hta_6,$G104&gt;=Hba_6,Input!V$26&lt;&gt;""),Input!$B$26&amp;";",""),IF(AND($G104&lt;Hta_7,$G104&gt;=Hba_7,Input!V$27&lt;&gt;""),Input!$B$27&amp;";",""),IF(AND($G104&lt;Hta_8,$G104&gt;=Hba_8,Input!V$28&lt;&gt;""),Input!$B$28&amp;";",""),IF(AND($G104&lt;Hta_9,$G104&gt;=Hba_9,Input!V$29&lt;&gt;""),Input!$B$29&amp;";",""),IF(AND($G104&lt;Hta_10,$G104&gt;=Hba_10,Input!V$30&lt;&gt;""),Input!$B$30&amp;";",""),IF(AND($G104&lt;Hta_11,$G104&gt;=Hba_11,Input!V$31&lt;&gt;""),Input!$B$31&amp;";",""),IF(AND($G104&lt;Hta_12,$G104&gt;=Hba_12,Input!V$32&lt;&gt;""),Input!$B$32&amp;";",""),IF(AND($G104&lt;Hta_13,$G104&gt;=Hba_13,Input!V$33&lt;&gt;""),Input!$B$33&amp;";",""),IF(AND($G104&lt;Hta_14,$G104&gt;=Hba_14,Input!V$34&lt;&gt;""),Input!$B$34&amp;";",""),IF(AND($G104&lt;Hta_15,$G104&gt;=Hba_15,Input!V$35&lt;&gt;""),Input!$B$35&amp;";",""),IF(AND($G104&lt;Hta_16,$G104&gt;=Hba_16,Input!V$36&lt;&gt;""),Input!$B$36&amp;";",""),IF(AND($G104&lt;Hta_17,$G104&gt;=Hba_17,Input!V$37&lt;&gt;""),Input!$B$37&amp;";",""),IF(AND($G104&lt;Hta_18,$G104&gt;=Hba_18,Input!V$38&lt;&gt;""),Input!$B$38&amp;";",""),IF(AND($G104&lt;Hta_19,$G104&gt;=Hba_19,Input!V$39&lt;&gt;""),Input!$B$39&amp;";",""),IF(AND($G104&lt;Hta_20,$G104&gt;=Hba_20,Input!V$40&lt;&gt;""),Input!$B$40&amp;";",""),IF(AND($G104&lt;Hta_21,$G104&gt;=Hba_21,Input!V$41&lt;&gt;""),Input!$B$41&amp;";",""),IF(AND($G104&lt;Hta_22,$G104&gt;=Hba_22,Input!V$42&lt;&gt;""),Input!$B$42&amp;";",""),IF(AND($G104&lt;Hta_23,$G104&gt;=Hba_23,Input!V$43&lt;&gt;""),Input!$B$43&amp;";",""),IF(AND($G104&lt;Hta_24,$G104&gt;=Hba_24,Input!V$44&lt;&gt;""),Input!$B$44&amp;";",""),IF(AND($G104&lt;Hta_25,$G104&gt;=Hba_25,Input!V$45&lt;&gt;""),Input!$B$45&amp;";",""),IF(AND($G104&lt;Hta_26,$G104&gt;=Hba_26,Input!V$46&lt;&gt;""),Input!$B$46&amp;";",""),IF(AND($G104&lt;Hta_27,$G104&gt;=Hba_27,Input!V$47&lt;&gt;""),Input!$B$47&amp;";",""),IF(AND($G104&lt;Hta_28,$G104&gt;=Hba_28,Input!V$48&lt;&gt;""),Input!$B$48&amp;";",""),IF(AND($G104&lt;Hta_29,$G104&gt;=Hba_29,Input!V$49&lt;&gt;""),Input!$B$49&amp;";",""),IF(AND($G104&lt;Hta_30,$G104&gt;=Hba_30,Input!V$50&lt;&gt;""),Input!$B$50&amp;";","")),"")</f>
        <v/>
      </c>
      <c r="BX104" s="25" t="str">
        <f>IFERROR(CONCATENATE(IF(AND($G104&lt;Hta_1,$G104&gt;=Hba_1,Input!W$21&lt;&gt;""),Input!$B$21&amp;";",""),IF(AND($G104&lt;Hta_2,$G104&gt;=Hba_2,Input!W$22&lt;&gt;""),Input!$B$22&amp;";",""),IF(AND($G104&lt;Hta_3,$G104&gt;=Hba_3,Input!W$23&lt;&gt;""),Input!$B$23&amp;";",""),IF(AND($G104&lt;Hta_4,$G104&gt;=Hba_4,Input!W$24&lt;&gt;""),Input!$B$24&amp;";",""),IF(AND($G104&lt;Hta_5,$G104&gt;=Hba_5,Input!W$25&lt;&gt;""),Input!$B$25&amp;";",""),IF(AND($G104&lt;Hta_6,$G104&gt;=Hba_6,Input!W$26&lt;&gt;""),Input!$B$26&amp;";",""),IF(AND($G104&lt;Hta_7,$G104&gt;=Hba_7,Input!W$27&lt;&gt;""),Input!$B$27&amp;";",""),IF(AND($G104&lt;Hta_8,$G104&gt;=Hba_8,Input!W$28&lt;&gt;""),Input!$B$28&amp;";",""),IF(AND($G104&lt;Hta_9,$G104&gt;=Hba_9,Input!W$29&lt;&gt;""),Input!$B$29&amp;";",""),IF(AND($G104&lt;Hta_10,$G104&gt;=Hba_10,Input!W$30&lt;&gt;""),Input!$B$30&amp;";",""),IF(AND($G104&lt;Hta_11,$G104&gt;=Hba_11,Input!W$31&lt;&gt;""),Input!$B$31&amp;";",""),IF(AND($G104&lt;Hta_12,$G104&gt;=Hba_12,Input!W$32&lt;&gt;""),Input!$B$32&amp;";",""),IF(AND($G104&lt;Hta_13,$G104&gt;=Hba_13,Input!W$33&lt;&gt;""),Input!$B$33&amp;";",""),IF(AND($G104&lt;Hta_14,$G104&gt;=Hba_14,Input!W$34&lt;&gt;""),Input!$B$34&amp;";",""),IF(AND($G104&lt;Hta_15,$G104&gt;=Hba_15,Input!W$35&lt;&gt;""),Input!$B$35&amp;";",""),IF(AND($G104&lt;Hta_16,$G104&gt;=Hba_16,Input!W$36&lt;&gt;""),Input!$B$36&amp;";",""),IF(AND($G104&lt;Hta_17,$G104&gt;=Hba_17,Input!W$37&lt;&gt;""),Input!$B$37&amp;";",""),IF(AND($G104&lt;Hta_18,$G104&gt;=Hba_18,Input!W$38&lt;&gt;""),Input!$B$38&amp;";",""),IF(AND($G104&lt;Hta_19,$G104&gt;=Hba_19,Input!W$39&lt;&gt;""),Input!$B$39&amp;";",""),IF(AND($G104&lt;Hta_20,$G104&gt;=Hba_20,Input!W$40&lt;&gt;""),Input!$B$40&amp;";",""),IF(AND($G104&lt;Hta_21,$G104&gt;=Hba_21,Input!W$41&lt;&gt;""),Input!$B$41&amp;";",""),IF(AND($G104&lt;Hta_22,$G104&gt;=Hba_22,Input!W$42&lt;&gt;""),Input!$B$42&amp;";",""),IF(AND($G104&lt;Hta_23,$G104&gt;=Hba_23,Input!W$43&lt;&gt;""),Input!$B$43&amp;";",""),IF(AND($G104&lt;Hta_24,$G104&gt;=Hba_24,Input!W$44&lt;&gt;""),Input!$B$44&amp;";",""),IF(AND($G104&lt;Hta_25,$G104&gt;=Hba_25,Input!W$45&lt;&gt;""),Input!$B$45&amp;";",""),IF(AND($G104&lt;Hta_26,$G104&gt;=Hba_26,Input!W$46&lt;&gt;""),Input!$B$46&amp;";",""),IF(AND($G104&lt;Hta_27,$G104&gt;=Hba_27,Input!W$47&lt;&gt;""),Input!$B$47&amp;";",""),IF(AND($G104&lt;Hta_28,$G104&gt;=Hba_28,Input!W$48&lt;&gt;""),Input!$B$48&amp;";",""),IF(AND($G104&lt;Hta_29,$G104&gt;=Hba_29,Input!W$49&lt;&gt;""),Input!$B$49&amp;";",""),IF(AND($G104&lt;Hta_30,$G104&gt;=Hba_30,Input!W$50&lt;&gt;""),Input!$B$50&amp;";","")),"")</f>
        <v/>
      </c>
      <c r="BY104" s="25" t="str">
        <f>IFERROR(CONCATENATE(IF(AND($G104&lt;Hta_1,$G104&gt;=Hba_1,Input!X$21&lt;&gt;""),Input!$B$21&amp;";",""),IF(AND($G104&lt;Hta_2,$G104&gt;=Hba_2,Input!X$22&lt;&gt;""),Input!$B$22&amp;";",""),IF(AND($G104&lt;Hta_3,$G104&gt;=Hba_3,Input!X$23&lt;&gt;""),Input!$B$23&amp;";",""),IF(AND($G104&lt;Hta_4,$G104&gt;=Hba_4,Input!X$24&lt;&gt;""),Input!$B$24&amp;";",""),IF(AND($G104&lt;Hta_5,$G104&gt;=Hba_5,Input!X$25&lt;&gt;""),Input!$B$25&amp;";",""),IF(AND($G104&lt;Hta_6,$G104&gt;=Hba_6,Input!X$26&lt;&gt;""),Input!$B$26&amp;";",""),IF(AND($G104&lt;Hta_7,$G104&gt;=Hba_7,Input!X$27&lt;&gt;""),Input!$B$27&amp;";",""),IF(AND($G104&lt;Hta_8,$G104&gt;=Hba_8,Input!X$28&lt;&gt;""),Input!$B$28&amp;";",""),IF(AND($G104&lt;Hta_9,$G104&gt;=Hba_9,Input!X$29&lt;&gt;""),Input!$B$29&amp;";",""),IF(AND($G104&lt;Hta_10,$G104&gt;=Hba_10,Input!X$30&lt;&gt;""),Input!$B$30&amp;";",""),IF(AND($G104&lt;Hta_11,$G104&gt;=Hba_11,Input!X$31&lt;&gt;""),Input!$B$31&amp;";",""),IF(AND($G104&lt;Hta_12,$G104&gt;=Hba_12,Input!X$32&lt;&gt;""),Input!$B$32&amp;";",""),IF(AND($G104&lt;Hta_13,$G104&gt;=Hba_13,Input!X$33&lt;&gt;""),Input!$B$33&amp;";",""),IF(AND($G104&lt;Hta_14,$G104&gt;=Hba_14,Input!X$34&lt;&gt;""),Input!$B$34&amp;";",""),IF(AND($G104&lt;Hta_15,$G104&gt;=Hba_15,Input!X$35&lt;&gt;""),Input!$B$35&amp;";",""),IF(AND($G104&lt;Hta_16,$G104&gt;=Hba_16,Input!X$36&lt;&gt;""),Input!$B$36&amp;";",""),IF(AND($G104&lt;Hta_17,$G104&gt;=Hba_17,Input!X$37&lt;&gt;""),Input!$B$37&amp;";",""),IF(AND($G104&lt;Hta_18,$G104&gt;=Hba_18,Input!X$38&lt;&gt;""),Input!$B$38&amp;";",""),IF(AND($G104&lt;Hta_19,$G104&gt;=Hba_19,Input!X$39&lt;&gt;""),Input!$B$39&amp;";",""),IF(AND($G104&lt;Hta_20,$G104&gt;=Hba_20,Input!X$40&lt;&gt;""),Input!$B$40&amp;";",""),IF(AND($G104&lt;Hta_21,$G104&gt;=Hba_21,Input!X$41&lt;&gt;""),Input!$B$41&amp;";",""),IF(AND($G104&lt;Hta_22,$G104&gt;=Hba_22,Input!X$42&lt;&gt;""),Input!$B$42&amp;";",""),IF(AND($G104&lt;Hta_23,$G104&gt;=Hba_23,Input!X$43&lt;&gt;""),Input!$B$43&amp;";",""),IF(AND($G104&lt;Hta_24,$G104&gt;=Hba_24,Input!X$44&lt;&gt;""),Input!$B$44&amp;";",""),IF(AND($G104&lt;Hta_25,$G104&gt;=Hba_25,Input!X$45&lt;&gt;""),Input!$B$45&amp;";",""),IF(AND($G104&lt;Hta_26,$G104&gt;=Hba_26,Input!X$46&lt;&gt;""),Input!$B$46&amp;";",""),IF(AND($G104&lt;Hta_27,$G104&gt;=Hba_27,Input!X$47&lt;&gt;""),Input!$B$47&amp;";",""),IF(AND($G104&lt;Hta_28,$G104&gt;=Hba_28,Input!X$48&lt;&gt;""),Input!$B$48&amp;";",""),IF(AND($G104&lt;Hta_29,$G104&gt;=Hba_29,Input!X$49&lt;&gt;""),Input!$B$49&amp;";",""),IF(AND($G104&lt;Hta_30,$G104&gt;=Hba_30,Input!X$50&lt;&gt;""),Input!$B$50&amp;";","")),"")</f>
        <v/>
      </c>
      <c r="BZ104" s="25" t="str">
        <f>IFERROR(CONCATENATE(IF(AND($G104&lt;Hta_1,$G104&gt;=Hba_1,Input!Y$21&lt;&gt;""),Input!$B$21&amp;";",""),IF(AND($G104&lt;Hta_2,$G104&gt;=Hba_2,Input!Y$22&lt;&gt;""),Input!$B$22&amp;";",""),IF(AND($G104&lt;Hta_3,$G104&gt;=Hba_3,Input!Y$23&lt;&gt;""),Input!$B$23&amp;";",""),IF(AND($G104&lt;Hta_4,$G104&gt;=Hba_4,Input!Y$24&lt;&gt;""),Input!$B$24&amp;";",""),IF(AND($G104&lt;Hta_5,$G104&gt;=Hba_5,Input!Y$25&lt;&gt;""),Input!$B$25&amp;";",""),IF(AND($G104&lt;Hta_6,$G104&gt;=Hba_6,Input!Y$26&lt;&gt;""),Input!$B$26&amp;";",""),IF(AND($G104&lt;Hta_7,$G104&gt;=Hba_7,Input!Y$27&lt;&gt;""),Input!$B$27&amp;";",""),IF(AND($G104&lt;Hta_8,$G104&gt;=Hba_8,Input!Y$28&lt;&gt;""),Input!$B$28&amp;";",""),IF(AND($G104&lt;Hta_9,$G104&gt;=Hba_9,Input!Y$29&lt;&gt;""),Input!$B$29&amp;";",""),IF(AND($G104&lt;Hta_10,$G104&gt;=Hba_10,Input!Y$30&lt;&gt;""),Input!$B$30&amp;";",""),IF(AND($G104&lt;Hta_11,$G104&gt;=Hba_11,Input!Y$31&lt;&gt;""),Input!$B$31&amp;";",""),IF(AND($G104&lt;Hta_12,$G104&gt;=Hba_12,Input!Y$32&lt;&gt;""),Input!$B$32&amp;";",""),IF(AND($G104&lt;Hta_13,$G104&gt;=Hba_13,Input!Y$33&lt;&gt;""),Input!$B$33&amp;";",""),IF(AND($G104&lt;Hta_14,$G104&gt;=Hba_14,Input!Y$34&lt;&gt;""),Input!$B$34&amp;";",""),IF(AND($G104&lt;Hta_15,$G104&gt;=Hba_15,Input!Y$35&lt;&gt;""),Input!$B$35&amp;";",""),IF(AND($G104&lt;Hta_16,$G104&gt;=Hba_16,Input!Y$36&lt;&gt;""),Input!$B$36&amp;";",""),IF(AND($G104&lt;Hta_17,$G104&gt;=Hba_17,Input!Y$37&lt;&gt;""),Input!$B$37&amp;";",""),IF(AND($G104&lt;Hta_18,$G104&gt;=Hba_18,Input!Y$38&lt;&gt;""),Input!$B$38&amp;";",""),IF(AND($G104&lt;Hta_19,$G104&gt;=Hba_19,Input!Y$39&lt;&gt;""),Input!$B$39&amp;";",""),IF(AND($G104&lt;Hta_20,$G104&gt;=Hba_20,Input!Y$40&lt;&gt;""),Input!$B$40&amp;";",""),IF(AND($G104&lt;Hta_21,$G104&gt;=Hba_21,Input!Y$41&lt;&gt;""),Input!$B$41&amp;";",""),IF(AND($G104&lt;Hta_22,$G104&gt;=Hba_22,Input!Y$42&lt;&gt;""),Input!$B$42&amp;";",""),IF(AND($G104&lt;Hta_23,$G104&gt;=Hba_23,Input!Y$43&lt;&gt;""),Input!$B$43&amp;";",""),IF(AND($G104&lt;Hta_24,$G104&gt;=Hba_24,Input!Y$44&lt;&gt;""),Input!$B$44&amp;";",""),IF(AND($G104&lt;Hta_25,$G104&gt;=Hba_25,Input!Y$45&lt;&gt;""),Input!$B$45&amp;";",""),IF(AND($G104&lt;Hta_26,$G104&gt;=Hba_26,Input!Y$46&lt;&gt;""),Input!$B$46&amp;";",""),IF(AND($G104&lt;Hta_27,$G104&gt;=Hba_27,Input!Y$47&lt;&gt;""),Input!$B$47&amp;";",""),IF(AND($G104&lt;Hta_28,$G104&gt;=Hba_28,Input!Y$48&lt;&gt;""),Input!$B$48&amp;";",""),IF(AND($G104&lt;Hta_29,$G104&gt;=Hba_29,Input!Y$49&lt;&gt;""),Input!$B$49&amp;";",""),IF(AND($G104&lt;Hta_30,$G104&gt;=Hba_30,Input!Y$50&lt;&gt;""),Input!$B$50&amp;";","")),"")</f>
        <v/>
      </c>
      <c r="CA104" s="25" t="str">
        <f>IFERROR(CONCATENATE(IF(AND($G104&lt;Hta_1,$G104&gt;=Hba_1,Input!Z$21&lt;&gt;""),Input!$B$21&amp;";",""),IF(AND($G104&lt;Hta_2,$G104&gt;=Hba_2,Input!Z$22&lt;&gt;""),Input!$B$22&amp;";",""),IF(AND($G104&lt;Hta_3,$G104&gt;=Hba_3,Input!Z$23&lt;&gt;""),Input!$B$23&amp;";",""),IF(AND($G104&lt;Hta_4,$G104&gt;=Hba_4,Input!Z$24&lt;&gt;""),Input!$B$24&amp;";",""),IF(AND($G104&lt;Hta_5,$G104&gt;=Hba_5,Input!Z$25&lt;&gt;""),Input!$B$25&amp;";",""),IF(AND($G104&lt;Hta_6,$G104&gt;=Hba_6,Input!Z$26&lt;&gt;""),Input!$B$26&amp;";",""),IF(AND($G104&lt;Hta_7,$G104&gt;=Hba_7,Input!Z$27&lt;&gt;""),Input!$B$27&amp;";",""),IF(AND($G104&lt;Hta_8,$G104&gt;=Hba_8,Input!Z$28&lt;&gt;""),Input!$B$28&amp;";",""),IF(AND($G104&lt;Hta_9,$G104&gt;=Hba_9,Input!Z$29&lt;&gt;""),Input!$B$29&amp;";",""),IF(AND($G104&lt;Hta_10,$G104&gt;=Hba_10,Input!Z$30&lt;&gt;""),Input!$B$30&amp;";",""),IF(AND($G104&lt;Hta_11,$G104&gt;=Hba_11,Input!Z$31&lt;&gt;""),Input!$B$31&amp;";",""),IF(AND($G104&lt;Hta_12,$G104&gt;=Hba_12,Input!Z$32&lt;&gt;""),Input!$B$32&amp;";",""),IF(AND($G104&lt;Hta_13,$G104&gt;=Hba_13,Input!Z$33&lt;&gt;""),Input!$B$33&amp;";",""),IF(AND($G104&lt;Hta_14,$G104&gt;=Hba_14,Input!Z$34&lt;&gt;""),Input!$B$34&amp;";",""),IF(AND($G104&lt;Hta_15,$G104&gt;=Hba_15,Input!Z$35&lt;&gt;""),Input!$B$35&amp;";",""),IF(AND($G104&lt;Hta_16,$G104&gt;=Hba_16,Input!Z$36&lt;&gt;""),Input!$B$36&amp;";",""),IF(AND($G104&lt;Hta_17,$G104&gt;=Hba_17,Input!Z$37&lt;&gt;""),Input!$B$37&amp;";",""),IF(AND($G104&lt;Hta_18,$G104&gt;=Hba_18,Input!Z$38&lt;&gt;""),Input!$B$38&amp;";",""),IF(AND($G104&lt;Hta_19,$G104&gt;=Hba_19,Input!Z$39&lt;&gt;""),Input!$B$39&amp;";",""),IF(AND($G104&lt;Hta_20,$G104&gt;=Hba_20,Input!Z$40&lt;&gt;""),Input!$B$40&amp;";",""),IF(AND($G104&lt;Hta_21,$G104&gt;=Hba_21,Input!Z$41&lt;&gt;""),Input!$B$41&amp;";",""),IF(AND($G104&lt;Hta_22,$G104&gt;=Hba_22,Input!Z$42&lt;&gt;""),Input!$B$42&amp;";",""),IF(AND($G104&lt;Hta_23,$G104&gt;=Hba_23,Input!Z$43&lt;&gt;""),Input!$B$43&amp;";",""),IF(AND($G104&lt;Hta_24,$G104&gt;=Hba_24,Input!Z$44&lt;&gt;""),Input!$B$44&amp;";",""),IF(AND($G104&lt;Hta_25,$G104&gt;=Hba_25,Input!Z$45&lt;&gt;""),Input!$B$45&amp;";",""),IF(AND($G104&lt;Hta_26,$G104&gt;=Hba_26,Input!Z$46&lt;&gt;""),Input!$B$46&amp;";",""),IF(AND($G104&lt;Hta_27,$G104&gt;=Hba_27,Input!Z$47&lt;&gt;""),Input!$B$47&amp;";",""),IF(AND($G104&lt;Hta_28,$G104&gt;=Hba_28,Input!Z$48&lt;&gt;""),Input!$B$48&amp;";",""),IF(AND($G104&lt;Hta_29,$G104&gt;=Hba_29,Input!Z$49&lt;&gt;""),Input!$B$49&amp;";",""),IF(AND($G104&lt;Hta_30,$G104&gt;=Hba_30,Input!Z$50&lt;&gt;""),Input!$B$50&amp;";","")),"")</f>
        <v/>
      </c>
      <c r="CB104" s="25" t="str">
        <f>IFERROR(CONCATENATE(IF(AND($G104&lt;Hta_1,$G104&gt;=Hba_1,Input!AA$21&lt;&gt;""),Input!$B$21&amp;";",""),IF(AND($G104&lt;Hta_2,$G104&gt;=Hba_2,Input!AA$22&lt;&gt;""),Input!$B$22&amp;";",""),IF(AND($G104&lt;Hta_3,$G104&gt;=Hba_3,Input!AA$23&lt;&gt;""),Input!$B$23&amp;";",""),IF(AND($G104&lt;Hta_4,$G104&gt;=Hba_4,Input!AA$24&lt;&gt;""),Input!$B$24&amp;";",""),IF(AND($G104&lt;Hta_5,$G104&gt;=Hba_5,Input!AA$25&lt;&gt;""),Input!$B$25&amp;";",""),IF(AND($G104&lt;Hta_6,$G104&gt;=Hba_6,Input!AA$26&lt;&gt;""),Input!$B$26&amp;";",""),IF(AND($G104&lt;Hta_7,$G104&gt;=Hba_7,Input!AA$27&lt;&gt;""),Input!$B$27&amp;";",""),IF(AND($G104&lt;Hta_8,$G104&gt;=Hba_8,Input!AA$28&lt;&gt;""),Input!$B$28&amp;";",""),IF(AND($G104&lt;Hta_9,$G104&gt;=Hba_9,Input!AA$29&lt;&gt;""),Input!$B$29&amp;";",""),IF(AND($G104&lt;Hta_10,$G104&gt;=Hba_10,Input!AA$30&lt;&gt;""),Input!$B$30&amp;";",""),IF(AND($G104&lt;Hta_11,$G104&gt;=Hba_11,Input!AA$31&lt;&gt;""),Input!$B$31&amp;";",""),IF(AND($G104&lt;Hta_12,$G104&gt;=Hba_12,Input!AA$32&lt;&gt;""),Input!$B$32&amp;";",""),IF(AND($G104&lt;Hta_13,$G104&gt;=Hba_13,Input!AA$33&lt;&gt;""),Input!$B$33&amp;";",""),IF(AND($G104&lt;Hta_14,$G104&gt;=Hba_14,Input!AA$34&lt;&gt;""),Input!$B$34&amp;";",""),IF(AND($G104&lt;Hta_15,$G104&gt;=Hba_15,Input!AA$35&lt;&gt;""),Input!$B$35&amp;";",""),IF(AND($G104&lt;Hta_16,$G104&gt;=Hba_16,Input!AA$36&lt;&gt;""),Input!$B$36&amp;";",""),IF(AND($G104&lt;Hta_17,$G104&gt;=Hba_17,Input!AA$37&lt;&gt;""),Input!$B$37&amp;";",""),IF(AND($G104&lt;Hta_18,$G104&gt;=Hba_18,Input!AA$38&lt;&gt;""),Input!$B$38&amp;";",""),IF(AND($G104&lt;Hta_19,$G104&gt;=Hba_19,Input!AA$39&lt;&gt;""),Input!$B$39&amp;";",""),IF(AND($G104&lt;Hta_20,$G104&gt;=Hba_20,Input!AA$40&lt;&gt;""),Input!$B$40&amp;";",""),IF(AND($G104&lt;Hta_21,$G104&gt;=Hba_21,Input!AA$41&lt;&gt;""),Input!$B$41&amp;";",""),IF(AND($G104&lt;Hta_22,$G104&gt;=Hba_22,Input!AA$42&lt;&gt;""),Input!$B$42&amp;";",""),IF(AND($G104&lt;Hta_23,$G104&gt;=Hba_23,Input!AA$43&lt;&gt;""),Input!$B$43&amp;";",""),IF(AND($G104&lt;Hta_24,$G104&gt;=Hba_24,Input!AA$44&lt;&gt;""),Input!$B$44&amp;";",""),IF(AND($G104&lt;Hta_25,$G104&gt;=Hba_25,Input!AA$45&lt;&gt;""),Input!$B$45&amp;";",""),IF(AND($G104&lt;Hta_26,$G104&gt;=Hba_26,Input!AA$46&lt;&gt;""),Input!$B$46&amp;";",""),IF(AND($G104&lt;Hta_27,$G104&gt;=Hba_27,Input!AA$47&lt;&gt;""),Input!$B$47&amp;";",""),IF(AND($G104&lt;Hta_28,$G104&gt;=Hba_28,Input!AA$48&lt;&gt;""),Input!$B$48&amp;";",""),IF(AND($G104&lt;Hta_29,$G104&gt;=Hba_29,Input!AA$49&lt;&gt;""),Input!$B$49&amp;";",""),IF(AND($G104&lt;Hta_30,$G104&gt;=Hba_30,Input!AA$50&lt;&gt;""),Input!$B$50&amp;";","")),"")</f>
        <v/>
      </c>
      <c r="CC104" s="25" t="str">
        <f>IFERROR(CONCATENATE(IF(AND($G104&lt;Hta_1,$G104&gt;=Hba_1,Input!AB$21&lt;&gt;""),Input!$B$21&amp;";",""),IF(AND($G104&lt;Hta_2,$G104&gt;=Hba_2,Input!AB$22&lt;&gt;""),Input!$B$22&amp;";",""),IF(AND($G104&lt;Hta_3,$G104&gt;=Hba_3,Input!AB$23&lt;&gt;""),Input!$B$23&amp;";",""),IF(AND($G104&lt;Hta_4,$G104&gt;=Hba_4,Input!AB$24&lt;&gt;""),Input!$B$24&amp;";",""),IF(AND($G104&lt;Hta_5,$G104&gt;=Hba_5,Input!AB$25&lt;&gt;""),Input!$B$25&amp;";",""),IF(AND($G104&lt;Hta_6,$G104&gt;=Hba_6,Input!AB$26&lt;&gt;""),Input!$B$26&amp;";",""),IF(AND($G104&lt;Hta_7,$G104&gt;=Hba_7,Input!AB$27&lt;&gt;""),Input!$B$27&amp;";",""),IF(AND($G104&lt;Hta_8,$G104&gt;=Hba_8,Input!AB$28&lt;&gt;""),Input!$B$28&amp;";",""),IF(AND($G104&lt;Hta_9,$G104&gt;=Hba_9,Input!AB$29&lt;&gt;""),Input!$B$29&amp;";",""),IF(AND($G104&lt;Hta_10,$G104&gt;=Hba_10,Input!AB$30&lt;&gt;""),Input!$B$30&amp;";",""),IF(AND($G104&lt;Hta_11,$G104&gt;=Hba_11,Input!AB$31&lt;&gt;""),Input!$B$31&amp;";",""),IF(AND($G104&lt;Hta_12,$G104&gt;=Hba_12,Input!AB$32&lt;&gt;""),Input!$B$32&amp;";",""),IF(AND($G104&lt;Hta_13,$G104&gt;=Hba_13,Input!AB$33&lt;&gt;""),Input!$B$33&amp;";",""),IF(AND($G104&lt;Hta_14,$G104&gt;=Hba_14,Input!AB$34&lt;&gt;""),Input!$B$34&amp;";",""),IF(AND($G104&lt;Hta_15,$G104&gt;=Hba_15,Input!AB$35&lt;&gt;""),Input!$B$35&amp;";",""),IF(AND($G104&lt;Hta_16,$G104&gt;=Hba_16,Input!AB$36&lt;&gt;""),Input!$B$36&amp;";",""),IF(AND($G104&lt;Hta_17,$G104&gt;=Hba_17,Input!AB$37&lt;&gt;""),Input!$B$37&amp;";",""),IF(AND($G104&lt;Hta_18,$G104&gt;=Hba_18,Input!AB$38&lt;&gt;""),Input!$B$38&amp;";",""),IF(AND($G104&lt;Hta_19,$G104&gt;=Hba_19,Input!AB$39&lt;&gt;""),Input!$B$39&amp;";",""),IF(AND($G104&lt;Hta_20,$G104&gt;=Hba_20,Input!AB$40&lt;&gt;""),Input!$B$40&amp;";",""),IF(AND($G104&lt;Hta_21,$G104&gt;=Hba_21,Input!AB$41&lt;&gt;""),Input!$B$41&amp;";",""),IF(AND($G104&lt;Hta_22,$G104&gt;=Hba_22,Input!AB$42&lt;&gt;""),Input!$B$42&amp;";",""),IF(AND($G104&lt;Hta_23,$G104&gt;=Hba_23,Input!AB$43&lt;&gt;""),Input!$B$43&amp;";",""),IF(AND($G104&lt;Hta_24,$G104&gt;=Hba_24,Input!AB$44&lt;&gt;""),Input!$B$44&amp;";",""),IF(AND($G104&lt;Hta_25,$G104&gt;=Hba_25,Input!AB$45&lt;&gt;""),Input!$B$45&amp;";",""),IF(AND($G104&lt;Hta_26,$G104&gt;=Hba_26,Input!AB$46&lt;&gt;""),Input!$B$46&amp;";",""),IF(AND($G104&lt;Hta_27,$G104&gt;=Hba_27,Input!AB$47&lt;&gt;""),Input!$B$47&amp;";",""),IF(AND($G104&lt;Hta_28,$G104&gt;=Hba_28,Input!AB$48&lt;&gt;""),Input!$B$48&amp;";",""),IF(AND($G104&lt;Hta_29,$G104&gt;=Hba_29,Input!AB$49&lt;&gt;""),Input!$B$49&amp;";",""),IF(AND($G104&lt;Hta_30,$G104&gt;=Hba_30,Input!AB$50&lt;&gt;""),Input!$B$50&amp;";","")),"")</f>
        <v/>
      </c>
      <c r="CD104" s="25" t="str">
        <f>IFERROR(CONCATENATE(IF(AND($G104&lt;Hta_1,$G104&gt;=Hba_1,Input!AC$21&lt;&gt;""),Input!$B$21&amp;";",""),IF(AND($G104&lt;Hta_2,$G104&gt;=Hba_2,Input!AC$22&lt;&gt;""),Input!$B$22&amp;";",""),IF(AND($G104&lt;Hta_3,$G104&gt;=Hba_3,Input!AC$23&lt;&gt;""),Input!$B$23&amp;";",""),IF(AND($G104&lt;Hta_4,$G104&gt;=Hba_4,Input!AC$24&lt;&gt;""),Input!$B$24&amp;";",""),IF(AND($G104&lt;Hta_5,$G104&gt;=Hba_5,Input!AC$25&lt;&gt;""),Input!$B$25&amp;";",""),IF(AND($G104&lt;Hta_6,$G104&gt;=Hba_6,Input!AC$26&lt;&gt;""),Input!$B$26&amp;";",""),IF(AND($G104&lt;Hta_7,$G104&gt;=Hba_7,Input!AC$27&lt;&gt;""),Input!$B$27&amp;";",""),IF(AND($G104&lt;Hta_8,$G104&gt;=Hba_8,Input!AC$28&lt;&gt;""),Input!$B$28&amp;";",""),IF(AND($G104&lt;Hta_9,$G104&gt;=Hba_9,Input!AC$29&lt;&gt;""),Input!$B$29&amp;";",""),IF(AND($G104&lt;Hta_10,$G104&gt;=Hba_10,Input!AC$30&lt;&gt;""),Input!$B$30&amp;";",""),IF(AND($G104&lt;Hta_11,$G104&gt;=Hba_11,Input!AC$31&lt;&gt;""),Input!$B$31&amp;";",""),IF(AND($G104&lt;Hta_12,$G104&gt;=Hba_12,Input!AC$32&lt;&gt;""),Input!$B$32&amp;";",""),IF(AND($G104&lt;Hta_13,$G104&gt;=Hba_13,Input!AC$33&lt;&gt;""),Input!$B$33&amp;";",""),IF(AND($G104&lt;Hta_14,$G104&gt;=Hba_14,Input!AC$34&lt;&gt;""),Input!$B$34&amp;";",""),IF(AND($G104&lt;Hta_15,$G104&gt;=Hba_15,Input!AC$35&lt;&gt;""),Input!$B$35&amp;";",""),IF(AND($G104&lt;Hta_16,$G104&gt;=Hba_16,Input!AC$36&lt;&gt;""),Input!$B$36&amp;";",""),IF(AND($G104&lt;Hta_17,$G104&gt;=Hba_17,Input!AC$37&lt;&gt;""),Input!$B$37&amp;";",""),IF(AND($G104&lt;Hta_18,$G104&gt;=Hba_18,Input!AC$38&lt;&gt;""),Input!$B$38&amp;";",""),IF(AND($G104&lt;Hta_19,$G104&gt;=Hba_19,Input!AC$39&lt;&gt;""),Input!$B$39&amp;";",""),IF(AND($G104&lt;Hta_20,$G104&gt;=Hba_20,Input!AC$40&lt;&gt;""),Input!$B$40&amp;";",""),IF(AND($G104&lt;Hta_21,$G104&gt;=Hba_21,Input!AC$41&lt;&gt;""),Input!$B$41&amp;";",""),IF(AND($G104&lt;Hta_22,$G104&gt;=Hba_22,Input!AC$42&lt;&gt;""),Input!$B$42&amp;";",""),IF(AND($G104&lt;Hta_23,$G104&gt;=Hba_23,Input!AC$43&lt;&gt;""),Input!$B$43&amp;";",""),IF(AND($G104&lt;Hta_24,$G104&gt;=Hba_24,Input!AC$44&lt;&gt;""),Input!$B$44&amp;";",""),IF(AND($G104&lt;Hta_25,$G104&gt;=Hba_25,Input!AC$45&lt;&gt;""),Input!$B$45&amp;";",""),IF(AND($G104&lt;Hta_26,$G104&gt;=Hba_26,Input!AC$46&lt;&gt;""),Input!$B$46&amp;";",""),IF(AND($G104&lt;Hta_27,$G104&gt;=Hba_27,Input!AC$47&lt;&gt;""),Input!$B$47&amp;";",""),IF(AND($G104&lt;Hta_28,$G104&gt;=Hba_28,Input!AC$48&lt;&gt;""),Input!$B$48&amp;";",""),IF(AND($G104&lt;Hta_29,$G104&gt;=Hba_29,Input!AC$49&lt;&gt;""),Input!$B$49&amp;";",""),IF(AND($G104&lt;Hta_30,$G104&gt;=Hba_30,Input!AC$50&lt;&gt;""),Input!$B$50&amp;";","")),"")</f>
        <v/>
      </c>
      <c r="CE104" s="25" t="str">
        <f>IFERROR(CONCATENATE(IF(AND($G104&lt;Hta_1,$G104&gt;=Hba_1,Input!AD$21&lt;&gt;""),Input!$B$21&amp;";",""),IF(AND($G104&lt;Hta_2,$G104&gt;=Hba_2,Input!AD$22&lt;&gt;""),Input!$B$22&amp;";",""),IF(AND($G104&lt;Hta_3,$G104&gt;=Hba_3,Input!AD$23&lt;&gt;""),Input!$B$23&amp;";",""),IF(AND($G104&lt;Hta_4,$G104&gt;=Hba_4,Input!AD$24&lt;&gt;""),Input!$B$24&amp;";",""),IF(AND($G104&lt;Hta_5,$G104&gt;=Hba_5,Input!AD$25&lt;&gt;""),Input!$B$25&amp;";",""),IF(AND($G104&lt;Hta_6,$G104&gt;=Hba_6,Input!AD$26&lt;&gt;""),Input!$B$26&amp;";",""),IF(AND($G104&lt;Hta_7,$G104&gt;=Hba_7,Input!AD$27&lt;&gt;""),Input!$B$27&amp;";",""),IF(AND($G104&lt;Hta_8,$G104&gt;=Hba_8,Input!AD$28&lt;&gt;""),Input!$B$28&amp;";",""),IF(AND($G104&lt;Hta_9,$G104&gt;=Hba_9,Input!AD$29&lt;&gt;""),Input!$B$29&amp;";",""),IF(AND($G104&lt;Hta_10,$G104&gt;=Hba_10,Input!AD$30&lt;&gt;""),Input!$B$30&amp;";",""),IF(AND($G104&lt;Hta_11,$G104&gt;=Hba_11,Input!AD$31&lt;&gt;""),Input!$B$31&amp;";",""),IF(AND($G104&lt;Hta_12,$G104&gt;=Hba_12,Input!AD$32&lt;&gt;""),Input!$B$32&amp;";",""),IF(AND($G104&lt;Hta_13,$G104&gt;=Hba_13,Input!AD$33&lt;&gt;""),Input!$B$33&amp;";",""),IF(AND($G104&lt;Hta_14,$G104&gt;=Hba_14,Input!AD$34&lt;&gt;""),Input!$B$34&amp;";",""),IF(AND($G104&lt;Hta_15,$G104&gt;=Hba_15,Input!AD$35&lt;&gt;""),Input!$B$35&amp;";",""),IF(AND($G104&lt;Hta_16,$G104&gt;=Hba_16,Input!AD$36&lt;&gt;""),Input!$B$36&amp;";",""),IF(AND($G104&lt;Hta_17,$G104&gt;=Hba_17,Input!AD$37&lt;&gt;""),Input!$B$37&amp;";",""),IF(AND($G104&lt;Hta_18,$G104&gt;=Hba_18,Input!AD$38&lt;&gt;""),Input!$B$38&amp;";",""),IF(AND($G104&lt;Hta_19,$G104&gt;=Hba_19,Input!AD$39&lt;&gt;""),Input!$B$39&amp;";",""),IF(AND($G104&lt;Hta_20,$G104&gt;=Hba_20,Input!AD$40&lt;&gt;""),Input!$B$40&amp;";",""),IF(AND($G104&lt;Hta_21,$G104&gt;=Hba_21,Input!AD$41&lt;&gt;""),Input!$B$41&amp;";",""),IF(AND($G104&lt;Hta_22,$G104&gt;=Hba_22,Input!AD$42&lt;&gt;""),Input!$B$42&amp;";",""),IF(AND($G104&lt;Hta_23,$G104&gt;=Hba_23,Input!AD$43&lt;&gt;""),Input!$B$43&amp;";",""),IF(AND($G104&lt;Hta_24,$G104&gt;=Hba_24,Input!AD$44&lt;&gt;""),Input!$B$44&amp;";",""),IF(AND($G104&lt;Hta_25,$G104&gt;=Hba_25,Input!AD$45&lt;&gt;""),Input!$B$45&amp;";",""),IF(AND($G104&lt;Hta_26,$G104&gt;=Hba_26,Input!AD$46&lt;&gt;""),Input!$B$46&amp;";",""),IF(AND($G104&lt;Hta_27,$G104&gt;=Hba_27,Input!AD$47&lt;&gt;""),Input!$B$47&amp;";",""),IF(AND($G104&lt;Hta_28,$G104&gt;=Hba_28,Input!AD$48&lt;&gt;""),Input!$B$48&amp;";",""),IF(AND($G104&lt;Hta_29,$G104&gt;=Hba_29,Input!AD$49&lt;&gt;""),Input!$B$49&amp;";",""),IF(AND($G104&lt;Hta_30,$G104&gt;=Hba_30,Input!AD$50&lt;&gt;""),Input!$B$50&amp;";","")),"")</f>
        <v/>
      </c>
      <c r="CF104" s="25" t="str">
        <f>IFERROR(CONCATENATE(IF(AND($G104&lt;Hta_1,$G104&gt;=Hba_1,Input!AE$21&lt;&gt;""),Input!$B$21&amp;";",""),IF(AND($G104&lt;Hta_2,$G104&gt;=Hba_2,Input!AE$22&lt;&gt;""),Input!$B$22&amp;";",""),IF(AND($G104&lt;Hta_3,$G104&gt;=Hba_3,Input!AE$23&lt;&gt;""),Input!$B$23&amp;";",""),IF(AND($G104&lt;Hta_4,$G104&gt;=Hba_4,Input!AE$24&lt;&gt;""),Input!$B$24&amp;";",""),IF(AND($G104&lt;Hta_5,$G104&gt;=Hba_5,Input!AE$25&lt;&gt;""),Input!$B$25&amp;";",""),IF(AND($G104&lt;Hta_6,$G104&gt;=Hba_6,Input!AE$26&lt;&gt;""),Input!$B$26&amp;";",""),IF(AND($G104&lt;Hta_7,$G104&gt;=Hba_7,Input!AE$27&lt;&gt;""),Input!$B$27&amp;";",""),IF(AND($G104&lt;Hta_8,$G104&gt;=Hba_8,Input!AE$28&lt;&gt;""),Input!$B$28&amp;";",""),IF(AND($G104&lt;Hta_9,$G104&gt;=Hba_9,Input!AE$29&lt;&gt;""),Input!$B$29&amp;";",""),IF(AND($G104&lt;Hta_10,$G104&gt;=Hba_10,Input!AE$30&lt;&gt;""),Input!$B$30&amp;";",""),IF(AND($G104&lt;Hta_11,$G104&gt;=Hba_11,Input!AE$31&lt;&gt;""),Input!$B$31&amp;";",""),IF(AND($G104&lt;Hta_12,$G104&gt;=Hba_12,Input!AE$32&lt;&gt;""),Input!$B$32&amp;";",""),IF(AND($G104&lt;Hta_13,$G104&gt;=Hba_13,Input!AE$33&lt;&gt;""),Input!$B$33&amp;";",""),IF(AND($G104&lt;Hta_14,$G104&gt;=Hba_14,Input!AE$34&lt;&gt;""),Input!$B$34&amp;";",""),IF(AND($G104&lt;Hta_15,$G104&gt;=Hba_15,Input!AE$35&lt;&gt;""),Input!$B$35&amp;";",""),IF(AND($G104&lt;Hta_16,$G104&gt;=Hba_16,Input!AE$36&lt;&gt;""),Input!$B$36&amp;";",""),IF(AND($G104&lt;Hta_17,$G104&gt;=Hba_17,Input!AE$37&lt;&gt;""),Input!$B$37&amp;";",""),IF(AND($G104&lt;Hta_18,$G104&gt;=Hba_18,Input!AE$38&lt;&gt;""),Input!$B$38&amp;";",""),IF(AND($G104&lt;Hta_19,$G104&gt;=Hba_19,Input!AE$39&lt;&gt;""),Input!$B$39&amp;";",""),IF(AND($G104&lt;Hta_20,$G104&gt;=Hba_20,Input!AE$40&lt;&gt;""),Input!$B$40&amp;";",""),IF(AND($G104&lt;Hta_21,$G104&gt;=Hba_21,Input!AE$41&lt;&gt;""),Input!$B$41&amp;";",""),IF(AND($G104&lt;Hta_22,$G104&gt;=Hba_22,Input!AE$42&lt;&gt;""),Input!$B$42&amp;";",""),IF(AND($G104&lt;Hta_23,$G104&gt;=Hba_23,Input!AE$43&lt;&gt;""),Input!$B$43&amp;";",""),IF(AND($G104&lt;Hta_24,$G104&gt;=Hba_24,Input!AE$44&lt;&gt;""),Input!$B$44&amp;";",""),IF(AND($G104&lt;Hta_25,$G104&gt;=Hba_25,Input!AE$45&lt;&gt;""),Input!$B$45&amp;";",""),IF(AND($G104&lt;Hta_26,$G104&gt;=Hba_26,Input!AE$46&lt;&gt;""),Input!$B$46&amp;";",""),IF(AND($G104&lt;Hta_27,$G104&gt;=Hba_27,Input!AE$47&lt;&gt;""),Input!$B$47&amp;";",""),IF(AND($G104&lt;Hta_28,$G104&gt;=Hba_28,Input!AE$48&lt;&gt;""),Input!$B$48&amp;";",""),IF(AND($G104&lt;Hta_29,$G104&gt;=Hba_29,Input!AE$49&lt;&gt;""),Input!$B$49&amp;";",""),IF(AND($G104&lt;Hta_30,$G104&gt;=Hba_30,Input!AE$50&lt;&gt;""),Input!$B$50&amp;";","")),"")</f>
        <v/>
      </c>
      <c r="CG104" s="25" t="str">
        <f>IFERROR(CONCATENATE(IF(AND($G104&lt;Hta_1,$G104&gt;=Hba_1,Input!AF$21&lt;&gt;""),Input!$B$21&amp;";",""),IF(AND($G104&lt;Hta_2,$G104&gt;=Hba_2,Input!AF$22&lt;&gt;""),Input!$B$22&amp;";",""),IF(AND($G104&lt;Hta_3,$G104&gt;=Hba_3,Input!AF$23&lt;&gt;""),Input!$B$23&amp;";",""),IF(AND($G104&lt;Hta_4,$G104&gt;=Hba_4,Input!AF$24&lt;&gt;""),Input!$B$24&amp;";",""),IF(AND($G104&lt;Hta_5,$G104&gt;=Hba_5,Input!AF$25&lt;&gt;""),Input!$B$25&amp;";",""),IF(AND($G104&lt;Hta_6,$G104&gt;=Hba_6,Input!AF$26&lt;&gt;""),Input!$B$26&amp;";",""),IF(AND($G104&lt;Hta_7,$G104&gt;=Hba_7,Input!AF$27&lt;&gt;""),Input!$B$27&amp;";",""),IF(AND($G104&lt;Hta_8,$G104&gt;=Hba_8,Input!AF$28&lt;&gt;""),Input!$B$28&amp;";",""),IF(AND($G104&lt;Hta_9,$G104&gt;=Hba_9,Input!AF$29&lt;&gt;""),Input!$B$29&amp;";",""),IF(AND($G104&lt;Hta_10,$G104&gt;=Hba_10,Input!AF$30&lt;&gt;""),Input!$B$30&amp;";",""),IF(AND($G104&lt;Hta_11,$G104&gt;=Hba_11,Input!AF$31&lt;&gt;""),Input!$B$31&amp;";",""),IF(AND($G104&lt;Hta_12,$G104&gt;=Hba_12,Input!AF$32&lt;&gt;""),Input!$B$32&amp;";",""),IF(AND($G104&lt;Hta_13,$G104&gt;=Hba_13,Input!AF$33&lt;&gt;""),Input!$B$33&amp;";",""),IF(AND($G104&lt;Hta_14,$G104&gt;=Hba_14,Input!AF$34&lt;&gt;""),Input!$B$34&amp;";",""),IF(AND($G104&lt;Hta_15,$G104&gt;=Hba_15,Input!AF$35&lt;&gt;""),Input!$B$35&amp;";",""),IF(AND($G104&lt;Hta_16,$G104&gt;=Hba_16,Input!AF$36&lt;&gt;""),Input!$B$36&amp;";",""),IF(AND($G104&lt;Hta_17,$G104&gt;=Hba_17,Input!AF$37&lt;&gt;""),Input!$B$37&amp;";",""),IF(AND($G104&lt;Hta_18,$G104&gt;=Hba_18,Input!AF$38&lt;&gt;""),Input!$B$38&amp;";",""),IF(AND($G104&lt;Hta_19,$G104&gt;=Hba_19,Input!AF$39&lt;&gt;""),Input!$B$39&amp;";",""),IF(AND($G104&lt;Hta_20,$G104&gt;=Hba_20,Input!AF$40&lt;&gt;""),Input!$B$40&amp;";",""),IF(AND($G104&lt;Hta_21,$G104&gt;=Hba_21,Input!AF$41&lt;&gt;""),Input!$B$41&amp;";",""),IF(AND($G104&lt;Hta_22,$G104&gt;=Hba_22,Input!AF$42&lt;&gt;""),Input!$B$42&amp;";",""),IF(AND($G104&lt;Hta_23,$G104&gt;=Hba_23,Input!AF$43&lt;&gt;""),Input!$B$43&amp;";",""),IF(AND($G104&lt;Hta_24,$G104&gt;=Hba_24,Input!AF$44&lt;&gt;""),Input!$B$44&amp;";",""),IF(AND($G104&lt;Hta_25,$G104&gt;=Hba_25,Input!AF$45&lt;&gt;""),Input!$B$45&amp;";",""),IF(AND($G104&lt;Hta_26,$G104&gt;=Hba_26,Input!AF$46&lt;&gt;""),Input!$B$46&amp;";",""),IF(AND($G104&lt;Hta_27,$G104&gt;=Hba_27,Input!AF$47&lt;&gt;""),Input!$B$47&amp;";",""),IF(AND($G104&lt;Hta_28,$G104&gt;=Hba_28,Input!AF$48&lt;&gt;""),Input!$B$48&amp;";",""),IF(AND($G104&lt;Hta_29,$G104&gt;=Hba_29,Input!AF$49&lt;&gt;""),Input!$B$49&amp;";",""),IF(AND($G104&lt;Hta_30,$G104&gt;=Hba_30,Input!AF$50&lt;&gt;""),Input!$B$50&amp;";","")),"")</f>
        <v/>
      </c>
      <c r="CH104" s="25" t="str">
        <f>IFERROR(CONCATENATE(IF(AND($G104&lt;Hta_1,$G104&gt;=Hba_1,Input!AG$21&lt;&gt;""),Input!$B$21&amp;";",""),IF(AND($G104&lt;Hta_2,$G104&gt;=Hba_2,Input!AG$22&lt;&gt;""),Input!$B$22&amp;";",""),IF(AND($G104&lt;Hta_3,$G104&gt;=Hba_3,Input!AG$23&lt;&gt;""),Input!$B$23&amp;";",""),IF(AND($G104&lt;Hta_4,$G104&gt;=Hba_4,Input!AG$24&lt;&gt;""),Input!$B$24&amp;";",""),IF(AND($G104&lt;Hta_5,$G104&gt;=Hba_5,Input!AG$25&lt;&gt;""),Input!$B$25&amp;";",""),IF(AND($G104&lt;Hta_6,$G104&gt;=Hba_6,Input!AG$26&lt;&gt;""),Input!$B$26&amp;";",""),IF(AND($G104&lt;Hta_7,$G104&gt;=Hba_7,Input!AG$27&lt;&gt;""),Input!$B$27&amp;";",""),IF(AND($G104&lt;Hta_8,$G104&gt;=Hba_8,Input!AG$28&lt;&gt;""),Input!$B$28&amp;";",""),IF(AND($G104&lt;Hta_9,$G104&gt;=Hba_9,Input!AG$29&lt;&gt;""),Input!$B$29&amp;";",""),IF(AND($G104&lt;Hta_10,$G104&gt;=Hba_10,Input!AG$30&lt;&gt;""),Input!$B$30&amp;";",""),IF(AND($G104&lt;Hta_11,$G104&gt;=Hba_11,Input!AG$31&lt;&gt;""),Input!$B$31&amp;";",""),IF(AND($G104&lt;Hta_12,$G104&gt;=Hba_12,Input!AG$32&lt;&gt;""),Input!$B$32&amp;";",""),IF(AND($G104&lt;Hta_13,$G104&gt;=Hba_13,Input!AG$33&lt;&gt;""),Input!$B$33&amp;";",""),IF(AND($G104&lt;Hta_14,$G104&gt;=Hba_14,Input!AG$34&lt;&gt;""),Input!$B$34&amp;";",""),IF(AND($G104&lt;Hta_15,$G104&gt;=Hba_15,Input!AG$35&lt;&gt;""),Input!$B$35&amp;";",""),IF(AND($G104&lt;Hta_16,$G104&gt;=Hba_16,Input!AG$36&lt;&gt;""),Input!$B$36&amp;";",""),IF(AND($G104&lt;Hta_17,$G104&gt;=Hba_17,Input!AG$37&lt;&gt;""),Input!$B$37&amp;";",""),IF(AND($G104&lt;Hta_18,$G104&gt;=Hba_18,Input!AG$38&lt;&gt;""),Input!$B$38&amp;";",""),IF(AND($G104&lt;Hta_19,$G104&gt;=Hba_19,Input!AG$39&lt;&gt;""),Input!$B$39&amp;";",""),IF(AND($G104&lt;Hta_20,$G104&gt;=Hba_20,Input!AG$40&lt;&gt;""),Input!$B$40&amp;";",""),IF(AND($G104&lt;Hta_21,$G104&gt;=Hba_21,Input!AG$41&lt;&gt;""),Input!$B$41&amp;";",""),IF(AND($G104&lt;Hta_22,$G104&gt;=Hba_22,Input!AG$42&lt;&gt;""),Input!$B$42&amp;";",""),IF(AND($G104&lt;Hta_23,$G104&gt;=Hba_23,Input!AG$43&lt;&gt;""),Input!$B$43&amp;";",""),IF(AND($G104&lt;Hta_24,$G104&gt;=Hba_24,Input!AG$44&lt;&gt;""),Input!$B$44&amp;";",""),IF(AND($G104&lt;Hta_25,$G104&gt;=Hba_25,Input!AG$45&lt;&gt;""),Input!$B$45&amp;";",""),IF(AND($G104&lt;Hta_26,$G104&gt;=Hba_26,Input!AG$46&lt;&gt;""),Input!$B$46&amp;";",""),IF(AND($G104&lt;Hta_27,$G104&gt;=Hba_27,Input!AG$47&lt;&gt;""),Input!$B$47&amp;";",""),IF(AND($G104&lt;Hta_28,$G104&gt;=Hba_28,Input!AG$48&lt;&gt;""),Input!$B$48&amp;";",""),IF(AND($G104&lt;Hta_29,$G104&gt;=Hba_29,Input!AG$49&lt;&gt;""),Input!$B$49&amp;";",""),IF(AND($G104&lt;Hta_30,$G104&gt;=Hba_30,Input!AG$50&lt;&gt;""),Input!$B$50&amp;";","")),"")</f>
        <v/>
      </c>
      <c r="CI104" s="25" t="str">
        <f>IFERROR(CONCATENATE(IF(AND($G104&lt;Hta_1,$G104&gt;=Hba_1,Input!AH$21&lt;&gt;""),Input!$B$21&amp;";",""),IF(AND($G104&lt;Hta_2,$G104&gt;=Hba_2,Input!AH$22&lt;&gt;""),Input!$B$22&amp;";",""),IF(AND($G104&lt;Hta_3,$G104&gt;=Hba_3,Input!AH$23&lt;&gt;""),Input!$B$23&amp;";",""),IF(AND($G104&lt;Hta_4,$G104&gt;=Hba_4,Input!AH$24&lt;&gt;""),Input!$B$24&amp;";",""),IF(AND($G104&lt;Hta_5,$G104&gt;=Hba_5,Input!AH$25&lt;&gt;""),Input!$B$25&amp;";",""),IF(AND($G104&lt;Hta_6,$G104&gt;=Hba_6,Input!AH$26&lt;&gt;""),Input!$B$26&amp;";",""),IF(AND($G104&lt;Hta_7,$G104&gt;=Hba_7,Input!AH$27&lt;&gt;""),Input!$B$27&amp;";",""),IF(AND($G104&lt;Hta_8,$G104&gt;=Hba_8,Input!AH$28&lt;&gt;""),Input!$B$28&amp;";",""),IF(AND($G104&lt;Hta_9,$G104&gt;=Hba_9,Input!AH$29&lt;&gt;""),Input!$B$29&amp;";",""),IF(AND($G104&lt;Hta_10,$G104&gt;=Hba_10,Input!AH$30&lt;&gt;""),Input!$B$30&amp;";",""),IF(AND($G104&lt;Hta_11,$G104&gt;=Hba_11,Input!AH$31&lt;&gt;""),Input!$B$31&amp;";",""),IF(AND($G104&lt;Hta_12,$G104&gt;=Hba_12,Input!AH$32&lt;&gt;""),Input!$B$32&amp;";",""),IF(AND($G104&lt;Hta_13,$G104&gt;=Hba_13,Input!AH$33&lt;&gt;""),Input!$B$33&amp;";",""),IF(AND($G104&lt;Hta_14,$G104&gt;=Hba_14,Input!AH$34&lt;&gt;""),Input!$B$34&amp;";",""),IF(AND($G104&lt;Hta_15,$G104&gt;=Hba_15,Input!AH$35&lt;&gt;""),Input!$B$35&amp;";",""),IF(AND($G104&lt;Hta_16,$G104&gt;=Hba_16,Input!AH$36&lt;&gt;""),Input!$B$36&amp;";",""),IF(AND($G104&lt;Hta_17,$G104&gt;=Hba_17,Input!AH$37&lt;&gt;""),Input!$B$37&amp;";",""),IF(AND($G104&lt;Hta_18,$G104&gt;=Hba_18,Input!AH$38&lt;&gt;""),Input!$B$38&amp;";",""),IF(AND($G104&lt;Hta_19,$G104&gt;=Hba_19,Input!AH$39&lt;&gt;""),Input!$B$39&amp;";",""),IF(AND($G104&lt;Hta_20,$G104&gt;=Hba_20,Input!AH$40&lt;&gt;""),Input!$B$40&amp;";",""),IF(AND($G104&lt;Hta_21,$G104&gt;=Hba_21,Input!AH$41&lt;&gt;""),Input!$B$41&amp;";",""),IF(AND($G104&lt;Hta_22,$G104&gt;=Hba_22,Input!AH$42&lt;&gt;""),Input!$B$42&amp;";",""),IF(AND($G104&lt;Hta_23,$G104&gt;=Hba_23,Input!AH$43&lt;&gt;""),Input!$B$43&amp;";",""),IF(AND($G104&lt;Hta_24,$G104&gt;=Hba_24,Input!AH$44&lt;&gt;""),Input!$B$44&amp;";",""),IF(AND($G104&lt;Hta_25,$G104&gt;=Hba_25,Input!AH$45&lt;&gt;""),Input!$B$45&amp;";",""),IF(AND($G104&lt;Hta_26,$G104&gt;=Hba_26,Input!AH$46&lt;&gt;""),Input!$B$46&amp;";",""),IF(AND($G104&lt;Hta_27,$G104&gt;=Hba_27,Input!AH$47&lt;&gt;""),Input!$B$47&amp;";",""),IF(AND($G104&lt;Hta_28,$G104&gt;=Hba_28,Input!AH$48&lt;&gt;""),Input!$B$48&amp;";",""),IF(AND($G104&lt;Hta_29,$G104&gt;=Hba_29,Input!AH$49&lt;&gt;""),Input!$B$49&amp;";",""),IF(AND($G104&lt;Hta_30,$G104&gt;=Hba_30,Input!AH$50&lt;&gt;""),Input!$B$50&amp;";","")),"")</f>
        <v/>
      </c>
      <c r="CJ104" s="25" t="str">
        <f>IFERROR(CONCATENATE(IF(AND($G104&lt;Hta_1,$G104&gt;=Hba_1,Input!AI$21&lt;&gt;""),Input!$B$21&amp;";",""),IF(AND($G104&lt;Hta_2,$G104&gt;=Hba_2,Input!AI$22&lt;&gt;""),Input!$B$22&amp;";",""),IF(AND($G104&lt;Hta_3,$G104&gt;=Hba_3,Input!AI$23&lt;&gt;""),Input!$B$23&amp;";",""),IF(AND($G104&lt;Hta_4,$G104&gt;=Hba_4,Input!AI$24&lt;&gt;""),Input!$B$24&amp;";",""),IF(AND($G104&lt;Hta_5,$G104&gt;=Hba_5,Input!AI$25&lt;&gt;""),Input!$B$25&amp;";",""),IF(AND($G104&lt;Hta_6,$G104&gt;=Hba_6,Input!AI$26&lt;&gt;""),Input!$B$26&amp;";",""),IF(AND($G104&lt;Hta_7,$G104&gt;=Hba_7,Input!AI$27&lt;&gt;""),Input!$B$27&amp;";",""),IF(AND($G104&lt;Hta_8,$G104&gt;=Hba_8,Input!AI$28&lt;&gt;""),Input!$B$28&amp;";",""),IF(AND($G104&lt;Hta_9,$G104&gt;=Hba_9,Input!AI$29&lt;&gt;""),Input!$B$29&amp;";",""),IF(AND($G104&lt;Hta_10,$G104&gt;=Hba_10,Input!AI$30&lt;&gt;""),Input!$B$30&amp;";",""),IF(AND($G104&lt;Hta_11,$G104&gt;=Hba_11,Input!AI$31&lt;&gt;""),Input!$B$31&amp;";",""),IF(AND($G104&lt;Hta_12,$G104&gt;=Hba_12,Input!AI$32&lt;&gt;""),Input!$B$32&amp;";",""),IF(AND($G104&lt;Hta_13,$G104&gt;=Hba_13,Input!AI$33&lt;&gt;""),Input!$B$33&amp;";",""),IF(AND($G104&lt;Hta_14,$G104&gt;=Hba_14,Input!AI$34&lt;&gt;""),Input!$B$34&amp;";",""),IF(AND($G104&lt;Hta_15,$G104&gt;=Hba_15,Input!AI$35&lt;&gt;""),Input!$B$35&amp;";",""),IF(AND($G104&lt;Hta_16,$G104&gt;=Hba_16,Input!AI$36&lt;&gt;""),Input!$B$36&amp;";",""),IF(AND($G104&lt;Hta_17,$G104&gt;=Hba_17,Input!AI$37&lt;&gt;""),Input!$B$37&amp;";",""),IF(AND($G104&lt;Hta_18,$G104&gt;=Hba_18,Input!AI$38&lt;&gt;""),Input!$B$38&amp;";",""),IF(AND($G104&lt;Hta_19,$G104&gt;=Hba_19,Input!AI$39&lt;&gt;""),Input!$B$39&amp;";",""),IF(AND($G104&lt;Hta_20,$G104&gt;=Hba_20,Input!AI$40&lt;&gt;""),Input!$B$40&amp;";",""),IF(AND($G104&lt;Hta_21,$G104&gt;=Hba_21,Input!AI$41&lt;&gt;""),Input!$B$41&amp;";",""),IF(AND($G104&lt;Hta_22,$G104&gt;=Hba_22,Input!AI$42&lt;&gt;""),Input!$B$42&amp;";",""),IF(AND($G104&lt;Hta_23,$G104&gt;=Hba_23,Input!AI$43&lt;&gt;""),Input!$B$43&amp;";",""),IF(AND($G104&lt;Hta_24,$G104&gt;=Hba_24,Input!AI$44&lt;&gt;""),Input!$B$44&amp;";",""),IF(AND($G104&lt;Hta_25,$G104&gt;=Hba_25,Input!AI$45&lt;&gt;""),Input!$B$45&amp;";",""),IF(AND($G104&lt;Hta_26,$G104&gt;=Hba_26,Input!AI$46&lt;&gt;""),Input!$B$46&amp;";",""),IF(AND($G104&lt;Hta_27,$G104&gt;=Hba_27,Input!AI$47&lt;&gt;""),Input!$B$47&amp;";",""),IF(AND($G104&lt;Hta_28,$G104&gt;=Hba_28,Input!AI$48&lt;&gt;""),Input!$B$48&amp;";",""),IF(AND($G104&lt;Hta_29,$G104&gt;=Hba_29,Input!AI$49&lt;&gt;""),Input!$B$49&amp;";",""),IF(AND($G104&lt;Hta_30,$G104&gt;=Hba_30,Input!AI$50&lt;&gt;""),Input!$B$50&amp;";","")),"")</f>
        <v/>
      </c>
      <c r="CK104" s="25" t="str">
        <f>IFERROR(CONCATENATE(IF(AND($G104&lt;Hta_1,$G104&gt;=Hba_1,Input!AJ$21&lt;&gt;""),Input!$B$21&amp;";",""),IF(AND($G104&lt;Hta_2,$G104&gt;=Hba_2,Input!AJ$22&lt;&gt;""),Input!$B$22&amp;";",""),IF(AND($G104&lt;Hta_3,$G104&gt;=Hba_3,Input!AJ$23&lt;&gt;""),Input!$B$23&amp;";",""),IF(AND($G104&lt;Hta_4,$G104&gt;=Hba_4,Input!AJ$24&lt;&gt;""),Input!$B$24&amp;";",""),IF(AND($G104&lt;Hta_5,$G104&gt;=Hba_5,Input!AJ$25&lt;&gt;""),Input!$B$25&amp;";",""),IF(AND($G104&lt;Hta_6,$G104&gt;=Hba_6,Input!AJ$26&lt;&gt;""),Input!$B$26&amp;";",""),IF(AND($G104&lt;Hta_7,$G104&gt;=Hba_7,Input!AJ$27&lt;&gt;""),Input!$B$27&amp;";",""),IF(AND($G104&lt;Hta_8,$G104&gt;=Hba_8,Input!AJ$28&lt;&gt;""),Input!$B$28&amp;";",""),IF(AND($G104&lt;Hta_9,$G104&gt;=Hba_9,Input!AJ$29&lt;&gt;""),Input!$B$29&amp;";",""),IF(AND($G104&lt;Hta_10,$G104&gt;=Hba_10,Input!AJ$30&lt;&gt;""),Input!$B$30&amp;";",""),IF(AND($G104&lt;Hta_11,$G104&gt;=Hba_11,Input!AJ$31&lt;&gt;""),Input!$B$31&amp;";",""),IF(AND($G104&lt;Hta_12,$G104&gt;=Hba_12,Input!AJ$32&lt;&gt;""),Input!$B$32&amp;";",""),IF(AND($G104&lt;Hta_13,$G104&gt;=Hba_13,Input!AJ$33&lt;&gt;""),Input!$B$33&amp;";",""),IF(AND($G104&lt;Hta_14,$G104&gt;=Hba_14,Input!AJ$34&lt;&gt;""),Input!$B$34&amp;";",""),IF(AND($G104&lt;Hta_15,$G104&gt;=Hba_15,Input!AJ$35&lt;&gt;""),Input!$B$35&amp;";",""),IF(AND($G104&lt;Hta_16,$G104&gt;=Hba_16,Input!AJ$36&lt;&gt;""),Input!$B$36&amp;";",""),IF(AND($G104&lt;Hta_17,$G104&gt;=Hba_17,Input!AJ$37&lt;&gt;""),Input!$B$37&amp;";",""),IF(AND($G104&lt;Hta_18,$G104&gt;=Hba_18,Input!AJ$38&lt;&gt;""),Input!$B$38&amp;";",""),IF(AND($G104&lt;Hta_19,$G104&gt;=Hba_19,Input!AJ$39&lt;&gt;""),Input!$B$39&amp;";",""),IF(AND($G104&lt;Hta_20,$G104&gt;=Hba_20,Input!AJ$40&lt;&gt;""),Input!$B$40&amp;";",""),IF(AND($G104&lt;Hta_21,$G104&gt;=Hba_21,Input!AJ$41&lt;&gt;""),Input!$B$41&amp;";",""),IF(AND($G104&lt;Hta_22,$G104&gt;=Hba_22,Input!AJ$42&lt;&gt;""),Input!$B$42&amp;";",""),IF(AND($G104&lt;Hta_23,$G104&gt;=Hba_23,Input!AJ$43&lt;&gt;""),Input!$B$43&amp;";",""),IF(AND($G104&lt;Hta_24,$G104&gt;=Hba_24,Input!AJ$44&lt;&gt;""),Input!$B$44&amp;";",""),IF(AND($G104&lt;Hta_25,$G104&gt;=Hba_25,Input!AJ$45&lt;&gt;""),Input!$B$45&amp;";",""),IF(AND($G104&lt;Hta_26,$G104&gt;=Hba_26,Input!AJ$46&lt;&gt;""),Input!$B$46&amp;";",""),IF(AND($G104&lt;Hta_27,$G104&gt;=Hba_27,Input!AJ$47&lt;&gt;""),Input!$B$47&amp;";",""),IF(AND($G104&lt;Hta_28,$G104&gt;=Hba_28,Input!AJ$48&lt;&gt;""),Input!$B$48&amp;";",""),IF(AND($G104&lt;Hta_29,$G104&gt;=Hba_29,Input!AJ$49&lt;&gt;""),Input!$B$49&amp;";",""),IF(AND($G104&lt;Hta_30,$G104&gt;=Hba_30,Input!AJ$50&lt;&gt;""),Input!$B$50&amp;";","")),"")</f>
        <v/>
      </c>
      <c r="CL104" s="25" t="str">
        <f>IFERROR(CONCATENATE(IF(AND($G104&lt;Hta_1,$G104&gt;=Hba_1,Input!AK$21&lt;&gt;""),Input!$B$21&amp;";",""),IF(AND($G104&lt;Hta_2,$G104&gt;=Hba_2,Input!AK$22&lt;&gt;""),Input!$B$22&amp;";",""),IF(AND($G104&lt;Hta_3,$G104&gt;=Hba_3,Input!AK$23&lt;&gt;""),Input!$B$23&amp;";",""),IF(AND($G104&lt;Hta_4,$G104&gt;=Hba_4,Input!AK$24&lt;&gt;""),Input!$B$24&amp;";",""),IF(AND($G104&lt;Hta_5,$G104&gt;=Hba_5,Input!AK$25&lt;&gt;""),Input!$B$25&amp;";",""),IF(AND($G104&lt;Hta_6,$G104&gt;=Hba_6,Input!AK$26&lt;&gt;""),Input!$B$26&amp;";",""),IF(AND($G104&lt;Hta_7,$G104&gt;=Hba_7,Input!AK$27&lt;&gt;""),Input!$B$27&amp;";",""),IF(AND($G104&lt;Hta_8,$G104&gt;=Hba_8,Input!AK$28&lt;&gt;""),Input!$B$28&amp;";",""),IF(AND($G104&lt;Hta_9,$G104&gt;=Hba_9,Input!AK$29&lt;&gt;""),Input!$B$29&amp;";",""),IF(AND($G104&lt;Hta_10,$G104&gt;=Hba_10,Input!AK$30&lt;&gt;""),Input!$B$30&amp;";",""),IF(AND($G104&lt;Hta_11,$G104&gt;=Hba_11,Input!AK$31&lt;&gt;""),Input!$B$31&amp;";",""),IF(AND($G104&lt;Hta_12,$G104&gt;=Hba_12,Input!AK$32&lt;&gt;""),Input!$B$32&amp;";",""),IF(AND($G104&lt;Hta_13,$G104&gt;=Hba_13,Input!AK$33&lt;&gt;""),Input!$B$33&amp;";",""),IF(AND($G104&lt;Hta_14,$G104&gt;=Hba_14,Input!AK$34&lt;&gt;""),Input!$B$34&amp;";",""),IF(AND($G104&lt;Hta_15,$G104&gt;=Hba_15,Input!AK$35&lt;&gt;""),Input!$B$35&amp;";",""),IF(AND($G104&lt;Hta_16,$G104&gt;=Hba_16,Input!AK$36&lt;&gt;""),Input!$B$36&amp;";",""),IF(AND($G104&lt;Hta_17,$G104&gt;=Hba_17,Input!AK$37&lt;&gt;""),Input!$B$37&amp;";",""),IF(AND($G104&lt;Hta_18,$G104&gt;=Hba_18,Input!AK$38&lt;&gt;""),Input!$B$38&amp;";",""),IF(AND($G104&lt;Hta_19,$G104&gt;=Hba_19,Input!AK$39&lt;&gt;""),Input!$B$39&amp;";",""),IF(AND($G104&lt;Hta_20,$G104&gt;=Hba_20,Input!AK$40&lt;&gt;""),Input!$B$40&amp;";",""),IF(AND($G104&lt;Hta_21,$G104&gt;=Hba_21,Input!AK$41&lt;&gt;""),Input!$B$41&amp;";",""),IF(AND($G104&lt;Hta_22,$G104&gt;=Hba_22,Input!AK$42&lt;&gt;""),Input!$B$42&amp;";",""),IF(AND($G104&lt;Hta_23,$G104&gt;=Hba_23,Input!AK$43&lt;&gt;""),Input!$B$43&amp;";",""),IF(AND($G104&lt;Hta_24,$G104&gt;=Hba_24,Input!AK$44&lt;&gt;""),Input!$B$44&amp;";",""),IF(AND($G104&lt;Hta_25,$G104&gt;=Hba_25,Input!AK$45&lt;&gt;""),Input!$B$45&amp;";",""),IF(AND($G104&lt;Hta_26,$G104&gt;=Hba_26,Input!AK$46&lt;&gt;""),Input!$B$46&amp;";",""),IF(AND($G104&lt;Hta_27,$G104&gt;=Hba_27,Input!AK$47&lt;&gt;""),Input!$B$47&amp;";",""),IF(AND($G104&lt;Hta_28,$G104&gt;=Hba_28,Input!AK$48&lt;&gt;""),Input!$B$48&amp;";",""),IF(AND($G104&lt;Hta_29,$G104&gt;=Hba_29,Input!AK$49&lt;&gt;""),Input!$B$49&amp;";",""),IF(AND($G104&lt;Hta_30,$G104&gt;=Hba_30,Input!AK$50&lt;&gt;""),Input!$B$50&amp;";","")),"")</f>
        <v/>
      </c>
      <c r="CM104" s="25" t="str">
        <f>IFERROR(CONCATENATE(IF(AND($G104&lt;Hta_1,$G104&gt;=Hba_1,Input!AL$21&lt;&gt;""),Input!$B$21&amp;";",""),IF(AND($G104&lt;Hta_2,$G104&gt;=Hba_2,Input!AL$22&lt;&gt;""),Input!$B$22&amp;";",""),IF(AND($G104&lt;Hta_3,$G104&gt;=Hba_3,Input!AL$23&lt;&gt;""),Input!$B$23&amp;";",""),IF(AND($G104&lt;Hta_4,$G104&gt;=Hba_4,Input!AL$24&lt;&gt;""),Input!$B$24&amp;";",""),IF(AND($G104&lt;Hta_5,$G104&gt;=Hba_5,Input!AL$25&lt;&gt;""),Input!$B$25&amp;";",""),IF(AND($G104&lt;Hta_6,$G104&gt;=Hba_6,Input!AL$26&lt;&gt;""),Input!$B$26&amp;";",""),IF(AND($G104&lt;Hta_7,$G104&gt;=Hba_7,Input!AL$27&lt;&gt;""),Input!$B$27&amp;";",""),IF(AND($G104&lt;Hta_8,$G104&gt;=Hba_8,Input!AL$28&lt;&gt;""),Input!$B$28&amp;";",""),IF(AND($G104&lt;Hta_9,$G104&gt;=Hba_9,Input!AL$29&lt;&gt;""),Input!$B$29&amp;";",""),IF(AND($G104&lt;Hta_10,$G104&gt;=Hba_10,Input!AL$30&lt;&gt;""),Input!$B$30&amp;";",""),IF(AND($G104&lt;Hta_11,$G104&gt;=Hba_11,Input!AL$31&lt;&gt;""),Input!$B$31&amp;";",""),IF(AND($G104&lt;Hta_12,$G104&gt;=Hba_12,Input!AL$32&lt;&gt;""),Input!$B$32&amp;";",""),IF(AND($G104&lt;Hta_13,$G104&gt;=Hba_13,Input!AL$33&lt;&gt;""),Input!$B$33&amp;";",""),IF(AND($G104&lt;Hta_14,$G104&gt;=Hba_14,Input!AL$34&lt;&gt;""),Input!$B$34&amp;";",""),IF(AND($G104&lt;Hta_15,$G104&gt;=Hba_15,Input!AL$35&lt;&gt;""),Input!$B$35&amp;";",""),IF(AND($G104&lt;Hta_16,$G104&gt;=Hba_16,Input!AL$36&lt;&gt;""),Input!$B$36&amp;";",""),IF(AND($G104&lt;Hta_17,$G104&gt;=Hba_17,Input!AL$37&lt;&gt;""),Input!$B$37&amp;";",""),IF(AND($G104&lt;Hta_18,$G104&gt;=Hba_18,Input!AL$38&lt;&gt;""),Input!$B$38&amp;";",""),IF(AND($G104&lt;Hta_19,$G104&gt;=Hba_19,Input!AL$39&lt;&gt;""),Input!$B$39&amp;";",""),IF(AND($G104&lt;Hta_20,$G104&gt;=Hba_20,Input!AL$40&lt;&gt;""),Input!$B$40&amp;";",""),IF(AND($G104&lt;Hta_21,$G104&gt;=Hba_21,Input!AL$41&lt;&gt;""),Input!$B$41&amp;";",""),IF(AND($G104&lt;Hta_22,$G104&gt;=Hba_22,Input!AL$42&lt;&gt;""),Input!$B$42&amp;";",""),IF(AND($G104&lt;Hta_23,$G104&gt;=Hba_23,Input!AL$43&lt;&gt;""),Input!$B$43&amp;";",""),IF(AND($G104&lt;Hta_24,$G104&gt;=Hba_24,Input!AL$44&lt;&gt;""),Input!$B$44&amp;";",""),IF(AND($G104&lt;Hta_25,$G104&gt;=Hba_25,Input!AL$45&lt;&gt;""),Input!$B$45&amp;";",""),IF(AND($G104&lt;Hta_26,$G104&gt;=Hba_26,Input!AL$46&lt;&gt;""),Input!$B$46&amp;";",""),IF(AND($G104&lt;Hta_27,$G104&gt;=Hba_27,Input!AL$47&lt;&gt;""),Input!$B$47&amp;";",""),IF(AND($G104&lt;Hta_28,$G104&gt;=Hba_28,Input!AL$48&lt;&gt;""),Input!$B$48&amp;";",""),IF(AND($G104&lt;Hta_29,$G104&gt;=Hba_29,Input!AL$49&lt;&gt;""),Input!$B$49&amp;";",""),IF(AND($G104&lt;Hta_30,$G104&gt;=Hba_30,Input!AL$50&lt;&gt;""),Input!$B$50&amp;";","")),"")</f>
        <v/>
      </c>
      <c r="CN104" s="59" t="str">
        <f t="shared" si="16"/>
        <v/>
      </c>
      <c r="CO104" s="791"/>
      <c r="CP104" s="792"/>
      <c r="CQ104" s="793"/>
      <c r="CR104" s="791"/>
      <c r="CS104" s="792"/>
      <c r="CT104" s="793"/>
      <c r="CU104" s="791" t="str">
        <f t="shared" si="17"/>
        <v/>
      </c>
      <c r="CV104" s="792"/>
      <c r="CW104" s="807"/>
      <c r="CX104" s="808"/>
      <c r="CY104" s="730"/>
      <c r="CZ104" s="809"/>
      <c r="DA104" s="733"/>
      <c r="DB104" s="734"/>
      <c r="DC104" s="735"/>
      <c r="DD104" s="729" t="str">
        <f t="shared" si="18"/>
        <v/>
      </c>
      <c r="DE104" s="730"/>
      <c r="DF104" s="731"/>
      <c r="DG104" s="55"/>
      <c r="DH104" s="56"/>
      <c r="DI104" s="56"/>
      <c r="DJ104" s="56"/>
      <c r="DK104" s="56"/>
      <c r="DL104" s="56"/>
      <c r="DM104" s="56"/>
      <c r="DN104" s="56"/>
      <c r="DO104" s="56"/>
      <c r="DP104" s="56"/>
      <c r="DQ104" s="58"/>
      <c r="DR104" s="58"/>
      <c r="DS104" s="58"/>
      <c r="DT104" s="58"/>
      <c r="DU104" s="58"/>
      <c r="DV104" s="58"/>
      <c r="DW104" s="58"/>
      <c r="DX104" s="58"/>
      <c r="DY104" s="58"/>
      <c r="DZ104" s="58"/>
      <c r="EA104" s="58"/>
      <c r="EB104" s="58"/>
      <c r="EC104" s="58"/>
      <c r="ED104" s="58"/>
      <c r="EE104" s="58"/>
      <c r="EF104" s="58"/>
      <c r="EG104" s="58"/>
      <c r="EH104" s="58"/>
      <c r="EI104" s="58"/>
      <c r="EJ104" s="58"/>
      <c r="EK104" s="58"/>
      <c r="EL104" s="134"/>
      <c r="EM104" s="134"/>
      <c r="EN104" s="134"/>
      <c r="EO104" s="134"/>
      <c r="EP104" s="134"/>
      <c r="EQ104" s="134"/>
      <c r="ER104" s="134"/>
      <c r="ES104" s="134"/>
      <c r="ET104" s="134"/>
      <c r="EU104" s="134"/>
      <c r="EV104" s="134"/>
      <c r="EW104" s="134"/>
      <c r="EX104" s="134"/>
      <c r="EY104" s="134"/>
      <c r="EZ104" s="134"/>
      <c r="FA104" s="134"/>
      <c r="FB104" s="134"/>
      <c r="FC104" s="134"/>
      <c r="FD104" s="134"/>
      <c r="FE104" s="134"/>
      <c r="FF104" s="134"/>
      <c r="FG104" s="134"/>
      <c r="FH104" s="134"/>
      <c r="FI104" s="134"/>
      <c r="FJ104" s="134"/>
      <c r="FK104" s="134"/>
      <c r="FL104" s="134"/>
      <c r="FM104" s="134"/>
      <c r="FN104" s="134"/>
      <c r="FO104" s="134"/>
      <c r="FQ104" s="124"/>
      <c r="FR104" s="122"/>
      <c r="FS104" s="120"/>
      <c r="FT104" s="119"/>
    </row>
    <row r="105" spans="2:176" ht="13.5" thickBot="1" x14ac:dyDescent="0.25">
      <c r="C105" s="226"/>
      <c r="D105" s="226"/>
      <c r="E105" s="226"/>
      <c r="F105" s="226"/>
      <c r="G105" s="712">
        <v>10</v>
      </c>
      <c r="H105" s="712"/>
      <c r="I105" s="226"/>
      <c r="J105" s="226"/>
      <c r="K105" s="226"/>
      <c r="L105" s="226"/>
      <c r="M105" s="226"/>
      <c r="N105" s="226"/>
      <c r="O105" s="226"/>
      <c r="P105" s="226"/>
      <c r="Q105" s="226"/>
      <c r="R105" s="226"/>
      <c r="S105" s="226"/>
      <c r="T105" s="712" t="e">
        <f>IF($G105="","",VLOOKUP($G105,'Geometry 2'!$E$4:$AH$14,11,TRUE))</f>
        <v>#N/A</v>
      </c>
      <c r="U105" s="712"/>
      <c r="V105" s="712"/>
      <c r="W105" s="712"/>
      <c r="X105" s="226"/>
      <c r="Y105" s="226"/>
      <c r="Z105" s="226"/>
      <c r="AA105" s="226"/>
      <c r="AB105" s="713" t="e">
        <f>IF($G105="","",VLOOKUP($G105,'Geometry 2'!$E$4:$AJ$14,19,TRUE)-12*VLOOKUP($G105,'Geometry 2'!$E$4:$AJ$14,32,TRUE)*($G105-VLOOKUP($G105,'Geometry 2'!$E$5:$AH$14,1,TRUE)))</f>
        <v>#N/A</v>
      </c>
      <c r="AC105" s="713"/>
      <c r="AD105" s="713"/>
      <c r="AE105" s="713"/>
      <c r="AF105" s="226"/>
      <c r="AG105" s="226"/>
      <c r="AH105" s="226"/>
      <c r="AI105" s="226"/>
      <c r="AJ105" s="714" t="e">
        <f>IF($G105="","",VLOOKUP($G105,'Geometry 2'!$E$4:$AH$14,23,TRUE))</f>
        <v>#N/A</v>
      </c>
      <c r="AK105" s="714"/>
      <c r="AL105" s="714"/>
      <c r="AM105" s="714"/>
      <c r="AN105" s="226"/>
      <c r="AO105" s="226"/>
      <c r="AP105" s="226"/>
      <c r="AQ105" s="226"/>
      <c r="AR105" s="712" t="e">
        <f>IF($G105="","",VLOOKUP($G105,'Geometry 2'!$E$4:$AH$14,27,TRUE))</f>
        <v>#N/A</v>
      </c>
      <c r="AS105" s="712"/>
      <c r="AT105" s="712"/>
      <c r="AU105" s="712"/>
      <c r="AV105" s="226"/>
      <c r="AW105" s="226"/>
      <c r="AX105" s="226"/>
      <c r="AZ105" s="722"/>
      <c r="BA105" s="723"/>
      <c r="BB105" s="723"/>
      <c r="BC105" s="724"/>
      <c r="BD105" s="722"/>
      <c r="BE105" s="723"/>
      <c r="BF105" s="724"/>
      <c r="BG105" s="722"/>
      <c r="BH105" s="723"/>
      <c r="BI105" s="723"/>
      <c r="BJ105" s="723"/>
      <c r="BK105" s="724"/>
      <c r="BL105" s="722"/>
      <c r="BM105" s="723"/>
      <c r="BN105" s="723"/>
      <c r="BO105" s="723"/>
      <c r="BP105" s="725" t="s">
        <v>239</v>
      </c>
      <c r="BQ105" s="725"/>
      <c r="BR105" s="744"/>
      <c r="BS105" s="744"/>
      <c r="BT105" s="744"/>
      <c r="BV105" s="25" t="str">
        <f>IFERROR(CONCATENATE(IF(AND($G105&lt;Hta_1,$G105&gt;=Hba_1,Input!U$21&lt;&gt;""),Input!$B$21&amp;";",""),IF(AND($G105&lt;Hta_2,$G105&gt;=Hba_2,Input!U$22&lt;&gt;""),Input!$B$22&amp;";",""),IF(AND($G105&lt;Hta_3,$G105&gt;=Hba_3,Input!U$23&lt;&gt;""),Input!$B$23&amp;";",""),IF(AND($G105&lt;Hta_4,$G105&gt;=Hba_4,Input!U$24&lt;&gt;""),Input!$B$24&amp;";",""),IF(AND($G105&lt;Hta_5,$G105&gt;=Hba_5,Input!U$25&lt;&gt;""),Input!$B$25&amp;";",""),IF(AND($G105&lt;Hta_6,$G105&gt;=Hba_6,Input!U$26&lt;&gt;""),Input!$B$26&amp;";",""),IF(AND($G105&lt;Hta_7,$G105&gt;=Hba_7,Input!U$27&lt;&gt;""),Input!$B$27&amp;";",""),IF(AND($G105&lt;Hta_8,$G105&gt;=Hba_8,Input!U$28&lt;&gt;""),Input!$B$28&amp;";",""),IF(AND($G105&lt;Hta_9,$G105&gt;=Hba_9,Input!U$29&lt;&gt;""),Input!$B$29&amp;";",""),IF(AND($G105&lt;Hta_10,$G105&gt;=Hba_10,Input!U$30&lt;&gt;""),Input!$B$30&amp;";",""),IF(AND($G105&lt;Hta_11,$G105&gt;=Hba_11,Input!U$31&lt;&gt;""),Input!$B$31&amp;";",""),IF(AND($G105&lt;Hta_12,$G105&gt;=Hba_12,Input!U$32&lt;&gt;""),Input!$B$32&amp;";",""),IF(AND($G105&lt;Hta_13,$G105&gt;=Hba_13,Input!U$33&lt;&gt;""),Input!$B$33&amp;";",""),IF(AND($G105&lt;Hta_14,$G105&gt;=Hba_14,Input!U$34&lt;&gt;""),Input!$B$34&amp;";",""),IF(AND($G105&lt;Hta_15,$G105&gt;=Hba_15,Input!U$35&lt;&gt;""),Input!$B$35&amp;";",""),IF(AND($G105&lt;Hta_16,$G105&gt;=Hba_16,Input!U$36&lt;&gt;""),Input!$B$36&amp;";",""),IF(AND($G105&lt;Hta_17,$G105&gt;=Hba_17,Input!U$37&lt;&gt;""),Input!$B$37&amp;";",""),IF(AND($G105&lt;Hta_18,$G105&gt;=Hba_18,Input!U$38&lt;&gt;""),Input!$B$38&amp;";",""),IF(AND($G105&lt;Hta_19,$G105&gt;=Hba_19,Input!U$39&lt;&gt;""),Input!$B$39&amp;";",""),IF(AND($G105&lt;Hta_20,$G105&gt;=Hba_20,Input!U$40&lt;&gt;""),Input!$B$40&amp;";",""),IF(AND($G105&lt;Hta_21,$G105&gt;=Hba_21,Input!U$41&lt;&gt;""),Input!$B$41&amp;";",""),IF(AND($G105&lt;Hta_22,$G105&gt;=Hba_22,Input!U$42&lt;&gt;""),Input!$B$42&amp;";",""),IF(AND($G105&lt;Hta_23,$G105&gt;=Hba_23,Input!U$43&lt;&gt;""),Input!$B$43&amp;";",""),IF(AND($G105&lt;Hta_24,$G105&gt;=Hba_24,Input!U$44&lt;&gt;""),Input!$B$44&amp;";",""),IF(AND($G105&lt;Hta_25,$G105&gt;=Hba_25,Input!U$45&lt;&gt;""),Input!$B$45&amp;";",""),IF(AND($G105&lt;Hta_26,$G105&gt;=Hba_26,Input!U$46&lt;&gt;""),Input!$B$46&amp;";",""),IF(AND($G105&lt;Hta_27,$G105&gt;=Hba_27,Input!U$47&lt;&gt;""),Input!$B$47&amp;";",""),IF(AND($G105&lt;Hta_28,$G105&gt;=Hba_28,Input!U$48&lt;&gt;""),Input!$B$48&amp;";",""),IF(AND($G105&lt;Hta_29,$G105&gt;=Hba_29,Input!U$49&lt;&gt;""),Input!$B$49&amp;";",""),IF(AND($G105&lt;Hta_30,$G105&gt;=Hba_30,Input!U$50&lt;&gt;""),Input!$B$50&amp;";","")),"")</f>
        <v/>
      </c>
      <c r="BW105" s="25" t="str">
        <f>IFERROR(CONCATENATE(IF(AND($G105&lt;Hta_1,$G105&gt;=Hba_1,Input!V$21&lt;&gt;""),Input!$B$21&amp;";",""),IF(AND($G105&lt;Hta_2,$G105&gt;=Hba_2,Input!V$22&lt;&gt;""),Input!$B$22&amp;";",""),IF(AND($G105&lt;Hta_3,$G105&gt;=Hba_3,Input!V$23&lt;&gt;""),Input!$B$23&amp;";",""),IF(AND($G105&lt;Hta_4,$G105&gt;=Hba_4,Input!V$24&lt;&gt;""),Input!$B$24&amp;";",""),IF(AND($G105&lt;Hta_5,$G105&gt;=Hba_5,Input!V$25&lt;&gt;""),Input!$B$25&amp;";",""),IF(AND($G105&lt;Hta_6,$G105&gt;=Hba_6,Input!V$26&lt;&gt;""),Input!$B$26&amp;";",""),IF(AND($G105&lt;Hta_7,$G105&gt;=Hba_7,Input!V$27&lt;&gt;""),Input!$B$27&amp;";",""),IF(AND($G105&lt;Hta_8,$G105&gt;=Hba_8,Input!V$28&lt;&gt;""),Input!$B$28&amp;";",""),IF(AND($G105&lt;Hta_9,$G105&gt;=Hba_9,Input!V$29&lt;&gt;""),Input!$B$29&amp;";",""),IF(AND($G105&lt;Hta_10,$G105&gt;=Hba_10,Input!V$30&lt;&gt;""),Input!$B$30&amp;";",""),IF(AND($G105&lt;Hta_11,$G105&gt;=Hba_11,Input!V$31&lt;&gt;""),Input!$B$31&amp;";",""),IF(AND($G105&lt;Hta_12,$G105&gt;=Hba_12,Input!V$32&lt;&gt;""),Input!$B$32&amp;";",""),IF(AND($G105&lt;Hta_13,$G105&gt;=Hba_13,Input!V$33&lt;&gt;""),Input!$B$33&amp;";",""),IF(AND($G105&lt;Hta_14,$G105&gt;=Hba_14,Input!V$34&lt;&gt;""),Input!$B$34&amp;";",""),IF(AND($G105&lt;Hta_15,$G105&gt;=Hba_15,Input!V$35&lt;&gt;""),Input!$B$35&amp;";",""),IF(AND($G105&lt;Hta_16,$G105&gt;=Hba_16,Input!V$36&lt;&gt;""),Input!$B$36&amp;";",""),IF(AND($G105&lt;Hta_17,$G105&gt;=Hba_17,Input!V$37&lt;&gt;""),Input!$B$37&amp;";",""),IF(AND($G105&lt;Hta_18,$G105&gt;=Hba_18,Input!V$38&lt;&gt;""),Input!$B$38&amp;";",""),IF(AND($G105&lt;Hta_19,$G105&gt;=Hba_19,Input!V$39&lt;&gt;""),Input!$B$39&amp;";",""),IF(AND($G105&lt;Hta_20,$G105&gt;=Hba_20,Input!V$40&lt;&gt;""),Input!$B$40&amp;";",""),IF(AND($G105&lt;Hta_21,$G105&gt;=Hba_21,Input!V$41&lt;&gt;""),Input!$B$41&amp;";",""),IF(AND($G105&lt;Hta_22,$G105&gt;=Hba_22,Input!V$42&lt;&gt;""),Input!$B$42&amp;";",""),IF(AND($G105&lt;Hta_23,$G105&gt;=Hba_23,Input!V$43&lt;&gt;""),Input!$B$43&amp;";",""),IF(AND($G105&lt;Hta_24,$G105&gt;=Hba_24,Input!V$44&lt;&gt;""),Input!$B$44&amp;";",""),IF(AND($G105&lt;Hta_25,$G105&gt;=Hba_25,Input!V$45&lt;&gt;""),Input!$B$45&amp;";",""),IF(AND($G105&lt;Hta_26,$G105&gt;=Hba_26,Input!V$46&lt;&gt;""),Input!$B$46&amp;";",""),IF(AND($G105&lt;Hta_27,$G105&gt;=Hba_27,Input!V$47&lt;&gt;""),Input!$B$47&amp;";",""),IF(AND($G105&lt;Hta_28,$G105&gt;=Hba_28,Input!V$48&lt;&gt;""),Input!$B$48&amp;";",""),IF(AND($G105&lt;Hta_29,$G105&gt;=Hba_29,Input!V$49&lt;&gt;""),Input!$B$49&amp;";",""),IF(AND($G105&lt;Hta_30,$G105&gt;=Hba_30,Input!V$50&lt;&gt;""),Input!$B$50&amp;";","")),"")</f>
        <v/>
      </c>
      <c r="BX105" s="25" t="str">
        <f>IFERROR(CONCATENATE(IF(AND($G105&lt;Hta_1,$G105&gt;=Hba_1,Input!W$21&lt;&gt;""),Input!$B$21&amp;";",""),IF(AND($G105&lt;Hta_2,$G105&gt;=Hba_2,Input!W$22&lt;&gt;""),Input!$B$22&amp;";",""),IF(AND($G105&lt;Hta_3,$G105&gt;=Hba_3,Input!W$23&lt;&gt;""),Input!$B$23&amp;";",""),IF(AND($G105&lt;Hta_4,$G105&gt;=Hba_4,Input!W$24&lt;&gt;""),Input!$B$24&amp;";",""),IF(AND($G105&lt;Hta_5,$G105&gt;=Hba_5,Input!W$25&lt;&gt;""),Input!$B$25&amp;";",""),IF(AND($G105&lt;Hta_6,$G105&gt;=Hba_6,Input!W$26&lt;&gt;""),Input!$B$26&amp;";",""),IF(AND($G105&lt;Hta_7,$G105&gt;=Hba_7,Input!W$27&lt;&gt;""),Input!$B$27&amp;";",""),IF(AND($G105&lt;Hta_8,$G105&gt;=Hba_8,Input!W$28&lt;&gt;""),Input!$B$28&amp;";",""),IF(AND($G105&lt;Hta_9,$G105&gt;=Hba_9,Input!W$29&lt;&gt;""),Input!$B$29&amp;";",""),IF(AND($G105&lt;Hta_10,$G105&gt;=Hba_10,Input!W$30&lt;&gt;""),Input!$B$30&amp;";",""),IF(AND($G105&lt;Hta_11,$G105&gt;=Hba_11,Input!W$31&lt;&gt;""),Input!$B$31&amp;";",""),IF(AND($G105&lt;Hta_12,$G105&gt;=Hba_12,Input!W$32&lt;&gt;""),Input!$B$32&amp;";",""),IF(AND($G105&lt;Hta_13,$G105&gt;=Hba_13,Input!W$33&lt;&gt;""),Input!$B$33&amp;";",""),IF(AND($G105&lt;Hta_14,$G105&gt;=Hba_14,Input!W$34&lt;&gt;""),Input!$B$34&amp;";",""),IF(AND($G105&lt;Hta_15,$G105&gt;=Hba_15,Input!W$35&lt;&gt;""),Input!$B$35&amp;";",""),IF(AND($G105&lt;Hta_16,$G105&gt;=Hba_16,Input!W$36&lt;&gt;""),Input!$B$36&amp;";",""),IF(AND($G105&lt;Hta_17,$G105&gt;=Hba_17,Input!W$37&lt;&gt;""),Input!$B$37&amp;";",""),IF(AND($G105&lt;Hta_18,$G105&gt;=Hba_18,Input!W$38&lt;&gt;""),Input!$B$38&amp;";",""),IF(AND($G105&lt;Hta_19,$G105&gt;=Hba_19,Input!W$39&lt;&gt;""),Input!$B$39&amp;";",""),IF(AND($G105&lt;Hta_20,$G105&gt;=Hba_20,Input!W$40&lt;&gt;""),Input!$B$40&amp;";",""),IF(AND($G105&lt;Hta_21,$G105&gt;=Hba_21,Input!W$41&lt;&gt;""),Input!$B$41&amp;";",""),IF(AND($G105&lt;Hta_22,$G105&gt;=Hba_22,Input!W$42&lt;&gt;""),Input!$B$42&amp;";",""),IF(AND($G105&lt;Hta_23,$G105&gt;=Hba_23,Input!W$43&lt;&gt;""),Input!$B$43&amp;";",""),IF(AND($G105&lt;Hta_24,$G105&gt;=Hba_24,Input!W$44&lt;&gt;""),Input!$B$44&amp;";",""),IF(AND($G105&lt;Hta_25,$G105&gt;=Hba_25,Input!W$45&lt;&gt;""),Input!$B$45&amp;";",""),IF(AND($G105&lt;Hta_26,$G105&gt;=Hba_26,Input!W$46&lt;&gt;""),Input!$B$46&amp;";",""),IF(AND($G105&lt;Hta_27,$G105&gt;=Hba_27,Input!W$47&lt;&gt;""),Input!$B$47&amp;";",""),IF(AND($G105&lt;Hta_28,$G105&gt;=Hba_28,Input!W$48&lt;&gt;""),Input!$B$48&amp;";",""),IF(AND($G105&lt;Hta_29,$G105&gt;=Hba_29,Input!W$49&lt;&gt;""),Input!$B$49&amp;";",""),IF(AND($G105&lt;Hta_30,$G105&gt;=Hba_30,Input!W$50&lt;&gt;""),Input!$B$50&amp;";","")),"")</f>
        <v/>
      </c>
      <c r="BY105" s="25" t="str">
        <f>IFERROR(CONCATENATE(IF(AND($G105&lt;Hta_1,$G105&gt;=Hba_1,Input!X$21&lt;&gt;""),Input!$B$21&amp;";",""),IF(AND($G105&lt;Hta_2,$G105&gt;=Hba_2,Input!X$22&lt;&gt;""),Input!$B$22&amp;";",""),IF(AND($G105&lt;Hta_3,$G105&gt;=Hba_3,Input!X$23&lt;&gt;""),Input!$B$23&amp;";",""),IF(AND($G105&lt;Hta_4,$G105&gt;=Hba_4,Input!X$24&lt;&gt;""),Input!$B$24&amp;";",""),IF(AND($G105&lt;Hta_5,$G105&gt;=Hba_5,Input!X$25&lt;&gt;""),Input!$B$25&amp;";",""),IF(AND($G105&lt;Hta_6,$G105&gt;=Hba_6,Input!X$26&lt;&gt;""),Input!$B$26&amp;";",""),IF(AND($G105&lt;Hta_7,$G105&gt;=Hba_7,Input!X$27&lt;&gt;""),Input!$B$27&amp;";",""),IF(AND($G105&lt;Hta_8,$G105&gt;=Hba_8,Input!X$28&lt;&gt;""),Input!$B$28&amp;";",""),IF(AND($G105&lt;Hta_9,$G105&gt;=Hba_9,Input!X$29&lt;&gt;""),Input!$B$29&amp;";",""),IF(AND($G105&lt;Hta_10,$G105&gt;=Hba_10,Input!X$30&lt;&gt;""),Input!$B$30&amp;";",""),IF(AND($G105&lt;Hta_11,$G105&gt;=Hba_11,Input!X$31&lt;&gt;""),Input!$B$31&amp;";",""),IF(AND($G105&lt;Hta_12,$G105&gt;=Hba_12,Input!X$32&lt;&gt;""),Input!$B$32&amp;";",""),IF(AND($G105&lt;Hta_13,$G105&gt;=Hba_13,Input!X$33&lt;&gt;""),Input!$B$33&amp;";",""),IF(AND($G105&lt;Hta_14,$G105&gt;=Hba_14,Input!X$34&lt;&gt;""),Input!$B$34&amp;";",""),IF(AND($G105&lt;Hta_15,$G105&gt;=Hba_15,Input!X$35&lt;&gt;""),Input!$B$35&amp;";",""),IF(AND($G105&lt;Hta_16,$G105&gt;=Hba_16,Input!X$36&lt;&gt;""),Input!$B$36&amp;";",""),IF(AND($G105&lt;Hta_17,$G105&gt;=Hba_17,Input!X$37&lt;&gt;""),Input!$B$37&amp;";",""),IF(AND($G105&lt;Hta_18,$G105&gt;=Hba_18,Input!X$38&lt;&gt;""),Input!$B$38&amp;";",""),IF(AND($G105&lt;Hta_19,$G105&gt;=Hba_19,Input!X$39&lt;&gt;""),Input!$B$39&amp;";",""),IF(AND($G105&lt;Hta_20,$G105&gt;=Hba_20,Input!X$40&lt;&gt;""),Input!$B$40&amp;";",""),IF(AND($G105&lt;Hta_21,$G105&gt;=Hba_21,Input!X$41&lt;&gt;""),Input!$B$41&amp;";",""),IF(AND($G105&lt;Hta_22,$G105&gt;=Hba_22,Input!X$42&lt;&gt;""),Input!$B$42&amp;";",""),IF(AND($G105&lt;Hta_23,$G105&gt;=Hba_23,Input!X$43&lt;&gt;""),Input!$B$43&amp;";",""),IF(AND($G105&lt;Hta_24,$G105&gt;=Hba_24,Input!X$44&lt;&gt;""),Input!$B$44&amp;";",""),IF(AND($G105&lt;Hta_25,$G105&gt;=Hba_25,Input!X$45&lt;&gt;""),Input!$B$45&amp;";",""),IF(AND($G105&lt;Hta_26,$G105&gt;=Hba_26,Input!X$46&lt;&gt;""),Input!$B$46&amp;";",""),IF(AND($G105&lt;Hta_27,$G105&gt;=Hba_27,Input!X$47&lt;&gt;""),Input!$B$47&amp;";",""),IF(AND($G105&lt;Hta_28,$G105&gt;=Hba_28,Input!X$48&lt;&gt;""),Input!$B$48&amp;";",""),IF(AND($G105&lt;Hta_29,$G105&gt;=Hba_29,Input!X$49&lt;&gt;""),Input!$B$49&amp;";",""),IF(AND($G105&lt;Hta_30,$G105&gt;=Hba_30,Input!X$50&lt;&gt;""),Input!$B$50&amp;";","")),"")</f>
        <v/>
      </c>
      <c r="BZ105" s="25" t="str">
        <f>IFERROR(CONCATENATE(IF(AND($G105&lt;Hta_1,$G105&gt;=Hba_1,Input!Y$21&lt;&gt;""),Input!$B$21&amp;";",""),IF(AND($G105&lt;Hta_2,$G105&gt;=Hba_2,Input!Y$22&lt;&gt;""),Input!$B$22&amp;";",""),IF(AND($G105&lt;Hta_3,$G105&gt;=Hba_3,Input!Y$23&lt;&gt;""),Input!$B$23&amp;";",""),IF(AND($G105&lt;Hta_4,$G105&gt;=Hba_4,Input!Y$24&lt;&gt;""),Input!$B$24&amp;";",""),IF(AND($G105&lt;Hta_5,$G105&gt;=Hba_5,Input!Y$25&lt;&gt;""),Input!$B$25&amp;";",""),IF(AND($G105&lt;Hta_6,$G105&gt;=Hba_6,Input!Y$26&lt;&gt;""),Input!$B$26&amp;";",""),IF(AND($G105&lt;Hta_7,$G105&gt;=Hba_7,Input!Y$27&lt;&gt;""),Input!$B$27&amp;";",""),IF(AND($G105&lt;Hta_8,$G105&gt;=Hba_8,Input!Y$28&lt;&gt;""),Input!$B$28&amp;";",""),IF(AND($G105&lt;Hta_9,$G105&gt;=Hba_9,Input!Y$29&lt;&gt;""),Input!$B$29&amp;";",""),IF(AND($G105&lt;Hta_10,$G105&gt;=Hba_10,Input!Y$30&lt;&gt;""),Input!$B$30&amp;";",""),IF(AND($G105&lt;Hta_11,$G105&gt;=Hba_11,Input!Y$31&lt;&gt;""),Input!$B$31&amp;";",""),IF(AND($G105&lt;Hta_12,$G105&gt;=Hba_12,Input!Y$32&lt;&gt;""),Input!$B$32&amp;";",""),IF(AND($G105&lt;Hta_13,$G105&gt;=Hba_13,Input!Y$33&lt;&gt;""),Input!$B$33&amp;";",""),IF(AND($G105&lt;Hta_14,$G105&gt;=Hba_14,Input!Y$34&lt;&gt;""),Input!$B$34&amp;";",""),IF(AND($G105&lt;Hta_15,$G105&gt;=Hba_15,Input!Y$35&lt;&gt;""),Input!$B$35&amp;";",""),IF(AND($G105&lt;Hta_16,$G105&gt;=Hba_16,Input!Y$36&lt;&gt;""),Input!$B$36&amp;";",""),IF(AND($G105&lt;Hta_17,$G105&gt;=Hba_17,Input!Y$37&lt;&gt;""),Input!$B$37&amp;";",""),IF(AND($G105&lt;Hta_18,$G105&gt;=Hba_18,Input!Y$38&lt;&gt;""),Input!$B$38&amp;";",""),IF(AND($G105&lt;Hta_19,$G105&gt;=Hba_19,Input!Y$39&lt;&gt;""),Input!$B$39&amp;";",""),IF(AND($G105&lt;Hta_20,$G105&gt;=Hba_20,Input!Y$40&lt;&gt;""),Input!$B$40&amp;";",""),IF(AND($G105&lt;Hta_21,$G105&gt;=Hba_21,Input!Y$41&lt;&gt;""),Input!$B$41&amp;";",""),IF(AND($G105&lt;Hta_22,$G105&gt;=Hba_22,Input!Y$42&lt;&gt;""),Input!$B$42&amp;";",""),IF(AND($G105&lt;Hta_23,$G105&gt;=Hba_23,Input!Y$43&lt;&gt;""),Input!$B$43&amp;";",""),IF(AND($G105&lt;Hta_24,$G105&gt;=Hba_24,Input!Y$44&lt;&gt;""),Input!$B$44&amp;";",""),IF(AND($G105&lt;Hta_25,$G105&gt;=Hba_25,Input!Y$45&lt;&gt;""),Input!$B$45&amp;";",""),IF(AND($G105&lt;Hta_26,$G105&gt;=Hba_26,Input!Y$46&lt;&gt;""),Input!$B$46&amp;";",""),IF(AND($G105&lt;Hta_27,$G105&gt;=Hba_27,Input!Y$47&lt;&gt;""),Input!$B$47&amp;";",""),IF(AND($G105&lt;Hta_28,$G105&gt;=Hba_28,Input!Y$48&lt;&gt;""),Input!$B$48&amp;";",""),IF(AND($G105&lt;Hta_29,$G105&gt;=Hba_29,Input!Y$49&lt;&gt;""),Input!$B$49&amp;";",""),IF(AND($G105&lt;Hta_30,$G105&gt;=Hba_30,Input!Y$50&lt;&gt;""),Input!$B$50&amp;";","")),"")</f>
        <v/>
      </c>
      <c r="CA105" s="25" t="str">
        <f>IFERROR(CONCATENATE(IF(AND($G105&lt;Hta_1,$G105&gt;=Hba_1,Input!Z$21&lt;&gt;""),Input!$B$21&amp;";",""),IF(AND($G105&lt;Hta_2,$G105&gt;=Hba_2,Input!Z$22&lt;&gt;""),Input!$B$22&amp;";",""),IF(AND($G105&lt;Hta_3,$G105&gt;=Hba_3,Input!Z$23&lt;&gt;""),Input!$B$23&amp;";",""),IF(AND($G105&lt;Hta_4,$G105&gt;=Hba_4,Input!Z$24&lt;&gt;""),Input!$B$24&amp;";",""),IF(AND($G105&lt;Hta_5,$G105&gt;=Hba_5,Input!Z$25&lt;&gt;""),Input!$B$25&amp;";",""),IF(AND($G105&lt;Hta_6,$G105&gt;=Hba_6,Input!Z$26&lt;&gt;""),Input!$B$26&amp;";",""),IF(AND($G105&lt;Hta_7,$G105&gt;=Hba_7,Input!Z$27&lt;&gt;""),Input!$B$27&amp;";",""),IF(AND($G105&lt;Hta_8,$G105&gt;=Hba_8,Input!Z$28&lt;&gt;""),Input!$B$28&amp;";",""),IF(AND($G105&lt;Hta_9,$G105&gt;=Hba_9,Input!Z$29&lt;&gt;""),Input!$B$29&amp;";",""),IF(AND($G105&lt;Hta_10,$G105&gt;=Hba_10,Input!Z$30&lt;&gt;""),Input!$B$30&amp;";",""),IF(AND($G105&lt;Hta_11,$G105&gt;=Hba_11,Input!Z$31&lt;&gt;""),Input!$B$31&amp;";",""),IF(AND($G105&lt;Hta_12,$G105&gt;=Hba_12,Input!Z$32&lt;&gt;""),Input!$B$32&amp;";",""),IF(AND($G105&lt;Hta_13,$G105&gt;=Hba_13,Input!Z$33&lt;&gt;""),Input!$B$33&amp;";",""),IF(AND($G105&lt;Hta_14,$G105&gt;=Hba_14,Input!Z$34&lt;&gt;""),Input!$B$34&amp;";",""),IF(AND($G105&lt;Hta_15,$G105&gt;=Hba_15,Input!Z$35&lt;&gt;""),Input!$B$35&amp;";",""),IF(AND($G105&lt;Hta_16,$G105&gt;=Hba_16,Input!Z$36&lt;&gt;""),Input!$B$36&amp;";",""),IF(AND($G105&lt;Hta_17,$G105&gt;=Hba_17,Input!Z$37&lt;&gt;""),Input!$B$37&amp;";",""),IF(AND($G105&lt;Hta_18,$G105&gt;=Hba_18,Input!Z$38&lt;&gt;""),Input!$B$38&amp;";",""),IF(AND($G105&lt;Hta_19,$G105&gt;=Hba_19,Input!Z$39&lt;&gt;""),Input!$B$39&amp;";",""),IF(AND($G105&lt;Hta_20,$G105&gt;=Hba_20,Input!Z$40&lt;&gt;""),Input!$B$40&amp;";",""),IF(AND($G105&lt;Hta_21,$G105&gt;=Hba_21,Input!Z$41&lt;&gt;""),Input!$B$41&amp;";",""),IF(AND($G105&lt;Hta_22,$G105&gt;=Hba_22,Input!Z$42&lt;&gt;""),Input!$B$42&amp;";",""),IF(AND($G105&lt;Hta_23,$G105&gt;=Hba_23,Input!Z$43&lt;&gt;""),Input!$B$43&amp;";",""),IF(AND($G105&lt;Hta_24,$G105&gt;=Hba_24,Input!Z$44&lt;&gt;""),Input!$B$44&amp;";",""),IF(AND($G105&lt;Hta_25,$G105&gt;=Hba_25,Input!Z$45&lt;&gt;""),Input!$B$45&amp;";",""),IF(AND($G105&lt;Hta_26,$G105&gt;=Hba_26,Input!Z$46&lt;&gt;""),Input!$B$46&amp;";",""),IF(AND($G105&lt;Hta_27,$G105&gt;=Hba_27,Input!Z$47&lt;&gt;""),Input!$B$47&amp;";",""),IF(AND($G105&lt;Hta_28,$G105&gt;=Hba_28,Input!Z$48&lt;&gt;""),Input!$B$48&amp;";",""),IF(AND($G105&lt;Hta_29,$G105&gt;=Hba_29,Input!Z$49&lt;&gt;""),Input!$B$49&amp;";",""),IF(AND($G105&lt;Hta_30,$G105&gt;=Hba_30,Input!Z$50&lt;&gt;""),Input!$B$50&amp;";","")),"")</f>
        <v/>
      </c>
      <c r="CB105" s="25" t="str">
        <f>IFERROR(CONCATENATE(IF(AND($G105&lt;Hta_1,$G105&gt;=Hba_1,Input!AA$21&lt;&gt;""),Input!$B$21&amp;";",""),IF(AND($G105&lt;Hta_2,$G105&gt;=Hba_2,Input!AA$22&lt;&gt;""),Input!$B$22&amp;";",""),IF(AND($G105&lt;Hta_3,$G105&gt;=Hba_3,Input!AA$23&lt;&gt;""),Input!$B$23&amp;";",""),IF(AND($G105&lt;Hta_4,$G105&gt;=Hba_4,Input!AA$24&lt;&gt;""),Input!$B$24&amp;";",""),IF(AND($G105&lt;Hta_5,$G105&gt;=Hba_5,Input!AA$25&lt;&gt;""),Input!$B$25&amp;";",""),IF(AND($G105&lt;Hta_6,$G105&gt;=Hba_6,Input!AA$26&lt;&gt;""),Input!$B$26&amp;";",""),IF(AND($G105&lt;Hta_7,$G105&gt;=Hba_7,Input!AA$27&lt;&gt;""),Input!$B$27&amp;";",""),IF(AND($G105&lt;Hta_8,$G105&gt;=Hba_8,Input!AA$28&lt;&gt;""),Input!$B$28&amp;";",""),IF(AND($G105&lt;Hta_9,$G105&gt;=Hba_9,Input!AA$29&lt;&gt;""),Input!$B$29&amp;";",""),IF(AND($G105&lt;Hta_10,$G105&gt;=Hba_10,Input!AA$30&lt;&gt;""),Input!$B$30&amp;";",""),IF(AND($G105&lt;Hta_11,$G105&gt;=Hba_11,Input!AA$31&lt;&gt;""),Input!$B$31&amp;";",""),IF(AND($G105&lt;Hta_12,$G105&gt;=Hba_12,Input!AA$32&lt;&gt;""),Input!$B$32&amp;";",""),IF(AND($G105&lt;Hta_13,$G105&gt;=Hba_13,Input!AA$33&lt;&gt;""),Input!$B$33&amp;";",""),IF(AND($G105&lt;Hta_14,$G105&gt;=Hba_14,Input!AA$34&lt;&gt;""),Input!$B$34&amp;";",""),IF(AND($G105&lt;Hta_15,$G105&gt;=Hba_15,Input!AA$35&lt;&gt;""),Input!$B$35&amp;";",""),IF(AND($G105&lt;Hta_16,$G105&gt;=Hba_16,Input!AA$36&lt;&gt;""),Input!$B$36&amp;";",""),IF(AND($G105&lt;Hta_17,$G105&gt;=Hba_17,Input!AA$37&lt;&gt;""),Input!$B$37&amp;";",""),IF(AND($G105&lt;Hta_18,$G105&gt;=Hba_18,Input!AA$38&lt;&gt;""),Input!$B$38&amp;";",""),IF(AND($G105&lt;Hta_19,$G105&gt;=Hba_19,Input!AA$39&lt;&gt;""),Input!$B$39&amp;";",""),IF(AND($G105&lt;Hta_20,$G105&gt;=Hba_20,Input!AA$40&lt;&gt;""),Input!$B$40&amp;";",""),IF(AND($G105&lt;Hta_21,$G105&gt;=Hba_21,Input!AA$41&lt;&gt;""),Input!$B$41&amp;";",""),IF(AND($G105&lt;Hta_22,$G105&gt;=Hba_22,Input!AA$42&lt;&gt;""),Input!$B$42&amp;";",""),IF(AND($G105&lt;Hta_23,$G105&gt;=Hba_23,Input!AA$43&lt;&gt;""),Input!$B$43&amp;";",""),IF(AND($G105&lt;Hta_24,$G105&gt;=Hba_24,Input!AA$44&lt;&gt;""),Input!$B$44&amp;";",""),IF(AND($G105&lt;Hta_25,$G105&gt;=Hba_25,Input!AA$45&lt;&gt;""),Input!$B$45&amp;";",""),IF(AND($G105&lt;Hta_26,$G105&gt;=Hba_26,Input!AA$46&lt;&gt;""),Input!$B$46&amp;";",""),IF(AND($G105&lt;Hta_27,$G105&gt;=Hba_27,Input!AA$47&lt;&gt;""),Input!$B$47&amp;";",""),IF(AND($G105&lt;Hta_28,$G105&gt;=Hba_28,Input!AA$48&lt;&gt;""),Input!$B$48&amp;";",""),IF(AND($G105&lt;Hta_29,$G105&gt;=Hba_29,Input!AA$49&lt;&gt;""),Input!$B$49&amp;";",""),IF(AND($G105&lt;Hta_30,$G105&gt;=Hba_30,Input!AA$50&lt;&gt;""),Input!$B$50&amp;";","")),"")</f>
        <v/>
      </c>
      <c r="CC105" s="25" t="str">
        <f>IFERROR(CONCATENATE(IF(AND($G105&lt;Hta_1,$G105&gt;=Hba_1,Input!AB$21&lt;&gt;""),Input!$B$21&amp;";",""),IF(AND($G105&lt;Hta_2,$G105&gt;=Hba_2,Input!AB$22&lt;&gt;""),Input!$B$22&amp;";",""),IF(AND($G105&lt;Hta_3,$G105&gt;=Hba_3,Input!AB$23&lt;&gt;""),Input!$B$23&amp;";",""),IF(AND($G105&lt;Hta_4,$G105&gt;=Hba_4,Input!AB$24&lt;&gt;""),Input!$B$24&amp;";",""),IF(AND($G105&lt;Hta_5,$G105&gt;=Hba_5,Input!AB$25&lt;&gt;""),Input!$B$25&amp;";",""),IF(AND($G105&lt;Hta_6,$G105&gt;=Hba_6,Input!AB$26&lt;&gt;""),Input!$B$26&amp;";",""),IF(AND($G105&lt;Hta_7,$G105&gt;=Hba_7,Input!AB$27&lt;&gt;""),Input!$B$27&amp;";",""),IF(AND($G105&lt;Hta_8,$G105&gt;=Hba_8,Input!AB$28&lt;&gt;""),Input!$B$28&amp;";",""),IF(AND($G105&lt;Hta_9,$G105&gt;=Hba_9,Input!AB$29&lt;&gt;""),Input!$B$29&amp;";",""),IF(AND($G105&lt;Hta_10,$G105&gt;=Hba_10,Input!AB$30&lt;&gt;""),Input!$B$30&amp;";",""),IF(AND($G105&lt;Hta_11,$G105&gt;=Hba_11,Input!AB$31&lt;&gt;""),Input!$B$31&amp;";",""),IF(AND($G105&lt;Hta_12,$G105&gt;=Hba_12,Input!AB$32&lt;&gt;""),Input!$B$32&amp;";",""),IF(AND($G105&lt;Hta_13,$G105&gt;=Hba_13,Input!AB$33&lt;&gt;""),Input!$B$33&amp;";",""),IF(AND($G105&lt;Hta_14,$G105&gt;=Hba_14,Input!AB$34&lt;&gt;""),Input!$B$34&amp;";",""),IF(AND($G105&lt;Hta_15,$G105&gt;=Hba_15,Input!AB$35&lt;&gt;""),Input!$B$35&amp;";",""),IF(AND($G105&lt;Hta_16,$G105&gt;=Hba_16,Input!AB$36&lt;&gt;""),Input!$B$36&amp;";",""),IF(AND($G105&lt;Hta_17,$G105&gt;=Hba_17,Input!AB$37&lt;&gt;""),Input!$B$37&amp;";",""),IF(AND($G105&lt;Hta_18,$G105&gt;=Hba_18,Input!AB$38&lt;&gt;""),Input!$B$38&amp;";",""),IF(AND($G105&lt;Hta_19,$G105&gt;=Hba_19,Input!AB$39&lt;&gt;""),Input!$B$39&amp;";",""),IF(AND($G105&lt;Hta_20,$G105&gt;=Hba_20,Input!AB$40&lt;&gt;""),Input!$B$40&amp;";",""),IF(AND($G105&lt;Hta_21,$G105&gt;=Hba_21,Input!AB$41&lt;&gt;""),Input!$B$41&amp;";",""),IF(AND($G105&lt;Hta_22,$G105&gt;=Hba_22,Input!AB$42&lt;&gt;""),Input!$B$42&amp;";",""),IF(AND($G105&lt;Hta_23,$G105&gt;=Hba_23,Input!AB$43&lt;&gt;""),Input!$B$43&amp;";",""),IF(AND($G105&lt;Hta_24,$G105&gt;=Hba_24,Input!AB$44&lt;&gt;""),Input!$B$44&amp;";",""),IF(AND($G105&lt;Hta_25,$G105&gt;=Hba_25,Input!AB$45&lt;&gt;""),Input!$B$45&amp;";",""),IF(AND($G105&lt;Hta_26,$G105&gt;=Hba_26,Input!AB$46&lt;&gt;""),Input!$B$46&amp;";",""),IF(AND($G105&lt;Hta_27,$G105&gt;=Hba_27,Input!AB$47&lt;&gt;""),Input!$B$47&amp;";",""),IF(AND($G105&lt;Hta_28,$G105&gt;=Hba_28,Input!AB$48&lt;&gt;""),Input!$B$48&amp;";",""),IF(AND($G105&lt;Hta_29,$G105&gt;=Hba_29,Input!AB$49&lt;&gt;""),Input!$B$49&amp;";",""),IF(AND($G105&lt;Hta_30,$G105&gt;=Hba_30,Input!AB$50&lt;&gt;""),Input!$B$50&amp;";","")),"")</f>
        <v/>
      </c>
      <c r="CD105" s="25" t="str">
        <f>IFERROR(CONCATENATE(IF(AND($G105&lt;Hta_1,$G105&gt;=Hba_1,Input!AC$21&lt;&gt;""),Input!$B$21&amp;";",""),IF(AND($G105&lt;Hta_2,$G105&gt;=Hba_2,Input!AC$22&lt;&gt;""),Input!$B$22&amp;";",""),IF(AND($G105&lt;Hta_3,$G105&gt;=Hba_3,Input!AC$23&lt;&gt;""),Input!$B$23&amp;";",""),IF(AND($G105&lt;Hta_4,$G105&gt;=Hba_4,Input!AC$24&lt;&gt;""),Input!$B$24&amp;";",""),IF(AND($G105&lt;Hta_5,$G105&gt;=Hba_5,Input!AC$25&lt;&gt;""),Input!$B$25&amp;";",""),IF(AND($G105&lt;Hta_6,$G105&gt;=Hba_6,Input!AC$26&lt;&gt;""),Input!$B$26&amp;";",""),IF(AND($G105&lt;Hta_7,$G105&gt;=Hba_7,Input!AC$27&lt;&gt;""),Input!$B$27&amp;";",""),IF(AND($G105&lt;Hta_8,$G105&gt;=Hba_8,Input!AC$28&lt;&gt;""),Input!$B$28&amp;";",""),IF(AND($G105&lt;Hta_9,$G105&gt;=Hba_9,Input!AC$29&lt;&gt;""),Input!$B$29&amp;";",""),IF(AND($G105&lt;Hta_10,$G105&gt;=Hba_10,Input!AC$30&lt;&gt;""),Input!$B$30&amp;";",""),IF(AND($G105&lt;Hta_11,$G105&gt;=Hba_11,Input!AC$31&lt;&gt;""),Input!$B$31&amp;";",""),IF(AND($G105&lt;Hta_12,$G105&gt;=Hba_12,Input!AC$32&lt;&gt;""),Input!$B$32&amp;";",""),IF(AND($G105&lt;Hta_13,$G105&gt;=Hba_13,Input!AC$33&lt;&gt;""),Input!$B$33&amp;";",""),IF(AND($G105&lt;Hta_14,$G105&gt;=Hba_14,Input!AC$34&lt;&gt;""),Input!$B$34&amp;";",""),IF(AND($G105&lt;Hta_15,$G105&gt;=Hba_15,Input!AC$35&lt;&gt;""),Input!$B$35&amp;";",""),IF(AND($G105&lt;Hta_16,$G105&gt;=Hba_16,Input!AC$36&lt;&gt;""),Input!$B$36&amp;";",""),IF(AND($G105&lt;Hta_17,$G105&gt;=Hba_17,Input!AC$37&lt;&gt;""),Input!$B$37&amp;";",""),IF(AND($G105&lt;Hta_18,$G105&gt;=Hba_18,Input!AC$38&lt;&gt;""),Input!$B$38&amp;";",""),IF(AND($G105&lt;Hta_19,$G105&gt;=Hba_19,Input!AC$39&lt;&gt;""),Input!$B$39&amp;";",""),IF(AND($G105&lt;Hta_20,$G105&gt;=Hba_20,Input!AC$40&lt;&gt;""),Input!$B$40&amp;";",""),IF(AND($G105&lt;Hta_21,$G105&gt;=Hba_21,Input!AC$41&lt;&gt;""),Input!$B$41&amp;";",""),IF(AND($G105&lt;Hta_22,$G105&gt;=Hba_22,Input!AC$42&lt;&gt;""),Input!$B$42&amp;";",""),IF(AND($G105&lt;Hta_23,$G105&gt;=Hba_23,Input!AC$43&lt;&gt;""),Input!$B$43&amp;";",""),IF(AND($G105&lt;Hta_24,$G105&gt;=Hba_24,Input!AC$44&lt;&gt;""),Input!$B$44&amp;";",""),IF(AND($G105&lt;Hta_25,$G105&gt;=Hba_25,Input!AC$45&lt;&gt;""),Input!$B$45&amp;";",""),IF(AND($G105&lt;Hta_26,$G105&gt;=Hba_26,Input!AC$46&lt;&gt;""),Input!$B$46&amp;";",""),IF(AND($G105&lt;Hta_27,$G105&gt;=Hba_27,Input!AC$47&lt;&gt;""),Input!$B$47&amp;";",""),IF(AND($G105&lt;Hta_28,$G105&gt;=Hba_28,Input!AC$48&lt;&gt;""),Input!$B$48&amp;";",""),IF(AND($G105&lt;Hta_29,$G105&gt;=Hba_29,Input!AC$49&lt;&gt;""),Input!$B$49&amp;";",""),IF(AND($G105&lt;Hta_30,$G105&gt;=Hba_30,Input!AC$50&lt;&gt;""),Input!$B$50&amp;";","")),"")</f>
        <v/>
      </c>
      <c r="CE105" s="25" t="str">
        <f>IFERROR(CONCATENATE(IF(AND($G105&lt;Hta_1,$G105&gt;=Hba_1,Input!AD$21&lt;&gt;""),Input!$B$21&amp;";",""),IF(AND($G105&lt;Hta_2,$G105&gt;=Hba_2,Input!AD$22&lt;&gt;""),Input!$B$22&amp;";",""),IF(AND($G105&lt;Hta_3,$G105&gt;=Hba_3,Input!AD$23&lt;&gt;""),Input!$B$23&amp;";",""),IF(AND($G105&lt;Hta_4,$G105&gt;=Hba_4,Input!AD$24&lt;&gt;""),Input!$B$24&amp;";",""),IF(AND($G105&lt;Hta_5,$G105&gt;=Hba_5,Input!AD$25&lt;&gt;""),Input!$B$25&amp;";",""),IF(AND($G105&lt;Hta_6,$G105&gt;=Hba_6,Input!AD$26&lt;&gt;""),Input!$B$26&amp;";",""),IF(AND($G105&lt;Hta_7,$G105&gt;=Hba_7,Input!AD$27&lt;&gt;""),Input!$B$27&amp;";",""),IF(AND($G105&lt;Hta_8,$G105&gt;=Hba_8,Input!AD$28&lt;&gt;""),Input!$B$28&amp;";",""),IF(AND($G105&lt;Hta_9,$G105&gt;=Hba_9,Input!AD$29&lt;&gt;""),Input!$B$29&amp;";",""),IF(AND($G105&lt;Hta_10,$G105&gt;=Hba_10,Input!AD$30&lt;&gt;""),Input!$B$30&amp;";",""),IF(AND($G105&lt;Hta_11,$G105&gt;=Hba_11,Input!AD$31&lt;&gt;""),Input!$B$31&amp;";",""),IF(AND($G105&lt;Hta_12,$G105&gt;=Hba_12,Input!AD$32&lt;&gt;""),Input!$B$32&amp;";",""),IF(AND($G105&lt;Hta_13,$G105&gt;=Hba_13,Input!AD$33&lt;&gt;""),Input!$B$33&amp;";",""),IF(AND($G105&lt;Hta_14,$G105&gt;=Hba_14,Input!AD$34&lt;&gt;""),Input!$B$34&amp;";",""),IF(AND($G105&lt;Hta_15,$G105&gt;=Hba_15,Input!AD$35&lt;&gt;""),Input!$B$35&amp;";",""),IF(AND($G105&lt;Hta_16,$G105&gt;=Hba_16,Input!AD$36&lt;&gt;""),Input!$B$36&amp;";",""),IF(AND($G105&lt;Hta_17,$G105&gt;=Hba_17,Input!AD$37&lt;&gt;""),Input!$B$37&amp;";",""),IF(AND($G105&lt;Hta_18,$G105&gt;=Hba_18,Input!AD$38&lt;&gt;""),Input!$B$38&amp;";",""),IF(AND($G105&lt;Hta_19,$G105&gt;=Hba_19,Input!AD$39&lt;&gt;""),Input!$B$39&amp;";",""),IF(AND($G105&lt;Hta_20,$G105&gt;=Hba_20,Input!AD$40&lt;&gt;""),Input!$B$40&amp;";",""),IF(AND($G105&lt;Hta_21,$G105&gt;=Hba_21,Input!AD$41&lt;&gt;""),Input!$B$41&amp;";",""),IF(AND($G105&lt;Hta_22,$G105&gt;=Hba_22,Input!AD$42&lt;&gt;""),Input!$B$42&amp;";",""),IF(AND($G105&lt;Hta_23,$G105&gt;=Hba_23,Input!AD$43&lt;&gt;""),Input!$B$43&amp;";",""),IF(AND($G105&lt;Hta_24,$G105&gt;=Hba_24,Input!AD$44&lt;&gt;""),Input!$B$44&amp;";",""),IF(AND($G105&lt;Hta_25,$G105&gt;=Hba_25,Input!AD$45&lt;&gt;""),Input!$B$45&amp;";",""),IF(AND($G105&lt;Hta_26,$G105&gt;=Hba_26,Input!AD$46&lt;&gt;""),Input!$B$46&amp;";",""),IF(AND($G105&lt;Hta_27,$G105&gt;=Hba_27,Input!AD$47&lt;&gt;""),Input!$B$47&amp;";",""),IF(AND($G105&lt;Hta_28,$G105&gt;=Hba_28,Input!AD$48&lt;&gt;""),Input!$B$48&amp;";",""),IF(AND($G105&lt;Hta_29,$G105&gt;=Hba_29,Input!AD$49&lt;&gt;""),Input!$B$49&amp;";",""),IF(AND($G105&lt;Hta_30,$G105&gt;=Hba_30,Input!AD$50&lt;&gt;""),Input!$B$50&amp;";","")),"")</f>
        <v/>
      </c>
      <c r="CF105" s="25" t="str">
        <f>IFERROR(CONCATENATE(IF(AND($G105&lt;Hta_1,$G105&gt;=Hba_1,Input!AE$21&lt;&gt;""),Input!$B$21&amp;";",""),IF(AND($G105&lt;Hta_2,$G105&gt;=Hba_2,Input!AE$22&lt;&gt;""),Input!$B$22&amp;";",""),IF(AND($G105&lt;Hta_3,$G105&gt;=Hba_3,Input!AE$23&lt;&gt;""),Input!$B$23&amp;";",""),IF(AND($G105&lt;Hta_4,$G105&gt;=Hba_4,Input!AE$24&lt;&gt;""),Input!$B$24&amp;";",""),IF(AND($G105&lt;Hta_5,$G105&gt;=Hba_5,Input!AE$25&lt;&gt;""),Input!$B$25&amp;";",""),IF(AND($G105&lt;Hta_6,$G105&gt;=Hba_6,Input!AE$26&lt;&gt;""),Input!$B$26&amp;";",""),IF(AND($G105&lt;Hta_7,$G105&gt;=Hba_7,Input!AE$27&lt;&gt;""),Input!$B$27&amp;";",""),IF(AND($G105&lt;Hta_8,$G105&gt;=Hba_8,Input!AE$28&lt;&gt;""),Input!$B$28&amp;";",""),IF(AND($G105&lt;Hta_9,$G105&gt;=Hba_9,Input!AE$29&lt;&gt;""),Input!$B$29&amp;";",""),IF(AND($G105&lt;Hta_10,$G105&gt;=Hba_10,Input!AE$30&lt;&gt;""),Input!$B$30&amp;";",""),IF(AND($G105&lt;Hta_11,$G105&gt;=Hba_11,Input!AE$31&lt;&gt;""),Input!$B$31&amp;";",""),IF(AND($G105&lt;Hta_12,$G105&gt;=Hba_12,Input!AE$32&lt;&gt;""),Input!$B$32&amp;";",""),IF(AND($G105&lt;Hta_13,$G105&gt;=Hba_13,Input!AE$33&lt;&gt;""),Input!$B$33&amp;";",""),IF(AND($G105&lt;Hta_14,$G105&gt;=Hba_14,Input!AE$34&lt;&gt;""),Input!$B$34&amp;";",""),IF(AND($G105&lt;Hta_15,$G105&gt;=Hba_15,Input!AE$35&lt;&gt;""),Input!$B$35&amp;";",""),IF(AND($G105&lt;Hta_16,$G105&gt;=Hba_16,Input!AE$36&lt;&gt;""),Input!$B$36&amp;";",""),IF(AND($G105&lt;Hta_17,$G105&gt;=Hba_17,Input!AE$37&lt;&gt;""),Input!$B$37&amp;";",""),IF(AND($G105&lt;Hta_18,$G105&gt;=Hba_18,Input!AE$38&lt;&gt;""),Input!$B$38&amp;";",""),IF(AND($G105&lt;Hta_19,$G105&gt;=Hba_19,Input!AE$39&lt;&gt;""),Input!$B$39&amp;";",""),IF(AND($G105&lt;Hta_20,$G105&gt;=Hba_20,Input!AE$40&lt;&gt;""),Input!$B$40&amp;";",""),IF(AND($G105&lt;Hta_21,$G105&gt;=Hba_21,Input!AE$41&lt;&gt;""),Input!$B$41&amp;";",""),IF(AND($G105&lt;Hta_22,$G105&gt;=Hba_22,Input!AE$42&lt;&gt;""),Input!$B$42&amp;";",""),IF(AND($G105&lt;Hta_23,$G105&gt;=Hba_23,Input!AE$43&lt;&gt;""),Input!$B$43&amp;";",""),IF(AND($G105&lt;Hta_24,$G105&gt;=Hba_24,Input!AE$44&lt;&gt;""),Input!$B$44&amp;";",""),IF(AND($G105&lt;Hta_25,$G105&gt;=Hba_25,Input!AE$45&lt;&gt;""),Input!$B$45&amp;";",""),IF(AND($G105&lt;Hta_26,$G105&gt;=Hba_26,Input!AE$46&lt;&gt;""),Input!$B$46&amp;";",""),IF(AND($G105&lt;Hta_27,$G105&gt;=Hba_27,Input!AE$47&lt;&gt;""),Input!$B$47&amp;";",""),IF(AND($G105&lt;Hta_28,$G105&gt;=Hba_28,Input!AE$48&lt;&gt;""),Input!$B$48&amp;";",""),IF(AND($G105&lt;Hta_29,$G105&gt;=Hba_29,Input!AE$49&lt;&gt;""),Input!$B$49&amp;";",""),IF(AND($G105&lt;Hta_30,$G105&gt;=Hba_30,Input!AE$50&lt;&gt;""),Input!$B$50&amp;";","")),"")</f>
        <v/>
      </c>
      <c r="CG105" s="25" t="str">
        <f>IFERROR(CONCATENATE(IF(AND($G105&lt;Hta_1,$G105&gt;=Hba_1,Input!AF$21&lt;&gt;""),Input!$B$21&amp;";",""),IF(AND($G105&lt;Hta_2,$G105&gt;=Hba_2,Input!AF$22&lt;&gt;""),Input!$B$22&amp;";",""),IF(AND($G105&lt;Hta_3,$G105&gt;=Hba_3,Input!AF$23&lt;&gt;""),Input!$B$23&amp;";",""),IF(AND($G105&lt;Hta_4,$G105&gt;=Hba_4,Input!AF$24&lt;&gt;""),Input!$B$24&amp;";",""),IF(AND($G105&lt;Hta_5,$G105&gt;=Hba_5,Input!AF$25&lt;&gt;""),Input!$B$25&amp;";",""),IF(AND($G105&lt;Hta_6,$G105&gt;=Hba_6,Input!AF$26&lt;&gt;""),Input!$B$26&amp;";",""),IF(AND($G105&lt;Hta_7,$G105&gt;=Hba_7,Input!AF$27&lt;&gt;""),Input!$B$27&amp;";",""),IF(AND($G105&lt;Hta_8,$G105&gt;=Hba_8,Input!AF$28&lt;&gt;""),Input!$B$28&amp;";",""),IF(AND($G105&lt;Hta_9,$G105&gt;=Hba_9,Input!AF$29&lt;&gt;""),Input!$B$29&amp;";",""),IF(AND($G105&lt;Hta_10,$G105&gt;=Hba_10,Input!AF$30&lt;&gt;""),Input!$B$30&amp;";",""),IF(AND($G105&lt;Hta_11,$G105&gt;=Hba_11,Input!AF$31&lt;&gt;""),Input!$B$31&amp;";",""),IF(AND($G105&lt;Hta_12,$G105&gt;=Hba_12,Input!AF$32&lt;&gt;""),Input!$B$32&amp;";",""),IF(AND($G105&lt;Hta_13,$G105&gt;=Hba_13,Input!AF$33&lt;&gt;""),Input!$B$33&amp;";",""),IF(AND($G105&lt;Hta_14,$G105&gt;=Hba_14,Input!AF$34&lt;&gt;""),Input!$B$34&amp;";",""),IF(AND($G105&lt;Hta_15,$G105&gt;=Hba_15,Input!AF$35&lt;&gt;""),Input!$B$35&amp;";",""),IF(AND($G105&lt;Hta_16,$G105&gt;=Hba_16,Input!AF$36&lt;&gt;""),Input!$B$36&amp;";",""),IF(AND($G105&lt;Hta_17,$G105&gt;=Hba_17,Input!AF$37&lt;&gt;""),Input!$B$37&amp;";",""),IF(AND($G105&lt;Hta_18,$G105&gt;=Hba_18,Input!AF$38&lt;&gt;""),Input!$B$38&amp;";",""),IF(AND($G105&lt;Hta_19,$G105&gt;=Hba_19,Input!AF$39&lt;&gt;""),Input!$B$39&amp;";",""),IF(AND($G105&lt;Hta_20,$G105&gt;=Hba_20,Input!AF$40&lt;&gt;""),Input!$B$40&amp;";",""),IF(AND($G105&lt;Hta_21,$G105&gt;=Hba_21,Input!AF$41&lt;&gt;""),Input!$B$41&amp;";",""),IF(AND($G105&lt;Hta_22,$G105&gt;=Hba_22,Input!AF$42&lt;&gt;""),Input!$B$42&amp;";",""),IF(AND($G105&lt;Hta_23,$G105&gt;=Hba_23,Input!AF$43&lt;&gt;""),Input!$B$43&amp;";",""),IF(AND($G105&lt;Hta_24,$G105&gt;=Hba_24,Input!AF$44&lt;&gt;""),Input!$B$44&amp;";",""),IF(AND($G105&lt;Hta_25,$G105&gt;=Hba_25,Input!AF$45&lt;&gt;""),Input!$B$45&amp;";",""),IF(AND($G105&lt;Hta_26,$G105&gt;=Hba_26,Input!AF$46&lt;&gt;""),Input!$B$46&amp;";",""),IF(AND($G105&lt;Hta_27,$G105&gt;=Hba_27,Input!AF$47&lt;&gt;""),Input!$B$47&amp;";",""),IF(AND($G105&lt;Hta_28,$G105&gt;=Hba_28,Input!AF$48&lt;&gt;""),Input!$B$48&amp;";",""),IF(AND($G105&lt;Hta_29,$G105&gt;=Hba_29,Input!AF$49&lt;&gt;""),Input!$B$49&amp;";",""),IF(AND($G105&lt;Hta_30,$G105&gt;=Hba_30,Input!AF$50&lt;&gt;""),Input!$B$50&amp;";","")),"")</f>
        <v/>
      </c>
      <c r="CH105" s="25" t="str">
        <f>IFERROR(CONCATENATE(IF(AND($G105&lt;Hta_1,$G105&gt;=Hba_1,Input!AG$21&lt;&gt;""),Input!$B$21&amp;";",""),IF(AND($G105&lt;Hta_2,$G105&gt;=Hba_2,Input!AG$22&lt;&gt;""),Input!$B$22&amp;";",""),IF(AND($G105&lt;Hta_3,$G105&gt;=Hba_3,Input!AG$23&lt;&gt;""),Input!$B$23&amp;";",""),IF(AND($G105&lt;Hta_4,$G105&gt;=Hba_4,Input!AG$24&lt;&gt;""),Input!$B$24&amp;";",""),IF(AND($G105&lt;Hta_5,$G105&gt;=Hba_5,Input!AG$25&lt;&gt;""),Input!$B$25&amp;";",""),IF(AND($G105&lt;Hta_6,$G105&gt;=Hba_6,Input!AG$26&lt;&gt;""),Input!$B$26&amp;";",""),IF(AND($G105&lt;Hta_7,$G105&gt;=Hba_7,Input!AG$27&lt;&gt;""),Input!$B$27&amp;";",""),IF(AND($G105&lt;Hta_8,$G105&gt;=Hba_8,Input!AG$28&lt;&gt;""),Input!$B$28&amp;";",""),IF(AND($G105&lt;Hta_9,$G105&gt;=Hba_9,Input!AG$29&lt;&gt;""),Input!$B$29&amp;";",""),IF(AND($G105&lt;Hta_10,$G105&gt;=Hba_10,Input!AG$30&lt;&gt;""),Input!$B$30&amp;";",""),IF(AND($G105&lt;Hta_11,$G105&gt;=Hba_11,Input!AG$31&lt;&gt;""),Input!$B$31&amp;";",""),IF(AND($G105&lt;Hta_12,$G105&gt;=Hba_12,Input!AG$32&lt;&gt;""),Input!$B$32&amp;";",""),IF(AND($G105&lt;Hta_13,$G105&gt;=Hba_13,Input!AG$33&lt;&gt;""),Input!$B$33&amp;";",""),IF(AND($G105&lt;Hta_14,$G105&gt;=Hba_14,Input!AG$34&lt;&gt;""),Input!$B$34&amp;";",""),IF(AND($G105&lt;Hta_15,$G105&gt;=Hba_15,Input!AG$35&lt;&gt;""),Input!$B$35&amp;";",""),IF(AND($G105&lt;Hta_16,$G105&gt;=Hba_16,Input!AG$36&lt;&gt;""),Input!$B$36&amp;";",""),IF(AND($G105&lt;Hta_17,$G105&gt;=Hba_17,Input!AG$37&lt;&gt;""),Input!$B$37&amp;";",""),IF(AND($G105&lt;Hta_18,$G105&gt;=Hba_18,Input!AG$38&lt;&gt;""),Input!$B$38&amp;";",""),IF(AND($G105&lt;Hta_19,$G105&gt;=Hba_19,Input!AG$39&lt;&gt;""),Input!$B$39&amp;";",""),IF(AND($G105&lt;Hta_20,$G105&gt;=Hba_20,Input!AG$40&lt;&gt;""),Input!$B$40&amp;";",""),IF(AND($G105&lt;Hta_21,$G105&gt;=Hba_21,Input!AG$41&lt;&gt;""),Input!$B$41&amp;";",""),IF(AND($G105&lt;Hta_22,$G105&gt;=Hba_22,Input!AG$42&lt;&gt;""),Input!$B$42&amp;";",""),IF(AND($G105&lt;Hta_23,$G105&gt;=Hba_23,Input!AG$43&lt;&gt;""),Input!$B$43&amp;";",""),IF(AND($G105&lt;Hta_24,$G105&gt;=Hba_24,Input!AG$44&lt;&gt;""),Input!$B$44&amp;";",""),IF(AND($G105&lt;Hta_25,$G105&gt;=Hba_25,Input!AG$45&lt;&gt;""),Input!$B$45&amp;";",""),IF(AND($G105&lt;Hta_26,$G105&gt;=Hba_26,Input!AG$46&lt;&gt;""),Input!$B$46&amp;";",""),IF(AND($G105&lt;Hta_27,$G105&gt;=Hba_27,Input!AG$47&lt;&gt;""),Input!$B$47&amp;";",""),IF(AND($G105&lt;Hta_28,$G105&gt;=Hba_28,Input!AG$48&lt;&gt;""),Input!$B$48&amp;";",""),IF(AND($G105&lt;Hta_29,$G105&gt;=Hba_29,Input!AG$49&lt;&gt;""),Input!$B$49&amp;";",""),IF(AND($G105&lt;Hta_30,$G105&gt;=Hba_30,Input!AG$50&lt;&gt;""),Input!$B$50&amp;";","")),"")</f>
        <v/>
      </c>
      <c r="CI105" s="25" t="str">
        <f>IFERROR(CONCATENATE(IF(AND($G105&lt;Hta_1,$G105&gt;=Hba_1,Input!AH$21&lt;&gt;""),Input!$B$21&amp;";",""),IF(AND($G105&lt;Hta_2,$G105&gt;=Hba_2,Input!AH$22&lt;&gt;""),Input!$B$22&amp;";",""),IF(AND($G105&lt;Hta_3,$G105&gt;=Hba_3,Input!AH$23&lt;&gt;""),Input!$B$23&amp;";",""),IF(AND($G105&lt;Hta_4,$G105&gt;=Hba_4,Input!AH$24&lt;&gt;""),Input!$B$24&amp;";",""),IF(AND($G105&lt;Hta_5,$G105&gt;=Hba_5,Input!AH$25&lt;&gt;""),Input!$B$25&amp;";",""),IF(AND($G105&lt;Hta_6,$G105&gt;=Hba_6,Input!AH$26&lt;&gt;""),Input!$B$26&amp;";",""),IF(AND($G105&lt;Hta_7,$G105&gt;=Hba_7,Input!AH$27&lt;&gt;""),Input!$B$27&amp;";",""),IF(AND($G105&lt;Hta_8,$G105&gt;=Hba_8,Input!AH$28&lt;&gt;""),Input!$B$28&amp;";",""),IF(AND($G105&lt;Hta_9,$G105&gt;=Hba_9,Input!AH$29&lt;&gt;""),Input!$B$29&amp;";",""),IF(AND($G105&lt;Hta_10,$G105&gt;=Hba_10,Input!AH$30&lt;&gt;""),Input!$B$30&amp;";",""),IF(AND($G105&lt;Hta_11,$G105&gt;=Hba_11,Input!AH$31&lt;&gt;""),Input!$B$31&amp;";",""),IF(AND($G105&lt;Hta_12,$G105&gt;=Hba_12,Input!AH$32&lt;&gt;""),Input!$B$32&amp;";",""),IF(AND($G105&lt;Hta_13,$G105&gt;=Hba_13,Input!AH$33&lt;&gt;""),Input!$B$33&amp;";",""),IF(AND($G105&lt;Hta_14,$G105&gt;=Hba_14,Input!AH$34&lt;&gt;""),Input!$B$34&amp;";",""),IF(AND($G105&lt;Hta_15,$G105&gt;=Hba_15,Input!AH$35&lt;&gt;""),Input!$B$35&amp;";",""),IF(AND($G105&lt;Hta_16,$G105&gt;=Hba_16,Input!AH$36&lt;&gt;""),Input!$B$36&amp;";",""),IF(AND($G105&lt;Hta_17,$G105&gt;=Hba_17,Input!AH$37&lt;&gt;""),Input!$B$37&amp;";",""),IF(AND($G105&lt;Hta_18,$G105&gt;=Hba_18,Input!AH$38&lt;&gt;""),Input!$B$38&amp;";",""),IF(AND($G105&lt;Hta_19,$G105&gt;=Hba_19,Input!AH$39&lt;&gt;""),Input!$B$39&amp;";",""),IF(AND($G105&lt;Hta_20,$G105&gt;=Hba_20,Input!AH$40&lt;&gt;""),Input!$B$40&amp;";",""),IF(AND($G105&lt;Hta_21,$G105&gt;=Hba_21,Input!AH$41&lt;&gt;""),Input!$B$41&amp;";",""),IF(AND($G105&lt;Hta_22,$G105&gt;=Hba_22,Input!AH$42&lt;&gt;""),Input!$B$42&amp;";",""),IF(AND($G105&lt;Hta_23,$G105&gt;=Hba_23,Input!AH$43&lt;&gt;""),Input!$B$43&amp;";",""),IF(AND($G105&lt;Hta_24,$G105&gt;=Hba_24,Input!AH$44&lt;&gt;""),Input!$B$44&amp;";",""),IF(AND($G105&lt;Hta_25,$G105&gt;=Hba_25,Input!AH$45&lt;&gt;""),Input!$B$45&amp;";",""),IF(AND($G105&lt;Hta_26,$G105&gt;=Hba_26,Input!AH$46&lt;&gt;""),Input!$B$46&amp;";",""),IF(AND($G105&lt;Hta_27,$G105&gt;=Hba_27,Input!AH$47&lt;&gt;""),Input!$B$47&amp;";",""),IF(AND($G105&lt;Hta_28,$G105&gt;=Hba_28,Input!AH$48&lt;&gt;""),Input!$B$48&amp;";",""),IF(AND($G105&lt;Hta_29,$G105&gt;=Hba_29,Input!AH$49&lt;&gt;""),Input!$B$49&amp;";",""),IF(AND($G105&lt;Hta_30,$G105&gt;=Hba_30,Input!AH$50&lt;&gt;""),Input!$B$50&amp;";","")),"")</f>
        <v/>
      </c>
      <c r="CJ105" s="25" t="str">
        <f>IFERROR(CONCATENATE(IF(AND($G105&lt;Hta_1,$G105&gt;=Hba_1,Input!AI$21&lt;&gt;""),Input!$B$21&amp;";",""),IF(AND($G105&lt;Hta_2,$G105&gt;=Hba_2,Input!AI$22&lt;&gt;""),Input!$B$22&amp;";",""),IF(AND($G105&lt;Hta_3,$G105&gt;=Hba_3,Input!AI$23&lt;&gt;""),Input!$B$23&amp;";",""),IF(AND($G105&lt;Hta_4,$G105&gt;=Hba_4,Input!AI$24&lt;&gt;""),Input!$B$24&amp;";",""),IF(AND($G105&lt;Hta_5,$G105&gt;=Hba_5,Input!AI$25&lt;&gt;""),Input!$B$25&amp;";",""),IF(AND($G105&lt;Hta_6,$G105&gt;=Hba_6,Input!AI$26&lt;&gt;""),Input!$B$26&amp;";",""),IF(AND($G105&lt;Hta_7,$G105&gt;=Hba_7,Input!AI$27&lt;&gt;""),Input!$B$27&amp;";",""),IF(AND($G105&lt;Hta_8,$G105&gt;=Hba_8,Input!AI$28&lt;&gt;""),Input!$B$28&amp;";",""),IF(AND($G105&lt;Hta_9,$G105&gt;=Hba_9,Input!AI$29&lt;&gt;""),Input!$B$29&amp;";",""),IF(AND($G105&lt;Hta_10,$G105&gt;=Hba_10,Input!AI$30&lt;&gt;""),Input!$B$30&amp;";",""),IF(AND($G105&lt;Hta_11,$G105&gt;=Hba_11,Input!AI$31&lt;&gt;""),Input!$B$31&amp;";",""),IF(AND($G105&lt;Hta_12,$G105&gt;=Hba_12,Input!AI$32&lt;&gt;""),Input!$B$32&amp;";",""),IF(AND($G105&lt;Hta_13,$G105&gt;=Hba_13,Input!AI$33&lt;&gt;""),Input!$B$33&amp;";",""),IF(AND($G105&lt;Hta_14,$G105&gt;=Hba_14,Input!AI$34&lt;&gt;""),Input!$B$34&amp;";",""),IF(AND($G105&lt;Hta_15,$G105&gt;=Hba_15,Input!AI$35&lt;&gt;""),Input!$B$35&amp;";",""),IF(AND($G105&lt;Hta_16,$G105&gt;=Hba_16,Input!AI$36&lt;&gt;""),Input!$B$36&amp;";",""),IF(AND($G105&lt;Hta_17,$G105&gt;=Hba_17,Input!AI$37&lt;&gt;""),Input!$B$37&amp;";",""),IF(AND($G105&lt;Hta_18,$G105&gt;=Hba_18,Input!AI$38&lt;&gt;""),Input!$B$38&amp;";",""),IF(AND($G105&lt;Hta_19,$G105&gt;=Hba_19,Input!AI$39&lt;&gt;""),Input!$B$39&amp;";",""),IF(AND($G105&lt;Hta_20,$G105&gt;=Hba_20,Input!AI$40&lt;&gt;""),Input!$B$40&amp;";",""),IF(AND($G105&lt;Hta_21,$G105&gt;=Hba_21,Input!AI$41&lt;&gt;""),Input!$B$41&amp;";",""),IF(AND($G105&lt;Hta_22,$G105&gt;=Hba_22,Input!AI$42&lt;&gt;""),Input!$B$42&amp;";",""),IF(AND($G105&lt;Hta_23,$G105&gt;=Hba_23,Input!AI$43&lt;&gt;""),Input!$B$43&amp;";",""),IF(AND($G105&lt;Hta_24,$G105&gt;=Hba_24,Input!AI$44&lt;&gt;""),Input!$B$44&amp;";",""),IF(AND($G105&lt;Hta_25,$G105&gt;=Hba_25,Input!AI$45&lt;&gt;""),Input!$B$45&amp;";",""),IF(AND($G105&lt;Hta_26,$G105&gt;=Hba_26,Input!AI$46&lt;&gt;""),Input!$B$46&amp;";",""),IF(AND($G105&lt;Hta_27,$G105&gt;=Hba_27,Input!AI$47&lt;&gt;""),Input!$B$47&amp;";",""),IF(AND($G105&lt;Hta_28,$G105&gt;=Hba_28,Input!AI$48&lt;&gt;""),Input!$B$48&amp;";",""),IF(AND($G105&lt;Hta_29,$G105&gt;=Hba_29,Input!AI$49&lt;&gt;""),Input!$B$49&amp;";",""),IF(AND($G105&lt;Hta_30,$G105&gt;=Hba_30,Input!AI$50&lt;&gt;""),Input!$B$50&amp;";","")),"")</f>
        <v/>
      </c>
      <c r="CK105" s="25" t="str">
        <f>IFERROR(CONCATENATE(IF(AND($G105&lt;Hta_1,$G105&gt;=Hba_1,Input!AJ$21&lt;&gt;""),Input!$B$21&amp;";",""),IF(AND($G105&lt;Hta_2,$G105&gt;=Hba_2,Input!AJ$22&lt;&gt;""),Input!$B$22&amp;";",""),IF(AND($G105&lt;Hta_3,$G105&gt;=Hba_3,Input!AJ$23&lt;&gt;""),Input!$B$23&amp;";",""),IF(AND($G105&lt;Hta_4,$G105&gt;=Hba_4,Input!AJ$24&lt;&gt;""),Input!$B$24&amp;";",""),IF(AND($G105&lt;Hta_5,$G105&gt;=Hba_5,Input!AJ$25&lt;&gt;""),Input!$B$25&amp;";",""),IF(AND($G105&lt;Hta_6,$G105&gt;=Hba_6,Input!AJ$26&lt;&gt;""),Input!$B$26&amp;";",""),IF(AND($G105&lt;Hta_7,$G105&gt;=Hba_7,Input!AJ$27&lt;&gt;""),Input!$B$27&amp;";",""),IF(AND($G105&lt;Hta_8,$G105&gt;=Hba_8,Input!AJ$28&lt;&gt;""),Input!$B$28&amp;";",""),IF(AND($G105&lt;Hta_9,$G105&gt;=Hba_9,Input!AJ$29&lt;&gt;""),Input!$B$29&amp;";",""),IF(AND($G105&lt;Hta_10,$G105&gt;=Hba_10,Input!AJ$30&lt;&gt;""),Input!$B$30&amp;";",""),IF(AND($G105&lt;Hta_11,$G105&gt;=Hba_11,Input!AJ$31&lt;&gt;""),Input!$B$31&amp;";",""),IF(AND($G105&lt;Hta_12,$G105&gt;=Hba_12,Input!AJ$32&lt;&gt;""),Input!$B$32&amp;";",""),IF(AND($G105&lt;Hta_13,$G105&gt;=Hba_13,Input!AJ$33&lt;&gt;""),Input!$B$33&amp;";",""),IF(AND($G105&lt;Hta_14,$G105&gt;=Hba_14,Input!AJ$34&lt;&gt;""),Input!$B$34&amp;";",""),IF(AND($G105&lt;Hta_15,$G105&gt;=Hba_15,Input!AJ$35&lt;&gt;""),Input!$B$35&amp;";",""),IF(AND($G105&lt;Hta_16,$G105&gt;=Hba_16,Input!AJ$36&lt;&gt;""),Input!$B$36&amp;";",""),IF(AND($G105&lt;Hta_17,$G105&gt;=Hba_17,Input!AJ$37&lt;&gt;""),Input!$B$37&amp;";",""),IF(AND($G105&lt;Hta_18,$G105&gt;=Hba_18,Input!AJ$38&lt;&gt;""),Input!$B$38&amp;";",""),IF(AND($G105&lt;Hta_19,$G105&gt;=Hba_19,Input!AJ$39&lt;&gt;""),Input!$B$39&amp;";",""),IF(AND($G105&lt;Hta_20,$G105&gt;=Hba_20,Input!AJ$40&lt;&gt;""),Input!$B$40&amp;";",""),IF(AND($G105&lt;Hta_21,$G105&gt;=Hba_21,Input!AJ$41&lt;&gt;""),Input!$B$41&amp;";",""),IF(AND($G105&lt;Hta_22,$G105&gt;=Hba_22,Input!AJ$42&lt;&gt;""),Input!$B$42&amp;";",""),IF(AND($G105&lt;Hta_23,$G105&gt;=Hba_23,Input!AJ$43&lt;&gt;""),Input!$B$43&amp;";",""),IF(AND($G105&lt;Hta_24,$G105&gt;=Hba_24,Input!AJ$44&lt;&gt;""),Input!$B$44&amp;";",""),IF(AND($G105&lt;Hta_25,$G105&gt;=Hba_25,Input!AJ$45&lt;&gt;""),Input!$B$45&amp;";",""),IF(AND($G105&lt;Hta_26,$G105&gt;=Hba_26,Input!AJ$46&lt;&gt;""),Input!$B$46&amp;";",""),IF(AND($G105&lt;Hta_27,$G105&gt;=Hba_27,Input!AJ$47&lt;&gt;""),Input!$B$47&amp;";",""),IF(AND($G105&lt;Hta_28,$G105&gt;=Hba_28,Input!AJ$48&lt;&gt;""),Input!$B$48&amp;";",""),IF(AND($G105&lt;Hta_29,$G105&gt;=Hba_29,Input!AJ$49&lt;&gt;""),Input!$B$49&amp;";",""),IF(AND($G105&lt;Hta_30,$G105&gt;=Hba_30,Input!AJ$50&lt;&gt;""),Input!$B$50&amp;";","")),"")</f>
        <v/>
      </c>
      <c r="CL105" s="25" t="str">
        <f>IFERROR(CONCATENATE(IF(AND($G105&lt;Hta_1,$G105&gt;=Hba_1,Input!AK$21&lt;&gt;""),Input!$B$21&amp;";",""),IF(AND($G105&lt;Hta_2,$G105&gt;=Hba_2,Input!AK$22&lt;&gt;""),Input!$B$22&amp;";",""),IF(AND($G105&lt;Hta_3,$G105&gt;=Hba_3,Input!AK$23&lt;&gt;""),Input!$B$23&amp;";",""),IF(AND($G105&lt;Hta_4,$G105&gt;=Hba_4,Input!AK$24&lt;&gt;""),Input!$B$24&amp;";",""),IF(AND($G105&lt;Hta_5,$G105&gt;=Hba_5,Input!AK$25&lt;&gt;""),Input!$B$25&amp;";",""),IF(AND($G105&lt;Hta_6,$G105&gt;=Hba_6,Input!AK$26&lt;&gt;""),Input!$B$26&amp;";",""),IF(AND($G105&lt;Hta_7,$G105&gt;=Hba_7,Input!AK$27&lt;&gt;""),Input!$B$27&amp;";",""),IF(AND($G105&lt;Hta_8,$G105&gt;=Hba_8,Input!AK$28&lt;&gt;""),Input!$B$28&amp;";",""),IF(AND($G105&lt;Hta_9,$G105&gt;=Hba_9,Input!AK$29&lt;&gt;""),Input!$B$29&amp;";",""),IF(AND($G105&lt;Hta_10,$G105&gt;=Hba_10,Input!AK$30&lt;&gt;""),Input!$B$30&amp;";",""),IF(AND($G105&lt;Hta_11,$G105&gt;=Hba_11,Input!AK$31&lt;&gt;""),Input!$B$31&amp;";",""),IF(AND($G105&lt;Hta_12,$G105&gt;=Hba_12,Input!AK$32&lt;&gt;""),Input!$B$32&amp;";",""),IF(AND($G105&lt;Hta_13,$G105&gt;=Hba_13,Input!AK$33&lt;&gt;""),Input!$B$33&amp;";",""),IF(AND($G105&lt;Hta_14,$G105&gt;=Hba_14,Input!AK$34&lt;&gt;""),Input!$B$34&amp;";",""),IF(AND($G105&lt;Hta_15,$G105&gt;=Hba_15,Input!AK$35&lt;&gt;""),Input!$B$35&amp;";",""),IF(AND($G105&lt;Hta_16,$G105&gt;=Hba_16,Input!AK$36&lt;&gt;""),Input!$B$36&amp;";",""),IF(AND($G105&lt;Hta_17,$G105&gt;=Hba_17,Input!AK$37&lt;&gt;""),Input!$B$37&amp;";",""),IF(AND($G105&lt;Hta_18,$G105&gt;=Hba_18,Input!AK$38&lt;&gt;""),Input!$B$38&amp;";",""),IF(AND($G105&lt;Hta_19,$G105&gt;=Hba_19,Input!AK$39&lt;&gt;""),Input!$B$39&amp;";",""),IF(AND($G105&lt;Hta_20,$G105&gt;=Hba_20,Input!AK$40&lt;&gt;""),Input!$B$40&amp;";",""),IF(AND($G105&lt;Hta_21,$G105&gt;=Hba_21,Input!AK$41&lt;&gt;""),Input!$B$41&amp;";",""),IF(AND($G105&lt;Hta_22,$G105&gt;=Hba_22,Input!AK$42&lt;&gt;""),Input!$B$42&amp;";",""),IF(AND($G105&lt;Hta_23,$G105&gt;=Hba_23,Input!AK$43&lt;&gt;""),Input!$B$43&amp;";",""),IF(AND($G105&lt;Hta_24,$G105&gt;=Hba_24,Input!AK$44&lt;&gt;""),Input!$B$44&amp;";",""),IF(AND($G105&lt;Hta_25,$G105&gt;=Hba_25,Input!AK$45&lt;&gt;""),Input!$B$45&amp;";",""),IF(AND($G105&lt;Hta_26,$G105&gt;=Hba_26,Input!AK$46&lt;&gt;""),Input!$B$46&amp;";",""),IF(AND($G105&lt;Hta_27,$G105&gt;=Hba_27,Input!AK$47&lt;&gt;""),Input!$B$47&amp;";",""),IF(AND($G105&lt;Hta_28,$G105&gt;=Hba_28,Input!AK$48&lt;&gt;""),Input!$B$48&amp;";",""),IF(AND($G105&lt;Hta_29,$G105&gt;=Hba_29,Input!AK$49&lt;&gt;""),Input!$B$49&amp;";",""),IF(AND($G105&lt;Hta_30,$G105&gt;=Hba_30,Input!AK$50&lt;&gt;""),Input!$B$50&amp;";","")),"")</f>
        <v/>
      </c>
      <c r="CM105" s="25" t="str">
        <f>IFERROR(CONCATENATE(IF(AND($G105&lt;Hta_1,$G105&gt;=Hba_1,Input!AL$21&lt;&gt;""),Input!$B$21&amp;";",""),IF(AND($G105&lt;Hta_2,$G105&gt;=Hba_2,Input!AL$22&lt;&gt;""),Input!$B$22&amp;";",""),IF(AND($G105&lt;Hta_3,$G105&gt;=Hba_3,Input!AL$23&lt;&gt;""),Input!$B$23&amp;";",""),IF(AND($G105&lt;Hta_4,$G105&gt;=Hba_4,Input!AL$24&lt;&gt;""),Input!$B$24&amp;";",""),IF(AND($G105&lt;Hta_5,$G105&gt;=Hba_5,Input!AL$25&lt;&gt;""),Input!$B$25&amp;";",""),IF(AND($G105&lt;Hta_6,$G105&gt;=Hba_6,Input!AL$26&lt;&gt;""),Input!$B$26&amp;";",""),IF(AND($G105&lt;Hta_7,$G105&gt;=Hba_7,Input!AL$27&lt;&gt;""),Input!$B$27&amp;";",""),IF(AND($G105&lt;Hta_8,$G105&gt;=Hba_8,Input!AL$28&lt;&gt;""),Input!$B$28&amp;";",""),IF(AND($G105&lt;Hta_9,$G105&gt;=Hba_9,Input!AL$29&lt;&gt;""),Input!$B$29&amp;";",""),IF(AND($G105&lt;Hta_10,$G105&gt;=Hba_10,Input!AL$30&lt;&gt;""),Input!$B$30&amp;";",""),IF(AND($G105&lt;Hta_11,$G105&gt;=Hba_11,Input!AL$31&lt;&gt;""),Input!$B$31&amp;";",""),IF(AND($G105&lt;Hta_12,$G105&gt;=Hba_12,Input!AL$32&lt;&gt;""),Input!$B$32&amp;";",""),IF(AND($G105&lt;Hta_13,$G105&gt;=Hba_13,Input!AL$33&lt;&gt;""),Input!$B$33&amp;";",""),IF(AND($G105&lt;Hta_14,$G105&gt;=Hba_14,Input!AL$34&lt;&gt;""),Input!$B$34&amp;";",""),IF(AND($G105&lt;Hta_15,$G105&gt;=Hba_15,Input!AL$35&lt;&gt;""),Input!$B$35&amp;";",""),IF(AND($G105&lt;Hta_16,$G105&gt;=Hba_16,Input!AL$36&lt;&gt;""),Input!$B$36&amp;";",""),IF(AND($G105&lt;Hta_17,$G105&gt;=Hba_17,Input!AL$37&lt;&gt;""),Input!$B$37&amp;";",""),IF(AND($G105&lt;Hta_18,$G105&gt;=Hba_18,Input!AL$38&lt;&gt;""),Input!$B$38&amp;";",""),IF(AND($G105&lt;Hta_19,$G105&gt;=Hba_19,Input!AL$39&lt;&gt;""),Input!$B$39&amp;";",""),IF(AND($G105&lt;Hta_20,$G105&gt;=Hba_20,Input!AL$40&lt;&gt;""),Input!$B$40&amp;";",""),IF(AND($G105&lt;Hta_21,$G105&gt;=Hba_21,Input!AL$41&lt;&gt;""),Input!$B$41&amp;";",""),IF(AND($G105&lt;Hta_22,$G105&gt;=Hba_22,Input!AL$42&lt;&gt;""),Input!$B$42&amp;";",""),IF(AND($G105&lt;Hta_23,$G105&gt;=Hba_23,Input!AL$43&lt;&gt;""),Input!$B$43&amp;";",""),IF(AND($G105&lt;Hta_24,$G105&gt;=Hba_24,Input!AL$44&lt;&gt;""),Input!$B$44&amp;";",""),IF(AND($G105&lt;Hta_25,$G105&gt;=Hba_25,Input!AL$45&lt;&gt;""),Input!$B$45&amp;";",""),IF(AND($G105&lt;Hta_26,$G105&gt;=Hba_26,Input!AL$46&lt;&gt;""),Input!$B$46&amp;";",""),IF(AND($G105&lt;Hta_27,$G105&gt;=Hba_27,Input!AL$47&lt;&gt;""),Input!$B$47&amp;";",""),IF(AND($G105&lt;Hta_28,$G105&gt;=Hba_28,Input!AL$48&lt;&gt;""),Input!$B$48&amp;";",""),IF(AND($G105&lt;Hta_29,$G105&gt;=Hba_29,Input!AL$49&lt;&gt;""),Input!$B$49&amp;";",""),IF(AND($G105&lt;Hta_30,$G105&gt;=Hba_30,Input!AL$50&lt;&gt;""),Input!$B$50&amp;";","")),"")</f>
        <v/>
      </c>
      <c r="CN105" s="143" t="str">
        <f>CONCATENATE("Note: Section capacity checked ", IF('Macro References'!A37=FALSE,"assuming all reinforcements are effective and ",""), "using ", 'Macro References'!A36, " degree increments.")</f>
        <v>Note: Section capacity checked using 5 degree increments.</v>
      </c>
      <c r="CO105" s="47"/>
      <c r="CP105" s="47"/>
      <c r="CQ105" s="47"/>
      <c r="CR105" s="47"/>
      <c r="CS105" s="47"/>
      <c r="CT105" s="47"/>
      <c r="CU105" s="47"/>
      <c r="CV105" s="47"/>
      <c r="CW105" s="47"/>
      <c r="CX105" s="47"/>
      <c r="CY105" s="47"/>
      <c r="CZ105" s="47"/>
    </row>
    <row r="106" spans="2:176" ht="13.5" thickBot="1" x14ac:dyDescent="0.25">
      <c r="G106" s="711" t="str">
        <f>IF(D106="","",MAX(0,G105-IF(inc="n/a",999,inc),MAX(IF(G105&lt;=Hta_1,0,Hta_1),IF(G105&lt;=Hta_2,0,Hta_2),IF(G105&lt;=Hta_3,0,Hta_3),IF(G105&lt;=Hta_4,0,Hta_4),IF(G105&lt;=Hta_5,0,Hta_5),IF(G105&lt;=Hta_6,0,Hta_6),IF(G105&lt;=Hta_7,0,Hta_7),IF(G105&lt;=Hta_8,0,Hta_8),IF(G105&lt;=Hta_9,0,Hta_9),IF(G105&lt;=Hta_10,0,Hta_10),IF(G105&lt;=Hta_11,0,Hta_11),IF(G105&lt;=Hta_12,0,Hta_12),IF(G105&lt;=Hta_13,0,Hta_13),IF(G105&lt;=Hta_14,0,Hta_14),IF(G105&lt;=Hta_15,0,Hta_15),IF(G105&lt;=Hta_16,0,Hta_16),IF(G105&lt;=Hta_17,0,Hta_17),IF(G105&lt;=Hta_18,0,Hta_18),IF(G105&lt;=Hta_19,0,Hta_19),IF(G105&lt;=Hta_20,0,Hta_20),IF(G105&lt;=Hta_21,0,Hta_21),IF(G105&lt;=Hta_22,0,Hta_22),IF(G105&lt;=Hta_23,0,Hta_23),IF(G105&lt;=Hta_24,0,Hta_24),IF(G105&lt;=Hta_25,0,Hta_25),IF(G105&lt;=Hta_26,0,Hta_26),IF(G105&lt;=Hta_27,0,Hta_27),IF(G105&lt;=Hta_28,0,Hta_28),IF(G105&lt;=Hta_29,0,Hta_29),IF(G105&lt;=Hta_30,0,Hta_30)),MAX(IF(G105&lt;=Hta_1-0.25,0,Hta_1-0.25),IF(G105&lt;=Hta_2-0.25,0,Hta_2-0.25),IF(G105&lt;=Hta_3-0.25,0,Hta_3-0.25),IF(G105&lt;=Hta_4-0.25,0,Hta_4-0.25),IF(G105&lt;=Hta_5-0.25,0,Hta_5-0.25),IF(G105&lt;=Hta_6-0.25,0,Hta_6-0.25),IF(G105&lt;=Hta_7-0.25,0,Hta_7-0.25),IF(G105&lt;=Hta_8-0.25,0,Hta_8-0.25),IF(G105&lt;=Hta_9-0.25,0,Hta_9-0.25),IF(G105&lt;=Hta_10-0.25,0,Hta_10-0.25),IF(G105&lt;=Hta_11-0.25,0,Hta_11-0.25),IF(G105&lt;=Hta_12-0.25,0,Hta_12-0.25),IF(G105&lt;=Hta_13-0.25,0,Hta_13-0.25),IF(G105&lt;=Hta_14-0.25,0,Hta_14-0.25),IF(G105&lt;=Hta_15-0.25,0,Hta_15-0.25),IF(G105&lt;=Hta_16-0.25,0,Hta_16-0.25),IF(G105&lt;=Hta_17-0.25,0,Hta_17-0.25),IF(G105&lt;=Hta_18-0.25,0,Hta_18-0.25),IF(G105&lt;=Hta_19-0.25,0,Hta_19-0.25),IF(G105&lt;=Hta_20-0.25,0,Hta_20-0.25),IF(G105&lt;=Hta_21-0.25,0,Hta_21-0.25),IF(G105&lt;=Hta_22-0.25,0,Hta_22-0.25),IF(G105&lt;=Hta_23-0.25,0,Hta_23-0.25),IF(G105&lt;=Hta_24-0.25,0,Hta_24-0.25),IF(G105&lt;=Hta_25-0.25,0,Hta_25-0.25),IF(G105&lt;=Hta_26-0.25,0,Hta_26-0.25),IF(G105&lt;=Hta_27-0.25,0,Hta_27-0.25),IF(G105&lt;=Hta_28-0.25,0,Hta_28-0.25),IF(G105&lt;=Hta_29-0.25,0,Hta_29-0.25),IF(G105&lt;=Hta_30-0.25,0,Hta_30-0.25)),MAX(IF(G105&lt;=Hba_1,0,Hba_1),IF(G105&lt;=Hba_2,0,Hba_2),IF(G105&lt;=Hba_3,0,Hba_3),IF(G105&lt;=Hba_4,0,Hba_4),IF(G105&lt;=Hba_5,0,Hba_5),IF(G105&lt;=Hba_6,0,Hba_6),IF(G105&lt;=Hba_7,0,Hba_7),IF(G105&lt;=Hba_8,0,Hba_8),IF(G105&lt;=Hba_9,0,Hba_9),IF(G105&lt;=Hba_10,0,Hba_10),IF(G105&lt;=Hba_11,0,Hba_11),IF(G105&lt;=Hba_12,0,Hba_12),IF(G105&lt;=Hba_13,0,Hba_13),IF(G105&lt;=Hba_14,0,Hba_14),IF(G105&lt;=Hba_15,0,Hba_15),IF(G105&lt;=Hba_16,0,Hba_16),IF(G105&lt;=Hba_17,0,Hba_17),IF(G105&lt;=Hba_18,0,Hba_18),IF(G105&lt;=Hba_19,0,Hba_19),IF(G105&lt;=Hba_20,0,Hba_20),IF(G105&lt;=Hba_21,0,Hba_21),IF(G105&lt;=Hba_22,0,Hba_22),IF(G105&lt;=Hba_23,0,Hba_23),IF(G105&lt;=Hba_24,0,Hba_24),IF(G105&lt;=Hba_25,0,Hba_25),IF(G105&lt;=Hba_26,0,Hba_26),IF(G105&lt;=Hba_27,0,Hba_27),IF(G105&lt;=Hba_28,0,Hba_28),IF(G105&lt;=Hba_29,0,Hba_29),IF(G105&lt;=Hba_30,0,Hba_30)),MAX(IF(G105&lt;=Input!$C$8,0,Input!$C$8),IF(G105&lt;=Input!$C$9,0,Input!$C$9),IF(G105&lt;=Input!$C$10,0,Input!$C$10),IF(G105&lt;=Input!$C$11,0,Input!$C$11),IF(G105&lt;=Input!$C$12,0,Input!$C$12),IF(G105&lt;=Input!$C$13,0,Input!$C$13),IF(G105&lt;=Input!$C$14,0,Input!$C$14),IF(G105&lt;=Input!$C$15,0,Input!$C$15),IF(G105&lt;=Input!$C$16,0,Input!$C$16)),MAX(IF(G105&lt;=Hba_1-0.25,0,Hba_1-0.25),IF(G105&lt;=Hba_2-0.25,0,Hba_2-0.25),IF(G105&lt;=Hba_3-0.25,0,Hba_3-0.25),IF(G105&lt;=Hba_4-0.25,0,Hba_4-0.25),IF(G105&lt;=Hba_5-0.25,0,Hba_5-0.25),IF(G105&lt;=Hba_6-0.25,0,Hba_6-0.25),IF(G105&lt;=Hba_7-0.25,0,Hba_7-0.25),IF(G105&lt;=Hba_8-0.25,0,Hba_8-0.25),IF(G105&lt;=Hba_9-0.25,0,Hba_9-0.25),IF(G105&lt;=Hba_10-0.25,0,Hba_10-0.25),IF(G105&lt;=Hba_11-0.25,0,Hba_11-0.25),IF(G105&lt;=Hba_12-0.25,0,Hba_12-0.25),IF(G105&lt;=Hba_13-0.25,0,Hba_13-0.25),IF(G105&lt;=Hba_14-0.25,0,Hba_14-0.25),IF(G105&lt;=Hba_15-0.25,0,Hba_15-0.25),IF(G105&lt;=Hba_16-0.25,0,Hba_16-0.25),IF(G105&lt;=Hba_17-0.25,0,Hba_17-0.25),IF(G105&lt;=Hba_18-0.25,0,Hba_18-0.25),IF(G105&lt;=Hba_19-0.25,0,Hba_19-0.25),IF(G105&lt;=Hba_20-0.25,0,Hba_20-0.25),IF(G105&lt;=Hba_21-0.25,0,Hba_21-0.25),IF(G105&lt;=Hba_22-0.25,0,Hba_22-0.25),IF(G105&lt;=Hba_23-0.25,0,Hba_23-0.25),IF(G105&lt;=Hba_24-0.25,0,Hba_24-0.25),IF(G105&lt;=Hba_25-0.25,0,Hba_25-0.25),IF(G105&lt;=Hba_26-0.25,0,Hba_26-0.25),IF(G105&lt;=Hba_27-0.25,0,Hba_27-0.25),IF(G105&lt;=Hba_28-0.25,0,Hba_28-0.25),IF(G105&lt;=Hba_29-0.25,0,Hba_29-0.25),IF(G105&lt;=Hba_30-0.25,0,Hba_30-0.25)),IF(G105&lt;='Macro References'!$A$38,0,'Macro References'!$A$38)))</f>
        <v/>
      </c>
      <c r="H106" s="711"/>
      <c r="I106" s="65"/>
      <c r="J106" s="65"/>
      <c r="K106" s="65"/>
      <c r="L106" s="65"/>
      <c r="M106" s="65"/>
      <c r="N106" s="65"/>
      <c r="O106" s="65"/>
      <c r="P106" s="65"/>
      <c r="Q106" s="65"/>
      <c r="R106" s="65"/>
      <c r="S106" s="65"/>
      <c r="T106" s="65"/>
      <c r="U106" s="65"/>
      <c r="V106" s="65"/>
      <c r="W106" s="65"/>
      <c r="X106" s="65"/>
      <c r="Y106" s="65"/>
      <c r="Z106" s="65"/>
      <c r="AA106" s="65"/>
      <c r="AB106" s="65"/>
      <c r="AC106" s="65"/>
      <c r="AD106" s="65"/>
      <c r="AE106" s="65"/>
      <c r="AF106" s="65"/>
      <c r="AG106" s="65"/>
      <c r="AH106" s="65"/>
      <c r="AI106" s="65"/>
      <c r="AJ106" s="65"/>
      <c r="AK106" s="65"/>
      <c r="AL106" s="65"/>
      <c r="AM106" s="65"/>
      <c r="AN106" s="65"/>
      <c r="AO106" s="65"/>
      <c r="AP106" s="65"/>
      <c r="AQ106" s="65"/>
      <c r="AR106" s="65"/>
      <c r="AS106" s="65"/>
      <c r="AT106" s="65"/>
      <c r="AU106" s="65"/>
      <c r="AV106" s="65"/>
      <c r="AW106" s="65"/>
      <c r="AX106" s="65"/>
      <c r="AZ106" s="722"/>
      <c r="BA106" s="723"/>
      <c r="BB106" s="723"/>
      <c r="BC106" s="724"/>
      <c r="BD106" s="722"/>
      <c r="BE106" s="723"/>
      <c r="BF106" s="723"/>
      <c r="BG106" s="722"/>
      <c r="BH106" s="723"/>
      <c r="BI106" s="723"/>
      <c r="BJ106" s="723"/>
      <c r="BK106" s="724"/>
      <c r="BL106" s="722" t="s">
        <v>165</v>
      </c>
      <c r="BM106" s="723"/>
      <c r="BN106" s="723"/>
      <c r="BO106" s="723"/>
      <c r="BP106" s="725">
        <f>MAX(DG5:DG104)</f>
        <v>0</v>
      </c>
      <c r="BQ106" s="725"/>
      <c r="BR106" s="722" t="str">
        <f>IF(BP106="","",IF(OR(AND(Rev="H",Calculations!$F$27=TRUE),AND(Rev&lt;&gt;"H",Calculations!$F$30=TRUE)),IF(BP106&lt;=1,"Pass","Fail"),IF(BP106&lt;=1.05,"Pass","Fail")))</f>
        <v>Pass</v>
      </c>
      <c r="BS106" s="723"/>
      <c r="BT106" s="724"/>
      <c r="CN106" s="143" t="str">
        <f>IF(AND(Rev="H",Calculations!$F$27=TRUE),"         Rating per TIA-222-H Section 15.5.",IF(AND(Rev&lt;&gt;"H",Calculations!$F$30=TRUE),"         Ratings normalized per Load Z.",""))</f>
        <v xml:space="preserve">         Rating per TIA-222-H Section 15.5.</v>
      </c>
    </row>
    <row r="107" spans="2:176" ht="13.5" thickBot="1" x14ac:dyDescent="0.25">
      <c r="AZ107" s="722"/>
      <c r="BA107" s="723"/>
      <c r="BB107" s="723"/>
      <c r="BC107" s="724"/>
      <c r="BD107" s="722"/>
      <c r="BE107" s="723"/>
      <c r="BF107" s="723"/>
      <c r="BG107" s="722"/>
      <c r="BH107" s="723"/>
      <c r="BI107" s="723"/>
      <c r="BJ107" s="723"/>
      <c r="BK107" s="724"/>
      <c r="BL107" s="722" t="s">
        <v>112</v>
      </c>
      <c r="BM107" s="723"/>
      <c r="BN107" s="723"/>
      <c r="BO107" s="723"/>
      <c r="BP107" s="725">
        <f>MAX(DH5:EK104)</f>
        <v>0</v>
      </c>
      <c r="BQ107" s="725"/>
      <c r="BR107" s="722" t="str">
        <f>IF(BP107="","",IF(OR(AND(Rev="H",Calculations!$F$27=TRUE),AND(Rev&lt;&gt;"H",Calculations!$F$30=TRUE)),IF(BP107&lt;=1,"Pass","Fail"),IF(BP107&lt;=1.05,"Pass","Fail")))</f>
        <v>Pass</v>
      </c>
      <c r="BS107" s="723"/>
      <c r="BT107" s="724"/>
    </row>
    <row r="108" spans="2:176" ht="12.75" customHeight="1" thickBot="1" x14ac:dyDescent="0.25">
      <c r="AZ108" s="722"/>
      <c r="BA108" s="723"/>
      <c r="BB108" s="723"/>
      <c r="BC108" s="724"/>
      <c r="BD108" s="722"/>
      <c r="BE108" s="723"/>
      <c r="BF108" s="723"/>
      <c r="BG108" s="722"/>
      <c r="BH108" s="723"/>
      <c r="BI108" s="723"/>
      <c r="BJ108" s="723"/>
      <c r="BK108" s="724"/>
      <c r="BL108" s="722" t="s">
        <v>258</v>
      </c>
      <c r="BM108" s="723"/>
      <c r="BN108" s="723"/>
      <c r="BO108" s="723"/>
      <c r="BP108" s="725">
        <f>MAX(BP106:BQ107)</f>
        <v>0</v>
      </c>
      <c r="BQ108" s="725"/>
      <c r="BR108" s="722" t="str">
        <f>IF(BP108="","",IF(OR(AND(Rev="H",Calculations!$F$27=TRUE),AND(Rev&lt;&gt;"H",Calculations!$F$30=TRUE)),IF(BP108&lt;=1,"Pass","Fail"),IF(BP108&lt;=1.05,"Pass","Fail")))</f>
        <v>Pass</v>
      </c>
      <c r="BS108" s="723"/>
      <c r="BT108" s="724"/>
      <c r="CQ108" s="38"/>
      <c r="CR108" s="38"/>
      <c r="CS108" s="38"/>
      <c r="CT108" s="38"/>
      <c r="CU108" s="38"/>
      <c r="CV108" s="38"/>
      <c r="CW108" s="38"/>
      <c r="CX108" s="38"/>
      <c r="CY108" s="38"/>
      <c r="CZ108" s="38"/>
      <c r="DA108" s="38"/>
      <c r="DB108" s="38"/>
      <c r="DC108" s="38"/>
      <c r="DD108" s="38"/>
      <c r="DE108" s="38"/>
      <c r="DF108" s="38"/>
      <c r="DG108" s="38"/>
      <c r="DH108" s="38"/>
      <c r="DI108" s="38"/>
      <c r="DJ108" s="38"/>
      <c r="DK108" s="38"/>
      <c r="DL108" s="38"/>
      <c r="DM108" s="38"/>
      <c r="DN108" s="38"/>
      <c r="DO108" s="38"/>
      <c r="DP108" s="38"/>
      <c r="DQ108" s="38"/>
    </row>
    <row r="109" spans="2:176" ht="12.75" customHeight="1" x14ac:dyDescent="0.2">
      <c r="C109" s="65"/>
      <c r="D109" s="65"/>
      <c r="E109" s="65"/>
      <c r="F109" s="65"/>
      <c r="G109" s="65"/>
      <c r="H109" s="65"/>
      <c r="I109" s="65"/>
      <c r="J109" s="65"/>
      <c r="K109" s="65"/>
      <c r="L109" s="65"/>
      <c r="M109" s="65"/>
      <c r="N109" s="65"/>
      <c r="O109" s="65"/>
      <c r="P109" s="65"/>
      <c r="Q109" s="65"/>
      <c r="R109" s="65"/>
      <c r="S109" s="65"/>
      <c r="T109" s="65"/>
      <c r="U109" s="65"/>
      <c r="V109" s="65"/>
      <c r="W109" s="65"/>
      <c r="X109" s="65"/>
      <c r="Y109" s="65"/>
      <c r="Z109" s="65"/>
      <c r="AA109" s="65"/>
      <c r="AB109" s="65"/>
      <c r="AC109" s="65"/>
      <c r="AD109" s="65"/>
      <c r="AE109" s="65"/>
      <c r="AF109" s="65"/>
      <c r="AG109" s="65"/>
      <c r="AH109" s="65"/>
      <c r="AI109" s="65"/>
      <c r="AJ109" s="65"/>
      <c r="AK109" s="65"/>
      <c r="AL109" s="65"/>
      <c r="AM109" s="65"/>
      <c r="AN109" s="65"/>
      <c r="AO109" s="65"/>
      <c r="AP109" s="65"/>
      <c r="AQ109" s="65"/>
      <c r="AR109" s="65"/>
      <c r="AS109" s="65"/>
      <c r="AT109" s="65"/>
      <c r="AU109" s="65"/>
      <c r="AV109" s="65"/>
      <c r="AW109" s="65"/>
      <c r="AX109" s="65"/>
      <c r="AZ109" s="143"/>
      <c r="BL109" s="143"/>
      <c r="BP109" s="143"/>
    </row>
    <row r="110" spans="2:176" ht="12.75" customHeight="1" x14ac:dyDescent="0.2">
      <c r="C110" s="65"/>
      <c r="D110" s="65"/>
      <c r="E110" s="65"/>
      <c r="F110" s="65"/>
      <c r="G110" s="65"/>
      <c r="H110" s="65"/>
      <c r="I110" s="65"/>
      <c r="J110" s="65"/>
      <c r="K110" s="65"/>
      <c r="L110" s="65"/>
      <c r="M110" s="65"/>
      <c r="N110" s="65"/>
      <c r="O110" s="65"/>
      <c r="P110" s="65"/>
      <c r="Q110" s="65"/>
      <c r="R110" s="65"/>
      <c r="S110" s="65"/>
      <c r="T110" s="65"/>
      <c r="U110" s="65"/>
      <c r="V110" s="65"/>
      <c r="W110" s="65"/>
      <c r="X110" s="65"/>
      <c r="Y110" s="65"/>
      <c r="Z110" s="65"/>
      <c r="AA110" s="65"/>
      <c r="AB110" s="65"/>
      <c r="AC110" s="65"/>
      <c r="AD110" s="65"/>
      <c r="AE110" s="65"/>
      <c r="AF110" s="65"/>
      <c r="AG110" s="65"/>
      <c r="AH110" s="65"/>
      <c r="AI110" s="65"/>
      <c r="AJ110" s="65"/>
      <c r="AK110" s="65"/>
      <c r="AL110" s="65"/>
      <c r="AM110" s="65"/>
      <c r="AN110" s="65"/>
      <c r="AO110" s="65"/>
      <c r="AP110" s="65"/>
      <c r="AQ110" s="65"/>
      <c r="AR110" s="65"/>
      <c r="AS110" s="65"/>
      <c r="AT110" s="65"/>
      <c r="AU110" s="65"/>
      <c r="AV110" s="65"/>
      <c r="AW110" s="65"/>
      <c r="AX110" s="65"/>
    </row>
    <row r="111" spans="2:176" ht="12.75" customHeight="1" x14ac:dyDescent="0.2">
      <c r="C111" s="65"/>
      <c r="D111" s="65"/>
      <c r="E111" s="65"/>
      <c r="F111" s="65"/>
      <c r="G111" s="65"/>
      <c r="H111" s="65"/>
      <c r="I111" s="65"/>
      <c r="J111" s="65"/>
      <c r="K111" s="65"/>
      <c r="L111" s="65"/>
      <c r="M111" s="65"/>
      <c r="N111" s="65"/>
      <c r="O111" s="65"/>
      <c r="P111" s="65"/>
      <c r="Q111" s="65"/>
      <c r="R111" s="65"/>
      <c r="S111" s="65"/>
      <c r="T111" s="65"/>
      <c r="U111" s="65"/>
      <c r="V111" s="65"/>
      <c r="W111" s="65"/>
      <c r="X111" s="65"/>
      <c r="Y111" s="65"/>
      <c r="Z111" s="65"/>
      <c r="AA111" s="65"/>
      <c r="AB111" s="65"/>
      <c r="AC111" s="65"/>
      <c r="AD111" s="65"/>
      <c r="AE111" s="65"/>
      <c r="AF111" s="65"/>
      <c r="AG111" s="65"/>
      <c r="AH111" s="65"/>
      <c r="AI111" s="65"/>
      <c r="AJ111" s="65"/>
      <c r="AK111" s="65"/>
      <c r="AL111" s="65"/>
      <c r="AM111" s="65"/>
      <c r="AN111" s="65"/>
      <c r="AO111" s="65"/>
      <c r="AP111" s="65"/>
      <c r="AQ111" s="65"/>
      <c r="AR111" s="65"/>
      <c r="AS111" s="65"/>
      <c r="AT111" s="65"/>
      <c r="AU111" s="65"/>
      <c r="AV111" s="65"/>
      <c r="AW111" s="65"/>
      <c r="AX111" s="65"/>
    </row>
    <row r="112" spans="2:176" ht="12.75" customHeight="1" x14ac:dyDescent="0.2"/>
    <row r="999" spans="1:1" x14ac:dyDescent="0.2">
      <c r="A999" s="66"/>
    </row>
  </sheetData>
  <sheetProtection algorithmName="SHA-512" hashValue="356dM2eFQh7kG4DpK4cMAAf+f/8AFJsNfvV1g6i7r7AXOwyNdOw8dqX58AghsroZqXDamxt00tevVnqed4XqkA==" saltValue="VZ+JahGSxt67jIzC+Sye2w==" spinCount="100000" sheet="1" objects="1" scenarios="1" selectLockedCells="1"/>
  <mergeCells count="2465">
    <mergeCell ref="DG3:EK3"/>
    <mergeCell ref="EL3:FO3"/>
    <mergeCell ref="CN2:FO2"/>
    <mergeCell ref="CN3:CN4"/>
    <mergeCell ref="DA101:DC101"/>
    <mergeCell ref="DD101:DF101"/>
    <mergeCell ref="DA102:DC102"/>
    <mergeCell ref="DD102:DF102"/>
    <mergeCell ref="DA103:DC103"/>
    <mergeCell ref="DD103:DF103"/>
    <mergeCell ref="DA104:DC104"/>
    <mergeCell ref="DD104:DF104"/>
    <mergeCell ref="DA92:DC92"/>
    <mergeCell ref="DD92:DF92"/>
    <mergeCell ref="DA93:DC93"/>
    <mergeCell ref="DD93:DF93"/>
    <mergeCell ref="DA94:DC94"/>
    <mergeCell ref="DD94:DF94"/>
    <mergeCell ref="DA95:DC95"/>
    <mergeCell ref="DD95:DF95"/>
    <mergeCell ref="DA96:DC96"/>
    <mergeCell ref="DD96:DF96"/>
    <mergeCell ref="DA97:DC97"/>
    <mergeCell ref="DD97:DF97"/>
    <mergeCell ref="DA98:DC98"/>
    <mergeCell ref="DD98:DF98"/>
    <mergeCell ref="DA99:DC99"/>
    <mergeCell ref="DD99:DF99"/>
    <mergeCell ref="DA100:DC100"/>
    <mergeCell ref="DD100:DF100"/>
    <mergeCell ref="DA83:DC83"/>
    <mergeCell ref="DD83:DF83"/>
    <mergeCell ref="DA84:DC84"/>
    <mergeCell ref="DD84:DF84"/>
    <mergeCell ref="DA85:DC85"/>
    <mergeCell ref="DD85:DF85"/>
    <mergeCell ref="DA86:DC86"/>
    <mergeCell ref="DD86:DF86"/>
    <mergeCell ref="DA87:DC87"/>
    <mergeCell ref="DD87:DF87"/>
    <mergeCell ref="DA88:DC88"/>
    <mergeCell ref="DD88:DF88"/>
    <mergeCell ref="DA89:DC89"/>
    <mergeCell ref="DD89:DF89"/>
    <mergeCell ref="DA90:DC90"/>
    <mergeCell ref="DD90:DF90"/>
    <mergeCell ref="DA91:DC91"/>
    <mergeCell ref="DD91:DF91"/>
    <mergeCell ref="DA74:DC74"/>
    <mergeCell ref="DD74:DF74"/>
    <mergeCell ref="DA75:DC75"/>
    <mergeCell ref="DD75:DF75"/>
    <mergeCell ref="DA76:DC76"/>
    <mergeCell ref="DD76:DF76"/>
    <mergeCell ref="DA77:DC77"/>
    <mergeCell ref="DD77:DF77"/>
    <mergeCell ref="DA78:DC78"/>
    <mergeCell ref="DD78:DF78"/>
    <mergeCell ref="DA79:DC79"/>
    <mergeCell ref="DD79:DF79"/>
    <mergeCell ref="DA80:DC80"/>
    <mergeCell ref="DD80:DF80"/>
    <mergeCell ref="DA81:DC81"/>
    <mergeCell ref="DD81:DF81"/>
    <mergeCell ref="DA82:DC82"/>
    <mergeCell ref="DD82:DF82"/>
    <mergeCell ref="DA65:DC65"/>
    <mergeCell ref="DD65:DF65"/>
    <mergeCell ref="DA66:DC66"/>
    <mergeCell ref="DD66:DF66"/>
    <mergeCell ref="DA67:DC67"/>
    <mergeCell ref="DD67:DF67"/>
    <mergeCell ref="DA68:DC68"/>
    <mergeCell ref="DD68:DF68"/>
    <mergeCell ref="DA69:DC69"/>
    <mergeCell ref="DD69:DF69"/>
    <mergeCell ref="DA70:DC70"/>
    <mergeCell ref="DD70:DF70"/>
    <mergeCell ref="DA71:DC71"/>
    <mergeCell ref="DD71:DF71"/>
    <mergeCell ref="DA72:DC72"/>
    <mergeCell ref="DD72:DF72"/>
    <mergeCell ref="DA73:DC73"/>
    <mergeCell ref="DD73:DF73"/>
    <mergeCell ref="DA56:DC56"/>
    <mergeCell ref="DD56:DF56"/>
    <mergeCell ref="DA57:DC57"/>
    <mergeCell ref="DD57:DF57"/>
    <mergeCell ref="DA58:DC58"/>
    <mergeCell ref="DD58:DF58"/>
    <mergeCell ref="DA59:DC59"/>
    <mergeCell ref="DD59:DF59"/>
    <mergeCell ref="DA60:DC60"/>
    <mergeCell ref="DD60:DF60"/>
    <mergeCell ref="DA61:DC61"/>
    <mergeCell ref="DD61:DF61"/>
    <mergeCell ref="DA62:DC62"/>
    <mergeCell ref="DD62:DF62"/>
    <mergeCell ref="DA63:DC63"/>
    <mergeCell ref="DD63:DF63"/>
    <mergeCell ref="DA64:DC64"/>
    <mergeCell ref="DD64:DF64"/>
    <mergeCell ref="DA47:DC47"/>
    <mergeCell ref="DD47:DF47"/>
    <mergeCell ref="DA48:DC48"/>
    <mergeCell ref="DD48:DF48"/>
    <mergeCell ref="DA49:DC49"/>
    <mergeCell ref="DD49:DF49"/>
    <mergeCell ref="DA50:DC50"/>
    <mergeCell ref="DD50:DF50"/>
    <mergeCell ref="DA51:DC51"/>
    <mergeCell ref="DD51:DF51"/>
    <mergeCell ref="DA52:DC52"/>
    <mergeCell ref="DD52:DF52"/>
    <mergeCell ref="DA53:DC53"/>
    <mergeCell ref="DD53:DF53"/>
    <mergeCell ref="DA54:DC54"/>
    <mergeCell ref="DD54:DF54"/>
    <mergeCell ref="DA55:DC55"/>
    <mergeCell ref="DD55:DF55"/>
    <mergeCell ref="DA38:DC38"/>
    <mergeCell ref="DD38:DF38"/>
    <mergeCell ref="DA39:DC39"/>
    <mergeCell ref="DD39:DF39"/>
    <mergeCell ref="DA40:DC40"/>
    <mergeCell ref="DD40:DF40"/>
    <mergeCell ref="DA41:DC41"/>
    <mergeCell ref="DD41:DF41"/>
    <mergeCell ref="DA42:DC42"/>
    <mergeCell ref="DD42:DF42"/>
    <mergeCell ref="DA43:DC43"/>
    <mergeCell ref="DD43:DF43"/>
    <mergeCell ref="DA44:DC44"/>
    <mergeCell ref="DD44:DF44"/>
    <mergeCell ref="DA45:DC45"/>
    <mergeCell ref="DD45:DF45"/>
    <mergeCell ref="DA46:DC46"/>
    <mergeCell ref="DD46:DF46"/>
    <mergeCell ref="DA29:DC29"/>
    <mergeCell ref="DD29:DF29"/>
    <mergeCell ref="DA30:DC30"/>
    <mergeCell ref="DD30:DF30"/>
    <mergeCell ref="DA31:DC31"/>
    <mergeCell ref="DD31:DF31"/>
    <mergeCell ref="DA32:DC32"/>
    <mergeCell ref="DD32:DF32"/>
    <mergeCell ref="DA33:DC33"/>
    <mergeCell ref="DD33:DF33"/>
    <mergeCell ref="DA34:DC34"/>
    <mergeCell ref="DD34:DF34"/>
    <mergeCell ref="DA35:DC35"/>
    <mergeCell ref="DD35:DF35"/>
    <mergeCell ref="DA36:DC36"/>
    <mergeCell ref="DD36:DF36"/>
    <mergeCell ref="DA37:DC37"/>
    <mergeCell ref="DD37:DF37"/>
    <mergeCell ref="DA20:DC20"/>
    <mergeCell ref="DD20:DF20"/>
    <mergeCell ref="DA21:DC21"/>
    <mergeCell ref="DD21:DF21"/>
    <mergeCell ref="DA22:DC22"/>
    <mergeCell ref="DD22:DF22"/>
    <mergeCell ref="DA23:DC23"/>
    <mergeCell ref="DD23:DF23"/>
    <mergeCell ref="DA24:DC24"/>
    <mergeCell ref="DD24:DF24"/>
    <mergeCell ref="DA25:DC25"/>
    <mergeCell ref="DD25:DF25"/>
    <mergeCell ref="DA26:DC26"/>
    <mergeCell ref="DD26:DF26"/>
    <mergeCell ref="DA27:DC27"/>
    <mergeCell ref="DD27:DF27"/>
    <mergeCell ref="DA28:DC28"/>
    <mergeCell ref="DD28:DF28"/>
    <mergeCell ref="DA11:DC11"/>
    <mergeCell ref="DD11:DF11"/>
    <mergeCell ref="DA12:DC12"/>
    <mergeCell ref="DD12:DF12"/>
    <mergeCell ref="DA13:DC13"/>
    <mergeCell ref="DD13:DF13"/>
    <mergeCell ref="DA14:DC14"/>
    <mergeCell ref="DD14:DF14"/>
    <mergeCell ref="DA15:DC15"/>
    <mergeCell ref="DD15:DF15"/>
    <mergeCell ref="DA16:DC16"/>
    <mergeCell ref="DD16:DF16"/>
    <mergeCell ref="DA17:DC17"/>
    <mergeCell ref="DD17:DF17"/>
    <mergeCell ref="DA18:DC18"/>
    <mergeCell ref="DD18:DF18"/>
    <mergeCell ref="DA19:DC19"/>
    <mergeCell ref="DD19:DF19"/>
    <mergeCell ref="CR100:CT100"/>
    <mergeCell ref="CR101:CT101"/>
    <mergeCell ref="CR102:CT102"/>
    <mergeCell ref="CR103:CT103"/>
    <mergeCell ref="CR104:CT104"/>
    <mergeCell ref="CO100:CQ100"/>
    <mergeCell ref="CU100:CW100"/>
    <mergeCell ref="CX100:CZ100"/>
    <mergeCell ref="CO101:CQ101"/>
    <mergeCell ref="CU101:CW101"/>
    <mergeCell ref="CX101:CZ101"/>
    <mergeCell ref="CO102:CQ102"/>
    <mergeCell ref="CU102:CW102"/>
    <mergeCell ref="CX102:CZ102"/>
    <mergeCell ref="CO103:CQ103"/>
    <mergeCell ref="CU103:CW103"/>
    <mergeCell ref="CX103:CZ103"/>
    <mergeCell ref="CO104:CQ104"/>
    <mergeCell ref="CU104:CW104"/>
    <mergeCell ref="CX104:CZ104"/>
    <mergeCell ref="CO94:CQ94"/>
    <mergeCell ref="CU94:CW94"/>
    <mergeCell ref="CX94:CZ94"/>
    <mergeCell ref="CO95:CQ95"/>
    <mergeCell ref="CU95:CW95"/>
    <mergeCell ref="CX95:CZ95"/>
    <mergeCell ref="CO96:CQ96"/>
    <mergeCell ref="CU96:CW96"/>
    <mergeCell ref="CX96:CZ96"/>
    <mergeCell ref="CO97:CQ97"/>
    <mergeCell ref="CU97:CW97"/>
    <mergeCell ref="CX97:CZ97"/>
    <mergeCell ref="CO98:CQ98"/>
    <mergeCell ref="CU98:CW98"/>
    <mergeCell ref="CX98:CZ98"/>
    <mergeCell ref="CO99:CQ99"/>
    <mergeCell ref="CU99:CW99"/>
    <mergeCell ref="CX99:CZ99"/>
    <mergeCell ref="CR94:CT94"/>
    <mergeCell ref="CR95:CT95"/>
    <mergeCell ref="CR96:CT96"/>
    <mergeCell ref="CR97:CT97"/>
    <mergeCell ref="CR98:CT98"/>
    <mergeCell ref="CR99:CT99"/>
    <mergeCell ref="CO88:CQ88"/>
    <mergeCell ref="CU88:CW88"/>
    <mergeCell ref="CX88:CZ88"/>
    <mergeCell ref="CO89:CQ89"/>
    <mergeCell ref="CU89:CW89"/>
    <mergeCell ref="CX89:CZ89"/>
    <mergeCell ref="CO90:CQ90"/>
    <mergeCell ref="CU90:CW90"/>
    <mergeCell ref="CX90:CZ90"/>
    <mergeCell ref="CO91:CQ91"/>
    <mergeCell ref="CU91:CW91"/>
    <mergeCell ref="CX91:CZ91"/>
    <mergeCell ref="CO92:CQ92"/>
    <mergeCell ref="CU92:CW92"/>
    <mergeCell ref="CX92:CZ92"/>
    <mergeCell ref="CO93:CQ93"/>
    <mergeCell ref="CU93:CW93"/>
    <mergeCell ref="CX93:CZ93"/>
    <mergeCell ref="CR88:CT88"/>
    <mergeCell ref="CR89:CT89"/>
    <mergeCell ref="CR90:CT90"/>
    <mergeCell ref="CR91:CT91"/>
    <mergeCell ref="CR92:CT92"/>
    <mergeCell ref="CR93:CT93"/>
    <mergeCell ref="CO82:CQ82"/>
    <mergeCell ref="CU82:CW82"/>
    <mergeCell ref="CX82:CZ82"/>
    <mergeCell ref="CO83:CQ83"/>
    <mergeCell ref="CU83:CW83"/>
    <mergeCell ref="CX83:CZ83"/>
    <mergeCell ref="CO84:CQ84"/>
    <mergeCell ref="CU84:CW84"/>
    <mergeCell ref="CX84:CZ84"/>
    <mergeCell ref="CO85:CQ85"/>
    <mergeCell ref="CU85:CW85"/>
    <mergeCell ref="CX85:CZ85"/>
    <mergeCell ref="CO86:CQ86"/>
    <mergeCell ref="CU86:CW86"/>
    <mergeCell ref="CX86:CZ86"/>
    <mergeCell ref="CO87:CQ87"/>
    <mergeCell ref="CU87:CW87"/>
    <mergeCell ref="CX87:CZ87"/>
    <mergeCell ref="CR82:CT82"/>
    <mergeCell ref="CR83:CT83"/>
    <mergeCell ref="CR84:CT84"/>
    <mergeCell ref="CR85:CT85"/>
    <mergeCell ref="CR86:CT86"/>
    <mergeCell ref="CR87:CT87"/>
    <mergeCell ref="CO76:CQ76"/>
    <mergeCell ref="CU76:CW76"/>
    <mergeCell ref="CX76:CZ76"/>
    <mergeCell ref="CO77:CQ77"/>
    <mergeCell ref="CU77:CW77"/>
    <mergeCell ref="CX77:CZ77"/>
    <mergeCell ref="CO78:CQ78"/>
    <mergeCell ref="CU78:CW78"/>
    <mergeCell ref="CX78:CZ78"/>
    <mergeCell ref="CO79:CQ79"/>
    <mergeCell ref="CU79:CW79"/>
    <mergeCell ref="CX79:CZ79"/>
    <mergeCell ref="CO80:CQ80"/>
    <mergeCell ref="CU80:CW80"/>
    <mergeCell ref="CX80:CZ80"/>
    <mergeCell ref="CO81:CQ81"/>
    <mergeCell ref="CU81:CW81"/>
    <mergeCell ref="CX81:CZ81"/>
    <mergeCell ref="CR76:CT76"/>
    <mergeCell ref="CR77:CT77"/>
    <mergeCell ref="CR78:CT78"/>
    <mergeCell ref="CR79:CT79"/>
    <mergeCell ref="CR80:CT80"/>
    <mergeCell ref="CR81:CT81"/>
    <mergeCell ref="CO70:CQ70"/>
    <mergeCell ref="CU70:CW70"/>
    <mergeCell ref="CX70:CZ70"/>
    <mergeCell ref="CO71:CQ71"/>
    <mergeCell ref="CU71:CW71"/>
    <mergeCell ref="CX71:CZ71"/>
    <mergeCell ref="CO72:CQ72"/>
    <mergeCell ref="CU72:CW72"/>
    <mergeCell ref="CX72:CZ72"/>
    <mergeCell ref="CO73:CQ73"/>
    <mergeCell ref="CU73:CW73"/>
    <mergeCell ref="CX73:CZ73"/>
    <mergeCell ref="CO74:CQ74"/>
    <mergeCell ref="CU74:CW74"/>
    <mergeCell ref="CX74:CZ74"/>
    <mergeCell ref="CO75:CQ75"/>
    <mergeCell ref="CU75:CW75"/>
    <mergeCell ref="CX75:CZ75"/>
    <mergeCell ref="CR70:CT70"/>
    <mergeCell ref="CR71:CT71"/>
    <mergeCell ref="CR72:CT72"/>
    <mergeCell ref="CR73:CT73"/>
    <mergeCell ref="CR74:CT74"/>
    <mergeCell ref="CR75:CT75"/>
    <mergeCell ref="CO64:CQ64"/>
    <mergeCell ref="CU64:CW64"/>
    <mergeCell ref="CX64:CZ64"/>
    <mergeCell ref="CO65:CQ65"/>
    <mergeCell ref="CU65:CW65"/>
    <mergeCell ref="CX65:CZ65"/>
    <mergeCell ref="CO66:CQ66"/>
    <mergeCell ref="CU66:CW66"/>
    <mergeCell ref="CX66:CZ66"/>
    <mergeCell ref="CO67:CQ67"/>
    <mergeCell ref="CU67:CW67"/>
    <mergeCell ref="CX67:CZ67"/>
    <mergeCell ref="CO68:CQ68"/>
    <mergeCell ref="CU68:CW68"/>
    <mergeCell ref="CX68:CZ68"/>
    <mergeCell ref="CO69:CQ69"/>
    <mergeCell ref="CU69:CW69"/>
    <mergeCell ref="CX69:CZ69"/>
    <mergeCell ref="CR64:CT64"/>
    <mergeCell ref="CR65:CT65"/>
    <mergeCell ref="CR66:CT66"/>
    <mergeCell ref="CR67:CT67"/>
    <mergeCell ref="CR68:CT68"/>
    <mergeCell ref="CR69:CT69"/>
    <mergeCell ref="CO58:CQ58"/>
    <mergeCell ref="CU58:CW58"/>
    <mergeCell ref="CX58:CZ58"/>
    <mergeCell ref="CO59:CQ59"/>
    <mergeCell ref="CU59:CW59"/>
    <mergeCell ref="CX59:CZ59"/>
    <mergeCell ref="CO60:CQ60"/>
    <mergeCell ref="CU60:CW60"/>
    <mergeCell ref="CX60:CZ60"/>
    <mergeCell ref="CO61:CQ61"/>
    <mergeCell ref="CU61:CW61"/>
    <mergeCell ref="CX61:CZ61"/>
    <mergeCell ref="CO62:CQ62"/>
    <mergeCell ref="CU62:CW62"/>
    <mergeCell ref="CX62:CZ62"/>
    <mergeCell ref="CO63:CQ63"/>
    <mergeCell ref="CU63:CW63"/>
    <mergeCell ref="CX63:CZ63"/>
    <mergeCell ref="CR58:CT58"/>
    <mergeCell ref="CR59:CT59"/>
    <mergeCell ref="CR60:CT60"/>
    <mergeCell ref="CR61:CT61"/>
    <mergeCell ref="CR62:CT62"/>
    <mergeCell ref="CR63:CT63"/>
    <mergeCell ref="CO52:CQ52"/>
    <mergeCell ref="CU52:CW52"/>
    <mergeCell ref="CX52:CZ52"/>
    <mergeCell ref="CO53:CQ53"/>
    <mergeCell ref="CU53:CW53"/>
    <mergeCell ref="CX53:CZ53"/>
    <mergeCell ref="CO54:CQ54"/>
    <mergeCell ref="CU54:CW54"/>
    <mergeCell ref="CX54:CZ54"/>
    <mergeCell ref="CO55:CQ55"/>
    <mergeCell ref="CU55:CW55"/>
    <mergeCell ref="CX55:CZ55"/>
    <mergeCell ref="CO56:CQ56"/>
    <mergeCell ref="CU56:CW56"/>
    <mergeCell ref="CX56:CZ56"/>
    <mergeCell ref="CO57:CQ57"/>
    <mergeCell ref="CU57:CW57"/>
    <mergeCell ref="CX57:CZ57"/>
    <mergeCell ref="CR52:CT52"/>
    <mergeCell ref="CR53:CT53"/>
    <mergeCell ref="CR54:CT54"/>
    <mergeCell ref="CR55:CT55"/>
    <mergeCell ref="CR56:CT56"/>
    <mergeCell ref="CR57:CT57"/>
    <mergeCell ref="CO46:CQ46"/>
    <mergeCell ref="CU46:CW46"/>
    <mergeCell ref="CX46:CZ46"/>
    <mergeCell ref="CO47:CQ47"/>
    <mergeCell ref="CU47:CW47"/>
    <mergeCell ref="CX47:CZ47"/>
    <mergeCell ref="CO48:CQ48"/>
    <mergeCell ref="CU48:CW48"/>
    <mergeCell ref="CX48:CZ48"/>
    <mergeCell ref="CO49:CQ49"/>
    <mergeCell ref="CU49:CW49"/>
    <mergeCell ref="CX49:CZ49"/>
    <mergeCell ref="CO50:CQ50"/>
    <mergeCell ref="CU50:CW50"/>
    <mergeCell ref="CX50:CZ50"/>
    <mergeCell ref="CO51:CQ51"/>
    <mergeCell ref="CU51:CW51"/>
    <mergeCell ref="CX51:CZ51"/>
    <mergeCell ref="CR46:CT46"/>
    <mergeCell ref="CR47:CT47"/>
    <mergeCell ref="CR48:CT48"/>
    <mergeCell ref="CR49:CT49"/>
    <mergeCell ref="CR50:CT50"/>
    <mergeCell ref="CR51:CT51"/>
    <mergeCell ref="CO40:CQ40"/>
    <mergeCell ref="CU40:CW40"/>
    <mergeCell ref="CX40:CZ40"/>
    <mergeCell ref="CO41:CQ41"/>
    <mergeCell ref="CU41:CW41"/>
    <mergeCell ref="CX41:CZ41"/>
    <mergeCell ref="CO42:CQ42"/>
    <mergeCell ref="CU42:CW42"/>
    <mergeCell ref="CX42:CZ42"/>
    <mergeCell ref="CO43:CQ43"/>
    <mergeCell ref="CU43:CW43"/>
    <mergeCell ref="CX43:CZ43"/>
    <mergeCell ref="CO44:CQ44"/>
    <mergeCell ref="CU44:CW44"/>
    <mergeCell ref="CX44:CZ44"/>
    <mergeCell ref="CO45:CQ45"/>
    <mergeCell ref="CU45:CW45"/>
    <mergeCell ref="CX45:CZ45"/>
    <mergeCell ref="CR40:CT40"/>
    <mergeCell ref="CR41:CT41"/>
    <mergeCell ref="CR42:CT42"/>
    <mergeCell ref="CR43:CT43"/>
    <mergeCell ref="CR44:CT44"/>
    <mergeCell ref="CR45:CT45"/>
    <mergeCell ref="CO34:CQ34"/>
    <mergeCell ref="CU34:CW34"/>
    <mergeCell ref="CX34:CZ34"/>
    <mergeCell ref="CO35:CQ35"/>
    <mergeCell ref="CU35:CW35"/>
    <mergeCell ref="CX35:CZ35"/>
    <mergeCell ref="CO36:CQ36"/>
    <mergeCell ref="CU36:CW36"/>
    <mergeCell ref="CX36:CZ36"/>
    <mergeCell ref="CO37:CQ37"/>
    <mergeCell ref="CU37:CW37"/>
    <mergeCell ref="CX37:CZ37"/>
    <mergeCell ref="CO38:CQ38"/>
    <mergeCell ref="CU38:CW38"/>
    <mergeCell ref="CX38:CZ38"/>
    <mergeCell ref="CO39:CQ39"/>
    <mergeCell ref="CU39:CW39"/>
    <mergeCell ref="CX39:CZ39"/>
    <mergeCell ref="CR34:CT34"/>
    <mergeCell ref="CR35:CT35"/>
    <mergeCell ref="CR36:CT36"/>
    <mergeCell ref="CR37:CT37"/>
    <mergeCell ref="CR38:CT38"/>
    <mergeCell ref="CR39:CT39"/>
    <mergeCell ref="CO28:CQ28"/>
    <mergeCell ref="CU28:CW28"/>
    <mergeCell ref="CX28:CZ28"/>
    <mergeCell ref="CO29:CQ29"/>
    <mergeCell ref="CU29:CW29"/>
    <mergeCell ref="CX29:CZ29"/>
    <mergeCell ref="CO30:CQ30"/>
    <mergeCell ref="CU30:CW30"/>
    <mergeCell ref="CX30:CZ30"/>
    <mergeCell ref="CO31:CQ31"/>
    <mergeCell ref="CU31:CW31"/>
    <mergeCell ref="CX31:CZ31"/>
    <mergeCell ref="CO32:CQ32"/>
    <mergeCell ref="CU32:CW32"/>
    <mergeCell ref="CX32:CZ32"/>
    <mergeCell ref="CO33:CQ33"/>
    <mergeCell ref="CU33:CW33"/>
    <mergeCell ref="CX33:CZ33"/>
    <mergeCell ref="CR28:CT28"/>
    <mergeCell ref="CR29:CT29"/>
    <mergeCell ref="CR30:CT30"/>
    <mergeCell ref="CR31:CT31"/>
    <mergeCell ref="CR32:CT32"/>
    <mergeCell ref="CR33:CT33"/>
    <mergeCell ref="CO22:CQ22"/>
    <mergeCell ref="CU22:CW22"/>
    <mergeCell ref="CX22:CZ22"/>
    <mergeCell ref="CO23:CQ23"/>
    <mergeCell ref="CU23:CW23"/>
    <mergeCell ref="CX23:CZ23"/>
    <mergeCell ref="CO24:CQ24"/>
    <mergeCell ref="CU24:CW24"/>
    <mergeCell ref="CX24:CZ24"/>
    <mergeCell ref="CO25:CQ25"/>
    <mergeCell ref="CU25:CW25"/>
    <mergeCell ref="CX25:CZ25"/>
    <mergeCell ref="CO26:CQ26"/>
    <mergeCell ref="CU26:CW26"/>
    <mergeCell ref="CX26:CZ26"/>
    <mergeCell ref="CO27:CQ27"/>
    <mergeCell ref="CU27:CW27"/>
    <mergeCell ref="CX27:CZ27"/>
    <mergeCell ref="CR22:CT22"/>
    <mergeCell ref="CR23:CT23"/>
    <mergeCell ref="CR24:CT24"/>
    <mergeCell ref="CR25:CT25"/>
    <mergeCell ref="CR26:CT26"/>
    <mergeCell ref="CR27:CT27"/>
    <mergeCell ref="CO16:CQ16"/>
    <mergeCell ref="CU16:CW16"/>
    <mergeCell ref="CX16:CZ16"/>
    <mergeCell ref="CO17:CQ17"/>
    <mergeCell ref="CU17:CW17"/>
    <mergeCell ref="CX17:CZ17"/>
    <mergeCell ref="CO18:CQ18"/>
    <mergeCell ref="CU18:CW18"/>
    <mergeCell ref="CX18:CZ18"/>
    <mergeCell ref="CO19:CQ19"/>
    <mergeCell ref="CU19:CW19"/>
    <mergeCell ref="CX19:CZ19"/>
    <mergeCell ref="CO20:CQ20"/>
    <mergeCell ref="CU20:CW20"/>
    <mergeCell ref="CX20:CZ20"/>
    <mergeCell ref="CO21:CQ21"/>
    <mergeCell ref="CU21:CW21"/>
    <mergeCell ref="CX21:CZ21"/>
    <mergeCell ref="CR21:CT21"/>
    <mergeCell ref="CR16:CT16"/>
    <mergeCell ref="CR17:CT17"/>
    <mergeCell ref="CR18:CT18"/>
    <mergeCell ref="CR19:CT19"/>
    <mergeCell ref="CR20:CT20"/>
    <mergeCell ref="CO12:CQ12"/>
    <mergeCell ref="CU12:CW12"/>
    <mergeCell ref="CX12:CZ12"/>
    <mergeCell ref="CO13:CQ13"/>
    <mergeCell ref="CU13:CW13"/>
    <mergeCell ref="CX13:CZ13"/>
    <mergeCell ref="CO14:CQ14"/>
    <mergeCell ref="CU14:CW14"/>
    <mergeCell ref="CX14:CZ14"/>
    <mergeCell ref="CO15:CQ15"/>
    <mergeCell ref="CU15:CW15"/>
    <mergeCell ref="CX15:CZ15"/>
    <mergeCell ref="CR10:CT10"/>
    <mergeCell ref="CR11:CT11"/>
    <mergeCell ref="CR12:CT12"/>
    <mergeCell ref="CR13:CT13"/>
    <mergeCell ref="CR14:CT14"/>
    <mergeCell ref="CR15:CT15"/>
    <mergeCell ref="CO8:CQ8"/>
    <mergeCell ref="CU8:CW8"/>
    <mergeCell ref="CX8:CZ8"/>
    <mergeCell ref="CO9:CQ9"/>
    <mergeCell ref="CU9:CW9"/>
    <mergeCell ref="CX9:CZ9"/>
    <mergeCell ref="CR4:CT4"/>
    <mergeCell ref="CR5:CT5"/>
    <mergeCell ref="CR6:CT6"/>
    <mergeCell ref="CR7:CT7"/>
    <mergeCell ref="CR8:CT8"/>
    <mergeCell ref="CR9:CT9"/>
    <mergeCell ref="CO10:CQ10"/>
    <mergeCell ref="CU10:CW10"/>
    <mergeCell ref="CX10:CZ10"/>
    <mergeCell ref="CO11:CQ11"/>
    <mergeCell ref="CU11:CW11"/>
    <mergeCell ref="CX11:CZ11"/>
    <mergeCell ref="CO7:CQ7"/>
    <mergeCell ref="CU7:CW7"/>
    <mergeCell ref="CX7:CZ7"/>
    <mergeCell ref="CO4:CQ4"/>
    <mergeCell ref="CU4:CW4"/>
    <mergeCell ref="CX4:CZ4"/>
    <mergeCell ref="CO5:CQ5"/>
    <mergeCell ref="CU5:CW5"/>
    <mergeCell ref="CX5:CZ5"/>
    <mergeCell ref="CO6:CQ6"/>
    <mergeCell ref="CU6:CW6"/>
    <mergeCell ref="CX6:CZ6"/>
    <mergeCell ref="AZ85:BC85"/>
    <mergeCell ref="AZ86:BC86"/>
    <mergeCell ref="AZ87:BC87"/>
    <mergeCell ref="AZ88:BC88"/>
    <mergeCell ref="AZ89:BC89"/>
    <mergeCell ref="AZ90:BC90"/>
    <mergeCell ref="AZ91:BC91"/>
    <mergeCell ref="AZ92:BC92"/>
    <mergeCell ref="AZ93:BC93"/>
    <mergeCell ref="AZ94:BC94"/>
    <mergeCell ref="AZ95:BC95"/>
    <mergeCell ref="AZ102:BC102"/>
    <mergeCell ref="AZ103:BC103"/>
    <mergeCell ref="AZ104:BC104"/>
    <mergeCell ref="AZ96:BC96"/>
    <mergeCell ref="AZ97:BC97"/>
    <mergeCell ref="AZ98:BC98"/>
    <mergeCell ref="AZ99:BC99"/>
    <mergeCell ref="AZ100:BC100"/>
    <mergeCell ref="AZ101:BC101"/>
    <mergeCell ref="AZ68:BC68"/>
    <mergeCell ref="AZ69:BC69"/>
    <mergeCell ref="AZ70:BC70"/>
    <mergeCell ref="AZ71:BC71"/>
    <mergeCell ref="AZ72:BC72"/>
    <mergeCell ref="AZ73:BC73"/>
    <mergeCell ref="AZ74:BC74"/>
    <mergeCell ref="AZ75:BC75"/>
    <mergeCell ref="AZ76:BC76"/>
    <mergeCell ref="AZ77:BC77"/>
    <mergeCell ref="AZ78:BC78"/>
    <mergeCell ref="AZ79:BC79"/>
    <mergeCell ref="AZ80:BC80"/>
    <mergeCell ref="AZ81:BC81"/>
    <mergeCell ref="AZ82:BC82"/>
    <mergeCell ref="AZ83:BC83"/>
    <mergeCell ref="AZ84:BC84"/>
    <mergeCell ref="AZ51:BC51"/>
    <mergeCell ref="AZ52:BC52"/>
    <mergeCell ref="AZ53:BC53"/>
    <mergeCell ref="AZ54:BC54"/>
    <mergeCell ref="AZ55:BC55"/>
    <mergeCell ref="AZ56:BC56"/>
    <mergeCell ref="AZ57:BC57"/>
    <mergeCell ref="AZ58:BC58"/>
    <mergeCell ref="AZ59:BC59"/>
    <mergeCell ref="AZ60:BC60"/>
    <mergeCell ref="AZ61:BC61"/>
    <mergeCell ref="AZ62:BC62"/>
    <mergeCell ref="AZ63:BC63"/>
    <mergeCell ref="AZ64:BC64"/>
    <mergeCell ref="AZ65:BC65"/>
    <mergeCell ref="AZ66:BC66"/>
    <mergeCell ref="AZ67:BC67"/>
    <mergeCell ref="AZ34:BC34"/>
    <mergeCell ref="AZ35:BC35"/>
    <mergeCell ref="AZ36:BC36"/>
    <mergeCell ref="AZ37:BC37"/>
    <mergeCell ref="AZ38:BC38"/>
    <mergeCell ref="AZ39:BC39"/>
    <mergeCell ref="AZ40:BC40"/>
    <mergeCell ref="AZ41:BC41"/>
    <mergeCell ref="AZ42:BC42"/>
    <mergeCell ref="AZ43:BC43"/>
    <mergeCell ref="AZ44:BC44"/>
    <mergeCell ref="AZ45:BC45"/>
    <mergeCell ref="AZ46:BC46"/>
    <mergeCell ref="AZ47:BC47"/>
    <mergeCell ref="AZ48:BC48"/>
    <mergeCell ref="AZ49:BC49"/>
    <mergeCell ref="AZ50:BC50"/>
    <mergeCell ref="BD104:BF104"/>
    <mergeCell ref="BG104:BK104"/>
    <mergeCell ref="BL104:BO104"/>
    <mergeCell ref="BP104:BQ104"/>
    <mergeCell ref="BR104:BT104"/>
    <mergeCell ref="AZ4:BC4"/>
    <mergeCell ref="AZ5:BC5"/>
    <mergeCell ref="AZ6:BC6"/>
    <mergeCell ref="AZ7:BC7"/>
    <mergeCell ref="BD102:BF102"/>
    <mergeCell ref="AZ12:BC12"/>
    <mergeCell ref="AZ13:BC13"/>
    <mergeCell ref="AZ14:BC14"/>
    <mergeCell ref="AZ15:BC15"/>
    <mergeCell ref="AZ16:BC16"/>
    <mergeCell ref="AZ17:BC17"/>
    <mergeCell ref="AZ18:BC18"/>
    <mergeCell ref="AZ19:BC19"/>
    <mergeCell ref="AZ20:BC20"/>
    <mergeCell ref="AZ21:BC21"/>
    <mergeCell ref="AZ22:BC22"/>
    <mergeCell ref="AZ23:BC23"/>
    <mergeCell ref="AZ24:BC24"/>
    <mergeCell ref="AZ25:BC25"/>
    <mergeCell ref="AZ26:BC26"/>
    <mergeCell ref="AZ27:BC27"/>
    <mergeCell ref="AZ28:BC28"/>
    <mergeCell ref="AZ29:BC29"/>
    <mergeCell ref="AZ30:BC30"/>
    <mergeCell ref="AZ31:BC31"/>
    <mergeCell ref="AZ32:BC32"/>
    <mergeCell ref="AZ33:BC33"/>
    <mergeCell ref="BD100:BF100"/>
    <mergeCell ref="BG100:BK100"/>
    <mergeCell ref="BL100:BO100"/>
    <mergeCell ref="BP100:BQ100"/>
    <mergeCell ref="BR100:BT100"/>
    <mergeCell ref="BD101:BF101"/>
    <mergeCell ref="BG101:BK101"/>
    <mergeCell ref="BL101:BO101"/>
    <mergeCell ref="BP101:BQ101"/>
    <mergeCell ref="BR101:BT101"/>
    <mergeCell ref="BG102:BK102"/>
    <mergeCell ref="BL102:BO102"/>
    <mergeCell ref="BP102:BQ102"/>
    <mergeCell ref="BR102:BT102"/>
    <mergeCell ref="BD103:BF103"/>
    <mergeCell ref="BG103:BK103"/>
    <mergeCell ref="BL103:BO103"/>
    <mergeCell ref="BP103:BQ103"/>
    <mergeCell ref="BR103:BT103"/>
    <mergeCell ref="BD96:BF96"/>
    <mergeCell ref="BG96:BK96"/>
    <mergeCell ref="BL96:BO96"/>
    <mergeCell ref="BP96:BQ96"/>
    <mergeCell ref="BR96:BT96"/>
    <mergeCell ref="BD97:BF97"/>
    <mergeCell ref="BG97:BK97"/>
    <mergeCell ref="BL97:BO97"/>
    <mergeCell ref="BP97:BQ97"/>
    <mergeCell ref="BR97:BT97"/>
    <mergeCell ref="BD98:BF98"/>
    <mergeCell ref="BG98:BK98"/>
    <mergeCell ref="BL98:BO98"/>
    <mergeCell ref="BP98:BQ98"/>
    <mergeCell ref="BR98:BT98"/>
    <mergeCell ref="BD99:BF99"/>
    <mergeCell ref="BG99:BK99"/>
    <mergeCell ref="BL99:BO99"/>
    <mergeCell ref="BP99:BQ99"/>
    <mergeCell ref="BR99:BT99"/>
    <mergeCell ref="BD92:BF92"/>
    <mergeCell ref="BG92:BK92"/>
    <mergeCell ref="BL92:BO92"/>
    <mergeCell ref="BP92:BQ92"/>
    <mergeCell ref="BR92:BT92"/>
    <mergeCell ref="BD93:BF93"/>
    <mergeCell ref="BG93:BK93"/>
    <mergeCell ref="BL93:BO93"/>
    <mergeCell ref="BP93:BQ93"/>
    <mergeCell ref="BR93:BT93"/>
    <mergeCell ref="BD94:BF94"/>
    <mergeCell ref="BG94:BK94"/>
    <mergeCell ref="BL94:BO94"/>
    <mergeCell ref="BP94:BQ94"/>
    <mergeCell ref="BR94:BT94"/>
    <mergeCell ref="BD95:BF95"/>
    <mergeCell ref="BG95:BK95"/>
    <mergeCell ref="BL95:BO95"/>
    <mergeCell ref="BP95:BQ95"/>
    <mergeCell ref="BR95:BT95"/>
    <mergeCell ref="BD88:BF88"/>
    <mergeCell ref="BG88:BK88"/>
    <mergeCell ref="BL88:BO88"/>
    <mergeCell ref="BP88:BQ88"/>
    <mergeCell ref="BR88:BT88"/>
    <mergeCell ref="BD89:BF89"/>
    <mergeCell ref="BG89:BK89"/>
    <mergeCell ref="BL89:BO89"/>
    <mergeCell ref="BP89:BQ89"/>
    <mergeCell ref="BR89:BT89"/>
    <mergeCell ref="BD90:BF90"/>
    <mergeCell ref="BG90:BK90"/>
    <mergeCell ref="BL90:BO90"/>
    <mergeCell ref="BP90:BQ90"/>
    <mergeCell ref="BR90:BT90"/>
    <mergeCell ref="BD91:BF91"/>
    <mergeCell ref="BG91:BK91"/>
    <mergeCell ref="BL91:BO91"/>
    <mergeCell ref="BP91:BQ91"/>
    <mergeCell ref="BR91:BT91"/>
    <mergeCell ref="BD84:BF84"/>
    <mergeCell ref="BG84:BK84"/>
    <mergeCell ref="BL84:BO84"/>
    <mergeCell ref="BP84:BQ84"/>
    <mergeCell ref="BR84:BT84"/>
    <mergeCell ref="BD85:BF85"/>
    <mergeCell ref="BG85:BK85"/>
    <mergeCell ref="BL85:BO85"/>
    <mergeCell ref="BP85:BQ85"/>
    <mergeCell ref="BR85:BT85"/>
    <mergeCell ref="BD86:BF86"/>
    <mergeCell ref="BG86:BK86"/>
    <mergeCell ref="BL86:BO86"/>
    <mergeCell ref="BP86:BQ86"/>
    <mergeCell ref="BR86:BT86"/>
    <mergeCell ref="BD87:BF87"/>
    <mergeCell ref="BG87:BK87"/>
    <mergeCell ref="BL87:BO87"/>
    <mergeCell ref="BP87:BQ87"/>
    <mergeCell ref="BR87:BT87"/>
    <mergeCell ref="BD80:BF80"/>
    <mergeCell ref="BG80:BK80"/>
    <mergeCell ref="BL80:BO80"/>
    <mergeCell ref="BP80:BQ80"/>
    <mergeCell ref="BR80:BT80"/>
    <mergeCell ref="BD81:BF81"/>
    <mergeCell ref="BG81:BK81"/>
    <mergeCell ref="BL81:BO81"/>
    <mergeCell ref="BP81:BQ81"/>
    <mergeCell ref="BR81:BT81"/>
    <mergeCell ref="BD82:BF82"/>
    <mergeCell ref="BG82:BK82"/>
    <mergeCell ref="BL82:BO82"/>
    <mergeCell ref="BP82:BQ82"/>
    <mergeCell ref="BR82:BT82"/>
    <mergeCell ref="BD83:BF83"/>
    <mergeCell ref="BG83:BK83"/>
    <mergeCell ref="BL83:BO83"/>
    <mergeCell ref="BP83:BQ83"/>
    <mergeCell ref="BR83:BT83"/>
    <mergeCell ref="BD76:BF76"/>
    <mergeCell ref="BG76:BK76"/>
    <mergeCell ref="BL76:BO76"/>
    <mergeCell ref="BP76:BQ76"/>
    <mergeCell ref="BR76:BT76"/>
    <mergeCell ref="BD77:BF77"/>
    <mergeCell ref="BG77:BK77"/>
    <mergeCell ref="BL77:BO77"/>
    <mergeCell ref="BP77:BQ77"/>
    <mergeCell ref="BR77:BT77"/>
    <mergeCell ref="BD78:BF78"/>
    <mergeCell ref="BG78:BK78"/>
    <mergeCell ref="BL78:BO78"/>
    <mergeCell ref="BP78:BQ78"/>
    <mergeCell ref="BR78:BT78"/>
    <mergeCell ref="BD79:BF79"/>
    <mergeCell ref="BG79:BK79"/>
    <mergeCell ref="BL79:BO79"/>
    <mergeCell ref="BP79:BQ79"/>
    <mergeCell ref="BR79:BT79"/>
    <mergeCell ref="BD72:BF72"/>
    <mergeCell ref="BG72:BK72"/>
    <mergeCell ref="BL72:BO72"/>
    <mergeCell ref="BP72:BQ72"/>
    <mergeCell ref="BR72:BT72"/>
    <mergeCell ref="BD73:BF73"/>
    <mergeCell ref="BG73:BK73"/>
    <mergeCell ref="BL73:BO73"/>
    <mergeCell ref="BP73:BQ73"/>
    <mergeCell ref="BR73:BT73"/>
    <mergeCell ref="BD74:BF74"/>
    <mergeCell ref="BG74:BK74"/>
    <mergeCell ref="BL74:BO74"/>
    <mergeCell ref="BP74:BQ74"/>
    <mergeCell ref="BR74:BT74"/>
    <mergeCell ref="BD75:BF75"/>
    <mergeCell ref="BG75:BK75"/>
    <mergeCell ref="BL75:BO75"/>
    <mergeCell ref="BP75:BQ75"/>
    <mergeCell ref="BR75:BT75"/>
    <mergeCell ref="BD68:BF68"/>
    <mergeCell ref="BG68:BK68"/>
    <mergeCell ref="BL68:BO68"/>
    <mergeCell ref="BP68:BQ68"/>
    <mergeCell ref="BR68:BT68"/>
    <mergeCell ref="BD69:BF69"/>
    <mergeCell ref="BG69:BK69"/>
    <mergeCell ref="BL69:BO69"/>
    <mergeCell ref="BP69:BQ69"/>
    <mergeCell ref="BR69:BT69"/>
    <mergeCell ref="BD70:BF70"/>
    <mergeCell ref="BG70:BK70"/>
    <mergeCell ref="BL70:BO70"/>
    <mergeCell ref="BP70:BQ70"/>
    <mergeCell ref="BR70:BT70"/>
    <mergeCell ref="BD71:BF71"/>
    <mergeCell ref="BG71:BK71"/>
    <mergeCell ref="BL71:BO71"/>
    <mergeCell ref="BP71:BQ71"/>
    <mergeCell ref="BR71:BT71"/>
    <mergeCell ref="BD65:BF65"/>
    <mergeCell ref="BG65:BK65"/>
    <mergeCell ref="BL65:BO65"/>
    <mergeCell ref="BP65:BQ65"/>
    <mergeCell ref="BR65:BT65"/>
    <mergeCell ref="BD66:BF66"/>
    <mergeCell ref="BG66:BK66"/>
    <mergeCell ref="BL66:BO66"/>
    <mergeCell ref="BP66:BQ66"/>
    <mergeCell ref="BR66:BT66"/>
    <mergeCell ref="BD67:BF67"/>
    <mergeCell ref="BG67:BK67"/>
    <mergeCell ref="BL67:BO67"/>
    <mergeCell ref="BP67:BQ67"/>
    <mergeCell ref="BR67:BT67"/>
    <mergeCell ref="BD64:BF64"/>
    <mergeCell ref="BG64:BK64"/>
    <mergeCell ref="BD62:BF62"/>
    <mergeCell ref="BG62:BK62"/>
    <mergeCell ref="BL62:BO62"/>
    <mergeCell ref="BP62:BQ62"/>
    <mergeCell ref="BR62:BT62"/>
    <mergeCell ref="BD63:BF63"/>
    <mergeCell ref="BG63:BK63"/>
    <mergeCell ref="BL63:BO63"/>
    <mergeCell ref="BP63:BQ63"/>
    <mergeCell ref="BR63:BT63"/>
    <mergeCell ref="BD60:BF60"/>
    <mergeCell ref="BG60:BK60"/>
    <mergeCell ref="BL60:BO60"/>
    <mergeCell ref="BP60:BQ60"/>
    <mergeCell ref="BR60:BT60"/>
    <mergeCell ref="BL64:BO64"/>
    <mergeCell ref="BP64:BQ64"/>
    <mergeCell ref="BR64:BT64"/>
    <mergeCell ref="BD58:BF58"/>
    <mergeCell ref="BG58:BK58"/>
    <mergeCell ref="BL58:BO58"/>
    <mergeCell ref="BP58:BQ58"/>
    <mergeCell ref="BR58:BT58"/>
    <mergeCell ref="BD59:BF59"/>
    <mergeCell ref="BG59:BK59"/>
    <mergeCell ref="BL59:BO59"/>
    <mergeCell ref="BP59:BQ59"/>
    <mergeCell ref="BR59:BT59"/>
    <mergeCell ref="BD56:BF56"/>
    <mergeCell ref="BG56:BK56"/>
    <mergeCell ref="BL56:BO56"/>
    <mergeCell ref="BP56:BQ56"/>
    <mergeCell ref="BR56:BT56"/>
    <mergeCell ref="BD61:BF61"/>
    <mergeCell ref="BG61:BK61"/>
    <mergeCell ref="BL61:BO61"/>
    <mergeCell ref="BP61:BQ61"/>
    <mergeCell ref="BR61:BT61"/>
    <mergeCell ref="BD54:BF54"/>
    <mergeCell ref="BG54:BK54"/>
    <mergeCell ref="BL54:BO54"/>
    <mergeCell ref="BP54:BQ54"/>
    <mergeCell ref="BR54:BT54"/>
    <mergeCell ref="BD55:BF55"/>
    <mergeCell ref="BG55:BK55"/>
    <mergeCell ref="BL55:BO55"/>
    <mergeCell ref="BP55:BQ55"/>
    <mergeCell ref="BR55:BT55"/>
    <mergeCell ref="BD52:BF52"/>
    <mergeCell ref="BG52:BK52"/>
    <mergeCell ref="BL52:BO52"/>
    <mergeCell ref="BR52:BT52"/>
    <mergeCell ref="BD57:BF57"/>
    <mergeCell ref="BG57:BK57"/>
    <mergeCell ref="BL57:BO57"/>
    <mergeCell ref="BP57:BQ57"/>
    <mergeCell ref="BR57:BT57"/>
    <mergeCell ref="BD50:BF50"/>
    <mergeCell ref="BG50:BK50"/>
    <mergeCell ref="BL50:BO50"/>
    <mergeCell ref="BP50:BQ50"/>
    <mergeCell ref="BR50:BT50"/>
    <mergeCell ref="BD51:BF51"/>
    <mergeCell ref="BG51:BK51"/>
    <mergeCell ref="BL51:BO51"/>
    <mergeCell ref="BP51:BQ51"/>
    <mergeCell ref="BR51:BT51"/>
    <mergeCell ref="BD48:BF48"/>
    <mergeCell ref="BG48:BK48"/>
    <mergeCell ref="BL48:BO48"/>
    <mergeCell ref="BD53:BF53"/>
    <mergeCell ref="BG53:BK53"/>
    <mergeCell ref="BL53:BO53"/>
    <mergeCell ref="BP53:BQ53"/>
    <mergeCell ref="BR53:BT53"/>
    <mergeCell ref="BD46:BF46"/>
    <mergeCell ref="BG46:BK46"/>
    <mergeCell ref="BL46:BO46"/>
    <mergeCell ref="BP46:BQ46"/>
    <mergeCell ref="BR46:BT46"/>
    <mergeCell ref="BD47:BF47"/>
    <mergeCell ref="BG47:BK47"/>
    <mergeCell ref="BL47:BO47"/>
    <mergeCell ref="BP47:BQ47"/>
    <mergeCell ref="BR47:BT47"/>
    <mergeCell ref="BL44:BO44"/>
    <mergeCell ref="BD44:BF44"/>
    <mergeCell ref="BD49:BF49"/>
    <mergeCell ref="BG49:BK49"/>
    <mergeCell ref="BL49:BO49"/>
    <mergeCell ref="BP49:BQ49"/>
    <mergeCell ref="BR49:BT49"/>
    <mergeCell ref="BD42:BF42"/>
    <mergeCell ref="BG42:BK42"/>
    <mergeCell ref="BL42:BO42"/>
    <mergeCell ref="BP42:BQ42"/>
    <mergeCell ref="BR42:BT42"/>
    <mergeCell ref="BD43:BF43"/>
    <mergeCell ref="BG43:BK43"/>
    <mergeCell ref="BL43:BO43"/>
    <mergeCell ref="BP43:BQ43"/>
    <mergeCell ref="BR43:BT43"/>
    <mergeCell ref="BP44:BQ44"/>
    <mergeCell ref="BR44:BT44"/>
    <mergeCell ref="BD45:BF45"/>
    <mergeCell ref="BG45:BK45"/>
    <mergeCell ref="BL45:BO45"/>
    <mergeCell ref="BP45:BQ45"/>
    <mergeCell ref="BR45:BT45"/>
    <mergeCell ref="BD38:BF38"/>
    <mergeCell ref="BG38:BK38"/>
    <mergeCell ref="BL38:BO38"/>
    <mergeCell ref="BP38:BQ38"/>
    <mergeCell ref="BR38:BT38"/>
    <mergeCell ref="BD39:BF39"/>
    <mergeCell ref="BG39:BK39"/>
    <mergeCell ref="BL39:BO39"/>
    <mergeCell ref="BP39:BQ39"/>
    <mergeCell ref="BR39:BT39"/>
    <mergeCell ref="BP40:BQ40"/>
    <mergeCell ref="BR40:BT40"/>
    <mergeCell ref="BD41:BF41"/>
    <mergeCell ref="BG41:BK41"/>
    <mergeCell ref="BL41:BO41"/>
    <mergeCell ref="BP41:BQ41"/>
    <mergeCell ref="BR41:BT41"/>
    <mergeCell ref="BD34:BF34"/>
    <mergeCell ref="BG34:BK34"/>
    <mergeCell ref="BL34:BO34"/>
    <mergeCell ref="BP34:BQ34"/>
    <mergeCell ref="BR34:BT34"/>
    <mergeCell ref="BD35:BF35"/>
    <mergeCell ref="BG35:BK35"/>
    <mergeCell ref="BL35:BO35"/>
    <mergeCell ref="BP35:BQ35"/>
    <mergeCell ref="BR35:BT35"/>
    <mergeCell ref="BP36:BQ36"/>
    <mergeCell ref="BR36:BT36"/>
    <mergeCell ref="BD37:BF37"/>
    <mergeCell ref="BG37:BK37"/>
    <mergeCell ref="BL37:BO37"/>
    <mergeCell ref="BP37:BQ37"/>
    <mergeCell ref="BR37:BT37"/>
    <mergeCell ref="BD30:BF30"/>
    <mergeCell ref="BG30:BK30"/>
    <mergeCell ref="BL30:BO30"/>
    <mergeCell ref="BP30:BQ30"/>
    <mergeCell ref="BR30:BT30"/>
    <mergeCell ref="BD31:BF31"/>
    <mergeCell ref="BG31:BK31"/>
    <mergeCell ref="BL31:BO31"/>
    <mergeCell ref="BP31:BQ31"/>
    <mergeCell ref="BR31:BT31"/>
    <mergeCell ref="BP32:BQ32"/>
    <mergeCell ref="BR32:BT32"/>
    <mergeCell ref="BD33:BF33"/>
    <mergeCell ref="BG33:BK33"/>
    <mergeCell ref="BL33:BO33"/>
    <mergeCell ref="BP33:BQ33"/>
    <mergeCell ref="BR33:BT33"/>
    <mergeCell ref="BD26:BF26"/>
    <mergeCell ref="BG26:BK26"/>
    <mergeCell ref="BL26:BO26"/>
    <mergeCell ref="BP26:BQ26"/>
    <mergeCell ref="BR26:BT26"/>
    <mergeCell ref="BD27:BF27"/>
    <mergeCell ref="BG27:BK27"/>
    <mergeCell ref="BL27:BO27"/>
    <mergeCell ref="BP27:BQ27"/>
    <mergeCell ref="BR27:BT27"/>
    <mergeCell ref="BP28:BQ28"/>
    <mergeCell ref="BR28:BT28"/>
    <mergeCell ref="BD29:BF29"/>
    <mergeCell ref="BG29:BK29"/>
    <mergeCell ref="BL29:BO29"/>
    <mergeCell ref="BP29:BQ29"/>
    <mergeCell ref="BR29:BT29"/>
    <mergeCell ref="BD22:BF22"/>
    <mergeCell ref="BG22:BK22"/>
    <mergeCell ref="BL22:BO22"/>
    <mergeCell ref="BP22:BQ22"/>
    <mergeCell ref="BR22:BT22"/>
    <mergeCell ref="BD23:BF23"/>
    <mergeCell ref="BG23:BK23"/>
    <mergeCell ref="BL23:BO23"/>
    <mergeCell ref="BP23:BQ23"/>
    <mergeCell ref="BR23:BT23"/>
    <mergeCell ref="BP24:BQ24"/>
    <mergeCell ref="BR24:BT24"/>
    <mergeCell ref="BD25:BF25"/>
    <mergeCell ref="BG25:BK25"/>
    <mergeCell ref="BL25:BO25"/>
    <mergeCell ref="BP25:BQ25"/>
    <mergeCell ref="BR25:BT25"/>
    <mergeCell ref="BD18:BF18"/>
    <mergeCell ref="BG18:BK18"/>
    <mergeCell ref="BL18:BO18"/>
    <mergeCell ref="BP18:BQ18"/>
    <mergeCell ref="BR18:BT18"/>
    <mergeCell ref="BD19:BF19"/>
    <mergeCell ref="BG19:BK19"/>
    <mergeCell ref="BL19:BO19"/>
    <mergeCell ref="BP19:BQ19"/>
    <mergeCell ref="BR19:BT19"/>
    <mergeCell ref="BP20:BQ20"/>
    <mergeCell ref="BR20:BT20"/>
    <mergeCell ref="BD21:BF21"/>
    <mergeCell ref="BG21:BK21"/>
    <mergeCell ref="BL21:BO21"/>
    <mergeCell ref="BP21:BQ21"/>
    <mergeCell ref="BR21:BT21"/>
    <mergeCell ref="BD14:BF14"/>
    <mergeCell ref="BG14:BK14"/>
    <mergeCell ref="BL14:BO14"/>
    <mergeCell ref="BP14:BQ14"/>
    <mergeCell ref="BR14:BT14"/>
    <mergeCell ref="BD15:BF15"/>
    <mergeCell ref="BG15:BK15"/>
    <mergeCell ref="BL15:BO15"/>
    <mergeCell ref="BP15:BQ15"/>
    <mergeCell ref="BR15:BT15"/>
    <mergeCell ref="BP16:BQ16"/>
    <mergeCell ref="BR16:BT16"/>
    <mergeCell ref="BD17:BF17"/>
    <mergeCell ref="BG17:BK17"/>
    <mergeCell ref="BL17:BO17"/>
    <mergeCell ref="BP17:BQ17"/>
    <mergeCell ref="BR17:BT17"/>
    <mergeCell ref="BR9:BT9"/>
    <mergeCell ref="BD11:BF11"/>
    <mergeCell ref="BG11:BK11"/>
    <mergeCell ref="BL11:BO11"/>
    <mergeCell ref="BP11:BQ11"/>
    <mergeCell ref="BR11:BT11"/>
    <mergeCell ref="AZ8:BC8"/>
    <mergeCell ref="AZ9:BC9"/>
    <mergeCell ref="AZ10:BC10"/>
    <mergeCell ref="AZ11:BC11"/>
    <mergeCell ref="BD10:BF10"/>
    <mergeCell ref="BG9:BK9"/>
    <mergeCell ref="BL9:BO9"/>
    <mergeCell ref="BG10:BK10"/>
    <mergeCell ref="BD13:BF13"/>
    <mergeCell ref="BG13:BK13"/>
    <mergeCell ref="BL13:BO13"/>
    <mergeCell ref="BP13:BQ13"/>
    <mergeCell ref="BR13:BT13"/>
    <mergeCell ref="D104:E104"/>
    <mergeCell ref="G104:H104"/>
    <mergeCell ref="D99:E99"/>
    <mergeCell ref="G99:H99"/>
    <mergeCell ref="D100:E100"/>
    <mergeCell ref="BD7:BF7"/>
    <mergeCell ref="G96:H96"/>
    <mergeCell ref="D97:E97"/>
    <mergeCell ref="G97:H97"/>
    <mergeCell ref="BD9:BF9"/>
    <mergeCell ref="BD4:BF4"/>
    <mergeCell ref="BG4:BK4"/>
    <mergeCell ref="BL4:BO4"/>
    <mergeCell ref="BP4:BQ4"/>
    <mergeCell ref="BR4:BT4"/>
    <mergeCell ref="BP5:BQ5"/>
    <mergeCell ref="BR5:BT5"/>
    <mergeCell ref="BD5:BF5"/>
    <mergeCell ref="BG5:BK5"/>
    <mergeCell ref="BL5:BO5"/>
    <mergeCell ref="BD6:BF6"/>
    <mergeCell ref="BG6:BK6"/>
    <mergeCell ref="BL6:BO6"/>
    <mergeCell ref="BP6:BQ6"/>
    <mergeCell ref="BR6:BT6"/>
    <mergeCell ref="BP7:BQ7"/>
    <mergeCell ref="BR7:BT7"/>
    <mergeCell ref="BG7:BK7"/>
    <mergeCell ref="BL7:BO7"/>
    <mergeCell ref="BL10:BO10"/>
    <mergeCell ref="BP10:BQ10"/>
    <mergeCell ref="BR10:BT10"/>
    <mergeCell ref="D103:E103"/>
    <mergeCell ref="G103:H103"/>
    <mergeCell ref="D102:E102"/>
    <mergeCell ref="G102:H102"/>
    <mergeCell ref="D98:E98"/>
    <mergeCell ref="G98:H98"/>
    <mergeCell ref="G100:H100"/>
    <mergeCell ref="BD12:BF12"/>
    <mergeCell ref="BG12:BK12"/>
    <mergeCell ref="BL12:BO12"/>
    <mergeCell ref="BD16:BF16"/>
    <mergeCell ref="BG16:BK16"/>
    <mergeCell ref="BL16:BO16"/>
    <mergeCell ref="BD20:BF20"/>
    <mergeCell ref="BG20:BK20"/>
    <mergeCell ref="BL20:BO20"/>
    <mergeCell ref="BD24:BF24"/>
    <mergeCell ref="BG24:BK24"/>
    <mergeCell ref="BL24:BO24"/>
    <mergeCell ref="BD28:BF28"/>
    <mergeCell ref="BG28:BK28"/>
    <mergeCell ref="BL28:BO28"/>
    <mergeCell ref="BD32:BF32"/>
    <mergeCell ref="BG32:BK32"/>
    <mergeCell ref="BL32:BO32"/>
    <mergeCell ref="BD36:BF36"/>
    <mergeCell ref="BG36:BK36"/>
    <mergeCell ref="BL36:BO36"/>
    <mergeCell ref="BD40:BF40"/>
    <mergeCell ref="BG40:BK40"/>
    <mergeCell ref="BL40:BO40"/>
    <mergeCell ref="BG44:BK44"/>
    <mergeCell ref="D87:E87"/>
    <mergeCell ref="G87:H87"/>
    <mergeCell ref="D88:E88"/>
    <mergeCell ref="G88:H88"/>
    <mergeCell ref="D79:E79"/>
    <mergeCell ref="G79:H79"/>
    <mergeCell ref="D80:E80"/>
    <mergeCell ref="G80:H80"/>
    <mergeCell ref="D81:E81"/>
    <mergeCell ref="G81:H81"/>
    <mergeCell ref="D89:E89"/>
    <mergeCell ref="G89:H89"/>
    <mergeCell ref="D91:E91"/>
    <mergeCell ref="G91:H91"/>
    <mergeCell ref="D90:E90"/>
    <mergeCell ref="G90:H90"/>
    <mergeCell ref="D101:E101"/>
    <mergeCell ref="G101:H101"/>
    <mergeCell ref="D92:E92"/>
    <mergeCell ref="G92:H92"/>
    <mergeCell ref="D93:E93"/>
    <mergeCell ref="G93:H93"/>
    <mergeCell ref="D95:E95"/>
    <mergeCell ref="G95:H95"/>
    <mergeCell ref="D94:E94"/>
    <mergeCell ref="G94:H94"/>
    <mergeCell ref="D96:E96"/>
    <mergeCell ref="D84:E84"/>
    <mergeCell ref="G84:H84"/>
    <mergeCell ref="D85:E85"/>
    <mergeCell ref="G85:H85"/>
    <mergeCell ref="D68:E68"/>
    <mergeCell ref="G68:H68"/>
    <mergeCell ref="D69:E69"/>
    <mergeCell ref="G69:H69"/>
    <mergeCell ref="D71:E71"/>
    <mergeCell ref="G71:H71"/>
    <mergeCell ref="D72:E72"/>
    <mergeCell ref="G72:H72"/>
    <mergeCell ref="D73:E73"/>
    <mergeCell ref="G73:H73"/>
    <mergeCell ref="D75:E75"/>
    <mergeCell ref="G75:H75"/>
    <mergeCell ref="D74:E74"/>
    <mergeCell ref="G74:H74"/>
    <mergeCell ref="D76:E76"/>
    <mergeCell ref="G76:H76"/>
    <mergeCell ref="D77:E77"/>
    <mergeCell ref="G77:H77"/>
    <mergeCell ref="D70:E70"/>
    <mergeCell ref="G70:H70"/>
    <mergeCell ref="D49:E49"/>
    <mergeCell ref="G49:H49"/>
    <mergeCell ref="D51:E51"/>
    <mergeCell ref="G51:H51"/>
    <mergeCell ref="D50:E50"/>
    <mergeCell ref="G50:H50"/>
    <mergeCell ref="D52:E52"/>
    <mergeCell ref="G52:H52"/>
    <mergeCell ref="D53:E53"/>
    <mergeCell ref="G53:H53"/>
    <mergeCell ref="D55:E55"/>
    <mergeCell ref="G55:H55"/>
    <mergeCell ref="D65:E65"/>
    <mergeCell ref="G65:H65"/>
    <mergeCell ref="D67:E67"/>
    <mergeCell ref="G67:H67"/>
    <mergeCell ref="D66:E66"/>
    <mergeCell ref="G66:H66"/>
    <mergeCell ref="D62:E62"/>
    <mergeCell ref="G62:H62"/>
    <mergeCell ref="D58:E58"/>
    <mergeCell ref="G58:H58"/>
    <mergeCell ref="D59:E59"/>
    <mergeCell ref="G59:H59"/>
    <mergeCell ref="D60:E60"/>
    <mergeCell ref="G60:H60"/>
    <mergeCell ref="D61:E61"/>
    <mergeCell ref="G61:H61"/>
    <mergeCell ref="D63:E63"/>
    <mergeCell ref="G63:H63"/>
    <mergeCell ref="D64:E64"/>
    <mergeCell ref="G64:H64"/>
    <mergeCell ref="D35:E35"/>
    <mergeCell ref="G35:H35"/>
    <mergeCell ref="D34:E34"/>
    <mergeCell ref="G34:H34"/>
    <mergeCell ref="D36:E36"/>
    <mergeCell ref="G36:H36"/>
    <mergeCell ref="D37:E37"/>
    <mergeCell ref="G37:H37"/>
    <mergeCell ref="D39:E39"/>
    <mergeCell ref="G39:H39"/>
    <mergeCell ref="D40:E40"/>
    <mergeCell ref="G40:H40"/>
    <mergeCell ref="D41:E41"/>
    <mergeCell ref="G41:H41"/>
    <mergeCell ref="D43:E43"/>
    <mergeCell ref="G43:H43"/>
    <mergeCell ref="D42:E42"/>
    <mergeCell ref="G42:H42"/>
    <mergeCell ref="D38:E38"/>
    <mergeCell ref="G38:H38"/>
    <mergeCell ref="D23:E23"/>
    <mergeCell ref="G23:H23"/>
    <mergeCell ref="D22:E22"/>
    <mergeCell ref="G22:H22"/>
    <mergeCell ref="D24:E24"/>
    <mergeCell ref="G24:H24"/>
    <mergeCell ref="D25:E25"/>
    <mergeCell ref="G25:H25"/>
    <mergeCell ref="D27:E27"/>
    <mergeCell ref="G27:H27"/>
    <mergeCell ref="D26:E26"/>
    <mergeCell ref="G26:H26"/>
    <mergeCell ref="D28:E28"/>
    <mergeCell ref="G28:H28"/>
    <mergeCell ref="D29:E29"/>
    <mergeCell ref="G29:H29"/>
    <mergeCell ref="D31:E31"/>
    <mergeCell ref="G31:H31"/>
    <mergeCell ref="D30:E30"/>
    <mergeCell ref="G30:H30"/>
    <mergeCell ref="D9:E9"/>
    <mergeCell ref="G9:H9"/>
    <mergeCell ref="D10:E10"/>
    <mergeCell ref="G10:H10"/>
    <mergeCell ref="D11:E11"/>
    <mergeCell ref="G11:H11"/>
    <mergeCell ref="D12:E12"/>
    <mergeCell ref="G12:H12"/>
    <mergeCell ref="D13:E13"/>
    <mergeCell ref="G13:H13"/>
    <mergeCell ref="D14:E14"/>
    <mergeCell ref="G14:H14"/>
    <mergeCell ref="D15:E15"/>
    <mergeCell ref="G15:H15"/>
    <mergeCell ref="D16:E16"/>
    <mergeCell ref="G16:H16"/>
    <mergeCell ref="D17:E17"/>
    <mergeCell ref="G17:H17"/>
    <mergeCell ref="L103:O103"/>
    <mergeCell ref="P103:S103"/>
    <mergeCell ref="T103:W103"/>
    <mergeCell ref="X103:AA103"/>
    <mergeCell ref="AF103:AI103"/>
    <mergeCell ref="AN103:AQ103"/>
    <mergeCell ref="AR103:AU103"/>
    <mergeCell ref="L102:O102"/>
    <mergeCell ref="P102:S102"/>
    <mergeCell ref="L104:O104"/>
    <mergeCell ref="P104:S104"/>
    <mergeCell ref="T104:W104"/>
    <mergeCell ref="X104:AA104"/>
    <mergeCell ref="AF104:AI104"/>
    <mergeCell ref="AN102:AQ102"/>
    <mergeCell ref="T102:W102"/>
    <mergeCell ref="X102:AA102"/>
    <mergeCell ref="AF102:AI102"/>
    <mergeCell ref="AB103:AE103"/>
    <mergeCell ref="AN104:AQ104"/>
    <mergeCell ref="AR104:AU104"/>
    <mergeCell ref="AB102:AE102"/>
    <mergeCell ref="AB104:AE104"/>
    <mergeCell ref="AJ102:AM102"/>
    <mergeCell ref="AJ103:AM103"/>
    <mergeCell ref="AJ104:AM104"/>
    <mergeCell ref="L99:O99"/>
    <mergeCell ref="P99:S99"/>
    <mergeCell ref="T99:W99"/>
    <mergeCell ref="X99:AA99"/>
    <mergeCell ref="AF99:AI99"/>
    <mergeCell ref="AN99:AQ99"/>
    <mergeCell ref="AR99:AU99"/>
    <mergeCell ref="L98:O98"/>
    <mergeCell ref="AR101:AU101"/>
    <mergeCell ref="L100:O100"/>
    <mergeCell ref="P100:S100"/>
    <mergeCell ref="T100:W100"/>
    <mergeCell ref="X100:AA100"/>
    <mergeCell ref="AF100:AI100"/>
    <mergeCell ref="AN98:AQ98"/>
    <mergeCell ref="AR98:AU98"/>
    <mergeCell ref="AN100:AQ100"/>
    <mergeCell ref="AR100:AU100"/>
    <mergeCell ref="L101:O101"/>
    <mergeCell ref="P101:S101"/>
    <mergeCell ref="T101:W101"/>
    <mergeCell ref="X101:AA101"/>
    <mergeCell ref="AF101:AI101"/>
    <mergeCell ref="AN101:AQ101"/>
    <mergeCell ref="AB101:AE101"/>
    <mergeCell ref="AJ100:AM100"/>
    <mergeCell ref="AJ101:AM101"/>
    <mergeCell ref="AB99:AE99"/>
    <mergeCell ref="AB100:AE100"/>
    <mergeCell ref="AJ99:AM99"/>
    <mergeCell ref="AF97:AI97"/>
    <mergeCell ref="AN97:AQ97"/>
    <mergeCell ref="AN94:AQ94"/>
    <mergeCell ref="AR94:AU94"/>
    <mergeCell ref="AR95:AU95"/>
    <mergeCell ref="AB96:AE96"/>
    <mergeCell ref="AN96:AQ96"/>
    <mergeCell ref="AR96:AU96"/>
    <mergeCell ref="AF95:AI95"/>
    <mergeCell ref="AN95:AQ95"/>
    <mergeCell ref="AR97:AU97"/>
    <mergeCell ref="L96:O96"/>
    <mergeCell ref="AF94:AI94"/>
    <mergeCell ref="AB97:AE97"/>
    <mergeCell ref="AJ97:AM97"/>
    <mergeCell ref="P98:S98"/>
    <mergeCell ref="T98:W98"/>
    <mergeCell ref="X98:AA98"/>
    <mergeCell ref="AF98:AI98"/>
    <mergeCell ref="L97:O97"/>
    <mergeCell ref="P97:S97"/>
    <mergeCell ref="T97:W97"/>
    <mergeCell ref="X97:AA97"/>
    <mergeCell ref="AB98:AE98"/>
    <mergeCell ref="AJ98:AM98"/>
    <mergeCell ref="AF93:AI93"/>
    <mergeCell ref="AN93:AQ93"/>
    <mergeCell ref="X95:AA95"/>
    <mergeCell ref="L92:O92"/>
    <mergeCell ref="L94:O94"/>
    <mergeCell ref="P94:S94"/>
    <mergeCell ref="T94:W94"/>
    <mergeCell ref="X94:AA94"/>
    <mergeCell ref="P96:S96"/>
    <mergeCell ref="T96:W96"/>
    <mergeCell ref="X96:AA96"/>
    <mergeCell ref="AF96:AI96"/>
    <mergeCell ref="L91:O91"/>
    <mergeCell ref="P91:S91"/>
    <mergeCell ref="T91:W91"/>
    <mergeCell ref="X91:AA91"/>
    <mergeCell ref="AB91:AE91"/>
    <mergeCell ref="AB92:AE92"/>
    <mergeCell ref="AB93:AE93"/>
    <mergeCell ref="AB94:AE94"/>
    <mergeCell ref="AB95:AE95"/>
    <mergeCell ref="AJ94:AM94"/>
    <mergeCell ref="AJ95:AM95"/>
    <mergeCell ref="AJ96:AM96"/>
    <mergeCell ref="L95:O95"/>
    <mergeCell ref="P95:S95"/>
    <mergeCell ref="T95:W95"/>
    <mergeCell ref="AF91:AI91"/>
    <mergeCell ref="AN91:AQ91"/>
    <mergeCell ref="P92:S92"/>
    <mergeCell ref="T92:W92"/>
    <mergeCell ref="X92:AA92"/>
    <mergeCell ref="AF92:AI92"/>
    <mergeCell ref="AJ91:AM91"/>
    <mergeCell ref="AJ92:AM92"/>
    <mergeCell ref="AJ93:AM93"/>
    <mergeCell ref="D86:E86"/>
    <mergeCell ref="G86:H86"/>
    <mergeCell ref="L87:O87"/>
    <mergeCell ref="P87:S87"/>
    <mergeCell ref="T87:W87"/>
    <mergeCell ref="X87:AA87"/>
    <mergeCell ref="AN86:AQ86"/>
    <mergeCell ref="AR86:AU86"/>
    <mergeCell ref="AR87:AU87"/>
    <mergeCell ref="AB88:AE88"/>
    <mergeCell ref="AN88:AQ88"/>
    <mergeCell ref="AR88:AU88"/>
    <mergeCell ref="AF87:AI87"/>
    <mergeCell ref="AN87:AQ87"/>
    <mergeCell ref="AB87:AE87"/>
    <mergeCell ref="AB86:AE86"/>
    <mergeCell ref="AR91:AU91"/>
    <mergeCell ref="AN92:AQ92"/>
    <mergeCell ref="AR92:AU92"/>
    <mergeCell ref="L93:O93"/>
    <mergeCell ref="P93:S93"/>
    <mergeCell ref="T93:W93"/>
    <mergeCell ref="X93:AA93"/>
    <mergeCell ref="AF90:AI90"/>
    <mergeCell ref="AN90:AQ90"/>
    <mergeCell ref="AR90:AU90"/>
    <mergeCell ref="L89:O89"/>
    <mergeCell ref="P89:S89"/>
    <mergeCell ref="T89:W89"/>
    <mergeCell ref="X89:AA89"/>
    <mergeCell ref="AF89:AI89"/>
    <mergeCell ref="AN89:AQ89"/>
    <mergeCell ref="AB89:AE89"/>
    <mergeCell ref="L85:O85"/>
    <mergeCell ref="P85:S85"/>
    <mergeCell ref="T85:W85"/>
    <mergeCell ref="X85:AA85"/>
    <mergeCell ref="AF85:AI85"/>
    <mergeCell ref="AN85:AQ85"/>
    <mergeCell ref="AR85:AU85"/>
    <mergeCell ref="AB90:AE90"/>
    <mergeCell ref="AR89:AU89"/>
    <mergeCell ref="L88:O88"/>
    <mergeCell ref="L90:O90"/>
    <mergeCell ref="P90:S90"/>
    <mergeCell ref="T90:W90"/>
    <mergeCell ref="X90:AA90"/>
    <mergeCell ref="P88:S88"/>
    <mergeCell ref="T88:W88"/>
    <mergeCell ref="X88:AA88"/>
    <mergeCell ref="AF88:AI88"/>
    <mergeCell ref="L86:O86"/>
    <mergeCell ref="P86:S86"/>
    <mergeCell ref="T86:W86"/>
    <mergeCell ref="X86:AA86"/>
    <mergeCell ref="AF86:AI86"/>
    <mergeCell ref="AB85:AE85"/>
    <mergeCell ref="AJ86:AM86"/>
    <mergeCell ref="AJ87:AM87"/>
    <mergeCell ref="AJ88:AM88"/>
    <mergeCell ref="P84:S84"/>
    <mergeCell ref="T84:W84"/>
    <mergeCell ref="X84:AA84"/>
    <mergeCell ref="AF84:AI84"/>
    <mergeCell ref="AB84:AE84"/>
    <mergeCell ref="AJ84:AM84"/>
    <mergeCell ref="AR83:AU83"/>
    <mergeCell ref="AN84:AQ84"/>
    <mergeCell ref="AR84:AU84"/>
    <mergeCell ref="AF82:AI82"/>
    <mergeCell ref="AN82:AQ82"/>
    <mergeCell ref="AR82:AU82"/>
    <mergeCell ref="L81:O81"/>
    <mergeCell ref="P81:S81"/>
    <mergeCell ref="T81:W81"/>
    <mergeCell ref="X81:AA81"/>
    <mergeCell ref="AF81:AI81"/>
    <mergeCell ref="AN81:AQ81"/>
    <mergeCell ref="L84:O84"/>
    <mergeCell ref="P80:S80"/>
    <mergeCell ref="T80:W80"/>
    <mergeCell ref="X80:AA80"/>
    <mergeCell ref="AF80:AI80"/>
    <mergeCell ref="D78:E78"/>
    <mergeCell ref="G78:H78"/>
    <mergeCell ref="L79:O79"/>
    <mergeCell ref="P79:S79"/>
    <mergeCell ref="T79:W79"/>
    <mergeCell ref="X79:AA79"/>
    <mergeCell ref="L83:O83"/>
    <mergeCell ref="P83:S83"/>
    <mergeCell ref="T83:W83"/>
    <mergeCell ref="X83:AA83"/>
    <mergeCell ref="D83:E83"/>
    <mergeCell ref="G83:H83"/>
    <mergeCell ref="D82:E82"/>
    <mergeCell ref="G82:H82"/>
    <mergeCell ref="AB81:AE81"/>
    <mergeCell ref="AB82:AE82"/>
    <mergeCell ref="AB83:AE83"/>
    <mergeCell ref="AB80:AE80"/>
    <mergeCell ref="AF79:AI79"/>
    <mergeCell ref="L80:O80"/>
    <mergeCell ref="L82:O82"/>
    <mergeCell ref="P82:S82"/>
    <mergeCell ref="T82:W82"/>
    <mergeCell ref="X82:AA82"/>
    <mergeCell ref="AF83:AI83"/>
    <mergeCell ref="AB79:AE79"/>
    <mergeCell ref="P76:S76"/>
    <mergeCell ref="T76:W76"/>
    <mergeCell ref="X76:AA76"/>
    <mergeCell ref="AF76:AI76"/>
    <mergeCell ref="AB75:AE75"/>
    <mergeCell ref="AB76:AE76"/>
    <mergeCell ref="AJ75:AM75"/>
    <mergeCell ref="AJ76:AM76"/>
    <mergeCell ref="AR75:AU75"/>
    <mergeCell ref="AN76:AQ76"/>
    <mergeCell ref="AR76:AU76"/>
    <mergeCell ref="AB77:AE77"/>
    <mergeCell ref="AB78:AE78"/>
    <mergeCell ref="L77:O77"/>
    <mergeCell ref="P77:S77"/>
    <mergeCell ref="T77:W77"/>
    <mergeCell ref="X77:AA77"/>
    <mergeCell ref="AF77:AI77"/>
    <mergeCell ref="AN77:AQ77"/>
    <mergeCell ref="AR77:AU77"/>
    <mergeCell ref="L76:O76"/>
    <mergeCell ref="L78:O78"/>
    <mergeCell ref="P78:S78"/>
    <mergeCell ref="T78:W78"/>
    <mergeCell ref="X78:AA78"/>
    <mergeCell ref="AF78:AI78"/>
    <mergeCell ref="AN78:AQ78"/>
    <mergeCell ref="AR78:AU78"/>
    <mergeCell ref="AB71:AE71"/>
    <mergeCell ref="AB70:AE70"/>
    <mergeCell ref="AF74:AI74"/>
    <mergeCell ref="AN74:AQ74"/>
    <mergeCell ref="AR74:AU74"/>
    <mergeCell ref="L73:O73"/>
    <mergeCell ref="P73:S73"/>
    <mergeCell ref="T73:W73"/>
    <mergeCell ref="X73:AA73"/>
    <mergeCell ref="AF73:AI73"/>
    <mergeCell ref="AN73:AQ73"/>
    <mergeCell ref="AB74:AE74"/>
    <mergeCell ref="AJ73:AM73"/>
    <mergeCell ref="AJ74:AM74"/>
    <mergeCell ref="L75:O75"/>
    <mergeCell ref="P75:S75"/>
    <mergeCell ref="T75:W75"/>
    <mergeCell ref="X75:AA75"/>
    <mergeCell ref="AR73:AU73"/>
    <mergeCell ref="L72:O72"/>
    <mergeCell ref="L74:O74"/>
    <mergeCell ref="P74:S74"/>
    <mergeCell ref="T74:W74"/>
    <mergeCell ref="X74:AA74"/>
    <mergeCell ref="AF75:AI75"/>
    <mergeCell ref="AN75:AQ75"/>
    <mergeCell ref="AB73:AE73"/>
    <mergeCell ref="AR71:AU71"/>
    <mergeCell ref="L69:O69"/>
    <mergeCell ref="P69:S69"/>
    <mergeCell ref="T69:W69"/>
    <mergeCell ref="X69:AA69"/>
    <mergeCell ref="AF69:AI69"/>
    <mergeCell ref="AN69:AQ69"/>
    <mergeCell ref="AR69:AU69"/>
    <mergeCell ref="L68:O68"/>
    <mergeCell ref="L70:O70"/>
    <mergeCell ref="P70:S70"/>
    <mergeCell ref="T70:W70"/>
    <mergeCell ref="X70:AA70"/>
    <mergeCell ref="AF70:AI70"/>
    <mergeCell ref="AB69:AE69"/>
    <mergeCell ref="P72:S72"/>
    <mergeCell ref="T72:W72"/>
    <mergeCell ref="X72:AA72"/>
    <mergeCell ref="AF72:AI72"/>
    <mergeCell ref="AJ69:AM69"/>
    <mergeCell ref="AJ70:AM70"/>
    <mergeCell ref="AJ71:AM71"/>
    <mergeCell ref="AJ72:AM72"/>
    <mergeCell ref="L71:O71"/>
    <mergeCell ref="P71:S71"/>
    <mergeCell ref="T71:W71"/>
    <mergeCell ref="X71:AA71"/>
    <mergeCell ref="AN70:AQ70"/>
    <mergeCell ref="AR70:AU70"/>
    <mergeCell ref="AB72:AE72"/>
    <mergeCell ref="AN72:AQ72"/>
    <mergeCell ref="AR72:AU72"/>
    <mergeCell ref="AF71:AI71"/>
    <mergeCell ref="L67:O67"/>
    <mergeCell ref="P67:S67"/>
    <mergeCell ref="T67:W67"/>
    <mergeCell ref="X67:AA67"/>
    <mergeCell ref="AR65:AU65"/>
    <mergeCell ref="L64:O64"/>
    <mergeCell ref="L66:O66"/>
    <mergeCell ref="P66:S66"/>
    <mergeCell ref="T66:W66"/>
    <mergeCell ref="X66:AA66"/>
    <mergeCell ref="AF67:AI67"/>
    <mergeCell ref="AN67:AQ67"/>
    <mergeCell ref="P68:S68"/>
    <mergeCell ref="T68:W68"/>
    <mergeCell ref="X68:AA68"/>
    <mergeCell ref="AF68:AI68"/>
    <mergeCell ref="AB68:AE68"/>
    <mergeCell ref="AJ67:AM67"/>
    <mergeCell ref="AJ68:AM68"/>
    <mergeCell ref="AR67:AU67"/>
    <mergeCell ref="AN68:AQ68"/>
    <mergeCell ref="AR68:AU68"/>
    <mergeCell ref="AB67:AE67"/>
    <mergeCell ref="AF66:AI66"/>
    <mergeCell ref="AN66:AQ66"/>
    <mergeCell ref="AR66:AU66"/>
    <mergeCell ref="L65:O65"/>
    <mergeCell ref="P65:S65"/>
    <mergeCell ref="T65:W65"/>
    <mergeCell ref="X65:AA65"/>
    <mergeCell ref="AF65:AI65"/>
    <mergeCell ref="AN65:AQ65"/>
    <mergeCell ref="AB65:AE65"/>
    <mergeCell ref="L62:O62"/>
    <mergeCell ref="P62:S62"/>
    <mergeCell ref="T62:W62"/>
    <mergeCell ref="X62:AA62"/>
    <mergeCell ref="AF62:AI62"/>
    <mergeCell ref="AB66:AE66"/>
    <mergeCell ref="AJ65:AM65"/>
    <mergeCell ref="AJ66:AM66"/>
    <mergeCell ref="P64:S64"/>
    <mergeCell ref="T64:W64"/>
    <mergeCell ref="X64:AA64"/>
    <mergeCell ref="AF64:AI64"/>
    <mergeCell ref="L63:O63"/>
    <mergeCell ref="P63:S63"/>
    <mergeCell ref="T63:W63"/>
    <mergeCell ref="X63:AA63"/>
    <mergeCell ref="AJ62:AM62"/>
    <mergeCell ref="AJ63:AM63"/>
    <mergeCell ref="AJ64:AM64"/>
    <mergeCell ref="L61:O61"/>
    <mergeCell ref="P61:S61"/>
    <mergeCell ref="T61:W61"/>
    <mergeCell ref="X61:AA61"/>
    <mergeCell ref="AF61:AI61"/>
    <mergeCell ref="AB63:AE63"/>
    <mergeCell ref="AB62:AE62"/>
    <mergeCell ref="AB64:AE64"/>
    <mergeCell ref="AF63:AI63"/>
    <mergeCell ref="L60:O60"/>
    <mergeCell ref="AB60:AE60"/>
    <mergeCell ref="L59:O59"/>
    <mergeCell ref="P59:S59"/>
    <mergeCell ref="T59:W59"/>
    <mergeCell ref="X59:AA59"/>
    <mergeCell ref="AR57:AU57"/>
    <mergeCell ref="AJ61:AM61"/>
    <mergeCell ref="AB61:AE61"/>
    <mergeCell ref="L58:O58"/>
    <mergeCell ref="P58:S58"/>
    <mergeCell ref="T58:W58"/>
    <mergeCell ref="X58:AA58"/>
    <mergeCell ref="AF59:AI59"/>
    <mergeCell ref="AN59:AQ59"/>
    <mergeCell ref="AJ58:AM58"/>
    <mergeCell ref="P60:S60"/>
    <mergeCell ref="T60:W60"/>
    <mergeCell ref="X60:AA60"/>
    <mergeCell ref="AF60:AI60"/>
    <mergeCell ref="AJ59:AM59"/>
    <mergeCell ref="AR61:AU61"/>
    <mergeCell ref="AJ60:AM60"/>
    <mergeCell ref="D57:E57"/>
    <mergeCell ref="G57:H57"/>
    <mergeCell ref="D56:E56"/>
    <mergeCell ref="G56:H56"/>
    <mergeCell ref="AJ54:AM54"/>
    <mergeCell ref="AJ55:AM55"/>
    <mergeCell ref="AJ56:AM56"/>
    <mergeCell ref="L56:O56"/>
    <mergeCell ref="AB54:AE54"/>
    <mergeCell ref="AB57:AE57"/>
    <mergeCell ref="L57:O57"/>
    <mergeCell ref="P57:S57"/>
    <mergeCell ref="T57:W57"/>
    <mergeCell ref="X57:AA57"/>
    <mergeCell ref="AF57:AI57"/>
    <mergeCell ref="AB58:AE58"/>
    <mergeCell ref="AB59:AE59"/>
    <mergeCell ref="L54:O54"/>
    <mergeCell ref="P54:S54"/>
    <mergeCell ref="T54:W54"/>
    <mergeCell ref="X54:AA54"/>
    <mergeCell ref="AF54:AI54"/>
    <mergeCell ref="P56:S56"/>
    <mergeCell ref="T56:W56"/>
    <mergeCell ref="X56:AA56"/>
    <mergeCell ref="AF56:AI56"/>
    <mergeCell ref="D54:E54"/>
    <mergeCell ref="G54:H54"/>
    <mergeCell ref="L55:O55"/>
    <mergeCell ref="P55:S55"/>
    <mergeCell ref="T55:W55"/>
    <mergeCell ref="X55:AA55"/>
    <mergeCell ref="P52:S52"/>
    <mergeCell ref="T52:W52"/>
    <mergeCell ref="X52:AA52"/>
    <mergeCell ref="AF52:AI52"/>
    <mergeCell ref="AB51:AE51"/>
    <mergeCell ref="AB52:AE52"/>
    <mergeCell ref="AR51:AU51"/>
    <mergeCell ref="AN52:AQ52"/>
    <mergeCell ref="AR52:AU52"/>
    <mergeCell ref="L53:O53"/>
    <mergeCell ref="P53:S53"/>
    <mergeCell ref="T53:W53"/>
    <mergeCell ref="X53:AA53"/>
    <mergeCell ref="AF53:AI53"/>
    <mergeCell ref="AN53:AQ53"/>
    <mergeCell ref="AR53:AU53"/>
    <mergeCell ref="L52:O52"/>
    <mergeCell ref="AJ52:AM52"/>
    <mergeCell ref="AJ53:AM53"/>
    <mergeCell ref="AB53:AE53"/>
    <mergeCell ref="L49:O49"/>
    <mergeCell ref="P49:S49"/>
    <mergeCell ref="T49:W49"/>
    <mergeCell ref="X49:AA49"/>
    <mergeCell ref="AF49:AI49"/>
    <mergeCell ref="AN49:AQ49"/>
    <mergeCell ref="AB50:AE50"/>
    <mergeCell ref="L51:O51"/>
    <mergeCell ref="P51:S51"/>
    <mergeCell ref="T51:W51"/>
    <mergeCell ref="X51:AA51"/>
    <mergeCell ref="AR49:AU49"/>
    <mergeCell ref="L48:O48"/>
    <mergeCell ref="L50:O50"/>
    <mergeCell ref="P50:S50"/>
    <mergeCell ref="T50:W50"/>
    <mergeCell ref="X50:AA50"/>
    <mergeCell ref="AF51:AI51"/>
    <mergeCell ref="AN51:AQ51"/>
    <mergeCell ref="AB49:AE49"/>
    <mergeCell ref="AJ48:AM48"/>
    <mergeCell ref="AJ49:AM49"/>
    <mergeCell ref="AJ50:AM50"/>
    <mergeCell ref="AJ51:AM51"/>
    <mergeCell ref="P48:S48"/>
    <mergeCell ref="T48:W48"/>
    <mergeCell ref="X48:AA48"/>
    <mergeCell ref="AF48:AI48"/>
    <mergeCell ref="D46:E46"/>
    <mergeCell ref="G46:H46"/>
    <mergeCell ref="L47:O47"/>
    <mergeCell ref="P47:S47"/>
    <mergeCell ref="T47:W47"/>
    <mergeCell ref="X47:AA47"/>
    <mergeCell ref="AN46:AQ46"/>
    <mergeCell ref="AR46:AU46"/>
    <mergeCell ref="AR47:AU47"/>
    <mergeCell ref="AB48:AE48"/>
    <mergeCell ref="AN48:AQ48"/>
    <mergeCell ref="AR48:AU48"/>
    <mergeCell ref="AF47:AI47"/>
    <mergeCell ref="AN47:AQ47"/>
    <mergeCell ref="AB47:AE47"/>
    <mergeCell ref="AJ46:AM46"/>
    <mergeCell ref="D44:E44"/>
    <mergeCell ref="G44:H44"/>
    <mergeCell ref="D45:E45"/>
    <mergeCell ref="G45:H45"/>
    <mergeCell ref="D47:E47"/>
    <mergeCell ref="G47:H47"/>
    <mergeCell ref="D48:E48"/>
    <mergeCell ref="G48:H48"/>
    <mergeCell ref="L45:O45"/>
    <mergeCell ref="P45:S45"/>
    <mergeCell ref="T45:W45"/>
    <mergeCell ref="X45:AA45"/>
    <mergeCell ref="AF45:AI45"/>
    <mergeCell ref="AN45:AQ45"/>
    <mergeCell ref="AR45:AU45"/>
    <mergeCell ref="L44:O44"/>
    <mergeCell ref="L43:O43"/>
    <mergeCell ref="P43:S43"/>
    <mergeCell ref="T43:W43"/>
    <mergeCell ref="X43:AA43"/>
    <mergeCell ref="AR41:AU41"/>
    <mergeCell ref="AN42:AQ42"/>
    <mergeCell ref="AR42:AU42"/>
    <mergeCell ref="AF41:AI41"/>
    <mergeCell ref="AN41:AQ41"/>
    <mergeCell ref="AF43:AI43"/>
    <mergeCell ref="AN43:AQ43"/>
    <mergeCell ref="P44:S44"/>
    <mergeCell ref="T44:W44"/>
    <mergeCell ref="X44:AA44"/>
    <mergeCell ref="AF44:AI44"/>
    <mergeCell ref="AJ44:AM44"/>
    <mergeCell ref="AR43:AU43"/>
    <mergeCell ref="AN44:AQ44"/>
    <mergeCell ref="AR44:AU44"/>
    <mergeCell ref="AB41:AE41"/>
    <mergeCell ref="L42:O42"/>
    <mergeCell ref="P42:S42"/>
    <mergeCell ref="T42:W42"/>
    <mergeCell ref="X42:AA42"/>
    <mergeCell ref="AF42:AI42"/>
    <mergeCell ref="L41:O41"/>
    <mergeCell ref="P41:S41"/>
    <mergeCell ref="T41:W41"/>
    <mergeCell ref="X41:AA41"/>
    <mergeCell ref="AB42:AE42"/>
    <mergeCell ref="AB43:AE43"/>
    <mergeCell ref="AB44:AE44"/>
    <mergeCell ref="P40:S40"/>
    <mergeCell ref="T40:W40"/>
    <mergeCell ref="X40:AA40"/>
    <mergeCell ref="AF40:AI40"/>
    <mergeCell ref="AR37:AU37"/>
    <mergeCell ref="L46:O46"/>
    <mergeCell ref="P46:S46"/>
    <mergeCell ref="T46:W46"/>
    <mergeCell ref="X46:AA46"/>
    <mergeCell ref="AF46:AI46"/>
    <mergeCell ref="T37:W37"/>
    <mergeCell ref="L39:O39"/>
    <mergeCell ref="P39:S39"/>
    <mergeCell ref="T39:W39"/>
    <mergeCell ref="AN31:AQ31"/>
    <mergeCell ref="AB31:AE31"/>
    <mergeCell ref="AJ31:AM31"/>
    <mergeCell ref="AF34:AI34"/>
    <mergeCell ref="AN38:AQ38"/>
    <mergeCell ref="AR38:AU38"/>
    <mergeCell ref="AR39:AU39"/>
    <mergeCell ref="AB40:AE40"/>
    <mergeCell ref="AN40:AQ40"/>
    <mergeCell ref="AR40:AU40"/>
    <mergeCell ref="AF39:AI39"/>
    <mergeCell ref="AN39:AQ39"/>
    <mergeCell ref="AB39:AE39"/>
    <mergeCell ref="L40:O40"/>
    <mergeCell ref="AF38:AI38"/>
    <mergeCell ref="X37:AA37"/>
    <mergeCell ref="AF37:AI37"/>
    <mergeCell ref="AN37:AQ37"/>
    <mergeCell ref="X39:AA39"/>
    <mergeCell ref="AR35:AU35"/>
    <mergeCell ref="AN36:AQ36"/>
    <mergeCell ref="AR36:AU36"/>
    <mergeCell ref="AN34:AQ34"/>
    <mergeCell ref="AR34:AU34"/>
    <mergeCell ref="L33:O33"/>
    <mergeCell ref="P33:S33"/>
    <mergeCell ref="T33:W33"/>
    <mergeCell ref="X33:AA33"/>
    <mergeCell ref="AF33:AI33"/>
    <mergeCell ref="AN33:AQ33"/>
    <mergeCell ref="L36:O36"/>
    <mergeCell ref="L38:O38"/>
    <mergeCell ref="P38:S38"/>
    <mergeCell ref="T38:W38"/>
    <mergeCell ref="X38:AA38"/>
    <mergeCell ref="AB38:AE38"/>
    <mergeCell ref="L35:O35"/>
    <mergeCell ref="P35:S35"/>
    <mergeCell ref="T35:W35"/>
    <mergeCell ref="X35:AA35"/>
    <mergeCell ref="AB35:AE35"/>
    <mergeCell ref="AF35:AI35"/>
    <mergeCell ref="AN35:AQ35"/>
    <mergeCell ref="P36:S36"/>
    <mergeCell ref="T36:W36"/>
    <mergeCell ref="X36:AA36"/>
    <mergeCell ref="AF36:AI36"/>
    <mergeCell ref="AB37:AE37"/>
    <mergeCell ref="AB36:AE36"/>
    <mergeCell ref="L37:O37"/>
    <mergeCell ref="P37:S37"/>
    <mergeCell ref="D32:E32"/>
    <mergeCell ref="G32:H32"/>
    <mergeCell ref="D33:E33"/>
    <mergeCell ref="G33:H33"/>
    <mergeCell ref="L29:O29"/>
    <mergeCell ref="P29:S29"/>
    <mergeCell ref="T29:W29"/>
    <mergeCell ref="X29:AA29"/>
    <mergeCell ref="AF29:AI29"/>
    <mergeCell ref="AN29:AQ29"/>
    <mergeCell ref="AR29:AU29"/>
    <mergeCell ref="AB29:AE29"/>
    <mergeCell ref="AB30:AE30"/>
    <mergeCell ref="AB33:AE33"/>
    <mergeCell ref="AB34:AE34"/>
    <mergeCell ref="AR33:AU33"/>
    <mergeCell ref="L32:O32"/>
    <mergeCell ref="L34:O34"/>
    <mergeCell ref="P34:S34"/>
    <mergeCell ref="T34:W34"/>
    <mergeCell ref="X34:AA34"/>
    <mergeCell ref="L31:O31"/>
    <mergeCell ref="P31:S31"/>
    <mergeCell ref="T31:W31"/>
    <mergeCell ref="X31:AA31"/>
    <mergeCell ref="AN30:AQ30"/>
    <mergeCell ref="AR30:AU30"/>
    <mergeCell ref="AR31:AU31"/>
    <mergeCell ref="AB32:AE32"/>
    <mergeCell ref="AN32:AQ32"/>
    <mergeCell ref="AR32:AU32"/>
    <mergeCell ref="L28:O28"/>
    <mergeCell ref="L30:O30"/>
    <mergeCell ref="P30:S30"/>
    <mergeCell ref="T30:W30"/>
    <mergeCell ref="X30:AA30"/>
    <mergeCell ref="AF30:AI30"/>
    <mergeCell ref="P32:S32"/>
    <mergeCell ref="T32:W32"/>
    <mergeCell ref="X32:AA32"/>
    <mergeCell ref="AF32:AI32"/>
    <mergeCell ref="L27:O27"/>
    <mergeCell ref="P27:S27"/>
    <mergeCell ref="T27:W27"/>
    <mergeCell ref="X27:AA27"/>
    <mergeCell ref="AR25:AU25"/>
    <mergeCell ref="L24:O24"/>
    <mergeCell ref="L26:O26"/>
    <mergeCell ref="P26:S26"/>
    <mergeCell ref="T26:W26"/>
    <mergeCell ref="X26:AA26"/>
    <mergeCell ref="AF27:AI27"/>
    <mergeCell ref="AN27:AQ27"/>
    <mergeCell ref="P28:S28"/>
    <mergeCell ref="T28:W28"/>
    <mergeCell ref="X28:AA28"/>
    <mergeCell ref="AF28:AI28"/>
    <mergeCell ref="AB27:AE27"/>
    <mergeCell ref="AB28:AE28"/>
    <mergeCell ref="AR27:AU27"/>
    <mergeCell ref="AN28:AQ28"/>
    <mergeCell ref="AR28:AU28"/>
    <mergeCell ref="P24:S24"/>
    <mergeCell ref="T24:W24"/>
    <mergeCell ref="X24:AA24"/>
    <mergeCell ref="AF24:AI24"/>
    <mergeCell ref="AJ24:AM24"/>
    <mergeCell ref="AN22:AQ22"/>
    <mergeCell ref="AR22:AU22"/>
    <mergeCell ref="AR23:AU23"/>
    <mergeCell ref="AB24:AE24"/>
    <mergeCell ref="AN24:AQ24"/>
    <mergeCell ref="AR24:AU24"/>
    <mergeCell ref="AF26:AI26"/>
    <mergeCell ref="AN26:AQ26"/>
    <mergeCell ref="AR26:AU26"/>
    <mergeCell ref="L25:O25"/>
    <mergeCell ref="P25:S25"/>
    <mergeCell ref="T25:W25"/>
    <mergeCell ref="X25:AA25"/>
    <mergeCell ref="AF25:AI25"/>
    <mergeCell ref="AN25:AQ25"/>
    <mergeCell ref="AB26:AE26"/>
    <mergeCell ref="X22:AA22"/>
    <mergeCell ref="AF22:AI22"/>
    <mergeCell ref="AB25:AE25"/>
    <mergeCell ref="AJ25:AM25"/>
    <mergeCell ref="AJ26:AM26"/>
    <mergeCell ref="L21:O21"/>
    <mergeCell ref="P21:S21"/>
    <mergeCell ref="T21:W21"/>
    <mergeCell ref="X21:AA21"/>
    <mergeCell ref="AF21:AI21"/>
    <mergeCell ref="L23:O23"/>
    <mergeCell ref="P23:S23"/>
    <mergeCell ref="T23:W23"/>
    <mergeCell ref="L20:O20"/>
    <mergeCell ref="L22:O22"/>
    <mergeCell ref="P22:S22"/>
    <mergeCell ref="T22:W22"/>
    <mergeCell ref="X23:AA23"/>
    <mergeCell ref="AF23:AI23"/>
    <mergeCell ref="AN23:AQ23"/>
    <mergeCell ref="AB23:AE23"/>
    <mergeCell ref="AB22:AE22"/>
    <mergeCell ref="L18:O18"/>
    <mergeCell ref="P18:S18"/>
    <mergeCell ref="T18:W18"/>
    <mergeCell ref="X18:AA18"/>
    <mergeCell ref="AF18:AI18"/>
    <mergeCell ref="AN18:AQ18"/>
    <mergeCell ref="AR18:AU18"/>
    <mergeCell ref="L17:O17"/>
    <mergeCell ref="D18:E18"/>
    <mergeCell ref="G18:H18"/>
    <mergeCell ref="L19:O19"/>
    <mergeCell ref="P19:S19"/>
    <mergeCell ref="T19:W19"/>
    <mergeCell ref="X19:AA19"/>
    <mergeCell ref="D19:E19"/>
    <mergeCell ref="G19:H19"/>
    <mergeCell ref="AN21:AQ21"/>
    <mergeCell ref="AR21:AU21"/>
    <mergeCell ref="AF19:AI19"/>
    <mergeCell ref="AN19:AQ19"/>
    <mergeCell ref="P20:S20"/>
    <mergeCell ref="T20:W20"/>
    <mergeCell ref="X20:AA20"/>
    <mergeCell ref="AF20:AI20"/>
    <mergeCell ref="D20:E20"/>
    <mergeCell ref="G20:H20"/>
    <mergeCell ref="D21:E21"/>
    <mergeCell ref="G21:H21"/>
    <mergeCell ref="AB18:AE18"/>
    <mergeCell ref="AB19:AE19"/>
    <mergeCell ref="AB20:AE20"/>
    <mergeCell ref="AB21:AE21"/>
    <mergeCell ref="L15:O15"/>
    <mergeCell ref="P15:S15"/>
    <mergeCell ref="T15:W15"/>
    <mergeCell ref="X15:AA15"/>
    <mergeCell ref="AF15:AI15"/>
    <mergeCell ref="AN15:AQ15"/>
    <mergeCell ref="AB15:AE15"/>
    <mergeCell ref="AJ15:AM15"/>
    <mergeCell ref="AN14:AQ14"/>
    <mergeCell ref="AR14:AU14"/>
    <mergeCell ref="AR15:AU15"/>
    <mergeCell ref="AB16:AE16"/>
    <mergeCell ref="AN16:AQ16"/>
    <mergeCell ref="AR16:AU16"/>
    <mergeCell ref="AJ16:AM16"/>
    <mergeCell ref="P17:S17"/>
    <mergeCell ref="T17:W17"/>
    <mergeCell ref="X17:AA17"/>
    <mergeCell ref="AF17:AI17"/>
    <mergeCell ref="AN17:AQ17"/>
    <mergeCell ref="P16:S16"/>
    <mergeCell ref="T16:W16"/>
    <mergeCell ref="X16:AA16"/>
    <mergeCell ref="AF16:AI16"/>
    <mergeCell ref="AJ17:AM17"/>
    <mergeCell ref="AR17:AU17"/>
    <mergeCell ref="L16:O16"/>
    <mergeCell ref="AB17:AE17"/>
    <mergeCell ref="AF13:AI13"/>
    <mergeCell ref="AN13:AQ13"/>
    <mergeCell ref="AR13:AU13"/>
    <mergeCell ref="L12:O12"/>
    <mergeCell ref="P12:S12"/>
    <mergeCell ref="T12:W12"/>
    <mergeCell ref="X12:AA12"/>
    <mergeCell ref="AF12:AI12"/>
    <mergeCell ref="AN12:AQ12"/>
    <mergeCell ref="L14:O14"/>
    <mergeCell ref="P14:S14"/>
    <mergeCell ref="T14:W14"/>
    <mergeCell ref="X14:AA14"/>
    <mergeCell ref="AF14:AI14"/>
    <mergeCell ref="AR12:AU12"/>
    <mergeCell ref="L13:O13"/>
    <mergeCell ref="P13:S13"/>
    <mergeCell ref="T13:W13"/>
    <mergeCell ref="X13:AA13"/>
    <mergeCell ref="AB12:AE12"/>
    <mergeCell ref="AB13:AE13"/>
    <mergeCell ref="AB14:AE14"/>
    <mergeCell ref="AJ14:AM14"/>
    <mergeCell ref="T10:W10"/>
    <mergeCell ref="X10:AA10"/>
    <mergeCell ref="AF10:AI10"/>
    <mergeCell ref="AN10:AQ10"/>
    <mergeCell ref="X8:AA8"/>
    <mergeCell ref="AF8:AI8"/>
    <mergeCell ref="X9:AA9"/>
    <mergeCell ref="AF9:AI9"/>
    <mergeCell ref="AN9:AQ9"/>
    <mergeCell ref="T8:W8"/>
    <mergeCell ref="AR10:AU10"/>
    <mergeCell ref="L11:O11"/>
    <mergeCell ref="P11:S11"/>
    <mergeCell ref="T11:W11"/>
    <mergeCell ref="X11:AA11"/>
    <mergeCell ref="AF11:AI11"/>
    <mergeCell ref="AN11:AQ11"/>
    <mergeCell ref="AR11:AU11"/>
    <mergeCell ref="L10:O10"/>
    <mergeCell ref="P10:S10"/>
    <mergeCell ref="AB10:AE10"/>
    <mergeCell ref="AB11:AE11"/>
    <mergeCell ref="AJ10:AM10"/>
    <mergeCell ref="AJ11:AM11"/>
    <mergeCell ref="D4:H4"/>
    <mergeCell ref="L4:O4"/>
    <mergeCell ref="P4:S4"/>
    <mergeCell ref="T4:W4"/>
    <mergeCell ref="X4:AA4"/>
    <mergeCell ref="AF4:AI4"/>
    <mergeCell ref="AF5:AI5"/>
    <mergeCell ref="D5:E5"/>
    <mergeCell ref="G5:H5"/>
    <mergeCell ref="D6:E6"/>
    <mergeCell ref="G6:H6"/>
    <mergeCell ref="G7:H7"/>
    <mergeCell ref="G8:H8"/>
    <mergeCell ref="D7:E7"/>
    <mergeCell ref="D8:E8"/>
    <mergeCell ref="C3:F3"/>
    <mergeCell ref="AN5:AQ5"/>
    <mergeCell ref="P6:S6"/>
    <mergeCell ref="T6:W6"/>
    <mergeCell ref="X6:AA6"/>
    <mergeCell ref="AF6:AI6"/>
    <mergeCell ref="AN4:AQ4"/>
    <mergeCell ref="AN6:AQ6"/>
    <mergeCell ref="L7:O7"/>
    <mergeCell ref="P7:S7"/>
    <mergeCell ref="T7:W7"/>
    <mergeCell ref="X7:AA7"/>
    <mergeCell ref="AF7:AI7"/>
    <mergeCell ref="AN7:AQ7"/>
    <mergeCell ref="L6:O6"/>
    <mergeCell ref="AN8:AQ8"/>
    <mergeCell ref="L8:O8"/>
    <mergeCell ref="I3:K3"/>
    <mergeCell ref="AB4:AE4"/>
    <mergeCell ref="AB5:AE5"/>
    <mergeCell ref="AB6:AE6"/>
    <mergeCell ref="AB7:AE7"/>
    <mergeCell ref="AB8:AE8"/>
    <mergeCell ref="L5:O5"/>
    <mergeCell ref="P5:S5"/>
    <mergeCell ref="T5:W5"/>
    <mergeCell ref="X5:AA5"/>
    <mergeCell ref="AR4:AU4"/>
    <mergeCell ref="AR5:AU5"/>
    <mergeCell ref="AR6:AU6"/>
    <mergeCell ref="AR9:AU9"/>
    <mergeCell ref="AR7:AU7"/>
    <mergeCell ref="AR8:AU8"/>
    <mergeCell ref="L9:O9"/>
    <mergeCell ref="P9:S9"/>
    <mergeCell ref="T9:W9"/>
    <mergeCell ref="P8:S8"/>
    <mergeCell ref="AB9:AE9"/>
    <mergeCell ref="AR59:AU59"/>
    <mergeCell ref="AN60:AQ60"/>
    <mergeCell ref="AR60:AU60"/>
    <mergeCell ref="AF58:AI58"/>
    <mergeCell ref="AN58:AQ58"/>
    <mergeCell ref="AR58:AU58"/>
    <mergeCell ref="AN57:AQ57"/>
    <mergeCell ref="AJ45:AM45"/>
    <mergeCell ref="AJ32:AM32"/>
    <mergeCell ref="AJ33:AM33"/>
    <mergeCell ref="AJ34:AM34"/>
    <mergeCell ref="AJ35:AM35"/>
    <mergeCell ref="AJ36:AM36"/>
    <mergeCell ref="AJ37:AM37"/>
    <mergeCell ref="AN54:AQ54"/>
    <mergeCell ref="AJ57:AM57"/>
    <mergeCell ref="AJ47:AM47"/>
    <mergeCell ref="AR19:AU19"/>
    <mergeCell ref="AN20:AQ20"/>
    <mergeCell ref="AV27:AX27"/>
    <mergeCell ref="AB45:AE45"/>
    <mergeCell ref="AB46:AE46"/>
    <mergeCell ref="AF31:AI31"/>
    <mergeCell ref="AF50:AI50"/>
    <mergeCell ref="AN50:AQ50"/>
    <mergeCell ref="AR50:AU50"/>
    <mergeCell ref="AR54:AU54"/>
    <mergeCell ref="AR55:AU55"/>
    <mergeCell ref="AB56:AE56"/>
    <mergeCell ref="AN56:AQ56"/>
    <mergeCell ref="AR56:AU56"/>
    <mergeCell ref="AF55:AI55"/>
    <mergeCell ref="AN55:AQ55"/>
    <mergeCell ref="AB55:AE55"/>
    <mergeCell ref="AJ27:AM27"/>
    <mergeCell ref="AJ28:AM28"/>
    <mergeCell ref="AJ29:AM29"/>
    <mergeCell ref="AJ30:AM30"/>
    <mergeCell ref="AV5:AX5"/>
    <mergeCell ref="AV6:AX6"/>
    <mergeCell ref="AV7:AX7"/>
    <mergeCell ref="AV8:AX8"/>
    <mergeCell ref="AV9:AX9"/>
    <mergeCell ref="AV34:AX34"/>
    <mergeCell ref="AV35:AX35"/>
    <mergeCell ref="AV36:AX36"/>
    <mergeCell ref="AV37:AX37"/>
    <mergeCell ref="AV38:AX38"/>
    <mergeCell ref="AV28:AX28"/>
    <mergeCell ref="AV29:AX29"/>
    <mergeCell ref="AV30:AX30"/>
    <mergeCell ref="AV31:AX31"/>
    <mergeCell ref="AV32:AX32"/>
    <mergeCell ref="AV33:AX33"/>
    <mergeCell ref="AV22:AX22"/>
    <mergeCell ref="AV16:AX16"/>
    <mergeCell ref="AV17:AX17"/>
    <mergeCell ref="AV18:AX18"/>
    <mergeCell ref="AV23:AX23"/>
    <mergeCell ref="AV24:AX24"/>
    <mergeCell ref="AV25:AX25"/>
    <mergeCell ref="AV26:AX26"/>
    <mergeCell ref="AV14:AX14"/>
    <mergeCell ref="AV15:AX15"/>
    <mergeCell ref="AV104:AX104"/>
    <mergeCell ref="AJ4:AM4"/>
    <mergeCell ref="AJ5:AM5"/>
    <mergeCell ref="AJ6:AM6"/>
    <mergeCell ref="AJ7:AM7"/>
    <mergeCell ref="AJ8:AM8"/>
    <mergeCell ref="AV94:AX94"/>
    <mergeCell ref="AV95:AX95"/>
    <mergeCell ref="AV96:AX96"/>
    <mergeCell ref="AV97:AX97"/>
    <mergeCell ref="AV98:AX98"/>
    <mergeCell ref="AV99:AX99"/>
    <mergeCell ref="AV88:AX88"/>
    <mergeCell ref="AV89:AX89"/>
    <mergeCell ref="AV90:AX90"/>
    <mergeCell ref="AV91:AX91"/>
    <mergeCell ref="AV92:AX92"/>
    <mergeCell ref="AV93:AX93"/>
    <mergeCell ref="AV82:AX82"/>
    <mergeCell ref="AV83:AX83"/>
    <mergeCell ref="AV84:AX84"/>
    <mergeCell ref="AV85:AX85"/>
    <mergeCell ref="AV86:AX86"/>
    <mergeCell ref="AJ12:AM12"/>
    <mergeCell ref="AJ13:AM13"/>
    <mergeCell ref="AR93:AU93"/>
    <mergeCell ref="AR102:AU102"/>
    <mergeCell ref="AJ38:AM38"/>
    <mergeCell ref="AV10:AX10"/>
    <mergeCell ref="AV11:AX11"/>
    <mergeCell ref="AV12:AX12"/>
    <mergeCell ref="AV13:AX13"/>
    <mergeCell ref="AV63:AX63"/>
    <mergeCell ref="C2:K2"/>
    <mergeCell ref="L2:AX2"/>
    <mergeCell ref="AV100:AX100"/>
    <mergeCell ref="AV19:AX19"/>
    <mergeCell ref="AV20:AX20"/>
    <mergeCell ref="AV21:AX21"/>
    <mergeCell ref="AN63:AQ63"/>
    <mergeCell ref="AN61:AQ61"/>
    <mergeCell ref="AV39:AX39"/>
    <mergeCell ref="AV52:AX52"/>
    <mergeCell ref="AV53:AX53"/>
    <mergeCell ref="AV54:AX54"/>
    <mergeCell ref="AV55:AX55"/>
    <mergeCell ref="AV56:AX56"/>
    <mergeCell ref="AV57:AX57"/>
    <mergeCell ref="AV46:AX46"/>
    <mergeCell ref="AV47:AX47"/>
    <mergeCell ref="AV48:AX48"/>
    <mergeCell ref="AV49:AX49"/>
    <mergeCell ref="AV50:AX50"/>
    <mergeCell ref="AV51:AX51"/>
    <mergeCell ref="AV87:AX87"/>
    <mergeCell ref="AR62:AU62"/>
    <mergeCell ref="AR63:AU63"/>
    <mergeCell ref="AR64:AU64"/>
    <mergeCell ref="AV80:AX80"/>
    <mergeCell ref="AJ89:AM89"/>
    <mergeCell ref="AR20:AU20"/>
    <mergeCell ref="AN62:AQ62"/>
    <mergeCell ref="AN64:AQ64"/>
    <mergeCell ref="AV4:AX4"/>
    <mergeCell ref="AJ90:AM90"/>
    <mergeCell ref="AJ77:AM77"/>
    <mergeCell ref="AJ79:AM79"/>
    <mergeCell ref="AJ80:AM80"/>
    <mergeCell ref="AJ81:AM81"/>
    <mergeCell ref="AJ82:AM82"/>
    <mergeCell ref="AJ83:AM83"/>
    <mergeCell ref="AJ85:AM85"/>
    <mergeCell ref="AJ78:AM78"/>
    <mergeCell ref="AN83:AQ83"/>
    <mergeCell ref="AN80:AQ80"/>
    <mergeCell ref="AV81:AX81"/>
    <mergeCell ref="AV70:AX70"/>
    <mergeCell ref="AV71:AX71"/>
    <mergeCell ref="AV72:AX72"/>
    <mergeCell ref="AR79:AU79"/>
    <mergeCell ref="AR81:AU81"/>
    <mergeCell ref="AV76:AX76"/>
    <mergeCell ref="AV77:AX77"/>
    <mergeCell ref="AV78:AX78"/>
    <mergeCell ref="AN71:AQ71"/>
    <mergeCell ref="AN79:AQ79"/>
    <mergeCell ref="AZ2:BT2"/>
    <mergeCell ref="AV73:AX73"/>
    <mergeCell ref="AV74:AX74"/>
    <mergeCell ref="AV75:AX75"/>
    <mergeCell ref="AV64:AX64"/>
    <mergeCell ref="AV65:AX65"/>
    <mergeCell ref="AV66:AX66"/>
    <mergeCell ref="AV67:AX67"/>
    <mergeCell ref="AV68:AX68"/>
    <mergeCell ref="AV69:AX69"/>
    <mergeCell ref="AV58:AX58"/>
    <mergeCell ref="AV59:AX59"/>
    <mergeCell ref="AV60:AX60"/>
    <mergeCell ref="AJ39:AM39"/>
    <mergeCell ref="AJ40:AM40"/>
    <mergeCell ref="AJ41:AM41"/>
    <mergeCell ref="AJ42:AM42"/>
    <mergeCell ref="AJ43:AM43"/>
    <mergeCell ref="AV40:AX40"/>
    <mergeCell ref="AV41:AX41"/>
    <mergeCell ref="AV42:AX42"/>
    <mergeCell ref="AV43:AX43"/>
    <mergeCell ref="AV44:AX44"/>
    <mergeCell ref="AV45:AX45"/>
    <mergeCell ref="AJ18:AM18"/>
    <mergeCell ref="AJ19:AM19"/>
    <mergeCell ref="AJ20:AM20"/>
    <mergeCell ref="AJ21:AM21"/>
    <mergeCell ref="AJ22:AM22"/>
    <mergeCell ref="AJ23:AM23"/>
    <mergeCell ref="AJ9:AM9"/>
    <mergeCell ref="AV62:AX62"/>
    <mergeCell ref="DA5:DC5"/>
    <mergeCell ref="BP12:BQ12"/>
    <mergeCell ref="BR12:BT12"/>
    <mergeCell ref="BP48:BQ48"/>
    <mergeCell ref="BR48:BT48"/>
    <mergeCell ref="BP52:BQ52"/>
    <mergeCell ref="AZ108:BC108"/>
    <mergeCell ref="BD108:BF108"/>
    <mergeCell ref="BG108:BK108"/>
    <mergeCell ref="BL108:BO108"/>
    <mergeCell ref="BP108:BQ108"/>
    <mergeCell ref="BR108:BT108"/>
    <mergeCell ref="AZ105:BC105"/>
    <mergeCell ref="BD105:BF105"/>
    <mergeCell ref="BG105:BK105"/>
    <mergeCell ref="BL105:BO105"/>
    <mergeCell ref="BP105:BQ105"/>
    <mergeCell ref="BR105:BT105"/>
    <mergeCell ref="AZ106:BC106"/>
    <mergeCell ref="BD106:BF106"/>
    <mergeCell ref="BG106:BK106"/>
    <mergeCell ref="BL106:BO106"/>
    <mergeCell ref="BP106:BQ106"/>
    <mergeCell ref="BR106:BT106"/>
    <mergeCell ref="AZ107:BC107"/>
    <mergeCell ref="BD107:BF107"/>
    <mergeCell ref="BD8:BF8"/>
    <mergeCell ref="BG8:BK8"/>
    <mergeCell ref="BL8:BO8"/>
    <mergeCell ref="BP8:BQ8"/>
    <mergeCell ref="BR8:BT8"/>
    <mergeCell ref="BP9:BQ9"/>
    <mergeCell ref="G106:H106"/>
    <mergeCell ref="G105:H105"/>
    <mergeCell ref="T105:W105"/>
    <mergeCell ref="AB105:AE105"/>
    <mergeCell ref="AJ105:AM105"/>
    <mergeCell ref="AR105:AU105"/>
    <mergeCell ref="AV101:AX101"/>
    <mergeCell ref="AV102:AX102"/>
    <mergeCell ref="AV103:AX103"/>
    <mergeCell ref="AV79:AX79"/>
    <mergeCell ref="AV61:AX61"/>
    <mergeCell ref="AR80:AU80"/>
    <mergeCell ref="FQ3:FS3"/>
    <mergeCell ref="BG107:BK107"/>
    <mergeCell ref="BL107:BO107"/>
    <mergeCell ref="BP107:BQ107"/>
    <mergeCell ref="BR107:BT107"/>
    <mergeCell ref="DD9:DF9"/>
    <mergeCell ref="DD10:DF10"/>
    <mergeCell ref="DA9:DC9"/>
    <mergeCell ref="DA10:DC10"/>
    <mergeCell ref="DD5:DF5"/>
    <mergeCell ref="DD6:DF6"/>
    <mergeCell ref="DD7:DF7"/>
    <mergeCell ref="DD8:DF8"/>
    <mergeCell ref="DA4:DC4"/>
    <mergeCell ref="DD4:DF4"/>
    <mergeCell ref="CO3:CW3"/>
    <mergeCell ref="CX3:DF3"/>
    <mergeCell ref="DA8:DC8"/>
    <mergeCell ref="DA7:DC7"/>
    <mergeCell ref="DA6:DC6"/>
  </mergeCells>
  <printOptions horizontalCentered="1"/>
  <pageMargins left="0.7" right="0.7" top="0.75" bottom="0.75" header="0.3" footer="0.3"/>
  <pageSetup orientation="portrait" r:id="rId1"/>
  <headerFooter scaleWithDoc="0">
    <oddHeader>&amp;C&amp;"Cambria,Bold"&amp;16&amp;UAdditional Calculations</oddHeader>
    <oddFooter>&amp;LCCIpole - version 4.4.1&amp;RAnalysis Date: 8/27/2020&amp;CPage 5</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858" r:id="rId4" name="Display_Axial_Checkbox">
              <controlPr defaultSize="0" autoFill="0" autoLine="0" autoPict="0" macro="[0]!Sheet17.Display_Axial_Checkbox_Click">
                <anchor>
                  <from>
                    <xdr:col>33</xdr:col>
                    <xdr:colOff>238125</xdr:colOff>
                    <xdr:row>1</xdr:row>
                    <xdr:rowOff>66675</xdr:rowOff>
                  </from>
                  <to>
                    <xdr:col>42</xdr:col>
                    <xdr:colOff>219075</xdr:colOff>
                    <xdr:row>1</xdr:row>
                    <xdr:rowOff>276225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dimension ref="B1:F54"/>
  <sheetViews>
    <sheetView showGridLines="0" workbookViewId="0">
      <selection activeCell="B20" sqref="B20"/>
    </sheetView>
  </sheetViews>
  <sheetFormatPr defaultRowHeight="12.75" x14ac:dyDescent="0.2"/>
  <cols>
    <col min="2" max="2" width="19.28515625" customWidth="1"/>
    <col min="3" max="4" width="11" customWidth="1"/>
    <col min="6" max="6" width="12.28515625" bestFit="1" customWidth="1"/>
  </cols>
  <sheetData>
    <row r="1" spans="2:6" ht="54.95" customHeight="1" x14ac:dyDescent="0.2"/>
    <row r="2" spans="2:6" ht="39.75" customHeight="1" x14ac:dyDescent="0.2">
      <c r="B2" s="15" t="s">
        <v>57</v>
      </c>
      <c r="C2" s="15" t="s">
        <v>58</v>
      </c>
      <c r="D2" s="15" t="s">
        <v>59</v>
      </c>
      <c r="E2" s="599" t="s">
        <v>1290</v>
      </c>
      <c r="F2" s="599" t="s">
        <v>1283</v>
      </c>
    </row>
    <row r="3" spans="2:6" x14ac:dyDescent="0.2">
      <c r="B3" s="72" t="s">
        <v>204</v>
      </c>
      <c r="C3" s="73">
        <v>36</v>
      </c>
      <c r="D3" s="73">
        <v>58</v>
      </c>
      <c r="E3" s="73">
        <v>1</v>
      </c>
      <c r="F3" s="73" t="b">
        <f>IF(Materials[[#This Row],[Material]]="","",IF(ROW(Materials[[#This Row],[Material]])&gt;19,FALSE,TRUE))</f>
        <v>1</v>
      </c>
    </row>
    <row r="4" spans="2:6" x14ac:dyDescent="0.2">
      <c r="B4" s="72" t="s">
        <v>238</v>
      </c>
      <c r="C4" s="73">
        <v>42</v>
      </c>
      <c r="D4" s="73">
        <v>60</v>
      </c>
      <c r="E4" s="73">
        <v>2</v>
      </c>
      <c r="F4" s="73" t="b">
        <f>IF(Materials[[#This Row],[Material]]="","",IF(ROW(Materials[[#This Row],[Material]])&gt;19,FALSE,TRUE))</f>
        <v>1</v>
      </c>
    </row>
    <row r="5" spans="2:6" x14ac:dyDescent="0.2">
      <c r="B5" s="72" t="s">
        <v>255</v>
      </c>
      <c r="C5" s="73">
        <v>45</v>
      </c>
      <c r="D5" s="73">
        <v>60</v>
      </c>
      <c r="E5" s="73">
        <v>3</v>
      </c>
      <c r="F5" s="73" t="b">
        <f>IF(Materials[[#This Row],[Material]]="","",IF(ROW(Materials[[#This Row],[Material]])&gt;19,FALSE,TRUE))</f>
        <v>1</v>
      </c>
    </row>
    <row r="6" spans="2:6" x14ac:dyDescent="0.2">
      <c r="B6" s="72" t="s">
        <v>256</v>
      </c>
      <c r="C6" s="73">
        <v>50</v>
      </c>
      <c r="D6" s="73">
        <v>65</v>
      </c>
      <c r="E6" s="73">
        <v>4</v>
      </c>
      <c r="F6" s="73" t="b">
        <f>IF(Materials[[#This Row],[Material]]="","",IF(ROW(Materials[[#This Row],[Material]])&gt;19,FALSE,TRUE))</f>
        <v>1</v>
      </c>
    </row>
    <row r="7" spans="2:6" x14ac:dyDescent="0.2">
      <c r="B7" s="73" t="s">
        <v>236</v>
      </c>
      <c r="C7" s="73">
        <v>50</v>
      </c>
      <c r="D7" s="73">
        <v>62</v>
      </c>
      <c r="E7" s="73">
        <v>5</v>
      </c>
      <c r="F7" s="73" t="b">
        <f>IF(Materials[[#This Row],[Material]]="","",IF(ROW(Materials[[#This Row],[Material]])&gt;19,FALSE,TRUE))</f>
        <v>1</v>
      </c>
    </row>
    <row r="8" spans="2:6" x14ac:dyDescent="0.2">
      <c r="B8" s="74" t="s">
        <v>153</v>
      </c>
      <c r="C8" s="75">
        <v>100</v>
      </c>
      <c r="D8" s="75">
        <v>110</v>
      </c>
      <c r="E8" s="73">
        <v>6</v>
      </c>
      <c r="F8" s="73" t="b">
        <f>IF(Materials[[#This Row],[Material]]="","",IF(ROW(Materials[[#This Row],[Material]])&gt;19,FALSE,TRUE))</f>
        <v>1</v>
      </c>
    </row>
    <row r="9" spans="2:6" x14ac:dyDescent="0.2">
      <c r="B9" s="73" t="s">
        <v>234</v>
      </c>
      <c r="C9" s="73">
        <v>35</v>
      </c>
      <c r="D9" s="73">
        <v>63</v>
      </c>
      <c r="E9" s="73">
        <v>7</v>
      </c>
      <c r="F9" s="73" t="b">
        <f>IF(Materials[[#This Row],[Material]]="","",IF(ROW(Materials[[#This Row],[Material]])&gt;19,FALSE,TRUE))</f>
        <v>1</v>
      </c>
    </row>
    <row r="10" spans="2:6" x14ac:dyDescent="0.2">
      <c r="B10" s="72" t="s">
        <v>194</v>
      </c>
      <c r="C10" s="73">
        <v>42</v>
      </c>
      <c r="D10" s="73">
        <v>63</v>
      </c>
      <c r="E10" s="73">
        <v>8</v>
      </c>
      <c r="F10" s="73" t="b">
        <f>IF(Materials[[#This Row],[Material]]="","",IF(ROW(Materials[[#This Row],[Material]])&gt;19,FALSE,TRUE))</f>
        <v>1</v>
      </c>
    </row>
    <row r="11" spans="2:6" x14ac:dyDescent="0.2">
      <c r="B11" s="75" t="s">
        <v>203</v>
      </c>
      <c r="C11" s="75">
        <v>50</v>
      </c>
      <c r="D11" s="75">
        <v>65</v>
      </c>
      <c r="E11" s="73">
        <v>9</v>
      </c>
      <c r="F11" s="73" t="b">
        <f>IF(Materials[[#This Row],[Material]]="","",IF(ROW(Materials[[#This Row],[Material]])&gt;19,FALSE,TRUE))</f>
        <v>1</v>
      </c>
    </row>
    <row r="12" spans="2:6" x14ac:dyDescent="0.2">
      <c r="B12" s="72" t="s">
        <v>257</v>
      </c>
      <c r="C12" s="73">
        <v>55</v>
      </c>
      <c r="D12" s="73">
        <v>70</v>
      </c>
      <c r="E12" s="73">
        <v>10</v>
      </c>
      <c r="F12" s="73" t="b">
        <f>IF(Materials[[#This Row],[Material]]="","",IF(ROW(Materials[[#This Row],[Material]])&gt;19,FALSE,TRUE))</f>
        <v>1</v>
      </c>
    </row>
    <row r="13" spans="2:6" x14ac:dyDescent="0.2">
      <c r="B13" s="73" t="s">
        <v>233</v>
      </c>
      <c r="C13" s="73">
        <v>60</v>
      </c>
      <c r="D13" s="73">
        <v>76</v>
      </c>
      <c r="E13" s="73">
        <v>11</v>
      </c>
      <c r="F13" s="73" t="b">
        <f>IF(Materials[[#This Row],[Material]]="","",IF(ROW(Materials[[#This Row],[Material]])&gt;19,FALSE,TRUE))</f>
        <v>1</v>
      </c>
    </row>
    <row r="14" spans="2:6" x14ac:dyDescent="0.2">
      <c r="B14" s="72" t="s">
        <v>60</v>
      </c>
      <c r="C14" s="73">
        <v>65</v>
      </c>
      <c r="D14" s="73">
        <v>80</v>
      </c>
      <c r="E14" s="73">
        <v>12</v>
      </c>
      <c r="F14" s="73" t="b">
        <f>IF(Materials[[#This Row],[Material]]="","",IF(ROW(Materials[[#This Row],[Material]])&gt;19,FALSE,TRUE))</f>
        <v>1</v>
      </c>
    </row>
    <row r="15" spans="2:6" x14ac:dyDescent="0.2">
      <c r="B15" s="73" t="s">
        <v>237</v>
      </c>
      <c r="C15" s="73">
        <v>60</v>
      </c>
      <c r="D15" s="73">
        <v>75</v>
      </c>
      <c r="E15" s="73">
        <v>13</v>
      </c>
      <c r="F15" s="73" t="b">
        <f>IF(Materials[[#This Row],[Material]]="","",IF(ROW(Materials[[#This Row],[Material]])&gt;19,FALSE,TRUE))</f>
        <v>1</v>
      </c>
    </row>
    <row r="16" spans="2:6" x14ac:dyDescent="0.2">
      <c r="B16" s="73" t="s">
        <v>177</v>
      </c>
      <c r="C16" s="73">
        <v>65</v>
      </c>
      <c r="D16" s="73">
        <v>80</v>
      </c>
      <c r="E16" s="73">
        <v>14</v>
      </c>
      <c r="F16" s="73" t="b">
        <f>IF(Materials[[#This Row],[Material]]="","",IF(ROW(Materials[[#This Row],[Material]])&gt;19,FALSE,TRUE))</f>
        <v>1</v>
      </c>
    </row>
    <row r="17" spans="2:6" x14ac:dyDescent="0.2">
      <c r="B17" s="75" t="s">
        <v>197</v>
      </c>
      <c r="C17" s="75">
        <v>75</v>
      </c>
      <c r="D17" s="75">
        <v>100</v>
      </c>
      <c r="E17" s="73">
        <v>15</v>
      </c>
      <c r="F17" s="73" t="b">
        <f>IF(Materials[[#This Row],[Material]]="","",IF(ROW(Materials[[#This Row],[Material]])&gt;19,FALSE,TRUE))</f>
        <v>1</v>
      </c>
    </row>
    <row r="18" spans="2:6" x14ac:dyDescent="0.2">
      <c r="B18" s="73" t="s">
        <v>235</v>
      </c>
      <c r="C18" s="73">
        <v>60</v>
      </c>
      <c r="D18" s="73">
        <v>80</v>
      </c>
      <c r="E18" s="73">
        <v>16</v>
      </c>
      <c r="F18" s="73" t="b">
        <f>IF(Materials[[#This Row],[Material]]="","",IF(ROW(Materials[[#This Row],[Material]])&gt;19,FALSE,TRUE))</f>
        <v>1</v>
      </c>
    </row>
    <row r="19" spans="2:6" x14ac:dyDescent="0.2">
      <c r="B19" s="72" t="s">
        <v>205</v>
      </c>
      <c r="C19" s="73">
        <v>65</v>
      </c>
      <c r="D19" s="73">
        <v>80</v>
      </c>
      <c r="E19" s="73">
        <v>17</v>
      </c>
      <c r="F19" s="73" t="b">
        <f>IF(Materials[[#This Row],[Material]]="","",IF(ROW(Materials[[#This Row],[Material]])&gt;19,FALSE,TRUE))</f>
        <v>1</v>
      </c>
    </row>
    <row r="20" spans="2:6" x14ac:dyDescent="0.2">
      <c r="B20" s="69"/>
      <c r="C20" s="69"/>
      <c r="D20" s="69"/>
      <c r="E20" s="73">
        <v>18</v>
      </c>
      <c r="F20" s="73" t="str">
        <f>IF(Materials[[#This Row],[Material]]="","",IF(ROW(Materials[[#This Row],[Material]])&gt;19,FALSE,TRUE))</f>
        <v/>
      </c>
    </row>
    <row r="21" spans="2:6" x14ac:dyDescent="0.2">
      <c r="B21" s="69"/>
      <c r="C21" s="69"/>
      <c r="D21" s="69"/>
      <c r="E21" s="73">
        <v>19</v>
      </c>
      <c r="F21" s="73" t="str">
        <f>IF(Materials[[#This Row],[Material]]="","",IF(ROW(Materials[[#This Row],[Material]])&gt;19,FALSE,TRUE))</f>
        <v/>
      </c>
    </row>
    <row r="22" spans="2:6" x14ac:dyDescent="0.2">
      <c r="B22" s="69"/>
      <c r="C22" s="69"/>
      <c r="D22" s="69"/>
      <c r="E22" s="73">
        <v>20</v>
      </c>
      <c r="F22" s="73" t="str">
        <f>IF(Materials[[#This Row],[Material]]="","",IF(ROW(Materials[[#This Row],[Material]])&gt;19,FALSE,TRUE))</f>
        <v/>
      </c>
    </row>
    <row r="23" spans="2:6" x14ac:dyDescent="0.2">
      <c r="B23" s="69"/>
      <c r="C23" s="69"/>
      <c r="D23" s="69"/>
      <c r="E23" s="73">
        <v>21</v>
      </c>
      <c r="F23" s="73" t="str">
        <f>IF(Materials[[#This Row],[Material]]="","",IF(ROW(Materials[[#This Row],[Material]])&gt;19,FALSE,TRUE))</f>
        <v/>
      </c>
    </row>
    <row r="24" spans="2:6" x14ac:dyDescent="0.2">
      <c r="B24" s="69"/>
      <c r="C24" s="69"/>
      <c r="D24" s="69"/>
      <c r="E24" s="73">
        <v>22</v>
      </c>
      <c r="F24" s="73" t="str">
        <f>IF(Materials[[#This Row],[Material]]="","",IF(ROW(Materials[[#This Row],[Material]])&gt;19,FALSE,TRUE))</f>
        <v/>
      </c>
    </row>
    <row r="25" spans="2:6" x14ac:dyDescent="0.2">
      <c r="B25" s="69"/>
      <c r="C25" s="69"/>
      <c r="D25" s="69"/>
      <c r="E25" s="73">
        <v>23</v>
      </c>
      <c r="F25" s="73" t="str">
        <f>IF(Materials[[#This Row],[Material]]="","",IF(ROW(Materials[[#This Row],[Material]])&gt;19,FALSE,TRUE))</f>
        <v/>
      </c>
    </row>
    <row r="26" spans="2:6" x14ac:dyDescent="0.2">
      <c r="B26" s="69"/>
      <c r="C26" s="69"/>
      <c r="D26" s="69"/>
      <c r="E26" s="73">
        <v>24</v>
      </c>
      <c r="F26" s="73" t="str">
        <f>IF(Materials[[#This Row],[Material]]="","",IF(ROW(Materials[[#This Row],[Material]])&gt;19,FALSE,TRUE))</f>
        <v/>
      </c>
    </row>
    <row r="27" spans="2:6" x14ac:dyDescent="0.2">
      <c r="B27" s="69"/>
      <c r="C27" s="69"/>
      <c r="D27" s="69"/>
      <c r="E27" s="73">
        <v>25</v>
      </c>
      <c r="F27" s="73" t="str">
        <f>IF(Materials[[#This Row],[Material]]="","",IF(ROW(Materials[[#This Row],[Material]])&gt;19,FALSE,TRUE))</f>
        <v/>
      </c>
    </row>
    <row r="28" spans="2:6" x14ac:dyDescent="0.2">
      <c r="B28" s="69"/>
      <c r="C28" s="69"/>
      <c r="D28" s="69"/>
      <c r="E28" s="73">
        <v>26</v>
      </c>
      <c r="F28" s="73" t="str">
        <f>IF(Materials[[#This Row],[Material]]="","",IF(ROW(Materials[[#This Row],[Material]])&gt;19,FALSE,TRUE))</f>
        <v/>
      </c>
    </row>
    <row r="29" spans="2:6" x14ac:dyDescent="0.2">
      <c r="B29" s="69"/>
      <c r="C29" s="69"/>
      <c r="D29" s="69"/>
      <c r="E29" s="73">
        <v>27</v>
      </c>
      <c r="F29" s="73" t="str">
        <f>IF(Materials[[#This Row],[Material]]="","",IF(ROW(Materials[[#This Row],[Material]])&gt;19,FALSE,TRUE))</f>
        <v/>
      </c>
    </row>
    <row r="30" spans="2:6" x14ac:dyDescent="0.2">
      <c r="B30" s="69"/>
      <c r="C30" s="69"/>
      <c r="D30" s="69"/>
      <c r="E30" s="73">
        <v>28</v>
      </c>
      <c r="F30" s="73" t="str">
        <f>IF(Materials[[#This Row],[Material]]="","",IF(ROW(Materials[[#This Row],[Material]])&gt;19,FALSE,TRUE))</f>
        <v/>
      </c>
    </row>
    <row r="31" spans="2:6" x14ac:dyDescent="0.2">
      <c r="B31" s="69"/>
      <c r="C31" s="69"/>
      <c r="D31" s="69"/>
    </row>
    <row r="32" spans="2:6" x14ac:dyDescent="0.2">
      <c r="B32" s="69"/>
      <c r="C32" s="69"/>
      <c r="D32" s="69"/>
    </row>
    <row r="33" spans="2:4" x14ac:dyDescent="0.2">
      <c r="B33" s="69"/>
      <c r="C33" s="69"/>
      <c r="D33" s="69"/>
    </row>
    <row r="34" spans="2:4" x14ac:dyDescent="0.2">
      <c r="B34" s="69"/>
      <c r="C34" s="69"/>
      <c r="D34" s="69"/>
    </row>
    <row r="35" spans="2:4" x14ac:dyDescent="0.2">
      <c r="B35" s="69"/>
      <c r="C35" s="69"/>
      <c r="D35" s="69"/>
    </row>
    <row r="36" spans="2:4" x14ac:dyDescent="0.2">
      <c r="B36" s="69"/>
      <c r="C36" s="69"/>
      <c r="D36" s="69"/>
    </row>
    <row r="37" spans="2:4" x14ac:dyDescent="0.2">
      <c r="B37" s="69"/>
      <c r="C37" s="69"/>
      <c r="D37" s="69"/>
    </row>
    <row r="38" spans="2:4" x14ac:dyDescent="0.2">
      <c r="B38" s="69"/>
      <c r="C38" s="69"/>
      <c r="D38" s="69"/>
    </row>
    <row r="39" spans="2:4" x14ac:dyDescent="0.2">
      <c r="B39" s="69"/>
      <c r="C39" s="69"/>
      <c r="D39" s="69"/>
    </row>
    <row r="40" spans="2:4" x14ac:dyDescent="0.2">
      <c r="B40" s="69"/>
      <c r="C40" s="69"/>
      <c r="D40" s="69"/>
    </row>
    <row r="41" spans="2:4" x14ac:dyDescent="0.2">
      <c r="B41" s="69"/>
      <c r="C41" s="69"/>
      <c r="D41" s="69"/>
    </row>
    <row r="42" spans="2:4" x14ac:dyDescent="0.2">
      <c r="B42" s="69"/>
      <c r="C42" s="69"/>
      <c r="D42" s="69"/>
    </row>
    <row r="43" spans="2:4" x14ac:dyDescent="0.2">
      <c r="B43" s="69"/>
      <c r="C43" s="69"/>
      <c r="D43" s="69"/>
    </row>
    <row r="44" spans="2:4" x14ac:dyDescent="0.2">
      <c r="B44" s="69"/>
      <c r="C44" s="69"/>
      <c r="D44" s="69"/>
    </row>
    <row r="45" spans="2:4" x14ac:dyDescent="0.2">
      <c r="B45" s="69"/>
      <c r="C45" s="69"/>
      <c r="D45" s="69"/>
    </row>
    <row r="46" spans="2:4" x14ac:dyDescent="0.2">
      <c r="B46" s="69"/>
      <c r="C46" s="69"/>
      <c r="D46" s="69"/>
    </row>
    <row r="47" spans="2:4" x14ac:dyDescent="0.2">
      <c r="B47" s="69"/>
      <c r="C47" s="69"/>
      <c r="D47" s="69"/>
    </row>
    <row r="48" spans="2:4" x14ac:dyDescent="0.2">
      <c r="B48" s="69"/>
      <c r="C48" s="69"/>
      <c r="D48" s="69"/>
    </row>
    <row r="49" spans="2:4" x14ac:dyDescent="0.2">
      <c r="B49" s="69"/>
      <c r="C49" s="69"/>
      <c r="D49" s="69"/>
    </row>
    <row r="50" spans="2:4" x14ac:dyDescent="0.2">
      <c r="B50" s="69"/>
      <c r="C50" s="69"/>
      <c r="D50" s="69"/>
    </row>
    <row r="51" spans="2:4" x14ac:dyDescent="0.2">
      <c r="B51" s="69"/>
      <c r="C51" s="69"/>
      <c r="D51" s="69"/>
    </row>
    <row r="52" spans="2:4" x14ac:dyDescent="0.2">
      <c r="B52" s="69"/>
      <c r="C52" s="69"/>
      <c r="D52" s="69"/>
    </row>
    <row r="53" spans="2:4" x14ac:dyDescent="0.2">
      <c r="B53" s="69"/>
      <c r="C53" s="69"/>
      <c r="D53" s="69"/>
    </row>
    <row r="54" spans="2:4" x14ac:dyDescent="0.2">
      <c r="B54" s="69"/>
      <c r="C54" s="69"/>
      <c r="D54" s="69"/>
    </row>
  </sheetData>
  <sheetProtection algorithmName="SHA-512" hashValue="ud5B9ZkIVtdcmZWLefJjdGPT1d6UqHpKlfyU1rcgIc+KuIh69tav/RB1IvFkFnVt8g5uAAD4G9FY7bB8dTztWQ==" saltValue="GOm3hDg3sLpVzfj4U9vi5g==" spinCount="100000" sheet="1" objects="1" scenarios="1"/>
  <pageMargins left="0.7" right="0.7" top="0.75" bottom="0.75" header="0.3" footer="0.3"/>
  <pageSetup orientation="portrait"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B1:HI155"/>
  <sheetViews>
    <sheetView showGridLines="0" zoomScale="110" zoomScaleNormal="110" workbookViewId="0">
      <pane xSplit="2" ySplit="2" topLeftCell="C42" activePane="bottomRight" state="frozen"/>
      <selection pane="topRight" activeCell="C1" sqref="C1"/>
      <selection pane="bottomLeft" activeCell="A3" sqref="A3"/>
      <selection pane="bottomRight" activeCell="B61" sqref="B61"/>
    </sheetView>
  </sheetViews>
  <sheetFormatPr defaultRowHeight="12.75" x14ac:dyDescent="0.2"/>
  <cols>
    <col min="1" max="1" width="9.140625" customWidth="1"/>
    <col min="2" max="2" width="31.5703125" customWidth="1"/>
    <col min="3" max="3" width="9.5703125" customWidth="1"/>
    <col min="4" max="5" width="8.7109375" customWidth="1"/>
    <col min="6" max="6" width="9.140625" style="65" customWidth="1"/>
    <col min="7" max="7" width="10.42578125" customWidth="1"/>
    <col min="8" max="11" width="10.42578125" style="65" customWidth="1"/>
    <col min="12" max="12" width="9.7109375" customWidth="1"/>
    <col min="13" max="14" width="10" customWidth="1"/>
    <col min="15" max="15" width="14.5703125" style="65" customWidth="1"/>
    <col min="16" max="16" width="8.7109375" customWidth="1"/>
    <col min="17" max="17" width="8.7109375" style="65" hidden="1" customWidth="1"/>
    <col min="18" max="18" width="8.7109375" customWidth="1"/>
    <col min="19" max="19" width="12.140625" style="25" hidden="1" customWidth="1"/>
    <col min="20" max="20" width="12.85546875" style="25" customWidth="1"/>
    <col min="21" max="21" width="14.5703125" style="65" customWidth="1"/>
    <col min="22" max="22" width="12.140625" style="65" customWidth="1"/>
    <col min="23" max="23" width="13.140625" style="65" customWidth="1"/>
    <col min="24" max="24" width="13" style="65" hidden="1" customWidth="1"/>
    <col min="25" max="25" width="13" style="65" customWidth="1"/>
    <col min="26" max="26" width="9.5703125" style="65" customWidth="1"/>
    <col min="27" max="27" width="13" style="25" customWidth="1"/>
    <col min="28" max="28" width="11.7109375" style="65" customWidth="1"/>
    <col min="29" max="29" width="12.42578125" style="65" customWidth="1"/>
    <col min="30" max="30" width="12.42578125" style="10" customWidth="1"/>
    <col min="31" max="31" width="19.28515625" style="65" customWidth="1"/>
    <col min="32" max="34" width="13" style="65" customWidth="1"/>
    <col min="35" max="35" width="18" style="65" customWidth="1"/>
    <col min="36" max="36" width="15.5703125" style="65" hidden="1" customWidth="1"/>
    <col min="37" max="39" width="13" style="65" hidden="1" customWidth="1"/>
    <col min="40" max="41" width="15.42578125" style="65" customWidth="1"/>
    <col min="42" max="46" width="13" style="65" customWidth="1"/>
    <col min="47" max="47" width="14.28515625" style="65" customWidth="1"/>
    <col min="48" max="48" width="13.28515625" style="65" customWidth="1"/>
    <col min="49" max="49" width="13" style="65" customWidth="1"/>
    <col min="50" max="50" width="18.140625" style="65" customWidth="1"/>
    <col min="51" max="51" width="15.5703125" style="25" customWidth="1"/>
    <col min="52" max="52" width="13" style="25" customWidth="1"/>
    <col min="53" max="53" width="16.85546875" style="65" customWidth="1"/>
    <col min="54" max="54" width="12.5703125" style="65" customWidth="1"/>
    <col min="55" max="55" width="12.28515625" style="65" customWidth="1"/>
    <col min="56" max="56" width="12.28515625" style="10" customWidth="1"/>
    <col min="57" max="57" width="18.7109375" style="65" customWidth="1"/>
    <col min="58" max="61" width="13" style="65" customWidth="1"/>
    <col min="62" max="63" width="13" style="65" hidden="1" customWidth="1"/>
    <col min="64" max="65" width="12.140625" style="65" hidden="1" customWidth="1"/>
    <col min="66" max="70" width="12.140625" style="65" customWidth="1"/>
    <col min="71" max="71" width="13.42578125" style="65" customWidth="1"/>
    <col min="72" max="72" width="12.7109375" style="65" customWidth="1"/>
    <col min="73" max="80" width="12.140625" style="65" customWidth="1"/>
    <col min="81" max="81" width="12.140625" style="65" hidden="1" customWidth="1"/>
    <col min="82" max="82" width="11.42578125" hidden="1" customWidth="1"/>
    <col min="83" max="84" width="12.28515625" style="65" hidden="1" customWidth="1"/>
    <col min="85" max="85" width="12.7109375" hidden="1" customWidth="1"/>
    <col min="86" max="87" width="10.7109375" hidden="1" customWidth="1"/>
    <col min="88" max="88" width="8.7109375" hidden="1" customWidth="1"/>
    <col min="89" max="89" width="12.5703125" hidden="1" customWidth="1"/>
    <col min="90" max="90" width="10.42578125" style="25" hidden="1" customWidth="1"/>
    <col min="91" max="91" width="12" hidden="1" customWidth="1"/>
    <col min="92" max="92" width="11.7109375" hidden="1" customWidth="1"/>
    <col min="93" max="93" width="13.7109375" style="65" hidden="1" customWidth="1"/>
    <col min="94" max="94" width="12.7109375" style="65" hidden="1" customWidth="1"/>
    <col min="95" max="96" width="13.7109375" style="65" hidden="1" customWidth="1"/>
    <col min="97" max="97" width="12.42578125" style="119" hidden="1" customWidth="1"/>
    <col min="98" max="98" width="11.28515625" style="65" hidden="1" customWidth="1"/>
    <col min="99" max="99" width="11.85546875" style="65" hidden="1" customWidth="1"/>
    <col min="100" max="100" width="16.7109375" style="65" hidden="1" customWidth="1"/>
    <col min="101" max="101" width="16" style="65" hidden="1" customWidth="1"/>
    <col min="102" max="102" width="16.28515625" style="65" hidden="1" customWidth="1"/>
    <col min="103" max="103" width="16.140625" style="65" hidden="1" customWidth="1"/>
    <col min="104" max="104" width="16.42578125" style="65" hidden="1" customWidth="1"/>
    <col min="105" max="105" width="16.140625" hidden="1" customWidth="1"/>
    <col min="106" max="106" width="14.42578125" style="65" hidden="1" customWidth="1"/>
    <col min="107" max="107" width="13.7109375" hidden="1" customWidth="1"/>
    <col min="108" max="108" width="14.28515625" hidden="1" customWidth="1"/>
    <col min="109" max="111" width="13.7109375" style="65" hidden="1" customWidth="1"/>
    <col min="112" max="112" width="16.7109375" style="65" hidden="1" customWidth="1"/>
    <col min="113" max="115" width="17.140625" style="65" hidden="1" customWidth="1"/>
    <col min="116" max="119" width="16.85546875" style="65" hidden="1" customWidth="1"/>
    <col min="120" max="120" width="16.5703125" hidden="1" customWidth="1"/>
    <col min="121" max="121" width="16.5703125" style="65" hidden="1" customWidth="1"/>
    <col min="122" max="122" width="15.85546875" hidden="1" customWidth="1"/>
    <col min="123" max="123" width="16.7109375" hidden="1" customWidth="1"/>
    <col min="124" max="124" width="15.28515625" hidden="1" customWidth="1"/>
    <col min="125" max="125" width="16.28515625" hidden="1" customWidth="1"/>
    <col min="126" max="126" width="17.140625" style="65" hidden="1" customWidth="1"/>
    <col min="127" max="127" width="17.28515625" hidden="1" customWidth="1"/>
    <col min="128" max="128" width="17.28515625" style="65" hidden="1" customWidth="1"/>
    <col min="129" max="129" width="17" style="65" hidden="1" customWidth="1"/>
    <col min="130" max="130" width="16.140625" style="65" hidden="1" customWidth="1"/>
    <col min="131" max="185" width="16.140625" style="10" hidden="1" customWidth="1"/>
    <col min="186" max="186" width="16.7109375" style="10" hidden="1" customWidth="1"/>
    <col min="187" max="187" width="19.140625" style="10" hidden="1" customWidth="1"/>
    <col min="188" max="188" width="16.5703125" style="10" hidden="1" customWidth="1"/>
    <col min="189" max="189" width="14.85546875" style="10" hidden="1" customWidth="1"/>
    <col min="190" max="196" width="13.140625" style="10" hidden="1" customWidth="1"/>
    <col min="197" max="197" width="18" style="10" hidden="1" customWidth="1"/>
    <col min="198" max="198" width="15.5703125" style="10" hidden="1" customWidth="1"/>
    <col min="199" max="199" width="15.42578125" style="10" hidden="1" customWidth="1"/>
    <col min="200" max="200" width="16.140625" style="10" hidden="1" customWidth="1"/>
    <col min="201" max="201" width="14.5703125" style="10" hidden="1" customWidth="1"/>
    <col min="202" max="202" width="15.42578125" style="10" hidden="1" customWidth="1"/>
    <col min="203" max="203" width="15.5703125" style="10" hidden="1" customWidth="1"/>
    <col min="204" max="205" width="14.85546875" style="10" hidden="1" customWidth="1"/>
    <col min="206" max="206" width="15.28515625" style="10" hidden="1" customWidth="1"/>
    <col min="207" max="207" width="16" style="10" hidden="1" customWidth="1"/>
    <col min="208" max="208" width="15.28515625" style="10" hidden="1" customWidth="1"/>
    <col min="209" max="210" width="9.28515625" customWidth="1"/>
  </cols>
  <sheetData>
    <row r="1" spans="2:210" ht="79.5" customHeight="1" thickBot="1" x14ac:dyDescent="0.3">
      <c r="G1" s="65"/>
      <c r="I1" s="817" t="s">
        <v>846</v>
      </c>
      <c r="J1" s="817"/>
      <c r="K1" s="817"/>
      <c r="L1" s="65"/>
      <c r="M1" s="65"/>
      <c r="N1" s="65"/>
      <c r="O1" s="66"/>
      <c r="P1" s="65"/>
      <c r="Q1" s="66" t="s">
        <v>579</v>
      </c>
      <c r="R1" s="65"/>
      <c r="S1" s="25" t="s">
        <v>579</v>
      </c>
      <c r="X1" s="65" t="s">
        <v>579</v>
      </c>
      <c r="AB1" s="816" t="s">
        <v>606</v>
      </c>
      <c r="AC1" s="816"/>
      <c r="AD1" s="459"/>
      <c r="AJ1" s="65" t="s">
        <v>579</v>
      </c>
      <c r="AK1" s="65" t="s">
        <v>579</v>
      </c>
      <c r="AL1" s="65" t="s">
        <v>579</v>
      </c>
      <c r="AM1" s="65" t="s">
        <v>579</v>
      </c>
      <c r="BJ1" s="65" t="s">
        <v>579</v>
      </c>
      <c r="BK1" s="65" t="s">
        <v>579</v>
      </c>
      <c r="BL1" s="65" t="s">
        <v>579</v>
      </c>
      <c r="BM1" s="65" t="s">
        <v>579</v>
      </c>
      <c r="CC1" s="65" t="s">
        <v>579</v>
      </c>
      <c r="CD1" s="65" t="s">
        <v>579</v>
      </c>
      <c r="CE1" s="65" t="s">
        <v>579</v>
      </c>
      <c r="CF1" s="65" t="s">
        <v>579</v>
      </c>
      <c r="CG1" s="65" t="s">
        <v>579</v>
      </c>
      <c r="CH1" s="66" t="s">
        <v>579</v>
      </c>
      <c r="CI1" s="66" t="s">
        <v>579</v>
      </c>
      <c r="CJ1" s="66" t="s">
        <v>579</v>
      </c>
      <c r="CK1" s="66" t="s">
        <v>579</v>
      </c>
      <c r="CL1" s="66" t="s">
        <v>579</v>
      </c>
      <c r="CM1" s="66" t="s">
        <v>579</v>
      </c>
      <c r="CN1" s="66" t="s">
        <v>579</v>
      </c>
      <c r="CO1" s="66" t="s">
        <v>616</v>
      </c>
      <c r="CP1" s="66"/>
      <c r="CQ1" s="66"/>
      <c r="DA1" s="65"/>
      <c r="DC1" s="65"/>
      <c r="DD1" s="65"/>
      <c r="DP1" s="65"/>
      <c r="DR1" s="65"/>
      <c r="DS1" s="65"/>
      <c r="DT1" s="65"/>
      <c r="EA1" s="497" t="s">
        <v>579</v>
      </c>
      <c r="EB1" s="497" t="s">
        <v>579</v>
      </c>
      <c r="EC1" s="497" t="s">
        <v>579</v>
      </c>
      <c r="ED1" s="497" t="s">
        <v>579</v>
      </c>
      <c r="EE1" s="497" t="s">
        <v>579</v>
      </c>
      <c r="EF1" s="497" t="s">
        <v>579</v>
      </c>
      <c r="EG1" s="497" t="s">
        <v>579</v>
      </c>
      <c r="EH1" s="497" t="s">
        <v>579</v>
      </c>
      <c r="EI1" s="497" t="s">
        <v>579</v>
      </c>
      <c r="EJ1" s="497" t="s">
        <v>579</v>
      </c>
      <c r="EK1" s="497" t="s">
        <v>579</v>
      </c>
      <c r="EL1" s="497" t="s">
        <v>579</v>
      </c>
      <c r="EM1" s="497" t="s">
        <v>579</v>
      </c>
      <c r="EN1" s="497" t="s">
        <v>579</v>
      </c>
      <c r="EO1" s="497" t="s">
        <v>579</v>
      </c>
      <c r="EP1" s="497" t="s">
        <v>579</v>
      </c>
      <c r="EQ1" s="497" t="s">
        <v>579</v>
      </c>
      <c r="ER1" s="501" t="s">
        <v>727</v>
      </c>
      <c r="ES1" s="502"/>
      <c r="ET1" s="502"/>
      <c r="EU1" s="502"/>
      <c r="EV1" s="502"/>
      <c r="EW1" s="502"/>
      <c r="EX1" s="503"/>
      <c r="EY1" s="498" t="s">
        <v>754</v>
      </c>
      <c r="EZ1" s="499"/>
      <c r="FA1" s="499"/>
      <c r="FB1" s="499"/>
      <c r="FC1" s="499"/>
      <c r="FD1" s="499"/>
      <c r="FE1" s="499"/>
      <c r="FF1" s="499"/>
      <c r="FG1" s="499"/>
      <c r="FH1" s="499"/>
      <c r="FI1" s="499"/>
      <c r="FJ1" s="499"/>
      <c r="FK1" s="499"/>
      <c r="FL1" s="499"/>
      <c r="FM1" s="499"/>
      <c r="FN1" s="499"/>
      <c r="FO1" s="499"/>
      <c r="FP1" s="499"/>
      <c r="FQ1" s="499"/>
      <c r="FR1" s="499"/>
      <c r="FS1" s="499"/>
      <c r="FT1" s="499"/>
      <c r="FU1" s="499"/>
      <c r="FV1" s="499"/>
      <c r="FW1" s="499"/>
      <c r="FX1" s="499"/>
      <c r="FY1" s="499"/>
      <c r="FZ1" s="499"/>
      <c r="GA1" s="499"/>
      <c r="GB1" s="500"/>
    </row>
    <row r="2" spans="2:210" s="28" customFormat="1" ht="84.75" customHeight="1" x14ac:dyDescent="0.2">
      <c r="B2" s="460" t="s">
        <v>112</v>
      </c>
      <c r="C2" s="37" t="s">
        <v>50</v>
      </c>
      <c r="D2" s="37" t="s">
        <v>142</v>
      </c>
      <c r="E2" s="37" t="s">
        <v>143</v>
      </c>
      <c r="F2" s="37" t="s">
        <v>300</v>
      </c>
      <c r="G2" s="37" t="s">
        <v>844</v>
      </c>
      <c r="H2" s="37" t="s">
        <v>845</v>
      </c>
      <c r="I2" s="37" t="s">
        <v>840</v>
      </c>
      <c r="J2" s="37" t="s">
        <v>841</v>
      </c>
      <c r="K2" s="37" t="s">
        <v>842</v>
      </c>
      <c r="L2" s="37" t="s">
        <v>148</v>
      </c>
      <c r="M2" s="37" t="s">
        <v>38</v>
      </c>
      <c r="N2" s="37" t="s">
        <v>304</v>
      </c>
      <c r="O2" s="37" t="s">
        <v>57</v>
      </c>
      <c r="P2" s="37" t="s">
        <v>149</v>
      </c>
      <c r="Q2" s="107" t="s">
        <v>314</v>
      </c>
      <c r="R2" s="37" t="s">
        <v>150</v>
      </c>
      <c r="S2" s="107" t="s">
        <v>313</v>
      </c>
      <c r="T2" s="37" t="s">
        <v>151</v>
      </c>
      <c r="U2" s="104" t="s">
        <v>307</v>
      </c>
      <c r="V2" s="104" t="s">
        <v>308</v>
      </c>
      <c r="W2" s="37" t="s">
        <v>113</v>
      </c>
      <c r="X2" s="37" t="s">
        <v>52</v>
      </c>
      <c r="Y2" s="37" t="s">
        <v>152</v>
      </c>
      <c r="Z2" s="37" t="s">
        <v>63</v>
      </c>
      <c r="AA2" s="37" t="s">
        <v>422</v>
      </c>
      <c r="AB2" s="460" t="s">
        <v>604</v>
      </c>
      <c r="AC2" s="460" t="s">
        <v>605</v>
      </c>
      <c r="AD2" s="460" t="s">
        <v>778</v>
      </c>
      <c r="AE2" s="37" t="s">
        <v>430</v>
      </c>
      <c r="AF2" s="37" t="s">
        <v>431</v>
      </c>
      <c r="AG2" s="37" t="s">
        <v>433</v>
      </c>
      <c r="AH2" s="37" t="s">
        <v>546</v>
      </c>
      <c r="AI2" s="37" t="s">
        <v>547</v>
      </c>
      <c r="AJ2" s="37" t="s">
        <v>425</v>
      </c>
      <c r="AK2" s="37" t="s">
        <v>426</v>
      </c>
      <c r="AL2" s="37" t="s">
        <v>427</v>
      </c>
      <c r="AM2" s="37" t="s">
        <v>436</v>
      </c>
      <c r="AN2" s="37" t="s">
        <v>552</v>
      </c>
      <c r="AO2" s="37" t="s">
        <v>519</v>
      </c>
      <c r="AP2" s="37" t="s">
        <v>613</v>
      </c>
      <c r="AQ2" s="37" t="s">
        <v>522</v>
      </c>
      <c r="AR2" s="37" t="s">
        <v>524</v>
      </c>
      <c r="AS2" s="37" t="s">
        <v>527</v>
      </c>
      <c r="AT2" s="37" t="s">
        <v>520</v>
      </c>
      <c r="AU2" s="37" t="s">
        <v>525</v>
      </c>
      <c r="AV2" s="37" t="s">
        <v>614</v>
      </c>
      <c r="AW2" s="37" t="s">
        <v>523</v>
      </c>
      <c r="AX2" s="37" t="s">
        <v>521</v>
      </c>
      <c r="AY2" s="37" t="s">
        <v>526</v>
      </c>
      <c r="AZ2" s="37" t="s">
        <v>428</v>
      </c>
      <c r="BA2" s="37" t="s">
        <v>429</v>
      </c>
      <c r="BB2" s="37" t="s">
        <v>607</v>
      </c>
      <c r="BC2" s="37" t="s">
        <v>608</v>
      </c>
      <c r="BD2" s="460" t="s">
        <v>779</v>
      </c>
      <c r="BE2" s="37" t="s">
        <v>435</v>
      </c>
      <c r="BF2" s="37" t="s">
        <v>432</v>
      </c>
      <c r="BG2" s="37" t="s">
        <v>434</v>
      </c>
      <c r="BH2" s="37" t="s">
        <v>548</v>
      </c>
      <c r="BI2" s="37" t="s">
        <v>549</v>
      </c>
      <c r="BJ2" s="37" t="s">
        <v>437</v>
      </c>
      <c r="BK2" s="37" t="s">
        <v>438</v>
      </c>
      <c r="BL2" s="37" t="s">
        <v>439</v>
      </c>
      <c r="BM2" s="37" t="s">
        <v>440</v>
      </c>
      <c r="BN2" s="37" t="s">
        <v>570</v>
      </c>
      <c r="BO2" s="37" t="s">
        <v>529</v>
      </c>
      <c r="BP2" s="37" t="s">
        <v>612</v>
      </c>
      <c r="BQ2" s="37" t="s">
        <v>530</v>
      </c>
      <c r="BR2" s="37" t="s">
        <v>532</v>
      </c>
      <c r="BS2" s="37" t="s">
        <v>533</v>
      </c>
      <c r="BT2" s="37" t="s">
        <v>531</v>
      </c>
      <c r="BU2" s="37" t="s">
        <v>534</v>
      </c>
      <c r="BV2" s="37" t="s">
        <v>611</v>
      </c>
      <c r="BW2" s="37" t="s">
        <v>535</v>
      </c>
      <c r="BX2" s="37" t="s">
        <v>536</v>
      </c>
      <c r="BY2" s="37" t="s">
        <v>537</v>
      </c>
      <c r="BZ2" s="37" t="s">
        <v>369</v>
      </c>
      <c r="CA2" s="37" t="s">
        <v>487</v>
      </c>
      <c r="CB2" s="37" t="s">
        <v>486</v>
      </c>
      <c r="CC2" s="102" t="s">
        <v>302</v>
      </c>
      <c r="CD2" s="102" t="s">
        <v>303</v>
      </c>
      <c r="CE2" s="104" t="s">
        <v>357</v>
      </c>
      <c r="CF2" s="104" t="s">
        <v>358</v>
      </c>
      <c r="CG2" s="128" t="s">
        <v>305</v>
      </c>
      <c r="CH2" s="106" t="s">
        <v>310</v>
      </c>
      <c r="CI2" s="106" t="s">
        <v>309</v>
      </c>
      <c r="CJ2" s="105" t="s">
        <v>312</v>
      </c>
      <c r="CK2" s="105" t="s">
        <v>311</v>
      </c>
      <c r="CL2" s="106" t="s">
        <v>316</v>
      </c>
      <c r="CM2" s="106" t="s">
        <v>315</v>
      </c>
      <c r="CN2" s="106" t="s">
        <v>306</v>
      </c>
      <c r="CO2" s="104" t="s">
        <v>326</v>
      </c>
      <c r="CP2" s="104" t="s">
        <v>327</v>
      </c>
      <c r="CQ2" s="104" t="s">
        <v>328</v>
      </c>
      <c r="CR2" s="104" t="s">
        <v>329</v>
      </c>
      <c r="CS2" s="104" t="s">
        <v>330</v>
      </c>
      <c r="CT2" s="104" t="s">
        <v>465</v>
      </c>
      <c r="CU2" s="104" t="s">
        <v>466</v>
      </c>
      <c r="CV2" s="104" t="s">
        <v>442</v>
      </c>
      <c r="CW2" s="104" t="s">
        <v>441</v>
      </c>
      <c r="CX2" s="104" t="s">
        <v>443</v>
      </c>
      <c r="CY2" s="104" t="s">
        <v>444</v>
      </c>
      <c r="CZ2" s="104" t="s">
        <v>467</v>
      </c>
      <c r="DA2" s="104" t="s">
        <v>468</v>
      </c>
      <c r="DB2" s="104" t="s">
        <v>469</v>
      </c>
      <c r="DC2" s="104" t="s">
        <v>470</v>
      </c>
      <c r="DD2" s="37" t="s">
        <v>557</v>
      </c>
      <c r="DE2" s="37" t="s">
        <v>556</v>
      </c>
      <c r="DF2" s="37" t="s">
        <v>571</v>
      </c>
      <c r="DG2" s="37" t="s">
        <v>573</v>
      </c>
      <c r="DH2" s="104" t="s">
        <v>325</v>
      </c>
      <c r="DI2" s="104" t="s">
        <v>331</v>
      </c>
      <c r="DJ2" s="104" t="s">
        <v>332</v>
      </c>
      <c r="DK2" s="104" t="s">
        <v>333</v>
      </c>
      <c r="DL2" s="37" t="s">
        <v>334</v>
      </c>
      <c r="DM2" s="37" t="s">
        <v>463</v>
      </c>
      <c r="DN2" s="37" t="s">
        <v>462</v>
      </c>
      <c r="DO2" s="37" t="s">
        <v>445</v>
      </c>
      <c r="DP2" s="37" t="s">
        <v>446</v>
      </c>
      <c r="DQ2" s="37" t="s">
        <v>447</v>
      </c>
      <c r="DR2" s="37" t="s">
        <v>448</v>
      </c>
      <c r="DS2" s="37" t="s">
        <v>471</v>
      </c>
      <c r="DT2" s="37" t="s">
        <v>472</v>
      </c>
      <c r="DU2" s="37" t="s">
        <v>473</v>
      </c>
      <c r="DV2" s="37" t="s">
        <v>474</v>
      </c>
      <c r="DW2" s="37" t="s">
        <v>545</v>
      </c>
      <c r="DX2" s="37" t="s">
        <v>544</v>
      </c>
      <c r="DY2" s="37" t="s">
        <v>572</v>
      </c>
      <c r="DZ2" s="37" t="s">
        <v>574</v>
      </c>
      <c r="EA2" s="506" t="s">
        <v>756</v>
      </c>
      <c r="EB2" s="506" t="s">
        <v>757</v>
      </c>
      <c r="EC2" s="506" t="s">
        <v>758</v>
      </c>
      <c r="ED2" s="506" t="s">
        <v>759</v>
      </c>
      <c r="EE2" s="506" t="s">
        <v>770</v>
      </c>
      <c r="EF2" s="464" t="s">
        <v>760</v>
      </c>
      <c r="EG2" s="460" t="s">
        <v>773</v>
      </c>
      <c r="EH2" s="460" t="s">
        <v>712</v>
      </c>
      <c r="EI2" s="464" t="s">
        <v>771</v>
      </c>
      <c r="EJ2" s="460" t="s">
        <v>772</v>
      </c>
      <c r="EK2" s="460" t="s">
        <v>713</v>
      </c>
      <c r="EL2" s="460" t="s">
        <v>714</v>
      </c>
      <c r="EM2" s="460" t="s">
        <v>715</v>
      </c>
      <c r="EN2" s="460" t="s">
        <v>716</v>
      </c>
      <c r="EO2" s="460" t="s">
        <v>717</v>
      </c>
      <c r="EP2" s="460" t="s">
        <v>720</v>
      </c>
      <c r="EQ2" s="460" t="s">
        <v>721</v>
      </c>
      <c r="ER2" s="460" t="s">
        <v>718</v>
      </c>
      <c r="ES2" s="460" t="s">
        <v>719</v>
      </c>
      <c r="ET2" s="460" t="s">
        <v>722</v>
      </c>
      <c r="EU2" s="460" t="s">
        <v>723</v>
      </c>
      <c r="EV2" s="460" t="s">
        <v>724</v>
      </c>
      <c r="EW2" s="460" t="s">
        <v>725</v>
      </c>
      <c r="EX2" s="460" t="s">
        <v>726</v>
      </c>
      <c r="EY2" s="460" t="s">
        <v>728</v>
      </c>
      <c r="EZ2" s="460" t="s">
        <v>351</v>
      </c>
      <c r="FA2" s="460" t="s">
        <v>352</v>
      </c>
      <c r="FB2" s="460" t="s">
        <v>637</v>
      </c>
      <c r="FC2" s="506" t="s">
        <v>729</v>
      </c>
      <c r="FD2" s="460" t="s">
        <v>730</v>
      </c>
      <c r="FE2" s="460" t="s">
        <v>731</v>
      </c>
      <c r="FF2" s="460" t="s">
        <v>734</v>
      </c>
      <c r="FG2" s="460" t="s">
        <v>735</v>
      </c>
      <c r="FH2" s="460" t="s">
        <v>732</v>
      </c>
      <c r="FI2" s="460" t="s">
        <v>733</v>
      </c>
      <c r="FJ2" s="460" t="s">
        <v>736</v>
      </c>
      <c r="FK2" s="460" t="s">
        <v>737</v>
      </c>
      <c r="FL2" s="460" t="s">
        <v>738</v>
      </c>
      <c r="FM2" s="506" t="s">
        <v>739</v>
      </c>
      <c r="FN2" s="460" t="s">
        <v>755</v>
      </c>
      <c r="FO2" s="460" t="s">
        <v>740</v>
      </c>
      <c r="FP2" s="506" t="s">
        <v>741</v>
      </c>
      <c r="FQ2" s="460" t="s">
        <v>742</v>
      </c>
      <c r="FR2" s="460" t="s">
        <v>789</v>
      </c>
      <c r="FS2" s="460" t="s">
        <v>743</v>
      </c>
      <c r="FT2" s="460" t="s">
        <v>744</v>
      </c>
      <c r="FU2" s="460" t="s">
        <v>745</v>
      </c>
      <c r="FV2" s="460" t="s">
        <v>746</v>
      </c>
      <c r="FW2" s="460" t="s">
        <v>747</v>
      </c>
      <c r="FX2" s="460" t="s">
        <v>748</v>
      </c>
      <c r="FY2" s="460" t="s">
        <v>749</v>
      </c>
      <c r="FZ2" s="460" t="s">
        <v>750</v>
      </c>
      <c r="GA2" s="460" t="s">
        <v>751</v>
      </c>
      <c r="GB2" s="460" t="s">
        <v>752</v>
      </c>
      <c r="GC2" s="460" t="s">
        <v>753</v>
      </c>
      <c r="GD2" s="465" t="s">
        <v>693</v>
      </c>
      <c r="GE2" s="465" t="s">
        <v>694</v>
      </c>
      <c r="GF2" s="465" t="s">
        <v>695</v>
      </c>
      <c r="GG2" s="465" t="s">
        <v>696</v>
      </c>
      <c r="GH2" s="465" t="s">
        <v>697</v>
      </c>
      <c r="GI2" s="465" t="s">
        <v>776</v>
      </c>
      <c r="GJ2" s="465" t="s">
        <v>777</v>
      </c>
      <c r="GK2" s="465" t="s">
        <v>698</v>
      </c>
      <c r="GL2" s="465" t="s">
        <v>774</v>
      </c>
      <c r="GM2" s="465" t="s">
        <v>775</v>
      </c>
      <c r="GN2" s="465" t="s">
        <v>699</v>
      </c>
      <c r="GO2" s="465" t="s">
        <v>700</v>
      </c>
      <c r="GP2" s="465" t="s">
        <v>701</v>
      </c>
      <c r="GQ2" s="465" t="s">
        <v>702</v>
      </c>
      <c r="GR2" s="465" t="s">
        <v>703</v>
      </c>
      <c r="GS2" s="465" t="s">
        <v>704</v>
      </c>
      <c r="GT2" s="465" t="s">
        <v>705</v>
      </c>
      <c r="GU2" s="465" t="s">
        <v>706</v>
      </c>
      <c r="GV2" s="465" t="s">
        <v>707</v>
      </c>
      <c r="GW2" s="465" t="s">
        <v>708</v>
      </c>
      <c r="GX2" s="465" t="s">
        <v>709</v>
      </c>
      <c r="GY2" s="465" t="s">
        <v>710</v>
      </c>
      <c r="GZ2" s="465" t="s">
        <v>711</v>
      </c>
      <c r="HA2" s="600" t="s">
        <v>1205</v>
      </c>
      <c r="HB2" s="506" t="s">
        <v>1283</v>
      </c>
    </row>
    <row r="3" spans="2:210" x14ac:dyDescent="0.2">
      <c r="B3" s="72" t="s">
        <v>221</v>
      </c>
      <c r="C3" s="72" t="s">
        <v>146</v>
      </c>
      <c r="D3" s="185">
        <v>4</v>
      </c>
      <c r="E3" s="185">
        <v>0.75</v>
      </c>
      <c r="F3" s="185" t="str">
        <f>IF(Reinforcements[[#This Row],[Type]]="","",IF(Reinforcements[[#This Row],[Type]]="solid round","","n/a"))</f>
        <v>n/a</v>
      </c>
      <c r="G3" s="185" t="str">
        <f>IF(Reinforcements[[#This Row],[Type]]="","",IF(Reinforcements[[#This Row],[Type]]&lt;&gt;"channel","n/a",""))</f>
        <v>n/a</v>
      </c>
      <c r="H3" s="185" t="str">
        <f>IF(Reinforcements[[#This Row],[Type]]="","",IF(Reinforcements[[#This Row],[Type]]&lt;&gt;"channel","n/a",""))</f>
        <v>n/a</v>
      </c>
      <c r="I3" s="197" t="str">
        <f>IF(Reinforcements[[#This Row],[Type]]="","",IF(Reinforcements[[#This Row],[Type]]&lt;&gt;"channel","n/a",Reinforcements[[#This Row],[eo]]))</f>
        <v>n/a</v>
      </c>
      <c r="J3" s="197" t="str">
        <f>IF(Reinforcements[[#This Row],[Type]]="","",IF(Reinforcements[[#This Row],[Type]]&lt;&gt;"channel","n/a",Reinforcements[[#This Row],[J]]))</f>
        <v>n/a</v>
      </c>
      <c r="K3" s="197" t="str">
        <f>IF(Reinforcements[[#This Row],[Type]]="","",IF(Reinforcements[[#This Row],[Type]]&lt;&gt;"channel","n/a",Reinforcements[[#This Row],[Cw]]))</f>
        <v>n/a</v>
      </c>
      <c r="L3" s="185">
        <f>IFERROR(IF(Reinforcements[[#This Row],[Type]]="","",IF(Reinforcements[[#This Row],[Type]]="plate",Reinforcements[[#This Row],[B (in)]]*Reinforcements[[#This Row],[H (in)]],IF(Reinforcements[[#This Row],[Type]]="solid round",PI()/4*Reinforcements[[#This Row],[Diameter (in)]]^2,""))),"")</f>
        <v>3</v>
      </c>
      <c r="M3" s="185">
        <f>IFERROR(IF(Reinforcements[[#This Row],[Type]]="","",IF(Reinforcements[[#This Row],[Type]]="plate",Reinforcements[[#This Row],[H (in)]]/2,"")),"")</f>
        <v>0.375</v>
      </c>
      <c r="N3" s="186" t="s">
        <v>297</v>
      </c>
      <c r="O3" s="185" t="s">
        <v>153</v>
      </c>
      <c r="P3" s="187">
        <f>IFERROR(IF(Reinforcements[[#This Row],[Type]]="","",IF(Reinforcements[[#This Row],[Type]]="plate",Reinforcements[[#This Row],[B (in)]]*Reinforcements[[#This Row],[H (in)]]^3/12,IF(Reinforcements[[#This Row],[Type]]="solid round",PI()/64*Reinforcements[[#This Row],[Diameter (in)]]^4,""))),"")</f>
        <v>0.140625</v>
      </c>
      <c r="Q3" s="187">
        <f>IF(Reinforcements[[#This Row],[Reinforcement]]="","",SQRT(Reinforcements[[#This Row],[Ix]]/Reinforcements[[#This Row],[Gross Area (in2)]]))</f>
        <v>0.21650635094610965</v>
      </c>
      <c r="R3" s="187">
        <f>IFERROR(IF(Reinforcements[[#This Row],[Type]]="","",IF(Reinforcements[[#This Row],[Type]]="plate",Reinforcements[[#This Row],[B (in)]]^3*Reinforcements[[#This Row],[H (in)]]/12,IF(Reinforcements[[#This Row],[Type]]="solid round",PI()/64*Reinforcements[[#This Row],[Diameter (in)]]^4,""))),"")</f>
        <v>4</v>
      </c>
      <c r="S3" s="187">
        <f>IF(Reinforcements[[#This Row],[Reinforcement]]="","",SQRT(Reinforcements[[#This Row],[Iy]]/Reinforcements[[#This Row],[Gross Area (in2)]]))</f>
        <v>1.1547005383792515</v>
      </c>
      <c r="T3" s="190">
        <v>15</v>
      </c>
      <c r="U3" s="188">
        <v>0.8</v>
      </c>
      <c r="V3" s="188">
        <v>1</v>
      </c>
      <c r="W3" s="185">
        <v>1.1875</v>
      </c>
      <c r="X3" s="188">
        <f>IF(Reinforcements[[#This Row],[Bolt Hole Size (in)]]="","",IF(Reinforcements[[#This Row],[Bolt Hole Size (in)]]="n/a","n/a",Reinforcements[[#This Row],[Bolt Hole Size (in)]]*25.4))</f>
        <v>30.162499999999998</v>
      </c>
      <c r="Y3"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3" s="185">
        <f>IFERROR(IF(Reinforcements[[#This Row],[Reinforcement]]="","",IF(OR(Reinforcements[[#This Row],[Type]]="plate",Reinforcements[[#This Row],[Type]]="solid round"),1,IF(Reinforcements[[#This Row],[Type]]="arbitrary","",1-Reinforcements[[#This Row],[Pole Face to Centroid (in)]]/Reinforcements[[#This Row],[Connection Length (in) '[Channels']]]))),"")</f>
        <v>1</v>
      </c>
      <c r="AA3" s="189" t="s">
        <v>391</v>
      </c>
      <c r="AB3" s="189" t="str">
        <f>IF(Reinforcements[[#This Row],[Reinforcement]]="","",IF(Reinforcements[[#This Row],[Bottom End Connection Type]]&lt;&gt;"Capacity Input","-",""))</f>
        <v>-</v>
      </c>
      <c r="AC3" s="189" t="str">
        <f>IF(Reinforcements[[#This Row],[Reinforcement]]="","",IF(Reinforcements[[#This Row],[Bottom End Connection Type]]&lt;&gt;"Capacity Input","-",""))</f>
        <v>-</v>
      </c>
      <c r="AD3" s="461" t="str">
        <f>IF(Reinforcements[[#This Row],[Reinforcement]]="","",IF(Reinforcements[[#This Row],[Bottom End Connection Type]]&lt;&gt;"Capacity Input","-",""))</f>
        <v>-</v>
      </c>
      <c r="AE3" s="103" t="s">
        <v>416</v>
      </c>
      <c r="AF3" s="190" t="s">
        <v>296</v>
      </c>
      <c r="AG3" s="190">
        <v>6</v>
      </c>
      <c r="AH3" s="190">
        <v>3</v>
      </c>
      <c r="AI3" s="190">
        <v>2</v>
      </c>
      <c r="AJ3" s="191">
        <f>Reinforcements[[#This Row],[End Connection Edge Distance (in) (B)]]-(Reinforcements[[#This Row],[Bolt Hole Size (in)]]+1/16)/2</f>
        <v>1.375</v>
      </c>
      <c r="AK3" s="190">
        <f>Reinforcements[[#This Row],[End Connection Bolt Spacing (in) (B)]]-(Reinforcements[[#This Row],[Bolt Hole Size (in)]]+1/16)</f>
        <v>1.75</v>
      </c>
      <c r="AL3" s="190">
        <f>Reinforcements[[#This Row],[End Connection Edge Distance (in) (B)]]</f>
        <v>2</v>
      </c>
      <c r="AM3" s="190">
        <f>Reinforcements[[#This Row],[End Connection Bolt Spacing (in) (B)]]</f>
        <v>3</v>
      </c>
      <c r="AN3" s="191" t="str">
        <f>IF(Reinforcements[[#This Row],[Reinforcement]]="","",IF(OR(Reinforcements[[#This Row],[Bottom End Connection Type]]="Bolted",Reinforcements[[#This Row],[Bottom End Connection Type]]=""),"-",""))</f>
        <v>-</v>
      </c>
      <c r="AO3" s="191" t="str">
        <f>IF(Reinforcements[[#This Row],[Reinforcement]]="","",IF(OR(Reinforcements[[#This Row],[Bottom End Connection Type]]="Bolted",Reinforcements[[#This Row],[Bottom End Connection Type]]=""),"-",""))</f>
        <v>-</v>
      </c>
      <c r="AP3" s="191" t="str">
        <f>IF(Reinforcements[[#This Row],[Reinforcement]]="","",IF(OR(Reinforcements[[#This Row],[Bottom End Connection Type]]="Bolted",Reinforcements[[#This Row],[Bottom End Connection Type]]=""),"-",""))</f>
        <v>-</v>
      </c>
      <c r="AQ3" s="191" t="str">
        <f>IF(OR(Reinforcements[[#This Row],[Bottom End Connection Type]]="Bolted",Reinforcements[[#This Row],[Bottom Transverse (Horizontal) Weld]]="none"),"-","")</f>
        <v>-</v>
      </c>
      <c r="AR3" s="19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3" s="19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3" s="191" t="str">
        <f>IF(OR(Reinforcements[[#This Row],[Bottom Transverse (Horizontal) Weld]]="none",Reinforcements[[#This Row],[Bottom End Connection Type]]="Bolted"),"-","")</f>
        <v>-</v>
      </c>
      <c r="AU3" s="191"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 s="191" t="str">
        <f>IF(Reinforcements[[#This Row],[Reinforcement]]="","",IF(OR(Reinforcements[[#This Row],[Bottom End Connection Type]]="Bolted",Reinforcements[[#This Row],[Bottom End Connection Type]]=""),"-",""))</f>
        <v>-</v>
      </c>
      <c r="AW3" s="191" t="str">
        <f>IF(Reinforcements[[#This Row],[Reinforcement]]="","",IF(OR(Reinforcements[[#This Row],[Bottom End Connection Type]]&lt;&gt;"Welded",Reinforcements[[#This Row],[Bottom Longitudinal (Vertical) Weld]]="None",Reinforcements[[#This Row],[Bottom Longitudinal (Vertical) Weld]]=""),"-",""))</f>
        <v>-</v>
      </c>
      <c r="AX3" s="191" t="str">
        <f>IF(Reinforcements[[#This Row],[Reinforcement]]="","",IF(OR(Reinforcements[[#This Row],[Bottom End Connection Type]]&lt;&gt;"Welded",Reinforcements[[#This Row],[Bottom Longitudinal (Vertical) Weld]]="None",Reinforcements[[#This Row],[Bottom Longitudinal (Vertical) Weld]]=""),"-",""))</f>
        <v>-</v>
      </c>
      <c r="AY3" s="191" t="str">
        <f>IF(Reinforcements[[#This Row],[Reinforcement]]="","",IF(OR(Reinforcements[[#This Row],[Bottom End Connection Type]]&lt;&gt;"Welded",Reinforcements[[#This Row],[Bottom Longitudinal (Vertical) Weld]]="None"),"-",SQRT(2)/2*Reinforcements[[#This Row],[Bottom Longitudinal Weld Fillet Size (in)]]))</f>
        <v>-</v>
      </c>
      <c r="AZ3" s="190" t="s">
        <v>295</v>
      </c>
      <c r="BA3" s="189" t="str">
        <f>IF(Reinforcements[[#This Row],[Top End Connection Same?]]="Yes",Reinforcements[[#This Row],[Bottom End Connection Type]],"")</f>
        <v>Bolted</v>
      </c>
      <c r="BB3" s="189" t="str">
        <f>IF(Reinforcements[[#This Row],[Reinforcement]]="","",IF(Reinforcements[[#This Row],[Top End Connection Same?]]="Yes",Reinforcements[[#This Row],[Rev. F Bottom Connection Capacity (kips)]],IF(Reinforcements[[#This Row],[Reinforcement]]="","",IF(Reinforcements[[#This Row],[Top End Connection Type]]&lt;&gt;"Capacity Input","-",""))))</f>
        <v>-</v>
      </c>
      <c r="BC3" s="189" t="str">
        <f>IF(Reinforcements[[#This Row],[Reinforcement]]="","",IF(Reinforcements[[#This Row],[Top End Connection Same?]]="Yes",Reinforcements[[#This Row],[Rev. G Bottom Connection Capacity (kips)]],IF(Reinforcements[[#This Row],[Reinforcement]]="","",IF(Reinforcements[[#This Row],[Top End Connection Type]]&lt;&gt;"Capacity Input","-",""))))</f>
        <v>-</v>
      </c>
      <c r="BD3" s="461" t="str">
        <f>IF(Reinforcements[[#This Row],[Reinforcement]]="","",IF(Reinforcements[[#This Row],[Top End Connection Same?]]="Yes",Reinforcements[[#This Row],[Rev. G Bottom Connection Capacity (kips)]],IF(Reinforcements[[#This Row],[Reinforcement]]="","",IF(Reinforcements[[#This Row],[Top End Connection Type]]&lt;&gt;"Capacity Input","-",""))))</f>
        <v>-</v>
      </c>
      <c r="BE3" s="103" t="str">
        <f>IF(Reinforcements[[#This Row],[Top End Connection Same?]]="Yes",Reinforcements[[#This Row],[Bottom End Connection Bolt Type]],IF(Reinforcements[[#This Row],[Top End Connection Type]]="Welded","-",""))</f>
        <v>PC 8.8 - M20 (100)</v>
      </c>
      <c r="BF3" s="190" t="str">
        <f>IF(Reinforcements[[#This Row],[Top End Connection Same?]]="Yes",Reinforcements[[#This Row],[Threads Included (N) or Excluded (X) (Bottom)]],IF(Reinforcements[[#This Row],[Top End Connection Type]]="Welded","-",""))</f>
        <v>N</v>
      </c>
      <c r="BG3" s="190">
        <f>IF(Reinforcements[[#This Row],[Top End Connection Same?]]="Yes",Reinforcements[[#This Row],['# of End Connection Bolts          (Bottom)]],IF(Reinforcements[[#This Row],[Top End Connection Type]]="Welded","-",""))</f>
        <v>6</v>
      </c>
      <c r="BH3" s="190">
        <f>IF(Reinforcements[[#This Row],[Top End Connection Same?]]="Yes",Reinforcements[[#This Row],[End Connection Bolt Spacing (in) (B)]],IF(Reinforcements[[#This Row],[Top End Connection Type]]="Welded","-",""))</f>
        <v>3</v>
      </c>
      <c r="BI3" s="190">
        <f>IF(Reinforcements[[#This Row],[Top End Connection Same?]]="Yes",Reinforcements[[#This Row],[End Connection Edge Distance (in) (B)]],IF(Reinforcements[[#This Row],[Top End Connection Type]]="Welded","-",""))</f>
        <v>2</v>
      </c>
      <c r="BJ3" s="190">
        <f>Reinforcements[[#This Row],[End Connection Edge Distance (in) (T)]]-(Reinforcements[[#This Row],[Bolt Hole Size (in)]]+1/16)/2</f>
        <v>1.375</v>
      </c>
      <c r="BK3" s="190">
        <f>Reinforcements[[#This Row],[End Connection Bolt Spacing (in) (T)]]-(Reinforcements[[#This Row],[Bolt Hole Size (in)]]+1/16)</f>
        <v>1.75</v>
      </c>
      <c r="BL3" s="190">
        <f>Reinforcements[[#This Row],[End Connection Edge Distance (in) (T)]]</f>
        <v>2</v>
      </c>
      <c r="BM3" s="190">
        <f>Reinforcements[[#This Row],[End Connection Bolt Spacing (in) (T)]]</f>
        <v>3</v>
      </c>
      <c r="BN3" s="190" t="str">
        <f>IF(Reinforcements[[#This Row],[Reinforcement]]="","",IF(Reinforcements[[#This Row],[Top End Connection Same?]]="Yes",Reinforcements[[#This Row],[Bottom Connected to Flange/Base Plate?]],IF(Reinforcements[[#This Row],[Top End Connection Type]]="Bolted","-","")))</f>
        <v>-</v>
      </c>
      <c r="BO3" s="190" t="str">
        <f>IF(Reinforcements[[#This Row],[Reinforcement]]="","",IF(Reinforcements[[#This Row],[Top End Connection Same?]]="Yes",Reinforcements[[#This Row],[Bottom Weld Grade (ksi)]],IF(OR(Reinforcements[[#This Row],[Top End Connection Type]]&lt;&gt;"Welded",Reinforcements[[#This Row],[Top End Connection Type]]=""),"-","")))</f>
        <v>-</v>
      </c>
      <c r="BP3" s="190" t="str">
        <f>IF($AZ3="Yes",AP3,IF(Reinforcements[[#This Row],[Reinforcement]]="","",IF(OR(Reinforcements[[#This Row],[Top End Connection Type]]&lt;&gt;"Welded",Reinforcements[[#This Row],[Top End Connection Type]]=""),"-","")))</f>
        <v>-</v>
      </c>
      <c r="BQ3" s="190" t="str">
        <f>IF(Reinforcements[[#This Row],[Reinforcement]]="","",IF($AZ3="Yes",AQ3,IF(OR(Reinforcements[[#This Row],[Top End Connection Type]]&lt;&gt;"Welded",Reinforcements[[#This Row],[Top Transverse (Horizontal) Weld]]="none",Reinforcements[[#This Row],[Top Transverse (Horizontal) Weld]]=""),"-","")))</f>
        <v>-</v>
      </c>
      <c r="BR3" s="190" t="str">
        <f>IF($AZ3="Yes",AR3,IF(Reinforcements[[#This Row],[Reinforcement]]="","",IF(OR(Reinforcements[[#This Row],[Top Transverse (Horizontal) Weld]]="none",Reinforcements[[#This Row],[Top End Connection Type]]&lt;&gt;"Welded",Reinforcements[[#This Row],[Top Transverse (Horizontal) Weld]]="",Reinforcements[[#This Row],[Top Transverse (Horizontal) Weld]]="Fillet"),"-","")))</f>
        <v>-</v>
      </c>
      <c r="BS3" s="190" t="str">
        <f>IF($AZ3="Yes",AS3,IF(Reinforcements[[#This Row],[Reinforcement]]="","",IF(OR(Reinforcements[[#This Row],[Top Transverse (Horizontal) Weld]]="none",Reinforcements[[#This Row],[Top End Connection Type]]&lt;&gt;"Welded",Reinforcements[[#This Row],[Top Transverse (Horizontal) Weld]]="",Reinforcements[[#This Row],[Top Transverse (Horizontal) Weld]]="Fillet"),"-","")))</f>
        <v>-</v>
      </c>
      <c r="BT3" s="190" t="str">
        <f>IF(Reinforcements[[#This Row],[Reinforcement]]="","",IF($AZ3="Yes",AT3,IF(OR(Reinforcements[[#This Row],[Top Transverse (Horizontal) Weld]]="none",Reinforcements[[#This Row],[Top End Connection Type]]&lt;&gt;"Welded",Reinforcements[[#This Row],[Top Transverse (Horizontal) Weld]]=""),"-","")))</f>
        <v>-</v>
      </c>
      <c r="BU3" s="190" t="str">
        <f>IF($AZ3="Yes",AU3,IF(Reinforcements[[#This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 s="190" t="str">
        <f>IF($AZ3="Yes",AV3,IF(Reinforcements[[#This Row],[Reinforcement]]="","",IF(OR(Reinforcements[[#This Row],[Top End Connection Type]]&lt;&gt;"Welded",Reinforcements[[#This Row],[Top End Connection Type]]=""),"-","")))</f>
        <v>-</v>
      </c>
      <c r="BW3" s="190" t="str">
        <f>IF($AZ3="Yes",AW3,IF(Reinforcements[[#This Row],[Reinforcement]]="","",IF(OR(Reinforcements[[#This Row],[Top End Connection Type]]&lt;&gt;"Welded",Reinforcements[[#This Row],[Top End Connection Type]]="",Reinforcements[[#This Row],[Top Longitudinal (Vertical) Weld]]="",Reinforcements[[#This Row],[Top Longitudinal (Vertical) Weld]]="None"),"-","")))</f>
        <v>-</v>
      </c>
      <c r="BX3" s="190" t="str">
        <f>IF($AZ3="Yes",AX3,IF(Reinforcements[[#This Row],[Reinforcement]]="","",IF(OR(Reinforcements[[#This Row],[Top End Connection Type]]&lt;&gt;"Welded",Reinforcements[[#This Row],[Top End Connection Type]]="",Reinforcements[[#This Row],[Top Longitudinal (Vertical) Weld]]="",Reinforcements[[#This Row],[Top Longitudinal (Vertical) Weld]]="None"),"-","")))</f>
        <v>-</v>
      </c>
      <c r="BY3" s="190" t="str">
        <f>IF($AZ3="Yes",AY3,IF(Reinforcements[[#This Row],[Reinforcement]]="","",IF(OR(Reinforcements[[#This Row],[Top End Connection Type]]&lt;&gt;"Welded",Reinforcements[[#This Row],[Top Longitudinal (Vertical) Weld]]="none"),"-",SQRT(2)/2*Reinforcements[[#This Row],[Top Longitudinal Weld Fillet Size (in)]])))</f>
        <v>-</v>
      </c>
      <c r="BZ3"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 s="192">
        <f>IF(Reinforcements[[#This Row],[Reinforcement]]="","",IF(Reinforcements[[#This Row],[Bottom End Connection Type]]&lt;&gt;"Bolted","n/a",(Reinforcements[[#This Row],['# of End Connection Bolts          (Bottom)]]-1)*Reinforcements[[#This Row],[End Connection Bolt Spacing (in) (B)]]+Reinforcements[[#This Row],[End Connection Edge Distance (in) (B)]]))</f>
        <v>17</v>
      </c>
      <c r="CB3" s="192">
        <f>IF(Reinforcements[[#This Row],[Reinforcement]]="","",IF(Reinforcements[[#This Row],[Top End Connection Type]]&lt;&gt;"Bolted","n/a",(Reinforcements[[#This Row],['# of End Connection Bolts          (Top)]]-1)*Reinforcements[[#This Row],[End Connection Bolt Spacing (in) (T)]]+Reinforcements[[#This Row],[End Connection Edge Distance (in) (T)]]))</f>
        <v>17</v>
      </c>
      <c r="CC3"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3"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3" s="188">
        <f>IFERROR(IF(Reinforcements[[#This Row],[Type]]="","",Reinforcements[[#This Row],[Effective B (in)]]*Reinforcements[[#This Row],[Effective H (in)]]^3/12),"")</f>
        <v>0.140625</v>
      </c>
      <c r="CF3" s="188">
        <f>IFERROR(IF(Reinforcements[[#This Row],[Type]]="","",Reinforcements[[#This Row],[Effective B (in)]]^3*Reinforcements[[#This Row],[Effective H (in)]]/12),"")</f>
        <v>4</v>
      </c>
      <c r="CG3" s="193">
        <f>SQRT(2*PI()^2*29000/VLOOKUP(Reinforcements[[#This Row],[Material]],Materials[],2,FALSE))</f>
        <v>75.659570132481107</v>
      </c>
      <c r="CH3" s="194">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38.667116150637533</v>
      </c>
      <c r="CI3"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56.937655467278525</v>
      </c>
      <c r="CJ3" s="195">
        <f>Reinforcements[[#This Row],[Effective Length Factor Kx]]*Reinforcements[[#This Row],[Lu (in)]]/(Reinforcements[[#This Row],[rx]]*PI())*SQRT(VLOOKUP(Reinforcements[[#This Row],[Material]],Materials[],2,FALSE)/29000)</f>
        <v>1.0360047199820279</v>
      </c>
      <c r="CK3" s="195">
        <f>Reinforcements[[#This Row],[Effective Length Factor Ky]]*Reinforcements[[#This Row],[Lu (in)]]/(Reinforcements[[#This Row],[ry]]*PI())*SQRT(VLOOKUP(Reinforcements[[#This Row],[Material]],Materials[],2,FALSE)/29000)</f>
        <v>0.24281360624578782</v>
      </c>
      <c r="CL3" s="195">
        <f>IF(Reinforcements[[#This Row],[λcx]]&lt;=1.5,0.658^(Reinforcements[[#This Row],[λcx]]^2)*Reinforcements[[#This Row],[F''y]],0.877/(Reinforcements[[#This Row],[λcx]]^2)*Reinforcements[[#This Row],[F''y]])</f>
        <v>63.811771442511876</v>
      </c>
      <c r="CM3" s="195">
        <f>IF(Reinforcements[[#This Row],[λcy]]&lt;=1.5,0.658^(Reinforcements[[#This Row],[λcy]]^2)*Reinforcements[[#This Row],[F''y]],0.877/(Reinforcements[[#This Row],[λcy]]^2)*Reinforcements[[#This Row],[F''y]])</f>
        <v>97.562491128158072</v>
      </c>
      <c r="CN3" s="188">
        <f>VLOOKUP(Reinforcements[[#This Row],[Material]],Materials[],2,FALSE)</f>
        <v>100</v>
      </c>
      <c r="CO3" s="196">
        <f>IF(Reinforcements[[#This Row],[Reinforcement]]="","",Reinforcements[[#This Row],[Fax]]*Reinforcements[[#This Row],[Gross Area (in2)]])</f>
        <v>116.00134845191261</v>
      </c>
      <c r="CP3" s="196">
        <f>IF(Reinforcements[[#This Row],[Reinforcement]]="","",Reinforcements[[#This Row],[Fay]]*Reinforcements[[#This Row],[Gross Area (in2)]])</f>
        <v>170.81296640183558</v>
      </c>
      <c r="CQ3" s="196">
        <f>IF(Reinforcements[[#This Row],[Reinforcement]]="","",0.6*VLOOKUP(Reinforcements[[#This Row],[Material]],Materials[],2,FALSE)*Reinforcements[[#This Row],[Gross Area (in2)]])</f>
        <v>180</v>
      </c>
      <c r="CR3" s="196">
        <f>IF(Reinforcements[[#This Row],[Reinforcement]]="","",0.5*VLOOKUP(Reinforcements[[#This Row],[Material]],Materials[],3,FALSE)*Reinforcements[[#This Row],[Net Area (in2)]]*Reinforcements[[#This Row],[Shear Lag (U)]])</f>
        <v>113.4375</v>
      </c>
      <c r="CS3" s="196">
        <f>IF(Reinforcements[[#This Row],[Reinforcement]]="","",0.4*VLOOKUP(Reinforcements[[#This Row],[Material]],Materials[],2,FALSE)*Reinforcements[[#This Row],[Gross Area (in2)]])</f>
        <v>120</v>
      </c>
      <c r="CT3"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3"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3" s="193">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3" s="193">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3" s="193">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3" s="193">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3"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678.18897637795283</v>
      </c>
      <c r="DA3"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760.03937007874015</v>
      </c>
      <c r="DB3"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678.18897637795283</v>
      </c>
      <c r="DC3"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760.03937007874015</v>
      </c>
      <c r="DD3"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 s="191"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 s="190" t="str">
        <f>IF($AZ3="Yes",DD3,IF(Reinforcements[[#This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 s="190" t="str">
        <f>IF($AZ3="Yes",DE3,IF(Reinforcements[[#This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 s="196">
        <f>IF(Reinforcements[[#This Row],[Reinforcement]]="","",φ_c*Reinforcements[[#This Row],[Fcr,x]]*Reinforcements[[#This Row],[Gross Area (in2)]])</f>
        <v>172.29178289478205</v>
      </c>
      <c r="DI3" s="196">
        <f>IF(Reinforcements[[#This Row],[Reinforcement]]="","",φ_c*Reinforcements[[#This Row],[Fcr,y]]*Reinforcements[[#This Row],[Gross Area (in2)]])</f>
        <v>263.41872604602679</v>
      </c>
      <c r="DJ3" s="196">
        <f>IF(Reinforcements[[#This Row],[Reinforcement]]="","",φ_t_y*VLOOKUP(Reinforcements[[#This Row],[Material]],Materials[],2,FALSE)*Reinforcements[[#This Row],[Gross Area (in2)]])</f>
        <v>270</v>
      </c>
      <c r="DK3" s="197">
        <f>IF(Reinforcements[[#This Row],[Reinforcement]]="","",φ_t_r*VLOOKUP(Reinforcements[[#This Row],[Material]],Materials[],3,FALSE)*Reinforcements[[#This Row],[Net Area (in2)]]*Reinforcements[[#This Row],[Shear Lag (U)]])</f>
        <v>170.15625</v>
      </c>
      <c r="DL3" s="197">
        <f>IF(Reinforcements[[#This Row],[Reinforcement]]="","",φ_v*0.5*Reinforcements[[#This Row],[F''y]]*Reinforcements[[#This Row],[Gross Area (in2)]])</f>
        <v>135</v>
      </c>
      <c r="DM3"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3"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3" s="198">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3" s="198">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3" s="198">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3" s="198">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3" s="198">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937.53779527559061</v>
      </c>
      <c r="DT3"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1171.9222440944882</v>
      </c>
      <c r="DU3"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937.53779527559061</v>
      </c>
      <c r="DV3"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1171.9222440944882</v>
      </c>
      <c r="DW3" s="191"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 s="19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 s="190" t="str">
        <f>IF($AZ3="Yes",DW3,IF(Reinforcements[[#This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 s="190" t="str">
        <f>IF($AZ3="Yes",DX3,IF(Reinforcements[[#This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 s="241" t="str">
        <f>IF(OR(Reinforcements[[#This Row],[Type]]="plate",Reinforcements[[#This Row],[Type]]="solid round"),"N/A",Reinforcements[[#This Row],[B (in)]])</f>
        <v>N/A</v>
      </c>
      <c r="EB3" s="237" t="str">
        <f>IF(OR(Reinforcements[[#This Row],[Type]]="plate",Reinforcements[[#This Row],[Type]]="solid round"),"N/A",Reinforcements[[#This Row],[H (in)]])</f>
        <v>N/A</v>
      </c>
      <c r="EC3" s="237" t="str">
        <f>IF(OR(Reinforcements[[#This Row],[Type]]="plate",Reinforcements[[#This Row],[Type]]="solid round"),"N/A",Reinforcements[[#This Row],[B (in)]]-Reinforcements[[#This Row],['[Channel'] Flange Thickness (in)]])</f>
        <v>N/A</v>
      </c>
      <c r="ED3" s="237" t="str">
        <f>IF(OR(Reinforcements[[#This Row],[Type]]="plate",Reinforcements[[#This Row],[Type]]="solid round"),"N/A",Reinforcements[[#This Row],['[Channel']Web Thickness (in)]])</f>
        <v>N/A</v>
      </c>
      <c r="EE3" s="237" t="str">
        <f>IF(OR(Reinforcements[[#This Row],[Type]]="plate",Reinforcements[[#This Row],[Type]]="solid round"),"N/A",Reinforcements[[#This Row],['[Channel'] Flange Thickness (in)]])</f>
        <v>N/A</v>
      </c>
      <c r="EF3" s="237" t="str">
        <f>IF(Reinforcements[[#This Row],[Type]]="channel",Reinforcements[[#This Row],[Channel Flange Width, b]]/Reinforcements[[#This Row],[Channel flange thickness, tf]],"N/A")</f>
        <v>N/A</v>
      </c>
      <c r="EG3" s="237" t="str">
        <f>IF(Reinforcements[[#This Row],[Type]]="channel",Reinforcements[[#This Row],[Channel inside depth, T]]/Reinforcements[[#This Row],[Channel web thickness, tw]],"N/A")</f>
        <v>N/A</v>
      </c>
      <c r="EH3" s="237">
        <v>29000</v>
      </c>
      <c r="EI3" s="237" t="str">
        <f>IF(Reinforcements[[#This Row],[Type]]="channel",0.56*SQRT(Reinforcements[[#This Row],[E, (ksi)]]/Reinforcements[[#This Row],[Fy, (ksi)]]),"N/A")</f>
        <v>N/A</v>
      </c>
      <c r="EJ3" s="237" t="str">
        <f>IF(Reinforcements[[#This Row],[Type]]="channel",1.49*SQRT(Reinforcements[[#This Row],[E, (ksi)]]/Reinforcements[[#This Row],[Fy, (ksi)]]),"N/A")</f>
        <v>N/A</v>
      </c>
      <c r="EK3" s="237">
        <f>VLOOKUP(Reinforcements[[#This Row],[Material]],Materials!$B$2:$C$30,2,FALSE)</f>
        <v>100</v>
      </c>
      <c r="EL3" s="237">
        <f>Reinforcements[[#This Row],[Lu (in)]]*Reinforcements[[#This Row],[Effective Length Factor Kx]]</f>
        <v>12</v>
      </c>
      <c r="EM3" s="237">
        <f>Reinforcements[[#This Row],[Lu (in)]]*Reinforcements[[#This Row],[Effective Length Factor Ky]]</f>
        <v>15</v>
      </c>
      <c r="EN3" s="237">
        <f>Reinforcements[[#This Row],[rx]]</f>
        <v>0.21650635094610965</v>
      </c>
      <c r="EO3" s="237">
        <f>Reinforcements[[#This Row],[ry]]</f>
        <v>1.1547005383792515</v>
      </c>
      <c r="EP3" s="237">
        <f>Reinforcements[[#This Row],[Lcx (in)]]/Reinforcements[[#This Row],[rx (in)]]</f>
        <v>55.425625842204077</v>
      </c>
      <c r="EQ3" s="237">
        <f>Reinforcements[[#This Row],[Lcy (in)]]/Reinforcements[[#This Row],[ry (in)]]</f>
        <v>12.99038105676658</v>
      </c>
      <c r="ER3" s="237">
        <f>((PI()^2)*Reinforcements[[#This Row],[E, (ksi)]])/(Reinforcements[[#This Row],[Lcx/rx]]^2)</f>
        <v>93.1700936300753</v>
      </c>
      <c r="ES3" s="237">
        <f>((PI()^2)*Reinforcements[[#This Row],[E, (ksi)]])/(Reinforcements[[#This Row],[Lcy/ry]]^2)</f>
        <v>1696.1097933723934</v>
      </c>
      <c r="ET3" s="237">
        <f>4.71*(SQRT(Reinforcements[[#This Row],[E, (ksi)]]/Reinforcements[[#This Row],[Fy, (ksi)]]))</f>
        <v>80.20840978351336</v>
      </c>
      <c r="EU3" s="237">
        <f>IF(Reinforcements[[#This Row],[Lcx/rx]]&lt;=Reinforcements[[#This Row],[Fcr Limit]],(0.658^(Reinforcements[[#This Row],[Fy, (ksi)]]/Reinforcements[[#This Row],[Fex, FB (ksi)]]))*Reinforcements[[#This Row],[Fy, (ksi)]],0.877*Reinforcements[[#This Row],[Fex, FB (ksi)]])</f>
        <v>63.811771442511869</v>
      </c>
      <c r="EV3" s="237">
        <f>IF(Reinforcements[[#This Row],[Lcy/ry]]&lt;=Reinforcements[[#This Row],[Fcr Limit]],(0.658^(Reinforcements[[#This Row],[Fy, (ksi)]]/Reinforcements[[#This Row],[Fey, FB (ksi)]]))*Reinforcements[[#This Row],[Fy, (ksi)]],0.877*Reinforcements[[#This Row],[Fey, FB (ksi)]])</f>
        <v>97.562491128158072</v>
      </c>
      <c r="EW3" s="237">
        <f>Reinforcements[[#This Row],[Fcrx (ksi)]]*Reinforcements[[#This Row],[Gross Area (in2)]]</f>
        <v>191.43531432753559</v>
      </c>
      <c r="EX3" s="237">
        <f>Reinforcements[[#This Row],[Fcry (ksi)]]*Reinforcements[[#This Row],[Gross Area (in2)]]</f>
        <v>292.68747338447423</v>
      </c>
      <c r="EY3" s="237" t="str">
        <f>IF(Reinforcements[[#This Row],[Type]]="channel",0,"N/A")</f>
        <v>N/A</v>
      </c>
      <c r="EZ3" s="237" t="str">
        <f>IF(Reinforcements[[#This Row],[Type]]="channel",Reinforcements[[#This Row],[Channel Flange Width, b]]-(0.5*Reinforcements[[#This Row],[Channel web thickness, tw]]),"N/A")</f>
        <v>N/A</v>
      </c>
      <c r="FA3" s="237" t="str">
        <f>IF(Reinforcements[[#This Row],[Type]]="channel",Reinforcements[[#This Row],[Channel Height, h]]-Reinforcements[[#This Row],[Channel flange thickness, tf]],"N/A")</f>
        <v>N/A</v>
      </c>
      <c r="FB3" s="237" t="str">
        <f>IF(Reinforcements[[#This Row],[Type]]="channel",Reinforcements[[#This Row],[Channel web thickness, tw]],"N/A")</f>
        <v>N/A</v>
      </c>
      <c r="FC3" s="237" t="str">
        <f>IF(Reinforcements[[#This Row],[Type]]="channel",((3*Reinforcements[[#This Row],[b]]^2)/(Reinforcements[[#This Row],[h]]+(6*Reinforcements[[#This Row],[b]])))-Reinforcements[[#This Row],[t]]/2,"N/A")</f>
        <v>N/A</v>
      </c>
      <c r="FD3" s="237">
        <f>Reinforcements[[#This Row],[Pole Face to Centroid (in)]]</f>
        <v>0.375</v>
      </c>
      <c r="FE3" s="237" t="str">
        <f>IF(Reinforcements[[#This Row],[Type]]="channel",Reinforcements[[#This Row],[x(bar)]]+Reinforcements[[#This Row],['[Channel'] e0 (in)]],"N/A")</f>
        <v>N/A</v>
      </c>
      <c r="FF3" s="237" t="str">
        <f>IF(Reinforcements[[#This Row],[Type]]="channel",Reinforcements[[#This Row],[Ix]],"N/A")</f>
        <v>N/A</v>
      </c>
      <c r="FG3" s="237" t="str">
        <f>IF(Reinforcements[[#This Row],[Type]]="channel",Reinforcements[[#This Row],[Iy]],"N/A")</f>
        <v>N/A</v>
      </c>
      <c r="FH3" s="237" t="str">
        <f>IF(Reinforcements[[#This Row],[Type]]="channel",Reinforcements[[#This Row],[Gross Area (in2)]],"N/A")</f>
        <v>N/A</v>
      </c>
      <c r="FI3" s="237" t="str">
        <f>IF(Reinforcements[[#This Row],[Type]]="channel",(Reinforcements[[#This Row],[xo]]^2)+((Reinforcements[[#This Row],[Ix (FTB)]]+Reinforcements[[#This Row],[Iy (FTB)]])/Reinforcements[[#This Row],[Ag]]),"N/A")</f>
        <v>N/A</v>
      </c>
      <c r="FJ3" s="237" t="str">
        <f>IF(Reinforcements[[#This Row],[Type]]="channel",Reinforcements[[#This Row],[Lu (in)]],"N/A")</f>
        <v>N/A</v>
      </c>
      <c r="FK3" s="237" t="str">
        <f>IF(Reinforcements[[#This Row],[Type]]="channel",Reinforcements[[#This Row],[Effective Length Factor Kx]],"N/A")</f>
        <v>N/A</v>
      </c>
      <c r="FL3" s="237" t="str">
        <f>IF(Reinforcements[[#This Row],[Type]]="channel",Reinforcements[[#This Row],[Kz]]*Reinforcements[[#This Row],[Lz]],"N/A")</f>
        <v>N/A</v>
      </c>
      <c r="FM3" s="237" t="str">
        <f>IF(Reinforcements[[#This Row],[Type]]="channel",(((Reinforcements[[#This Row],[t]]^3)/3)*(Reinforcements[[#This Row],[h]]+(2*Reinforcements[[#This Row],[b]]))),"N/A")</f>
        <v>N/A</v>
      </c>
      <c r="FN3" s="237" t="str">
        <f>IF(Reinforcements[[#This Row],[Type]]="channel",(1-(((Reinforcements[[#This Row],[xo]]^2)+(Reinforcements[[#This Row],[yo]]^2))/Reinforcements[[#This Row],[ro^2(bar)]])),"N/A")</f>
        <v>N/A</v>
      </c>
      <c r="FO3" s="237">
        <v>11200</v>
      </c>
      <c r="FP3" s="237" t="str">
        <f>IF(Reinforcements[[#This Row],[Type]]="channel",(((Reinforcements[[#This Row],[h]]^2)*(Reinforcements[[#This Row],[b]]^3)*Reinforcements[[#This Row],[t]])/12)*(((2*Reinforcements[[#This Row],[h]])+(3*Reinforcements[[#This Row],[b]]))/(Reinforcements[[#This Row],[h]]+(6*Reinforcements[[#This Row],[b]]))),"N/A")</f>
        <v>N/A</v>
      </c>
      <c r="FQ3" s="237" t="str">
        <f>IF(Reinforcements[[#This Row],[Type]]="Channel",((((PI()^2)*Reinforcements[[#This Row],[E, (ksi)]]*Reinforcements[[#This Row],['[Channel'] CW (in6)]])/(Reinforcements[[#This Row],[Lcz]]^2))+(Reinforcements[[#This Row],[G]]*Reinforcements[[#This Row],['[Channel'] J (in4)]]))*(1/(Reinforcements[[#This Row],[Ag]]*Reinforcements[[#This Row],[ro^2(bar)]])),"N/A")</f>
        <v>N/A</v>
      </c>
      <c r="FR3" s="237" t="str">
        <f>IF(Reinforcements[[#This Row],[Type]]="channel",((PI()^2)*Reinforcements[[#This Row],[E, (ksi)]])/(Reinforcements[[#This Row],[Lcy/ry]]^2),"N/A")</f>
        <v>N/A</v>
      </c>
      <c r="FS3" s="237" t="str">
        <f>IF(Reinforcements[[#This Row],[Type]]="channel",((Reinforcements[[#This Row],[Fey]]+Reinforcements[[#This Row],[Fez]])/(2*Reinforcements[[#This Row],[H2]]))*(1-SQRT(1-((4*Reinforcements[[#This Row],[Fey]]*Reinforcements[[#This Row],[Fez]]*Reinforcements[[#This Row],[H2]])/(Reinforcements[[#This Row],[Fey]]+Reinforcements[[#This Row],[Fez]])^2))),"N/A")</f>
        <v>N/A</v>
      </c>
      <c r="FT3" s="237" t="str">
        <f>IF(Reinforcements[[#This Row],[Type]]="channel",IF(Reinforcements[[#This Row],[Lcx/rx]]&gt;(4.71*SQRT(Reinforcements[[#This Row],[E, (ksi)]]/Reinforcements[[#This Row],[Fy, (ksi)]])),0.877*Reinforcements[[#This Row],[Fe (FTB)]],0.658^(Reinforcements[[#This Row],[Fy, (ksi)]]/Reinforcements[[#This Row],[Fe (FTB)]])*Reinforcements[[#This Row],[Fy, (ksi)]]),"N/A")</f>
        <v>N/A</v>
      </c>
      <c r="FU3" s="237" t="str">
        <f>IF(Reinforcements[[#This Row],[Type]]="channel",MIN(Reinforcements[[#This Row],[Fcr(FTB)]],Reinforcements[[#This Row],[Fcry (ksi)]]),"N/A")</f>
        <v>N/A</v>
      </c>
      <c r="FV3" s="237">
        <v>0.22</v>
      </c>
      <c r="FW3" s="237">
        <v>1.49</v>
      </c>
      <c r="FX3" s="237" t="str">
        <f>IF(Reinforcements[[#This Row],[Type]]="channel",((Reinforcements[[#This Row],[c2]]*(Reinforcements[[#This Row],[λrf]]/Reinforcements[[#This Row],[λf]]))^2)*Reinforcements[[#This Row],[Fy, (ksi)]],"N/A")</f>
        <v>N/A</v>
      </c>
      <c r="FY3" s="237" t="str">
        <f>IF(Reinforcements[[#This Row],[Type]]="channel",((Reinforcements[[#This Row],[c2]]*(Reinforcements[[#This Row],[λrw]]/Reinforcements[[#This Row],[λw]]))^2)*Reinforcements[[#This Row],[Fy, (ksi)]],"N/A")</f>
        <v>N/A</v>
      </c>
      <c r="FZ3"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 s="237" t="str">
        <f>IF(Reinforcements[[#This Row],[Type]]="channel",Reinforcements[[#This Row],[Fcr]]*Reinforcements[[#This Row],[Ae]],"N/A")</f>
        <v>N/A</v>
      </c>
      <c r="GD3" s="466">
        <f>IF(Reinforcements[[#This Row],[Reinforcement]]="","",φ_c*Reinforcements[[#This Row],[Pnx, FB (kip)]])</f>
        <v>172.29178289478205</v>
      </c>
      <c r="GE3" s="466">
        <f>IF(Reinforcements[[#This Row],[Reinforcement]]="","",IF(Reinforcements[[#This Row],[Type]]="channel",φ_c*Reinforcements[[#This Row],[Pn]],φ_c*Reinforcements[[#This Row],[Pny, FB (kip)]]))</f>
        <v>263.41872604602679</v>
      </c>
      <c r="GF3" s="466">
        <f>Reinforcements[[#This Row],[Rev. G Tension Yield Capacity (kips)]]</f>
        <v>270</v>
      </c>
      <c r="GG3" s="466">
        <f>Reinforcements[[#This Row],[Rev. G Tension Rupture Capacity (kips)]]</f>
        <v>170.15625</v>
      </c>
      <c r="GH3" s="466">
        <f>Reinforcements[[#This Row],[Rev. G Shear Capacity (kips)]]</f>
        <v>135</v>
      </c>
      <c r="GI3" s="466">
        <f>IFERROR((Reinforcements[[#This Row],['# of End Connection Bolts          (Bottom)]]-1)*Reinforcements[[#This Row],[End Connection Bolt Spacing (in) (B)]],"-")</f>
        <v>15</v>
      </c>
      <c r="GJ3" s="466">
        <f>IFERROR(IF(VLOOKUP(Reinforcements[[#This Row],[Bottom End Connection Bolt Type]],Bolts[],COLUMN(Bolts[[#Headers],[Rev. H Apply Connection Length Reduction Factor (Rb)?]])-1,FALSE)="Yes",(IF(Reinforcements[[#This Row],[Lb(bottom)]]&lt;=16,1,IF(Reinforcements[[#This Row],[Lb(bottom)]]&gt;38,0.75,0.9))),1),"-")</f>
        <v>1</v>
      </c>
      <c r="GK3"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3" s="466">
        <f>IFERROR(IF(Reinforcements[[#This Row],[Top End Connection Same?]]="Yes",Reinforcements[[#This Row],[Lb(bottom)]],(Reinforcements[[#This Row],['# of End Connection Bolts          (Top)]]-1)*Reinforcements[[#This Row],[End Connection Bolt Spacing (in) (T)]]),"-")</f>
        <v>15</v>
      </c>
      <c r="GM3" s="466">
        <f>IFERROR(IF(VLOOKUP(Reinforcements[[#This Row],[Top End Connection Bolt Type]],Bolts[],COLUMN(Bolts[[#Headers],[Rev. H Apply Connection Length Reduction Factor (Rb)?]])-1,FALSE)="Yes",(IF(Reinforcements[[#This Row],[Lb(top)]]&lt;=16,1,IF(Reinforcements[[#This Row],[Lb(top)]]&gt;38,0.75,0.9))),1),"-")</f>
        <v>1</v>
      </c>
      <c r="GN3"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3" s="466">
        <f>Reinforcements[[#This Row],[Rev. G Bolt-Shaft Bearing Capacity (Bottom)                No Deformation          (*t*Fu kips)]]</f>
        <v>11.96220472440945</v>
      </c>
      <c r="GP3" s="466">
        <f>Reinforcements[[#This Row],[Rev. G Bolt-Shaft Bearing Capacity (Bottom)                   Deformation          (*t*Fu kips)]]</f>
        <v>14.952755905511811</v>
      </c>
      <c r="GQ3" s="466">
        <f>Reinforcements[[#This Row],[Rev. G Bolt-Shaft Bearing Capacity (Top)                    No Deformation          (*t*Fu kips)]]</f>
        <v>11.96220472440945</v>
      </c>
      <c r="GR3" s="466">
        <f>Reinforcements[[#This Row],[Rev. G Bolt-Shaft Bearing Capacity (Top)                        Deformation          (*t*Fu kips)]]</f>
        <v>14.952755905511811</v>
      </c>
      <c r="GS3" s="466">
        <f>Reinforcements[[#This Row],[Rev. G Bolt-Reinf. Bearing Capacity (Bottom)            No Deformation (kips)]]</f>
        <v>937.53779527559061</v>
      </c>
      <c r="GT3" s="466">
        <f>Reinforcements[[#This Row],[Rev. G Bolt-Reinf. Bearing Capacity (Bottom)               Deformation (kips)]]</f>
        <v>1171.9222440944882</v>
      </c>
      <c r="GU3" s="466">
        <f>Reinforcements[[#This Row],[Rev. G Bolt-Reinf. Bearing Capacity (Top)                  No Deformation (kips)]]</f>
        <v>937.53779527559061</v>
      </c>
      <c r="GV3" s="466">
        <f>Reinforcements[[#This Row],[Rev. G Bolt-Reinf. Bearing Capacity (Top)               Deformation (kips)]]</f>
        <v>1171.9222440944882</v>
      </c>
      <c r="GW3" s="466" t="str">
        <f>Reinforcements[[#This Row],[Rev. G Bottom Transverse Weld Strength]]</f>
        <v>-</v>
      </c>
      <c r="GX3" s="466" t="str">
        <f>Reinforcements[[#This Row],[Rev. G Bottom Longitudinal Weld Strength]]</f>
        <v>-</v>
      </c>
      <c r="GY3" s="466" t="str">
        <f>Reinforcements[[#This Row],[Rev. G Top Transverse Weld Strength]]</f>
        <v>-</v>
      </c>
      <c r="GZ3" s="466" t="str">
        <f>Reinforcements[[#This Row],[Rev. G Top Longitudinal Weld Strength]]</f>
        <v>-</v>
      </c>
      <c r="HA3" s="552">
        <v>1</v>
      </c>
      <c r="HB3"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 spans="2:210" x14ac:dyDescent="0.2">
      <c r="B4" s="72" t="s">
        <v>212</v>
      </c>
      <c r="C4" s="72" t="s">
        <v>146</v>
      </c>
      <c r="D4" s="185">
        <v>4</v>
      </c>
      <c r="E4" s="185">
        <v>1</v>
      </c>
      <c r="F4" s="185" t="str">
        <f>IF(Reinforcements[[#This Row],[Type]]="","",IF(Reinforcements[[#This Row],[Type]]="solid round","","n/a"))</f>
        <v>n/a</v>
      </c>
      <c r="G4" s="185" t="str">
        <f>IF(Reinforcements[[#This Row],[Type]]="","",IF(Reinforcements[[#This Row],[Type]]&lt;&gt;"channel","n/a",""))</f>
        <v>n/a</v>
      </c>
      <c r="H4" s="185" t="str">
        <f>IF(Reinforcements[[#This Row],[Type]]="","",IF(Reinforcements[[#This Row],[Type]]&lt;&gt;"channel","n/a",""))</f>
        <v>n/a</v>
      </c>
      <c r="I4" s="197" t="str">
        <f>IF(Reinforcements[[#This Row],[Type]]="","",IF(Reinforcements[[#This Row],[Type]]&lt;&gt;"channel","n/a",Reinforcements[[#This Row],[eo]]))</f>
        <v>n/a</v>
      </c>
      <c r="J4" s="197" t="str">
        <f>IF(Reinforcements[[#This Row],[Type]]="","",IF(Reinforcements[[#This Row],[Type]]&lt;&gt;"channel","n/a",Reinforcements[[#This Row],[J]]))</f>
        <v>n/a</v>
      </c>
      <c r="K4" s="197" t="str">
        <f>IF(Reinforcements[[#This Row],[Type]]="","",IF(Reinforcements[[#This Row],[Type]]&lt;&gt;"channel","n/a",Reinforcements[[#This Row],[Cw]]))</f>
        <v>n/a</v>
      </c>
      <c r="L4" s="185">
        <f>IFERROR(IF(Reinforcements[[#This Row],[Type]]="","",IF(Reinforcements[[#This Row],[Type]]="plate",Reinforcements[[#This Row],[B (in)]]*Reinforcements[[#This Row],[H (in)]],IF(Reinforcements[[#This Row],[Type]]="solid round",PI()/4*Reinforcements[[#This Row],[Diameter (in)]]^2,""))),"")</f>
        <v>4</v>
      </c>
      <c r="M4" s="185">
        <f>IFERROR(IF(Reinforcements[[#This Row],[Type]]="","",IF(Reinforcements[[#This Row],[Type]]="plate",Reinforcements[[#This Row],[H (in)]]/2,"")),"")</f>
        <v>0.5</v>
      </c>
      <c r="N4" s="186" t="s">
        <v>297</v>
      </c>
      <c r="O4" s="185" t="s">
        <v>153</v>
      </c>
      <c r="P4" s="187">
        <f>IFERROR(IF(Reinforcements[[#This Row],[Type]]="","",IF(Reinforcements[[#This Row],[Type]]="plate",Reinforcements[[#This Row],[B (in)]]*Reinforcements[[#This Row],[H (in)]]^3/12,IF(Reinforcements[[#This Row],[Type]]="solid round",PI()/64*Reinforcements[[#This Row],[Diameter (in)]]^4,""))),"")</f>
        <v>0.33333333333333331</v>
      </c>
      <c r="Q4" s="187">
        <f>IF(Reinforcements[[#This Row],[Reinforcement]]="","",SQRT(Reinforcements[[#This Row],[Ix]]/Reinforcements[[#This Row],[Gross Area (in2)]]))</f>
        <v>0.28867513459481287</v>
      </c>
      <c r="R4" s="187">
        <f>IFERROR(IF(Reinforcements[[#This Row],[Type]]="","",IF(Reinforcements[[#This Row],[Type]]="plate",Reinforcements[[#This Row],[B (in)]]^3*Reinforcements[[#This Row],[H (in)]]/12,IF(Reinforcements[[#This Row],[Type]]="solid round",PI()/64*Reinforcements[[#This Row],[Diameter (in)]]^4,""))),"")</f>
        <v>5.333333333333333</v>
      </c>
      <c r="S4" s="187">
        <f>IF(Reinforcements[[#This Row],[Reinforcement]]="","",SQRT(Reinforcements[[#This Row],[Iy]]/Reinforcements[[#This Row],[Gross Area (in2)]]))</f>
        <v>1.1547005383792515</v>
      </c>
      <c r="T4" s="190">
        <v>20</v>
      </c>
      <c r="U4" s="188">
        <v>0.8</v>
      </c>
      <c r="V4" s="188">
        <v>1</v>
      </c>
      <c r="W4" s="185">
        <v>1.1875</v>
      </c>
      <c r="X4" s="188">
        <f>IF(Reinforcements[[#This Row],[Bolt Hole Size (in)]]="","",IF(Reinforcements[[#This Row],[Bolt Hole Size (in)]]="n/a","n/a",Reinforcements[[#This Row],[Bolt Hole Size (in)]]*25.4))</f>
        <v>30.162499999999998</v>
      </c>
      <c r="Y4"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2.75</v>
      </c>
      <c r="Z4" s="185">
        <f>IFERROR(IF(Reinforcements[[#This Row],[Reinforcement]]="","",IF(OR(Reinforcements[[#This Row],[Type]]="plate",Reinforcements[[#This Row],[Type]]="solid round"),1,IF(Reinforcements[[#This Row],[Type]]="arbitrary","",1-Reinforcements[[#This Row],[Pole Face to Centroid (in)]]/Reinforcements[[#This Row],[Connection Length (in) '[Channels']]]))),"")</f>
        <v>1</v>
      </c>
      <c r="AA4" s="189" t="s">
        <v>391</v>
      </c>
      <c r="AB4" s="189" t="str">
        <f>IF(Reinforcements[[#This Row],[Reinforcement]]="","",IF(Reinforcements[[#This Row],[Bottom End Connection Type]]&lt;&gt;"Capacity Input","-",""))</f>
        <v>-</v>
      </c>
      <c r="AC4" s="189" t="str">
        <f>IF(Reinforcements[[#This Row],[Reinforcement]]="","",IF(Reinforcements[[#This Row],[Bottom End Connection Type]]&lt;&gt;"Capacity Input","-",""))</f>
        <v>-</v>
      </c>
      <c r="AD4" s="461" t="str">
        <f>IF(Reinforcements[[#This Row],[Reinforcement]]="","",IF(Reinforcements[[#This Row],[Bottom End Connection Type]]&lt;&gt;"Capacity Input","-",""))</f>
        <v>-</v>
      </c>
      <c r="AE4" s="103" t="s">
        <v>416</v>
      </c>
      <c r="AF4" s="190" t="s">
        <v>296</v>
      </c>
      <c r="AG4" s="190">
        <v>7</v>
      </c>
      <c r="AH4" s="190">
        <v>3</v>
      </c>
      <c r="AI4" s="190">
        <v>2</v>
      </c>
      <c r="AJ4" s="190">
        <f>Reinforcements[[#This Row],[End Connection Edge Distance (in) (B)]]-(Reinforcements[[#This Row],[Bolt Hole Size (in)]]+1/16)/2</f>
        <v>1.375</v>
      </c>
      <c r="AK4" s="190">
        <f>Reinforcements[[#This Row],[End Connection Bolt Spacing (in) (B)]]-(Reinforcements[[#This Row],[Bolt Hole Size (in)]]+1/16)</f>
        <v>1.75</v>
      </c>
      <c r="AL4" s="190">
        <f>Reinforcements[[#This Row],[End Connection Edge Distance (in) (B)]]</f>
        <v>2</v>
      </c>
      <c r="AM4" s="190">
        <f>Reinforcements[[#This Row],[End Connection Bolt Spacing (in) (B)]]</f>
        <v>3</v>
      </c>
      <c r="AN4" s="191" t="str">
        <f>IF(Reinforcements[[#This Row],[Reinforcement]]="","",IF(OR(Reinforcements[[#This Row],[Bottom End Connection Type]]="Bolted",Reinforcements[[#This Row],[Bottom End Connection Type]]=""),"-",""))</f>
        <v>-</v>
      </c>
      <c r="AO4" s="191" t="str">
        <f>IF(Reinforcements[[#This Row],[Reinforcement]]="","",IF(OR(Reinforcements[[#This Row],[Bottom End Connection Type]]="Bolted",Reinforcements[[#This Row],[Bottom End Connection Type]]=""),"-",""))</f>
        <v>-</v>
      </c>
      <c r="AP4" s="191" t="str">
        <f>IF(Reinforcements[[#This Row],[Reinforcement]]="","",IF(OR(Reinforcements[[#This Row],[Bottom End Connection Type]]="Bolted",Reinforcements[[#This Row],[Bottom End Connection Type]]=""),"-",""))</f>
        <v>-</v>
      </c>
      <c r="AQ4" s="191" t="str">
        <f>IF(OR(Reinforcements[[#This Row],[Bottom End Connection Type]]="Bolted",Reinforcements[[#This Row],[Bottom Transverse (Horizontal) Weld]]="none"),"-","")</f>
        <v>-</v>
      </c>
      <c r="AR4" s="19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 s="19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 s="191" t="str">
        <f>IF(OR(Reinforcements[[#This Row],[Bottom Transverse (Horizontal) Weld]]="none",Reinforcements[[#This Row],[Bottom End Connection Type]]="Bolted"),"-","")</f>
        <v>-</v>
      </c>
      <c r="AU4" s="191"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 s="191" t="str">
        <f>IF(Reinforcements[[#This Row],[Reinforcement]]="","",IF(OR(Reinforcements[[#This Row],[Bottom End Connection Type]]="Bolted",Reinforcements[[#This Row],[Bottom End Connection Type]]=""),"-",""))</f>
        <v>-</v>
      </c>
      <c r="AW4" s="191" t="str">
        <f>IF(Reinforcements[[#This Row],[Reinforcement]]="","",IF(OR(Reinforcements[[#This Row],[Bottom End Connection Type]]&lt;&gt;"Welded",Reinforcements[[#This Row],[Bottom Longitudinal (Vertical) Weld]]="None",Reinforcements[[#This Row],[Bottom Longitudinal (Vertical) Weld]]=""),"-",""))</f>
        <v>-</v>
      </c>
      <c r="AX4" s="191" t="str">
        <f>IF(Reinforcements[[#This Row],[Reinforcement]]="","",IF(OR(Reinforcements[[#This Row],[Bottom End Connection Type]]&lt;&gt;"Welded",Reinforcements[[#This Row],[Bottom Longitudinal (Vertical) Weld]]="None",Reinforcements[[#This Row],[Bottom Longitudinal (Vertical) Weld]]=""),"-",""))</f>
        <v>-</v>
      </c>
      <c r="AY4" s="191" t="str">
        <f>IF(Reinforcements[[#This Row],[Reinforcement]]="","",IF(OR(Reinforcements[[#This Row],[Bottom End Connection Type]]&lt;&gt;"Welded",Reinforcements[[#This Row],[Bottom Longitudinal (Vertical) Weld]]="None"),"-",SQRT(2)/2*Reinforcements[[#This Row],[Bottom Longitudinal Weld Fillet Size (in)]]))</f>
        <v>-</v>
      </c>
      <c r="AZ4" s="190" t="s">
        <v>295</v>
      </c>
      <c r="BA4" s="189" t="str">
        <f>IF(Reinforcements[[#This Row],[Top End Connection Same?]]="Yes",Reinforcements[[#This Row],[Bottom End Connection Type]],"")</f>
        <v>Bolted</v>
      </c>
      <c r="BB4" s="189" t="str">
        <f>IF(Reinforcements[[#This Row],[Reinforcement]]="","",IF(Reinforcements[[#This Row],[Top End Connection Same?]]="Yes",Reinforcements[[#This Row],[Rev. F Bottom Connection Capacity (kips)]],IF(Reinforcements[[#This Row],[Reinforcement]]="","",IF(Reinforcements[[#This Row],[Top End Connection Type]]&lt;&gt;"Capacity Input","-",""))))</f>
        <v>-</v>
      </c>
      <c r="BC4" s="189" t="str">
        <f>IF(Reinforcements[[#This Row],[Reinforcement]]="","",IF(Reinforcements[[#This Row],[Top End Connection Same?]]="Yes",Reinforcements[[#This Row],[Rev. G Bottom Connection Capacity (kips)]],IF(Reinforcements[[#This Row],[Reinforcement]]="","",IF(Reinforcements[[#This Row],[Top End Connection Type]]&lt;&gt;"Capacity Input","-",""))))</f>
        <v>-</v>
      </c>
      <c r="BD4" s="461" t="str">
        <f>IF(Reinforcements[[#This Row],[Reinforcement]]="","",IF(Reinforcements[[#This Row],[Top End Connection Same?]]="Yes",Reinforcements[[#This Row],[Rev. G Bottom Connection Capacity (kips)]],IF(Reinforcements[[#This Row],[Reinforcement]]="","",IF(Reinforcements[[#This Row],[Top End Connection Type]]&lt;&gt;"Capacity Input","-",""))))</f>
        <v>-</v>
      </c>
      <c r="BE4" s="103" t="str">
        <f>IF(Reinforcements[[#This Row],[Top End Connection Same?]]="Yes",Reinforcements[[#This Row],[Bottom End Connection Bolt Type]],IF(Reinforcements[[#This Row],[Top End Connection Type]]="Welded","-",""))</f>
        <v>PC 8.8 - M20 (100)</v>
      </c>
      <c r="BF4" s="190" t="str">
        <f>IF(Reinforcements[[#This Row],[Top End Connection Same?]]="Yes",Reinforcements[[#This Row],[Threads Included (N) or Excluded (X) (Bottom)]],IF(Reinforcements[[#This Row],[Top End Connection Type]]="Welded","-",""))</f>
        <v>N</v>
      </c>
      <c r="BG4" s="190">
        <f>IF(Reinforcements[[#This Row],[Top End Connection Same?]]="Yes",Reinforcements[[#This Row],['# of End Connection Bolts          (Bottom)]],IF(Reinforcements[[#This Row],[Top End Connection Type]]="Welded","-",""))</f>
        <v>7</v>
      </c>
      <c r="BH4" s="190">
        <f>IF(Reinforcements[[#This Row],[Top End Connection Same?]]="Yes",Reinforcements[[#This Row],[End Connection Bolt Spacing (in) (B)]],IF(Reinforcements[[#This Row],[Top End Connection Type]]="Welded","-",""))</f>
        <v>3</v>
      </c>
      <c r="BI4" s="190">
        <f>IF(Reinforcements[[#This Row],[Top End Connection Same?]]="Yes",Reinforcements[[#This Row],[End Connection Edge Distance (in) (B)]],IF(Reinforcements[[#This Row],[Top End Connection Type]]="Welded","-",""))</f>
        <v>2</v>
      </c>
      <c r="BJ4" s="190">
        <f>Reinforcements[[#This Row],[End Connection Edge Distance (in) (T)]]-(Reinforcements[[#This Row],[Bolt Hole Size (in)]]+1/16)/2</f>
        <v>1.375</v>
      </c>
      <c r="BK4" s="190">
        <f>Reinforcements[[#This Row],[End Connection Bolt Spacing (in) (T)]]-(Reinforcements[[#This Row],[Bolt Hole Size (in)]]+1/16)</f>
        <v>1.75</v>
      </c>
      <c r="BL4" s="190">
        <f>Reinforcements[[#This Row],[End Connection Edge Distance (in) (T)]]</f>
        <v>2</v>
      </c>
      <c r="BM4" s="190">
        <f>Reinforcements[[#This Row],[End Connection Bolt Spacing (in) (T)]]</f>
        <v>3</v>
      </c>
      <c r="BN4" s="190" t="str">
        <f>IF(Reinforcements[[#This Row],[Reinforcement]]="","",IF(Reinforcements[[#This Row],[Top End Connection Same?]]="Yes",Reinforcements[[#This Row],[Bottom Connected to Flange/Base Plate?]],IF(Reinforcements[[#This Row],[Top End Connection Type]]="Bolted","-","")))</f>
        <v>-</v>
      </c>
      <c r="BO4" s="190" t="str">
        <f>IF(Reinforcements[[#This Row],[Reinforcement]]="","",IF(Reinforcements[[#This Row],[Top End Connection Same?]]="Yes",Reinforcements[[#This Row],[Bottom Weld Grade (ksi)]],IF(OR(Reinforcements[[#This Row],[Top End Connection Type]]&lt;&gt;"Welded",Reinforcements[[#This Row],[Top End Connection Type]]=""),"-","")))</f>
        <v>-</v>
      </c>
      <c r="BP4" s="190" t="str">
        <f>IF($AZ4="Yes",AP4,IF(Reinforcements[[#This Row],[Reinforcement]]="","",IF(OR(Reinforcements[[#This Row],[Top End Connection Type]]&lt;&gt;"Welded",Reinforcements[[#This Row],[Top End Connection Type]]=""),"-","")))</f>
        <v>-</v>
      </c>
      <c r="BQ4" s="190" t="str">
        <f>IF(Reinforcements[[#This Row],[Reinforcement]]="","",IF($AZ4="Yes",AQ4,IF(OR(Reinforcements[[#This Row],[Top End Connection Type]]&lt;&gt;"Welded",Reinforcements[[#This Row],[Top Transverse (Horizontal) Weld]]="none",Reinforcements[[#This Row],[Top Transverse (Horizontal) Weld]]=""),"-","")))</f>
        <v>-</v>
      </c>
      <c r="BR4" s="190" t="str">
        <f>IF($AZ4="Yes",AR4,IF(Reinforcements[[#This Row],[Reinforcement]]="","",IF(OR(Reinforcements[[#This Row],[Top Transverse (Horizontal) Weld]]="none",Reinforcements[[#This Row],[Top End Connection Type]]&lt;&gt;"Welded",Reinforcements[[#This Row],[Top Transverse (Horizontal) Weld]]="",Reinforcements[[#This Row],[Top Transverse (Horizontal) Weld]]="Fillet"),"-","")))</f>
        <v>-</v>
      </c>
      <c r="BS4" s="190" t="str">
        <f>IF($AZ4="Yes",AS4,IF(Reinforcements[[#This Row],[Reinforcement]]="","",IF(OR(Reinforcements[[#This Row],[Top Transverse (Horizontal) Weld]]="none",Reinforcements[[#This Row],[Top End Connection Type]]&lt;&gt;"Welded",Reinforcements[[#This Row],[Top Transverse (Horizontal) Weld]]="",Reinforcements[[#This Row],[Top Transverse (Horizontal) Weld]]="Fillet"),"-","")))</f>
        <v>-</v>
      </c>
      <c r="BT4" s="190" t="str">
        <f>IF(Reinforcements[[#This Row],[Reinforcement]]="","",IF($AZ4="Yes",AT4,IF(OR(Reinforcements[[#This Row],[Top Transverse (Horizontal) Weld]]="none",Reinforcements[[#This Row],[Top End Connection Type]]&lt;&gt;"Welded",Reinforcements[[#This Row],[Top Transverse (Horizontal) Weld]]=""),"-","")))</f>
        <v>-</v>
      </c>
      <c r="BU4" s="190" t="str">
        <f>IF($AZ4="Yes",AU4,IF(Reinforcements[[#This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 s="190" t="str">
        <f>IF($AZ4="Yes",AV4,IF(Reinforcements[[#This Row],[Reinforcement]]="","",IF(OR(Reinforcements[[#This Row],[Top End Connection Type]]&lt;&gt;"Welded",Reinforcements[[#This Row],[Top End Connection Type]]=""),"-","")))</f>
        <v>-</v>
      </c>
      <c r="BW4" s="190" t="str">
        <f>IF($AZ4="Yes",AW4,IF(Reinforcements[[#This Row],[Reinforcement]]="","",IF(OR(Reinforcements[[#This Row],[Top End Connection Type]]&lt;&gt;"Welded",Reinforcements[[#This Row],[Top End Connection Type]]="",Reinforcements[[#This Row],[Top Longitudinal (Vertical) Weld]]="",Reinforcements[[#This Row],[Top Longitudinal (Vertical) Weld]]="None"),"-","")))</f>
        <v>-</v>
      </c>
      <c r="BX4" s="190" t="str">
        <f>IF($AZ4="Yes",AX4,IF(Reinforcements[[#This Row],[Reinforcement]]="","",IF(OR(Reinforcements[[#This Row],[Top End Connection Type]]&lt;&gt;"Welded",Reinforcements[[#This Row],[Top End Connection Type]]="",Reinforcements[[#This Row],[Top Longitudinal (Vertical) Weld]]="",Reinforcements[[#This Row],[Top Longitudinal (Vertical) Weld]]="None"),"-","")))</f>
        <v>-</v>
      </c>
      <c r="BY4" s="190" t="str">
        <f>IF($AZ4="Yes",AY4,IF(Reinforcements[[#This Row],[Reinforcement]]="","",IF(OR(Reinforcements[[#This Row],[Top End Connection Type]]&lt;&gt;"Welded",Reinforcements[[#This Row],[Top Longitudinal (Vertical) Weld]]="none"),"-",SQRT(2)/2*Reinforcements[[#This Row],[Top Longitudinal Weld Fillet Size (in)]])))</f>
        <v>-</v>
      </c>
      <c r="BZ4"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4" s="192">
        <f>IF(Reinforcements[[#This Row],[Reinforcement]]="","",IF(Reinforcements[[#This Row],[Bottom End Connection Type]]&lt;&gt;"Bolted","n/a",(Reinforcements[[#This Row],['# of End Connection Bolts          (Bottom)]]-1)*Reinforcements[[#This Row],[End Connection Bolt Spacing (in) (B)]]+Reinforcements[[#This Row],[End Connection Edge Distance (in) (B)]]))</f>
        <v>20</v>
      </c>
      <c r="CB4" s="192">
        <f>IF(Reinforcements[[#This Row],[Reinforcement]]="","",IF(Reinforcements[[#This Row],[Top End Connection Type]]&lt;&gt;"Bolted","n/a",(Reinforcements[[#This Row],['# of End Connection Bolts          (Top)]]-1)*Reinforcements[[#This Row],[End Connection Bolt Spacing (in) (T)]]+Reinforcements[[#This Row],[End Connection Edge Distance (in) (T)]]))</f>
        <v>20</v>
      </c>
      <c r="CC4"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4"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4" s="188">
        <f>IFERROR(IF(Reinforcements[[#This Row],[Type]]="","",Reinforcements[[#This Row],[Effective B (in)]]*Reinforcements[[#This Row],[Effective H (in)]]^3/12),"")</f>
        <v>0.33333333333333331</v>
      </c>
      <c r="CF4" s="188">
        <f>IFERROR(IF(Reinforcements[[#This Row],[Type]]="","",Reinforcements[[#This Row],[Effective B (in)]]^3*Reinforcements[[#This Row],[Effective H (in)]]/12),"")</f>
        <v>5.333333333333333</v>
      </c>
      <c r="CG4" s="196">
        <f>SQRT(2*PI()^2*29000/VLOOKUP(Reinforcements[[#This Row],[Material]],Materials[],2,FALSE))</f>
        <v>75.659570132481107</v>
      </c>
      <c r="CH4"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38.667116150637533</v>
      </c>
      <c r="CI4"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55.613258213362428</v>
      </c>
      <c r="CJ4" s="195">
        <f>Reinforcements[[#This Row],[Effective Length Factor Kx]]*Reinforcements[[#This Row],[Lu (in)]]/(Reinforcements[[#This Row],[rx]]*PI())*SQRT(VLOOKUP(Reinforcements[[#This Row],[Material]],Materials[],2,FALSE)/29000)</f>
        <v>1.0360047199820279</v>
      </c>
      <c r="CK4" s="195">
        <f>Reinforcements[[#This Row],[Effective Length Factor Ky]]*Reinforcements[[#This Row],[Lu (in)]]/(Reinforcements[[#This Row],[ry]]*PI())*SQRT(VLOOKUP(Reinforcements[[#This Row],[Material]],Materials[],2,FALSE)/29000)</f>
        <v>0.32375147499438373</v>
      </c>
      <c r="CL4" s="195">
        <f>IF(Reinforcements[[#This Row],[λcx]]&lt;=1.5,0.658^(Reinforcements[[#This Row],[λcx]]^2)*Reinforcements[[#This Row],[F''y]],0.877/(Reinforcements[[#This Row],[λcx]]^2)*Reinforcements[[#This Row],[F''y]])</f>
        <v>63.811771442511876</v>
      </c>
      <c r="CM4" s="195">
        <f>IF(Reinforcements[[#This Row],[λcy]]&lt;=1.5,0.658^(Reinforcements[[#This Row],[λcy]]^2)*Reinforcements[[#This Row],[F''y]],0.877/(Reinforcements[[#This Row],[λcy]]^2)*Reinforcements[[#This Row],[F''y]])</f>
        <v>95.707802307370343</v>
      </c>
      <c r="CN4" s="188">
        <f>VLOOKUP(Reinforcements[[#This Row],[Material]],Materials[],2,FALSE)</f>
        <v>100</v>
      </c>
      <c r="CO4" s="196">
        <f>IF(Reinforcements[[#This Row],[Reinforcement]]="","",Reinforcements[[#This Row],[Fax]]*Reinforcements[[#This Row],[Gross Area (in2)]])</f>
        <v>154.66846460255013</v>
      </c>
      <c r="CP4" s="196">
        <f>IF(Reinforcements[[#This Row],[Reinforcement]]="","",Reinforcements[[#This Row],[Fay]]*Reinforcements[[#This Row],[Gross Area (in2)]])</f>
        <v>222.45303285344971</v>
      </c>
      <c r="CQ4" s="196">
        <f>IF(Reinforcements[[#This Row],[Reinforcement]]="","",0.6*VLOOKUP(Reinforcements[[#This Row],[Material]],Materials[],2,FALSE)*Reinforcements[[#This Row],[Gross Area (in2)]])</f>
        <v>240</v>
      </c>
      <c r="CR4" s="196">
        <f>IF(Reinforcements[[#This Row],[Reinforcement]]="","",0.5*VLOOKUP(Reinforcements[[#This Row],[Material]],Materials[],3,FALSE)*Reinforcements[[#This Row],[Net Area (in2)]]*Reinforcements[[#This Row],[Shear Lag (U)]])</f>
        <v>151.25</v>
      </c>
      <c r="CS4" s="196">
        <f>IF(Reinforcements[[#This Row],[Reinforcement]]="","",0.4*VLOOKUP(Reinforcements[[#This Row],[Material]],Materials[],2,FALSE)*Reinforcements[[#This Row],[Gross Area (in2)]])</f>
        <v>160</v>
      </c>
      <c r="CT4"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162.99942175180976</v>
      </c>
      <c r="CU4"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162.99942175180976</v>
      </c>
      <c r="CV4"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9.5905511811023612</v>
      </c>
      <c r="CW4"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10.71259842519685</v>
      </c>
      <c r="CX4"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9.5905511811023612</v>
      </c>
      <c r="CY4"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10.71259842519685</v>
      </c>
      <c r="CZ4"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1054.9606299212599</v>
      </c>
      <c r="DA4"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1178.3858267716535</v>
      </c>
      <c r="DB4"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1054.9606299212599</v>
      </c>
      <c r="DC4"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1178.3858267716535</v>
      </c>
      <c r="DD4"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 s="191"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 s="190" t="str">
        <f>IF($AZ4="Yes",DD4,IF(Reinforcements[[#This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 s="190" t="str">
        <f>IF($AZ4="Yes",DE4,IF(Reinforcements[[#This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 s="196">
        <f>IF(Reinforcements[[#This Row],[Reinforcement]]="","",φ_c*Reinforcements[[#This Row],[Fcr,x]]*Reinforcements[[#This Row],[Gross Area (in2)]])</f>
        <v>229.72237719304275</v>
      </c>
      <c r="DI4" s="196">
        <f>IF(Reinforcements[[#This Row],[Reinforcement]]="","",φ_c*Reinforcements[[#This Row],[Fcr,y]]*Reinforcements[[#This Row],[Gross Area (in2)]])</f>
        <v>344.54808830653326</v>
      </c>
      <c r="DJ4" s="196">
        <f>IF(Reinforcements[[#This Row],[Reinforcement]]="","",φ_t_y*VLOOKUP(Reinforcements[[#This Row],[Material]],Materials[],2,FALSE)*Reinforcements[[#This Row],[Gross Area (in2)]])</f>
        <v>360</v>
      </c>
      <c r="DK4" s="197">
        <f>IF(Reinforcements[[#This Row],[Reinforcement]]="","",φ_t_r*VLOOKUP(Reinforcements[[#This Row],[Material]],Materials[],3,FALSE)*Reinforcements[[#This Row],[Net Area (in2)]]*Reinforcements[[#This Row],[Shear Lag (U)]])</f>
        <v>226.875</v>
      </c>
      <c r="DL4" s="197">
        <f>IF(Reinforcements[[#This Row],[Reinforcement]]="","",φ_v*0.5*Reinforcements[[#This Row],[F''y]]*Reinforcements[[#This Row],[Gross Area (in2)]])</f>
        <v>180</v>
      </c>
      <c r="DM4"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288.88955974201167</v>
      </c>
      <c r="DN4"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288.88955974201167</v>
      </c>
      <c r="DO4"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13.916220472440944</v>
      </c>
      <c r="DP4"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17.395275590551179</v>
      </c>
      <c r="DQ4"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13.916220472440944</v>
      </c>
      <c r="DR4"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17.395275590551179</v>
      </c>
      <c r="DS4"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1464.992125984252</v>
      </c>
      <c r="DT4"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1831.240157480315</v>
      </c>
      <c r="DU4"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1464.992125984252</v>
      </c>
      <c r="DV4"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1831.240157480315</v>
      </c>
      <c r="DW4" s="191"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 s="19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 s="190" t="str">
        <f>IF($AZ4="Yes",DW4,IF(Reinforcements[[#This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 s="190" t="str">
        <f>IF($AZ4="Yes",DX4,IF(Reinforcements[[#This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 s="241" t="str">
        <f>IF(OR(Reinforcements[[#This Row],[Type]]="plate",Reinforcements[[#This Row],[Type]]="solid round"),"N/A",Reinforcements[[#This Row],[B (in)]])</f>
        <v>N/A</v>
      </c>
      <c r="EB4" s="237" t="str">
        <f>IF(OR(Reinforcements[[#This Row],[Type]]="plate",Reinforcements[[#This Row],[Type]]="solid round"),"N/A",Reinforcements[[#This Row],[H (in)]])</f>
        <v>N/A</v>
      </c>
      <c r="EC4" s="237" t="str">
        <f>IF(OR(Reinforcements[[#This Row],[Type]]="plate",Reinforcements[[#This Row],[Type]]="solid round"),"N/A",Reinforcements[[#This Row],[B (in)]]-Reinforcements[[#This Row],['[Channel'] Flange Thickness (in)]])</f>
        <v>N/A</v>
      </c>
      <c r="ED4" s="237" t="str">
        <f>IF(OR(Reinforcements[[#This Row],[Type]]="plate",Reinforcements[[#This Row],[Type]]="solid round"),"N/A",Reinforcements[[#This Row],['[Channel']Web Thickness (in)]])</f>
        <v>N/A</v>
      </c>
      <c r="EE4" s="237" t="str">
        <f>IF(OR(Reinforcements[[#This Row],[Type]]="plate",Reinforcements[[#This Row],[Type]]="solid round"),"N/A",Reinforcements[[#This Row],['[Channel'] Flange Thickness (in)]])</f>
        <v>N/A</v>
      </c>
      <c r="EF4" s="237" t="str">
        <f>IF(Reinforcements[[#This Row],[Type]]="channel",Reinforcements[[#This Row],[Channel Flange Width, b]]/Reinforcements[[#This Row],[Channel flange thickness, tf]],"N/A")</f>
        <v>N/A</v>
      </c>
      <c r="EG4" s="237" t="str">
        <f>IF(Reinforcements[[#This Row],[Type]]="channel",Reinforcements[[#This Row],[Channel inside depth, T]]/Reinforcements[[#This Row],[Channel web thickness, tw]],"N/A")</f>
        <v>N/A</v>
      </c>
      <c r="EH4" s="237">
        <v>29000</v>
      </c>
      <c r="EI4" s="237" t="str">
        <f>IF(Reinforcements[[#This Row],[Type]]="channel",0.56*SQRT(Reinforcements[[#This Row],[E, (ksi)]]/Reinforcements[[#This Row],[Fy, (ksi)]]),"N/A")</f>
        <v>N/A</v>
      </c>
      <c r="EJ4" s="237" t="str">
        <f>IF(Reinforcements[[#This Row],[Type]]="channel",1.49*SQRT(Reinforcements[[#This Row],[E, (ksi)]]/Reinforcements[[#This Row],[Fy, (ksi)]]),"N/A")</f>
        <v>N/A</v>
      </c>
      <c r="EK4" s="237">
        <f>VLOOKUP(Reinforcements[[#This Row],[Material]],Materials!$B$2:$C$30,2,FALSE)</f>
        <v>100</v>
      </c>
      <c r="EL4" s="237">
        <f>Reinforcements[[#This Row],[Lu (in)]]*Reinforcements[[#This Row],[Effective Length Factor Kx]]</f>
        <v>16</v>
      </c>
      <c r="EM4" s="237">
        <f>Reinforcements[[#This Row],[Lu (in)]]*Reinforcements[[#This Row],[Effective Length Factor Ky]]</f>
        <v>20</v>
      </c>
      <c r="EN4" s="237">
        <f>Reinforcements[[#This Row],[rx]]</f>
        <v>0.28867513459481287</v>
      </c>
      <c r="EO4" s="237">
        <f>Reinforcements[[#This Row],[ry]]</f>
        <v>1.1547005383792515</v>
      </c>
      <c r="EP4" s="237">
        <f>Reinforcements[[#This Row],[Lcx (in)]]/Reinforcements[[#This Row],[rx (in)]]</f>
        <v>55.425625842204077</v>
      </c>
      <c r="EQ4" s="237">
        <f>Reinforcements[[#This Row],[Lcy (in)]]/Reinforcements[[#This Row],[ry (in)]]</f>
        <v>17.320508075688775</v>
      </c>
      <c r="ER4" s="237">
        <f>((PI()^2)*Reinforcements[[#This Row],[E, (ksi)]])/(Reinforcements[[#This Row],[Lcx/rx]]^2)</f>
        <v>93.1700936300753</v>
      </c>
      <c r="ES4" s="237">
        <f>((PI()^2)*Reinforcements[[#This Row],[E, (ksi)]])/(Reinforcements[[#This Row],[Lcy/ry]]^2)</f>
        <v>954.06175877197109</v>
      </c>
      <c r="ET4" s="237">
        <f>4.71*(SQRT(Reinforcements[[#This Row],[E, (ksi)]]/Reinforcements[[#This Row],[Fy, (ksi)]]))</f>
        <v>80.20840978351336</v>
      </c>
      <c r="EU4" s="237">
        <f>IF(Reinforcements[[#This Row],[Lcx/rx]]&lt;=Reinforcements[[#This Row],[Fcr Limit]],(0.658^(Reinforcements[[#This Row],[Fy, (ksi)]]/Reinforcements[[#This Row],[Fex, FB (ksi)]]))*Reinforcements[[#This Row],[Fy, (ksi)]],0.877*Reinforcements[[#This Row],[Fex, FB (ksi)]])</f>
        <v>63.811771442511869</v>
      </c>
      <c r="EV4" s="237">
        <f>IF(Reinforcements[[#This Row],[Lcy/ry]]&lt;=Reinforcements[[#This Row],[Fcr Limit]],(0.658^(Reinforcements[[#This Row],[Fy, (ksi)]]/Reinforcements[[#This Row],[Fey, FB (ksi)]]))*Reinforcements[[#This Row],[Fy, (ksi)]],0.877*Reinforcements[[#This Row],[Fey, FB (ksi)]])</f>
        <v>95.707802307370343</v>
      </c>
      <c r="EW4" s="237">
        <f>Reinforcements[[#This Row],[Fcrx (ksi)]]*Reinforcements[[#This Row],[Gross Area (in2)]]</f>
        <v>255.24708577004748</v>
      </c>
      <c r="EX4" s="237">
        <f>Reinforcements[[#This Row],[Fcry (ksi)]]*Reinforcements[[#This Row],[Gross Area (in2)]]</f>
        <v>382.83120922948137</v>
      </c>
      <c r="EY4" s="237" t="str">
        <f>IF(Reinforcements[[#This Row],[Type]]="channel",0,"N/A")</f>
        <v>N/A</v>
      </c>
      <c r="EZ4" s="237" t="str">
        <f>IF(Reinforcements[[#This Row],[Type]]="channel",Reinforcements[[#This Row],[Channel Flange Width, b]]-(0.5*Reinforcements[[#This Row],[Channel web thickness, tw]]),"N/A")</f>
        <v>N/A</v>
      </c>
      <c r="FA4" s="237" t="str">
        <f>IF(Reinforcements[[#This Row],[Type]]="channel",Reinforcements[[#This Row],[Channel Height, h]]-Reinforcements[[#This Row],[Channel flange thickness, tf]],"N/A")</f>
        <v>N/A</v>
      </c>
      <c r="FB4" s="237" t="str">
        <f>IF(Reinforcements[[#This Row],[Type]]="channel",Reinforcements[[#This Row],[Channel web thickness, tw]],"N/A")</f>
        <v>N/A</v>
      </c>
      <c r="FC4" s="237" t="str">
        <f>IF(Reinforcements[[#This Row],[Type]]="channel",((3*Reinforcements[[#This Row],[b]]^2)/(Reinforcements[[#This Row],[h]]+(6*Reinforcements[[#This Row],[b]])))-Reinforcements[[#This Row],[t]]/2,"N/A")</f>
        <v>N/A</v>
      </c>
      <c r="FD4" s="237">
        <f>Reinforcements[[#This Row],[Pole Face to Centroid (in)]]</f>
        <v>0.5</v>
      </c>
      <c r="FE4" s="237" t="str">
        <f>IF(Reinforcements[[#This Row],[Type]]="channel",Reinforcements[[#This Row],[x(bar)]]+Reinforcements[[#This Row],['[Channel'] e0 (in)]],"N/A")</f>
        <v>N/A</v>
      </c>
      <c r="FF4" s="237" t="str">
        <f>IF(Reinforcements[[#This Row],[Type]]="channel",Reinforcements[[#This Row],[Ix]],"N/A")</f>
        <v>N/A</v>
      </c>
      <c r="FG4" s="237" t="str">
        <f>IF(Reinforcements[[#This Row],[Type]]="channel",Reinforcements[[#This Row],[Iy]],"N/A")</f>
        <v>N/A</v>
      </c>
      <c r="FH4" s="237" t="str">
        <f>IF(Reinforcements[[#This Row],[Type]]="channel",Reinforcements[[#This Row],[Gross Area (in2)]],"N/A")</f>
        <v>N/A</v>
      </c>
      <c r="FI4" s="237" t="str">
        <f>IF(Reinforcements[[#This Row],[Type]]="channel",(Reinforcements[[#This Row],[xo]]^2)+((Reinforcements[[#This Row],[Ix (FTB)]]+Reinforcements[[#This Row],[Iy (FTB)]])/Reinforcements[[#This Row],[Ag]]),"N/A")</f>
        <v>N/A</v>
      </c>
      <c r="FJ4" s="237" t="str">
        <f>IF(Reinforcements[[#This Row],[Type]]="channel",Reinforcements[[#This Row],[Lu (in)]],"N/A")</f>
        <v>N/A</v>
      </c>
      <c r="FK4" s="237" t="str">
        <f>IF(Reinforcements[[#This Row],[Type]]="channel",Reinforcements[[#This Row],[Effective Length Factor Kx]],"N/A")</f>
        <v>N/A</v>
      </c>
      <c r="FL4" s="237" t="str">
        <f>IF(Reinforcements[[#This Row],[Type]]="channel",Reinforcements[[#This Row],[Kz]]*Reinforcements[[#This Row],[Lz]],"N/A")</f>
        <v>N/A</v>
      </c>
      <c r="FM4" s="237" t="str">
        <f>IF(Reinforcements[[#This Row],[Type]]="channel",(((Reinforcements[[#This Row],[t]]^3)/3)*(Reinforcements[[#This Row],[h]]+(2*Reinforcements[[#This Row],[b]]))),"N/A")</f>
        <v>N/A</v>
      </c>
      <c r="FN4" s="237" t="str">
        <f>IF(Reinforcements[[#This Row],[Type]]="channel",(1-(((Reinforcements[[#This Row],[xo]]^2)+(Reinforcements[[#This Row],[yo]]^2))/Reinforcements[[#This Row],[ro^2(bar)]])),"N/A")</f>
        <v>N/A</v>
      </c>
      <c r="FO4" s="237">
        <v>11200</v>
      </c>
      <c r="FP4" s="237" t="str">
        <f>IF(Reinforcements[[#This Row],[Type]]="channel",(((Reinforcements[[#This Row],[h]]^2)*(Reinforcements[[#This Row],[b]]^3)*Reinforcements[[#This Row],[t]])/12)*(((2*Reinforcements[[#This Row],[h]])+(3*Reinforcements[[#This Row],[b]]))/(Reinforcements[[#This Row],[h]]+(6*Reinforcements[[#This Row],[b]]))),"N/A")</f>
        <v>N/A</v>
      </c>
      <c r="FQ4" s="237" t="str">
        <f>IF(Reinforcements[[#This Row],[Type]]="Channel",((((PI()^2)*Reinforcements[[#This Row],[E, (ksi)]]*Reinforcements[[#This Row],['[Channel'] CW (in6)]])/(Reinforcements[[#This Row],[Lcz]]^2))+(Reinforcements[[#This Row],[G]]*Reinforcements[[#This Row],['[Channel'] J (in4)]]))*(1/(Reinforcements[[#This Row],[Ag]]*Reinforcements[[#This Row],[ro^2(bar)]])),"N/A")</f>
        <v>N/A</v>
      </c>
      <c r="FR4" s="237" t="str">
        <f>IF(Reinforcements[[#This Row],[Type]]="channel",((PI()^2)*Reinforcements[[#This Row],[E, (ksi)]])/(Reinforcements[[#This Row],[Lcy/ry]]^2),"N/A")</f>
        <v>N/A</v>
      </c>
      <c r="FS4" s="237" t="str">
        <f>IF(Reinforcements[[#This Row],[Type]]="channel",((Reinforcements[[#This Row],[Fey]]+Reinforcements[[#This Row],[Fez]])/(2*Reinforcements[[#This Row],[H2]]))*(1-SQRT(1-((4*Reinforcements[[#This Row],[Fey]]*Reinforcements[[#This Row],[Fez]]*Reinforcements[[#This Row],[H2]])/(Reinforcements[[#This Row],[Fey]]+Reinforcements[[#This Row],[Fez]])^2))),"N/A")</f>
        <v>N/A</v>
      </c>
      <c r="FT4" s="237" t="str">
        <f>IF(Reinforcements[[#This Row],[Type]]="channel",IF(Reinforcements[[#This Row],[Lcx/rx]]&gt;(4.71*SQRT(Reinforcements[[#This Row],[E, (ksi)]]/Reinforcements[[#This Row],[Fy, (ksi)]])),0.877*Reinforcements[[#This Row],[Fe (FTB)]],0.658^(Reinforcements[[#This Row],[Fy, (ksi)]]/Reinforcements[[#This Row],[Fe (FTB)]])*Reinforcements[[#This Row],[Fy, (ksi)]]),"N/A")</f>
        <v>N/A</v>
      </c>
      <c r="FU4" s="237" t="str">
        <f>IF(Reinforcements[[#This Row],[Type]]="channel",MIN(Reinforcements[[#This Row],[Fcr(FTB)]],Reinforcements[[#This Row],[Fcry (ksi)]]),"N/A")</f>
        <v>N/A</v>
      </c>
      <c r="FV4" s="237">
        <v>0.22</v>
      </c>
      <c r="FW4" s="237">
        <v>1.49</v>
      </c>
      <c r="FX4" s="237" t="str">
        <f>IF(Reinforcements[[#This Row],[Type]]="channel",((Reinforcements[[#This Row],[c2]]*(Reinforcements[[#This Row],[λrf]]/Reinforcements[[#This Row],[λf]]))^2)*Reinforcements[[#This Row],[Fy, (ksi)]],"N/A")</f>
        <v>N/A</v>
      </c>
      <c r="FY4" s="237" t="str">
        <f>IF(Reinforcements[[#This Row],[Type]]="channel",((Reinforcements[[#This Row],[c2]]*(Reinforcements[[#This Row],[λrw]]/Reinforcements[[#This Row],[λw]]))^2)*Reinforcements[[#This Row],[Fy, (ksi)]],"N/A")</f>
        <v>N/A</v>
      </c>
      <c r="FZ4"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4"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4"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4" s="237" t="str">
        <f>IF(Reinforcements[[#This Row],[Type]]="channel",Reinforcements[[#This Row],[Fcr]]*Reinforcements[[#This Row],[Ae]],"N/A")</f>
        <v>N/A</v>
      </c>
      <c r="GD4" s="466">
        <f>IF(Reinforcements[[#This Row],[Reinforcement]]="","",φ_c*Reinforcements[[#This Row],[Pnx, FB (kip)]])</f>
        <v>229.72237719304275</v>
      </c>
      <c r="GE4" s="466">
        <f>IF(Reinforcements[[#This Row],[Reinforcement]]="","",IF(Reinforcements[[#This Row],[Type]]="channel",φ_c*Reinforcements[[#This Row],[Pn]],φ_c*Reinforcements[[#This Row],[Pny, FB (kip)]]))</f>
        <v>344.54808830653326</v>
      </c>
      <c r="GF4" s="466">
        <f>Reinforcements[[#This Row],[Rev. G Tension Yield Capacity (kips)]]</f>
        <v>360</v>
      </c>
      <c r="GG4" s="466">
        <f>Reinforcements[[#This Row],[Rev. G Tension Rupture Capacity (kips)]]</f>
        <v>226.875</v>
      </c>
      <c r="GH4" s="466">
        <f>Reinforcements[[#This Row],[Rev. G Shear Capacity (kips)]]</f>
        <v>180</v>
      </c>
      <c r="GI4" s="466">
        <f>IFERROR((Reinforcements[[#This Row],['# of End Connection Bolts          (Bottom)]]-1)*Reinforcements[[#This Row],[End Connection Bolt Spacing (in) (B)]],"-")</f>
        <v>18</v>
      </c>
      <c r="GJ4" s="466">
        <f>IFERROR(IF(VLOOKUP(Reinforcements[[#This Row],[Bottom End Connection Bolt Type]],Bolts[],COLUMN(Bolts[[#Headers],[Rev. H Apply Connection Length Reduction Factor (Rb)?]])-1,FALSE)="Yes",(IF(Reinforcements[[#This Row],[Lb(bottom)]]&lt;=16,1,IF(Reinforcements[[#This Row],[Lb(bottom)]]&gt;38,0.75,0.9))),1),"-")</f>
        <v>1</v>
      </c>
      <c r="GK4"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324.79748679572555</v>
      </c>
      <c r="GL4" s="466">
        <f>IFERROR(IF(Reinforcements[[#This Row],[Top End Connection Same?]]="Yes",Reinforcements[[#This Row],[Lb(bottom)]],(Reinforcements[[#This Row],['# of End Connection Bolts          (Top)]]-1)*Reinforcements[[#This Row],[End Connection Bolt Spacing (in) (T)]]),"-")</f>
        <v>18</v>
      </c>
      <c r="GM4" s="466">
        <f>IFERROR(IF(VLOOKUP(Reinforcements[[#This Row],[Top End Connection Bolt Type]],Bolts[],COLUMN(Bolts[[#Headers],[Rev. H Apply Connection Length Reduction Factor (Rb)?]])-1,FALSE)="Yes",(IF(Reinforcements[[#This Row],[Lb(top)]]&lt;=16,1,IF(Reinforcements[[#This Row],[Lb(top)]]&gt;38,0.75,0.9))),1),"-")</f>
        <v>1</v>
      </c>
      <c r="GN4"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324.79748679572555</v>
      </c>
      <c r="GO4" s="466">
        <f>Reinforcements[[#This Row],[Rev. G Bolt-Shaft Bearing Capacity (Bottom)                No Deformation          (*t*Fu kips)]]</f>
        <v>13.916220472440944</v>
      </c>
      <c r="GP4" s="466">
        <f>Reinforcements[[#This Row],[Rev. G Bolt-Shaft Bearing Capacity (Bottom)                   Deformation          (*t*Fu kips)]]</f>
        <v>17.395275590551179</v>
      </c>
      <c r="GQ4" s="466">
        <f>Reinforcements[[#This Row],[Rev. G Bolt-Shaft Bearing Capacity (Top)                    No Deformation          (*t*Fu kips)]]</f>
        <v>13.916220472440944</v>
      </c>
      <c r="GR4" s="466">
        <f>Reinforcements[[#This Row],[Rev. G Bolt-Shaft Bearing Capacity (Top)                        Deformation          (*t*Fu kips)]]</f>
        <v>17.395275590551179</v>
      </c>
      <c r="GS4" s="466">
        <f>Reinforcements[[#This Row],[Rev. G Bolt-Reinf. Bearing Capacity (Bottom)            No Deformation (kips)]]</f>
        <v>1464.992125984252</v>
      </c>
      <c r="GT4" s="466">
        <f>Reinforcements[[#This Row],[Rev. G Bolt-Reinf. Bearing Capacity (Bottom)               Deformation (kips)]]</f>
        <v>1831.240157480315</v>
      </c>
      <c r="GU4" s="466">
        <f>Reinforcements[[#This Row],[Rev. G Bolt-Reinf. Bearing Capacity (Top)                  No Deformation (kips)]]</f>
        <v>1464.992125984252</v>
      </c>
      <c r="GV4" s="466">
        <f>Reinforcements[[#This Row],[Rev. G Bolt-Reinf. Bearing Capacity (Top)               Deformation (kips)]]</f>
        <v>1831.240157480315</v>
      </c>
      <c r="GW4" s="466" t="str">
        <f>Reinforcements[[#This Row],[Rev. G Bottom Transverse Weld Strength]]</f>
        <v>-</v>
      </c>
      <c r="GX4" s="466" t="str">
        <f>Reinforcements[[#This Row],[Rev. G Bottom Longitudinal Weld Strength]]</f>
        <v>-</v>
      </c>
      <c r="GY4" s="466" t="str">
        <f>Reinforcements[[#This Row],[Rev. G Top Transverse Weld Strength]]</f>
        <v>-</v>
      </c>
      <c r="GZ4" s="466" t="str">
        <f>Reinforcements[[#This Row],[Rev. G Top Longitudinal Weld Strength]]</f>
        <v>-</v>
      </c>
      <c r="HA4" s="552">
        <v>2</v>
      </c>
      <c r="HB4"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 spans="2:210" x14ac:dyDescent="0.2">
      <c r="B5" s="72" t="s">
        <v>213</v>
      </c>
      <c r="C5" s="72" t="s">
        <v>146</v>
      </c>
      <c r="D5" s="185">
        <v>5</v>
      </c>
      <c r="E5" s="185">
        <v>1</v>
      </c>
      <c r="F5" s="185" t="str">
        <f>IF(Reinforcements[[#This Row],[Type]]="","",IF(Reinforcements[[#This Row],[Type]]="solid round","","n/a"))</f>
        <v>n/a</v>
      </c>
      <c r="G5" s="185" t="str">
        <f>IF(Reinforcements[[#This Row],[Type]]="","",IF(Reinforcements[[#This Row],[Type]]&lt;&gt;"channel","n/a",""))</f>
        <v>n/a</v>
      </c>
      <c r="H5" s="185" t="str">
        <f>IF(Reinforcements[[#This Row],[Type]]="","",IF(Reinforcements[[#This Row],[Type]]&lt;&gt;"channel","n/a",""))</f>
        <v>n/a</v>
      </c>
      <c r="I5" s="197" t="str">
        <f>IF(Reinforcements[[#This Row],[Type]]="","",IF(Reinforcements[[#This Row],[Type]]&lt;&gt;"channel","n/a",Reinforcements[[#This Row],[eo]]))</f>
        <v>n/a</v>
      </c>
      <c r="J5" s="197" t="str">
        <f>IF(Reinforcements[[#This Row],[Type]]="","",IF(Reinforcements[[#This Row],[Type]]&lt;&gt;"channel","n/a",Reinforcements[[#This Row],[J]]))</f>
        <v>n/a</v>
      </c>
      <c r="K5" s="197" t="str">
        <f>IF(Reinforcements[[#This Row],[Type]]="","",IF(Reinforcements[[#This Row],[Type]]&lt;&gt;"channel","n/a",Reinforcements[[#This Row],[Cw]]))</f>
        <v>n/a</v>
      </c>
      <c r="L5" s="185">
        <f>IFERROR(IF(Reinforcements[[#This Row],[Type]]="","",IF(Reinforcements[[#This Row],[Type]]="plate",Reinforcements[[#This Row],[B (in)]]*Reinforcements[[#This Row],[H (in)]],IF(Reinforcements[[#This Row],[Type]]="solid round",PI()/4*Reinforcements[[#This Row],[Diameter (in)]]^2,""))),"")</f>
        <v>5</v>
      </c>
      <c r="M5" s="185">
        <f>IFERROR(IF(Reinforcements[[#This Row],[Type]]="","",IF(Reinforcements[[#This Row],[Type]]="plate",Reinforcements[[#This Row],[H (in)]]/2,"")),"")</f>
        <v>0.5</v>
      </c>
      <c r="N5" s="186" t="s">
        <v>297</v>
      </c>
      <c r="O5" s="185" t="s">
        <v>153</v>
      </c>
      <c r="P5" s="187">
        <f>IFERROR(IF(Reinforcements[[#This Row],[Type]]="","",IF(Reinforcements[[#This Row],[Type]]="plate",Reinforcements[[#This Row],[B (in)]]*Reinforcements[[#This Row],[H (in)]]^3/12,IF(Reinforcements[[#This Row],[Type]]="solid round",PI()/64*Reinforcements[[#This Row],[Diameter (in)]]^4,""))),"")</f>
        <v>0.41666666666666669</v>
      </c>
      <c r="Q5" s="187">
        <f>IF(Reinforcements[[#This Row],[Reinforcement]]="","",SQRT(Reinforcements[[#This Row],[Ix]]/Reinforcements[[#This Row],[Gross Area (in2)]]))</f>
        <v>0.28867513459481292</v>
      </c>
      <c r="R5" s="187">
        <f>IFERROR(IF(Reinforcements[[#This Row],[Type]]="","",IF(Reinforcements[[#This Row],[Type]]="plate",Reinforcements[[#This Row],[B (in)]]^3*Reinforcements[[#This Row],[H (in)]]/12,IF(Reinforcements[[#This Row],[Type]]="solid round",PI()/64*Reinforcements[[#This Row],[Diameter (in)]]^4,""))),"")</f>
        <v>10.416666666666666</v>
      </c>
      <c r="S5" s="187">
        <f>IF(Reinforcements[[#This Row],[Reinforcement]]="","",SQRT(Reinforcements[[#This Row],[Iy]]/Reinforcements[[#This Row],[Gross Area (in2)]]))</f>
        <v>1.4433756729740643</v>
      </c>
      <c r="T5" s="190">
        <v>18</v>
      </c>
      <c r="U5" s="188">
        <v>0.8</v>
      </c>
      <c r="V5" s="188">
        <v>1</v>
      </c>
      <c r="W5" s="185">
        <v>1.1875</v>
      </c>
      <c r="X5" s="188">
        <f>IF(Reinforcements[[#This Row],[Bolt Hole Size (in)]]="","",IF(Reinforcements[[#This Row],[Bolt Hole Size (in)]]="n/a","n/a",Reinforcements[[#This Row],[Bolt Hole Size (in)]]*25.4))</f>
        <v>30.162499999999998</v>
      </c>
      <c r="Y5"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3.75</v>
      </c>
      <c r="Z5" s="185">
        <f>IFERROR(IF(Reinforcements[[#This Row],[Reinforcement]]="","",IF(OR(Reinforcements[[#This Row],[Type]]="plate",Reinforcements[[#This Row],[Type]]="solid round"),1,IF(Reinforcements[[#This Row],[Type]]="arbitrary","",1-Reinforcements[[#This Row],[Pole Face to Centroid (in)]]/Reinforcements[[#This Row],[Connection Length (in) '[Channels']]]))),"")</f>
        <v>1</v>
      </c>
      <c r="AA5" s="189" t="s">
        <v>391</v>
      </c>
      <c r="AB5" s="189" t="str">
        <f>IF(Reinforcements[[#This Row],[Reinforcement]]="","",IF(Reinforcements[[#This Row],[Bottom End Connection Type]]&lt;&gt;"Capacity Input","-",""))</f>
        <v>-</v>
      </c>
      <c r="AC5" s="189" t="str">
        <f>IF(Reinforcements[[#This Row],[Reinforcement]]="","",IF(Reinforcements[[#This Row],[Bottom End Connection Type]]&lt;&gt;"Capacity Input","-",""))</f>
        <v>-</v>
      </c>
      <c r="AD5" s="461" t="str">
        <f>IF(Reinforcements[[#This Row],[Reinforcement]]="","",IF(Reinforcements[[#This Row],[Bottom End Connection Type]]&lt;&gt;"Capacity Input","-",""))</f>
        <v>-</v>
      </c>
      <c r="AE5" s="103" t="s">
        <v>416</v>
      </c>
      <c r="AF5" s="190" t="s">
        <v>296</v>
      </c>
      <c r="AG5" s="190">
        <v>10</v>
      </c>
      <c r="AH5" s="190">
        <v>3</v>
      </c>
      <c r="AI5" s="190">
        <v>2</v>
      </c>
      <c r="AJ5" s="190">
        <f>Reinforcements[[#This Row],[End Connection Edge Distance (in) (B)]]-(Reinforcements[[#This Row],[Bolt Hole Size (in)]]+1/16)/2</f>
        <v>1.375</v>
      </c>
      <c r="AK5" s="190">
        <f>Reinforcements[[#This Row],[End Connection Bolt Spacing (in) (B)]]-(Reinforcements[[#This Row],[Bolt Hole Size (in)]]+1/16)</f>
        <v>1.75</v>
      </c>
      <c r="AL5" s="190">
        <f>Reinforcements[[#This Row],[End Connection Edge Distance (in) (B)]]</f>
        <v>2</v>
      </c>
      <c r="AM5" s="190">
        <f>Reinforcements[[#This Row],[End Connection Bolt Spacing (in) (B)]]</f>
        <v>3</v>
      </c>
      <c r="AN5" s="191" t="str">
        <f>IF(Reinforcements[[#This Row],[Reinforcement]]="","",IF(OR(Reinforcements[[#This Row],[Bottom End Connection Type]]="Bolted",Reinforcements[[#This Row],[Bottom End Connection Type]]=""),"-",""))</f>
        <v>-</v>
      </c>
      <c r="AO5" s="191" t="str">
        <f>IF(Reinforcements[[#This Row],[Reinforcement]]="","",IF(OR(Reinforcements[[#This Row],[Bottom End Connection Type]]="Bolted",Reinforcements[[#This Row],[Bottom End Connection Type]]=""),"-",""))</f>
        <v>-</v>
      </c>
      <c r="AP5" s="191" t="str">
        <f>IF(Reinforcements[[#This Row],[Reinforcement]]="","",IF(OR(Reinforcements[[#This Row],[Bottom End Connection Type]]="Bolted",Reinforcements[[#This Row],[Bottom End Connection Type]]=""),"-",""))</f>
        <v>-</v>
      </c>
      <c r="AQ5" s="191" t="str">
        <f>IF(OR(Reinforcements[[#This Row],[Bottom End Connection Type]]="Bolted",Reinforcements[[#This Row],[Bottom Transverse (Horizontal) Weld]]="none"),"-","")</f>
        <v>-</v>
      </c>
      <c r="AR5" s="19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 s="19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 s="191" t="str">
        <f>IF(OR(Reinforcements[[#This Row],[Bottom Transverse (Horizontal) Weld]]="none",Reinforcements[[#This Row],[Bottom End Connection Type]]="Bolted"),"-","")</f>
        <v>-</v>
      </c>
      <c r="AU5" s="191"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 s="191" t="str">
        <f>IF(Reinforcements[[#This Row],[Reinforcement]]="","",IF(OR(Reinforcements[[#This Row],[Bottom End Connection Type]]="Bolted",Reinforcements[[#This Row],[Bottom End Connection Type]]=""),"-",""))</f>
        <v>-</v>
      </c>
      <c r="AW5" s="191" t="str">
        <f>IF(Reinforcements[[#This Row],[Reinforcement]]="","",IF(OR(Reinforcements[[#This Row],[Bottom End Connection Type]]&lt;&gt;"Welded",Reinforcements[[#This Row],[Bottom Longitudinal (Vertical) Weld]]="None",Reinforcements[[#This Row],[Bottom Longitudinal (Vertical) Weld]]=""),"-",""))</f>
        <v>-</v>
      </c>
      <c r="AX5" s="191" t="str">
        <f>IF(Reinforcements[[#This Row],[Reinforcement]]="","",IF(OR(Reinforcements[[#This Row],[Bottom End Connection Type]]&lt;&gt;"Welded",Reinforcements[[#This Row],[Bottom Longitudinal (Vertical) Weld]]="None",Reinforcements[[#This Row],[Bottom Longitudinal (Vertical) Weld]]=""),"-",""))</f>
        <v>-</v>
      </c>
      <c r="AY5" s="191" t="str">
        <f>IF(Reinforcements[[#This Row],[Reinforcement]]="","",IF(OR(Reinforcements[[#This Row],[Bottom End Connection Type]]&lt;&gt;"Welded",Reinforcements[[#This Row],[Bottom Longitudinal (Vertical) Weld]]="None"),"-",SQRT(2)/2*Reinforcements[[#This Row],[Bottom Longitudinal Weld Fillet Size (in)]]))</f>
        <v>-</v>
      </c>
      <c r="AZ5" s="190" t="s">
        <v>295</v>
      </c>
      <c r="BA5" s="189" t="str">
        <f>IF(Reinforcements[[#This Row],[Top End Connection Same?]]="Yes",Reinforcements[[#This Row],[Bottom End Connection Type]],"")</f>
        <v>Bolted</v>
      </c>
      <c r="BB5" s="189" t="str">
        <f>IF(Reinforcements[[#This Row],[Reinforcement]]="","",IF(Reinforcements[[#This Row],[Top End Connection Same?]]="Yes",Reinforcements[[#This Row],[Rev. F Bottom Connection Capacity (kips)]],IF(Reinforcements[[#This Row],[Reinforcement]]="","",IF(Reinforcements[[#This Row],[Top End Connection Type]]&lt;&gt;"Capacity Input","-",""))))</f>
        <v>-</v>
      </c>
      <c r="BC5" s="189" t="str">
        <f>IF(Reinforcements[[#This Row],[Reinforcement]]="","",IF(Reinforcements[[#This Row],[Top End Connection Same?]]="Yes",Reinforcements[[#This Row],[Rev. G Bottom Connection Capacity (kips)]],IF(Reinforcements[[#This Row],[Reinforcement]]="","",IF(Reinforcements[[#This Row],[Top End Connection Type]]&lt;&gt;"Capacity Input","-",""))))</f>
        <v>-</v>
      </c>
      <c r="BD5" s="461" t="str">
        <f>IF(Reinforcements[[#This Row],[Reinforcement]]="","",IF(Reinforcements[[#This Row],[Top End Connection Same?]]="Yes",Reinforcements[[#This Row],[Rev. G Bottom Connection Capacity (kips)]],IF(Reinforcements[[#This Row],[Reinforcement]]="","",IF(Reinforcements[[#This Row],[Top End Connection Type]]&lt;&gt;"Capacity Input","-",""))))</f>
        <v>-</v>
      </c>
      <c r="BE5" s="103" t="str">
        <f>IF(Reinforcements[[#This Row],[Top End Connection Same?]]="Yes",Reinforcements[[#This Row],[Bottom End Connection Bolt Type]],IF(Reinforcements[[#This Row],[Top End Connection Type]]="Welded","-",""))</f>
        <v>PC 8.8 - M20 (100)</v>
      </c>
      <c r="BF5" s="190" t="str">
        <f>IF(Reinforcements[[#This Row],[Top End Connection Same?]]="Yes",Reinforcements[[#This Row],[Threads Included (N) or Excluded (X) (Bottom)]],IF(Reinforcements[[#This Row],[Top End Connection Type]]="Welded","-",""))</f>
        <v>N</v>
      </c>
      <c r="BG5" s="190">
        <f>IF(Reinforcements[[#This Row],[Top End Connection Same?]]="Yes",Reinforcements[[#This Row],['# of End Connection Bolts          (Bottom)]],IF(Reinforcements[[#This Row],[Top End Connection Type]]="Welded","-",""))</f>
        <v>10</v>
      </c>
      <c r="BH5" s="190">
        <f>IF(Reinforcements[[#This Row],[Top End Connection Same?]]="Yes",Reinforcements[[#This Row],[End Connection Bolt Spacing (in) (B)]],IF(Reinforcements[[#This Row],[Top End Connection Type]]="Welded","-",""))</f>
        <v>3</v>
      </c>
      <c r="BI5" s="190">
        <f>IF(Reinforcements[[#This Row],[Top End Connection Same?]]="Yes",Reinforcements[[#This Row],[End Connection Edge Distance (in) (B)]],IF(Reinforcements[[#This Row],[Top End Connection Type]]="Welded","-",""))</f>
        <v>2</v>
      </c>
      <c r="BJ5" s="190">
        <f>Reinforcements[[#This Row],[End Connection Edge Distance (in) (T)]]-(Reinforcements[[#This Row],[Bolt Hole Size (in)]]+1/16)/2</f>
        <v>1.375</v>
      </c>
      <c r="BK5" s="190">
        <f>Reinforcements[[#This Row],[End Connection Bolt Spacing (in) (T)]]-(Reinforcements[[#This Row],[Bolt Hole Size (in)]]+1/16)</f>
        <v>1.75</v>
      </c>
      <c r="BL5" s="190">
        <f>Reinforcements[[#This Row],[End Connection Edge Distance (in) (T)]]</f>
        <v>2</v>
      </c>
      <c r="BM5" s="190">
        <f>Reinforcements[[#This Row],[End Connection Bolt Spacing (in) (T)]]</f>
        <v>3</v>
      </c>
      <c r="BN5" s="190" t="str">
        <f>IF(Reinforcements[[#This Row],[Reinforcement]]="","",IF(Reinforcements[[#This Row],[Top End Connection Same?]]="Yes",Reinforcements[[#This Row],[Bottom Connected to Flange/Base Plate?]],IF(Reinforcements[[#This Row],[Top End Connection Type]]="Bolted","-","")))</f>
        <v>-</v>
      </c>
      <c r="BO5" s="190" t="str">
        <f>IF(Reinforcements[[#This Row],[Reinforcement]]="","",IF(Reinforcements[[#This Row],[Top End Connection Same?]]="Yes",Reinforcements[[#This Row],[Bottom Weld Grade (ksi)]],IF(OR(Reinforcements[[#This Row],[Top End Connection Type]]&lt;&gt;"Welded",Reinforcements[[#This Row],[Top End Connection Type]]=""),"-","")))</f>
        <v>-</v>
      </c>
      <c r="BP5" s="190" t="str">
        <f>IF($AZ5="Yes",AP5,IF(Reinforcements[[#This Row],[Reinforcement]]="","",IF(OR(Reinforcements[[#This Row],[Top End Connection Type]]&lt;&gt;"Welded",Reinforcements[[#This Row],[Top End Connection Type]]=""),"-","")))</f>
        <v>-</v>
      </c>
      <c r="BQ5" s="190" t="str">
        <f>IF(Reinforcements[[#This Row],[Reinforcement]]="","",IF($AZ5="Yes",AQ5,IF(OR(Reinforcements[[#This Row],[Top End Connection Type]]&lt;&gt;"Welded",Reinforcements[[#This Row],[Top Transverse (Horizontal) Weld]]="none",Reinforcements[[#This Row],[Top Transverse (Horizontal) Weld]]=""),"-","")))</f>
        <v>-</v>
      </c>
      <c r="BR5" s="190" t="str">
        <f>IF($AZ5="Yes",AR5,IF(Reinforcements[[#This Row],[Reinforcement]]="","",IF(OR(Reinforcements[[#This Row],[Top Transverse (Horizontal) Weld]]="none",Reinforcements[[#This Row],[Top End Connection Type]]&lt;&gt;"Welded",Reinforcements[[#This Row],[Top Transverse (Horizontal) Weld]]="",Reinforcements[[#This Row],[Top Transverse (Horizontal) Weld]]="Fillet"),"-","")))</f>
        <v>-</v>
      </c>
      <c r="BS5" s="190" t="str">
        <f>IF($AZ5="Yes",AS5,IF(Reinforcements[[#This Row],[Reinforcement]]="","",IF(OR(Reinforcements[[#This Row],[Top Transverse (Horizontal) Weld]]="none",Reinforcements[[#This Row],[Top End Connection Type]]&lt;&gt;"Welded",Reinforcements[[#This Row],[Top Transverse (Horizontal) Weld]]="",Reinforcements[[#This Row],[Top Transverse (Horizontal) Weld]]="Fillet"),"-","")))</f>
        <v>-</v>
      </c>
      <c r="BT5" s="190" t="str">
        <f>IF(Reinforcements[[#This Row],[Reinforcement]]="","",IF($AZ5="Yes",AT5,IF(OR(Reinforcements[[#This Row],[Top Transverse (Horizontal) Weld]]="none",Reinforcements[[#This Row],[Top End Connection Type]]&lt;&gt;"Welded",Reinforcements[[#This Row],[Top Transverse (Horizontal) Weld]]=""),"-","")))</f>
        <v>-</v>
      </c>
      <c r="BU5" s="190" t="str">
        <f>IF($AZ5="Yes",AU5,IF(Reinforcements[[#This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 s="190" t="str">
        <f>IF($AZ5="Yes",AV5,IF(Reinforcements[[#This Row],[Reinforcement]]="","",IF(OR(Reinforcements[[#This Row],[Top End Connection Type]]&lt;&gt;"Welded",Reinforcements[[#This Row],[Top End Connection Type]]=""),"-","")))</f>
        <v>-</v>
      </c>
      <c r="BW5" s="190" t="str">
        <f>IF($AZ5="Yes",AW5,IF(Reinforcements[[#This Row],[Reinforcement]]="","",IF(OR(Reinforcements[[#This Row],[Top End Connection Type]]&lt;&gt;"Welded",Reinforcements[[#This Row],[Top End Connection Type]]="",Reinforcements[[#This Row],[Top Longitudinal (Vertical) Weld]]="",Reinforcements[[#This Row],[Top Longitudinal (Vertical) Weld]]="None"),"-","")))</f>
        <v>-</v>
      </c>
      <c r="BX5" s="190" t="str">
        <f>IF($AZ5="Yes",AX5,IF(Reinforcements[[#This Row],[Reinforcement]]="","",IF(OR(Reinforcements[[#This Row],[Top End Connection Type]]&lt;&gt;"Welded",Reinforcements[[#This Row],[Top End Connection Type]]="",Reinforcements[[#This Row],[Top Longitudinal (Vertical) Weld]]="",Reinforcements[[#This Row],[Top Longitudinal (Vertical) Weld]]="None"),"-","")))</f>
        <v>-</v>
      </c>
      <c r="BY5" s="190" t="str">
        <f>IF($AZ5="Yes",AY5,IF(Reinforcements[[#This Row],[Reinforcement]]="","",IF(OR(Reinforcements[[#This Row],[Top End Connection Type]]&lt;&gt;"Welded",Reinforcements[[#This Row],[Top Longitudinal (Vertical) Weld]]="none"),"-",SQRT(2)/2*Reinforcements[[#This Row],[Top Longitudinal Weld Fillet Size (in)]])))</f>
        <v>-</v>
      </c>
      <c r="BZ5"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 s="192">
        <f>IF(Reinforcements[[#This Row],[Reinforcement]]="","",IF(Reinforcements[[#This Row],[Bottom End Connection Type]]&lt;&gt;"Bolted","n/a",(Reinforcements[[#This Row],['# of End Connection Bolts          (Bottom)]]-1)*Reinforcements[[#This Row],[End Connection Bolt Spacing (in) (B)]]+Reinforcements[[#This Row],[End Connection Edge Distance (in) (B)]]))</f>
        <v>29</v>
      </c>
      <c r="CB5" s="192">
        <f>IF(Reinforcements[[#This Row],[Reinforcement]]="","",IF(Reinforcements[[#This Row],[Top End Connection Type]]&lt;&gt;"Bolted","n/a",(Reinforcements[[#This Row],['# of End Connection Bolts          (Top)]]-1)*Reinforcements[[#This Row],[End Connection Bolt Spacing (in) (T)]]+Reinforcements[[#This Row],[End Connection Edge Distance (in) (T)]]))</f>
        <v>29</v>
      </c>
      <c r="CC5"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5"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 s="188">
        <f>IFERROR(IF(Reinforcements[[#This Row],[Type]]="","",Reinforcements[[#This Row],[Effective B (in)]]*Reinforcements[[#This Row],[Effective H (in)]]^3/12),"")</f>
        <v>0.41666666666666669</v>
      </c>
      <c r="CF5" s="188">
        <f>IFERROR(IF(Reinforcements[[#This Row],[Type]]="","",Reinforcements[[#This Row],[Effective B (in)]]^3*Reinforcements[[#This Row],[Effective H (in)]]/12),"")</f>
        <v>10.416666666666666</v>
      </c>
      <c r="CG5" s="196">
        <f>SQRT(2*PI()^2*29000/VLOOKUP(Reinforcements[[#This Row],[Material]],Materials[],2,FALSE))</f>
        <v>75.659570132481107</v>
      </c>
      <c r="CH5"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41.67310086177033</v>
      </c>
      <c r="CI5"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57.086994311883529</v>
      </c>
      <c r="CJ5" s="195">
        <f>Reinforcements[[#This Row],[Effective Length Factor Kx]]*Reinforcements[[#This Row],[Lu (in)]]/(Reinforcements[[#This Row],[rx]]*PI())*SQRT(VLOOKUP(Reinforcements[[#This Row],[Material]],Materials[],2,FALSE)/29000)</f>
        <v>0.93240424798382504</v>
      </c>
      <c r="CK5" s="195">
        <f>Reinforcements[[#This Row],[Effective Length Factor Ky]]*Reinforcements[[#This Row],[Lu (in)]]/(Reinforcements[[#This Row],[ry]]*PI())*SQRT(VLOOKUP(Reinforcements[[#This Row],[Material]],Materials[],2,FALSE)/29000)</f>
        <v>0.23310106199595629</v>
      </c>
      <c r="CL5" s="195">
        <f>IF(Reinforcements[[#This Row],[λcx]]&lt;=1.5,0.658^(Reinforcements[[#This Row],[λcx]]^2)*Reinforcements[[#This Row],[F''y]],0.877/(Reinforcements[[#This Row],[λcx]]^2)*Reinforcements[[#This Row],[F''y]])</f>
        <v>69.497574667055517</v>
      </c>
      <c r="CM5" s="195">
        <f>IF(Reinforcements[[#This Row],[λcy]]&lt;=1.5,0.658^(Reinforcements[[#This Row],[λcy]]^2)*Reinforcements[[#This Row],[F''y]],0.877/(Reinforcements[[#This Row],[λcy]]^2)*Reinforcements[[#This Row],[F''y]])</f>
        <v>97.751426323780308</v>
      </c>
      <c r="CN5" s="188">
        <f>VLOOKUP(Reinforcements[[#This Row],[Material]],Materials[],2,FALSE)</f>
        <v>100</v>
      </c>
      <c r="CO5" s="196">
        <f>IF(Reinforcements[[#This Row],[Reinforcement]]="","",Reinforcements[[#This Row],[Fax]]*Reinforcements[[#This Row],[Gross Area (in2)]])</f>
        <v>208.36550430885165</v>
      </c>
      <c r="CP5" s="196">
        <f>IF(Reinforcements[[#This Row],[Reinforcement]]="","",Reinforcements[[#This Row],[Fay]]*Reinforcements[[#This Row],[Gross Area (in2)]])</f>
        <v>285.43497155941765</v>
      </c>
      <c r="CQ5" s="196">
        <f>IF(Reinforcements[[#This Row],[Reinforcement]]="","",0.6*VLOOKUP(Reinforcements[[#This Row],[Material]],Materials[],2,FALSE)*Reinforcements[[#This Row],[Gross Area (in2)]])</f>
        <v>300</v>
      </c>
      <c r="CR5" s="196">
        <f>IF(Reinforcements[[#This Row],[Reinforcement]]="","",0.5*VLOOKUP(Reinforcements[[#This Row],[Material]],Materials[],3,FALSE)*Reinforcements[[#This Row],[Net Area (in2)]]*Reinforcements[[#This Row],[Shear Lag (U)]])</f>
        <v>206.25</v>
      </c>
      <c r="CS5" s="196">
        <f>IF(Reinforcements[[#This Row],[Reinforcement]]="","",0.4*VLOOKUP(Reinforcements[[#This Row],[Material]],Materials[],2,FALSE)*Reinforcements[[#This Row],[Gross Area (in2)]])</f>
        <v>200</v>
      </c>
      <c r="CT5"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5"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5"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5"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5"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5"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5"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1507.0866141732286</v>
      </c>
      <c r="DA5"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1673.3858267716535</v>
      </c>
      <c r="DB5"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1507.0866141732286</v>
      </c>
      <c r="DC5"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1673.3858267716535</v>
      </c>
      <c r="DD5"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 s="191"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 s="190" t="str">
        <f>IF($AZ5="Yes",DD5,IF(Reinforcements[[#This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 s="190" t="str">
        <f>IF($AZ5="Yes",DE5,IF(Reinforcements[[#This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 s="196">
        <f>IF(Reinforcements[[#This Row],[Reinforcement]]="","",φ_c*Reinforcements[[#This Row],[Fcr,x]]*Reinforcements[[#This Row],[Gross Area (in2)]])</f>
        <v>312.73908600174985</v>
      </c>
      <c r="DI5" s="196">
        <f>IF(Reinforcements[[#This Row],[Reinforcement]]="","",φ_c*Reinforcements[[#This Row],[Fcr,y]]*Reinforcements[[#This Row],[Gross Area (in2)]])</f>
        <v>439.88141845701136</v>
      </c>
      <c r="DJ5" s="196">
        <f>IF(Reinforcements[[#This Row],[Reinforcement]]="","",φ_t_y*VLOOKUP(Reinforcements[[#This Row],[Material]],Materials[],2,FALSE)*Reinforcements[[#This Row],[Gross Area (in2)]])</f>
        <v>450</v>
      </c>
      <c r="DK5" s="197">
        <f>IF(Reinforcements[[#This Row],[Reinforcement]]="","",φ_t_r*VLOOKUP(Reinforcements[[#This Row],[Material]],Materials[],3,FALSE)*Reinforcements[[#This Row],[Net Area (in2)]]*Reinforcements[[#This Row],[Shear Lag (U)]])</f>
        <v>309.375</v>
      </c>
      <c r="DL5" s="197">
        <f>IF(Reinforcements[[#This Row],[Reinforcement]]="","",φ_v*0.5*Reinforcements[[#This Row],[F''y]]*Reinforcements[[#This Row],[Gross Area (in2)]])</f>
        <v>225</v>
      </c>
      <c r="DM5"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5"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5"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19.778267716535435</v>
      </c>
      <c r="DP5"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24.722834645669291</v>
      </c>
      <c r="DQ5"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5"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5"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2109.8173228346454</v>
      </c>
      <c r="DT5"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2637.2716535433069</v>
      </c>
      <c r="DU5"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2109.8173228346454</v>
      </c>
      <c r="DV5"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2637.2716535433069</v>
      </c>
      <c r="DW5" s="191"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 s="19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 s="190" t="str">
        <f>IF($AZ5="Yes",DW5,IF(Reinforcements[[#This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 s="190" t="str">
        <f>IF($AZ5="Yes",DX5,IF(Reinforcements[[#This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 s="241" t="str">
        <f>IF(OR(Reinforcements[[#This Row],[Type]]="plate",Reinforcements[[#This Row],[Type]]="solid round"),"N/A",Reinforcements[[#This Row],[B (in)]])</f>
        <v>N/A</v>
      </c>
      <c r="EB5" s="237" t="str">
        <f>IF(OR(Reinforcements[[#This Row],[Type]]="plate",Reinforcements[[#This Row],[Type]]="solid round"),"N/A",Reinforcements[[#This Row],[H (in)]])</f>
        <v>N/A</v>
      </c>
      <c r="EC5" s="237" t="str">
        <f>IF(OR(Reinforcements[[#This Row],[Type]]="plate",Reinforcements[[#This Row],[Type]]="solid round"),"N/A",Reinforcements[[#This Row],[B (in)]]-Reinforcements[[#This Row],['[Channel'] Flange Thickness (in)]])</f>
        <v>N/A</v>
      </c>
      <c r="ED5" s="237" t="str">
        <f>IF(OR(Reinforcements[[#This Row],[Type]]="plate",Reinforcements[[#This Row],[Type]]="solid round"),"N/A",Reinforcements[[#This Row],['[Channel']Web Thickness (in)]])</f>
        <v>N/A</v>
      </c>
      <c r="EE5" s="237" t="str">
        <f>IF(OR(Reinforcements[[#This Row],[Type]]="plate",Reinforcements[[#This Row],[Type]]="solid round"),"N/A",Reinforcements[[#This Row],['[Channel'] Flange Thickness (in)]])</f>
        <v>N/A</v>
      </c>
      <c r="EF5" s="237" t="str">
        <f>IF(Reinforcements[[#This Row],[Type]]="channel",Reinforcements[[#This Row],[Channel Flange Width, b]]/Reinforcements[[#This Row],[Channel flange thickness, tf]],"N/A")</f>
        <v>N/A</v>
      </c>
      <c r="EG5" s="237" t="str">
        <f>IF(Reinforcements[[#This Row],[Type]]="channel",Reinforcements[[#This Row],[Channel inside depth, T]]/Reinforcements[[#This Row],[Channel web thickness, tw]],"N/A")</f>
        <v>N/A</v>
      </c>
      <c r="EH5" s="237">
        <v>29000</v>
      </c>
      <c r="EI5" s="237" t="str">
        <f>IF(Reinforcements[[#This Row],[Type]]="channel",0.56*SQRT(Reinforcements[[#This Row],[E, (ksi)]]/Reinforcements[[#This Row],[Fy, (ksi)]]),"N/A")</f>
        <v>N/A</v>
      </c>
      <c r="EJ5" s="237" t="str">
        <f>IF(Reinforcements[[#This Row],[Type]]="channel",1.49*SQRT(Reinforcements[[#This Row],[E, (ksi)]]/Reinforcements[[#This Row],[Fy, (ksi)]]),"N/A")</f>
        <v>N/A</v>
      </c>
      <c r="EK5" s="237">
        <f>VLOOKUP(Reinforcements[[#This Row],[Material]],Materials!$B$2:$C$30,2,FALSE)</f>
        <v>100</v>
      </c>
      <c r="EL5" s="237">
        <f>Reinforcements[[#This Row],[Lu (in)]]*Reinforcements[[#This Row],[Effective Length Factor Kx]]</f>
        <v>14.4</v>
      </c>
      <c r="EM5" s="237">
        <f>Reinforcements[[#This Row],[Lu (in)]]*Reinforcements[[#This Row],[Effective Length Factor Ky]]</f>
        <v>18</v>
      </c>
      <c r="EN5" s="237">
        <f>Reinforcements[[#This Row],[rx]]</f>
        <v>0.28867513459481292</v>
      </c>
      <c r="EO5" s="237">
        <f>Reinforcements[[#This Row],[ry]]</f>
        <v>1.4433756729740643</v>
      </c>
      <c r="EP5" s="237">
        <f>Reinforcements[[#This Row],[Lcx (in)]]/Reinforcements[[#This Row],[rx (in)]]</f>
        <v>49.883063257983657</v>
      </c>
      <c r="EQ5" s="237">
        <f>Reinforcements[[#This Row],[Lcy (in)]]/Reinforcements[[#This Row],[ry (in)]]</f>
        <v>12.470765814495918</v>
      </c>
      <c r="ER5" s="237">
        <f>((PI()^2)*Reinforcements[[#This Row],[E, (ksi)]])/(Reinforcements[[#This Row],[Lcx/rx]]^2)</f>
        <v>115.0248069507103</v>
      </c>
      <c r="ES5" s="237">
        <f>((PI()^2)*Reinforcements[[#This Row],[E, (ksi)]])/(Reinforcements[[#This Row],[Lcy/ry]]^2)</f>
        <v>1840.3969112113639</v>
      </c>
      <c r="ET5" s="237">
        <f>4.71*(SQRT(Reinforcements[[#This Row],[E, (ksi)]]/Reinforcements[[#This Row],[Fy, (ksi)]]))</f>
        <v>80.20840978351336</v>
      </c>
      <c r="EU5" s="237">
        <f>IF(Reinforcements[[#This Row],[Lcx/rx]]&lt;=Reinforcements[[#This Row],[Fcr Limit]],(0.658^(Reinforcements[[#This Row],[Fy, (ksi)]]/Reinforcements[[#This Row],[Fex, FB (ksi)]]))*Reinforcements[[#This Row],[Fy, (ksi)]],0.877*Reinforcements[[#This Row],[Fex, FB (ksi)]])</f>
        <v>69.497574667055517</v>
      </c>
      <c r="EV5" s="237">
        <f>IF(Reinforcements[[#This Row],[Lcy/ry]]&lt;=Reinforcements[[#This Row],[Fcr Limit]],(0.658^(Reinforcements[[#This Row],[Fy, (ksi)]]/Reinforcements[[#This Row],[Fey, FB (ksi)]]))*Reinforcements[[#This Row],[Fy, (ksi)]],0.877*Reinforcements[[#This Row],[Fey, FB (ksi)]])</f>
        <v>97.751426323780308</v>
      </c>
      <c r="EW5" s="237">
        <f>Reinforcements[[#This Row],[Fcrx (ksi)]]*Reinforcements[[#This Row],[Gross Area (in2)]]</f>
        <v>347.48787333527758</v>
      </c>
      <c r="EX5" s="237">
        <f>Reinforcements[[#This Row],[Fcry (ksi)]]*Reinforcements[[#This Row],[Gross Area (in2)]]</f>
        <v>488.75713161890155</v>
      </c>
      <c r="EY5" s="237" t="str">
        <f>IF(Reinforcements[[#This Row],[Type]]="channel",0,"N/A")</f>
        <v>N/A</v>
      </c>
      <c r="EZ5" s="237" t="str">
        <f>IF(Reinforcements[[#This Row],[Type]]="channel",Reinforcements[[#This Row],[Channel Flange Width, b]]-(0.5*Reinforcements[[#This Row],[Channel web thickness, tw]]),"N/A")</f>
        <v>N/A</v>
      </c>
      <c r="FA5" s="237" t="str">
        <f>IF(Reinforcements[[#This Row],[Type]]="channel",Reinforcements[[#This Row],[Channel Height, h]]-Reinforcements[[#This Row],[Channel flange thickness, tf]],"N/A")</f>
        <v>N/A</v>
      </c>
      <c r="FB5" s="237" t="str">
        <f>IF(Reinforcements[[#This Row],[Type]]="channel",Reinforcements[[#This Row],[Channel web thickness, tw]],"N/A")</f>
        <v>N/A</v>
      </c>
      <c r="FC5" s="237" t="str">
        <f>IF(Reinforcements[[#This Row],[Type]]="channel",((3*Reinforcements[[#This Row],[b]]^2)/(Reinforcements[[#This Row],[h]]+(6*Reinforcements[[#This Row],[b]])))-Reinforcements[[#This Row],[t]]/2,"N/A")</f>
        <v>N/A</v>
      </c>
      <c r="FD5" s="237">
        <f>Reinforcements[[#This Row],[Pole Face to Centroid (in)]]</f>
        <v>0.5</v>
      </c>
      <c r="FE5" s="237" t="str">
        <f>IF(Reinforcements[[#This Row],[Type]]="channel",Reinforcements[[#This Row],[x(bar)]]+Reinforcements[[#This Row],['[Channel'] e0 (in)]],"N/A")</f>
        <v>N/A</v>
      </c>
      <c r="FF5" s="237" t="str">
        <f>IF(Reinforcements[[#This Row],[Type]]="channel",Reinforcements[[#This Row],[Ix]],"N/A")</f>
        <v>N/A</v>
      </c>
      <c r="FG5" s="237" t="str">
        <f>IF(Reinforcements[[#This Row],[Type]]="channel",Reinforcements[[#This Row],[Iy]],"N/A")</f>
        <v>N/A</v>
      </c>
      <c r="FH5" s="237" t="str">
        <f>IF(Reinforcements[[#This Row],[Type]]="channel",Reinforcements[[#This Row],[Gross Area (in2)]],"N/A")</f>
        <v>N/A</v>
      </c>
      <c r="FI5" s="237" t="str">
        <f>IF(Reinforcements[[#This Row],[Type]]="channel",(Reinforcements[[#This Row],[xo]]^2)+((Reinforcements[[#This Row],[Ix (FTB)]]+Reinforcements[[#This Row],[Iy (FTB)]])/Reinforcements[[#This Row],[Ag]]),"N/A")</f>
        <v>N/A</v>
      </c>
      <c r="FJ5" s="237" t="str">
        <f>IF(Reinforcements[[#This Row],[Type]]="channel",Reinforcements[[#This Row],[Lu (in)]],"N/A")</f>
        <v>N/A</v>
      </c>
      <c r="FK5" s="237" t="str">
        <f>IF(Reinforcements[[#This Row],[Type]]="channel",Reinforcements[[#This Row],[Effective Length Factor Kx]],"N/A")</f>
        <v>N/A</v>
      </c>
      <c r="FL5" s="237" t="str">
        <f>IF(Reinforcements[[#This Row],[Type]]="channel",Reinforcements[[#This Row],[Kz]]*Reinforcements[[#This Row],[Lz]],"N/A")</f>
        <v>N/A</v>
      </c>
      <c r="FM5" s="237" t="str">
        <f>IF(Reinforcements[[#This Row],[Type]]="channel",(((Reinforcements[[#This Row],[t]]^3)/3)*(Reinforcements[[#This Row],[h]]+(2*Reinforcements[[#This Row],[b]]))),"N/A")</f>
        <v>N/A</v>
      </c>
      <c r="FN5" s="237" t="str">
        <f>IF(Reinforcements[[#This Row],[Type]]="channel",(1-(((Reinforcements[[#This Row],[xo]]^2)+(Reinforcements[[#This Row],[yo]]^2))/Reinforcements[[#This Row],[ro^2(bar)]])),"N/A")</f>
        <v>N/A</v>
      </c>
      <c r="FO5" s="237">
        <v>11200</v>
      </c>
      <c r="FP5" s="237" t="str">
        <f>IF(Reinforcements[[#This Row],[Type]]="channel",(((Reinforcements[[#This Row],[h]]^2)*(Reinforcements[[#This Row],[b]]^3)*Reinforcements[[#This Row],[t]])/12)*(((2*Reinforcements[[#This Row],[h]])+(3*Reinforcements[[#This Row],[b]]))/(Reinforcements[[#This Row],[h]]+(6*Reinforcements[[#This Row],[b]]))),"N/A")</f>
        <v>N/A</v>
      </c>
      <c r="FQ5" s="237" t="str">
        <f>IF(Reinforcements[[#This Row],[Type]]="Channel",((((PI()^2)*Reinforcements[[#This Row],[E, (ksi)]]*Reinforcements[[#This Row],['[Channel'] CW (in6)]])/(Reinforcements[[#This Row],[Lcz]]^2))+(Reinforcements[[#This Row],[G]]*Reinforcements[[#This Row],['[Channel'] J (in4)]]))*(1/(Reinforcements[[#This Row],[Ag]]*Reinforcements[[#This Row],[ro^2(bar)]])),"N/A")</f>
        <v>N/A</v>
      </c>
      <c r="FR5" s="237" t="str">
        <f>IF(Reinforcements[[#This Row],[Type]]="channel",((PI()^2)*Reinforcements[[#This Row],[E, (ksi)]])/(Reinforcements[[#This Row],[Lcy/ry]]^2),"N/A")</f>
        <v>N/A</v>
      </c>
      <c r="FS5" s="237" t="str">
        <f>IF(Reinforcements[[#This Row],[Type]]="channel",((Reinforcements[[#This Row],[Fey]]+Reinforcements[[#This Row],[Fez]])/(2*Reinforcements[[#This Row],[H2]]))*(1-SQRT(1-((4*Reinforcements[[#This Row],[Fey]]*Reinforcements[[#This Row],[Fez]]*Reinforcements[[#This Row],[H2]])/(Reinforcements[[#This Row],[Fey]]+Reinforcements[[#This Row],[Fez]])^2))),"N/A")</f>
        <v>N/A</v>
      </c>
      <c r="FT5" s="237" t="str">
        <f>IF(Reinforcements[[#This Row],[Type]]="channel",IF(Reinforcements[[#This Row],[Lcx/rx]]&gt;(4.71*SQRT(Reinforcements[[#This Row],[E, (ksi)]]/Reinforcements[[#This Row],[Fy, (ksi)]])),0.877*Reinforcements[[#This Row],[Fe (FTB)]],0.658^(Reinforcements[[#This Row],[Fy, (ksi)]]/Reinforcements[[#This Row],[Fe (FTB)]])*Reinforcements[[#This Row],[Fy, (ksi)]]),"N/A")</f>
        <v>N/A</v>
      </c>
      <c r="FU5" s="237" t="str">
        <f>IF(Reinforcements[[#This Row],[Type]]="channel",MIN(Reinforcements[[#This Row],[Fcr(FTB)]],Reinforcements[[#This Row],[Fcry (ksi)]]),"N/A")</f>
        <v>N/A</v>
      </c>
      <c r="FV5" s="237">
        <v>0.22</v>
      </c>
      <c r="FW5" s="237">
        <v>1.49</v>
      </c>
      <c r="FX5" s="237" t="str">
        <f>IF(Reinforcements[[#This Row],[Type]]="channel",((Reinforcements[[#This Row],[c2]]*(Reinforcements[[#This Row],[λrf]]/Reinforcements[[#This Row],[λf]]))^2)*Reinforcements[[#This Row],[Fy, (ksi)]],"N/A")</f>
        <v>N/A</v>
      </c>
      <c r="FY5" s="237" t="str">
        <f>IF(Reinforcements[[#This Row],[Type]]="channel",((Reinforcements[[#This Row],[c2]]*(Reinforcements[[#This Row],[λrw]]/Reinforcements[[#This Row],[λw]]))^2)*Reinforcements[[#This Row],[Fy, (ksi)]],"N/A")</f>
        <v>N/A</v>
      </c>
      <c r="FZ5"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 s="237" t="str">
        <f>IF(Reinforcements[[#This Row],[Type]]="channel",Reinforcements[[#This Row],[Fcr]]*Reinforcements[[#This Row],[Ae]],"N/A")</f>
        <v>N/A</v>
      </c>
      <c r="GD5" s="466">
        <f>IF(Reinforcements[[#This Row],[Reinforcement]]="","",φ_c*Reinforcements[[#This Row],[Pnx, FB (kip)]])</f>
        <v>312.73908600174985</v>
      </c>
      <c r="GE5" s="466">
        <f>IF(Reinforcements[[#This Row],[Reinforcement]]="","",IF(Reinforcements[[#This Row],[Type]]="channel",φ_c*Reinforcements[[#This Row],[Pn]],φ_c*Reinforcements[[#This Row],[Pny, FB (kip)]]))</f>
        <v>439.88141845701142</v>
      </c>
      <c r="GF5" s="466">
        <f>Reinforcements[[#This Row],[Rev. G Tension Yield Capacity (kips)]]</f>
        <v>450</v>
      </c>
      <c r="GG5" s="466">
        <f>Reinforcements[[#This Row],[Rev. G Tension Rupture Capacity (kips)]]</f>
        <v>309.375</v>
      </c>
      <c r="GH5" s="466">
        <f>Reinforcements[[#This Row],[Rev. G Shear Capacity (kips)]]</f>
        <v>225</v>
      </c>
      <c r="GI5" s="466">
        <f>IFERROR((Reinforcements[[#This Row],['# of End Connection Bolts          (Bottom)]]-1)*Reinforcements[[#This Row],[End Connection Bolt Spacing (in) (B)]],"-")</f>
        <v>27</v>
      </c>
      <c r="GJ5" s="466">
        <f>IFERROR(IF(VLOOKUP(Reinforcements[[#This Row],[Bottom End Connection Bolt Type]],Bolts[],COLUMN(Bolts[[#Headers],[Rev. H Apply Connection Length Reduction Factor (Rb)?]])-1,FALSE)="Yes",(IF(Reinforcements[[#This Row],[Lb(bottom)]]&lt;=16,1,IF(Reinforcements[[#This Row],[Lb(bottom)]]&gt;38,0.75,0.9))),1),"-")</f>
        <v>1</v>
      </c>
      <c r="GK5"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463.99640970817933</v>
      </c>
      <c r="GL5" s="466">
        <f>IFERROR(IF(Reinforcements[[#This Row],[Top End Connection Same?]]="Yes",Reinforcements[[#This Row],[Lb(bottom)]],(Reinforcements[[#This Row],['# of End Connection Bolts          (Top)]]-1)*Reinforcements[[#This Row],[End Connection Bolt Spacing (in) (T)]]),"-")</f>
        <v>27</v>
      </c>
      <c r="GM5" s="466">
        <f>IFERROR(IF(VLOOKUP(Reinforcements[[#This Row],[Top End Connection Bolt Type]],Bolts[],COLUMN(Bolts[[#Headers],[Rev. H Apply Connection Length Reduction Factor (Rb)?]])-1,FALSE)="Yes",(IF(Reinforcements[[#This Row],[Lb(top)]]&lt;=16,1,IF(Reinforcements[[#This Row],[Lb(top)]]&gt;38,0.75,0.9))),1),"-")</f>
        <v>1</v>
      </c>
      <c r="GN5"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463.99640970817933</v>
      </c>
      <c r="GO5" s="466">
        <f>Reinforcements[[#This Row],[Rev. G Bolt-Shaft Bearing Capacity (Bottom)                No Deformation          (*t*Fu kips)]]</f>
        <v>19.778267716535435</v>
      </c>
      <c r="GP5" s="466">
        <f>Reinforcements[[#This Row],[Rev. G Bolt-Shaft Bearing Capacity (Bottom)                   Deformation          (*t*Fu kips)]]</f>
        <v>24.722834645669291</v>
      </c>
      <c r="GQ5" s="466">
        <f>Reinforcements[[#This Row],[Rev. G Bolt-Shaft Bearing Capacity (Top)                    No Deformation          (*t*Fu kips)]]</f>
        <v>19.778267716535435</v>
      </c>
      <c r="GR5" s="466">
        <f>Reinforcements[[#This Row],[Rev. G Bolt-Shaft Bearing Capacity (Top)                        Deformation          (*t*Fu kips)]]</f>
        <v>24.722834645669291</v>
      </c>
      <c r="GS5" s="466">
        <f>Reinforcements[[#This Row],[Rev. G Bolt-Reinf. Bearing Capacity (Bottom)            No Deformation (kips)]]</f>
        <v>2109.8173228346454</v>
      </c>
      <c r="GT5" s="466">
        <f>Reinforcements[[#This Row],[Rev. G Bolt-Reinf. Bearing Capacity (Bottom)               Deformation (kips)]]</f>
        <v>2637.2716535433069</v>
      </c>
      <c r="GU5" s="466">
        <f>Reinforcements[[#This Row],[Rev. G Bolt-Reinf. Bearing Capacity (Top)                  No Deformation (kips)]]</f>
        <v>2109.8173228346454</v>
      </c>
      <c r="GV5" s="466">
        <f>Reinforcements[[#This Row],[Rev. G Bolt-Reinf. Bearing Capacity (Top)               Deformation (kips)]]</f>
        <v>2637.2716535433069</v>
      </c>
      <c r="GW5" s="466" t="str">
        <f>Reinforcements[[#This Row],[Rev. G Bottom Transverse Weld Strength]]</f>
        <v>-</v>
      </c>
      <c r="GX5" s="466" t="str">
        <f>Reinforcements[[#This Row],[Rev. G Bottom Longitudinal Weld Strength]]</f>
        <v>-</v>
      </c>
      <c r="GY5" s="466" t="str">
        <f>Reinforcements[[#This Row],[Rev. G Top Transverse Weld Strength]]</f>
        <v>-</v>
      </c>
      <c r="GZ5" s="466" t="str">
        <f>Reinforcements[[#This Row],[Rev. G Top Longitudinal Weld Strength]]</f>
        <v>-</v>
      </c>
      <c r="HA5" s="552">
        <v>3</v>
      </c>
      <c r="HB5"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6" spans="2:210" x14ac:dyDescent="0.2">
      <c r="B6" s="72" t="s">
        <v>214</v>
      </c>
      <c r="C6" s="72" t="s">
        <v>146</v>
      </c>
      <c r="D6" s="185">
        <v>6</v>
      </c>
      <c r="E6" s="185">
        <v>1</v>
      </c>
      <c r="F6" s="185" t="str">
        <f>IF(Reinforcements[[#This Row],[Type]]="","",IF(Reinforcements[[#This Row],[Type]]="solid round","","n/a"))</f>
        <v>n/a</v>
      </c>
      <c r="G6" s="185" t="str">
        <f>IF(Reinforcements[[#This Row],[Type]]="","",IF(Reinforcements[[#This Row],[Type]]&lt;&gt;"channel","n/a",""))</f>
        <v>n/a</v>
      </c>
      <c r="H6" s="185" t="str">
        <f>IF(Reinforcements[[#This Row],[Type]]="","",IF(Reinforcements[[#This Row],[Type]]&lt;&gt;"channel","n/a",""))</f>
        <v>n/a</v>
      </c>
      <c r="I6" s="197" t="str">
        <f>IF(Reinforcements[[#This Row],[Type]]="","",IF(Reinforcements[[#This Row],[Type]]&lt;&gt;"channel","n/a",Reinforcements[[#This Row],[eo]]))</f>
        <v>n/a</v>
      </c>
      <c r="J6" s="197" t="str">
        <f>IF(Reinforcements[[#This Row],[Type]]="","",IF(Reinforcements[[#This Row],[Type]]&lt;&gt;"channel","n/a",Reinforcements[[#This Row],[J]]))</f>
        <v>n/a</v>
      </c>
      <c r="K6" s="197" t="str">
        <f>IF(Reinforcements[[#This Row],[Type]]="","",IF(Reinforcements[[#This Row],[Type]]&lt;&gt;"channel","n/a",Reinforcements[[#This Row],[Cw]]))</f>
        <v>n/a</v>
      </c>
      <c r="L6" s="185">
        <f>IFERROR(IF(Reinforcements[[#This Row],[Type]]="","",IF(Reinforcements[[#This Row],[Type]]="plate",Reinforcements[[#This Row],[B (in)]]*Reinforcements[[#This Row],[H (in)]],IF(Reinforcements[[#This Row],[Type]]="solid round",PI()/4*Reinforcements[[#This Row],[Diameter (in)]]^2,""))),"")</f>
        <v>6</v>
      </c>
      <c r="M6" s="185">
        <f>IFERROR(IF(Reinforcements[[#This Row],[Type]]="","",IF(Reinforcements[[#This Row],[Type]]="plate",Reinforcements[[#This Row],[H (in)]]/2,"")),"")</f>
        <v>0.5</v>
      </c>
      <c r="N6" s="186" t="s">
        <v>297</v>
      </c>
      <c r="O6" s="185" t="s">
        <v>153</v>
      </c>
      <c r="P6" s="187">
        <f>IFERROR(IF(Reinforcements[[#This Row],[Type]]="","",IF(Reinforcements[[#This Row],[Type]]="plate",Reinforcements[[#This Row],[B (in)]]*Reinforcements[[#This Row],[H (in)]]^3/12,IF(Reinforcements[[#This Row],[Type]]="solid round",PI()/64*Reinforcements[[#This Row],[Diameter (in)]]^4,""))),"")</f>
        <v>0.5</v>
      </c>
      <c r="Q6" s="187">
        <f>IF(Reinforcements[[#This Row],[Reinforcement]]="","",SQRT(Reinforcements[[#This Row],[Ix]]/Reinforcements[[#This Row],[Gross Area (in2)]]))</f>
        <v>0.28867513459481287</v>
      </c>
      <c r="R6" s="187">
        <f>IFERROR(IF(Reinforcements[[#This Row],[Type]]="","",IF(Reinforcements[[#This Row],[Type]]="plate",Reinforcements[[#This Row],[B (in)]]^3*Reinforcements[[#This Row],[H (in)]]/12,IF(Reinforcements[[#This Row],[Type]]="solid round",PI()/64*Reinforcements[[#This Row],[Diameter (in)]]^4,""))),"")</f>
        <v>18</v>
      </c>
      <c r="S6" s="187">
        <f>IF(Reinforcements[[#This Row],[Reinforcement]]="","",SQRT(Reinforcements[[#This Row],[Iy]]/Reinforcements[[#This Row],[Gross Area (in2)]]))</f>
        <v>1.7320508075688772</v>
      </c>
      <c r="T6" s="190">
        <v>17</v>
      </c>
      <c r="U6" s="188">
        <v>0.8</v>
      </c>
      <c r="V6" s="188">
        <v>1</v>
      </c>
      <c r="W6" s="185">
        <v>1.1875</v>
      </c>
      <c r="X6" s="188">
        <f>IF(Reinforcements[[#This Row],[Bolt Hole Size (in)]]="","",IF(Reinforcements[[#This Row],[Bolt Hole Size (in)]]="n/a","n/a",Reinforcements[[#This Row],[Bolt Hole Size (in)]]*25.4))</f>
        <v>30.162499999999998</v>
      </c>
      <c r="Y6"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6" s="185">
        <f>IFERROR(IF(Reinforcements[[#This Row],[Reinforcement]]="","",IF(OR(Reinforcements[[#This Row],[Type]]="plate",Reinforcements[[#This Row],[Type]]="solid round"),1,IF(Reinforcements[[#This Row],[Type]]="arbitrary","",1-Reinforcements[[#This Row],[Pole Face to Centroid (in)]]/Reinforcements[[#This Row],[Connection Length (in) '[Channels']]]))),"")</f>
        <v>1</v>
      </c>
      <c r="AA6" s="189" t="s">
        <v>391</v>
      </c>
      <c r="AB6" s="189" t="str">
        <f>IF(Reinforcements[[#This Row],[Reinforcement]]="","",IF(Reinforcements[[#This Row],[Bottom End Connection Type]]&lt;&gt;"Capacity Input","-",""))</f>
        <v>-</v>
      </c>
      <c r="AC6" s="189" t="str">
        <f>IF(Reinforcements[[#This Row],[Reinforcement]]="","",IF(Reinforcements[[#This Row],[Bottom End Connection Type]]&lt;&gt;"Capacity Input","-",""))</f>
        <v>-</v>
      </c>
      <c r="AD6" s="461" t="str">
        <f>IF(Reinforcements[[#This Row],[Reinforcement]]="","",IF(Reinforcements[[#This Row],[Bottom End Connection Type]]&lt;&gt;"Capacity Input","-",""))</f>
        <v>-</v>
      </c>
      <c r="AE6" s="103" t="s">
        <v>416</v>
      </c>
      <c r="AF6" s="190" t="s">
        <v>296</v>
      </c>
      <c r="AG6" s="190">
        <v>12</v>
      </c>
      <c r="AH6" s="190">
        <v>3</v>
      </c>
      <c r="AI6" s="190">
        <v>2</v>
      </c>
      <c r="AJ6" s="190">
        <f>Reinforcements[[#This Row],[End Connection Edge Distance (in) (B)]]-(Reinforcements[[#This Row],[Bolt Hole Size (in)]]+1/16)/2</f>
        <v>1.375</v>
      </c>
      <c r="AK6" s="190">
        <f>Reinforcements[[#This Row],[End Connection Bolt Spacing (in) (B)]]-(Reinforcements[[#This Row],[Bolt Hole Size (in)]]+1/16)</f>
        <v>1.75</v>
      </c>
      <c r="AL6" s="190">
        <f>Reinforcements[[#This Row],[End Connection Edge Distance (in) (B)]]</f>
        <v>2</v>
      </c>
      <c r="AM6" s="190">
        <f>Reinforcements[[#This Row],[End Connection Bolt Spacing (in) (B)]]</f>
        <v>3</v>
      </c>
      <c r="AN6" s="190" t="str">
        <f>IF(Reinforcements[[#This Row],[Reinforcement]]="","",IF(OR(Reinforcements[[#This Row],[Bottom End Connection Type]]="Bolted",Reinforcements[[#This Row],[Bottom End Connection Type]]=""),"-",""))</f>
        <v>-</v>
      </c>
      <c r="AO6" s="191" t="str">
        <f>IF(Reinforcements[[#This Row],[Reinforcement]]="","",IF(OR(Reinforcements[[#This Row],[Bottom End Connection Type]]="Bolted",Reinforcements[[#This Row],[Bottom End Connection Type]]=""),"-",""))</f>
        <v>-</v>
      </c>
      <c r="AP6" s="191" t="str">
        <f>IF(Reinforcements[[#This Row],[Reinforcement]]="","",IF(OR(Reinforcements[[#This Row],[Bottom End Connection Type]]="Bolted",Reinforcements[[#This Row],[Bottom End Connection Type]]=""),"-",""))</f>
        <v>-</v>
      </c>
      <c r="AQ6" s="191" t="str">
        <f>IF(OR(Reinforcements[[#This Row],[Bottom End Connection Type]]="Bolted",Reinforcements[[#This Row],[Bottom Transverse (Horizontal) Weld]]="none"),"-","")</f>
        <v>-</v>
      </c>
      <c r="AR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6" s="191" t="str">
        <f>IF(OR(Reinforcements[[#This Row],[Bottom Transverse (Horizontal) Weld]]="none",Reinforcements[[#This Row],[Bottom End Connection Type]]="Bolted"),"-","")</f>
        <v>-</v>
      </c>
      <c r="AU6"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6" s="191" t="str">
        <f>IF(Reinforcements[[#This Row],[Reinforcement]]="","",IF(OR(Reinforcements[[#This Row],[Bottom End Connection Type]]="Bolted",Reinforcements[[#This Row],[Bottom End Connection Type]]=""),"-",""))</f>
        <v>-</v>
      </c>
      <c r="AW6" s="191" t="str">
        <f>IF(Reinforcements[[#This Row],[Reinforcement]]="","",IF(OR(Reinforcements[[#This Row],[Bottom End Connection Type]]&lt;&gt;"Welded",Reinforcements[[#This Row],[Bottom Longitudinal (Vertical) Weld]]="None",Reinforcements[[#This Row],[Bottom Longitudinal (Vertical) Weld]]=""),"-",""))</f>
        <v>-</v>
      </c>
      <c r="AX6" s="191" t="str">
        <f>IF(Reinforcements[[#This Row],[Reinforcement]]="","",IF(OR(Reinforcements[[#This Row],[Bottom End Connection Type]]&lt;&gt;"Welded",Reinforcements[[#This Row],[Bottom Longitudinal (Vertical) Weld]]="None",Reinforcements[[#This Row],[Bottom Longitudinal (Vertical) Weld]]=""),"-",""))</f>
        <v>-</v>
      </c>
      <c r="AY6" s="190" t="str">
        <f>IF(Reinforcements[[#This Row],[Reinforcement]]="","",IF(OR(Reinforcements[[#This Row],[Bottom End Connection Type]]&lt;&gt;"Welded",Reinforcements[[#This Row],[Bottom Longitudinal (Vertical) Weld]]="None"),"-",SQRT(2)/2*Reinforcements[[#This Row],[Bottom Longitudinal Weld Fillet Size (in)]]))</f>
        <v>-</v>
      </c>
      <c r="AZ6" s="190" t="s">
        <v>295</v>
      </c>
      <c r="BA6" s="189" t="str">
        <f>IF(Reinforcements[[#This Row],[Top End Connection Same?]]="Yes",Reinforcements[[#This Row],[Bottom End Connection Type]],"")</f>
        <v>Bolted</v>
      </c>
      <c r="BB6" s="189" t="str">
        <f>IF(Reinforcements[[#This Row],[Reinforcement]]="","",IF(Reinforcements[[#This Row],[Top End Connection Same?]]="Yes",Reinforcements[[#This Row],[Rev. F Bottom Connection Capacity (kips)]],IF(Reinforcements[[#This Row],[Reinforcement]]="","",IF(Reinforcements[[#This Row],[Top End Connection Type]]&lt;&gt;"Capacity Input","-",""))))</f>
        <v>-</v>
      </c>
      <c r="BC6" s="189" t="str">
        <f>IF(Reinforcements[[#This Row],[Reinforcement]]="","",IF(Reinforcements[[#This Row],[Top End Connection Same?]]="Yes",Reinforcements[[#This Row],[Rev. G Bottom Connection Capacity (kips)]],IF(Reinforcements[[#This Row],[Reinforcement]]="","",IF(Reinforcements[[#This Row],[Top End Connection Type]]&lt;&gt;"Capacity Input","-",""))))</f>
        <v>-</v>
      </c>
      <c r="BD6" s="461" t="str">
        <f>IF(Reinforcements[[#This Row],[Reinforcement]]="","",IF(Reinforcements[[#This Row],[Top End Connection Same?]]="Yes",Reinforcements[[#This Row],[Rev. G Bottom Connection Capacity (kips)]],IF(Reinforcements[[#This Row],[Reinforcement]]="","",IF(Reinforcements[[#This Row],[Top End Connection Type]]&lt;&gt;"Capacity Input","-",""))))</f>
        <v>-</v>
      </c>
      <c r="BE6" s="103" t="str">
        <f>IF(Reinforcements[[#This Row],[Top End Connection Same?]]="Yes",Reinforcements[[#This Row],[Bottom End Connection Bolt Type]],IF(Reinforcements[[#This Row],[Top End Connection Type]]="Welded","-",""))</f>
        <v>PC 8.8 - M20 (100)</v>
      </c>
      <c r="BF6" s="190" t="str">
        <f>IF(Reinforcements[[#This Row],[Top End Connection Same?]]="Yes",Reinforcements[[#This Row],[Threads Included (N) or Excluded (X) (Bottom)]],IF(Reinforcements[[#This Row],[Top End Connection Type]]="Welded","-",""))</f>
        <v>N</v>
      </c>
      <c r="BG6" s="190">
        <f>IF(Reinforcements[[#This Row],[Top End Connection Same?]]="Yes",Reinforcements[[#This Row],['# of End Connection Bolts          (Bottom)]],IF(Reinforcements[[#This Row],[Top End Connection Type]]="Welded","-",""))</f>
        <v>12</v>
      </c>
      <c r="BH6" s="190">
        <f>IF(Reinforcements[[#This Row],[Top End Connection Same?]]="Yes",Reinforcements[[#This Row],[End Connection Bolt Spacing (in) (B)]],IF(Reinforcements[[#This Row],[Top End Connection Type]]="Welded","-",""))</f>
        <v>3</v>
      </c>
      <c r="BI6" s="190">
        <f>IF(Reinforcements[[#This Row],[Top End Connection Same?]]="Yes",Reinforcements[[#This Row],[End Connection Edge Distance (in) (B)]],IF(Reinforcements[[#This Row],[Top End Connection Type]]="Welded","-",""))</f>
        <v>2</v>
      </c>
      <c r="BJ6" s="190">
        <f>Reinforcements[[#This Row],[End Connection Edge Distance (in) (T)]]-(Reinforcements[[#This Row],[Bolt Hole Size (in)]]+1/16)/2</f>
        <v>1.375</v>
      </c>
      <c r="BK6" s="190">
        <f>Reinforcements[[#This Row],[End Connection Bolt Spacing (in) (T)]]-(Reinforcements[[#This Row],[Bolt Hole Size (in)]]+1/16)</f>
        <v>1.75</v>
      </c>
      <c r="BL6" s="190">
        <f>Reinforcements[[#This Row],[End Connection Edge Distance (in) (T)]]</f>
        <v>2</v>
      </c>
      <c r="BM6" s="190">
        <f>Reinforcements[[#This Row],[End Connection Bolt Spacing (in) (T)]]</f>
        <v>3</v>
      </c>
      <c r="BN6" s="190" t="str">
        <f>IF(Reinforcements[[#This Row],[Reinforcement]]="","",IF(Reinforcements[[#This Row],[Top End Connection Same?]]="Yes",Reinforcements[[#This Row],[Bottom Connected to Flange/Base Plate?]],IF(Reinforcements[[#This Row],[Top End Connection Type]]="Bolted","-","")))</f>
        <v>-</v>
      </c>
      <c r="BO6" s="190" t="str">
        <f>IF(Reinforcements[[#This Row],[Reinforcement]]="","",IF(Reinforcements[[#This Row],[Top End Connection Same?]]="Yes",Reinforcements[[#This Row],[Bottom Weld Grade (ksi)]],IF(OR(Reinforcements[[#This Row],[Top End Connection Type]]&lt;&gt;"Welded",Reinforcements[[#This Row],[Top End Connection Type]]=""),"-","")))</f>
        <v>-</v>
      </c>
      <c r="BP6" s="190" t="str">
        <f>IF($AZ6="Yes",AP6,IF(Reinforcements[[#This Row],[Reinforcement]]="","",IF(OR(Reinforcements[[#This Row],[Top End Connection Type]]&lt;&gt;"Welded",Reinforcements[[#This Row],[Top End Connection Type]]=""),"-","")))</f>
        <v>-</v>
      </c>
      <c r="BQ6" s="190" t="str">
        <f>IF(Reinforcements[[#This Row],[Reinforcement]]="","",IF($AZ6="Yes",AQ6,IF(OR(Reinforcements[[#This Row],[Top End Connection Type]]&lt;&gt;"Welded",Reinforcements[[#This Row],[Top Transverse (Horizontal) Weld]]="none",Reinforcements[[#This Row],[Top Transverse (Horizontal) Weld]]=""),"-","")))</f>
        <v>-</v>
      </c>
      <c r="BR6" s="190" t="str">
        <f>IF($AZ6="Yes",AR6,IF(Reinforcements[[#This Row],[Reinforcement]]="","",IF(OR(Reinforcements[[#This Row],[Top Transverse (Horizontal) Weld]]="none",Reinforcements[[#This Row],[Top End Connection Type]]&lt;&gt;"Welded",Reinforcements[[#This Row],[Top Transverse (Horizontal) Weld]]="",Reinforcements[[#This Row],[Top Transverse (Horizontal) Weld]]="Fillet"),"-","")))</f>
        <v>-</v>
      </c>
      <c r="BS6" s="190" t="str">
        <f>IF($AZ6="Yes",AS6,IF(Reinforcements[[#This Row],[Reinforcement]]="","",IF(OR(Reinforcements[[#This Row],[Top Transverse (Horizontal) Weld]]="none",Reinforcements[[#This Row],[Top End Connection Type]]&lt;&gt;"Welded",Reinforcements[[#This Row],[Top Transverse (Horizontal) Weld]]="",Reinforcements[[#This Row],[Top Transverse (Horizontal) Weld]]="Fillet"),"-","")))</f>
        <v>-</v>
      </c>
      <c r="BT6" s="190" t="str">
        <f>IF(Reinforcements[[#This Row],[Reinforcement]]="","",IF($AZ6="Yes",AT6,IF(OR(Reinforcements[[#This Row],[Top Transverse (Horizontal) Weld]]="none",Reinforcements[[#This Row],[Top End Connection Type]]&lt;&gt;"Welded",Reinforcements[[#This Row],[Top Transverse (Horizontal) Weld]]=""),"-","")))</f>
        <v>-</v>
      </c>
      <c r="BU6" s="190" t="str">
        <f>IF($AZ6="Yes",AU6,IF(Reinforcements[[#This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6" s="190" t="str">
        <f>IF($AZ6="Yes",AV6,IF(Reinforcements[[#This Row],[Reinforcement]]="","",IF(OR(Reinforcements[[#This Row],[Top End Connection Type]]&lt;&gt;"Welded",Reinforcements[[#This Row],[Top End Connection Type]]=""),"-","")))</f>
        <v>-</v>
      </c>
      <c r="BW6" s="190" t="str">
        <f>IF($AZ6="Yes",AW6,IF(Reinforcements[[#This Row],[Reinforcement]]="","",IF(OR(Reinforcements[[#This Row],[Top End Connection Type]]&lt;&gt;"Welded",Reinforcements[[#This Row],[Top End Connection Type]]="",Reinforcements[[#This Row],[Top Longitudinal (Vertical) Weld]]="",Reinforcements[[#This Row],[Top Longitudinal (Vertical) Weld]]="None"),"-","")))</f>
        <v>-</v>
      </c>
      <c r="BX6" s="190" t="str">
        <f>IF($AZ6="Yes",AX6,IF(Reinforcements[[#This Row],[Reinforcement]]="","",IF(OR(Reinforcements[[#This Row],[Top End Connection Type]]&lt;&gt;"Welded",Reinforcements[[#This Row],[Top End Connection Type]]="",Reinforcements[[#This Row],[Top Longitudinal (Vertical) Weld]]="",Reinforcements[[#This Row],[Top Longitudinal (Vertical) Weld]]="None"),"-","")))</f>
        <v>-</v>
      </c>
      <c r="BY6" s="190" t="str">
        <f>IF($AZ6="Yes",AY6,IF(Reinforcements[[#This Row],[Reinforcement]]="","",IF(OR(Reinforcements[[#This Row],[Top End Connection Type]]&lt;&gt;"Welded",Reinforcements[[#This Row],[Top Longitudinal (Vertical) Weld]]="none"),"-",SQRT(2)/2*Reinforcements[[#This Row],[Top Longitudinal Weld Fillet Size (in)]])))</f>
        <v>-</v>
      </c>
      <c r="BZ6"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6" s="192">
        <f>IF(Reinforcements[[#This Row],[Reinforcement]]="","",IF(Reinforcements[[#This Row],[Bottom End Connection Type]]&lt;&gt;"Bolted","n/a",(Reinforcements[[#This Row],['# of End Connection Bolts          (Bottom)]]-1)*Reinforcements[[#This Row],[End Connection Bolt Spacing (in) (B)]]+Reinforcements[[#This Row],[End Connection Edge Distance (in) (B)]]))</f>
        <v>35</v>
      </c>
      <c r="CB6" s="192">
        <f>IF(Reinforcements[[#This Row],[Reinforcement]]="","",IF(Reinforcements[[#This Row],[Top End Connection Type]]&lt;&gt;"Bolted","n/a",(Reinforcements[[#This Row],['# of End Connection Bolts          (Top)]]-1)*Reinforcements[[#This Row],[End Connection Bolt Spacing (in) (T)]]+Reinforcements[[#This Row],[End Connection Edge Distance (in) (T)]]))</f>
        <v>35</v>
      </c>
      <c r="CC6"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6"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6" s="188">
        <f>IFERROR(IF(Reinforcements[[#This Row],[Type]]="","",Reinforcements[[#This Row],[Effective B (in)]]*Reinforcements[[#This Row],[Effective H (in)]]^3/12),"")</f>
        <v>0.5</v>
      </c>
      <c r="CF6" s="188">
        <f>IFERROR(IF(Reinforcements[[#This Row],[Type]]="","",Reinforcements[[#This Row],[Effective B (in)]]^3*Reinforcements[[#This Row],[Effective H (in)]]/12),"")</f>
        <v>18</v>
      </c>
      <c r="CG6" s="196">
        <f>SQRT(2*PI()^2*29000/VLOOKUP(Reinforcements[[#This Row],[Material]],Materials[],2,FALSE))</f>
        <v>75.659570132481107</v>
      </c>
      <c r="CH6"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43.108940996804918</v>
      </c>
      <c r="CI6"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57.817033812829578</v>
      </c>
      <c r="CJ6" s="195">
        <f>Reinforcements[[#This Row],[Effective Length Factor Kx]]*Reinforcements[[#This Row],[Lu (in)]]/(Reinforcements[[#This Row],[rx]]*PI())*SQRT(VLOOKUP(Reinforcements[[#This Row],[Material]],Materials[],2,FALSE)/29000)</f>
        <v>0.88060401198472382</v>
      </c>
      <c r="CK6" s="195">
        <f>Reinforcements[[#This Row],[Effective Length Factor Ky]]*Reinforcements[[#This Row],[Lu (in)]]/(Reinforcements[[#This Row],[ry]]*PI())*SQRT(VLOOKUP(Reinforcements[[#This Row],[Material]],Materials[],2,FALSE)/29000)</f>
        <v>0.18345916916348412</v>
      </c>
      <c r="CL6" s="195">
        <f>IF(Reinforcements[[#This Row],[λcx]]&lt;=1.5,0.658^(Reinforcements[[#This Row],[λcx]]^2)*Reinforcements[[#This Row],[F''y]],0.877/(Reinforcements[[#This Row],[λcx]]^2)*Reinforcements[[#This Row],[F''y]])</f>
        <v>72.283775553953305</v>
      </c>
      <c r="CM6" s="195">
        <f>IF(Reinforcements[[#This Row],[λcy]]&lt;=1.5,0.658^(Reinforcements[[#This Row],[λcy]]^2)*Reinforcements[[#This Row],[F''y]],0.877/(Reinforcements[[#This Row],[λcy]]^2)*Reinforcements[[#This Row],[F''y]])</f>
        <v>98.601150045559365</v>
      </c>
      <c r="CN6" s="188">
        <f>VLOOKUP(Reinforcements[[#This Row],[Material]],Materials[],2,FALSE)</f>
        <v>100</v>
      </c>
      <c r="CO6" s="196">
        <f>IF(Reinforcements[[#This Row],[Reinforcement]]="","",Reinforcements[[#This Row],[Fax]]*Reinforcements[[#This Row],[Gross Area (in2)]])</f>
        <v>258.65364598082954</v>
      </c>
      <c r="CP6" s="196">
        <f>IF(Reinforcements[[#This Row],[Reinforcement]]="","",Reinforcements[[#This Row],[Fay]]*Reinforcements[[#This Row],[Gross Area (in2)]])</f>
        <v>346.90220287697747</v>
      </c>
      <c r="CQ6" s="196">
        <f>IF(Reinforcements[[#This Row],[Reinforcement]]="","",0.6*VLOOKUP(Reinforcements[[#This Row],[Material]],Materials[],2,FALSE)*Reinforcements[[#This Row],[Gross Area (in2)]])</f>
        <v>360</v>
      </c>
      <c r="CR6" s="196">
        <f>IF(Reinforcements[[#This Row],[Reinforcement]]="","",0.5*VLOOKUP(Reinforcements[[#This Row],[Material]],Materials[],3,FALSE)*Reinforcements[[#This Row],[Net Area (in2)]]*Reinforcements[[#This Row],[Shear Lag (U)]])</f>
        <v>261.25</v>
      </c>
      <c r="CS6" s="196">
        <f>IF(Reinforcements[[#This Row],[Reinforcement]]="","",0.4*VLOOKUP(Reinforcements[[#This Row],[Material]],Materials[],2,FALSE)*Reinforcements[[#This Row],[Gross Area (in2)]])</f>
        <v>240</v>
      </c>
      <c r="CT6"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279.42758014595961</v>
      </c>
      <c r="CU6"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279.42758014595961</v>
      </c>
      <c r="CV6"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16.440944881889763</v>
      </c>
      <c r="CW6"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18.212598425196852</v>
      </c>
      <c r="CX6"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16.440944881889763</v>
      </c>
      <c r="CY6"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18.212598425196852</v>
      </c>
      <c r="CZ6"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1808.5039370078741</v>
      </c>
      <c r="DA6"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2003.3858267716535</v>
      </c>
      <c r="DB6"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1808.5039370078741</v>
      </c>
      <c r="DC6"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2003.3858267716535</v>
      </c>
      <c r="DD6"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6"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6" s="190" t="str">
        <f>IF($AZ6="Yes",DD6,IF(Reinforcements[[#This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6" s="190" t="str">
        <f>IF($AZ6="Yes",DE6,IF(Reinforcements[[#This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6" s="196">
        <f>IF(Reinforcements[[#This Row],[Reinforcement]]="","",φ_c*Reinforcements[[#This Row],[Fcr,x]]*Reinforcements[[#This Row],[Gross Area (in2)]])</f>
        <v>390.3323879913479</v>
      </c>
      <c r="DI6" s="196">
        <f>IF(Reinforcements[[#This Row],[Reinforcement]]="","",φ_c*Reinforcements[[#This Row],[Fcr,y]]*Reinforcements[[#This Row],[Gross Area (in2)]])</f>
        <v>532.44621024602054</v>
      </c>
      <c r="DJ6" s="196">
        <f>IF(Reinforcements[[#This Row],[Reinforcement]]="","",φ_t_y*VLOOKUP(Reinforcements[[#This Row],[Material]],Materials[],2,FALSE)*Reinforcements[[#This Row],[Gross Area (in2)]])</f>
        <v>540</v>
      </c>
      <c r="DK6" s="197">
        <f>IF(Reinforcements[[#This Row],[Reinforcement]]="","",φ_t_r*VLOOKUP(Reinforcements[[#This Row],[Material]],Materials[],3,FALSE)*Reinforcements[[#This Row],[Net Area (in2)]]*Reinforcements[[#This Row],[Shear Lag (U)]])</f>
        <v>391.875</v>
      </c>
      <c r="DL6" s="197">
        <f>IF(Reinforcements[[#This Row],[Reinforcement]]="","",φ_v*0.5*Reinforcements[[#This Row],[F''y]]*Reinforcements[[#This Row],[Gross Area (in2)]])</f>
        <v>270</v>
      </c>
      <c r="DM6"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495.23924527201996</v>
      </c>
      <c r="DN6"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495.23924527201996</v>
      </c>
      <c r="DO6"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23.686299212598424</v>
      </c>
      <c r="DP6"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29.607874015748038</v>
      </c>
      <c r="DQ6"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23.686299212598424</v>
      </c>
      <c r="DR6"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29.607874015748038</v>
      </c>
      <c r="DS6"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2539.7007874015749</v>
      </c>
      <c r="DT6"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3174.6259842519685</v>
      </c>
      <c r="DU6"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2539.7007874015749</v>
      </c>
      <c r="DV6"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3174.6259842519685</v>
      </c>
      <c r="DW6"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6"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6" s="190" t="str">
        <f>IF($AZ6="Yes",DW6,IF(Reinforcements[[#This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6" s="190" t="str">
        <f>IF($AZ6="Yes",DX6,IF(Reinforcements[[#This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6" s="241" t="str">
        <f>IF(OR(Reinforcements[[#This Row],[Type]]="plate",Reinforcements[[#This Row],[Type]]="solid round"),"N/A",Reinforcements[[#This Row],[B (in)]])</f>
        <v>N/A</v>
      </c>
      <c r="EB6" s="237" t="str">
        <f>IF(OR(Reinforcements[[#This Row],[Type]]="plate",Reinforcements[[#This Row],[Type]]="solid round"),"N/A",Reinforcements[[#This Row],[H (in)]])</f>
        <v>N/A</v>
      </c>
      <c r="EC6" s="237" t="str">
        <f>IF(OR(Reinforcements[[#This Row],[Type]]="plate",Reinforcements[[#This Row],[Type]]="solid round"),"N/A",Reinforcements[[#This Row],[B (in)]]-Reinforcements[[#This Row],['[Channel'] Flange Thickness (in)]])</f>
        <v>N/A</v>
      </c>
      <c r="ED6" s="237" t="str">
        <f>IF(OR(Reinforcements[[#This Row],[Type]]="plate",Reinforcements[[#This Row],[Type]]="solid round"),"N/A",Reinforcements[[#This Row],['[Channel']Web Thickness (in)]])</f>
        <v>N/A</v>
      </c>
      <c r="EE6" s="237" t="str">
        <f>IF(OR(Reinforcements[[#This Row],[Type]]="plate",Reinforcements[[#This Row],[Type]]="solid round"),"N/A",Reinforcements[[#This Row],['[Channel'] Flange Thickness (in)]])</f>
        <v>N/A</v>
      </c>
      <c r="EF6" s="237" t="str">
        <f>IF(Reinforcements[[#This Row],[Type]]="channel",Reinforcements[[#This Row],[Channel Flange Width, b]]/Reinforcements[[#This Row],[Channel flange thickness, tf]],"N/A")</f>
        <v>N/A</v>
      </c>
      <c r="EG6" s="237" t="str">
        <f>IF(Reinforcements[[#This Row],[Type]]="channel",Reinforcements[[#This Row],[Channel inside depth, T]]/Reinforcements[[#This Row],[Channel web thickness, tw]],"N/A")</f>
        <v>N/A</v>
      </c>
      <c r="EH6" s="237">
        <v>29000</v>
      </c>
      <c r="EI6" s="237" t="str">
        <f>IF(Reinforcements[[#This Row],[Type]]="channel",0.56*SQRT(Reinforcements[[#This Row],[E, (ksi)]]/Reinforcements[[#This Row],[Fy, (ksi)]]),"N/A")</f>
        <v>N/A</v>
      </c>
      <c r="EJ6" s="237" t="str">
        <f>IF(Reinforcements[[#This Row],[Type]]="channel",1.49*SQRT(Reinforcements[[#This Row],[E, (ksi)]]/Reinforcements[[#This Row],[Fy, (ksi)]]),"N/A")</f>
        <v>N/A</v>
      </c>
      <c r="EK6" s="237">
        <f>VLOOKUP(Reinforcements[[#This Row],[Material]],Materials!$B$2:$C$30,2,FALSE)</f>
        <v>100</v>
      </c>
      <c r="EL6" s="237">
        <f>Reinforcements[[#This Row],[Lu (in)]]*Reinforcements[[#This Row],[Effective Length Factor Kx]]</f>
        <v>13.600000000000001</v>
      </c>
      <c r="EM6" s="237">
        <f>Reinforcements[[#This Row],[Lu (in)]]*Reinforcements[[#This Row],[Effective Length Factor Ky]]</f>
        <v>17</v>
      </c>
      <c r="EN6" s="237">
        <f>Reinforcements[[#This Row],[rx]]</f>
        <v>0.28867513459481287</v>
      </c>
      <c r="EO6" s="237">
        <f>Reinforcements[[#This Row],[ry]]</f>
        <v>1.7320508075688772</v>
      </c>
      <c r="EP6" s="237">
        <f>Reinforcements[[#This Row],[Lcx (in)]]/Reinforcements[[#This Row],[rx (in)]]</f>
        <v>47.111781965873469</v>
      </c>
      <c r="EQ6" s="237">
        <f>Reinforcements[[#This Row],[Lcy (in)]]/Reinforcements[[#This Row],[ry (in)]]</f>
        <v>9.8149545762236379</v>
      </c>
      <c r="ER6" s="237">
        <f>((PI()^2)*Reinforcements[[#This Row],[E, (ksi)]])/(Reinforcements[[#This Row],[Lcx/rx]]^2)</f>
        <v>128.95514689283777</v>
      </c>
      <c r="ES6" s="237">
        <f>((PI()^2)*Reinforcements[[#This Row],[E, (ksi)]])/(Reinforcements[[#This Row],[Lcy/ry]]^2)</f>
        <v>2971.126584410983</v>
      </c>
      <c r="ET6" s="237">
        <f>4.71*(SQRT(Reinforcements[[#This Row],[E, (ksi)]]/Reinforcements[[#This Row],[Fy, (ksi)]]))</f>
        <v>80.20840978351336</v>
      </c>
      <c r="EU6" s="237">
        <f>IF(Reinforcements[[#This Row],[Lcx/rx]]&lt;=Reinforcements[[#This Row],[Fcr Limit]],(0.658^(Reinforcements[[#This Row],[Fy, (ksi)]]/Reinforcements[[#This Row],[Fex, FB (ksi)]]))*Reinforcements[[#This Row],[Fy, (ksi)]],0.877*Reinforcements[[#This Row],[Fex, FB (ksi)]])</f>
        <v>72.283775553953305</v>
      </c>
      <c r="EV6" s="237">
        <f>IF(Reinforcements[[#This Row],[Lcy/ry]]&lt;=Reinforcements[[#This Row],[Fcr Limit]],(0.658^(Reinforcements[[#This Row],[Fy, (ksi)]]/Reinforcements[[#This Row],[Fey, FB (ksi)]]))*Reinforcements[[#This Row],[Fy, (ksi)]],0.877*Reinforcements[[#This Row],[Fey, FB (ksi)]])</f>
        <v>98.601150045559365</v>
      </c>
      <c r="EW6" s="237">
        <f>Reinforcements[[#This Row],[Fcrx (ksi)]]*Reinforcements[[#This Row],[Gross Area (in2)]]</f>
        <v>433.7026533237198</v>
      </c>
      <c r="EX6" s="237">
        <f>Reinforcements[[#This Row],[Fcry (ksi)]]*Reinforcements[[#This Row],[Gross Area (in2)]]</f>
        <v>591.60690027335613</v>
      </c>
      <c r="EY6" s="237" t="str">
        <f>IF(Reinforcements[[#This Row],[Type]]="channel",0,"N/A")</f>
        <v>N/A</v>
      </c>
      <c r="EZ6" s="237" t="str">
        <f>IF(Reinforcements[[#This Row],[Type]]="channel",Reinforcements[[#This Row],[Channel Flange Width, b]]-(0.5*Reinforcements[[#This Row],[Channel web thickness, tw]]),"N/A")</f>
        <v>N/A</v>
      </c>
      <c r="FA6" s="237" t="str">
        <f>IF(Reinforcements[[#This Row],[Type]]="channel",Reinforcements[[#This Row],[Channel Height, h]]-Reinforcements[[#This Row],[Channel flange thickness, tf]],"N/A")</f>
        <v>N/A</v>
      </c>
      <c r="FB6" s="237" t="str">
        <f>IF(Reinforcements[[#This Row],[Type]]="channel",Reinforcements[[#This Row],[Channel web thickness, tw]],"N/A")</f>
        <v>N/A</v>
      </c>
      <c r="FC6" s="237" t="str">
        <f>IF(Reinforcements[[#This Row],[Type]]="channel",((3*Reinforcements[[#This Row],[b]]^2)/(Reinforcements[[#This Row],[h]]+(6*Reinforcements[[#This Row],[b]])))-Reinforcements[[#This Row],[t]]/2,"N/A")</f>
        <v>N/A</v>
      </c>
      <c r="FD6" s="237">
        <f>Reinforcements[[#This Row],[Pole Face to Centroid (in)]]</f>
        <v>0.5</v>
      </c>
      <c r="FE6" s="237" t="str">
        <f>IF(Reinforcements[[#This Row],[Type]]="channel",Reinforcements[[#This Row],[x(bar)]]+Reinforcements[[#This Row],['[Channel'] e0 (in)]],"N/A")</f>
        <v>N/A</v>
      </c>
      <c r="FF6" s="237" t="str">
        <f>IF(Reinforcements[[#This Row],[Type]]="channel",Reinforcements[[#This Row],[Ix]],"N/A")</f>
        <v>N/A</v>
      </c>
      <c r="FG6" s="237" t="str">
        <f>IF(Reinforcements[[#This Row],[Type]]="channel",Reinforcements[[#This Row],[Iy]],"N/A")</f>
        <v>N/A</v>
      </c>
      <c r="FH6" s="237" t="str">
        <f>IF(Reinforcements[[#This Row],[Type]]="channel",Reinforcements[[#This Row],[Gross Area (in2)]],"N/A")</f>
        <v>N/A</v>
      </c>
      <c r="FI6" s="237" t="str">
        <f>IF(Reinforcements[[#This Row],[Type]]="channel",(Reinforcements[[#This Row],[xo]]^2)+((Reinforcements[[#This Row],[Ix (FTB)]]+Reinforcements[[#This Row],[Iy (FTB)]])/Reinforcements[[#This Row],[Ag]]),"N/A")</f>
        <v>N/A</v>
      </c>
      <c r="FJ6" s="237" t="str">
        <f>IF(Reinforcements[[#This Row],[Type]]="channel",Reinforcements[[#This Row],[Lu (in)]],"N/A")</f>
        <v>N/A</v>
      </c>
      <c r="FK6" s="237" t="str">
        <f>IF(Reinforcements[[#This Row],[Type]]="channel",Reinforcements[[#This Row],[Effective Length Factor Kx]],"N/A")</f>
        <v>N/A</v>
      </c>
      <c r="FL6" s="237" t="str">
        <f>IF(Reinforcements[[#This Row],[Type]]="channel",Reinforcements[[#This Row],[Kz]]*Reinforcements[[#This Row],[Lz]],"N/A")</f>
        <v>N/A</v>
      </c>
      <c r="FM6" s="237" t="str">
        <f>IF(Reinforcements[[#This Row],[Type]]="channel",(((Reinforcements[[#This Row],[t]]^3)/3)*(Reinforcements[[#This Row],[h]]+(2*Reinforcements[[#This Row],[b]]))),"N/A")</f>
        <v>N/A</v>
      </c>
      <c r="FN6" s="237" t="str">
        <f>IF(Reinforcements[[#This Row],[Type]]="channel",(1-(((Reinforcements[[#This Row],[xo]]^2)+(Reinforcements[[#This Row],[yo]]^2))/Reinforcements[[#This Row],[ro^2(bar)]])),"N/A")</f>
        <v>N/A</v>
      </c>
      <c r="FO6" s="237">
        <v>11200</v>
      </c>
      <c r="FP6" s="237" t="str">
        <f>IF(Reinforcements[[#This Row],[Type]]="channel",(((Reinforcements[[#This Row],[h]]^2)*(Reinforcements[[#This Row],[b]]^3)*Reinforcements[[#This Row],[t]])/12)*(((2*Reinforcements[[#This Row],[h]])+(3*Reinforcements[[#This Row],[b]]))/(Reinforcements[[#This Row],[h]]+(6*Reinforcements[[#This Row],[b]]))),"N/A")</f>
        <v>N/A</v>
      </c>
      <c r="FQ6" s="237" t="str">
        <f>IF(Reinforcements[[#This Row],[Type]]="Channel",((((PI()^2)*Reinforcements[[#This Row],[E, (ksi)]]*Reinforcements[[#This Row],['[Channel'] CW (in6)]])/(Reinforcements[[#This Row],[Lcz]]^2))+(Reinforcements[[#This Row],[G]]*Reinforcements[[#This Row],['[Channel'] J (in4)]]))*(1/(Reinforcements[[#This Row],[Ag]]*Reinforcements[[#This Row],[ro^2(bar)]])),"N/A")</f>
        <v>N/A</v>
      </c>
      <c r="FR6" s="237" t="str">
        <f>IF(Reinforcements[[#This Row],[Type]]="channel",((PI()^2)*Reinforcements[[#This Row],[E, (ksi)]])/(Reinforcements[[#This Row],[Lcy/ry]]^2),"N/A")</f>
        <v>N/A</v>
      </c>
      <c r="FS6" s="237" t="str">
        <f>IF(Reinforcements[[#This Row],[Type]]="channel",((Reinforcements[[#This Row],[Fey]]+Reinforcements[[#This Row],[Fez]])/(2*Reinforcements[[#This Row],[H2]]))*(1-SQRT(1-((4*Reinforcements[[#This Row],[Fey]]*Reinforcements[[#This Row],[Fez]]*Reinforcements[[#This Row],[H2]])/(Reinforcements[[#This Row],[Fey]]+Reinforcements[[#This Row],[Fez]])^2))),"N/A")</f>
        <v>N/A</v>
      </c>
      <c r="FT6" s="237" t="str">
        <f>IF(Reinforcements[[#This Row],[Type]]="channel",IF(Reinforcements[[#This Row],[Lcx/rx]]&gt;(4.71*SQRT(Reinforcements[[#This Row],[E, (ksi)]]/Reinforcements[[#This Row],[Fy, (ksi)]])),0.877*Reinforcements[[#This Row],[Fe (FTB)]],0.658^(Reinforcements[[#This Row],[Fy, (ksi)]]/Reinforcements[[#This Row],[Fe (FTB)]])*Reinforcements[[#This Row],[Fy, (ksi)]]),"N/A")</f>
        <v>N/A</v>
      </c>
      <c r="FU6" s="237" t="str">
        <f>IF(Reinforcements[[#This Row],[Type]]="channel",MIN(Reinforcements[[#This Row],[Fcr(FTB)]],Reinforcements[[#This Row],[Fcry (ksi)]]),"N/A")</f>
        <v>N/A</v>
      </c>
      <c r="FV6" s="237">
        <v>0.22</v>
      </c>
      <c r="FW6" s="237">
        <v>1.49</v>
      </c>
      <c r="FX6" s="237" t="str">
        <f>IF(Reinforcements[[#This Row],[Type]]="channel",((Reinforcements[[#This Row],[c2]]*(Reinforcements[[#This Row],[λrf]]/Reinforcements[[#This Row],[λf]]))^2)*Reinforcements[[#This Row],[Fy, (ksi)]],"N/A")</f>
        <v>N/A</v>
      </c>
      <c r="FY6" s="237" t="str">
        <f>IF(Reinforcements[[#This Row],[Type]]="channel",((Reinforcements[[#This Row],[c2]]*(Reinforcements[[#This Row],[λrw]]/Reinforcements[[#This Row],[λw]]))^2)*Reinforcements[[#This Row],[Fy, (ksi)]],"N/A")</f>
        <v>N/A</v>
      </c>
      <c r="FZ6"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 s="237" t="str">
        <f>IF(Reinforcements[[#This Row],[Type]]="channel",Reinforcements[[#This Row],[Fcr]]*Reinforcements[[#This Row],[Ae]],"N/A")</f>
        <v>N/A</v>
      </c>
      <c r="GD6" s="466">
        <f>IF(Reinforcements[[#This Row],[Reinforcement]]="","",φ_c*Reinforcements[[#This Row],[Pnx, FB (kip)]])</f>
        <v>390.33238799134784</v>
      </c>
      <c r="GE6" s="466">
        <f>IF(Reinforcements[[#This Row],[Reinforcement]]="","",IF(Reinforcements[[#This Row],[Type]]="channel",φ_c*Reinforcements[[#This Row],[Pn]],φ_c*Reinforcements[[#This Row],[Pny, FB (kip)]]))</f>
        <v>532.44621024602054</v>
      </c>
      <c r="GF6" s="466">
        <f>Reinforcements[[#This Row],[Rev. G Tension Yield Capacity (kips)]]</f>
        <v>540</v>
      </c>
      <c r="GG6" s="466">
        <f>Reinforcements[[#This Row],[Rev. G Tension Rupture Capacity (kips)]]</f>
        <v>391.875</v>
      </c>
      <c r="GH6" s="466">
        <f>Reinforcements[[#This Row],[Rev. G Shear Capacity (kips)]]</f>
        <v>270</v>
      </c>
      <c r="GI6" s="466">
        <f>IFERROR((Reinforcements[[#This Row],['# of End Connection Bolts          (Bottom)]]-1)*Reinforcements[[#This Row],[End Connection Bolt Spacing (in) (B)]],"-")</f>
        <v>33</v>
      </c>
      <c r="GJ6" s="466">
        <f>IFERROR(IF(VLOOKUP(Reinforcements[[#This Row],[Bottom End Connection Bolt Type]],Bolts[],COLUMN(Bolts[[#Headers],[Rev. H Apply Connection Length Reduction Factor (Rb)?]])-1,FALSE)="Yes",(IF(Reinforcements[[#This Row],[Lb(bottom)]]&lt;=16,1,IF(Reinforcements[[#This Row],[Lb(bottom)]]&gt;38,0.75,0.9))),1),"-")</f>
        <v>1</v>
      </c>
      <c r="GK6"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556.79569164981524</v>
      </c>
      <c r="GL6" s="466">
        <f>IFERROR(IF(Reinforcements[[#This Row],[Top End Connection Same?]]="Yes",Reinforcements[[#This Row],[Lb(bottom)]],(Reinforcements[[#This Row],['# of End Connection Bolts          (Top)]]-1)*Reinforcements[[#This Row],[End Connection Bolt Spacing (in) (T)]]),"-")</f>
        <v>33</v>
      </c>
      <c r="GM6" s="466">
        <f>IFERROR(IF(VLOOKUP(Reinforcements[[#This Row],[Top End Connection Bolt Type]],Bolts[],COLUMN(Bolts[[#Headers],[Rev. H Apply Connection Length Reduction Factor (Rb)?]])-1,FALSE)="Yes",(IF(Reinforcements[[#This Row],[Lb(top)]]&lt;=16,1,IF(Reinforcements[[#This Row],[Lb(top)]]&gt;38,0.75,0.9))),1),"-")</f>
        <v>1</v>
      </c>
      <c r="GN6"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556.79569164981524</v>
      </c>
      <c r="GO6" s="466">
        <f>Reinforcements[[#This Row],[Rev. G Bolt-Shaft Bearing Capacity (Bottom)                No Deformation          (*t*Fu kips)]]</f>
        <v>23.686299212598424</v>
      </c>
      <c r="GP6" s="466">
        <f>Reinforcements[[#This Row],[Rev. G Bolt-Shaft Bearing Capacity (Bottom)                   Deformation          (*t*Fu kips)]]</f>
        <v>29.607874015748038</v>
      </c>
      <c r="GQ6" s="466">
        <f>Reinforcements[[#This Row],[Rev. G Bolt-Shaft Bearing Capacity (Top)                    No Deformation          (*t*Fu kips)]]</f>
        <v>23.686299212598424</v>
      </c>
      <c r="GR6" s="466">
        <f>Reinforcements[[#This Row],[Rev. G Bolt-Shaft Bearing Capacity (Top)                        Deformation          (*t*Fu kips)]]</f>
        <v>29.607874015748038</v>
      </c>
      <c r="GS6" s="466">
        <f>Reinforcements[[#This Row],[Rev. G Bolt-Reinf. Bearing Capacity (Bottom)            No Deformation (kips)]]</f>
        <v>2539.7007874015749</v>
      </c>
      <c r="GT6" s="466">
        <f>Reinforcements[[#This Row],[Rev. G Bolt-Reinf. Bearing Capacity (Bottom)               Deformation (kips)]]</f>
        <v>3174.6259842519685</v>
      </c>
      <c r="GU6" s="466">
        <f>Reinforcements[[#This Row],[Rev. G Bolt-Reinf. Bearing Capacity (Top)                  No Deformation (kips)]]</f>
        <v>2539.7007874015749</v>
      </c>
      <c r="GV6" s="466">
        <f>Reinforcements[[#This Row],[Rev. G Bolt-Reinf. Bearing Capacity (Top)               Deformation (kips)]]</f>
        <v>3174.6259842519685</v>
      </c>
      <c r="GW6" s="466" t="str">
        <f>Reinforcements[[#This Row],[Rev. G Bottom Transverse Weld Strength]]</f>
        <v>-</v>
      </c>
      <c r="GX6" s="466" t="str">
        <f>Reinforcements[[#This Row],[Rev. G Bottom Longitudinal Weld Strength]]</f>
        <v>-</v>
      </c>
      <c r="GY6" s="466" t="str">
        <f>Reinforcements[[#This Row],[Rev. G Top Transverse Weld Strength]]</f>
        <v>-</v>
      </c>
      <c r="GZ6" s="466" t="str">
        <f>Reinforcements[[#This Row],[Rev. G Top Longitudinal Weld Strength]]</f>
        <v>-</v>
      </c>
      <c r="HA6" s="552">
        <v>4</v>
      </c>
      <c r="HB6"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7" spans="2:210" x14ac:dyDescent="0.2">
      <c r="B7" s="72" t="s">
        <v>215</v>
      </c>
      <c r="C7" s="72" t="s">
        <v>146</v>
      </c>
      <c r="D7" s="185">
        <v>7</v>
      </c>
      <c r="E7" s="185">
        <v>1</v>
      </c>
      <c r="F7" s="185" t="str">
        <f>IF(Reinforcements[[#This Row],[Type]]="","",IF(Reinforcements[[#This Row],[Type]]="solid round","","n/a"))</f>
        <v>n/a</v>
      </c>
      <c r="G7" s="185" t="str">
        <f>IF(Reinforcements[[#This Row],[Type]]="","",IF(Reinforcements[[#This Row],[Type]]&lt;&gt;"channel","n/a",""))</f>
        <v>n/a</v>
      </c>
      <c r="H7" s="185" t="str">
        <f>IF(Reinforcements[[#This Row],[Type]]="","",IF(Reinforcements[[#This Row],[Type]]&lt;&gt;"channel","n/a",""))</f>
        <v>n/a</v>
      </c>
      <c r="I7" s="197" t="str">
        <f>IF(Reinforcements[[#This Row],[Type]]="","",IF(Reinforcements[[#This Row],[Type]]&lt;&gt;"channel","n/a",Reinforcements[[#This Row],[eo]]))</f>
        <v>n/a</v>
      </c>
      <c r="J7" s="197" t="str">
        <f>IF(Reinforcements[[#This Row],[Type]]="","",IF(Reinforcements[[#This Row],[Type]]&lt;&gt;"channel","n/a",Reinforcements[[#This Row],[J]]))</f>
        <v>n/a</v>
      </c>
      <c r="K7" s="197" t="str">
        <f>IF(Reinforcements[[#This Row],[Type]]="","",IF(Reinforcements[[#This Row],[Type]]&lt;&gt;"channel","n/a",Reinforcements[[#This Row],[Cw]]))</f>
        <v>n/a</v>
      </c>
      <c r="L7" s="185">
        <f>IFERROR(IF(Reinforcements[[#This Row],[Type]]="","",IF(Reinforcements[[#This Row],[Type]]="plate",Reinforcements[[#This Row],[B (in)]]*Reinforcements[[#This Row],[H (in)]],IF(Reinforcements[[#This Row],[Type]]="solid round",PI()/4*Reinforcements[[#This Row],[Diameter (in)]]^2,""))),"")</f>
        <v>7</v>
      </c>
      <c r="M7" s="185">
        <f>IFERROR(IF(Reinforcements[[#This Row],[Type]]="","",IF(Reinforcements[[#This Row],[Type]]="plate",Reinforcements[[#This Row],[H (in)]]/2,"")),"")</f>
        <v>0.5</v>
      </c>
      <c r="N7" s="186" t="s">
        <v>297</v>
      </c>
      <c r="O7" s="185" t="s">
        <v>153</v>
      </c>
      <c r="P7" s="187">
        <f>IFERROR(IF(Reinforcements[[#This Row],[Type]]="","",IF(Reinforcements[[#This Row],[Type]]="plate",Reinforcements[[#This Row],[B (in)]]*Reinforcements[[#This Row],[H (in)]]^3/12,IF(Reinforcements[[#This Row],[Type]]="solid round",PI()/64*Reinforcements[[#This Row],[Diameter (in)]]^4,""))),"")</f>
        <v>0.58333333333333337</v>
      </c>
      <c r="Q7" s="187">
        <f>IF(Reinforcements[[#This Row],[Reinforcement]]="","",SQRT(Reinforcements[[#This Row],[Ix]]/Reinforcements[[#This Row],[Gross Area (in2)]]))</f>
        <v>0.28867513459481292</v>
      </c>
      <c r="R7" s="187">
        <f>IFERROR(IF(Reinforcements[[#This Row],[Type]]="","",IF(Reinforcements[[#This Row],[Type]]="plate",Reinforcements[[#This Row],[B (in)]]^3*Reinforcements[[#This Row],[H (in)]]/12,IF(Reinforcements[[#This Row],[Type]]="solid round",PI()/64*Reinforcements[[#This Row],[Diameter (in)]]^4,""))),"")</f>
        <v>28.583333333333332</v>
      </c>
      <c r="S7" s="187">
        <f>IF(Reinforcements[[#This Row],[Reinforcement]]="","",SQRT(Reinforcements[[#This Row],[Iy]]/Reinforcements[[#This Row],[Gross Area (in2)]]))</f>
        <v>2.0207259421636903</v>
      </c>
      <c r="T7" s="190">
        <v>16</v>
      </c>
      <c r="U7" s="188">
        <v>0.8</v>
      </c>
      <c r="V7" s="188">
        <v>1</v>
      </c>
      <c r="W7" s="185">
        <v>1.1875</v>
      </c>
      <c r="X7" s="188">
        <f>IF(Reinforcements[[#This Row],[Bolt Hole Size (in)]]="","",IF(Reinforcements[[#This Row],[Bolt Hole Size (in)]]="n/a","n/a",Reinforcements[[#This Row],[Bolt Hole Size (in)]]*25.4))</f>
        <v>30.162499999999998</v>
      </c>
      <c r="Y7"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5.75</v>
      </c>
      <c r="Z7" s="185">
        <f>IFERROR(IF(Reinforcements[[#This Row],[Reinforcement]]="","",IF(OR(Reinforcements[[#This Row],[Type]]="plate",Reinforcements[[#This Row],[Type]]="solid round"),1,IF(Reinforcements[[#This Row],[Type]]="arbitrary","",1-Reinforcements[[#This Row],[Pole Face to Centroid (in)]]/Reinforcements[[#This Row],[Connection Length (in) '[Channels']]]))),"")</f>
        <v>1</v>
      </c>
      <c r="AA7" s="189" t="s">
        <v>391</v>
      </c>
      <c r="AB7" s="189" t="str">
        <f>IF(Reinforcements[[#This Row],[Reinforcement]]="","",IF(Reinforcements[[#This Row],[Bottom End Connection Type]]&lt;&gt;"Capacity Input","-",""))</f>
        <v>-</v>
      </c>
      <c r="AC7" s="189" t="str">
        <f>IF(Reinforcements[[#This Row],[Reinforcement]]="","",IF(Reinforcements[[#This Row],[Bottom End Connection Type]]&lt;&gt;"Capacity Input","-",""))</f>
        <v>-</v>
      </c>
      <c r="AD7" s="461" t="str">
        <f>IF(Reinforcements[[#This Row],[Reinforcement]]="","",IF(Reinforcements[[#This Row],[Bottom End Connection Type]]&lt;&gt;"Capacity Input","-",""))</f>
        <v>-</v>
      </c>
      <c r="AE7" s="103" t="s">
        <v>416</v>
      </c>
      <c r="AF7" s="190" t="s">
        <v>296</v>
      </c>
      <c r="AG7" s="190">
        <v>14</v>
      </c>
      <c r="AH7" s="190">
        <v>3</v>
      </c>
      <c r="AI7" s="190">
        <v>2</v>
      </c>
      <c r="AJ7" s="190">
        <f>Reinforcements[[#This Row],[End Connection Edge Distance (in) (B)]]-(Reinforcements[[#This Row],[Bolt Hole Size (in)]]+1/16)/2</f>
        <v>1.375</v>
      </c>
      <c r="AK7" s="190">
        <f>Reinforcements[[#This Row],[End Connection Bolt Spacing (in) (B)]]-(Reinforcements[[#This Row],[Bolt Hole Size (in)]]+1/16)</f>
        <v>1.75</v>
      </c>
      <c r="AL7" s="190">
        <f>Reinforcements[[#This Row],[End Connection Edge Distance (in) (B)]]</f>
        <v>2</v>
      </c>
      <c r="AM7" s="190">
        <f>Reinforcements[[#This Row],[End Connection Bolt Spacing (in) (B)]]</f>
        <v>3</v>
      </c>
      <c r="AN7" s="190" t="str">
        <f>IF(Reinforcements[[#This Row],[Reinforcement]]="","",IF(OR(Reinforcements[[#This Row],[Bottom End Connection Type]]="Bolted",Reinforcements[[#This Row],[Bottom End Connection Type]]=""),"-",""))</f>
        <v>-</v>
      </c>
      <c r="AO7" s="191" t="str">
        <f>IF(Reinforcements[[#This Row],[Reinforcement]]="","",IF(OR(Reinforcements[[#This Row],[Bottom End Connection Type]]="Bolted",Reinforcements[[#This Row],[Bottom End Connection Type]]=""),"-",""))</f>
        <v>-</v>
      </c>
      <c r="AP7" s="191" t="str">
        <f>IF(Reinforcements[[#This Row],[Reinforcement]]="","",IF(OR(Reinforcements[[#This Row],[Bottom End Connection Type]]="Bolted",Reinforcements[[#This Row],[Bottom End Connection Type]]=""),"-",""))</f>
        <v>-</v>
      </c>
      <c r="AQ7" s="191" t="str">
        <f>IF(OR(Reinforcements[[#This Row],[Bottom End Connection Type]]="Bolted",Reinforcements[[#This Row],[Bottom Transverse (Horizontal) Weld]]="none"),"-","")</f>
        <v>-</v>
      </c>
      <c r="AR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7" s="191" t="str">
        <f>IF(OR(Reinforcements[[#This Row],[Bottom Transverse (Horizontal) Weld]]="none",Reinforcements[[#This Row],[Bottom End Connection Type]]="Bolted"),"-","")</f>
        <v>-</v>
      </c>
      <c r="AU7"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7" s="191" t="str">
        <f>IF(Reinforcements[[#This Row],[Reinforcement]]="","",IF(OR(Reinforcements[[#This Row],[Bottom End Connection Type]]="Bolted",Reinforcements[[#This Row],[Bottom End Connection Type]]=""),"-",""))</f>
        <v>-</v>
      </c>
      <c r="AW7" s="191" t="str">
        <f>IF(Reinforcements[[#This Row],[Reinforcement]]="","",IF(OR(Reinforcements[[#This Row],[Bottom End Connection Type]]&lt;&gt;"Welded",Reinforcements[[#This Row],[Bottom Longitudinal (Vertical) Weld]]="None",Reinforcements[[#This Row],[Bottom Longitudinal (Vertical) Weld]]=""),"-",""))</f>
        <v>-</v>
      </c>
      <c r="AX7" s="191" t="str">
        <f>IF(Reinforcements[[#This Row],[Reinforcement]]="","",IF(OR(Reinforcements[[#This Row],[Bottom End Connection Type]]&lt;&gt;"Welded",Reinforcements[[#This Row],[Bottom Longitudinal (Vertical) Weld]]="None",Reinforcements[[#This Row],[Bottom Longitudinal (Vertical) Weld]]=""),"-",""))</f>
        <v>-</v>
      </c>
      <c r="AY7" s="190" t="str">
        <f>IF(Reinforcements[[#This Row],[Reinforcement]]="","",IF(OR(Reinforcements[[#This Row],[Bottom End Connection Type]]&lt;&gt;"Welded",Reinforcements[[#This Row],[Bottom Longitudinal (Vertical) Weld]]="None"),"-",SQRT(2)/2*Reinforcements[[#This Row],[Bottom Longitudinal Weld Fillet Size (in)]]))</f>
        <v>-</v>
      </c>
      <c r="AZ7" s="190" t="s">
        <v>295</v>
      </c>
      <c r="BA7" s="189" t="str">
        <f>IF(Reinforcements[[#This Row],[Top End Connection Same?]]="Yes",Reinforcements[[#This Row],[Bottom End Connection Type]],"")</f>
        <v>Bolted</v>
      </c>
      <c r="BB7" s="189" t="str">
        <f>IF(Reinforcements[[#This Row],[Reinforcement]]="","",IF(Reinforcements[[#This Row],[Top End Connection Same?]]="Yes",Reinforcements[[#This Row],[Rev. F Bottom Connection Capacity (kips)]],IF(Reinforcements[[#This Row],[Reinforcement]]="","",IF(Reinforcements[[#This Row],[Top End Connection Type]]&lt;&gt;"Capacity Input","-",""))))</f>
        <v>-</v>
      </c>
      <c r="BC7" s="189" t="str">
        <f>IF(Reinforcements[[#This Row],[Reinforcement]]="","",IF(Reinforcements[[#This Row],[Top End Connection Same?]]="Yes",Reinforcements[[#This Row],[Rev. G Bottom Connection Capacity (kips)]],IF(Reinforcements[[#This Row],[Reinforcement]]="","",IF(Reinforcements[[#This Row],[Top End Connection Type]]&lt;&gt;"Capacity Input","-",""))))</f>
        <v>-</v>
      </c>
      <c r="BD7" s="461" t="str">
        <f>IF(Reinforcements[[#This Row],[Reinforcement]]="","",IF(Reinforcements[[#This Row],[Top End Connection Same?]]="Yes",Reinforcements[[#This Row],[Rev. G Bottom Connection Capacity (kips)]],IF(Reinforcements[[#This Row],[Reinforcement]]="","",IF(Reinforcements[[#This Row],[Top End Connection Type]]&lt;&gt;"Capacity Input","-",""))))</f>
        <v>-</v>
      </c>
      <c r="BE7" s="103" t="str">
        <f>IF(Reinforcements[[#This Row],[Top End Connection Same?]]="Yes",Reinforcements[[#This Row],[Bottom End Connection Bolt Type]],IF(Reinforcements[[#This Row],[Top End Connection Type]]="Welded","-",""))</f>
        <v>PC 8.8 - M20 (100)</v>
      </c>
      <c r="BF7" s="190" t="str">
        <f>IF(Reinforcements[[#This Row],[Top End Connection Same?]]="Yes",Reinforcements[[#This Row],[Threads Included (N) or Excluded (X) (Bottom)]],IF(Reinforcements[[#This Row],[Top End Connection Type]]="Welded","-",""))</f>
        <v>N</v>
      </c>
      <c r="BG7" s="190">
        <f>IF(Reinforcements[[#This Row],[Top End Connection Same?]]="Yes",Reinforcements[[#This Row],['# of End Connection Bolts          (Bottom)]],IF(Reinforcements[[#This Row],[Top End Connection Type]]="Welded","-",""))</f>
        <v>14</v>
      </c>
      <c r="BH7" s="190">
        <f>IF(Reinforcements[[#This Row],[Top End Connection Same?]]="Yes",Reinforcements[[#This Row],[End Connection Bolt Spacing (in) (B)]],IF(Reinforcements[[#This Row],[Top End Connection Type]]="Welded","-",""))</f>
        <v>3</v>
      </c>
      <c r="BI7" s="190">
        <f>IF(Reinforcements[[#This Row],[Top End Connection Same?]]="Yes",Reinforcements[[#This Row],[End Connection Edge Distance (in) (B)]],IF(Reinforcements[[#This Row],[Top End Connection Type]]="Welded","-",""))</f>
        <v>2</v>
      </c>
      <c r="BJ7" s="190">
        <f>Reinforcements[[#This Row],[End Connection Edge Distance (in) (T)]]-(Reinforcements[[#This Row],[Bolt Hole Size (in)]]+1/16)/2</f>
        <v>1.375</v>
      </c>
      <c r="BK7" s="190">
        <f>Reinforcements[[#This Row],[End Connection Bolt Spacing (in) (T)]]-(Reinforcements[[#This Row],[Bolt Hole Size (in)]]+1/16)</f>
        <v>1.75</v>
      </c>
      <c r="BL7" s="190">
        <f>Reinforcements[[#This Row],[End Connection Edge Distance (in) (T)]]</f>
        <v>2</v>
      </c>
      <c r="BM7" s="190">
        <f>Reinforcements[[#This Row],[End Connection Bolt Spacing (in) (T)]]</f>
        <v>3</v>
      </c>
      <c r="BN7" s="190" t="str">
        <f>IF(Reinforcements[[#This Row],[Reinforcement]]="","",IF(Reinforcements[[#This Row],[Top End Connection Same?]]="Yes",Reinforcements[[#This Row],[Bottom Connected to Flange/Base Plate?]],IF(Reinforcements[[#This Row],[Top End Connection Type]]="Bolted","-","")))</f>
        <v>-</v>
      </c>
      <c r="BO7" s="190" t="str">
        <f>IF(Reinforcements[[#This Row],[Reinforcement]]="","",IF(Reinforcements[[#This Row],[Top End Connection Same?]]="Yes",Reinforcements[[#This Row],[Bottom Weld Grade (ksi)]],IF(OR(Reinforcements[[#This Row],[Top End Connection Type]]&lt;&gt;"Welded",Reinforcements[[#This Row],[Top End Connection Type]]=""),"-","")))</f>
        <v>-</v>
      </c>
      <c r="BP7" s="190" t="str">
        <f>IF($AZ7="Yes",AP7,IF(Reinforcements[[#This Row],[Reinforcement]]="","",IF(OR(Reinforcements[[#This Row],[Top End Connection Type]]&lt;&gt;"Welded",Reinforcements[[#This Row],[Top End Connection Type]]=""),"-","")))</f>
        <v>-</v>
      </c>
      <c r="BQ7" s="190" t="str">
        <f>IF(Reinforcements[[#This Row],[Reinforcement]]="","",IF($AZ7="Yes",AQ7,IF(OR(Reinforcements[[#This Row],[Top End Connection Type]]&lt;&gt;"Welded",Reinforcements[[#This Row],[Top Transverse (Horizontal) Weld]]="none",Reinforcements[[#This Row],[Top Transverse (Horizontal) Weld]]=""),"-","")))</f>
        <v>-</v>
      </c>
      <c r="BR7" s="190" t="str">
        <f>IF($AZ7="Yes",AR7,IF(Reinforcements[[#This Row],[Reinforcement]]="","",IF(OR(Reinforcements[[#This Row],[Top Transverse (Horizontal) Weld]]="none",Reinforcements[[#This Row],[Top End Connection Type]]&lt;&gt;"Welded",Reinforcements[[#This Row],[Top Transverse (Horizontal) Weld]]="",Reinforcements[[#This Row],[Top Transverse (Horizontal) Weld]]="Fillet"),"-","")))</f>
        <v>-</v>
      </c>
      <c r="BS7" s="190" t="str">
        <f>IF($AZ7="Yes",AS7,IF(Reinforcements[[#This Row],[Reinforcement]]="","",IF(OR(Reinforcements[[#This Row],[Top Transverse (Horizontal) Weld]]="none",Reinforcements[[#This Row],[Top End Connection Type]]&lt;&gt;"Welded",Reinforcements[[#This Row],[Top Transverse (Horizontal) Weld]]="",Reinforcements[[#This Row],[Top Transverse (Horizontal) Weld]]="Fillet"),"-","")))</f>
        <v>-</v>
      </c>
      <c r="BT7" s="190" t="str">
        <f>IF(Reinforcements[[#This Row],[Reinforcement]]="","",IF($AZ7="Yes",AT7,IF(OR(Reinforcements[[#This Row],[Top Transverse (Horizontal) Weld]]="none",Reinforcements[[#This Row],[Top End Connection Type]]&lt;&gt;"Welded",Reinforcements[[#This Row],[Top Transverse (Horizontal) Weld]]=""),"-","")))</f>
        <v>-</v>
      </c>
      <c r="BU7" s="190" t="str">
        <f>IF($AZ7="Yes",AU7,IF(Reinforcements[[#This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7" s="190" t="str">
        <f>IF($AZ7="Yes",AV7,IF(Reinforcements[[#This Row],[Reinforcement]]="","",IF(OR(Reinforcements[[#This Row],[Top End Connection Type]]&lt;&gt;"Welded",Reinforcements[[#This Row],[Top End Connection Type]]=""),"-","")))</f>
        <v>-</v>
      </c>
      <c r="BW7" s="190" t="str">
        <f>IF($AZ7="Yes",AW7,IF(Reinforcements[[#This Row],[Reinforcement]]="","",IF(OR(Reinforcements[[#This Row],[Top End Connection Type]]&lt;&gt;"Welded",Reinforcements[[#This Row],[Top End Connection Type]]="",Reinforcements[[#This Row],[Top Longitudinal (Vertical) Weld]]="",Reinforcements[[#This Row],[Top Longitudinal (Vertical) Weld]]="None"),"-","")))</f>
        <v>-</v>
      </c>
      <c r="BX7" s="190" t="str">
        <f>IF($AZ7="Yes",AX7,IF(Reinforcements[[#This Row],[Reinforcement]]="","",IF(OR(Reinforcements[[#This Row],[Top End Connection Type]]&lt;&gt;"Welded",Reinforcements[[#This Row],[Top End Connection Type]]="",Reinforcements[[#This Row],[Top Longitudinal (Vertical) Weld]]="",Reinforcements[[#This Row],[Top Longitudinal (Vertical) Weld]]="None"),"-","")))</f>
        <v>-</v>
      </c>
      <c r="BY7" s="190" t="str">
        <f>IF($AZ7="Yes",AY7,IF(Reinforcements[[#This Row],[Reinforcement]]="","",IF(OR(Reinforcements[[#This Row],[Top End Connection Type]]&lt;&gt;"Welded",Reinforcements[[#This Row],[Top Longitudinal (Vertical) Weld]]="none"),"-",SQRT(2)/2*Reinforcements[[#This Row],[Top Longitudinal Weld Fillet Size (in)]])))</f>
        <v>-</v>
      </c>
      <c r="BZ7"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7" s="192">
        <f>IF(Reinforcements[[#This Row],[Reinforcement]]="","",IF(Reinforcements[[#This Row],[Bottom End Connection Type]]&lt;&gt;"Bolted","n/a",(Reinforcements[[#This Row],['# of End Connection Bolts          (Bottom)]]-1)*Reinforcements[[#This Row],[End Connection Bolt Spacing (in) (B)]]+Reinforcements[[#This Row],[End Connection Edge Distance (in) (B)]]))</f>
        <v>41</v>
      </c>
      <c r="CB7" s="192">
        <f>IF(Reinforcements[[#This Row],[Reinforcement]]="","",IF(Reinforcements[[#This Row],[Top End Connection Type]]&lt;&gt;"Bolted","n/a",(Reinforcements[[#This Row],['# of End Connection Bolts          (Top)]]-1)*Reinforcements[[#This Row],[End Connection Bolt Spacing (in) (T)]]+Reinforcements[[#This Row],[End Connection Edge Distance (in) (T)]]))</f>
        <v>41</v>
      </c>
      <c r="CC7"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7</v>
      </c>
      <c r="CD7"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7" s="188">
        <f>IFERROR(IF(Reinforcements[[#This Row],[Type]]="","",Reinforcements[[#This Row],[Effective B (in)]]*Reinforcements[[#This Row],[Effective H (in)]]^3/12),"")</f>
        <v>0.58333333333333337</v>
      </c>
      <c r="CF7" s="188">
        <f>IFERROR(IF(Reinforcements[[#This Row],[Type]]="","",Reinforcements[[#This Row],[Effective B (in)]]^3*Reinforcements[[#This Row],[Effective H (in)]]/12),"")</f>
        <v>28.583333333333332</v>
      </c>
      <c r="CG7" s="196">
        <f>SQRT(2*PI()^2*29000/VLOOKUP(Reinforcements[[#This Row],[Material]],Materials[],2,FALSE))</f>
        <v>75.659570132481107</v>
      </c>
      <c r="CH7"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44.500177223487952</v>
      </c>
      <c r="CI7"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58.303588131808169</v>
      </c>
      <c r="CJ7" s="195">
        <f>Reinforcements[[#This Row],[Effective Length Factor Kx]]*Reinforcements[[#This Row],[Lu (in)]]/(Reinforcements[[#This Row],[rx]]*PI())*SQRT(VLOOKUP(Reinforcements[[#This Row],[Material]],Materials[],2,FALSE)/29000)</f>
        <v>0.82880377598562227</v>
      </c>
      <c r="CK7" s="195">
        <f>Reinforcements[[#This Row],[Effective Length Factor Ky]]*Reinforcements[[#This Row],[Lu (in)]]/(Reinforcements[[#This Row],[ry]]*PI())*SQRT(VLOOKUP(Reinforcements[[#This Row],[Material]],Materials[],2,FALSE)/29000)</f>
        <v>0.14800067428314684</v>
      </c>
      <c r="CL7" s="195">
        <f>IF(Reinforcements[[#This Row],[λcx]]&lt;=1.5,0.658^(Reinforcements[[#This Row],[λcx]]^2)*Reinforcements[[#This Row],[F''y]],0.877/(Reinforcements[[#This Row],[λcx]]^2)*Reinforcements[[#This Row],[F''y]])</f>
        <v>75.012996209946792</v>
      </c>
      <c r="CM7" s="195">
        <f>IF(Reinforcements[[#This Row],[λcy]]&lt;=1.5,0.658^(Reinforcements[[#This Row],[λcy]]^2)*Reinforcements[[#This Row],[F''y]],0.877/(Reinforcements[[#This Row],[λcy]]^2)*Reinforcements[[#This Row],[F''y]])</f>
        <v>99.087388771569621</v>
      </c>
      <c r="CN7" s="188">
        <f>VLOOKUP(Reinforcements[[#This Row],[Material]],Materials[],2,FALSE)</f>
        <v>100</v>
      </c>
      <c r="CO7" s="196">
        <f>IF(Reinforcements[[#This Row],[Reinforcement]]="","",Reinforcements[[#This Row],[Fax]]*Reinforcements[[#This Row],[Gross Area (in2)]])</f>
        <v>311.50124056441564</v>
      </c>
      <c r="CP7" s="196">
        <f>IF(Reinforcements[[#This Row],[Reinforcement]]="","",Reinforcements[[#This Row],[Fay]]*Reinforcements[[#This Row],[Gross Area (in2)]])</f>
        <v>408.12511692265718</v>
      </c>
      <c r="CQ7" s="196">
        <f>IF(Reinforcements[[#This Row],[Reinforcement]]="","",0.6*VLOOKUP(Reinforcements[[#This Row],[Material]],Materials[],2,FALSE)*Reinforcements[[#This Row],[Gross Area (in2)]])</f>
        <v>420</v>
      </c>
      <c r="CR7" s="196">
        <f>IF(Reinforcements[[#This Row],[Reinforcement]]="","",0.5*VLOOKUP(Reinforcements[[#This Row],[Material]],Materials[],3,FALSE)*Reinforcements[[#This Row],[Net Area (in2)]]*Reinforcements[[#This Row],[Shear Lag (U)]])</f>
        <v>316.25</v>
      </c>
      <c r="CS7" s="196">
        <f>IF(Reinforcements[[#This Row],[Reinforcement]]="","",0.4*VLOOKUP(Reinforcements[[#This Row],[Material]],Materials[],2,FALSE)*Reinforcements[[#This Row],[Gross Area (in2)]])</f>
        <v>280</v>
      </c>
      <c r="CT7"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7"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7"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7"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7"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7"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7"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2109.9212598425197</v>
      </c>
      <c r="DA7"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2333.3858267716537</v>
      </c>
      <c r="DB7"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2109.9212598425197</v>
      </c>
      <c r="DC7"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2333.3858267716537</v>
      </c>
      <c r="DD7"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7"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7" s="190" t="str">
        <f>IF($AZ7="Yes",DD7,IF(Reinforcements[[#This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7" s="190" t="str">
        <f>IF($AZ7="Yes",DE7,IF(Reinforcements[[#This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7" s="196">
        <f>IF(Reinforcements[[#This Row],[Reinforcement]]="","",φ_c*Reinforcements[[#This Row],[Fcr,x]]*Reinforcements[[#This Row],[Gross Area (in2)]])</f>
        <v>472.58187612266482</v>
      </c>
      <c r="DI7" s="196">
        <f>IF(Reinforcements[[#This Row],[Reinforcement]]="","",φ_c*Reinforcements[[#This Row],[Fcr,y]]*Reinforcements[[#This Row],[Gross Area (in2)]])</f>
        <v>624.25054926088865</v>
      </c>
      <c r="DJ7" s="196">
        <f>IF(Reinforcements[[#This Row],[Reinforcement]]="","",φ_t_y*VLOOKUP(Reinforcements[[#This Row],[Material]],Materials[],2,FALSE)*Reinforcements[[#This Row],[Gross Area (in2)]])</f>
        <v>630</v>
      </c>
      <c r="DK7" s="197">
        <f>IF(Reinforcements[[#This Row],[Reinforcement]]="","",φ_t_r*VLOOKUP(Reinforcements[[#This Row],[Material]],Materials[],3,FALSE)*Reinforcements[[#This Row],[Net Area (in2)]]*Reinforcements[[#This Row],[Shear Lag (U)]])</f>
        <v>474.375</v>
      </c>
      <c r="DL7" s="197">
        <f>IF(Reinforcements[[#This Row],[Reinforcement]]="","",φ_v*0.5*Reinforcements[[#This Row],[F''y]]*Reinforcements[[#This Row],[Gross Area (in2)]])</f>
        <v>315</v>
      </c>
      <c r="DM7"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7"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7"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27.59433070866142</v>
      </c>
      <c r="DP7"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34.492913385826775</v>
      </c>
      <c r="DQ7"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7"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7"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2969.5842519685043</v>
      </c>
      <c r="DT7"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3711.98031496063</v>
      </c>
      <c r="DU7"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2969.5842519685043</v>
      </c>
      <c r="DV7"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3711.98031496063</v>
      </c>
      <c r="DW7"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7"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7" s="190" t="str">
        <f>IF($AZ7="Yes",DW7,IF(Reinforcements[[#This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7" s="190" t="str">
        <f>IF($AZ7="Yes",DX7,IF(Reinforcements[[#This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7" s="241" t="str">
        <f>IF(OR(Reinforcements[[#This Row],[Type]]="plate",Reinforcements[[#This Row],[Type]]="solid round"),"N/A",Reinforcements[[#This Row],[B (in)]])</f>
        <v>N/A</v>
      </c>
      <c r="EB7" s="237" t="str">
        <f>IF(OR(Reinforcements[[#This Row],[Type]]="plate",Reinforcements[[#This Row],[Type]]="solid round"),"N/A",Reinforcements[[#This Row],[H (in)]])</f>
        <v>N/A</v>
      </c>
      <c r="EC7" s="237" t="str">
        <f>IF(OR(Reinforcements[[#This Row],[Type]]="plate",Reinforcements[[#This Row],[Type]]="solid round"),"N/A",Reinforcements[[#This Row],[B (in)]]-Reinforcements[[#This Row],['[Channel'] Flange Thickness (in)]])</f>
        <v>N/A</v>
      </c>
      <c r="ED7" s="237" t="str">
        <f>IF(OR(Reinforcements[[#This Row],[Type]]="plate",Reinforcements[[#This Row],[Type]]="solid round"),"N/A",Reinforcements[[#This Row],['[Channel']Web Thickness (in)]])</f>
        <v>N/A</v>
      </c>
      <c r="EE7" s="237" t="str">
        <f>IF(OR(Reinforcements[[#This Row],[Type]]="plate",Reinforcements[[#This Row],[Type]]="solid round"),"N/A",Reinforcements[[#This Row],['[Channel'] Flange Thickness (in)]])</f>
        <v>N/A</v>
      </c>
      <c r="EF7" s="237" t="str">
        <f>IF(Reinforcements[[#This Row],[Type]]="channel",Reinforcements[[#This Row],[Channel Flange Width, b]]/Reinforcements[[#This Row],[Channel flange thickness, tf]],"N/A")</f>
        <v>N/A</v>
      </c>
      <c r="EG7" s="237" t="str">
        <f>IF(Reinforcements[[#This Row],[Type]]="channel",Reinforcements[[#This Row],[Channel inside depth, T]]/Reinforcements[[#This Row],[Channel web thickness, tw]],"N/A")</f>
        <v>N/A</v>
      </c>
      <c r="EH7" s="237">
        <v>29000</v>
      </c>
      <c r="EI7" s="237" t="str">
        <f>IF(Reinforcements[[#This Row],[Type]]="channel",0.56*SQRT(Reinforcements[[#This Row],[E, (ksi)]]/Reinforcements[[#This Row],[Fy, (ksi)]]),"N/A")</f>
        <v>N/A</v>
      </c>
      <c r="EJ7" s="237" t="str">
        <f>IF(Reinforcements[[#This Row],[Type]]="channel",1.49*SQRT(Reinforcements[[#This Row],[E, (ksi)]]/Reinforcements[[#This Row],[Fy, (ksi)]]),"N/A")</f>
        <v>N/A</v>
      </c>
      <c r="EK7" s="237">
        <f>VLOOKUP(Reinforcements[[#This Row],[Material]],Materials!$B$2:$C$30,2,FALSE)</f>
        <v>100</v>
      </c>
      <c r="EL7" s="237">
        <f>Reinforcements[[#This Row],[Lu (in)]]*Reinforcements[[#This Row],[Effective Length Factor Kx]]</f>
        <v>12.8</v>
      </c>
      <c r="EM7" s="237">
        <f>Reinforcements[[#This Row],[Lu (in)]]*Reinforcements[[#This Row],[Effective Length Factor Ky]]</f>
        <v>16</v>
      </c>
      <c r="EN7" s="237">
        <f>Reinforcements[[#This Row],[rx]]</f>
        <v>0.28867513459481292</v>
      </c>
      <c r="EO7" s="237">
        <f>Reinforcements[[#This Row],[ry]]</f>
        <v>2.0207259421636903</v>
      </c>
      <c r="EP7" s="237">
        <f>Reinforcements[[#This Row],[Lcx (in)]]/Reinforcements[[#This Row],[rx (in)]]</f>
        <v>44.340500673763252</v>
      </c>
      <c r="EQ7" s="237">
        <f>Reinforcements[[#This Row],[Lcy (in)]]/Reinforcements[[#This Row],[ry (in)]]</f>
        <v>7.9179465488862961</v>
      </c>
      <c r="ER7" s="237">
        <f>((PI()^2)*Reinforcements[[#This Row],[E, (ksi)]])/(Reinforcements[[#This Row],[Lcx/rx]]^2)</f>
        <v>145.57827129699271</v>
      </c>
      <c r="ES7" s="237">
        <f>((PI()^2)*Reinforcements[[#This Row],[E, (ksi)]])/(Reinforcements[[#This Row],[Lcy/ry]]^2)</f>
        <v>4565.3345878736909</v>
      </c>
      <c r="ET7" s="237">
        <f>4.71*(SQRT(Reinforcements[[#This Row],[E, (ksi)]]/Reinforcements[[#This Row],[Fy, (ksi)]]))</f>
        <v>80.20840978351336</v>
      </c>
      <c r="EU7" s="237">
        <f>IF(Reinforcements[[#This Row],[Lcx/rx]]&lt;=Reinforcements[[#This Row],[Fcr Limit]],(0.658^(Reinforcements[[#This Row],[Fy, (ksi)]]/Reinforcements[[#This Row],[Fex, FB (ksi)]]))*Reinforcements[[#This Row],[Fy, (ksi)]],0.877*Reinforcements[[#This Row],[Fex, FB (ksi)]])</f>
        <v>75.012996209946778</v>
      </c>
      <c r="EV7" s="237">
        <f>IF(Reinforcements[[#This Row],[Lcy/ry]]&lt;=Reinforcements[[#This Row],[Fcr Limit]],(0.658^(Reinforcements[[#This Row],[Fy, (ksi)]]/Reinforcements[[#This Row],[Fey, FB (ksi)]]))*Reinforcements[[#This Row],[Fy, (ksi)]],0.877*Reinforcements[[#This Row],[Fey, FB (ksi)]])</f>
        <v>99.087388771569621</v>
      </c>
      <c r="EW7" s="237">
        <f>Reinforcements[[#This Row],[Fcrx (ksi)]]*Reinforcements[[#This Row],[Gross Area (in2)]]</f>
        <v>525.09097346962744</v>
      </c>
      <c r="EX7" s="237">
        <f>Reinforcements[[#This Row],[Fcry (ksi)]]*Reinforcements[[#This Row],[Gross Area (in2)]]</f>
        <v>693.61172140098734</v>
      </c>
      <c r="EY7" s="237" t="str">
        <f>IF(Reinforcements[[#This Row],[Type]]="channel",0,"N/A")</f>
        <v>N/A</v>
      </c>
      <c r="EZ7" s="237" t="str">
        <f>IF(Reinforcements[[#This Row],[Type]]="channel",Reinforcements[[#This Row],[Channel Flange Width, b]]-(0.5*Reinforcements[[#This Row],[Channel web thickness, tw]]),"N/A")</f>
        <v>N/A</v>
      </c>
      <c r="FA7" s="237" t="str">
        <f>IF(Reinforcements[[#This Row],[Type]]="channel",Reinforcements[[#This Row],[Channel Height, h]]-Reinforcements[[#This Row],[Channel flange thickness, tf]],"N/A")</f>
        <v>N/A</v>
      </c>
      <c r="FB7" s="237" t="str">
        <f>IF(Reinforcements[[#This Row],[Type]]="channel",Reinforcements[[#This Row],[Channel web thickness, tw]],"N/A")</f>
        <v>N/A</v>
      </c>
      <c r="FC7" s="237" t="str">
        <f>IF(Reinforcements[[#This Row],[Type]]="channel",((3*Reinforcements[[#This Row],[b]]^2)/(Reinforcements[[#This Row],[h]]+(6*Reinforcements[[#This Row],[b]])))-Reinforcements[[#This Row],[t]]/2,"N/A")</f>
        <v>N/A</v>
      </c>
      <c r="FD7" s="237">
        <f>Reinforcements[[#This Row],[Pole Face to Centroid (in)]]</f>
        <v>0.5</v>
      </c>
      <c r="FE7" s="237" t="str">
        <f>IF(Reinforcements[[#This Row],[Type]]="channel",Reinforcements[[#This Row],[x(bar)]]+Reinforcements[[#This Row],['[Channel'] e0 (in)]],"N/A")</f>
        <v>N/A</v>
      </c>
      <c r="FF7" s="237" t="str">
        <f>IF(Reinforcements[[#This Row],[Type]]="channel",Reinforcements[[#This Row],[Ix]],"N/A")</f>
        <v>N/A</v>
      </c>
      <c r="FG7" s="237" t="str">
        <f>IF(Reinforcements[[#This Row],[Type]]="channel",Reinforcements[[#This Row],[Iy]],"N/A")</f>
        <v>N/A</v>
      </c>
      <c r="FH7" s="237" t="str">
        <f>IF(Reinforcements[[#This Row],[Type]]="channel",Reinforcements[[#This Row],[Gross Area (in2)]],"N/A")</f>
        <v>N/A</v>
      </c>
      <c r="FI7" s="237" t="str">
        <f>IF(Reinforcements[[#This Row],[Type]]="channel",(Reinforcements[[#This Row],[xo]]^2)+((Reinforcements[[#This Row],[Ix (FTB)]]+Reinforcements[[#This Row],[Iy (FTB)]])/Reinforcements[[#This Row],[Ag]]),"N/A")</f>
        <v>N/A</v>
      </c>
      <c r="FJ7" s="237" t="str">
        <f>IF(Reinforcements[[#This Row],[Type]]="channel",Reinforcements[[#This Row],[Lu (in)]],"N/A")</f>
        <v>N/A</v>
      </c>
      <c r="FK7" s="237" t="str">
        <f>IF(Reinforcements[[#This Row],[Type]]="channel",Reinforcements[[#This Row],[Effective Length Factor Kx]],"N/A")</f>
        <v>N/A</v>
      </c>
      <c r="FL7" s="237" t="str">
        <f>IF(Reinforcements[[#This Row],[Type]]="channel",Reinforcements[[#This Row],[Kz]]*Reinforcements[[#This Row],[Lz]],"N/A")</f>
        <v>N/A</v>
      </c>
      <c r="FM7" s="237" t="str">
        <f>IF(Reinforcements[[#This Row],[Type]]="channel",(((Reinforcements[[#This Row],[t]]^3)/3)*(Reinforcements[[#This Row],[h]]+(2*Reinforcements[[#This Row],[b]]))),"N/A")</f>
        <v>N/A</v>
      </c>
      <c r="FN7" s="237" t="str">
        <f>IF(Reinforcements[[#This Row],[Type]]="channel",(1-(((Reinforcements[[#This Row],[xo]]^2)+(Reinforcements[[#This Row],[yo]]^2))/Reinforcements[[#This Row],[ro^2(bar)]])),"N/A")</f>
        <v>N/A</v>
      </c>
      <c r="FO7" s="237">
        <v>11200</v>
      </c>
      <c r="FP7" s="237" t="str">
        <f>IF(Reinforcements[[#This Row],[Type]]="channel",(((Reinforcements[[#This Row],[h]]^2)*(Reinforcements[[#This Row],[b]]^3)*Reinforcements[[#This Row],[t]])/12)*(((2*Reinforcements[[#This Row],[h]])+(3*Reinforcements[[#This Row],[b]]))/(Reinforcements[[#This Row],[h]]+(6*Reinforcements[[#This Row],[b]]))),"N/A")</f>
        <v>N/A</v>
      </c>
      <c r="FQ7" s="237" t="str">
        <f>IF(Reinforcements[[#This Row],[Type]]="Channel",((((PI()^2)*Reinforcements[[#This Row],[E, (ksi)]]*Reinforcements[[#This Row],['[Channel'] CW (in6)]])/(Reinforcements[[#This Row],[Lcz]]^2))+(Reinforcements[[#This Row],[G]]*Reinforcements[[#This Row],['[Channel'] J (in4)]]))*(1/(Reinforcements[[#This Row],[Ag]]*Reinforcements[[#This Row],[ro^2(bar)]])),"N/A")</f>
        <v>N/A</v>
      </c>
      <c r="FR7" s="237" t="str">
        <f>IF(Reinforcements[[#This Row],[Type]]="channel",((PI()^2)*Reinforcements[[#This Row],[E, (ksi)]])/(Reinforcements[[#This Row],[Lcy/ry]]^2),"N/A")</f>
        <v>N/A</v>
      </c>
      <c r="FS7" s="237" t="str">
        <f>IF(Reinforcements[[#This Row],[Type]]="channel",((Reinforcements[[#This Row],[Fey]]+Reinforcements[[#This Row],[Fez]])/(2*Reinforcements[[#This Row],[H2]]))*(1-SQRT(1-((4*Reinforcements[[#This Row],[Fey]]*Reinforcements[[#This Row],[Fez]]*Reinforcements[[#This Row],[H2]])/(Reinforcements[[#This Row],[Fey]]+Reinforcements[[#This Row],[Fez]])^2))),"N/A")</f>
        <v>N/A</v>
      </c>
      <c r="FT7" s="237" t="str">
        <f>IF(Reinforcements[[#This Row],[Type]]="channel",IF(Reinforcements[[#This Row],[Lcx/rx]]&gt;(4.71*SQRT(Reinforcements[[#This Row],[E, (ksi)]]/Reinforcements[[#This Row],[Fy, (ksi)]])),0.877*Reinforcements[[#This Row],[Fe (FTB)]],0.658^(Reinforcements[[#This Row],[Fy, (ksi)]]/Reinforcements[[#This Row],[Fe (FTB)]])*Reinforcements[[#This Row],[Fy, (ksi)]]),"N/A")</f>
        <v>N/A</v>
      </c>
      <c r="FU7" s="237" t="str">
        <f>IF(Reinforcements[[#This Row],[Type]]="channel",MIN(Reinforcements[[#This Row],[Fcr(FTB)]],Reinforcements[[#This Row],[Fcry (ksi)]]),"N/A")</f>
        <v>N/A</v>
      </c>
      <c r="FV7" s="237">
        <v>0.22</v>
      </c>
      <c r="FW7" s="237">
        <v>1.49</v>
      </c>
      <c r="FX7" s="237" t="str">
        <f>IF(Reinforcements[[#This Row],[Type]]="channel",((Reinforcements[[#This Row],[c2]]*(Reinforcements[[#This Row],[λrf]]/Reinforcements[[#This Row],[λf]]))^2)*Reinforcements[[#This Row],[Fy, (ksi)]],"N/A")</f>
        <v>N/A</v>
      </c>
      <c r="FY7" s="237" t="str">
        <f>IF(Reinforcements[[#This Row],[Type]]="channel",((Reinforcements[[#This Row],[c2]]*(Reinforcements[[#This Row],[λrw]]/Reinforcements[[#This Row],[λw]]))^2)*Reinforcements[[#This Row],[Fy, (ksi)]],"N/A")</f>
        <v>N/A</v>
      </c>
      <c r="FZ7"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 s="237" t="str">
        <f>IF(Reinforcements[[#This Row],[Type]]="channel",Reinforcements[[#This Row],[Fcr]]*Reinforcements[[#This Row],[Ae]],"N/A")</f>
        <v>N/A</v>
      </c>
      <c r="GD7" s="466">
        <f>IF(Reinforcements[[#This Row],[Reinforcement]]="","",φ_c*Reinforcements[[#This Row],[Pnx, FB (kip)]])</f>
        <v>472.58187612266471</v>
      </c>
      <c r="GE7" s="466">
        <f>IF(Reinforcements[[#This Row],[Reinforcement]]="","",IF(Reinforcements[[#This Row],[Type]]="channel",φ_c*Reinforcements[[#This Row],[Pn]],φ_c*Reinforcements[[#This Row],[Pny, FB (kip)]]))</f>
        <v>624.25054926088865</v>
      </c>
      <c r="GF7" s="466">
        <f>Reinforcements[[#This Row],[Rev. G Tension Yield Capacity (kips)]]</f>
        <v>630</v>
      </c>
      <c r="GG7" s="466">
        <f>Reinforcements[[#This Row],[Rev. G Tension Rupture Capacity (kips)]]</f>
        <v>474.375</v>
      </c>
      <c r="GH7" s="466">
        <f>Reinforcements[[#This Row],[Rev. G Shear Capacity (kips)]]</f>
        <v>315</v>
      </c>
      <c r="GI7" s="466">
        <f>IFERROR((Reinforcements[[#This Row],['# of End Connection Bolts          (Bottom)]]-1)*Reinforcements[[#This Row],[End Connection Bolt Spacing (in) (B)]],"-")</f>
        <v>39</v>
      </c>
      <c r="GJ7" s="466">
        <f>IFERROR(IF(VLOOKUP(Reinforcements[[#This Row],[Bottom End Connection Bolt Type]],Bolts[],COLUMN(Bolts[[#Headers],[Rev. H Apply Connection Length Reduction Factor (Rb)?]])-1,FALSE)="Yes",(IF(Reinforcements[[#This Row],[Lb(bottom)]]&lt;=16,1,IF(Reinforcements[[#This Row],[Lb(bottom)]]&gt;38,0.75,0.9))),1),"-")</f>
        <v>1</v>
      </c>
      <c r="GK7"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649.59497359145109</v>
      </c>
      <c r="GL7" s="466">
        <f>IFERROR(IF(Reinforcements[[#This Row],[Top End Connection Same?]]="Yes",Reinforcements[[#This Row],[Lb(bottom)]],(Reinforcements[[#This Row],['# of End Connection Bolts          (Top)]]-1)*Reinforcements[[#This Row],[End Connection Bolt Spacing (in) (T)]]),"-")</f>
        <v>39</v>
      </c>
      <c r="GM7" s="466">
        <f>IFERROR(IF(VLOOKUP(Reinforcements[[#This Row],[Top End Connection Bolt Type]],Bolts[],COLUMN(Bolts[[#Headers],[Rev. H Apply Connection Length Reduction Factor (Rb)?]])-1,FALSE)="Yes",(IF(Reinforcements[[#This Row],[Lb(top)]]&lt;=16,1,IF(Reinforcements[[#This Row],[Lb(top)]]&gt;38,0.75,0.9))),1),"-")</f>
        <v>1</v>
      </c>
      <c r="GN7"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649.59497359145109</v>
      </c>
      <c r="GO7" s="466">
        <f>Reinforcements[[#This Row],[Rev. G Bolt-Shaft Bearing Capacity (Bottom)                No Deformation          (*t*Fu kips)]]</f>
        <v>27.59433070866142</v>
      </c>
      <c r="GP7" s="466">
        <f>Reinforcements[[#This Row],[Rev. G Bolt-Shaft Bearing Capacity (Bottom)                   Deformation          (*t*Fu kips)]]</f>
        <v>34.492913385826775</v>
      </c>
      <c r="GQ7" s="466">
        <f>Reinforcements[[#This Row],[Rev. G Bolt-Shaft Bearing Capacity (Top)                    No Deformation          (*t*Fu kips)]]</f>
        <v>27.59433070866142</v>
      </c>
      <c r="GR7" s="466">
        <f>Reinforcements[[#This Row],[Rev. G Bolt-Shaft Bearing Capacity (Top)                        Deformation          (*t*Fu kips)]]</f>
        <v>34.492913385826775</v>
      </c>
      <c r="GS7" s="466">
        <f>Reinforcements[[#This Row],[Rev. G Bolt-Reinf. Bearing Capacity (Bottom)            No Deformation (kips)]]</f>
        <v>2969.5842519685043</v>
      </c>
      <c r="GT7" s="466">
        <f>Reinforcements[[#This Row],[Rev. G Bolt-Reinf. Bearing Capacity (Bottom)               Deformation (kips)]]</f>
        <v>3711.98031496063</v>
      </c>
      <c r="GU7" s="466">
        <f>Reinforcements[[#This Row],[Rev. G Bolt-Reinf. Bearing Capacity (Top)                  No Deformation (kips)]]</f>
        <v>2969.5842519685043</v>
      </c>
      <c r="GV7" s="466">
        <f>Reinforcements[[#This Row],[Rev. G Bolt-Reinf. Bearing Capacity (Top)               Deformation (kips)]]</f>
        <v>3711.98031496063</v>
      </c>
      <c r="GW7" s="466" t="str">
        <f>Reinforcements[[#This Row],[Rev. G Bottom Transverse Weld Strength]]</f>
        <v>-</v>
      </c>
      <c r="GX7" s="466" t="str">
        <f>Reinforcements[[#This Row],[Rev. G Bottom Longitudinal Weld Strength]]</f>
        <v>-</v>
      </c>
      <c r="GY7" s="466" t="str">
        <f>Reinforcements[[#This Row],[Rev. G Top Transverse Weld Strength]]</f>
        <v>-</v>
      </c>
      <c r="GZ7" s="466" t="str">
        <f>Reinforcements[[#This Row],[Rev. G Top Longitudinal Weld Strength]]</f>
        <v>-</v>
      </c>
      <c r="HA7" s="552">
        <v>5</v>
      </c>
      <c r="HB7"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8" spans="2:210" x14ac:dyDescent="0.2">
      <c r="B8" s="72" t="s">
        <v>217</v>
      </c>
      <c r="C8" s="72" t="s">
        <v>146</v>
      </c>
      <c r="D8" s="185">
        <v>7</v>
      </c>
      <c r="E8" s="185">
        <v>1.5</v>
      </c>
      <c r="F8" s="185" t="str">
        <f>IF(Reinforcements[[#This Row],[Type]]="","",IF(Reinforcements[[#This Row],[Type]]="solid round","","n/a"))</f>
        <v>n/a</v>
      </c>
      <c r="G8" s="185" t="str">
        <f>IF(Reinforcements[[#This Row],[Type]]="","",IF(Reinforcements[[#This Row],[Type]]&lt;&gt;"channel","n/a",""))</f>
        <v>n/a</v>
      </c>
      <c r="H8" s="185" t="str">
        <f>IF(Reinforcements[[#This Row],[Type]]="","",IF(Reinforcements[[#This Row],[Type]]&lt;&gt;"channel","n/a",""))</f>
        <v>n/a</v>
      </c>
      <c r="I8" s="197" t="str">
        <f>IF(Reinforcements[[#This Row],[Type]]="","",IF(Reinforcements[[#This Row],[Type]]&lt;&gt;"channel","n/a",Reinforcements[[#This Row],[eo]]))</f>
        <v>n/a</v>
      </c>
      <c r="J8" s="197" t="str">
        <f>IF(Reinforcements[[#This Row],[Type]]="","",IF(Reinforcements[[#This Row],[Type]]&lt;&gt;"channel","n/a",Reinforcements[[#This Row],[J]]))</f>
        <v>n/a</v>
      </c>
      <c r="K8" s="197" t="str">
        <f>IF(Reinforcements[[#This Row],[Type]]="","",IF(Reinforcements[[#This Row],[Type]]&lt;&gt;"channel","n/a",Reinforcements[[#This Row],[Cw]]))</f>
        <v>n/a</v>
      </c>
      <c r="L8" s="185">
        <f>IFERROR(IF(Reinforcements[[#This Row],[Type]]="","",IF(Reinforcements[[#This Row],[Type]]="plate",Reinforcements[[#This Row],[B (in)]]*Reinforcements[[#This Row],[H (in)]],IF(Reinforcements[[#This Row],[Type]]="solid round",PI()/4*Reinforcements[[#This Row],[Diameter (in)]]^2,""))),"")</f>
        <v>10.5</v>
      </c>
      <c r="M8" s="185">
        <f>IFERROR(IF(Reinforcements[[#This Row],[Type]]="","",IF(Reinforcements[[#This Row],[Type]]="plate",Reinforcements[[#This Row],[H (in)]]/2,"")),"")</f>
        <v>0.75</v>
      </c>
      <c r="N8" s="186" t="s">
        <v>297</v>
      </c>
      <c r="O8" s="185" t="s">
        <v>153</v>
      </c>
      <c r="P8" s="187">
        <f>IFERROR(IF(Reinforcements[[#This Row],[Type]]="","",IF(Reinforcements[[#This Row],[Type]]="plate",Reinforcements[[#This Row],[B (in)]]*Reinforcements[[#This Row],[H (in)]]^3/12,IF(Reinforcements[[#This Row],[Type]]="solid round",PI()/64*Reinforcements[[#This Row],[Diameter (in)]]^4,""))),"")</f>
        <v>1.96875</v>
      </c>
      <c r="Q8" s="187">
        <f>IF(Reinforcements[[#This Row],[Reinforcement]]="","",SQRT(Reinforcements[[#This Row],[Ix]]/Reinforcements[[#This Row],[Gross Area (in2)]]))</f>
        <v>0.4330127018922193</v>
      </c>
      <c r="R8" s="187">
        <f>IFERROR(IF(Reinforcements[[#This Row],[Type]]="","",IF(Reinforcements[[#This Row],[Type]]="plate",Reinforcements[[#This Row],[B (in)]]^3*Reinforcements[[#This Row],[H (in)]]/12,IF(Reinforcements[[#This Row],[Type]]="solid round",PI()/64*Reinforcements[[#This Row],[Diameter (in)]]^4,""))),"")</f>
        <v>42.875</v>
      </c>
      <c r="S8" s="187">
        <f>IF(Reinforcements[[#This Row],[Reinforcement]]="","",SQRT(Reinforcements[[#This Row],[Iy]]/Reinforcements[[#This Row],[Gross Area (in2)]]))</f>
        <v>2.0207259421636903</v>
      </c>
      <c r="T8" s="190">
        <v>16</v>
      </c>
      <c r="U8" s="188">
        <v>0.8</v>
      </c>
      <c r="V8" s="188">
        <v>1</v>
      </c>
      <c r="W8" s="185">
        <v>1.1875</v>
      </c>
      <c r="X8" s="188">
        <f>IF(Reinforcements[[#This Row],[Bolt Hole Size (in)]]="","",IF(Reinforcements[[#This Row],[Bolt Hole Size (in)]]="n/a","n/a",Reinforcements[[#This Row],[Bolt Hole Size (in)]]*25.4))</f>
        <v>30.162499999999998</v>
      </c>
      <c r="Y8"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8.625</v>
      </c>
      <c r="Z8" s="185">
        <f>IFERROR(IF(Reinforcements[[#This Row],[Reinforcement]]="","",IF(OR(Reinforcements[[#This Row],[Type]]="plate",Reinforcements[[#This Row],[Type]]="solid round"),1,IF(Reinforcements[[#This Row],[Type]]="arbitrary","",1-Reinforcements[[#This Row],[Pole Face to Centroid (in)]]/Reinforcements[[#This Row],[Connection Length (in) '[Channels']]]))),"")</f>
        <v>1</v>
      </c>
      <c r="AA8" s="189" t="s">
        <v>391</v>
      </c>
      <c r="AB8" s="189" t="str">
        <f>IF(Reinforcements[[#This Row],[Reinforcement]]="","",IF(Reinforcements[[#This Row],[Bottom End Connection Type]]&lt;&gt;"Capacity Input","-",""))</f>
        <v>-</v>
      </c>
      <c r="AC8" s="189" t="str">
        <f>IF(Reinforcements[[#This Row],[Reinforcement]]="","",IF(Reinforcements[[#This Row],[Bottom End Connection Type]]&lt;&gt;"Capacity Input","-",""))</f>
        <v>-</v>
      </c>
      <c r="AD8" s="461" t="str">
        <f>IF(Reinforcements[[#This Row],[Reinforcement]]="","",IF(Reinforcements[[#This Row],[Bottom End Connection Type]]&lt;&gt;"Capacity Input","-",""))</f>
        <v>-</v>
      </c>
      <c r="AE8" s="103" t="s">
        <v>416</v>
      </c>
      <c r="AF8" s="190" t="s">
        <v>296</v>
      </c>
      <c r="AG8" s="190">
        <v>14</v>
      </c>
      <c r="AH8" s="190">
        <v>3</v>
      </c>
      <c r="AI8" s="190">
        <v>2</v>
      </c>
      <c r="AJ8" s="190">
        <f>Reinforcements[[#This Row],[End Connection Edge Distance (in) (B)]]-(Reinforcements[[#This Row],[Bolt Hole Size (in)]]+1/16)/2</f>
        <v>1.375</v>
      </c>
      <c r="AK8" s="190">
        <f>Reinforcements[[#This Row],[End Connection Bolt Spacing (in) (B)]]-(Reinforcements[[#This Row],[Bolt Hole Size (in)]]+1/16)</f>
        <v>1.75</v>
      </c>
      <c r="AL8" s="190">
        <f>Reinforcements[[#This Row],[End Connection Edge Distance (in) (B)]]</f>
        <v>2</v>
      </c>
      <c r="AM8" s="190">
        <f>Reinforcements[[#This Row],[End Connection Bolt Spacing (in) (B)]]</f>
        <v>3</v>
      </c>
      <c r="AN8" s="190" t="str">
        <f>IF(Reinforcements[[#This Row],[Reinforcement]]="","",IF(OR(Reinforcements[[#This Row],[Bottom End Connection Type]]="Bolted",Reinforcements[[#This Row],[Bottom End Connection Type]]=""),"-",""))</f>
        <v>-</v>
      </c>
      <c r="AO8" s="191" t="str">
        <f>IF(Reinforcements[[#This Row],[Reinforcement]]="","",IF(OR(Reinforcements[[#This Row],[Bottom End Connection Type]]="Bolted",Reinforcements[[#This Row],[Bottom End Connection Type]]=""),"-",""))</f>
        <v>-</v>
      </c>
      <c r="AP8" s="191" t="str">
        <f>IF(Reinforcements[[#This Row],[Reinforcement]]="","",IF(OR(Reinforcements[[#This Row],[Bottom End Connection Type]]="Bolted",Reinforcements[[#This Row],[Bottom End Connection Type]]=""),"-",""))</f>
        <v>-</v>
      </c>
      <c r="AQ8" s="191" t="str">
        <f>IF(OR(Reinforcements[[#This Row],[Bottom End Connection Type]]="Bolted",Reinforcements[[#This Row],[Bottom Transverse (Horizontal) Weld]]="none"),"-","")</f>
        <v>-</v>
      </c>
      <c r="AR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8" s="191" t="str">
        <f>IF(OR(Reinforcements[[#This Row],[Bottom Transverse (Horizontal) Weld]]="none",Reinforcements[[#This Row],[Bottom End Connection Type]]="Bolted"),"-","")</f>
        <v>-</v>
      </c>
      <c r="AU8"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8" s="191" t="str">
        <f>IF(Reinforcements[[#This Row],[Reinforcement]]="","",IF(OR(Reinforcements[[#This Row],[Bottom End Connection Type]]="Bolted",Reinforcements[[#This Row],[Bottom End Connection Type]]=""),"-",""))</f>
        <v>-</v>
      </c>
      <c r="AW8" s="191" t="str">
        <f>IF(Reinforcements[[#This Row],[Reinforcement]]="","",IF(OR(Reinforcements[[#This Row],[Bottom End Connection Type]]&lt;&gt;"Welded",Reinforcements[[#This Row],[Bottom Longitudinal (Vertical) Weld]]="None",Reinforcements[[#This Row],[Bottom Longitudinal (Vertical) Weld]]=""),"-",""))</f>
        <v>-</v>
      </c>
      <c r="AX8" s="191" t="str">
        <f>IF(Reinforcements[[#This Row],[Reinforcement]]="","",IF(OR(Reinforcements[[#This Row],[Bottom End Connection Type]]&lt;&gt;"Welded",Reinforcements[[#This Row],[Bottom Longitudinal (Vertical) Weld]]="None",Reinforcements[[#This Row],[Bottom Longitudinal (Vertical) Weld]]=""),"-",""))</f>
        <v>-</v>
      </c>
      <c r="AY8" s="190" t="str">
        <f>IF(Reinforcements[[#This Row],[Reinforcement]]="","",IF(OR(Reinforcements[[#This Row],[Bottom End Connection Type]]&lt;&gt;"Welded",Reinforcements[[#This Row],[Bottom Longitudinal (Vertical) Weld]]="None"),"-",SQRT(2)/2*Reinforcements[[#This Row],[Bottom Longitudinal Weld Fillet Size (in)]]))</f>
        <v>-</v>
      </c>
      <c r="AZ8" s="190" t="s">
        <v>295</v>
      </c>
      <c r="BA8" s="189" t="str">
        <f>IF(Reinforcements[[#This Row],[Top End Connection Same?]]="Yes",Reinforcements[[#This Row],[Bottom End Connection Type]],"")</f>
        <v>Bolted</v>
      </c>
      <c r="BB8" s="189" t="str">
        <f>IF(Reinforcements[[#This Row],[Reinforcement]]="","",IF(Reinforcements[[#This Row],[Top End Connection Same?]]="Yes",Reinforcements[[#This Row],[Rev. F Bottom Connection Capacity (kips)]],IF(Reinforcements[[#This Row],[Reinforcement]]="","",IF(Reinforcements[[#This Row],[Top End Connection Type]]&lt;&gt;"Capacity Input","-",""))))</f>
        <v>-</v>
      </c>
      <c r="BC8" s="189" t="str">
        <f>IF(Reinforcements[[#This Row],[Reinforcement]]="","",IF(Reinforcements[[#This Row],[Top End Connection Same?]]="Yes",Reinforcements[[#This Row],[Rev. G Bottom Connection Capacity (kips)]],IF(Reinforcements[[#This Row],[Reinforcement]]="","",IF(Reinforcements[[#This Row],[Top End Connection Type]]&lt;&gt;"Capacity Input","-",""))))</f>
        <v>-</v>
      </c>
      <c r="BD8" s="461" t="str">
        <f>IF(Reinforcements[[#This Row],[Reinforcement]]="","",IF(Reinforcements[[#This Row],[Top End Connection Same?]]="Yes",Reinforcements[[#This Row],[Rev. G Bottom Connection Capacity (kips)]],IF(Reinforcements[[#This Row],[Reinforcement]]="","",IF(Reinforcements[[#This Row],[Top End Connection Type]]&lt;&gt;"Capacity Input","-",""))))</f>
        <v>-</v>
      </c>
      <c r="BE8" s="103" t="str">
        <f>IF(Reinforcements[[#This Row],[Top End Connection Same?]]="Yes",Reinforcements[[#This Row],[Bottom End Connection Bolt Type]],IF(Reinforcements[[#This Row],[Top End Connection Type]]="Welded","-",""))</f>
        <v>PC 8.8 - M20 (100)</v>
      </c>
      <c r="BF8" s="190" t="str">
        <f>IF(Reinforcements[[#This Row],[Top End Connection Same?]]="Yes",Reinforcements[[#This Row],[Threads Included (N) or Excluded (X) (Bottom)]],IF(Reinforcements[[#This Row],[Top End Connection Type]]="Welded","-",""))</f>
        <v>N</v>
      </c>
      <c r="BG8" s="190">
        <f>IF(Reinforcements[[#This Row],[Top End Connection Same?]]="Yes",Reinforcements[[#This Row],['# of End Connection Bolts          (Bottom)]],IF(Reinforcements[[#This Row],[Top End Connection Type]]="Welded","-",""))</f>
        <v>14</v>
      </c>
      <c r="BH8" s="190">
        <f>IF(Reinforcements[[#This Row],[Top End Connection Same?]]="Yes",Reinforcements[[#This Row],[End Connection Bolt Spacing (in) (B)]],IF(Reinforcements[[#This Row],[Top End Connection Type]]="Welded","-",""))</f>
        <v>3</v>
      </c>
      <c r="BI8" s="190">
        <f>IF(Reinforcements[[#This Row],[Top End Connection Same?]]="Yes",Reinforcements[[#This Row],[End Connection Edge Distance (in) (B)]],IF(Reinforcements[[#This Row],[Top End Connection Type]]="Welded","-",""))</f>
        <v>2</v>
      </c>
      <c r="BJ8" s="190">
        <f>Reinforcements[[#This Row],[End Connection Edge Distance (in) (T)]]-(Reinforcements[[#This Row],[Bolt Hole Size (in)]]+1/16)/2</f>
        <v>1.375</v>
      </c>
      <c r="BK8" s="190">
        <f>Reinforcements[[#This Row],[End Connection Bolt Spacing (in) (T)]]-(Reinforcements[[#This Row],[Bolt Hole Size (in)]]+1/16)</f>
        <v>1.75</v>
      </c>
      <c r="BL8" s="190">
        <f>Reinforcements[[#This Row],[End Connection Edge Distance (in) (T)]]</f>
        <v>2</v>
      </c>
      <c r="BM8" s="190">
        <f>Reinforcements[[#This Row],[End Connection Bolt Spacing (in) (T)]]</f>
        <v>3</v>
      </c>
      <c r="BN8" s="190" t="str">
        <f>IF(Reinforcements[[#This Row],[Reinforcement]]="","",IF(Reinforcements[[#This Row],[Top End Connection Same?]]="Yes",Reinforcements[[#This Row],[Bottom Connected to Flange/Base Plate?]],IF(Reinforcements[[#This Row],[Top End Connection Type]]="Bolted","-","")))</f>
        <v>-</v>
      </c>
      <c r="BO8" s="190" t="str">
        <f>IF(Reinforcements[[#This Row],[Reinforcement]]="","",IF(Reinforcements[[#This Row],[Top End Connection Same?]]="Yes",Reinforcements[[#This Row],[Bottom Weld Grade (ksi)]],IF(OR(Reinforcements[[#This Row],[Top End Connection Type]]&lt;&gt;"Welded",Reinforcements[[#This Row],[Top End Connection Type]]=""),"-","")))</f>
        <v>-</v>
      </c>
      <c r="BP8" s="190" t="str">
        <f>IF($AZ8="Yes",AP8,IF(Reinforcements[[#This Row],[Reinforcement]]="","",IF(OR(Reinforcements[[#This Row],[Top End Connection Type]]&lt;&gt;"Welded",Reinforcements[[#This Row],[Top End Connection Type]]=""),"-","")))</f>
        <v>-</v>
      </c>
      <c r="BQ8" s="190" t="str">
        <f>IF(Reinforcements[[#This Row],[Reinforcement]]="","",IF($AZ8="Yes",AQ8,IF(OR(Reinforcements[[#This Row],[Top End Connection Type]]&lt;&gt;"Welded",Reinforcements[[#This Row],[Top Transverse (Horizontal) Weld]]="none",Reinforcements[[#This Row],[Top Transverse (Horizontal) Weld]]=""),"-","")))</f>
        <v>-</v>
      </c>
      <c r="BR8" s="190" t="str">
        <f>IF($AZ8="Yes",AR8,IF(Reinforcements[[#This Row],[Reinforcement]]="","",IF(OR(Reinforcements[[#This Row],[Top Transverse (Horizontal) Weld]]="none",Reinforcements[[#This Row],[Top End Connection Type]]&lt;&gt;"Welded",Reinforcements[[#This Row],[Top Transverse (Horizontal) Weld]]="",Reinforcements[[#This Row],[Top Transverse (Horizontal) Weld]]="Fillet"),"-","")))</f>
        <v>-</v>
      </c>
      <c r="BS8" s="190" t="str">
        <f>IF($AZ8="Yes",AS8,IF(Reinforcements[[#This Row],[Reinforcement]]="","",IF(OR(Reinforcements[[#This Row],[Top Transverse (Horizontal) Weld]]="none",Reinforcements[[#This Row],[Top End Connection Type]]&lt;&gt;"Welded",Reinforcements[[#This Row],[Top Transverse (Horizontal) Weld]]="",Reinforcements[[#This Row],[Top Transverse (Horizontal) Weld]]="Fillet"),"-","")))</f>
        <v>-</v>
      </c>
      <c r="BT8" s="190" t="str">
        <f>IF(Reinforcements[[#This Row],[Reinforcement]]="","",IF($AZ8="Yes",AT8,IF(OR(Reinforcements[[#This Row],[Top Transverse (Horizontal) Weld]]="none",Reinforcements[[#This Row],[Top End Connection Type]]&lt;&gt;"Welded",Reinforcements[[#This Row],[Top Transverse (Horizontal) Weld]]=""),"-","")))</f>
        <v>-</v>
      </c>
      <c r="BU8" s="190" t="str">
        <f>IF($AZ8="Yes",AU8,IF(Reinforcements[[#This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8" s="190" t="str">
        <f>IF($AZ8="Yes",AV8,IF(Reinforcements[[#This Row],[Reinforcement]]="","",IF(OR(Reinforcements[[#This Row],[Top End Connection Type]]&lt;&gt;"Welded",Reinforcements[[#This Row],[Top End Connection Type]]=""),"-","")))</f>
        <v>-</v>
      </c>
      <c r="BW8" s="190" t="str">
        <f>IF($AZ8="Yes",AW8,IF(Reinforcements[[#This Row],[Reinforcement]]="","",IF(OR(Reinforcements[[#This Row],[Top End Connection Type]]&lt;&gt;"Welded",Reinforcements[[#This Row],[Top End Connection Type]]="",Reinforcements[[#This Row],[Top Longitudinal (Vertical) Weld]]="",Reinforcements[[#This Row],[Top Longitudinal (Vertical) Weld]]="None"),"-","")))</f>
        <v>-</v>
      </c>
      <c r="BX8" s="190" t="str">
        <f>IF($AZ8="Yes",AX8,IF(Reinforcements[[#This Row],[Reinforcement]]="","",IF(OR(Reinforcements[[#This Row],[Top End Connection Type]]&lt;&gt;"Welded",Reinforcements[[#This Row],[Top End Connection Type]]="",Reinforcements[[#This Row],[Top Longitudinal (Vertical) Weld]]="",Reinforcements[[#This Row],[Top Longitudinal (Vertical) Weld]]="None"),"-","")))</f>
        <v>-</v>
      </c>
      <c r="BY8" s="190" t="str">
        <f>IF($AZ8="Yes",AY8,IF(Reinforcements[[#This Row],[Reinforcement]]="","",IF(OR(Reinforcements[[#This Row],[Top End Connection Type]]&lt;&gt;"Welded",Reinforcements[[#This Row],[Top Longitudinal (Vertical) Weld]]="none"),"-",SQRT(2)/2*Reinforcements[[#This Row],[Top Longitudinal Weld Fillet Size (in)]])))</f>
        <v>-</v>
      </c>
      <c r="BZ8"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8" s="192">
        <f>IF(Reinforcements[[#This Row],[Reinforcement]]="","",IF(Reinforcements[[#This Row],[Bottom End Connection Type]]&lt;&gt;"Bolted","n/a",(Reinforcements[[#This Row],['# of End Connection Bolts          (Bottom)]]-1)*Reinforcements[[#This Row],[End Connection Bolt Spacing (in) (B)]]+Reinforcements[[#This Row],[End Connection Edge Distance (in) (B)]]))</f>
        <v>41</v>
      </c>
      <c r="CB8" s="192">
        <f>IF(Reinforcements[[#This Row],[Reinforcement]]="","",IF(Reinforcements[[#This Row],[Top End Connection Type]]&lt;&gt;"Bolted","n/a",(Reinforcements[[#This Row],['# of End Connection Bolts          (Top)]]-1)*Reinforcements[[#This Row],[End Connection Bolt Spacing (in) (T)]]+Reinforcements[[#This Row],[End Connection Edge Distance (in) (T)]]))</f>
        <v>41</v>
      </c>
      <c r="CC8"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7</v>
      </c>
      <c r="CD8"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v>
      </c>
      <c r="CE8" s="188">
        <f>IFERROR(IF(Reinforcements[[#This Row],[Type]]="","",Reinforcements[[#This Row],[Effective B (in)]]*Reinforcements[[#This Row],[Effective H (in)]]^3/12),"")</f>
        <v>1.96875</v>
      </c>
      <c r="CF8" s="188">
        <f>IFERROR(IF(Reinforcements[[#This Row],[Type]]="","",Reinforcements[[#This Row],[Effective B (in)]]^3*Reinforcements[[#This Row],[Effective H (in)]]/12),"")</f>
        <v>42.875</v>
      </c>
      <c r="CG8" s="196">
        <f>SQRT(2*PI()^2*29000/VLOOKUP(Reinforcements[[#This Row],[Material]],Materials[],2,FALSE))</f>
        <v>75.659570132481107</v>
      </c>
      <c r="CH8"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51.152644756591769</v>
      </c>
      <c r="CI8"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58.303588131808169</v>
      </c>
      <c r="CJ8" s="195">
        <f>Reinforcements[[#This Row],[Effective Length Factor Kx]]*Reinforcements[[#This Row],[Lu (in)]]/(Reinforcements[[#This Row],[rx]]*PI())*SQRT(VLOOKUP(Reinforcements[[#This Row],[Material]],Materials[],2,FALSE)/29000)</f>
        <v>0.55253585065708166</v>
      </c>
      <c r="CK8" s="195">
        <f>Reinforcements[[#This Row],[Effective Length Factor Ky]]*Reinforcements[[#This Row],[Lu (in)]]/(Reinforcements[[#This Row],[ry]]*PI())*SQRT(VLOOKUP(Reinforcements[[#This Row],[Material]],Materials[],2,FALSE)/29000)</f>
        <v>0.14800067428314684</v>
      </c>
      <c r="CL8" s="195">
        <f>IF(Reinforcements[[#This Row],[λcx]]&lt;=1.5,0.658^(Reinforcements[[#This Row],[λcx]]^2)*Reinforcements[[#This Row],[F''y]],0.877/(Reinforcements[[#This Row],[λcx]]^2)*Reinforcements[[#This Row],[F''y]])</f>
        <v>88.004548005745491</v>
      </c>
      <c r="CM8" s="195">
        <f>IF(Reinforcements[[#This Row],[λcy]]&lt;=1.5,0.658^(Reinforcements[[#This Row],[λcy]]^2)*Reinforcements[[#This Row],[F''y]],0.877/(Reinforcements[[#This Row],[λcy]]^2)*Reinforcements[[#This Row],[F''y]])</f>
        <v>99.087388771569621</v>
      </c>
      <c r="CN8" s="188">
        <f>VLOOKUP(Reinforcements[[#This Row],[Material]],Materials[],2,FALSE)</f>
        <v>100</v>
      </c>
      <c r="CO8" s="196">
        <f>IF(Reinforcements[[#This Row],[Reinforcement]]="","",Reinforcements[[#This Row],[Fax]]*Reinforcements[[#This Row],[Gross Area (in2)]])</f>
        <v>537.10276994421361</v>
      </c>
      <c r="CP8" s="196">
        <f>IF(Reinforcements[[#This Row],[Reinforcement]]="","",Reinforcements[[#This Row],[Fay]]*Reinforcements[[#This Row],[Gross Area (in2)]])</f>
        <v>612.18767538398583</v>
      </c>
      <c r="CQ8" s="196">
        <f>IF(Reinforcements[[#This Row],[Reinforcement]]="","",0.6*VLOOKUP(Reinforcements[[#This Row],[Material]],Materials[],2,FALSE)*Reinforcements[[#This Row],[Gross Area (in2)]])</f>
        <v>630</v>
      </c>
      <c r="CR8" s="196">
        <f>IF(Reinforcements[[#This Row],[Reinforcement]]="","",0.5*VLOOKUP(Reinforcements[[#This Row],[Material]],Materials[],3,FALSE)*Reinforcements[[#This Row],[Net Area (in2)]]*Reinforcements[[#This Row],[Shear Lag (U)]])</f>
        <v>474.375</v>
      </c>
      <c r="CS8" s="196">
        <f>IF(Reinforcements[[#This Row],[Reinforcement]]="","",0.4*VLOOKUP(Reinforcements[[#This Row],[Material]],Materials[],2,FALSE)*Reinforcements[[#This Row],[Gross Area (in2)]])</f>
        <v>420</v>
      </c>
      <c r="CT8"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8"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8"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8"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8"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8"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8"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3164.8818897637798</v>
      </c>
      <c r="DA8"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3500.0787401574803</v>
      </c>
      <c r="DB8"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3164.8818897637798</v>
      </c>
      <c r="DC8"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3500.0787401574803</v>
      </c>
      <c r="DD8"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8"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8" s="190" t="str">
        <f>IF($AZ8="Yes",DD8,IF(Reinforcements[[#This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8" s="190" t="str">
        <f>IF($AZ8="Yes",DE8,IF(Reinforcements[[#This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8" s="196">
        <f>IF(Reinforcements[[#This Row],[Reinforcement]]="","",φ_c*Reinforcements[[#This Row],[Fcr,x]]*Reinforcements[[#This Row],[Gross Area (in2)]])</f>
        <v>831.64297865429501</v>
      </c>
      <c r="DI8" s="196">
        <f>IF(Reinforcements[[#This Row],[Reinforcement]]="","",φ_c*Reinforcements[[#This Row],[Fcr,y]]*Reinforcements[[#This Row],[Gross Area (in2)]])</f>
        <v>936.37582389133286</v>
      </c>
      <c r="DJ8" s="196">
        <f>IF(Reinforcements[[#This Row],[Reinforcement]]="","",φ_t_y*VLOOKUP(Reinforcements[[#This Row],[Material]],Materials[],2,FALSE)*Reinforcements[[#This Row],[Gross Area (in2)]])</f>
        <v>945</v>
      </c>
      <c r="DK8" s="197">
        <f>IF(Reinforcements[[#This Row],[Reinforcement]]="","",φ_t_r*VLOOKUP(Reinforcements[[#This Row],[Material]],Materials[],3,FALSE)*Reinforcements[[#This Row],[Net Area (in2)]]*Reinforcements[[#This Row],[Shear Lag (U)]])</f>
        <v>711.5625</v>
      </c>
      <c r="DL8" s="197">
        <f>IF(Reinforcements[[#This Row],[Reinforcement]]="","",φ_v*0.5*Reinforcements[[#This Row],[F''y]]*Reinforcements[[#This Row],[Gross Area (in2)]])</f>
        <v>472.5</v>
      </c>
      <c r="DM8"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8"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8"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27.59433070866142</v>
      </c>
      <c r="DP8"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34.492913385826775</v>
      </c>
      <c r="DQ8"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8"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8"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4454.3763779527553</v>
      </c>
      <c r="DT8"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5567.9704724409448</v>
      </c>
      <c r="DU8"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4454.3763779527553</v>
      </c>
      <c r="DV8"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5567.9704724409448</v>
      </c>
      <c r="DW8"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8"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8" s="190" t="str">
        <f>IF($AZ8="Yes",DW8,IF(Reinforcements[[#This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8" s="190" t="str">
        <f>IF($AZ8="Yes",DX8,IF(Reinforcements[[#This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8" s="241" t="str">
        <f>IF(OR(Reinforcements[[#This Row],[Type]]="plate",Reinforcements[[#This Row],[Type]]="solid round"),"N/A",Reinforcements[[#This Row],[B (in)]])</f>
        <v>N/A</v>
      </c>
      <c r="EB8" s="237" t="str">
        <f>IF(OR(Reinforcements[[#This Row],[Type]]="plate",Reinforcements[[#This Row],[Type]]="solid round"),"N/A",Reinforcements[[#This Row],[H (in)]])</f>
        <v>N/A</v>
      </c>
      <c r="EC8" s="237" t="str">
        <f>IF(OR(Reinforcements[[#This Row],[Type]]="plate",Reinforcements[[#This Row],[Type]]="solid round"),"N/A",Reinforcements[[#This Row],[B (in)]]-Reinforcements[[#This Row],['[Channel'] Flange Thickness (in)]])</f>
        <v>N/A</v>
      </c>
      <c r="ED8" s="237" t="str">
        <f>IF(OR(Reinforcements[[#This Row],[Type]]="plate",Reinforcements[[#This Row],[Type]]="solid round"),"N/A",Reinforcements[[#This Row],['[Channel']Web Thickness (in)]])</f>
        <v>N/A</v>
      </c>
      <c r="EE8" s="237" t="str">
        <f>IF(OR(Reinforcements[[#This Row],[Type]]="plate",Reinforcements[[#This Row],[Type]]="solid round"),"N/A",Reinforcements[[#This Row],['[Channel'] Flange Thickness (in)]])</f>
        <v>N/A</v>
      </c>
      <c r="EF8" s="237" t="str">
        <f>IF(Reinforcements[[#This Row],[Type]]="channel",Reinforcements[[#This Row],[Channel Flange Width, b]]/Reinforcements[[#This Row],[Channel flange thickness, tf]],"N/A")</f>
        <v>N/A</v>
      </c>
      <c r="EG8" s="237" t="str">
        <f>IF(Reinforcements[[#This Row],[Type]]="channel",Reinforcements[[#This Row],[Channel inside depth, T]]/Reinforcements[[#This Row],[Channel web thickness, tw]],"N/A")</f>
        <v>N/A</v>
      </c>
      <c r="EH8" s="237">
        <v>29000</v>
      </c>
      <c r="EI8" s="237" t="str">
        <f>IF(Reinforcements[[#This Row],[Type]]="channel",0.56*SQRT(Reinforcements[[#This Row],[E, (ksi)]]/Reinforcements[[#This Row],[Fy, (ksi)]]),"N/A")</f>
        <v>N/A</v>
      </c>
      <c r="EJ8" s="237" t="str">
        <f>IF(Reinforcements[[#This Row],[Type]]="channel",1.49*SQRT(Reinforcements[[#This Row],[E, (ksi)]]/Reinforcements[[#This Row],[Fy, (ksi)]]),"N/A")</f>
        <v>N/A</v>
      </c>
      <c r="EK8" s="237">
        <f>VLOOKUP(Reinforcements[[#This Row],[Material]],Materials!$B$2:$C$30,2,FALSE)</f>
        <v>100</v>
      </c>
      <c r="EL8" s="237">
        <f>Reinforcements[[#This Row],[Lu (in)]]*Reinforcements[[#This Row],[Effective Length Factor Kx]]</f>
        <v>12.8</v>
      </c>
      <c r="EM8" s="237">
        <f>Reinforcements[[#This Row],[Lu (in)]]*Reinforcements[[#This Row],[Effective Length Factor Ky]]</f>
        <v>16</v>
      </c>
      <c r="EN8" s="237">
        <f>Reinforcements[[#This Row],[rx]]</f>
        <v>0.4330127018922193</v>
      </c>
      <c r="EO8" s="237">
        <f>Reinforcements[[#This Row],[ry]]</f>
        <v>2.0207259421636903</v>
      </c>
      <c r="EP8" s="237">
        <f>Reinforcements[[#This Row],[Lcx (in)]]/Reinforcements[[#This Row],[rx (in)]]</f>
        <v>29.560333782508842</v>
      </c>
      <c r="EQ8" s="237">
        <f>Reinforcements[[#This Row],[Lcy (in)]]/Reinforcements[[#This Row],[ry (in)]]</f>
        <v>7.9179465488862961</v>
      </c>
      <c r="ER8" s="237">
        <f>((PI()^2)*Reinforcements[[#This Row],[E, (ksi)]])/(Reinforcements[[#This Row],[Lcx/rx]]^2)</f>
        <v>327.55111041823346</v>
      </c>
      <c r="ES8" s="237">
        <f>((PI()^2)*Reinforcements[[#This Row],[E, (ksi)]])/(Reinforcements[[#This Row],[Lcy/ry]]^2)</f>
        <v>4565.3345878736909</v>
      </c>
      <c r="ET8" s="237">
        <f>4.71*(SQRT(Reinforcements[[#This Row],[E, (ksi)]]/Reinforcements[[#This Row],[Fy, (ksi)]]))</f>
        <v>80.20840978351336</v>
      </c>
      <c r="EU8" s="237">
        <f>IF(Reinforcements[[#This Row],[Lcx/rx]]&lt;=Reinforcements[[#This Row],[Fcr Limit]],(0.658^(Reinforcements[[#This Row],[Fy, (ksi)]]/Reinforcements[[#This Row],[Fex, FB (ksi)]]))*Reinforcements[[#This Row],[Fy, (ksi)]],0.877*Reinforcements[[#This Row],[Fex, FB (ksi)]])</f>
        <v>88.004548005745491</v>
      </c>
      <c r="EV8" s="237">
        <f>IF(Reinforcements[[#This Row],[Lcy/ry]]&lt;=Reinforcements[[#This Row],[Fcr Limit]],(0.658^(Reinforcements[[#This Row],[Fy, (ksi)]]/Reinforcements[[#This Row],[Fey, FB (ksi)]]))*Reinforcements[[#This Row],[Fy, (ksi)]],0.877*Reinforcements[[#This Row],[Fey, FB (ksi)]])</f>
        <v>99.087388771569621</v>
      </c>
      <c r="EW8" s="237">
        <f>Reinforcements[[#This Row],[Fcrx (ksi)]]*Reinforcements[[#This Row],[Gross Area (in2)]]</f>
        <v>924.04775406032763</v>
      </c>
      <c r="EX8" s="237">
        <f>Reinforcements[[#This Row],[Fcry (ksi)]]*Reinforcements[[#This Row],[Gross Area (in2)]]</f>
        <v>1040.417582101481</v>
      </c>
      <c r="EY8" s="237" t="str">
        <f>IF(Reinforcements[[#This Row],[Type]]="channel",0,"N/A")</f>
        <v>N/A</v>
      </c>
      <c r="EZ8" s="237" t="str">
        <f>IF(Reinforcements[[#This Row],[Type]]="channel",Reinforcements[[#This Row],[Channel Flange Width, b]]-(0.5*Reinforcements[[#This Row],[Channel web thickness, tw]]),"N/A")</f>
        <v>N/A</v>
      </c>
      <c r="FA8" s="237" t="str">
        <f>IF(Reinforcements[[#This Row],[Type]]="channel",Reinforcements[[#This Row],[Channel Height, h]]-Reinforcements[[#This Row],[Channel flange thickness, tf]],"N/A")</f>
        <v>N/A</v>
      </c>
      <c r="FB8" s="237" t="str">
        <f>IF(Reinforcements[[#This Row],[Type]]="channel",Reinforcements[[#This Row],[Channel web thickness, tw]],"N/A")</f>
        <v>N/A</v>
      </c>
      <c r="FC8" s="237" t="str">
        <f>IF(Reinforcements[[#This Row],[Type]]="channel",((3*Reinforcements[[#This Row],[b]]^2)/(Reinforcements[[#This Row],[h]]+(6*Reinforcements[[#This Row],[b]])))-Reinforcements[[#This Row],[t]]/2,"N/A")</f>
        <v>N/A</v>
      </c>
      <c r="FD8" s="237">
        <f>Reinforcements[[#This Row],[Pole Face to Centroid (in)]]</f>
        <v>0.75</v>
      </c>
      <c r="FE8" s="237" t="str">
        <f>IF(Reinforcements[[#This Row],[Type]]="channel",Reinforcements[[#This Row],[x(bar)]]+Reinforcements[[#This Row],['[Channel'] e0 (in)]],"N/A")</f>
        <v>N/A</v>
      </c>
      <c r="FF8" s="237" t="str">
        <f>IF(Reinforcements[[#This Row],[Type]]="channel",Reinforcements[[#This Row],[Ix]],"N/A")</f>
        <v>N/A</v>
      </c>
      <c r="FG8" s="237" t="str">
        <f>IF(Reinforcements[[#This Row],[Type]]="channel",Reinforcements[[#This Row],[Iy]],"N/A")</f>
        <v>N/A</v>
      </c>
      <c r="FH8" s="237" t="str">
        <f>IF(Reinforcements[[#This Row],[Type]]="channel",Reinforcements[[#This Row],[Gross Area (in2)]],"N/A")</f>
        <v>N/A</v>
      </c>
      <c r="FI8" s="237" t="str">
        <f>IF(Reinforcements[[#This Row],[Type]]="channel",(Reinforcements[[#This Row],[xo]]^2)+((Reinforcements[[#This Row],[Ix (FTB)]]+Reinforcements[[#This Row],[Iy (FTB)]])/Reinforcements[[#This Row],[Ag]]),"N/A")</f>
        <v>N/A</v>
      </c>
      <c r="FJ8" s="237" t="str">
        <f>IF(Reinforcements[[#This Row],[Type]]="channel",Reinforcements[[#This Row],[Lu (in)]],"N/A")</f>
        <v>N/A</v>
      </c>
      <c r="FK8" s="237" t="str">
        <f>IF(Reinforcements[[#This Row],[Type]]="channel",Reinforcements[[#This Row],[Effective Length Factor Kx]],"N/A")</f>
        <v>N/A</v>
      </c>
      <c r="FL8" s="237" t="str">
        <f>IF(Reinforcements[[#This Row],[Type]]="channel",Reinforcements[[#This Row],[Kz]]*Reinforcements[[#This Row],[Lz]],"N/A")</f>
        <v>N/A</v>
      </c>
      <c r="FM8" s="237" t="str">
        <f>IF(Reinforcements[[#This Row],[Type]]="channel",(((Reinforcements[[#This Row],[t]]^3)/3)*(Reinforcements[[#This Row],[h]]+(2*Reinforcements[[#This Row],[b]]))),"N/A")</f>
        <v>N/A</v>
      </c>
      <c r="FN8" s="237" t="str">
        <f>IF(Reinforcements[[#This Row],[Type]]="channel",(1-(((Reinforcements[[#This Row],[xo]]^2)+(Reinforcements[[#This Row],[yo]]^2))/Reinforcements[[#This Row],[ro^2(bar)]])),"N/A")</f>
        <v>N/A</v>
      </c>
      <c r="FO8" s="237">
        <v>11200</v>
      </c>
      <c r="FP8" s="237" t="str">
        <f>IF(Reinforcements[[#This Row],[Type]]="channel",(((Reinforcements[[#This Row],[h]]^2)*(Reinforcements[[#This Row],[b]]^3)*Reinforcements[[#This Row],[t]])/12)*(((2*Reinforcements[[#This Row],[h]])+(3*Reinforcements[[#This Row],[b]]))/(Reinforcements[[#This Row],[h]]+(6*Reinforcements[[#This Row],[b]]))),"N/A")</f>
        <v>N/A</v>
      </c>
      <c r="FQ8" s="237" t="str">
        <f>IF(Reinforcements[[#This Row],[Type]]="Channel",((((PI()^2)*Reinforcements[[#This Row],[E, (ksi)]]*Reinforcements[[#This Row],['[Channel'] CW (in6)]])/(Reinforcements[[#This Row],[Lcz]]^2))+(Reinforcements[[#This Row],[G]]*Reinforcements[[#This Row],['[Channel'] J (in4)]]))*(1/(Reinforcements[[#This Row],[Ag]]*Reinforcements[[#This Row],[ro^2(bar)]])),"N/A")</f>
        <v>N/A</v>
      </c>
      <c r="FR8" s="237" t="str">
        <f>IF(Reinforcements[[#This Row],[Type]]="channel",((PI()^2)*Reinforcements[[#This Row],[E, (ksi)]])/(Reinforcements[[#This Row],[Lcy/ry]]^2),"N/A")</f>
        <v>N/A</v>
      </c>
      <c r="FS8" s="237" t="str">
        <f>IF(Reinforcements[[#This Row],[Type]]="channel",((Reinforcements[[#This Row],[Fey]]+Reinforcements[[#This Row],[Fez]])/(2*Reinforcements[[#This Row],[H2]]))*(1-SQRT(1-((4*Reinforcements[[#This Row],[Fey]]*Reinforcements[[#This Row],[Fez]]*Reinforcements[[#This Row],[H2]])/(Reinforcements[[#This Row],[Fey]]+Reinforcements[[#This Row],[Fez]])^2))),"N/A")</f>
        <v>N/A</v>
      </c>
      <c r="FT8" s="237" t="str">
        <f>IF(Reinforcements[[#This Row],[Type]]="channel",IF(Reinforcements[[#This Row],[Lcx/rx]]&gt;(4.71*SQRT(Reinforcements[[#This Row],[E, (ksi)]]/Reinforcements[[#This Row],[Fy, (ksi)]])),0.877*Reinforcements[[#This Row],[Fe (FTB)]],0.658^(Reinforcements[[#This Row],[Fy, (ksi)]]/Reinforcements[[#This Row],[Fe (FTB)]])*Reinforcements[[#This Row],[Fy, (ksi)]]),"N/A")</f>
        <v>N/A</v>
      </c>
      <c r="FU8" s="237" t="str">
        <f>IF(Reinforcements[[#This Row],[Type]]="channel",MIN(Reinforcements[[#This Row],[Fcr(FTB)]],Reinforcements[[#This Row],[Fcry (ksi)]]),"N/A")</f>
        <v>N/A</v>
      </c>
      <c r="FV8" s="237">
        <v>0.22</v>
      </c>
      <c r="FW8" s="237">
        <v>1.49</v>
      </c>
      <c r="FX8" s="237" t="str">
        <f>IF(Reinforcements[[#This Row],[Type]]="channel",((Reinforcements[[#This Row],[c2]]*(Reinforcements[[#This Row],[λrf]]/Reinforcements[[#This Row],[λf]]))^2)*Reinforcements[[#This Row],[Fy, (ksi)]],"N/A")</f>
        <v>N/A</v>
      </c>
      <c r="FY8" s="237" t="str">
        <f>IF(Reinforcements[[#This Row],[Type]]="channel",((Reinforcements[[#This Row],[c2]]*(Reinforcements[[#This Row],[λrw]]/Reinforcements[[#This Row],[λw]]))^2)*Reinforcements[[#This Row],[Fy, (ksi)]],"N/A")</f>
        <v>N/A</v>
      </c>
      <c r="FZ8"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 s="237" t="str">
        <f>IF(Reinforcements[[#This Row],[Type]]="channel",Reinforcements[[#This Row],[Fcr]]*Reinforcements[[#This Row],[Ae]],"N/A")</f>
        <v>N/A</v>
      </c>
      <c r="GD8" s="466">
        <f>IF(Reinforcements[[#This Row],[Reinforcement]]="","",φ_c*Reinforcements[[#This Row],[Pnx, FB (kip)]])</f>
        <v>831.64297865429489</v>
      </c>
      <c r="GE8" s="466">
        <f>IF(Reinforcements[[#This Row],[Reinforcement]]="","",IF(Reinforcements[[#This Row],[Type]]="channel",φ_c*Reinforcements[[#This Row],[Pn]],φ_c*Reinforcements[[#This Row],[Pny, FB (kip)]]))</f>
        <v>936.37582389133297</v>
      </c>
      <c r="GF8" s="466">
        <f>Reinforcements[[#This Row],[Rev. G Tension Yield Capacity (kips)]]</f>
        <v>945</v>
      </c>
      <c r="GG8" s="466">
        <f>Reinforcements[[#This Row],[Rev. G Tension Rupture Capacity (kips)]]</f>
        <v>711.5625</v>
      </c>
      <c r="GH8" s="466">
        <f>Reinforcements[[#This Row],[Rev. G Shear Capacity (kips)]]</f>
        <v>472.5</v>
      </c>
      <c r="GI8" s="466">
        <f>IFERROR((Reinforcements[[#This Row],['# of End Connection Bolts          (Bottom)]]-1)*Reinforcements[[#This Row],[End Connection Bolt Spacing (in) (B)]],"-")</f>
        <v>39</v>
      </c>
      <c r="GJ8" s="466">
        <f>IFERROR(IF(VLOOKUP(Reinforcements[[#This Row],[Bottom End Connection Bolt Type]],Bolts[],COLUMN(Bolts[[#Headers],[Rev. H Apply Connection Length Reduction Factor (Rb)?]])-1,FALSE)="Yes",(IF(Reinforcements[[#This Row],[Lb(bottom)]]&lt;=16,1,IF(Reinforcements[[#This Row],[Lb(bottom)]]&gt;38,0.75,0.9))),1),"-")</f>
        <v>1</v>
      </c>
      <c r="GK8"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649.59497359145109</v>
      </c>
      <c r="GL8" s="466">
        <f>IFERROR(IF(Reinforcements[[#This Row],[Top End Connection Same?]]="Yes",Reinforcements[[#This Row],[Lb(bottom)]],(Reinforcements[[#This Row],['# of End Connection Bolts          (Top)]]-1)*Reinforcements[[#This Row],[End Connection Bolt Spacing (in) (T)]]),"-")</f>
        <v>39</v>
      </c>
      <c r="GM8" s="466">
        <f>IFERROR(IF(VLOOKUP(Reinforcements[[#This Row],[Top End Connection Bolt Type]],Bolts[],COLUMN(Bolts[[#Headers],[Rev. H Apply Connection Length Reduction Factor (Rb)?]])-1,FALSE)="Yes",(IF(Reinforcements[[#This Row],[Lb(top)]]&lt;=16,1,IF(Reinforcements[[#This Row],[Lb(top)]]&gt;38,0.75,0.9))),1),"-")</f>
        <v>1</v>
      </c>
      <c r="GN8"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649.59497359145109</v>
      </c>
      <c r="GO8" s="466">
        <f>Reinforcements[[#This Row],[Rev. G Bolt-Shaft Bearing Capacity (Bottom)                No Deformation          (*t*Fu kips)]]</f>
        <v>27.59433070866142</v>
      </c>
      <c r="GP8" s="466">
        <f>Reinforcements[[#This Row],[Rev. G Bolt-Shaft Bearing Capacity (Bottom)                   Deformation          (*t*Fu kips)]]</f>
        <v>34.492913385826775</v>
      </c>
      <c r="GQ8" s="466">
        <f>Reinforcements[[#This Row],[Rev. G Bolt-Shaft Bearing Capacity (Top)                    No Deformation          (*t*Fu kips)]]</f>
        <v>27.59433070866142</v>
      </c>
      <c r="GR8" s="466">
        <f>Reinforcements[[#This Row],[Rev. G Bolt-Shaft Bearing Capacity (Top)                        Deformation          (*t*Fu kips)]]</f>
        <v>34.492913385826775</v>
      </c>
      <c r="GS8" s="466">
        <f>Reinforcements[[#This Row],[Rev. G Bolt-Reinf. Bearing Capacity (Bottom)            No Deformation (kips)]]</f>
        <v>4454.3763779527553</v>
      </c>
      <c r="GT8" s="466">
        <f>Reinforcements[[#This Row],[Rev. G Bolt-Reinf. Bearing Capacity (Bottom)               Deformation (kips)]]</f>
        <v>5567.9704724409448</v>
      </c>
      <c r="GU8" s="466">
        <f>Reinforcements[[#This Row],[Rev. G Bolt-Reinf. Bearing Capacity (Top)                  No Deformation (kips)]]</f>
        <v>4454.3763779527553</v>
      </c>
      <c r="GV8" s="466">
        <f>Reinforcements[[#This Row],[Rev. G Bolt-Reinf. Bearing Capacity (Top)               Deformation (kips)]]</f>
        <v>5567.9704724409448</v>
      </c>
      <c r="GW8" s="466" t="str">
        <f>Reinforcements[[#This Row],[Rev. G Bottom Transverse Weld Strength]]</f>
        <v>-</v>
      </c>
      <c r="GX8" s="466" t="str">
        <f>Reinforcements[[#This Row],[Rev. G Bottom Longitudinal Weld Strength]]</f>
        <v>-</v>
      </c>
      <c r="GY8" s="466" t="str">
        <f>Reinforcements[[#This Row],[Rev. G Top Transverse Weld Strength]]</f>
        <v>-</v>
      </c>
      <c r="GZ8" s="466" t="str">
        <f>Reinforcements[[#This Row],[Rev. G Top Longitudinal Weld Strength]]</f>
        <v>-</v>
      </c>
      <c r="HA8" s="552">
        <v>6</v>
      </c>
      <c r="HB8"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9" spans="2:210" x14ac:dyDescent="0.2">
      <c r="B9" s="72" t="s">
        <v>216</v>
      </c>
      <c r="C9" s="72" t="s">
        <v>146</v>
      </c>
      <c r="D9" s="185">
        <v>8</v>
      </c>
      <c r="E9" s="185">
        <v>1</v>
      </c>
      <c r="F9" s="185" t="str">
        <f>IF(Reinforcements[[#This Row],[Type]]="","",IF(Reinforcements[[#This Row],[Type]]="solid round","","n/a"))</f>
        <v>n/a</v>
      </c>
      <c r="G9" s="185" t="str">
        <f>IF(Reinforcements[[#This Row],[Type]]="","",IF(Reinforcements[[#This Row],[Type]]&lt;&gt;"channel","n/a",""))</f>
        <v>n/a</v>
      </c>
      <c r="H9" s="185" t="str">
        <f>IF(Reinforcements[[#This Row],[Type]]="","",IF(Reinforcements[[#This Row],[Type]]&lt;&gt;"channel","n/a",""))</f>
        <v>n/a</v>
      </c>
      <c r="I9" s="197" t="str">
        <f>IF(Reinforcements[[#This Row],[Type]]="","",IF(Reinforcements[[#This Row],[Type]]&lt;&gt;"channel","n/a",Reinforcements[[#This Row],[eo]]))</f>
        <v>n/a</v>
      </c>
      <c r="J9" s="197" t="str">
        <f>IF(Reinforcements[[#This Row],[Type]]="","",IF(Reinforcements[[#This Row],[Type]]&lt;&gt;"channel","n/a",Reinforcements[[#This Row],[J]]))</f>
        <v>n/a</v>
      </c>
      <c r="K9" s="197" t="str">
        <f>IF(Reinforcements[[#This Row],[Type]]="","",IF(Reinforcements[[#This Row],[Type]]&lt;&gt;"channel","n/a",Reinforcements[[#This Row],[Cw]]))</f>
        <v>n/a</v>
      </c>
      <c r="L9" s="185">
        <f>IFERROR(IF(Reinforcements[[#This Row],[Type]]="","",IF(Reinforcements[[#This Row],[Type]]="plate",Reinforcements[[#This Row],[B (in)]]*Reinforcements[[#This Row],[H (in)]],IF(Reinforcements[[#This Row],[Type]]="solid round",PI()/4*Reinforcements[[#This Row],[Diameter (in)]]^2,""))),"")</f>
        <v>8</v>
      </c>
      <c r="M9" s="185">
        <f>IFERROR(IF(Reinforcements[[#This Row],[Type]]="","",IF(Reinforcements[[#This Row],[Type]]="plate",Reinforcements[[#This Row],[H (in)]]/2,"")),"")</f>
        <v>0.5</v>
      </c>
      <c r="N9" s="186" t="s">
        <v>297</v>
      </c>
      <c r="O9" s="185" t="s">
        <v>153</v>
      </c>
      <c r="P9" s="187">
        <f>IFERROR(IF(Reinforcements[[#This Row],[Type]]="","",IF(Reinforcements[[#This Row],[Type]]="plate",Reinforcements[[#This Row],[B (in)]]*Reinforcements[[#This Row],[H (in)]]^3/12,IF(Reinforcements[[#This Row],[Type]]="solid round",PI()/64*Reinforcements[[#This Row],[Diameter (in)]]^4,""))),"")</f>
        <v>0.66666666666666663</v>
      </c>
      <c r="Q9" s="187">
        <f>IF(Reinforcements[[#This Row],[Reinforcement]]="","",SQRT(Reinforcements[[#This Row],[Ix]]/Reinforcements[[#This Row],[Gross Area (in2)]]))</f>
        <v>0.28867513459481287</v>
      </c>
      <c r="R9" s="187">
        <f>IFERROR(IF(Reinforcements[[#This Row],[Type]]="","",IF(Reinforcements[[#This Row],[Type]]="plate",Reinforcements[[#This Row],[B (in)]]^3*Reinforcements[[#This Row],[H (in)]]/12,IF(Reinforcements[[#This Row],[Type]]="solid round",PI()/64*Reinforcements[[#This Row],[Diameter (in)]]^4,""))),"")</f>
        <v>42.666666666666664</v>
      </c>
      <c r="S9" s="187">
        <f>IF(Reinforcements[[#This Row],[Reinforcement]]="","",SQRT(Reinforcements[[#This Row],[Iy]]/Reinforcements[[#This Row],[Gross Area (in2)]]))</f>
        <v>2.3094010767585029</v>
      </c>
      <c r="T9" s="190">
        <v>24</v>
      </c>
      <c r="U9" s="188">
        <v>0.8</v>
      </c>
      <c r="V9" s="188">
        <v>1</v>
      </c>
      <c r="W9" s="185">
        <v>1.1875</v>
      </c>
      <c r="X9" s="188">
        <f>IF(Reinforcements[[#This Row],[Bolt Hole Size (in)]]="","",IF(Reinforcements[[#This Row],[Bolt Hole Size (in)]]="n/a","n/a",Reinforcements[[#This Row],[Bolt Hole Size (in)]]*25.4))</f>
        <v>30.162499999999998</v>
      </c>
      <c r="Y9"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6.75</v>
      </c>
      <c r="Z9" s="185">
        <f>IFERROR(IF(Reinforcements[[#This Row],[Reinforcement]]="","",IF(OR(Reinforcements[[#This Row],[Type]]="plate",Reinforcements[[#This Row],[Type]]="solid round"),1,IF(Reinforcements[[#This Row],[Type]]="arbitrary","",1-Reinforcements[[#This Row],[Pole Face to Centroid (in)]]/Reinforcements[[#This Row],[Connection Length (in) '[Channels']]]))),"")</f>
        <v>1</v>
      </c>
      <c r="AA9" s="189" t="s">
        <v>391</v>
      </c>
      <c r="AB9" s="189" t="str">
        <f>IF(Reinforcements[[#This Row],[Reinforcement]]="","",IF(Reinforcements[[#This Row],[Bottom End Connection Type]]&lt;&gt;"Capacity Input","-",""))</f>
        <v>-</v>
      </c>
      <c r="AC9" s="189" t="str">
        <f>IF(Reinforcements[[#This Row],[Reinforcement]]="","",IF(Reinforcements[[#This Row],[Bottom End Connection Type]]&lt;&gt;"Capacity Input","-",""))</f>
        <v>-</v>
      </c>
      <c r="AD9" s="461" t="str">
        <f>IF(Reinforcements[[#This Row],[Reinforcement]]="","",IF(Reinforcements[[#This Row],[Bottom End Connection Type]]&lt;&gt;"Capacity Input","-",""))</f>
        <v>-</v>
      </c>
      <c r="AE9" s="103" t="s">
        <v>416</v>
      </c>
      <c r="AF9" s="190" t="s">
        <v>296</v>
      </c>
      <c r="AG9" s="190">
        <v>21</v>
      </c>
      <c r="AH9" s="190">
        <v>3</v>
      </c>
      <c r="AI9" s="190">
        <v>2</v>
      </c>
      <c r="AJ9" s="190">
        <f>Reinforcements[[#This Row],[End Connection Edge Distance (in) (B)]]-(Reinforcements[[#This Row],[Bolt Hole Size (in)]]+1/16)/2</f>
        <v>1.375</v>
      </c>
      <c r="AK9" s="190">
        <f>Reinforcements[[#This Row],[End Connection Bolt Spacing (in) (B)]]-(Reinforcements[[#This Row],[Bolt Hole Size (in)]]+1/16)</f>
        <v>1.75</v>
      </c>
      <c r="AL9" s="190">
        <f>Reinforcements[[#This Row],[End Connection Edge Distance (in) (B)]]</f>
        <v>2</v>
      </c>
      <c r="AM9" s="190">
        <f>Reinforcements[[#This Row],[End Connection Bolt Spacing (in) (B)]]</f>
        <v>3</v>
      </c>
      <c r="AN9" s="190" t="str">
        <f>IF(Reinforcements[[#This Row],[Reinforcement]]="","",IF(OR(Reinforcements[[#This Row],[Bottom End Connection Type]]="Bolted",Reinforcements[[#This Row],[Bottom End Connection Type]]=""),"-",""))</f>
        <v>-</v>
      </c>
      <c r="AO9" s="191" t="str">
        <f>IF(Reinforcements[[#This Row],[Reinforcement]]="","",IF(OR(Reinforcements[[#This Row],[Bottom End Connection Type]]="Bolted",Reinforcements[[#This Row],[Bottom End Connection Type]]=""),"-",""))</f>
        <v>-</v>
      </c>
      <c r="AP9" s="191" t="str">
        <f>IF(Reinforcements[[#This Row],[Reinforcement]]="","",IF(OR(Reinforcements[[#This Row],[Bottom End Connection Type]]="Bolted",Reinforcements[[#This Row],[Bottom End Connection Type]]=""),"-",""))</f>
        <v>-</v>
      </c>
      <c r="AQ9" s="191" t="str">
        <f>IF(OR(Reinforcements[[#This Row],[Bottom End Connection Type]]="Bolted",Reinforcements[[#This Row],[Bottom Transverse (Horizontal) Weld]]="none"),"-","")</f>
        <v>-</v>
      </c>
      <c r="AR9"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9"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9" s="191" t="str">
        <f>IF(OR(Reinforcements[[#This Row],[Bottom Transverse (Horizontal) Weld]]="none",Reinforcements[[#This Row],[Bottom End Connection Type]]="Bolted"),"-","")</f>
        <v>-</v>
      </c>
      <c r="AU9"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9" s="191" t="str">
        <f>IF(Reinforcements[[#This Row],[Reinforcement]]="","",IF(OR(Reinforcements[[#This Row],[Bottom End Connection Type]]="Bolted",Reinforcements[[#This Row],[Bottom End Connection Type]]=""),"-",""))</f>
        <v>-</v>
      </c>
      <c r="AW9" s="191" t="str">
        <f>IF(Reinforcements[[#This Row],[Reinforcement]]="","",IF(OR(Reinforcements[[#This Row],[Bottom End Connection Type]]&lt;&gt;"Welded",Reinforcements[[#This Row],[Bottom Longitudinal (Vertical) Weld]]="None",Reinforcements[[#This Row],[Bottom Longitudinal (Vertical) Weld]]=""),"-",""))</f>
        <v>-</v>
      </c>
      <c r="AX9" s="191" t="str">
        <f>IF(Reinforcements[[#This Row],[Reinforcement]]="","",IF(OR(Reinforcements[[#This Row],[Bottom End Connection Type]]&lt;&gt;"Welded",Reinforcements[[#This Row],[Bottom Longitudinal (Vertical) Weld]]="None",Reinforcements[[#This Row],[Bottom Longitudinal (Vertical) Weld]]=""),"-",""))</f>
        <v>-</v>
      </c>
      <c r="AY9" s="190" t="str">
        <f>IF(Reinforcements[[#This Row],[Reinforcement]]="","",IF(OR(Reinforcements[[#This Row],[Bottom End Connection Type]]&lt;&gt;"Welded",Reinforcements[[#This Row],[Bottom Longitudinal (Vertical) Weld]]="None"),"-",SQRT(2)/2*Reinforcements[[#This Row],[Bottom Longitudinal Weld Fillet Size (in)]]))</f>
        <v>-</v>
      </c>
      <c r="AZ9" s="190" t="s">
        <v>295</v>
      </c>
      <c r="BA9" s="189" t="str">
        <f>IF(Reinforcements[[#This Row],[Top End Connection Same?]]="Yes",Reinforcements[[#This Row],[Bottom End Connection Type]],"")</f>
        <v>Bolted</v>
      </c>
      <c r="BB9" s="189" t="str">
        <f>IF(Reinforcements[[#This Row],[Reinforcement]]="","",IF(Reinforcements[[#This Row],[Top End Connection Same?]]="Yes",Reinforcements[[#This Row],[Rev. F Bottom Connection Capacity (kips)]],IF(Reinforcements[[#This Row],[Reinforcement]]="","",IF(Reinforcements[[#This Row],[Top End Connection Type]]&lt;&gt;"Capacity Input","-",""))))</f>
        <v>-</v>
      </c>
      <c r="BC9" s="189" t="str">
        <f>IF(Reinforcements[[#This Row],[Reinforcement]]="","",IF(Reinforcements[[#This Row],[Top End Connection Same?]]="Yes",Reinforcements[[#This Row],[Rev. G Bottom Connection Capacity (kips)]],IF(Reinforcements[[#This Row],[Reinforcement]]="","",IF(Reinforcements[[#This Row],[Top End Connection Type]]&lt;&gt;"Capacity Input","-",""))))</f>
        <v>-</v>
      </c>
      <c r="BD9" s="461" t="str">
        <f>IF(Reinforcements[[#This Row],[Reinforcement]]="","",IF(Reinforcements[[#This Row],[Top End Connection Same?]]="Yes",Reinforcements[[#This Row],[Rev. G Bottom Connection Capacity (kips)]],IF(Reinforcements[[#This Row],[Reinforcement]]="","",IF(Reinforcements[[#This Row],[Top End Connection Type]]&lt;&gt;"Capacity Input","-",""))))</f>
        <v>-</v>
      </c>
      <c r="BE9" s="103" t="str">
        <f>IF(Reinforcements[[#This Row],[Top End Connection Same?]]="Yes",Reinforcements[[#This Row],[Bottom End Connection Bolt Type]],IF(Reinforcements[[#This Row],[Top End Connection Type]]="Welded","-",""))</f>
        <v>PC 8.8 - M20 (100)</v>
      </c>
      <c r="BF9" s="190" t="str">
        <f>IF(Reinforcements[[#This Row],[Top End Connection Same?]]="Yes",Reinforcements[[#This Row],[Threads Included (N) or Excluded (X) (Bottom)]],IF(Reinforcements[[#This Row],[Top End Connection Type]]="Welded","-",""))</f>
        <v>N</v>
      </c>
      <c r="BG9" s="190">
        <f>IF(Reinforcements[[#This Row],[Top End Connection Same?]]="Yes",Reinforcements[[#This Row],['# of End Connection Bolts          (Bottom)]],IF(Reinforcements[[#This Row],[Top End Connection Type]]="Welded","-",""))</f>
        <v>21</v>
      </c>
      <c r="BH9" s="190">
        <f>IF(Reinforcements[[#This Row],[Top End Connection Same?]]="Yes",Reinforcements[[#This Row],[End Connection Bolt Spacing (in) (B)]],IF(Reinforcements[[#This Row],[Top End Connection Type]]="Welded","-",""))</f>
        <v>3</v>
      </c>
      <c r="BI9" s="190">
        <f>IF(Reinforcements[[#This Row],[Top End Connection Same?]]="Yes",Reinforcements[[#This Row],[End Connection Edge Distance (in) (B)]],IF(Reinforcements[[#This Row],[Top End Connection Type]]="Welded","-",""))</f>
        <v>2</v>
      </c>
      <c r="BJ9" s="190">
        <f>Reinforcements[[#This Row],[End Connection Edge Distance (in) (T)]]-(Reinforcements[[#This Row],[Bolt Hole Size (in)]]+1/16)/2</f>
        <v>1.375</v>
      </c>
      <c r="BK9" s="190">
        <f>Reinforcements[[#This Row],[End Connection Bolt Spacing (in) (T)]]-(Reinforcements[[#This Row],[Bolt Hole Size (in)]]+1/16)</f>
        <v>1.75</v>
      </c>
      <c r="BL9" s="190">
        <f>Reinforcements[[#This Row],[End Connection Edge Distance (in) (T)]]</f>
        <v>2</v>
      </c>
      <c r="BM9" s="190">
        <f>Reinforcements[[#This Row],[End Connection Bolt Spacing (in) (T)]]</f>
        <v>3</v>
      </c>
      <c r="BN9" s="190" t="str">
        <f>IF(Reinforcements[[#This Row],[Reinforcement]]="","",IF(Reinforcements[[#This Row],[Top End Connection Same?]]="Yes",Reinforcements[[#This Row],[Bottom Connected to Flange/Base Plate?]],IF(Reinforcements[[#This Row],[Top End Connection Type]]="Bolted","-","")))</f>
        <v>-</v>
      </c>
      <c r="BO9" s="190" t="str">
        <f>IF(Reinforcements[[#This Row],[Reinforcement]]="","",IF(Reinforcements[[#This Row],[Top End Connection Same?]]="Yes",Reinforcements[[#This Row],[Bottom Weld Grade (ksi)]],IF(OR(Reinforcements[[#This Row],[Top End Connection Type]]&lt;&gt;"Welded",Reinforcements[[#This Row],[Top End Connection Type]]=""),"-","")))</f>
        <v>-</v>
      </c>
      <c r="BP9" s="190" t="str">
        <f>IF($AZ9="Yes",AP9,IF(Reinforcements[[#This Row],[Reinforcement]]="","",IF(OR(Reinforcements[[#This Row],[Top End Connection Type]]&lt;&gt;"Welded",Reinforcements[[#This Row],[Top End Connection Type]]=""),"-","")))</f>
        <v>-</v>
      </c>
      <c r="BQ9" s="190" t="str">
        <f>IF(Reinforcements[[#This Row],[Reinforcement]]="","",IF($AZ9="Yes",AQ9,IF(OR(Reinforcements[[#This Row],[Top End Connection Type]]&lt;&gt;"Welded",Reinforcements[[#This Row],[Top Transverse (Horizontal) Weld]]="none",Reinforcements[[#This Row],[Top Transverse (Horizontal) Weld]]=""),"-","")))</f>
        <v>-</v>
      </c>
      <c r="BR9" s="190" t="str">
        <f>IF($AZ9="Yes",AR9,IF(Reinforcements[[#This Row],[Reinforcement]]="","",IF(OR(Reinforcements[[#This Row],[Top Transverse (Horizontal) Weld]]="none",Reinforcements[[#This Row],[Top End Connection Type]]&lt;&gt;"Welded",Reinforcements[[#This Row],[Top Transverse (Horizontal) Weld]]="",Reinforcements[[#This Row],[Top Transverse (Horizontal) Weld]]="Fillet"),"-","")))</f>
        <v>-</v>
      </c>
      <c r="BS9" s="190" t="str">
        <f>IF($AZ9="Yes",AS9,IF(Reinforcements[[#This Row],[Reinforcement]]="","",IF(OR(Reinforcements[[#This Row],[Top Transverse (Horizontal) Weld]]="none",Reinforcements[[#This Row],[Top End Connection Type]]&lt;&gt;"Welded",Reinforcements[[#This Row],[Top Transverse (Horizontal) Weld]]="",Reinforcements[[#This Row],[Top Transverse (Horizontal) Weld]]="Fillet"),"-","")))</f>
        <v>-</v>
      </c>
      <c r="BT9" s="190" t="str">
        <f>IF(Reinforcements[[#This Row],[Reinforcement]]="","",IF($AZ9="Yes",AT9,IF(OR(Reinforcements[[#This Row],[Top Transverse (Horizontal) Weld]]="none",Reinforcements[[#This Row],[Top End Connection Type]]&lt;&gt;"Welded",Reinforcements[[#This Row],[Top Transverse (Horizontal) Weld]]=""),"-","")))</f>
        <v>-</v>
      </c>
      <c r="BU9" s="190" t="str">
        <f>IF($AZ9="Yes",AU9,IF(Reinforcements[[#This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9" s="190" t="str">
        <f>IF($AZ9="Yes",AV9,IF(Reinforcements[[#This Row],[Reinforcement]]="","",IF(OR(Reinforcements[[#This Row],[Top End Connection Type]]&lt;&gt;"Welded",Reinforcements[[#This Row],[Top End Connection Type]]=""),"-","")))</f>
        <v>-</v>
      </c>
      <c r="BW9" s="190" t="str">
        <f>IF($AZ9="Yes",AW9,IF(Reinforcements[[#This Row],[Reinforcement]]="","",IF(OR(Reinforcements[[#This Row],[Top End Connection Type]]&lt;&gt;"Welded",Reinforcements[[#This Row],[Top End Connection Type]]="",Reinforcements[[#This Row],[Top Longitudinal (Vertical) Weld]]="",Reinforcements[[#This Row],[Top Longitudinal (Vertical) Weld]]="None"),"-","")))</f>
        <v>-</v>
      </c>
      <c r="BX9" s="190" t="str">
        <f>IF($AZ9="Yes",AX9,IF(Reinforcements[[#This Row],[Reinforcement]]="","",IF(OR(Reinforcements[[#This Row],[Top End Connection Type]]&lt;&gt;"Welded",Reinforcements[[#This Row],[Top End Connection Type]]="",Reinforcements[[#This Row],[Top Longitudinal (Vertical) Weld]]="",Reinforcements[[#This Row],[Top Longitudinal (Vertical) Weld]]="None"),"-","")))</f>
        <v>-</v>
      </c>
      <c r="BY9" s="190" t="str">
        <f>IF($AZ9="Yes",AY9,IF(Reinforcements[[#This Row],[Reinforcement]]="","",IF(OR(Reinforcements[[#This Row],[Top End Connection Type]]&lt;&gt;"Welded",Reinforcements[[#This Row],[Top Longitudinal (Vertical) Weld]]="none"),"-",SQRT(2)/2*Reinforcements[[#This Row],[Top Longitudinal Weld Fillet Size (in)]])))</f>
        <v>-</v>
      </c>
      <c r="BZ9"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9" s="192">
        <f>IF(Reinforcements[[#This Row],[Reinforcement]]="","",IF(Reinforcements[[#This Row],[Bottom End Connection Type]]&lt;&gt;"Bolted","n/a",(Reinforcements[[#This Row],['# of End Connection Bolts          (Bottom)]]-1)*Reinforcements[[#This Row],[End Connection Bolt Spacing (in) (B)]]+Reinforcements[[#This Row],[End Connection Edge Distance (in) (B)]]))</f>
        <v>62</v>
      </c>
      <c r="CB9" s="192">
        <f>IF(Reinforcements[[#This Row],[Reinforcement]]="","",IF(Reinforcements[[#This Row],[Top End Connection Type]]&lt;&gt;"Bolted","n/a",(Reinforcements[[#This Row],['# of End Connection Bolts          (Top)]]-1)*Reinforcements[[#This Row],[End Connection Bolt Spacing (in) (T)]]+Reinforcements[[#This Row],[End Connection Edge Distance (in) (T)]]))</f>
        <v>62</v>
      </c>
      <c r="CC9"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v>
      </c>
      <c r="CD9"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9" s="188">
        <f>IFERROR(IF(Reinforcements[[#This Row],[Type]]="","",Reinforcements[[#This Row],[Effective B (in)]]*Reinforcements[[#This Row],[Effective H (in)]]^3/12),"")</f>
        <v>0.66666666666666663</v>
      </c>
      <c r="CF9" s="188">
        <f>IFERROR(IF(Reinforcements[[#This Row],[Type]]="","",Reinforcements[[#This Row],[Effective B (in)]]^3*Reinforcements[[#This Row],[Effective H (in)]]/12),"")</f>
        <v>42.666666666666664</v>
      </c>
      <c r="CG9" s="196">
        <f>SQRT(2*PI()^2*29000/VLOOKUP(Reinforcements[[#This Row],[Material]],Materials[],2,FALSE))</f>
        <v>75.659570132481107</v>
      </c>
      <c r="CH9"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32.102567748697624</v>
      </c>
      <c r="CI9"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57.663120239190803</v>
      </c>
      <c r="CJ9" s="195">
        <f>Reinforcements[[#This Row],[Effective Length Factor Kx]]*Reinforcements[[#This Row],[Lu (in)]]/(Reinforcements[[#This Row],[rx]]*PI())*SQRT(VLOOKUP(Reinforcements[[#This Row],[Material]],Materials[],2,FALSE)/29000)</f>
        <v>1.2432056639784337</v>
      </c>
      <c r="CK9" s="195">
        <f>Reinforcements[[#This Row],[Effective Length Factor Ky]]*Reinforcements[[#This Row],[Lu (in)]]/(Reinforcements[[#This Row],[ry]]*PI())*SQRT(VLOOKUP(Reinforcements[[#This Row],[Material]],Materials[],2,FALSE)/29000)</f>
        <v>0.19425088499663024</v>
      </c>
      <c r="CL9" s="195">
        <f>IF(Reinforcements[[#This Row],[λcx]]&lt;=1.5,0.658^(Reinforcements[[#This Row],[λcx]]^2)*Reinforcements[[#This Row],[F''y]],0.877/(Reinforcements[[#This Row],[λcx]]^2)*Reinforcements[[#This Row],[F''y]])</f>
        <v>52.366934727089522</v>
      </c>
      <c r="CM9" s="195">
        <f>IF(Reinforcements[[#This Row],[λcy]]&lt;=1.5,0.658^(Reinforcements[[#This Row],[λcy]]^2)*Reinforcements[[#This Row],[F''y]],0.877/(Reinforcements[[#This Row],[λcy]]^2)*Reinforcements[[#This Row],[F''y]])</f>
        <v>98.433073033813301</v>
      </c>
      <c r="CN9" s="188">
        <f>VLOOKUP(Reinforcements[[#This Row],[Material]],Materials[],2,FALSE)</f>
        <v>100</v>
      </c>
      <c r="CO9" s="196">
        <f>IF(Reinforcements[[#This Row],[Reinforcement]]="","",Reinforcements[[#This Row],[Fax]]*Reinforcements[[#This Row],[Gross Area (in2)]])</f>
        <v>256.82054198958099</v>
      </c>
      <c r="CP9" s="196">
        <f>IF(Reinforcements[[#This Row],[Reinforcement]]="","",Reinforcements[[#This Row],[Fay]]*Reinforcements[[#This Row],[Gross Area (in2)]])</f>
        <v>461.30496191352643</v>
      </c>
      <c r="CQ9" s="196">
        <f>IF(Reinforcements[[#This Row],[Reinforcement]]="","",0.6*VLOOKUP(Reinforcements[[#This Row],[Material]],Materials[],2,FALSE)*Reinforcements[[#This Row],[Gross Area (in2)]])</f>
        <v>480</v>
      </c>
      <c r="CR9" s="196">
        <f>IF(Reinforcements[[#This Row],[Reinforcement]]="","",0.5*VLOOKUP(Reinforcements[[#This Row],[Material]],Materials[],3,FALSE)*Reinforcements[[#This Row],[Net Area (in2)]]*Reinforcements[[#This Row],[Shear Lag (U)]])</f>
        <v>371.25</v>
      </c>
      <c r="CS9" s="196">
        <f>IF(Reinforcements[[#This Row],[Reinforcement]]="","",0.4*VLOOKUP(Reinforcements[[#This Row],[Material]],Materials[],2,FALSE)*Reinforcements[[#This Row],[Gross Area (in2)]])</f>
        <v>320</v>
      </c>
      <c r="CT9"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488.99826525542926</v>
      </c>
      <c r="CU9"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488.99826525542926</v>
      </c>
      <c r="CV9"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28.771653543307089</v>
      </c>
      <c r="CW9"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31.712598425196852</v>
      </c>
      <c r="CX9"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28.771653543307089</v>
      </c>
      <c r="CY9"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31.712598425196852</v>
      </c>
      <c r="CZ9"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3164.8818897637798</v>
      </c>
      <c r="DA9"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3488.3858267716537</v>
      </c>
      <c r="DB9"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3164.8818897637798</v>
      </c>
      <c r="DC9"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3488.3858267716537</v>
      </c>
      <c r="DD9"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9"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9" s="190" t="str">
        <f>IF($AZ9="Yes",DD9,IF(Reinforcements[[#This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9" s="190" t="str">
        <f>IF($AZ9="Yes",DE9,IF(Reinforcements[[#This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9" s="196">
        <f>IF(Reinforcements[[#This Row],[Reinforcement]]="","",φ_c*Reinforcements[[#This Row],[Fcr,x]]*Reinforcements[[#This Row],[Gross Area (in2)]])</f>
        <v>377.04193003504457</v>
      </c>
      <c r="DI9" s="196">
        <f>IF(Reinforcements[[#This Row],[Reinforcement]]="","",φ_c*Reinforcements[[#This Row],[Fcr,y]]*Reinforcements[[#This Row],[Gross Area (in2)]])</f>
        <v>708.71812584345582</v>
      </c>
      <c r="DJ9" s="196">
        <f>IF(Reinforcements[[#This Row],[Reinforcement]]="","",φ_t_y*VLOOKUP(Reinforcements[[#This Row],[Material]],Materials[],2,FALSE)*Reinforcements[[#This Row],[Gross Area (in2)]])</f>
        <v>720</v>
      </c>
      <c r="DK9" s="197">
        <f>IF(Reinforcements[[#This Row],[Reinforcement]]="","",φ_t_r*VLOOKUP(Reinforcements[[#This Row],[Material]],Materials[],3,FALSE)*Reinforcements[[#This Row],[Net Area (in2)]]*Reinforcements[[#This Row],[Shear Lag (U)]])</f>
        <v>556.875</v>
      </c>
      <c r="DL9" s="197">
        <f>IF(Reinforcements[[#This Row],[Reinforcement]]="","",φ_v*0.5*Reinforcements[[#This Row],[F''y]]*Reinforcements[[#This Row],[Gross Area (in2)]])</f>
        <v>360</v>
      </c>
      <c r="DM9"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866.6686792260349</v>
      </c>
      <c r="DN9"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866.6686792260349</v>
      </c>
      <c r="DO9"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41.272440944881893</v>
      </c>
      <c r="DP9"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51.59055118110237</v>
      </c>
      <c r="DQ9"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41.272440944881893</v>
      </c>
      <c r="DR9"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51.59055118110237</v>
      </c>
      <c r="DS9"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4474.1763779527564</v>
      </c>
      <c r="DT9"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5592.7204724409448</v>
      </c>
      <c r="DU9"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4474.1763779527564</v>
      </c>
      <c r="DV9"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5592.7204724409448</v>
      </c>
      <c r="DW9"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9"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9" s="190" t="str">
        <f>IF($AZ9="Yes",DW9,IF(Reinforcements[[#This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9" s="190" t="str">
        <f>IF($AZ9="Yes",DX9,IF(Reinforcements[[#This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9" s="241" t="str">
        <f>IF(OR(Reinforcements[[#This Row],[Type]]="plate",Reinforcements[[#This Row],[Type]]="solid round"),"N/A",Reinforcements[[#This Row],[B (in)]])</f>
        <v>N/A</v>
      </c>
      <c r="EB9" s="237" t="str">
        <f>IF(OR(Reinforcements[[#This Row],[Type]]="plate",Reinforcements[[#This Row],[Type]]="solid round"),"N/A",Reinforcements[[#This Row],[H (in)]])</f>
        <v>N/A</v>
      </c>
      <c r="EC9" s="237" t="str">
        <f>IF(OR(Reinforcements[[#This Row],[Type]]="plate",Reinforcements[[#This Row],[Type]]="solid round"),"N/A",Reinforcements[[#This Row],[B (in)]]-Reinforcements[[#This Row],['[Channel'] Flange Thickness (in)]])</f>
        <v>N/A</v>
      </c>
      <c r="ED9" s="237" t="str">
        <f>IF(OR(Reinforcements[[#This Row],[Type]]="plate",Reinforcements[[#This Row],[Type]]="solid round"),"N/A",Reinforcements[[#This Row],['[Channel']Web Thickness (in)]])</f>
        <v>N/A</v>
      </c>
      <c r="EE9" s="237" t="str">
        <f>IF(OR(Reinforcements[[#This Row],[Type]]="plate",Reinforcements[[#This Row],[Type]]="solid round"),"N/A",Reinforcements[[#This Row],['[Channel'] Flange Thickness (in)]])</f>
        <v>N/A</v>
      </c>
      <c r="EF9" s="237" t="str">
        <f>IF(Reinforcements[[#This Row],[Type]]="channel",Reinforcements[[#This Row],[Channel Flange Width, b]]/Reinforcements[[#This Row],[Channel flange thickness, tf]],"N/A")</f>
        <v>N/A</v>
      </c>
      <c r="EG9" s="237" t="str">
        <f>IF(Reinforcements[[#This Row],[Type]]="channel",Reinforcements[[#This Row],[Channel inside depth, T]]/Reinforcements[[#This Row],[Channel web thickness, tw]],"N/A")</f>
        <v>N/A</v>
      </c>
      <c r="EH9" s="237">
        <v>29000</v>
      </c>
      <c r="EI9" s="237" t="str">
        <f>IF(Reinforcements[[#This Row],[Type]]="channel",0.56*SQRT(Reinforcements[[#This Row],[E, (ksi)]]/Reinforcements[[#This Row],[Fy, (ksi)]]),"N/A")</f>
        <v>N/A</v>
      </c>
      <c r="EJ9" s="237" t="str">
        <f>IF(Reinforcements[[#This Row],[Type]]="channel",1.49*SQRT(Reinforcements[[#This Row],[E, (ksi)]]/Reinforcements[[#This Row],[Fy, (ksi)]]),"N/A")</f>
        <v>N/A</v>
      </c>
      <c r="EK9" s="237">
        <f>VLOOKUP(Reinforcements[[#This Row],[Material]],Materials!$B$2:$C$30,2,FALSE)</f>
        <v>100</v>
      </c>
      <c r="EL9" s="237">
        <f>Reinforcements[[#This Row],[Lu (in)]]*Reinforcements[[#This Row],[Effective Length Factor Kx]]</f>
        <v>19.200000000000003</v>
      </c>
      <c r="EM9" s="237">
        <f>Reinforcements[[#This Row],[Lu (in)]]*Reinforcements[[#This Row],[Effective Length Factor Ky]]</f>
        <v>24</v>
      </c>
      <c r="EN9" s="237">
        <f>Reinforcements[[#This Row],[rx]]</f>
        <v>0.28867513459481287</v>
      </c>
      <c r="EO9" s="237">
        <f>Reinforcements[[#This Row],[ry]]</f>
        <v>2.3094010767585029</v>
      </c>
      <c r="EP9" s="237">
        <f>Reinforcements[[#This Row],[Lcx (in)]]/Reinforcements[[#This Row],[rx (in)]]</f>
        <v>66.510751010644896</v>
      </c>
      <c r="EQ9" s="237">
        <f>Reinforcements[[#This Row],[Lcy (in)]]/Reinforcements[[#This Row],[ry (in)]]</f>
        <v>10.392304845413264</v>
      </c>
      <c r="ER9" s="237">
        <f>((PI()^2)*Reinforcements[[#This Row],[E, (ksi)]])/(Reinforcements[[#This Row],[Lcx/rx]]^2)</f>
        <v>64.7014539097745</v>
      </c>
      <c r="ES9" s="237">
        <f>((PI()^2)*Reinforcements[[#This Row],[E, (ksi)]])/(Reinforcements[[#This Row],[Lcy/ry]]^2)</f>
        <v>2650.1715521443643</v>
      </c>
      <c r="ET9" s="237">
        <f>4.71*(SQRT(Reinforcements[[#This Row],[E, (ksi)]]/Reinforcements[[#This Row],[Fy, (ksi)]]))</f>
        <v>80.20840978351336</v>
      </c>
      <c r="EU9" s="237">
        <f>IF(Reinforcements[[#This Row],[Lcx/rx]]&lt;=Reinforcements[[#This Row],[Fcr Limit]],(0.658^(Reinforcements[[#This Row],[Fy, (ksi)]]/Reinforcements[[#This Row],[Fex, FB (ksi)]]))*Reinforcements[[#This Row],[Fy, (ksi)]],0.877*Reinforcements[[#This Row],[Fex, FB (ksi)]])</f>
        <v>52.366934727089507</v>
      </c>
      <c r="EV9" s="237">
        <f>IF(Reinforcements[[#This Row],[Lcy/ry]]&lt;=Reinforcements[[#This Row],[Fcr Limit]],(0.658^(Reinforcements[[#This Row],[Fy, (ksi)]]/Reinforcements[[#This Row],[Fey, FB (ksi)]]))*Reinforcements[[#This Row],[Fy, (ksi)]],0.877*Reinforcements[[#This Row],[Fey, FB (ksi)]])</f>
        <v>98.433073033813301</v>
      </c>
      <c r="EW9" s="237">
        <f>Reinforcements[[#This Row],[Fcrx (ksi)]]*Reinforcements[[#This Row],[Gross Area (in2)]]</f>
        <v>418.93547781671606</v>
      </c>
      <c r="EX9" s="237">
        <f>Reinforcements[[#This Row],[Fcry (ksi)]]*Reinforcements[[#This Row],[Gross Area (in2)]]</f>
        <v>787.46458427050641</v>
      </c>
      <c r="EY9" s="237" t="str">
        <f>IF(Reinforcements[[#This Row],[Type]]="channel",0,"N/A")</f>
        <v>N/A</v>
      </c>
      <c r="EZ9" s="237" t="str">
        <f>IF(Reinforcements[[#This Row],[Type]]="channel",Reinforcements[[#This Row],[Channel Flange Width, b]]-(0.5*Reinforcements[[#This Row],[Channel web thickness, tw]]),"N/A")</f>
        <v>N/A</v>
      </c>
      <c r="FA9" s="237" t="str">
        <f>IF(Reinforcements[[#This Row],[Type]]="channel",Reinforcements[[#This Row],[Channel Height, h]]-Reinforcements[[#This Row],[Channel flange thickness, tf]],"N/A")</f>
        <v>N/A</v>
      </c>
      <c r="FB9" s="237" t="str">
        <f>IF(Reinforcements[[#This Row],[Type]]="channel",Reinforcements[[#This Row],[Channel web thickness, tw]],"N/A")</f>
        <v>N/A</v>
      </c>
      <c r="FC9" s="237" t="str">
        <f>IF(Reinforcements[[#This Row],[Type]]="channel",((3*Reinforcements[[#This Row],[b]]^2)/(Reinforcements[[#This Row],[h]]+(6*Reinforcements[[#This Row],[b]])))-Reinforcements[[#This Row],[t]]/2,"N/A")</f>
        <v>N/A</v>
      </c>
      <c r="FD9" s="237">
        <f>Reinforcements[[#This Row],[Pole Face to Centroid (in)]]</f>
        <v>0.5</v>
      </c>
      <c r="FE9" s="237" t="str">
        <f>IF(Reinforcements[[#This Row],[Type]]="channel",Reinforcements[[#This Row],[x(bar)]]+Reinforcements[[#This Row],['[Channel'] e0 (in)]],"N/A")</f>
        <v>N/A</v>
      </c>
      <c r="FF9" s="237" t="str">
        <f>IF(Reinforcements[[#This Row],[Type]]="channel",Reinforcements[[#This Row],[Ix]],"N/A")</f>
        <v>N/A</v>
      </c>
      <c r="FG9" s="237" t="str">
        <f>IF(Reinforcements[[#This Row],[Type]]="channel",Reinforcements[[#This Row],[Iy]],"N/A")</f>
        <v>N/A</v>
      </c>
      <c r="FH9" s="237" t="str">
        <f>IF(Reinforcements[[#This Row],[Type]]="channel",Reinforcements[[#This Row],[Gross Area (in2)]],"N/A")</f>
        <v>N/A</v>
      </c>
      <c r="FI9" s="237" t="str">
        <f>IF(Reinforcements[[#This Row],[Type]]="channel",(Reinforcements[[#This Row],[xo]]^2)+((Reinforcements[[#This Row],[Ix (FTB)]]+Reinforcements[[#This Row],[Iy (FTB)]])/Reinforcements[[#This Row],[Ag]]),"N/A")</f>
        <v>N/A</v>
      </c>
      <c r="FJ9" s="237" t="str">
        <f>IF(Reinforcements[[#This Row],[Type]]="channel",Reinforcements[[#This Row],[Lu (in)]],"N/A")</f>
        <v>N/A</v>
      </c>
      <c r="FK9" s="237" t="str">
        <f>IF(Reinforcements[[#This Row],[Type]]="channel",Reinforcements[[#This Row],[Effective Length Factor Kx]],"N/A")</f>
        <v>N/A</v>
      </c>
      <c r="FL9" s="237" t="str">
        <f>IF(Reinforcements[[#This Row],[Type]]="channel",Reinforcements[[#This Row],[Kz]]*Reinforcements[[#This Row],[Lz]],"N/A")</f>
        <v>N/A</v>
      </c>
      <c r="FM9" s="237" t="str">
        <f>IF(Reinforcements[[#This Row],[Type]]="channel",(((Reinforcements[[#This Row],[t]]^3)/3)*(Reinforcements[[#This Row],[h]]+(2*Reinforcements[[#This Row],[b]]))),"N/A")</f>
        <v>N/A</v>
      </c>
      <c r="FN9" s="237" t="str">
        <f>IF(Reinforcements[[#This Row],[Type]]="channel",(1-(((Reinforcements[[#This Row],[xo]]^2)+(Reinforcements[[#This Row],[yo]]^2))/Reinforcements[[#This Row],[ro^2(bar)]])),"N/A")</f>
        <v>N/A</v>
      </c>
      <c r="FO9" s="237">
        <v>11200</v>
      </c>
      <c r="FP9" s="237" t="str">
        <f>IF(Reinforcements[[#This Row],[Type]]="channel",(((Reinforcements[[#This Row],[h]]^2)*(Reinforcements[[#This Row],[b]]^3)*Reinforcements[[#This Row],[t]])/12)*(((2*Reinforcements[[#This Row],[h]])+(3*Reinforcements[[#This Row],[b]]))/(Reinforcements[[#This Row],[h]]+(6*Reinforcements[[#This Row],[b]]))),"N/A")</f>
        <v>N/A</v>
      </c>
      <c r="FQ9" s="237" t="str">
        <f>IF(Reinforcements[[#This Row],[Type]]="Channel",((((PI()^2)*Reinforcements[[#This Row],[E, (ksi)]]*Reinforcements[[#This Row],['[Channel'] CW (in6)]])/(Reinforcements[[#This Row],[Lcz]]^2))+(Reinforcements[[#This Row],[G]]*Reinforcements[[#This Row],['[Channel'] J (in4)]]))*(1/(Reinforcements[[#This Row],[Ag]]*Reinforcements[[#This Row],[ro^2(bar)]])),"N/A")</f>
        <v>N/A</v>
      </c>
      <c r="FR9" s="237" t="str">
        <f>IF(Reinforcements[[#This Row],[Type]]="channel",((PI()^2)*Reinforcements[[#This Row],[E, (ksi)]])/(Reinforcements[[#This Row],[Lcy/ry]]^2),"N/A")</f>
        <v>N/A</v>
      </c>
      <c r="FS9" s="237" t="str">
        <f>IF(Reinforcements[[#This Row],[Type]]="channel",((Reinforcements[[#This Row],[Fey]]+Reinforcements[[#This Row],[Fez]])/(2*Reinforcements[[#This Row],[H2]]))*(1-SQRT(1-((4*Reinforcements[[#This Row],[Fey]]*Reinforcements[[#This Row],[Fez]]*Reinforcements[[#This Row],[H2]])/(Reinforcements[[#This Row],[Fey]]+Reinforcements[[#This Row],[Fez]])^2))),"N/A")</f>
        <v>N/A</v>
      </c>
      <c r="FT9" s="237" t="str">
        <f>IF(Reinforcements[[#This Row],[Type]]="channel",IF(Reinforcements[[#This Row],[Lcx/rx]]&gt;(4.71*SQRT(Reinforcements[[#This Row],[E, (ksi)]]/Reinforcements[[#This Row],[Fy, (ksi)]])),0.877*Reinforcements[[#This Row],[Fe (FTB)]],0.658^(Reinforcements[[#This Row],[Fy, (ksi)]]/Reinforcements[[#This Row],[Fe (FTB)]])*Reinforcements[[#This Row],[Fy, (ksi)]]),"N/A")</f>
        <v>N/A</v>
      </c>
      <c r="FU9" s="237" t="str">
        <f>IF(Reinforcements[[#This Row],[Type]]="channel",MIN(Reinforcements[[#This Row],[Fcr(FTB)]],Reinforcements[[#This Row],[Fcry (ksi)]]),"N/A")</f>
        <v>N/A</v>
      </c>
      <c r="FV9" s="237">
        <v>0.22</v>
      </c>
      <c r="FW9" s="237">
        <v>1.49</v>
      </c>
      <c r="FX9" s="237" t="str">
        <f>IF(Reinforcements[[#This Row],[Type]]="channel",((Reinforcements[[#This Row],[c2]]*(Reinforcements[[#This Row],[λrf]]/Reinforcements[[#This Row],[λf]]))^2)*Reinforcements[[#This Row],[Fy, (ksi)]],"N/A")</f>
        <v>N/A</v>
      </c>
      <c r="FY9" s="237" t="str">
        <f>IF(Reinforcements[[#This Row],[Type]]="channel",((Reinforcements[[#This Row],[c2]]*(Reinforcements[[#This Row],[λrw]]/Reinforcements[[#This Row],[λw]]))^2)*Reinforcements[[#This Row],[Fy, (ksi)]],"N/A")</f>
        <v>N/A</v>
      </c>
      <c r="FZ9"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9"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9"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9" s="237" t="str">
        <f>IF(Reinforcements[[#This Row],[Type]]="channel",Reinforcements[[#This Row],[Fcr]]*Reinforcements[[#This Row],[Ae]],"N/A")</f>
        <v>N/A</v>
      </c>
      <c r="GD9" s="466">
        <f>IF(Reinforcements[[#This Row],[Reinforcement]]="","",φ_c*Reinforcements[[#This Row],[Pnx, FB (kip)]])</f>
        <v>377.04193003504446</v>
      </c>
      <c r="GE9" s="466">
        <f>IF(Reinforcements[[#This Row],[Reinforcement]]="","",IF(Reinforcements[[#This Row],[Type]]="channel",φ_c*Reinforcements[[#This Row],[Pn]],φ_c*Reinforcements[[#This Row],[Pny, FB (kip)]]))</f>
        <v>708.71812584345582</v>
      </c>
      <c r="GF9" s="466">
        <f>Reinforcements[[#This Row],[Rev. G Tension Yield Capacity (kips)]]</f>
        <v>720</v>
      </c>
      <c r="GG9" s="466">
        <f>Reinforcements[[#This Row],[Rev. G Tension Rupture Capacity (kips)]]</f>
        <v>556.875</v>
      </c>
      <c r="GH9" s="466">
        <f>Reinforcements[[#This Row],[Rev. G Shear Capacity (kips)]]</f>
        <v>360</v>
      </c>
      <c r="GI9" s="466">
        <f>IFERROR((Reinforcements[[#This Row],['# of End Connection Bolts          (Bottom)]]-1)*Reinforcements[[#This Row],[End Connection Bolt Spacing (in) (B)]],"-")</f>
        <v>60</v>
      </c>
      <c r="GJ9" s="466">
        <f>IFERROR(IF(VLOOKUP(Reinforcements[[#This Row],[Bottom End Connection Bolt Type]],Bolts[],COLUMN(Bolts[[#Headers],[Rev. H Apply Connection Length Reduction Factor (Rb)?]])-1,FALSE)="Yes",(IF(Reinforcements[[#This Row],[Lb(bottom)]]&lt;=16,1,IF(Reinforcements[[#This Row],[Lb(bottom)]]&gt;38,0.75,0.9))),1),"-")</f>
        <v>1</v>
      </c>
      <c r="GK9"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974.39246038717658</v>
      </c>
      <c r="GL9" s="466">
        <f>IFERROR(IF(Reinforcements[[#This Row],[Top End Connection Same?]]="Yes",Reinforcements[[#This Row],[Lb(bottom)]],(Reinforcements[[#This Row],['# of End Connection Bolts          (Top)]]-1)*Reinforcements[[#This Row],[End Connection Bolt Spacing (in) (T)]]),"-")</f>
        <v>60</v>
      </c>
      <c r="GM9" s="466">
        <f>IFERROR(IF(VLOOKUP(Reinforcements[[#This Row],[Top End Connection Bolt Type]],Bolts[],COLUMN(Bolts[[#Headers],[Rev. H Apply Connection Length Reduction Factor (Rb)?]])-1,FALSE)="Yes",(IF(Reinforcements[[#This Row],[Lb(top)]]&lt;=16,1,IF(Reinforcements[[#This Row],[Lb(top)]]&gt;38,0.75,0.9))),1),"-")</f>
        <v>1</v>
      </c>
      <c r="GN9"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974.39246038717658</v>
      </c>
      <c r="GO9" s="466">
        <f>Reinforcements[[#This Row],[Rev. G Bolt-Shaft Bearing Capacity (Bottom)                No Deformation          (*t*Fu kips)]]</f>
        <v>41.272440944881893</v>
      </c>
      <c r="GP9" s="466">
        <f>Reinforcements[[#This Row],[Rev. G Bolt-Shaft Bearing Capacity (Bottom)                   Deformation          (*t*Fu kips)]]</f>
        <v>51.59055118110237</v>
      </c>
      <c r="GQ9" s="466">
        <f>Reinforcements[[#This Row],[Rev. G Bolt-Shaft Bearing Capacity (Top)                    No Deformation          (*t*Fu kips)]]</f>
        <v>41.272440944881893</v>
      </c>
      <c r="GR9" s="466">
        <f>Reinforcements[[#This Row],[Rev. G Bolt-Shaft Bearing Capacity (Top)                        Deformation          (*t*Fu kips)]]</f>
        <v>51.59055118110237</v>
      </c>
      <c r="GS9" s="466">
        <f>Reinforcements[[#This Row],[Rev. G Bolt-Reinf. Bearing Capacity (Bottom)            No Deformation (kips)]]</f>
        <v>4474.1763779527564</v>
      </c>
      <c r="GT9" s="466">
        <f>Reinforcements[[#This Row],[Rev. G Bolt-Reinf. Bearing Capacity (Bottom)               Deformation (kips)]]</f>
        <v>5592.7204724409448</v>
      </c>
      <c r="GU9" s="466">
        <f>Reinforcements[[#This Row],[Rev. G Bolt-Reinf. Bearing Capacity (Top)                  No Deformation (kips)]]</f>
        <v>4474.1763779527564</v>
      </c>
      <c r="GV9" s="466">
        <f>Reinforcements[[#This Row],[Rev. G Bolt-Reinf. Bearing Capacity (Top)               Deformation (kips)]]</f>
        <v>5592.7204724409448</v>
      </c>
      <c r="GW9" s="466" t="str">
        <f>Reinforcements[[#This Row],[Rev. G Bottom Transverse Weld Strength]]</f>
        <v>-</v>
      </c>
      <c r="GX9" s="466" t="str">
        <f>Reinforcements[[#This Row],[Rev. G Bottom Longitudinal Weld Strength]]</f>
        <v>-</v>
      </c>
      <c r="GY9" s="466" t="str">
        <f>Reinforcements[[#This Row],[Rev. G Top Transverse Weld Strength]]</f>
        <v>-</v>
      </c>
      <c r="GZ9" s="466" t="str">
        <f>Reinforcements[[#This Row],[Rev. G Top Longitudinal Weld Strength]]</f>
        <v>-</v>
      </c>
      <c r="HA9" s="552">
        <v>7</v>
      </c>
      <c r="HB9"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0" spans="2:210" x14ac:dyDescent="0.2">
      <c r="B10" s="72" t="s">
        <v>218</v>
      </c>
      <c r="C10" s="72" t="s">
        <v>146</v>
      </c>
      <c r="D10" s="185">
        <v>8</v>
      </c>
      <c r="E10" s="185">
        <v>1.5</v>
      </c>
      <c r="F10" s="185" t="str">
        <f>IF(Reinforcements[[#This Row],[Type]]="","",IF(Reinforcements[[#This Row],[Type]]="solid round","","n/a"))</f>
        <v>n/a</v>
      </c>
      <c r="G10" s="185" t="str">
        <f>IF(Reinforcements[[#This Row],[Type]]="","",IF(Reinforcements[[#This Row],[Type]]&lt;&gt;"channel","n/a",""))</f>
        <v>n/a</v>
      </c>
      <c r="H10" s="185" t="str">
        <f>IF(Reinforcements[[#This Row],[Type]]="","",IF(Reinforcements[[#This Row],[Type]]&lt;&gt;"channel","n/a",""))</f>
        <v>n/a</v>
      </c>
      <c r="I10" s="197" t="str">
        <f>IF(Reinforcements[[#This Row],[Type]]="","",IF(Reinforcements[[#This Row],[Type]]&lt;&gt;"channel","n/a",Reinforcements[[#This Row],[eo]]))</f>
        <v>n/a</v>
      </c>
      <c r="J10" s="197" t="str">
        <f>IF(Reinforcements[[#This Row],[Type]]="","",IF(Reinforcements[[#This Row],[Type]]&lt;&gt;"channel","n/a",Reinforcements[[#This Row],[J]]))</f>
        <v>n/a</v>
      </c>
      <c r="K10" s="197" t="str">
        <f>IF(Reinforcements[[#This Row],[Type]]="","",IF(Reinforcements[[#This Row],[Type]]&lt;&gt;"channel","n/a",Reinforcements[[#This Row],[Cw]]))</f>
        <v>n/a</v>
      </c>
      <c r="L10" s="185">
        <f>IFERROR(IF(Reinforcements[[#This Row],[Type]]="","",IF(Reinforcements[[#This Row],[Type]]="plate",Reinforcements[[#This Row],[B (in)]]*Reinforcements[[#This Row],[H (in)]],IF(Reinforcements[[#This Row],[Type]]="solid round",PI()/4*Reinforcements[[#This Row],[Diameter (in)]]^2,""))),"")</f>
        <v>12</v>
      </c>
      <c r="M10" s="185">
        <f>IFERROR(IF(Reinforcements[[#This Row],[Type]]="","",IF(Reinforcements[[#This Row],[Type]]="plate",Reinforcements[[#This Row],[H (in)]]/2,"")),"")</f>
        <v>0.75</v>
      </c>
      <c r="N10" s="186" t="s">
        <v>297</v>
      </c>
      <c r="O10" s="185" t="s">
        <v>153</v>
      </c>
      <c r="P10" s="187">
        <f>IFERROR(IF(Reinforcements[[#This Row],[Type]]="","",IF(Reinforcements[[#This Row],[Type]]="plate",Reinforcements[[#This Row],[B (in)]]*Reinforcements[[#This Row],[H (in)]]^3/12,IF(Reinforcements[[#This Row],[Type]]="solid round",PI()/64*Reinforcements[[#This Row],[Diameter (in)]]^4,""))),"")</f>
        <v>2.25</v>
      </c>
      <c r="Q10" s="187">
        <f>IF(Reinforcements[[#This Row],[Reinforcement]]="","",SQRT(Reinforcements[[#This Row],[Ix]]/Reinforcements[[#This Row],[Gross Area (in2)]]))</f>
        <v>0.4330127018922193</v>
      </c>
      <c r="R10" s="187">
        <f>IFERROR(IF(Reinforcements[[#This Row],[Type]]="","",IF(Reinforcements[[#This Row],[Type]]="plate",Reinforcements[[#This Row],[B (in)]]^3*Reinforcements[[#This Row],[H (in)]]/12,IF(Reinforcements[[#This Row],[Type]]="solid round",PI()/64*Reinforcements[[#This Row],[Diameter (in)]]^4,""))),"")</f>
        <v>64</v>
      </c>
      <c r="S10" s="187">
        <f>IF(Reinforcements[[#This Row],[Reinforcement]]="","",SQRT(Reinforcements[[#This Row],[Iy]]/Reinforcements[[#This Row],[Gross Area (in2)]]))</f>
        <v>2.3094010767585029</v>
      </c>
      <c r="T10" s="190">
        <v>22</v>
      </c>
      <c r="U10" s="188">
        <v>0.8</v>
      </c>
      <c r="V10" s="188">
        <v>1</v>
      </c>
      <c r="W10" s="185">
        <v>1.1875</v>
      </c>
      <c r="X10" s="188">
        <f>IF(Reinforcements[[#This Row],[Bolt Hole Size (in)]]="","",IF(Reinforcements[[#This Row],[Bolt Hole Size (in)]]="n/a","n/a",Reinforcements[[#This Row],[Bolt Hole Size (in)]]*25.4))</f>
        <v>30.162499999999998</v>
      </c>
      <c r="Y10"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10.125</v>
      </c>
      <c r="Z10" s="185">
        <f>IFERROR(IF(Reinforcements[[#This Row],[Reinforcement]]="","",IF(OR(Reinforcements[[#This Row],[Type]]="plate",Reinforcements[[#This Row],[Type]]="solid round"),1,IF(Reinforcements[[#This Row],[Type]]="arbitrary","",1-Reinforcements[[#This Row],[Pole Face to Centroid (in)]]/Reinforcements[[#This Row],[Connection Length (in) '[Channels']]]))),"")</f>
        <v>1</v>
      </c>
      <c r="AA10" s="189" t="s">
        <v>391</v>
      </c>
      <c r="AB10" s="189" t="str">
        <f>IF(Reinforcements[[#This Row],[Reinforcement]]="","",IF(Reinforcements[[#This Row],[Bottom End Connection Type]]&lt;&gt;"Capacity Input","-",""))</f>
        <v>-</v>
      </c>
      <c r="AC10" s="189" t="str">
        <f>IF(Reinforcements[[#This Row],[Reinforcement]]="","",IF(Reinforcements[[#This Row],[Bottom End Connection Type]]&lt;&gt;"Capacity Input","-",""))</f>
        <v>-</v>
      </c>
      <c r="AD10" s="461" t="str">
        <f>IF(Reinforcements[[#This Row],[Reinforcement]]="","",IF(Reinforcements[[#This Row],[Bottom End Connection Type]]&lt;&gt;"Capacity Input","-",""))</f>
        <v>-</v>
      </c>
      <c r="AE10" s="103" t="s">
        <v>416</v>
      </c>
      <c r="AF10" s="190" t="s">
        <v>296</v>
      </c>
      <c r="AG10" s="190">
        <v>25</v>
      </c>
      <c r="AH10" s="190">
        <v>3</v>
      </c>
      <c r="AI10" s="190">
        <v>2</v>
      </c>
      <c r="AJ10" s="190">
        <f>Reinforcements[[#This Row],[End Connection Edge Distance (in) (B)]]-(Reinforcements[[#This Row],[Bolt Hole Size (in)]]+1/16)/2</f>
        <v>1.375</v>
      </c>
      <c r="AK10" s="190">
        <f>Reinforcements[[#This Row],[End Connection Bolt Spacing (in) (B)]]-(Reinforcements[[#This Row],[Bolt Hole Size (in)]]+1/16)</f>
        <v>1.75</v>
      </c>
      <c r="AL10" s="190">
        <f>Reinforcements[[#This Row],[End Connection Edge Distance (in) (B)]]</f>
        <v>2</v>
      </c>
      <c r="AM10" s="190">
        <f>Reinforcements[[#This Row],[End Connection Bolt Spacing (in) (B)]]</f>
        <v>3</v>
      </c>
      <c r="AN10" s="190" t="str">
        <f>IF(Reinforcements[[#This Row],[Reinforcement]]="","",IF(OR(Reinforcements[[#This Row],[Bottom End Connection Type]]="Bolted",Reinforcements[[#This Row],[Bottom End Connection Type]]=""),"-",""))</f>
        <v>-</v>
      </c>
      <c r="AO10" s="191" t="str">
        <f>IF(Reinforcements[[#This Row],[Reinforcement]]="","",IF(OR(Reinforcements[[#This Row],[Bottom End Connection Type]]="Bolted",Reinforcements[[#This Row],[Bottom End Connection Type]]=""),"-",""))</f>
        <v>-</v>
      </c>
      <c r="AP10" s="191" t="str">
        <f>IF(Reinforcements[[#This Row],[Reinforcement]]="","",IF(OR(Reinforcements[[#This Row],[Bottom End Connection Type]]="Bolted",Reinforcements[[#This Row],[Bottom End Connection Type]]=""),"-",""))</f>
        <v>-</v>
      </c>
      <c r="AQ10" s="191" t="str">
        <f>IF(OR(Reinforcements[[#This Row],[Bottom End Connection Type]]="Bolted",Reinforcements[[#This Row],[Bottom Transverse (Horizontal) Weld]]="none"),"-","")</f>
        <v>-</v>
      </c>
      <c r="AR1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0" s="191" t="str">
        <f>IF(OR(Reinforcements[[#This Row],[Bottom Transverse (Horizontal) Weld]]="none",Reinforcements[[#This Row],[Bottom End Connection Type]]="Bolted"),"-","")</f>
        <v>-</v>
      </c>
      <c r="AU10"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0" s="191" t="str">
        <f>IF(Reinforcements[[#This Row],[Reinforcement]]="","",IF(OR(Reinforcements[[#This Row],[Bottom End Connection Type]]="Bolted",Reinforcements[[#This Row],[Bottom End Connection Type]]=""),"-",""))</f>
        <v>-</v>
      </c>
      <c r="AW10" s="191" t="str">
        <f>IF(Reinforcements[[#This Row],[Reinforcement]]="","",IF(OR(Reinforcements[[#This Row],[Bottom End Connection Type]]&lt;&gt;"Welded",Reinforcements[[#This Row],[Bottom Longitudinal (Vertical) Weld]]="None",Reinforcements[[#This Row],[Bottom Longitudinal (Vertical) Weld]]=""),"-",""))</f>
        <v>-</v>
      </c>
      <c r="AX10" s="191" t="str">
        <f>IF(Reinforcements[[#This Row],[Reinforcement]]="","",IF(OR(Reinforcements[[#This Row],[Bottom End Connection Type]]&lt;&gt;"Welded",Reinforcements[[#This Row],[Bottom Longitudinal (Vertical) Weld]]="None",Reinforcements[[#This Row],[Bottom Longitudinal (Vertical) Weld]]=""),"-",""))</f>
        <v>-</v>
      </c>
      <c r="AY10" s="190" t="str">
        <f>IF(Reinforcements[[#This Row],[Reinforcement]]="","",IF(OR(Reinforcements[[#This Row],[Bottom End Connection Type]]&lt;&gt;"Welded",Reinforcements[[#This Row],[Bottom Longitudinal (Vertical) Weld]]="None"),"-",SQRT(2)/2*Reinforcements[[#This Row],[Bottom Longitudinal Weld Fillet Size (in)]]))</f>
        <v>-</v>
      </c>
      <c r="AZ10" s="190" t="s">
        <v>295</v>
      </c>
      <c r="BA10" s="189" t="str">
        <f>IF(Reinforcements[[#This Row],[Top End Connection Same?]]="Yes",Reinforcements[[#This Row],[Bottom End Connection Type]],"")</f>
        <v>Bolted</v>
      </c>
      <c r="BB10" s="189" t="str">
        <f>IF(Reinforcements[[#This Row],[Reinforcement]]="","",IF(Reinforcements[[#This Row],[Top End Connection Same?]]="Yes",Reinforcements[[#This Row],[Rev. F Bottom Connection Capacity (kips)]],IF(Reinforcements[[#This Row],[Reinforcement]]="","",IF(Reinforcements[[#This Row],[Top End Connection Type]]&lt;&gt;"Capacity Input","-",""))))</f>
        <v>-</v>
      </c>
      <c r="BC10" s="189" t="str">
        <f>IF(Reinforcements[[#This Row],[Reinforcement]]="","",IF(Reinforcements[[#This Row],[Top End Connection Same?]]="Yes",Reinforcements[[#This Row],[Rev. G Bottom Connection Capacity (kips)]],IF(Reinforcements[[#This Row],[Reinforcement]]="","",IF(Reinforcements[[#This Row],[Top End Connection Type]]&lt;&gt;"Capacity Input","-",""))))</f>
        <v>-</v>
      </c>
      <c r="BD10" s="461" t="str">
        <f>IF(Reinforcements[[#This Row],[Reinforcement]]="","",IF(Reinforcements[[#This Row],[Top End Connection Same?]]="Yes",Reinforcements[[#This Row],[Rev. G Bottom Connection Capacity (kips)]],IF(Reinforcements[[#This Row],[Reinforcement]]="","",IF(Reinforcements[[#This Row],[Top End Connection Type]]&lt;&gt;"Capacity Input","-",""))))</f>
        <v>-</v>
      </c>
      <c r="BE10" s="103" t="str">
        <f>IF(Reinforcements[[#This Row],[Top End Connection Same?]]="Yes",Reinforcements[[#This Row],[Bottom End Connection Bolt Type]],IF(Reinforcements[[#This Row],[Top End Connection Type]]="Welded","-",""))</f>
        <v>PC 8.8 - M20 (100)</v>
      </c>
      <c r="BF10" s="190" t="str">
        <f>IF(Reinforcements[[#This Row],[Top End Connection Same?]]="Yes",Reinforcements[[#This Row],[Threads Included (N) or Excluded (X) (Bottom)]],IF(Reinforcements[[#This Row],[Top End Connection Type]]="Welded","-",""))</f>
        <v>N</v>
      </c>
      <c r="BG10" s="190">
        <f>IF(Reinforcements[[#This Row],[Top End Connection Same?]]="Yes",Reinforcements[[#This Row],['# of End Connection Bolts          (Bottom)]],IF(Reinforcements[[#This Row],[Top End Connection Type]]="Welded","-",""))</f>
        <v>25</v>
      </c>
      <c r="BH10" s="190">
        <f>IF(Reinforcements[[#This Row],[Top End Connection Same?]]="Yes",Reinforcements[[#This Row],[End Connection Bolt Spacing (in) (B)]],IF(Reinforcements[[#This Row],[Top End Connection Type]]="Welded","-",""))</f>
        <v>3</v>
      </c>
      <c r="BI10" s="190">
        <f>IF(Reinforcements[[#This Row],[Top End Connection Same?]]="Yes",Reinforcements[[#This Row],[End Connection Edge Distance (in) (B)]],IF(Reinforcements[[#This Row],[Top End Connection Type]]="Welded","-",""))</f>
        <v>2</v>
      </c>
      <c r="BJ10" s="190">
        <f>Reinforcements[[#This Row],[End Connection Edge Distance (in) (T)]]-(Reinforcements[[#This Row],[Bolt Hole Size (in)]]+1/16)/2</f>
        <v>1.375</v>
      </c>
      <c r="BK10" s="190">
        <f>Reinforcements[[#This Row],[End Connection Bolt Spacing (in) (T)]]-(Reinforcements[[#This Row],[Bolt Hole Size (in)]]+1/16)</f>
        <v>1.75</v>
      </c>
      <c r="BL10" s="190">
        <f>Reinforcements[[#This Row],[End Connection Edge Distance (in) (T)]]</f>
        <v>2</v>
      </c>
      <c r="BM10" s="190">
        <f>Reinforcements[[#This Row],[End Connection Bolt Spacing (in) (T)]]</f>
        <v>3</v>
      </c>
      <c r="BN10" s="190" t="str">
        <f>IF(Reinforcements[[#This Row],[Reinforcement]]="","",IF(Reinforcements[[#This Row],[Top End Connection Same?]]="Yes",Reinforcements[[#This Row],[Bottom Connected to Flange/Base Plate?]],IF(Reinforcements[[#This Row],[Top End Connection Type]]="Bolted","-","")))</f>
        <v>-</v>
      </c>
      <c r="BO10" s="190" t="str">
        <f>IF(Reinforcements[[#This Row],[Reinforcement]]="","",IF(Reinforcements[[#This Row],[Top End Connection Same?]]="Yes",Reinforcements[[#This Row],[Bottom Weld Grade (ksi)]],IF(OR(Reinforcements[[#This Row],[Top End Connection Type]]&lt;&gt;"Welded",Reinforcements[[#This Row],[Top End Connection Type]]=""),"-","")))</f>
        <v>-</v>
      </c>
      <c r="BP10" s="190" t="str">
        <f>IF($AZ10="Yes",AP10,IF(Reinforcements[[#This Row],[Reinforcement]]="","",IF(OR(Reinforcements[[#This Row],[Top End Connection Type]]&lt;&gt;"Welded",Reinforcements[[#This Row],[Top End Connection Type]]=""),"-","")))</f>
        <v>-</v>
      </c>
      <c r="BQ10" s="190" t="str">
        <f>IF(Reinforcements[[#This Row],[Reinforcement]]="","",IF($AZ10="Yes",AQ10,IF(OR(Reinforcements[[#This Row],[Top End Connection Type]]&lt;&gt;"Welded",Reinforcements[[#This Row],[Top Transverse (Horizontal) Weld]]="none",Reinforcements[[#This Row],[Top Transverse (Horizontal) Weld]]=""),"-","")))</f>
        <v>-</v>
      </c>
      <c r="BR10" s="190" t="str">
        <f>IF($AZ10="Yes",AR10,IF(Reinforcements[[#This Row],[Reinforcement]]="","",IF(OR(Reinforcements[[#This Row],[Top Transverse (Horizontal) Weld]]="none",Reinforcements[[#This Row],[Top End Connection Type]]&lt;&gt;"Welded",Reinforcements[[#This Row],[Top Transverse (Horizontal) Weld]]="",Reinforcements[[#This Row],[Top Transverse (Horizontal) Weld]]="Fillet"),"-","")))</f>
        <v>-</v>
      </c>
      <c r="BS10" s="190" t="str">
        <f>IF($AZ10="Yes",AS10,IF(Reinforcements[[#This Row],[Reinforcement]]="","",IF(OR(Reinforcements[[#This Row],[Top Transverse (Horizontal) Weld]]="none",Reinforcements[[#This Row],[Top End Connection Type]]&lt;&gt;"Welded",Reinforcements[[#This Row],[Top Transverse (Horizontal) Weld]]="",Reinforcements[[#This Row],[Top Transverse (Horizontal) Weld]]="Fillet"),"-","")))</f>
        <v>-</v>
      </c>
      <c r="BT10" s="190" t="str">
        <f>IF(Reinforcements[[#This Row],[Reinforcement]]="","",IF($AZ10="Yes",AT10,IF(OR(Reinforcements[[#This Row],[Top Transverse (Horizontal) Weld]]="none",Reinforcements[[#This Row],[Top End Connection Type]]&lt;&gt;"Welded",Reinforcements[[#This Row],[Top Transverse (Horizontal) Weld]]=""),"-","")))</f>
        <v>-</v>
      </c>
      <c r="BU10" s="190" t="str">
        <f>IF($AZ10="Yes",AU10,IF(Reinforcements[[#This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0" s="190" t="str">
        <f>IF($AZ10="Yes",AV10,IF(Reinforcements[[#This Row],[Reinforcement]]="","",IF(OR(Reinforcements[[#This Row],[Top End Connection Type]]&lt;&gt;"Welded",Reinforcements[[#This Row],[Top End Connection Type]]=""),"-","")))</f>
        <v>-</v>
      </c>
      <c r="BW10" s="190" t="str">
        <f>IF($AZ10="Yes",AW10,IF(Reinforcements[[#This Row],[Reinforcement]]="","",IF(OR(Reinforcements[[#This Row],[Top End Connection Type]]&lt;&gt;"Welded",Reinforcements[[#This Row],[Top End Connection Type]]="",Reinforcements[[#This Row],[Top Longitudinal (Vertical) Weld]]="",Reinforcements[[#This Row],[Top Longitudinal (Vertical) Weld]]="None"),"-","")))</f>
        <v>-</v>
      </c>
      <c r="BX10" s="190" t="str">
        <f>IF($AZ10="Yes",AX10,IF(Reinforcements[[#This Row],[Reinforcement]]="","",IF(OR(Reinforcements[[#This Row],[Top End Connection Type]]&lt;&gt;"Welded",Reinforcements[[#This Row],[Top End Connection Type]]="",Reinforcements[[#This Row],[Top Longitudinal (Vertical) Weld]]="",Reinforcements[[#This Row],[Top Longitudinal (Vertical) Weld]]="None"),"-","")))</f>
        <v>-</v>
      </c>
      <c r="BY10" s="190" t="str">
        <f>IF($AZ10="Yes",AY10,IF(Reinforcements[[#This Row],[Reinforcement]]="","",IF(OR(Reinforcements[[#This Row],[Top End Connection Type]]&lt;&gt;"Welded",Reinforcements[[#This Row],[Top Longitudinal (Vertical) Weld]]="none"),"-",SQRT(2)/2*Reinforcements[[#This Row],[Top Longitudinal Weld Fillet Size (in)]])))</f>
        <v>-</v>
      </c>
      <c r="BZ10"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0" s="192">
        <f>IF(Reinforcements[[#This Row],[Reinforcement]]="","",IF(Reinforcements[[#This Row],[Bottom End Connection Type]]&lt;&gt;"Bolted","n/a",(Reinforcements[[#This Row],['# of End Connection Bolts          (Bottom)]]-1)*Reinforcements[[#This Row],[End Connection Bolt Spacing (in) (B)]]+Reinforcements[[#This Row],[End Connection Edge Distance (in) (B)]]))</f>
        <v>74</v>
      </c>
      <c r="CB10" s="192">
        <f>IF(Reinforcements[[#This Row],[Reinforcement]]="","",IF(Reinforcements[[#This Row],[Top End Connection Type]]&lt;&gt;"Bolted","n/a",(Reinforcements[[#This Row],['# of End Connection Bolts          (Top)]]-1)*Reinforcements[[#This Row],[End Connection Bolt Spacing (in) (T)]]+Reinforcements[[#This Row],[End Connection Edge Distance (in) (T)]]))</f>
        <v>74</v>
      </c>
      <c r="CC10"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v>
      </c>
      <c r="CD10"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v>
      </c>
      <c r="CE10" s="188">
        <f>IFERROR(IF(Reinforcements[[#This Row],[Type]]="","",Reinforcements[[#This Row],[Effective B (in)]]*Reinforcements[[#This Row],[Effective H (in)]]^3/12),"")</f>
        <v>2.25</v>
      </c>
      <c r="CF10" s="188">
        <f>IFERROR(IF(Reinforcements[[#This Row],[Type]]="","",Reinforcements[[#This Row],[Effective B (in)]]^3*Reinforcements[[#This Row],[Effective H (in)]]/12),"")</f>
        <v>64</v>
      </c>
      <c r="CG10" s="196">
        <f>SQRT(2*PI()^2*29000/VLOOKUP(Reinforcements[[#This Row],[Material]],Materials[],2,FALSE))</f>
        <v>75.659570132481107</v>
      </c>
      <c r="CH10"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46.285521391934502</v>
      </c>
      <c r="CI10"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57.892978127468744</v>
      </c>
      <c r="CJ10" s="195">
        <f>Reinforcements[[#This Row],[Effective Length Factor Kx]]*Reinforcements[[#This Row],[Lu (in)]]/(Reinforcements[[#This Row],[rx]]*PI())*SQRT(VLOOKUP(Reinforcements[[#This Row],[Material]],Materials[],2,FALSE)/29000)</f>
        <v>0.7597367946534872</v>
      </c>
      <c r="CK10" s="195">
        <f>Reinforcements[[#This Row],[Effective Length Factor Ky]]*Reinforcements[[#This Row],[Lu (in)]]/(Reinforcements[[#This Row],[ry]]*PI())*SQRT(VLOOKUP(Reinforcements[[#This Row],[Material]],Materials[],2,FALSE)/29000)</f>
        <v>0.17806331124691108</v>
      </c>
      <c r="CL10" s="195">
        <f>IF(Reinforcements[[#This Row],[λcx]]&lt;=1.5,0.658^(Reinforcements[[#This Row],[λcx]]^2)*Reinforcements[[#This Row],[F''y]],0.877/(Reinforcements[[#This Row],[λcx]]^2)*Reinforcements[[#This Row],[F''y]])</f>
        <v>78.538026892908832</v>
      </c>
      <c r="CM10" s="195">
        <f>IF(Reinforcements[[#This Row],[λcy]]&lt;=1.5,0.658^(Reinforcements[[#This Row],[λcy]]^2)*Reinforcements[[#This Row],[F''y]],0.877/(Reinforcements[[#This Row],[λcy]]^2)*Reinforcements[[#This Row],[F''y]])</f>
        <v>98.681688410483829</v>
      </c>
      <c r="CN10" s="188">
        <f>VLOOKUP(Reinforcements[[#This Row],[Material]],Materials[],2,FALSE)</f>
        <v>100</v>
      </c>
      <c r="CO10" s="196">
        <f>IF(Reinforcements[[#This Row],[Reinforcement]]="","",Reinforcements[[#This Row],[Fax]]*Reinforcements[[#This Row],[Gross Area (in2)]])</f>
        <v>555.42625670321399</v>
      </c>
      <c r="CP10" s="196">
        <f>IF(Reinforcements[[#This Row],[Reinforcement]]="","",Reinforcements[[#This Row],[Fay]]*Reinforcements[[#This Row],[Gross Area (in2)]])</f>
        <v>694.7157375296249</v>
      </c>
      <c r="CQ10" s="196">
        <f>IF(Reinforcements[[#This Row],[Reinforcement]]="","",0.6*VLOOKUP(Reinforcements[[#This Row],[Material]],Materials[],2,FALSE)*Reinforcements[[#This Row],[Gross Area (in2)]])</f>
        <v>720</v>
      </c>
      <c r="CR10" s="196">
        <f>IF(Reinforcements[[#This Row],[Reinforcement]]="","",0.5*VLOOKUP(Reinforcements[[#This Row],[Material]],Materials[],3,FALSE)*Reinforcements[[#This Row],[Net Area (in2)]]*Reinforcements[[#This Row],[Shear Lag (U)]])</f>
        <v>556.875</v>
      </c>
      <c r="CS10" s="196">
        <f>IF(Reinforcements[[#This Row],[Reinforcement]]="","",0.4*VLOOKUP(Reinforcements[[#This Row],[Material]],Materials[],2,FALSE)*Reinforcements[[#This Row],[Gross Area (in2)]])</f>
        <v>480</v>
      </c>
      <c r="CT10"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582.14079197074909</v>
      </c>
      <c r="CU10"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582.14079197074909</v>
      </c>
      <c r="CV10"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34.251968503937007</v>
      </c>
      <c r="CW10"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37.712598425196852</v>
      </c>
      <c r="CX10"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34.251968503937007</v>
      </c>
      <c r="CY10"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37.712598425196852</v>
      </c>
      <c r="CZ10"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5651.5748031496069</v>
      </c>
      <c r="DA10"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6222.5787401574798</v>
      </c>
      <c r="DB10"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5651.5748031496069</v>
      </c>
      <c r="DC10"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6222.5787401574798</v>
      </c>
      <c r="DD10"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0"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0" s="190" t="str">
        <f>IF($AZ10="Yes",DD10,IF(Reinforcements[[#This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0" s="190" t="str">
        <f>IF($AZ10="Yes",DE10,IF(Reinforcements[[#This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0" s="196">
        <f>IF(Reinforcements[[#This Row],[Reinforcement]]="","",φ_c*Reinforcements[[#This Row],[Fcr,x]]*Reinforcements[[#This Row],[Gross Area (in2)]])</f>
        <v>848.21069044341539</v>
      </c>
      <c r="DI10" s="196">
        <f>IF(Reinforcements[[#This Row],[Reinforcement]]="","",φ_c*Reinforcements[[#This Row],[Fcr,y]]*Reinforcements[[#This Row],[Gross Area (in2)]])</f>
        <v>1065.7622348332252</v>
      </c>
      <c r="DJ10" s="196">
        <f>IF(Reinforcements[[#This Row],[Reinforcement]]="","",φ_t_y*VLOOKUP(Reinforcements[[#This Row],[Material]],Materials[],2,FALSE)*Reinforcements[[#This Row],[Gross Area (in2)]])</f>
        <v>1080</v>
      </c>
      <c r="DK10" s="197">
        <f>IF(Reinforcements[[#This Row],[Reinforcement]]="","",φ_t_r*VLOOKUP(Reinforcements[[#This Row],[Material]],Materials[],3,FALSE)*Reinforcements[[#This Row],[Net Area (in2)]]*Reinforcements[[#This Row],[Shear Lag (U)]])</f>
        <v>835.3125</v>
      </c>
      <c r="DL10" s="197">
        <f>IF(Reinforcements[[#This Row],[Reinforcement]]="","",φ_v*0.5*Reinforcements[[#This Row],[F''y]]*Reinforcements[[#This Row],[Gross Area (in2)]])</f>
        <v>540</v>
      </c>
      <c r="DM10"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1031.7484276500415</v>
      </c>
      <c r="DN10"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1031.7484276500415</v>
      </c>
      <c r="DO10"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49.088503937007879</v>
      </c>
      <c r="DP10"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61.360629921259843</v>
      </c>
      <c r="DQ10"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49.088503937007879</v>
      </c>
      <c r="DR10"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61.360629921259843</v>
      </c>
      <c r="DS10"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8000.9149606299216</v>
      </c>
      <c r="DT10"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10001.143700787401</v>
      </c>
      <c r="DU10"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8000.9149606299216</v>
      </c>
      <c r="DV10"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10001.143700787401</v>
      </c>
      <c r="DW10"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0" s="19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0" s="190" t="str">
        <f>IF($AZ10="Yes",DW10,IF(Reinforcements[[#This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0" s="190" t="str">
        <f>IF($AZ10="Yes",DX10,IF(Reinforcements[[#This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0" s="241" t="str">
        <f>IF(OR(Reinforcements[[#This Row],[Type]]="plate",Reinforcements[[#This Row],[Type]]="solid round"),"N/A",Reinforcements[[#This Row],[B (in)]])</f>
        <v>N/A</v>
      </c>
      <c r="EB10" s="237" t="str">
        <f>IF(OR(Reinforcements[[#This Row],[Type]]="plate",Reinforcements[[#This Row],[Type]]="solid round"),"N/A",Reinforcements[[#This Row],[H (in)]])</f>
        <v>N/A</v>
      </c>
      <c r="EC10" s="237" t="str">
        <f>IF(OR(Reinforcements[[#This Row],[Type]]="plate",Reinforcements[[#This Row],[Type]]="solid round"),"N/A",Reinforcements[[#This Row],[B (in)]]-Reinforcements[[#This Row],['[Channel'] Flange Thickness (in)]])</f>
        <v>N/A</v>
      </c>
      <c r="ED10" s="237" t="str">
        <f>IF(OR(Reinforcements[[#This Row],[Type]]="plate",Reinforcements[[#This Row],[Type]]="solid round"),"N/A",Reinforcements[[#This Row],['[Channel']Web Thickness (in)]])</f>
        <v>N/A</v>
      </c>
      <c r="EE10" s="237" t="str">
        <f>IF(OR(Reinforcements[[#This Row],[Type]]="plate",Reinforcements[[#This Row],[Type]]="solid round"),"N/A",Reinforcements[[#This Row],['[Channel'] Flange Thickness (in)]])</f>
        <v>N/A</v>
      </c>
      <c r="EF10" s="237" t="str">
        <f>IF(Reinforcements[[#This Row],[Type]]="channel",Reinforcements[[#This Row],[Channel Flange Width, b]]/Reinforcements[[#This Row],[Channel flange thickness, tf]],"N/A")</f>
        <v>N/A</v>
      </c>
      <c r="EG10" s="237" t="str">
        <f>IF(Reinforcements[[#This Row],[Type]]="channel",Reinforcements[[#This Row],[Channel inside depth, T]]/Reinforcements[[#This Row],[Channel web thickness, tw]],"N/A")</f>
        <v>N/A</v>
      </c>
      <c r="EH10" s="237">
        <v>29000</v>
      </c>
      <c r="EI10" s="237" t="str">
        <f>IF(Reinforcements[[#This Row],[Type]]="channel",0.56*SQRT(Reinforcements[[#This Row],[E, (ksi)]]/Reinforcements[[#This Row],[Fy, (ksi)]]),"N/A")</f>
        <v>N/A</v>
      </c>
      <c r="EJ10" s="237" t="str">
        <f>IF(Reinforcements[[#This Row],[Type]]="channel",1.49*SQRT(Reinforcements[[#This Row],[E, (ksi)]]/Reinforcements[[#This Row],[Fy, (ksi)]]),"N/A")</f>
        <v>N/A</v>
      </c>
      <c r="EK10" s="237">
        <f>VLOOKUP(Reinforcements[[#This Row],[Material]],Materials!$B$2:$C$30,2,FALSE)</f>
        <v>100</v>
      </c>
      <c r="EL10" s="237">
        <f>Reinforcements[[#This Row],[Lu (in)]]*Reinforcements[[#This Row],[Effective Length Factor Kx]]</f>
        <v>17.600000000000001</v>
      </c>
      <c r="EM10" s="237">
        <f>Reinforcements[[#This Row],[Lu (in)]]*Reinforcements[[#This Row],[Effective Length Factor Ky]]</f>
        <v>22</v>
      </c>
      <c r="EN10" s="237">
        <f>Reinforcements[[#This Row],[rx]]</f>
        <v>0.4330127018922193</v>
      </c>
      <c r="EO10" s="237">
        <f>Reinforcements[[#This Row],[ry]]</f>
        <v>2.3094010767585029</v>
      </c>
      <c r="EP10" s="237">
        <f>Reinforcements[[#This Row],[Lcx (in)]]/Reinforcements[[#This Row],[rx (in)]]</f>
        <v>40.64545895094966</v>
      </c>
      <c r="EQ10" s="237">
        <f>Reinforcements[[#This Row],[Lcy (in)]]/Reinforcements[[#This Row],[ry (in)]]</f>
        <v>9.5262794416288248</v>
      </c>
      <c r="ER10" s="237">
        <f>((PI()^2)*Reinforcements[[#This Row],[E, (ksi)]])/(Reinforcements[[#This Row],[Lcx/rx]]^2)</f>
        <v>173.25017410551192</v>
      </c>
      <c r="ES10" s="237">
        <f>((PI()^2)*Reinforcements[[#This Row],[E, (ksi)]])/(Reinforcements[[#This Row],[Lcy/ry]]^2)</f>
        <v>3153.9231694941195</v>
      </c>
      <c r="ET10" s="237">
        <f>4.71*(SQRT(Reinforcements[[#This Row],[E, (ksi)]]/Reinforcements[[#This Row],[Fy, (ksi)]]))</f>
        <v>80.20840978351336</v>
      </c>
      <c r="EU10" s="237">
        <f>IF(Reinforcements[[#This Row],[Lcx/rx]]&lt;=Reinforcements[[#This Row],[Fcr Limit]],(0.658^(Reinforcements[[#This Row],[Fy, (ksi)]]/Reinforcements[[#This Row],[Fex, FB (ksi)]]))*Reinforcements[[#This Row],[Fy, (ksi)]],0.877*Reinforcements[[#This Row],[Fex, FB (ksi)]])</f>
        <v>78.538026892908817</v>
      </c>
      <c r="EV10" s="237">
        <f>IF(Reinforcements[[#This Row],[Lcy/ry]]&lt;=Reinforcements[[#This Row],[Fcr Limit]],(0.658^(Reinforcements[[#This Row],[Fy, (ksi)]]/Reinforcements[[#This Row],[Fey, FB (ksi)]]))*Reinforcements[[#This Row],[Fy, (ksi)]],0.877*Reinforcements[[#This Row],[Fey, FB (ksi)]])</f>
        <v>98.681688410483829</v>
      </c>
      <c r="EW10" s="237">
        <f>Reinforcements[[#This Row],[Fcrx (ksi)]]*Reinforcements[[#This Row],[Gross Area (in2)]]</f>
        <v>942.45632271490581</v>
      </c>
      <c r="EX10" s="237">
        <f>Reinforcements[[#This Row],[Fcry (ksi)]]*Reinforcements[[#This Row],[Gross Area (in2)]]</f>
        <v>1184.1802609258059</v>
      </c>
      <c r="EY10" s="237" t="str">
        <f>IF(Reinforcements[[#This Row],[Type]]="channel",0,"N/A")</f>
        <v>N/A</v>
      </c>
      <c r="EZ10" s="237" t="str">
        <f>IF(Reinforcements[[#This Row],[Type]]="channel",Reinforcements[[#This Row],[Channel Flange Width, b]]-(0.5*Reinforcements[[#This Row],[Channel web thickness, tw]]),"N/A")</f>
        <v>N/A</v>
      </c>
      <c r="FA10" s="237" t="str">
        <f>IF(Reinforcements[[#This Row],[Type]]="channel",Reinforcements[[#This Row],[Channel Height, h]]-Reinforcements[[#This Row],[Channel flange thickness, tf]],"N/A")</f>
        <v>N/A</v>
      </c>
      <c r="FB10" s="237" t="str">
        <f>IF(Reinforcements[[#This Row],[Type]]="channel",Reinforcements[[#This Row],[Channel web thickness, tw]],"N/A")</f>
        <v>N/A</v>
      </c>
      <c r="FC10" s="237" t="str">
        <f>IF(Reinforcements[[#This Row],[Type]]="channel",((3*Reinforcements[[#This Row],[b]]^2)/(Reinforcements[[#This Row],[h]]+(6*Reinforcements[[#This Row],[b]])))-Reinforcements[[#This Row],[t]]/2,"N/A")</f>
        <v>N/A</v>
      </c>
      <c r="FD10" s="237">
        <f>Reinforcements[[#This Row],[Pole Face to Centroid (in)]]</f>
        <v>0.75</v>
      </c>
      <c r="FE10" s="237" t="str">
        <f>IF(Reinforcements[[#This Row],[Type]]="channel",Reinforcements[[#This Row],[x(bar)]]+Reinforcements[[#This Row],['[Channel'] e0 (in)]],"N/A")</f>
        <v>N/A</v>
      </c>
      <c r="FF10" s="237" t="str">
        <f>IF(Reinforcements[[#This Row],[Type]]="channel",Reinforcements[[#This Row],[Ix]],"N/A")</f>
        <v>N/A</v>
      </c>
      <c r="FG10" s="237" t="str">
        <f>IF(Reinforcements[[#This Row],[Type]]="channel",Reinforcements[[#This Row],[Iy]],"N/A")</f>
        <v>N/A</v>
      </c>
      <c r="FH10" s="237" t="str">
        <f>IF(Reinforcements[[#This Row],[Type]]="channel",Reinforcements[[#This Row],[Gross Area (in2)]],"N/A")</f>
        <v>N/A</v>
      </c>
      <c r="FI10" s="237" t="str">
        <f>IF(Reinforcements[[#This Row],[Type]]="channel",(Reinforcements[[#This Row],[xo]]^2)+((Reinforcements[[#This Row],[Ix (FTB)]]+Reinforcements[[#This Row],[Iy (FTB)]])/Reinforcements[[#This Row],[Ag]]),"N/A")</f>
        <v>N/A</v>
      </c>
      <c r="FJ10" s="237" t="str">
        <f>IF(Reinforcements[[#This Row],[Type]]="channel",Reinforcements[[#This Row],[Lu (in)]],"N/A")</f>
        <v>N/A</v>
      </c>
      <c r="FK10" s="237" t="str">
        <f>IF(Reinforcements[[#This Row],[Type]]="channel",Reinforcements[[#This Row],[Effective Length Factor Kx]],"N/A")</f>
        <v>N/A</v>
      </c>
      <c r="FL10" s="237" t="str">
        <f>IF(Reinforcements[[#This Row],[Type]]="channel",Reinforcements[[#This Row],[Kz]]*Reinforcements[[#This Row],[Lz]],"N/A")</f>
        <v>N/A</v>
      </c>
      <c r="FM10" s="237" t="str">
        <f>IF(Reinforcements[[#This Row],[Type]]="channel",(((Reinforcements[[#This Row],[t]]^3)/3)*(Reinforcements[[#This Row],[h]]+(2*Reinforcements[[#This Row],[b]]))),"N/A")</f>
        <v>N/A</v>
      </c>
      <c r="FN10" s="237" t="str">
        <f>IF(Reinforcements[[#This Row],[Type]]="channel",(1-(((Reinforcements[[#This Row],[xo]]^2)+(Reinforcements[[#This Row],[yo]]^2))/Reinforcements[[#This Row],[ro^2(bar)]])),"N/A")</f>
        <v>N/A</v>
      </c>
      <c r="FO10" s="237">
        <v>11200</v>
      </c>
      <c r="FP10" s="237" t="str">
        <f>IF(Reinforcements[[#This Row],[Type]]="channel",(((Reinforcements[[#This Row],[h]]^2)*(Reinforcements[[#This Row],[b]]^3)*Reinforcements[[#This Row],[t]])/12)*(((2*Reinforcements[[#This Row],[h]])+(3*Reinforcements[[#This Row],[b]]))/(Reinforcements[[#This Row],[h]]+(6*Reinforcements[[#This Row],[b]]))),"N/A")</f>
        <v>N/A</v>
      </c>
      <c r="FQ10" s="237" t="str">
        <f>IF(Reinforcements[[#This Row],[Type]]="Channel",((((PI()^2)*Reinforcements[[#This Row],[E, (ksi)]]*Reinforcements[[#This Row],['[Channel'] CW (in6)]])/(Reinforcements[[#This Row],[Lcz]]^2))+(Reinforcements[[#This Row],[G]]*Reinforcements[[#This Row],['[Channel'] J (in4)]]))*(1/(Reinforcements[[#This Row],[Ag]]*Reinforcements[[#This Row],[ro^2(bar)]])),"N/A")</f>
        <v>N/A</v>
      </c>
      <c r="FR10" s="237" t="str">
        <f>IF(Reinforcements[[#This Row],[Type]]="channel",((PI()^2)*Reinforcements[[#This Row],[E, (ksi)]])/(Reinforcements[[#This Row],[Lcy/ry]]^2),"N/A")</f>
        <v>N/A</v>
      </c>
      <c r="FS10" s="237" t="str">
        <f>IF(Reinforcements[[#This Row],[Type]]="channel",((Reinforcements[[#This Row],[Fey]]+Reinforcements[[#This Row],[Fez]])/(2*Reinforcements[[#This Row],[H2]]))*(1-SQRT(1-((4*Reinforcements[[#This Row],[Fey]]*Reinforcements[[#This Row],[Fez]]*Reinforcements[[#This Row],[H2]])/(Reinforcements[[#This Row],[Fey]]+Reinforcements[[#This Row],[Fez]])^2))),"N/A")</f>
        <v>N/A</v>
      </c>
      <c r="FT10" s="237" t="str">
        <f>IF(Reinforcements[[#This Row],[Type]]="channel",IF(Reinforcements[[#This Row],[Lcx/rx]]&gt;(4.71*SQRT(Reinforcements[[#This Row],[E, (ksi)]]/Reinforcements[[#This Row],[Fy, (ksi)]])),0.877*Reinforcements[[#This Row],[Fe (FTB)]],0.658^(Reinforcements[[#This Row],[Fy, (ksi)]]/Reinforcements[[#This Row],[Fe (FTB)]])*Reinforcements[[#This Row],[Fy, (ksi)]]),"N/A")</f>
        <v>N/A</v>
      </c>
      <c r="FU10" s="237" t="str">
        <f>IF(Reinforcements[[#This Row],[Type]]="channel",MIN(Reinforcements[[#This Row],[Fcr(FTB)]],Reinforcements[[#This Row],[Fcry (ksi)]]),"N/A")</f>
        <v>N/A</v>
      </c>
      <c r="FV10" s="237">
        <v>0.22</v>
      </c>
      <c r="FW10" s="237">
        <v>1.49</v>
      </c>
      <c r="FX10" s="237" t="str">
        <f>IF(Reinforcements[[#This Row],[Type]]="channel",((Reinforcements[[#This Row],[c2]]*(Reinforcements[[#This Row],[λrf]]/Reinforcements[[#This Row],[λf]]))^2)*Reinforcements[[#This Row],[Fy, (ksi)]],"N/A")</f>
        <v>N/A</v>
      </c>
      <c r="FY10" s="237" t="str">
        <f>IF(Reinforcements[[#This Row],[Type]]="channel",((Reinforcements[[#This Row],[c2]]*(Reinforcements[[#This Row],[λrw]]/Reinforcements[[#This Row],[λw]]))^2)*Reinforcements[[#This Row],[Fy, (ksi)]],"N/A")</f>
        <v>N/A</v>
      </c>
      <c r="FZ10"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0"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0"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0" s="237" t="str">
        <f>IF(Reinforcements[[#This Row],[Type]]="channel",Reinforcements[[#This Row],[Fcr]]*Reinforcements[[#This Row],[Ae]],"N/A")</f>
        <v>N/A</v>
      </c>
      <c r="GD10" s="466">
        <f>IF(Reinforcements[[#This Row],[Reinforcement]]="","",φ_c*Reinforcements[[#This Row],[Pnx, FB (kip)]])</f>
        <v>848.21069044341527</v>
      </c>
      <c r="GE10" s="466">
        <f>IF(Reinforcements[[#This Row],[Reinforcement]]="","",IF(Reinforcements[[#This Row],[Type]]="channel",φ_c*Reinforcements[[#This Row],[Pn]],φ_c*Reinforcements[[#This Row],[Pny, FB (kip)]]))</f>
        <v>1065.7622348332254</v>
      </c>
      <c r="GF10" s="466">
        <f>Reinforcements[[#This Row],[Rev. G Tension Yield Capacity (kips)]]</f>
        <v>1080</v>
      </c>
      <c r="GG10" s="466">
        <f>Reinforcements[[#This Row],[Rev. G Tension Rupture Capacity (kips)]]</f>
        <v>835.3125</v>
      </c>
      <c r="GH10" s="466">
        <f>Reinforcements[[#This Row],[Rev. G Shear Capacity (kips)]]</f>
        <v>540</v>
      </c>
      <c r="GI10" s="466">
        <f>IFERROR((Reinforcements[[#This Row],['# of End Connection Bolts          (Bottom)]]-1)*Reinforcements[[#This Row],[End Connection Bolt Spacing (in) (B)]],"-")</f>
        <v>72</v>
      </c>
      <c r="GJ10" s="466">
        <f>IFERROR(IF(VLOOKUP(Reinforcements[[#This Row],[Bottom End Connection Bolt Type]],Bolts[],COLUMN(Bolts[[#Headers],[Rev. H Apply Connection Length Reduction Factor (Rb)?]])-1,FALSE)="Yes",(IF(Reinforcements[[#This Row],[Lb(bottom)]]&lt;=16,1,IF(Reinforcements[[#This Row],[Lb(bottom)]]&gt;38,0.75,0.9))),1),"-")</f>
        <v>1</v>
      </c>
      <c r="GK10"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1159.9910242704484</v>
      </c>
      <c r="GL10" s="466">
        <f>IFERROR(IF(Reinforcements[[#This Row],[Top End Connection Same?]]="Yes",Reinforcements[[#This Row],[Lb(bottom)]],(Reinforcements[[#This Row],['# of End Connection Bolts          (Top)]]-1)*Reinforcements[[#This Row],[End Connection Bolt Spacing (in) (T)]]),"-")</f>
        <v>72</v>
      </c>
      <c r="GM10" s="466">
        <f>IFERROR(IF(VLOOKUP(Reinforcements[[#This Row],[Top End Connection Bolt Type]],Bolts[],COLUMN(Bolts[[#Headers],[Rev. H Apply Connection Length Reduction Factor (Rb)?]])-1,FALSE)="Yes",(IF(Reinforcements[[#This Row],[Lb(top)]]&lt;=16,1,IF(Reinforcements[[#This Row],[Lb(top)]]&gt;38,0.75,0.9))),1),"-")</f>
        <v>1</v>
      </c>
      <c r="GN10"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1159.9910242704484</v>
      </c>
      <c r="GO10" s="466">
        <f>Reinforcements[[#This Row],[Rev. G Bolt-Shaft Bearing Capacity (Bottom)                No Deformation          (*t*Fu kips)]]</f>
        <v>49.088503937007879</v>
      </c>
      <c r="GP10" s="466">
        <f>Reinforcements[[#This Row],[Rev. G Bolt-Shaft Bearing Capacity (Bottom)                   Deformation          (*t*Fu kips)]]</f>
        <v>61.360629921259843</v>
      </c>
      <c r="GQ10" s="466">
        <f>Reinforcements[[#This Row],[Rev. G Bolt-Shaft Bearing Capacity (Top)                    No Deformation          (*t*Fu kips)]]</f>
        <v>49.088503937007879</v>
      </c>
      <c r="GR10" s="466">
        <f>Reinforcements[[#This Row],[Rev. G Bolt-Shaft Bearing Capacity (Top)                        Deformation          (*t*Fu kips)]]</f>
        <v>61.360629921259843</v>
      </c>
      <c r="GS10" s="466">
        <f>Reinforcements[[#This Row],[Rev. G Bolt-Reinf. Bearing Capacity (Bottom)            No Deformation (kips)]]</f>
        <v>8000.9149606299216</v>
      </c>
      <c r="GT10" s="466">
        <f>Reinforcements[[#This Row],[Rev. G Bolt-Reinf. Bearing Capacity (Bottom)               Deformation (kips)]]</f>
        <v>10001.143700787401</v>
      </c>
      <c r="GU10" s="466">
        <f>Reinforcements[[#This Row],[Rev. G Bolt-Reinf. Bearing Capacity (Top)                  No Deformation (kips)]]</f>
        <v>8000.9149606299216</v>
      </c>
      <c r="GV10" s="466">
        <f>Reinforcements[[#This Row],[Rev. G Bolt-Reinf. Bearing Capacity (Top)               Deformation (kips)]]</f>
        <v>10001.143700787401</v>
      </c>
      <c r="GW10" s="466" t="str">
        <f>Reinforcements[[#This Row],[Rev. G Bottom Transverse Weld Strength]]</f>
        <v>-</v>
      </c>
      <c r="GX10" s="466" t="str">
        <f>Reinforcements[[#This Row],[Rev. G Bottom Longitudinal Weld Strength]]</f>
        <v>-</v>
      </c>
      <c r="GY10" s="466" t="str">
        <f>Reinforcements[[#This Row],[Rev. G Top Transverse Weld Strength]]</f>
        <v>-</v>
      </c>
      <c r="GZ10" s="466" t="str">
        <f>Reinforcements[[#This Row],[Rev. G Top Longitudinal Weld Strength]]</f>
        <v>-</v>
      </c>
      <c r="HA10" s="552">
        <v>8</v>
      </c>
      <c r="HB10"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1" spans="2:210" x14ac:dyDescent="0.2">
      <c r="B11" s="72" t="s">
        <v>219</v>
      </c>
      <c r="C11" s="72" t="s">
        <v>146</v>
      </c>
      <c r="D11" s="185">
        <v>9</v>
      </c>
      <c r="E11" s="185">
        <v>1.5</v>
      </c>
      <c r="F11" s="185" t="str">
        <f>IF(Reinforcements[[#This Row],[Type]]="","",IF(Reinforcements[[#This Row],[Type]]="solid round","","n/a"))</f>
        <v>n/a</v>
      </c>
      <c r="G11" s="185" t="str">
        <f>IF(Reinforcements[[#This Row],[Type]]="","",IF(Reinforcements[[#This Row],[Type]]&lt;&gt;"channel","n/a",""))</f>
        <v>n/a</v>
      </c>
      <c r="H11" s="185" t="str">
        <f>IF(Reinforcements[[#This Row],[Type]]="","",IF(Reinforcements[[#This Row],[Type]]&lt;&gt;"channel","n/a",""))</f>
        <v>n/a</v>
      </c>
      <c r="I11" s="197" t="str">
        <f>IF(Reinforcements[[#This Row],[Type]]="","",IF(Reinforcements[[#This Row],[Type]]&lt;&gt;"channel","n/a",Reinforcements[[#This Row],[eo]]))</f>
        <v>n/a</v>
      </c>
      <c r="J11" s="197" t="str">
        <f>IF(Reinforcements[[#This Row],[Type]]="","",IF(Reinforcements[[#This Row],[Type]]&lt;&gt;"channel","n/a",Reinforcements[[#This Row],[J]]))</f>
        <v>n/a</v>
      </c>
      <c r="K11" s="197" t="str">
        <f>IF(Reinforcements[[#This Row],[Type]]="","",IF(Reinforcements[[#This Row],[Type]]&lt;&gt;"channel","n/a",Reinforcements[[#This Row],[Cw]]))</f>
        <v>n/a</v>
      </c>
      <c r="L11" s="185">
        <f>IFERROR(IF(Reinforcements[[#This Row],[Type]]="","",IF(Reinforcements[[#This Row],[Type]]="plate",Reinforcements[[#This Row],[B (in)]]*Reinforcements[[#This Row],[H (in)]],IF(Reinforcements[[#This Row],[Type]]="solid round",PI()/4*Reinforcements[[#This Row],[Diameter (in)]]^2,""))),"")</f>
        <v>13.5</v>
      </c>
      <c r="M11" s="185">
        <f>IFERROR(IF(Reinforcements[[#This Row],[Type]]="","",IF(Reinforcements[[#This Row],[Type]]="plate",Reinforcements[[#This Row],[H (in)]]/2,"")),"")</f>
        <v>0.75</v>
      </c>
      <c r="N11" s="186" t="s">
        <v>297</v>
      </c>
      <c r="O11" s="185" t="s">
        <v>153</v>
      </c>
      <c r="P11" s="187">
        <f>IFERROR(IF(Reinforcements[[#This Row],[Type]]="","",IF(Reinforcements[[#This Row],[Type]]="plate",Reinforcements[[#This Row],[B (in)]]*Reinforcements[[#This Row],[H (in)]]^3/12,IF(Reinforcements[[#This Row],[Type]]="solid round",PI()/64*Reinforcements[[#This Row],[Diameter (in)]]^4,""))),"")</f>
        <v>2.53125</v>
      </c>
      <c r="Q11" s="187">
        <f>IF(Reinforcements[[#This Row],[Reinforcement]]="","",SQRT(Reinforcements[[#This Row],[Ix]]/Reinforcements[[#This Row],[Gross Area (in2)]]))</f>
        <v>0.4330127018922193</v>
      </c>
      <c r="R11" s="187">
        <f>IFERROR(IF(Reinforcements[[#This Row],[Type]]="","",IF(Reinforcements[[#This Row],[Type]]="plate",Reinforcements[[#This Row],[B (in)]]^3*Reinforcements[[#This Row],[H (in)]]/12,IF(Reinforcements[[#This Row],[Type]]="solid round",PI()/64*Reinforcements[[#This Row],[Diameter (in)]]^4,""))),"")</f>
        <v>91.125</v>
      </c>
      <c r="S11" s="187">
        <f>IF(Reinforcements[[#This Row],[Reinforcement]]="","",SQRT(Reinforcements[[#This Row],[Iy]]/Reinforcements[[#This Row],[Gross Area (in2)]]))</f>
        <v>2.598076211353316</v>
      </c>
      <c r="T11" s="190">
        <v>21</v>
      </c>
      <c r="U11" s="188">
        <v>0.8</v>
      </c>
      <c r="V11" s="188">
        <v>1</v>
      </c>
      <c r="W11" s="185">
        <v>1.1875</v>
      </c>
      <c r="X11" s="188">
        <f>IF(Reinforcements[[#This Row],[Bolt Hole Size (in)]]="","",IF(Reinforcements[[#This Row],[Bolt Hole Size (in)]]="n/a","n/a",Reinforcements[[#This Row],[Bolt Hole Size (in)]]*25.4))</f>
        <v>30.162499999999998</v>
      </c>
      <c r="Y11"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11.625</v>
      </c>
      <c r="Z11" s="185">
        <f>IFERROR(IF(Reinforcements[[#This Row],[Reinforcement]]="","",IF(OR(Reinforcements[[#This Row],[Type]]="plate",Reinforcements[[#This Row],[Type]]="solid round"),1,IF(Reinforcements[[#This Row],[Type]]="arbitrary","",1-Reinforcements[[#This Row],[Pole Face to Centroid (in)]]/Reinforcements[[#This Row],[Connection Length (in) '[Channels']]]))),"")</f>
        <v>1</v>
      </c>
      <c r="AA11" s="189" t="s">
        <v>391</v>
      </c>
      <c r="AB11" s="189" t="str">
        <f>IF(Reinforcements[[#This Row],[Reinforcement]]="","",IF(Reinforcements[[#This Row],[Bottom End Connection Type]]&lt;&gt;"Capacity Input","-",""))</f>
        <v>-</v>
      </c>
      <c r="AC11" s="189" t="str">
        <f>IF(Reinforcements[[#This Row],[Reinforcement]]="","",IF(Reinforcements[[#This Row],[Bottom End Connection Type]]&lt;&gt;"Capacity Input","-",""))</f>
        <v>-</v>
      </c>
      <c r="AD11" s="461" t="str">
        <f>IF(Reinforcements[[#This Row],[Reinforcement]]="","",IF(Reinforcements[[#This Row],[Bottom End Connection Type]]&lt;&gt;"Capacity Input","-",""))</f>
        <v>-</v>
      </c>
      <c r="AE11" s="103" t="s">
        <v>416</v>
      </c>
      <c r="AF11" s="190" t="s">
        <v>296</v>
      </c>
      <c r="AG11" s="190">
        <v>29</v>
      </c>
      <c r="AH11" s="190">
        <v>3</v>
      </c>
      <c r="AI11" s="190">
        <v>2</v>
      </c>
      <c r="AJ11" s="190">
        <f>Reinforcements[[#This Row],[End Connection Edge Distance (in) (B)]]-(Reinforcements[[#This Row],[Bolt Hole Size (in)]]+1/16)/2</f>
        <v>1.375</v>
      </c>
      <c r="AK11" s="190">
        <f>Reinforcements[[#This Row],[End Connection Bolt Spacing (in) (B)]]-(Reinforcements[[#This Row],[Bolt Hole Size (in)]]+1/16)</f>
        <v>1.75</v>
      </c>
      <c r="AL11" s="190">
        <f>Reinforcements[[#This Row],[End Connection Edge Distance (in) (B)]]</f>
        <v>2</v>
      </c>
      <c r="AM11" s="190">
        <f>Reinforcements[[#This Row],[End Connection Bolt Spacing (in) (B)]]</f>
        <v>3</v>
      </c>
      <c r="AN11" s="190" t="str">
        <f>IF(Reinforcements[[#This Row],[Reinforcement]]="","",IF(OR(Reinforcements[[#This Row],[Bottom End Connection Type]]="Bolted",Reinforcements[[#This Row],[Bottom End Connection Type]]=""),"-",""))</f>
        <v>-</v>
      </c>
      <c r="AO11" s="191" t="str">
        <f>IF(Reinforcements[[#This Row],[Reinforcement]]="","",IF(OR(Reinforcements[[#This Row],[Bottom End Connection Type]]="Bolted",Reinforcements[[#This Row],[Bottom End Connection Type]]=""),"-",""))</f>
        <v>-</v>
      </c>
      <c r="AP11" s="191" t="str">
        <f>IF(Reinforcements[[#This Row],[Reinforcement]]="","",IF(OR(Reinforcements[[#This Row],[Bottom End Connection Type]]="Bolted",Reinforcements[[#This Row],[Bottom End Connection Type]]=""),"-",""))</f>
        <v>-</v>
      </c>
      <c r="AQ11" s="191" t="str">
        <f>IF(OR(Reinforcements[[#This Row],[Bottom End Connection Type]]="Bolted",Reinforcements[[#This Row],[Bottom Transverse (Horizontal) Weld]]="none"),"-","")</f>
        <v>-</v>
      </c>
      <c r="AR1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1" s="191" t="str">
        <f>IF(OR(Reinforcements[[#This Row],[Bottom Transverse (Horizontal) Weld]]="none",Reinforcements[[#This Row],[Bottom End Connection Type]]="Bolted"),"-","")</f>
        <v>-</v>
      </c>
      <c r="AU11"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1" s="191" t="str">
        <f>IF(Reinforcements[[#This Row],[Reinforcement]]="","",IF(OR(Reinforcements[[#This Row],[Bottom End Connection Type]]="Bolted",Reinforcements[[#This Row],[Bottom End Connection Type]]=""),"-",""))</f>
        <v>-</v>
      </c>
      <c r="AW11" s="191" t="str">
        <f>IF(Reinforcements[[#This Row],[Reinforcement]]="","",IF(OR(Reinforcements[[#This Row],[Bottom End Connection Type]]&lt;&gt;"Welded",Reinforcements[[#This Row],[Bottom Longitudinal (Vertical) Weld]]="None",Reinforcements[[#This Row],[Bottom Longitudinal (Vertical) Weld]]=""),"-",""))</f>
        <v>-</v>
      </c>
      <c r="AX11" s="191" t="str">
        <f>IF(Reinforcements[[#This Row],[Reinforcement]]="","",IF(OR(Reinforcements[[#This Row],[Bottom End Connection Type]]&lt;&gt;"Welded",Reinforcements[[#This Row],[Bottom Longitudinal (Vertical) Weld]]="None",Reinforcements[[#This Row],[Bottom Longitudinal (Vertical) Weld]]=""),"-",""))</f>
        <v>-</v>
      </c>
      <c r="AY11" s="190" t="str">
        <f>IF(Reinforcements[[#This Row],[Reinforcement]]="","",IF(OR(Reinforcements[[#This Row],[Bottom End Connection Type]]&lt;&gt;"Welded",Reinforcements[[#This Row],[Bottom Longitudinal (Vertical) Weld]]="None"),"-",SQRT(2)/2*Reinforcements[[#This Row],[Bottom Longitudinal Weld Fillet Size (in)]]))</f>
        <v>-</v>
      </c>
      <c r="AZ11" s="190" t="s">
        <v>295</v>
      </c>
      <c r="BA11" s="189" t="str">
        <f>IF(Reinforcements[[#This Row],[Top End Connection Same?]]="Yes",Reinforcements[[#This Row],[Bottom End Connection Type]],"")</f>
        <v>Bolted</v>
      </c>
      <c r="BB11" s="189" t="str">
        <f>IF(Reinforcements[[#This Row],[Reinforcement]]="","",IF(Reinforcements[[#This Row],[Top End Connection Same?]]="Yes",Reinforcements[[#This Row],[Rev. F Bottom Connection Capacity (kips)]],IF(Reinforcements[[#This Row],[Reinforcement]]="","",IF(Reinforcements[[#This Row],[Top End Connection Type]]&lt;&gt;"Capacity Input","-",""))))</f>
        <v>-</v>
      </c>
      <c r="BC11" s="189" t="str">
        <f>IF(Reinforcements[[#This Row],[Reinforcement]]="","",IF(Reinforcements[[#This Row],[Top End Connection Same?]]="Yes",Reinforcements[[#This Row],[Rev. G Bottom Connection Capacity (kips)]],IF(Reinforcements[[#This Row],[Reinforcement]]="","",IF(Reinforcements[[#This Row],[Top End Connection Type]]&lt;&gt;"Capacity Input","-",""))))</f>
        <v>-</v>
      </c>
      <c r="BD11" s="461" t="str">
        <f>IF(Reinforcements[[#This Row],[Reinforcement]]="","",IF(Reinforcements[[#This Row],[Top End Connection Same?]]="Yes",Reinforcements[[#This Row],[Rev. G Bottom Connection Capacity (kips)]],IF(Reinforcements[[#This Row],[Reinforcement]]="","",IF(Reinforcements[[#This Row],[Top End Connection Type]]&lt;&gt;"Capacity Input","-",""))))</f>
        <v>-</v>
      </c>
      <c r="BE11" s="103" t="s">
        <v>416</v>
      </c>
      <c r="BF11" s="190" t="str">
        <f>IF(Reinforcements[[#This Row],[Top End Connection Same?]]="Yes",Reinforcements[[#This Row],[Threads Included (N) or Excluded (X) (Bottom)]],IF(Reinforcements[[#This Row],[Top End Connection Type]]="Welded","-",""))</f>
        <v>N</v>
      </c>
      <c r="BG11" s="190">
        <f>IF(Reinforcements[[#This Row],[Top End Connection Same?]]="Yes",Reinforcements[[#This Row],['# of End Connection Bolts          (Bottom)]],IF(Reinforcements[[#This Row],[Top End Connection Type]]="Welded","-",""))</f>
        <v>29</v>
      </c>
      <c r="BH11" s="190">
        <f>IF(Reinforcements[[#This Row],[Top End Connection Same?]]="Yes",Reinforcements[[#This Row],[End Connection Bolt Spacing (in) (B)]],IF(Reinforcements[[#This Row],[Top End Connection Type]]="Welded","-",""))</f>
        <v>3</v>
      </c>
      <c r="BI11" s="190">
        <f>IF(Reinforcements[[#This Row],[Top End Connection Same?]]="Yes",Reinforcements[[#This Row],[End Connection Edge Distance (in) (B)]],IF(Reinforcements[[#This Row],[Top End Connection Type]]="Welded","-",""))</f>
        <v>2</v>
      </c>
      <c r="BJ11" s="190">
        <f>Reinforcements[[#This Row],[End Connection Edge Distance (in) (T)]]-(Reinforcements[[#This Row],[Bolt Hole Size (in)]]+1/16)/2</f>
        <v>1.375</v>
      </c>
      <c r="BK11" s="190">
        <f>Reinforcements[[#This Row],[End Connection Bolt Spacing (in) (T)]]-(Reinforcements[[#This Row],[Bolt Hole Size (in)]]+1/16)</f>
        <v>1.75</v>
      </c>
      <c r="BL11" s="190">
        <f>Reinforcements[[#This Row],[End Connection Edge Distance (in) (T)]]</f>
        <v>2</v>
      </c>
      <c r="BM11" s="190">
        <f>Reinforcements[[#This Row],[End Connection Bolt Spacing (in) (T)]]</f>
        <v>3</v>
      </c>
      <c r="BN11" s="190" t="str">
        <f>IF(Reinforcements[[#This Row],[Reinforcement]]="","",IF(Reinforcements[[#This Row],[Top End Connection Same?]]="Yes",Reinforcements[[#This Row],[Bottom Connected to Flange/Base Plate?]],IF(Reinforcements[[#This Row],[Top End Connection Type]]="Bolted","-","")))</f>
        <v>-</v>
      </c>
      <c r="BO11" s="190" t="str">
        <f>IF(Reinforcements[[#This Row],[Reinforcement]]="","",IF(Reinforcements[[#This Row],[Top End Connection Same?]]="Yes",Reinforcements[[#This Row],[Bottom Weld Grade (ksi)]],IF(OR(Reinforcements[[#This Row],[Top End Connection Type]]&lt;&gt;"Welded",Reinforcements[[#This Row],[Top End Connection Type]]=""),"-","")))</f>
        <v>-</v>
      </c>
      <c r="BP11" s="190" t="str">
        <f>IF($AZ11="Yes",AP11,IF(Reinforcements[[#This Row],[Reinforcement]]="","",IF(OR(Reinforcements[[#This Row],[Top End Connection Type]]&lt;&gt;"Welded",Reinforcements[[#This Row],[Top End Connection Type]]=""),"-","")))</f>
        <v>-</v>
      </c>
      <c r="BQ11" s="190" t="str">
        <f>IF(Reinforcements[[#This Row],[Reinforcement]]="","",IF($AZ11="Yes",AQ11,IF(OR(Reinforcements[[#This Row],[Top End Connection Type]]&lt;&gt;"Welded",Reinforcements[[#This Row],[Top Transverse (Horizontal) Weld]]="none",Reinforcements[[#This Row],[Top Transverse (Horizontal) Weld]]=""),"-","")))</f>
        <v>-</v>
      </c>
      <c r="BR11" s="190" t="str">
        <f>IF($AZ11="Yes",AR11,IF(Reinforcements[[#This Row],[Reinforcement]]="","",IF(OR(Reinforcements[[#This Row],[Top Transverse (Horizontal) Weld]]="none",Reinforcements[[#This Row],[Top End Connection Type]]&lt;&gt;"Welded",Reinforcements[[#This Row],[Top Transverse (Horizontal) Weld]]="",Reinforcements[[#This Row],[Top Transverse (Horizontal) Weld]]="Fillet"),"-","")))</f>
        <v>-</v>
      </c>
      <c r="BS11" s="190" t="str">
        <f>IF($AZ11="Yes",AS11,IF(Reinforcements[[#This Row],[Reinforcement]]="","",IF(OR(Reinforcements[[#This Row],[Top Transverse (Horizontal) Weld]]="none",Reinforcements[[#This Row],[Top End Connection Type]]&lt;&gt;"Welded",Reinforcements[[#This Row],[Top Transverse (Horizontal) Weld]]="",Reinforcements[[#This Row],[Top Transverse (Horizontal) Weld]]="Fillet"),"-","")))</f>
        <v>-</v>
      </c>
      <c r="BT11" s="190" t="str">
        <f>IF(Reinforcements[[#This Row],[Reinforcement]]="","",IF($AZ11="Yes",AT11,IF(OR(Reinforcements[[#This Row],[Top Transverse (Horizontal) Weld]]="none",Reinforcements[[#This Row],[Top End Connection Type]]&lt;&gt;"Welded",Reinforcements[[#This Row],[Top Transverse (Horizontal) Weld]]=""),"-","")))</f>
        <v>-</v>
      </c>
      <c r="BU11" s="190" t="str">
        <f>IF($AZ11="Yes",AU11,IF(Reinforcements[[#This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1" s="190" t="str">
        <f>IF($AZ11="Yes",AV11,IF(Reinforcements[[#This Row],[Reinforcement]]="","",IF(OR(Reinforcements[[#This Row],[Top End Connection Type]]&lt;&gt;"Welded",Reinforcements[[#This Row],[Top End Connection Type]]=""),"-","")))</f>
        <v>-</v>
      </c>
      <c r="BW11" s="190" t="str">
        <f>IF($AZ11="Yes",AW11,IF(Reinforcements[[#This Row],[Reinforcement]]="","",IF(OR(Reinforcements[[#This Row],[Top End Connection Type]]&lt;&gt;"Welded",Reinforcements[[#This Row],[Top End Connection Type]]="",Reinforcements[[#This Row],[Top Longitudinal (Vertical) Weld]]="",Reinforcements[[#This Row],[Top Longitudinal (Vertical) Weld]]="None"),"-","")))</f>
        <v>-</v>
      </c>
      <c r="BX11" s="190" t="str">
        <f>IF($AZ11="Yes",AX11,IF(Reinforcements[[#This Row],[Reinforcement]]="","",IF(OR(Reinforcements[[#This Row],[Top End Connection Type]]&lt;&gt;"Welded",Reinforcements[[#This Row],[Top End Connection Type]]="",Reinforcements[[#This Row],[Top Longitudinal (Vertical) Weld]]="",Reinforcements[[#This Row],[Top Longitudinal (Vertical) Weld]]="None"),"-","")))</f>
        <v>-</v>
      </c>
      <c r="BY11" s="190" t="str">
        <f>IF($AZ11="Yes",AY11,IF(Reinforcements[[#This Row],[Reinforcement]]="","",IF(OR(Reinforcements[[#This Row],[Top End Connection Type]]&lt;&gt;"Welded",Reinforcements[[#This Row],[Top Longitudinal (Vertical) Weld]]="none"),"-",SQRT(2)/2*Reinforcements[[#This Row],[Top Longitudinal Weld Fillet Size (in)]])))</f>
        <v>-</v>
      </c>
      <c r="BZ11"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1" s="192">
        <f>IF(Reinforcements[[#This Row],[Reinforcement]]="","",IF(Reinforcements[[#This Row],[Bottom End Connection Type]]&lt;&gt;"Bolted","n/a",(Reinforcements[[#This Row],['# of End Connection Bolts          (Bottom)]]-1)*Reinforcements[[#This Row],[End Connection Bolt Spacing (in) (B)]]+Reinforcements[[#This Row],[End Connection Edge Distance (in) (B)]]))</f>
        <v>86</v>
      </c>
      <c r="CB11" s="192">
        <f>IF(Reinforcements[[#This Row],[Reinforcement]]="","",IF(Reinforcements[[#This Row],[Top End Connection Type]]&lt;&gt;"Bolted","n/a",(Reinforcements[[#This Row],['# of End Connection Bolts          (Top)]]-1)*Reinforcements[[#This Row],[End Connection Bolt Spacing (in) (T)]]+Reinforcements[[#This Row],[End Connection Edge Distance (in) (T)]]))</f>
        <v>86</v>
      </c>
      <c r="CC11"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9</v>
      </c>
      <c r="CD11"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v>
      </c>
      <c r="CE11" s="188">
        <f>IFERROR(IF(Reinforcements[[#This Row],[Type]]="","",Reinforcements[[#This Row],[Effective B (in)]]*Reinforcements[[#This Row],[Effective H (in)]]^3/12),"")</f>
        <v>2.53125</v>
      </c>
      <c r="CF11" s="188">
        <f>IFERROR(IF(Reinforcements[[#This Row],[Type]]="","",Reinforcements[[#This Row],[Effective B (in)]]^3*Reinforcements[[#This Row],[Effective H (in)]]/12),"")</f>
        <v>91.125</v>
      </c>
      <c r="CG11" s="196">
        <f>SQRT(2*PI()^2*29000/VLOOKUP(Reinforcements[[#This Row],[Material]],Materials[],2,FALSE))</f>
        <v>75.659570132481107</v>
      </c>
      <c r="CH11"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47.148119157295199</v>
      </c>
      <c r="CI11"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58.262458827664652</v>
      </c>
      <c r="CJ11" s="195">
        <f>Reinforcements[[#This Row],[Effective Length Factor Kx]]*Reinforcements[[#This Row],[Lu (in)]]/(Reinforcements[[#This Row],[rx]]*PI())*SQRT(VLOOKUP(Reinforcements[[#This Row],[Material]],Materials[],2,FALSE)/29000)</f>
        <v>0.72520330398741961</v>
      </c>
      <c r="CK11" s="195">
        <f>Reinforcements[[#This Row],[Effective Length Factor Ky]]*Reinforcements[[#This Row],[Lu (in)]]/(Reinforcements[[#This Row],[ry]]*PI())*SQRT(VLOOKUP(Reinforcements[[#This Row],[Material]],Materials[],2,FALSE)/29000)</f>
        <v>0.15108402166404575</v>
      </c>
      <c r="CL11" s="195">
        <f>IF(Reinforcements[[#This Row],[λcx]]&lt;=1.5,0.658^(Reinforcements[[#This Row],[λcx]]^2)*Reinforcements[[#This Row],[F''y]],0.877/(Reinforcements[[#This Row],[λcx]]^2)*Reinforcements[[#This Row],[F''y]])</f>
        <v>80.241934911701506</v>
      </c>
      <c r="CM11" s="195">
        <f>IF(Reinforcements[[#This Row],[λcy]]&lt;=1.5,0.658^(Reinforcements[[#This Row],[λcy]]^2)*Reinforcements[[#This Row],[F''y]],0.877/(Reinforcements[[#This Row],[λcy]]^2)*Reinforcements[[#This Row],[F''y]])</f>
        <v>99.049150440718705</v>
      </c>
      <c r="CN11" s="188">
        <f>VLOOKUP(Reinforcements[[#This Row],[Material]],Materials[],2,FALSE)</f>
        <v>100</v>
      </c>
      <c r="CO11" s="196">
        <f>IF(Reinforcements[[#This Row],[Reinforcement]]="","",Reinforcements[[#This Row],[Fax]]*Reinforcements[[#This Row],[Gross Area (in2)]])</f>
        <v>636.49960862348519</v>
      </c>
      <c r="CP11" s="196">
        <f>IF(Reinforcements[[#This Row],[Reinforcement]]="","",Reinforcements[[#This Row],[Fay]]*Reinforcements[[#This Row],[Gross Area (in2)]])</f>
        <v>786.54319417347278</v>
      </c>
      <c r="CQ11" s="196">
        <f>IF(Reinforcements[[#This Row],[Reinforcement]]="","",0.6*VLOOKUP(Reinforcements[[#This Row],[Material]],Materials[],2,FALSE)*Reinforcements[[#This Row],[Gross Area (in2)]])</f>
        <v>810</v>
      </c>
      <c r="CR11" s="196">
        <f>IF(Reinforcements[[#This Row],[Reinforcement]]="","",0.5*VLOOKUP(Reinforcements[[#This Row],[Material]],Materials[],3,FALSE)*Reinforcements[[#This Row],[Net Area (in2)]]*Reinforcements[[#This Row],[Shear Lag (U)]])</f>
        <v>639.375</v>
      </c>
      <c r="CS11" s="196">
        <f>IF(Reinforcements[[#This Row],[Reinforcement]]="","",0.4*VLOOKUP(Reinforcements[[#This Row],[Material]],Materials[],2,FALSE)*Reinforcements[[#This Row],[Gross Area (in2)]])</f>
        <v>540</v>
      </c>
      <c r="CT11"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675.28331868606904</v>
      </c>
      <c r="CU11"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675.28331868606904</v>
      </c>
      <c r="CV11"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39.732283464566933</v>
      </c>
      <c r="CW11"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43.712598425196852</v>
      </c>
      <c r="CX11"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39.732283464566933</v>
      </c>
      <c r="CY11"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43.712598425196852</v>
      </c>
      <c r="CZ11"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6555.8267716535438</v>
      </c>
      <c r="DA11"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7212.5787401574798</v>
      </c>
      <c r="DB11"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6555.8267716535438</v>
      </c>
      <c r="DC11"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7212.5787401574798</v>
      </c>
      <c r="DD11"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1"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1" s="190" t="str">
        <f>IF($AZ11="Yes",DD11,IF(Reinforcements[[#This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1" s="190" t="str">
        <f>IF($AZ11="Yes",DE11,IF(Reinforcements[[#This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1" s="196">
        <f>IF(Reinforcements[[#This Row],[Reinforcement]]="","",φ_c*Reinforcements[[#This Row],[Fcr,x]]*Reinforcements[[#This Row],[Gross Area (in2)]])</f>
        <v>974.93950917717325</v>
      </c>
      <c r="DI11" s="196">
        <f>IF(Reinforcements[[#This Row],[Reinforcement]]="","",φ_c*Reinforcements[[#This Row],[Fcr,y]]*Reinforcements[[#This Row],[Gross Area (in2)]])</f>
        <v>1203.4471778547322</v>
      </c>
      <c r="DJ11" s="196">
        <f>IF(Reinforcements[[#This Row],[Reinforcement]]="","",φ_t_y*VLOOKUP(Reinforcements[[#This Row],[Material]],Materials[],2,FALSE)*Reinforcements[[#This Row],[Gross Area (in2)]])</f>
        <v>1215</v>
      </c>
      <c r="DK11" s="197">
        <f>IF(Reinforcements[[#This Row],[Reinforcement]]="","",φ_t_r*VLOOKUP(Reinforcements[[#This Row],[Material]],Materials[],3,FALSE)*Reinforcements[[#This Row],[Net Area (in2)]]*Reinforcements[[#This Row],[Shear Lag (U)]])</f>
        <v>959.0625</v>
      </c>
      <c r="DL11" s="197">
        <f>IF(Reinforcements[[#This Row],[Reinforcement]]="","",φ_v*0.5*Reinforcements[[#This Row],[F''y]]*Reinforcements[[#This Row],[Gross Area (in2)]])</f>
        <v>607.5</v>
      </c>
      <c r="DM11"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1196.8281760740483</v>
      </c>
      <c r="DN11"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1196.8281760740483</v>
      </c>
      <c r="DO11"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56.904566929133857</v>
      </c>
      <c r="DP11"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71.13070866141733</v>
      </c>
      <c r="DQ11"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56.904566929133857</v>
      </c>
      <c r="DR11"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71.13070866141733</v>
      </c>
      <c r="DS11"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9290.5653543307089</v>
      </c>
      <c r="DT11"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11613.206692913385</v>
      </c>
      <c r="DU11"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9290.5653543307089</v>
      </c>
      <c r="DV11"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11613.206692913385</v>
      </c>
      <c r="DW11"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1"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1" s="190" t="str">
        <f>IF($AZ11="Yes",DW11,IF(Reinforcements[[#This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1" s="190" t="str">
        <f>IF($AZ11="Yes",DX11,IF(Reinforcements[[#This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1" s="241" t="str">
        <f>IF(OR(Reinforcements[[#This Row],[Type]]="plate",Reinforcements[[#This Row],[Type]]="solid round"),"N/A",Reinforcements[[#This Row],[B (in)]])</f>
        <v>N/A</v>
      </c>
      <c r="EB11" s="237" t="str">
        <f>IF(OR(Reinforcements[[#This Row],[Type]]="plate",Reinforcements[[#This Row],[Type]]="solid round"),"N/A",Reinforcements[[#This Row],[H (in)]])</f>
        <v>N/A</v>
      </c>
      <c r="EC11" s="237" t="str">
        <f>IF(OR(Reinforcements[[#This Row],[Type]]="plate",Reinforcements[[#This Row],[Type]]="solid round"),"N/A",Reinforcements[[#This Row],[B (in)]]-Reinforcements[[#This Row],['[Channel'] Flange Thickness (in)]])</f>
        <v>N/A</v>
      </c>
      <c r="ED11" s="237" t="str">
        <f>IF(OR(Reinforcements[[#This Row],[Type]]="plate",Reinforcements[[#This Row],[Type]]="solid round"),"N/A",Reinforcements[[#This Row],['[Channel']Web Thickness (in)]])</f>
        <v>N/A</v>
      </c>
      <c r="EE11" s="237" t="str">
        <f>IF(OR(Reinforcements[[#This Row],[Type]]="plate",Reinforcements[[#This Row],[Type]]="solid round"),"N/A",Reinforcements[[#This Row],['[Channel'] Flange Thickness (in)]])</f>
        <v>N/A</v>
      </c>
      <c r="EF11" s="237" t="str">
        <f>IF(Reinforcements[[#This Row],[Type]]="channel",Reinforcements[[#This Row],[Channel Flange Width, b]]/Reinforcements[[#This Row],[Channel flange thickness, tf]],"N/A")</f>
        <v>N/A</v>
      </c>
      <c r="EG11" s="237" t="str">
        <f>IF(Reinforcements[[#This Row],[Type]]="channel",Reinforcements[[#This Row],[Channel inside depth, T]]/Reinforcements[[#This Row],[Channel web thickness, tw]],"N/A")</f>
        <v>N/A</v>
      </c>
      <c r="EH11" s="237">
        <v>29000</v>
      </c>
      <c r="EI11" s="237" t="str">
        <f>IF(Reinforcements[[#This Row],[Type]]="channel",0.56*SQRT(Reinforcements[[#This Row],[E, (ksi)]]/Reinforcements[[#This Row],[Fy, (ksi)]]),"N/A")</f>
        <v>N/A</v>
      </c>
      <c r="EJ11" s="237" t="str">
        <f>IF(Reinforcements[[#This Row],[Type]]="channel",1.49*SQRT(Reinforcements[[#This Row],[E, (ksi)]]/Reinforcements[[#This Row],[Fy, (ksi)]]),"N/A")</f>
        <v>N/A</v>
      </c>
      <c r="EK11" s="237">
        <f>VLOOKUP(Reinforcements[[#This Row],[Material]],Materials!$B$2:$C$30,2,FALSE)</f>
        <v>100</v>
      </c>
      <c r="EL11" s="237">
        <f>Reinforcements[[#This Row],[Lu (in)]]*Reinforcements[[#This Row],[Effective Length Factor Kx]]</f>
        <v>16.8</v>
      </c>
      <c r="EM11" s="237">
        <f>Reinforcements[[#This Row],[Lu (in)]]*Reinforcements[[#This Row],[Effective Length Factor Ky]]</f>
        <v>21</v>
      </c>
      <c r="EN11" s="237">
        <f>Reinforcements[[#This Row],[rx]]</f>
        <v>0.4330127018922193</v>
      </c>
      <c r="EO11" s="237">
        <f>Reinforcements[[#This Row],[ry]]</f>
        <v>2.598076211353316</v>
      </c>
      <c r="EP11" s="237">
        <f>Reinforcements[[#This Row],[Lcx (in)]]/Reinforcements[[#This Row],[rx (in)]]</f>
        <v>38.797938089542853</v>
      </c>
      <c r="EQ11" s="237">
        <f>Reinforcements[[#This Row],[Lcy (in)]]/Reinforcements[[#This Row],[ry (in)]]</f>
        <v>8.0829037686547611</v>
      </c>
      <c r="ER11" s="237">
        <f>((PI()^2)*Reinforcements[[#This Row],[E, (ksi)]])/(Reinforcements[[#This Row],[Lcx/rx]]^2)</f>
        <v>190.14304822464348</v>
      </c>
      <c r="ES11" s="237">
        <f>((PI()^2)*Reinforcements[[#This Row],[E, (ksi)]])/(Reinforcements[[#This Row],[Lcy/ry]]^2)</f>
        <v>4380.895831095786</v>
      </c>
      <c r="ET11" s="237">
        <f>4.71*(SQRT(Reinforcements[[#This Row],[E, (ksi)]]/Reinforcements[[#This Row],[Fy, (ksi)]]))</f>
        <v>80.20840978351336</v>
      </c>
      <c r="EU11" s="237">
        <f>IF(Reinforcements[[#This Row],[Lcx/rx]]&lt;=Reinforcements[[#This Row],[Fcr Limit]],(0.658^(Reinforcements[[#This Row],[Fy, (ksi)]]/Reinforcements[[#This Row],[Fex, FB (ksi)]]))*Reinforcements[[#This Row],[Fy, (ksi)]],0.877*Reinforcements[[#This Row],[Fex, FB (ksi)]])</f>
        <v>80.241934911701506</v>
      </c>
      <c r="EV11" s="237">
        <f>IF(Reinforcements[[#This Row],[Lcy/ry]]&lt;=Reinforcements[[#This Row],[Fcr Limit]],(0.658^(Reinforcements[[#This Row],[Fy, (ksi)]]/Reinforcements[[#This Row],[Fey, FB (ksi)]]))*Reinforcements[[#This Row],[Fy, (ksi)]],0.877*Reinforcements[[#This Row],[Fey, FB (ksi)]])</f>
        <v>99.049150440718705</v>
      </c>
      <c r="EW11" s="237">
        <f>Reinforcements[[#This Row],[Fcrx (ksi)]]*Reinforcements[[#This Row],[Gross Area (in2)]]</f>
        <v>1083.2661213079703</v>
      </c>
      <c r="EX11" s="237">
        <f>Reinforcements[[#This Row],[Fcry (ksi)]]*Reinforcements[[#This Row],[Gross Area (in2)]]</f>
        <v>1337.1635309497026</v>
      </c>
      <c r="EY11" s="237" t="str">
        <f>IF(Reinforcements[[#This Row],[Type]]="channel",0,"N/A")</f>
        <v>N/A</v>
      </c>
      <c r="EZ11" s="237" t="str">
        <f>IF(Reinforcements[[#This Row],[Type]]="channel",Reinforcements[[#This Row],[Channel Flange Width, b]]-(0.5*Reinforcements[[#This Row],[Channel web thickness, tw]]),"N/A")</f>
        <v>N/A</v>
      </c>
      <c r="FA11" s="237" t="str">
        <f>IF(Reinforcements[[#This Row],[Type]]="channel",Reinforcements[[#This Row],[Channel Height, h]]-Reinforcements[[#This Row],[Channel flange thickness, tf]],"N/A")</f>
        <v>N/A</v>
      </c>
      <c r="FB11" s="237" t="str">
        <f>IF(Reinforcements[[#This Row],[Type]]="channel",Reinforcements[[#This Row],[Channel web thickness, tw]],"N/A")</f>
        <v>N/A</v>
      </c>
      <c r="FC11" s="237" t="str">
        <f>IF(Reinforcements[[#This Row],[Type]]="channel",((3*Reinforcements[[#This Row],[b]]^2)/(Reinforcements[[#This Row],[h]]+(6*Reinforcements[[#This Row],[b]])))-Reinforcements[[#This Row],[t]]/2,"N/A")</f>
        <v>N/A</v>
      </c>
      <c r="FD11" s="237">
        <f>Reinforcements[[#This Row],[Pole Face to Centroid (in)]]</f>
        <v>0.75</v>
      </c>
      <c r="FE11" s="237" t="str">
        <f>IF(Reinforcements[[#This Row],[Type]]="channel",Reinforcements[[#This Row],[x(bar)]]+Reinforcements[[#This Row],['[Channel'] e0 (in)]],"N/A")</f>
        <v>N/A</v>
      </c>
      <c r="FF11" s="237" t="str">
        <f>IF(Reinforcements[[#This Row],[Type]]="channel",Reinforcements[[#This Row],[Ix]],"N/A")</f>
        <v>N/A</v>
      </c>
      <c r="FG11" s="237" t="str">
        <f>IF(Reinforcements[[#This Row],[Type]]="channel",Reinforcements[[#This Row],[Iy]],"N/A")</f>
        <v>N/A</v>
      </c>
      <c r="FH11" s="237" t="str">
        <f>IF(Reinforcements[[#This Row],[Type]]="channel",Reinforcements[[#This Row],[Gross Area (in2)]],"N/A")</f>
        <v>N/A</v>
      </c>
      <c r="FI11" s="237" t="str">
        <f>IF(Reinforcements[[#This Row],[Type]]="channel",(Reinforcements[[#This Row],[xo]]^2)+((Reinforcements[[#This Row],[Ix (FTB)]]+Reinforcements[[#This Row],[Iy (FTB)]])/Reinforcements[[#This Row],[Ag]]),"N/A")</f>
        <v>N/A</v>
      </c>
      <c r="FJ11" s="237" t="str">
        <f>IF(Reinforcements[[#This Row],[Type]]="channel",Reinforcements[[#This Row],[Lu (in)]],"N/A")</f>
        <v>N/A</v>
      </c>
      <c r="FK11" s="237" t="str">
        <f>IF(Reinforcements[[#This Row],[Type]]="channel",Reinforcements[[#This Row],[Effective Length Factor Kx]],"N/A")</f>
        <v>N/A</v>
      </c>
      <c r="FL11" s="237" t="str">
        <f>IF(Reinforcements[[#This Row],[Type]]="channel",Reinforcements[[#This Row],[Kz]]*Reinforcements[[#This Row],[Lz]],"N/A")</f>
        <v>N/A</v>
      </c>
      <c r="FM11" s="237" t="str">
        <f>IF(Reinforcements[[#This Row],[Type]]="channel",(((Reinforcements[[#This Row],[t]]^3)/3)*(Reinforcements[[#This Row],[h]]+(2*Reinforcements[[#This Row],[b]]))),"N/A")</f>
        <v>N/A</v>
      </c>
      <c r="FN11" s="237" t="str">
        <f>IF(Reinforcements[[#This Row],[Type]]="channel",(1-(((Reinforcements[[#This Row],[xo]]^2)+(Reinforcements[[#This Row],[yo]]^2))/Reinforcements[[#This Row],[ro^2(bar)]])),"N/A")</f>
        <v>N/A</v>
      </c>
      <c r="FO11" s="237">
        <v>11200</v>
      </c>
      <c r="FP11" s="237" t="str">
        <f>IF(Reinforcements[[#This Row],[Type]]="channel",(((Reinforcements[[#This Row],[h]]^2)*(Reinforcements[[#This Row],[b]]^3)*Reinforcements[[#This Row],[t]])/12)*(((2*Reinforcements[[#This Row],[h]])+(3*Reinforcements[[#This Row],[b]]))/(Reinforcements[[#This Row],[h]]+(6*Reinforcements[[#This Row],[b]]))),"N/A")</f>
        <v>N/A</v>
      </c>
      <c r="FQ11" s="237" t="str">
        <f>IF(Reinforcements[[#This Row],[Type]]="Channel",((((PI()^2)*Reinforcements[[#This Row],[E, (ksi)]]*Reinforcements[[#This Row],['[Channel'] CW (in6)]])/(Reinforcements[[#This Row],[Lcz]]^2))+(Reinforcements[[#This Row],[G]]*Reinforcements[[#This Row],['[Channel'] J (in4)]]))*(1/(Reinforcements[[#This Row],[Ag]]*Reinforcements[[#This Row],[ro^2(bar)]])),"N/A")</f>
        <v>N/A</v>
      </c>
      <c r="FR11" s="237" t="str">
        <f>IF(Reinforcements[[#This Row],[Type]]="channel",((PI()^2)*Reinforcements[[#This Row],[E, (ksi)]])/(Reinforcements[[#This Row],[Lcy/ry]]^2),"N/A")</f>
        <v>N/A</v>
      </c>
      <c r="FS11" s="237" t="str">
        <f>IF(Reinforcements[[#This Row],[Type]]="channel",((Reinforcements[[#This Row],[Fey]]+Reinforcements[[#This Row],[Fez]])/(2*Reinforcements[[#This Row],[H2]]))*(1-SQRT(1-((4*Reinforcements[[#This Row],[Fey]]*Reinforcements[[#This Row],[Fez]]*Reinforcements[[#This Row],[H2]])/(Reinforcements[[#This Row],[Fey]]+Reinforcements[[#This Row],[Fez]])^2))),"N/A")</f>
        <v>N/A</v>
      </c>
      <c r="FT11" s="237" t="str">
        <f>IF(Reinforcements[[#This Row],[Type]]="channel",IF(Reinforcements[[#This Row],[Lcx/rx]]&gt;(4.71*SQRT(Reinforcements[[#This Row],[E, (ksi)]]/Reinforcements[[#This Row],[Fy, (ksi)]])),0.877*Reinforcements[[#This Row],[Fe (FTB)]],0.658^(Reinforcements[[#This Row],[Fy, (ksi)]]/Reinforcements[[#This Row],[Fe (FTB)]])*Reinforcements[[#This Row],[Fy, (ksi)]]),"N/A")</f>
        <v>N/A</v>
      </c>
      <c r="FU11" s="237" t="str">
        <f>IF(Reinforcements[[#This Row],[Type]]="channel",MIN(Reinforcements[[#This Row],[Fcr(FTB)]],Reinforcements[[#This Row],[Fcry (ksi)]]),"N/A")</f>
        <v>N/A</v>
      </c>
      <c r="FV11" s="237">
        <v>0.22</v>
      </c>
      <c r="FW11" s="237">
        <v>1.49</v>
      </c>
      <c r="FX11" s="237" t="str">
        <f>IF(Reinforcements[[#This Row],[Type]]="channel",((Reinforcements[[#This Row],[c2]]*(Reinforcements[[#This Row],[λrf]]/Reinforcements[[#This Row],[λf]]))^2)*Reinforcements[[#This Row],[Fy, (ksi)]],"N/A")</f>
        <v>N/A</v>
      </c>
      <c r="FY11" s="237" t="str">
        <f>IF(Reinforcements[[#This Row],[Type]]="channel",((Reinforcements[[#This Row],[c2]]*(Reinforcements[[#This Row],[λrw]]/Reinforcements[[#This Row],[λw]]))^2)*Reinforcements[[#This Row],[Fy, (ksi)]],"N/A")</f>
        <v>N/A</v>
      </c>
      <c r="FZ11"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1"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1"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1" s="237" t="str">
        <f>IF(Reinforcements[[#This Row],[Type]]="channel",Reinforcements[[#This Row],[Fcr]]*Reinforcements[[#This Row],[Ae]],"N/A")</f>
        <v>N/A</v>
      </c>
      <c r="GD11" s="466">
        <f>IF(Reinforcements[[#This Row],[Reinforcement]]="","",φ_c*Reinforcements[[#This Row],[Pnx, FB (kip)]])</f>
        <v>974.93950917717325</v>
      </c>
      <c r="GE11" s="466">
        <f>IF(Reinforcements[[#This Row],[Reinforcement]]="","",IF(Reinforcements[[#This Row],[Type]]="channel",φ_c*Reinforcements[[#This Row],[Pn]],φ_c*Reinforcements[[#This Row],[Pny, FB (kip)]]))</f>
        <v>1203.4471778547324</v>
      </c>
      <c r="GF11" s="466">
        <f>Reinforcements[[#This Row],[Rev. G Tension Yield Capacity (kips)]]</f>
        <v>1215</v>
      </c>
      <c r="GG11" s="466">
        <f>Reinforcements[[#This Row],[Rev. G Tension Rupture Capacity (kips)]]</f>
        <v>959.0625</v>
      </c>
      <c r="GH11" s="466">
        <f>Reinforcements[[#This Row],[Rev. G Shear Capacity (kips)]]</f>
        <v>607.5</v>
      </c>
      <c r="GI11" s="466">
        <f>IFERROR((Reinforcements[[#This Row],['# of End Connection Bolts          (Bottom)]]-1)*Reinforcements[[#This Row],[End Connection Bolt Spacing (in) (B)]],"-")</f>
        <v>84</v>
      </c>
      <c r="GJ11" s="466">
        <f>IFERROR(IF(VLOOKUP(Reinforcements[[#This Row],[Bottom End Connection Bolt Type]],Bolts[],COLUMN(Bolts[[#Headers],[Rev. H Apply Connection Length Reduction Factor (Rb)?]])-1,FALSE)="Yes",(IF(Reinforcements[[#This Row],[Lb(bottom)]]&lt;=16,1,IF(Reinforcements[[#This Row],[Lb(bottom)]]&gt;38,0.75,0.9))),1),"-")</f>
        <v>1</v>
      </c>
      <c r="GK11"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1345.5895881537201</v>
      </c>
      <c r="GL11" s="466">
        <f>IFERROR(IF(Reinforcements[[#This Row],[Top End Connection Same?]]="Yes",Reinforcements[[#This Row],[Lb(bottom)]],(Reinforcements[[#This Row],['# of End Connection Bolts          (Top)]]-1)*Reinforcements[[#This Row],[End Connection Bolt Spacing (in) (T)]]),"-")</f>
        <v>84</v>
      </c>
      <c r="GM11" s="466">
        <f>IFERROR(IF(VLOOKUP(Reinforcements[[#This Row],[Top End Connection Bolt Type]],Bolts[],COLUMN(Bolts[[#Headers],[Rev. H Apply Connection Length Reduction Factor (Rb)?]])-1,FALSE)="Yes",(IF(Reinforcements[[#This Row],[Lb(top)]]&lt;=16,1,IF(Reinforcements[[#This Row],[Lb(top)]]&gt;38,0.75,0.9))),1),"-")</f>
        <v>1</v>
      </c>
      <c r="GN11"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1345.5895881537201</v>
      </c>
      <c r="GO11" s="466">
        <f>Reinforcements[[#This Row],[Rev. G Bolt-Shaft Bearing Capacity (Bottom)                No Deformation          (*t*Fu kips)]]</f>
        <v>56.904566929133857</v>
      </c>
      <c r="GP11" s="466">
        <f>Reinforcements[[#This Row],[Rev. G Bolt-Shaft Bearing Capacity (Bottom)                   Deformation          (*t*Fu kips)]]</f>
        <v>71.13070866141733</v>
      </c>
      <c r="GQ11" s="466">
        <f>Reinforcements[[#This Row],[Rev. G Bolt-Shaft Bearing Capacity (Top)                    No Deformation          (*t*Fu kips)]]</f>
        <v>56.904566929133857</v>
      </c>
      <c r="GR11" s="466">
        <f>Reinforcements[[#This Row],[Rev. G Bolt-Shaft Bearing Capacity (Top)                        Deformation          (*t*Fu kips)]]</f>
        <v>71.13070866141733</v>
      </c>
      <c r="GS11" s="466">
        <f>Reinforcements[[#This Row],[Rev. G Bolt-Reinf. Bearing Capacity (Bottom)            No Deformation (kips)]]</f>
        <v>9290.5653543307089</v>
      </c>
      <c r="GT11" s="466">
        <f>Reinforcements[[#This Row],[Rev. G Bolt-Reinf. Bearing Capacity (Bottom)               Deformation (kips)]]</f>
        <v>11613.206692913385</v>
      </c>
      <c r="GU11" s="466">
        <f>Reinforcements[[#This Row],[Rev. G Bolt-Reinf. Bearing Capacity (Top)                  No Deformation (kips)]]</f>
        <v>9290.5653543307089</v>
      </c>
      <c r="GV11" s="466">
        <f>Reinforcements[[#This Row],[Rev. G Bolt-Reinf. Bearing Capacity (Top)               Deformation (kips)]]</f>
        <v>11613.206692913385</v>
      </c>
      <c r="GW11" s="466" t="str">
        <f>Reinforcements[[#This Row],[Rev. G Bottom Transverse Weld Strength]]</f>
        <v>-</v>
      </c>
      <c r="GX11" s="466" t="str">
        <f>Reinforcements[[#This Row],[Rev. G Bottom Longitudinal Weld Strength]]</f>
        <v>-</v>
      </c>
      <c r="GY11" s="466" t="str">
        <f>Reinforcements[[#This Row],[Rev. G Top Transverse Weld Strength]]</f>
        <v>-</v>
      </c>
      <c r="GZ11" s="466" t="str">
        <f>Reinforcements[[#This Row],[Rev. G Top Longitudinal Weld Strength]]</f>
        <v>-</v>
      </c>
      <c r="HA11" s="552">
        <v>9</v>
      </c>
      <c r="HB11"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2" spans="2:210" x14ac:dyDescent="0.2">
      <c r="B12" s="72" t="s">
        <v>220</v>
      </c>
      <c r="C12" s="72" t="s">
        <v>146</v>
      </c>
      <c r="D12" s="185">
        <v>10</v>
      </c>
      <c r="E12" s="185">
        <v>1.5</v>
      </c>
      <c r="F12" s="185" t="str">
        <f>IF(Reinforcements[[#This Row],[Type]]="","",IF(Reinforcements[[#This Row],[Type]]="solid round","","n/a"))</f>
        <v>n/a</v>
      </c>
      <c r="G12" s="185" t="str">
        <f>IF(Reinforcements[[#This Row],[Type]]="","",IF(Reinforcements[[#This Row],[Type]]&lt;&gt;"channel","n/a",""))</f>
        <v>n/a</v>
      </c>
      <c r="H12" s="185" t="str">
        <f>IF(Reinforcements[[#This Row],[Type]]="","",IF(Reinforcements[[#This Row],[Type]]&lt;&gt;"channel","n/a",""))</f>
        <v>n/a</v>
      </c>
      <c r="I12" s="197" t="str">
        <f>IF(Reinforcements[[#This Row],[Type]]="","",IF(Reinforcements[[#This Row],[Type]]&lt;&gt;"channel","n/a",Reinforcements[[#This Row],[eo]]))</f>
        <v>n/a</v>
      </c>
      <c r="J12" s="197" t="str">
        <f>IF(Reinforcements[[#This Row],[Type]]="","",IF(Reinforcements[[#This Row],[Type]]&lt;&gt;"channel","n/a",Reinforcements[[#This Row],[J]]))</f>
        <v>n/a</v>
      </c>
      <c r="K12" s="197" t="str">
        <f>IF(Reinforcements[[#This Row],[Type]]="","",IF(Reinforcements[[#This Row],[Type]]&lt;&gt;"channel","n/a",Reinforcements[[#This Row],[Cw]]))</f>
        <v>n/a</v>
      </c>
      <c r="L12" s="185">
        <f>IFERROR(IF(Reinforcements[[#This Row],[Type]]="","",IF(Reinforcements[[#This Row],[Type]]="plate",Reinforcements[[#This Row],[B (in)]]*Reinforcements[[#This Row],[H (in)]],IF(Reinforcements[[#This Row],[Type]]="solid round",PI()/4*Reinforcements[[#This Row],[Diameter (in)]]^2,""))),"")</f>
        <v>15</v>
      </c>
      <c r="M12" s="185">
        <f>IFERROR(IF(Reinforcements[[#This Row],[Type]]="","",IF(Reinforcements[[#This Row],[Type]]="plate",Reinforcements[[#This Row],[H (in)]]/2,"")),"")</f>
        <v>0.75</v>
      </c>
      <c r="N12" s="186" t="s">
        <v>297</v>
      </c>
      <c r="O12" s="185" t="s">
        <v>153</v>
      </c>
      <c r="P12" s="187">
        <f>IFERROR(IF(Reinforcements[[#This Row],[Type]]="","",IF(Reinforcements[[#This Row],[Type]]="plate",Reinforcements[[#This Row],[B (in)]]*Reinforcements[[#This Row],[H (in)]]^3/12,IF(Reinforcements[[#This Row],[Type]]="solid round",PI()/64*Reinforcements[[#This Row],[Diameter (in)]]^4,""))),"")</f>
        <v>2.8125</v>
      </c>
      <c r="Q12" s="187">
        <f>IF(Reinforcements[[#This Row],[Reinforcement]]="","",SQRT(Reinforcements[[#This Row],[Ix]]/Reinforcements[[#This Row],[Gross Area (in2)]]))</f>
        <v>0.4330127018922193</v>
      </c>
      <c r="R12" s="187">
        <f>IFERROR(IF(Reinforcements[[#This Row],[Type]]="","",IF(Reinforcements[[#This Row],[Type]]="plate",Reinforcements[[#This Row],[B (in)]]^3*Reinforcements[[#This Row],[H (in)]]/12,IF(Reinforcements[[#This Row],[Type]]="solid round",PI()/64*Reinforcements[[#This Row],[Diameter (in)]]^4,""))),"")</f>
        <v>125</v>
      </c>
      <c r="S12" s="187">
        <f>IF(Reinforcements[[#This Row],[Reinforcement]]="","",SQRT(Reinforcements[[#This Row],[Iy]]/Reinforcements[[#This Row],[Gross Area (in2)]]))</f>
        <v>2.8867513459481291</v>
      </c>
      <c r="T12" s="190">
        <v>20</v>
      </c>
      <c r="U12" s="188">
        <v>0.8</v>
      </c>
      <c r="V12" s="188">
        <v>1</v>
      </c>
      <c r="W12" s="185">
        <v>1.1875</v>
      </c>
      <c r="X12" s="188">
        <f>IF(Reinforcements[[#This Row],[Bolt Hole Size (in)]]="","",IF(Reinforcements[[#This Row],[Bolt Hole Size (in)]]="n/a","n/a",Reinforcements[[#This Row],[Bolt Hole Size (in)]]*25.4))</f>
        <v>30.162499999999998</v>
      </c>
      <c r="Y12"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13.125</v>
      </c>
      <c r="Z12" s="185">
        <f>IFERROR(IF(Reinforcements[[#This Row],[Reinforcement]]="","",IF(OR(Reinforcements[[#This Row],[Type]]="plate",Reinforcements[[#This Row],[Type]]="solid round"),1,IF(Reinforcements[[#This Row],[Type]]="arbitrary","",1-Reinforcements[[#This Row],[Pole Face to Centroid (in)]]/Reinforcements[[#This Row],[Connection Length (in) '[Channels']]]))),"")</f>
        <v>1</v>
      </c>
      <c r="AA12" s="189" t="s">
        <v>391</v>
      </c>
      <c r="AB12" s="189" t="str">
        <f>IF(Reinforcements[[#This Row],[Reinforcement]]="","",IF(Reinforcements[[#This Row],[Bottom End Connection Type]]&lt;&gt;"Capacity Input","-",""))</f>
        <v>-</v>
      </c>
      <c r="AC12" s="189" t="str">
        <f>IF(Reinforcements[[#This Row],[Reinforcement]]="","",IF(Reinforcements[[#This Row],[Bottom End Connection Type]]&lt;&gt;"Capacity Input","-",""))</f>
        <v>-</v>
      </c>
      <c r="AD12" s="461" t="str">
        <f>IF(Reinforcements[[#This Row],[Reinforcement]]="","",IF(Reinforcements[[#This Row],[Bottom End Connection Type]]&lt;&gt;"Capacity Input","-",""))</f>
        <v>-</v>
      </c>
      <c r="AE12" s="103" t="s">
        <v>416</v>
      </c>
      <c r="AF12" s="190" t="s">
        <v>296</v>
      </c>
      <c r="AG12" s="190">
        <v>32</v>
      </c>
      <c r="AH12" s="190">
        <v>3</v>
      </c>
      <c r="AI12" s="190">
        <v>2</v>
      </c>
      <c r="AJ12" s="190">
        <f>Reinforcements[[#This Row],[End Connection Edge Distance (in) (B)]]-(Reinforcements[[#This Row],[Bolt Hole Size (in)]]+1/16)/2</f>
        <v>1.375</v>
      </c>
      <c r="AK12" s="190">
        <f>Reinforcements[[#This Row],[End Connection Bolt Spacing (in) (B)]]-(Reinforcements[[#This Row],[Bolt Hole Size (in)]]+1/16)</f>
        <v>1.75</v>
      </c>
      <c r="AL12" s="190">
        <f>Reinforcements[[#This Row],[End Connection Edge Distance (in) (B)]]</f>
        <v>2</v>
      </c>
      <c r="AM12" s="190">
        <f>Reinforcements[[#This Row],[End Connection Bolt Spacing (in) (B)]]</f>
        <v>3</v>
      </c>
      <c r="AN12" s="190" t="str">
        <f>IF(Reinforcements[[#This Row],[Reinforcement]]="","",IF(OR(Reinforcements[[#This Row],[Bottom End Connection Type]]="Bolted",Reinforcements[[#This Row],[Bottom End Connection Type]]=""),"-",""))</f>
        <v>-</v>
      </c>
      <c r="AO12" s="191" t="str">
        <f>IF(Reinforcements[[#This Row],[Reinforcement]]="","",IF(OR(Reinforcements[[#This Row],[Bottom End Connection Type]]="Bolted",Reinforcements[[#This Row],[Bottom End Connection Type]]=""),"-",""))</f>
        <v>-</v>
      </c>
      <c r="AP12" s="191" t="str">
        <f>IF(Reinforcements[[#This Row],[Reinforcement]]="","",IF(OR(Reinforcements[[#This Row],[Bottom End Connection Type]]="Bolted",Reinforcements[[#This Row],[Bottom End Connection Type]]=""),"-",""))</f>
        <v>-</v>
      </c>
      <c r="AQ12" s="191" t="str">
        <f>IF(OR(Reinforcements[[#This Row],[Bottom End Connection Type]]="Bolted",Reinforcements[[#This Row],[Bottom Transverse (Horizontal) Weld]]="none"),"-","")</f>
        <v>-</v>
      </c>
      <c r="AR1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2" s="191" t="str">
        <f>IF(OR(Reinforcements[[#This Row],[Bottom Transverse (Horizontal) Weld]]="none",Reinforcements[[#This Row],[Bottom End Connection Type]]="Bolted"),"-","")</f>
        <v>-</v>
      </c>
      <c r="AU12"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2" s="191" t="str">
        <f>IF(Reinforcements[[#This Row],[Reinforcement]]="","",IF(OR(Reinforcements[[#This Row],[Bottom End Connection Type]]="Bolted",Reinforcements[[#This Row],[Bottom End Connection Type]]=""),"-",""))</f>
        <v>-</v>
      </c>
      <c r="AW12" s="191" t="str">
        <f>IF(Reinforcements[[#This Row],[Reinforcement]]="","",IF(OR(Reinforcements[[#This Row],[Bottom End Connection Type]]&lt;&gt;"Welded",Reinforcements[[#This Row],[Bottom Longitudinal (Vertical) Weld]]="None",Reinforcements[[#This Row],[Bottom Longitudinal (Vertical) Weld]]=""),"-",""))</f>
        <v>-</v>
      </c>
      <c r="AX12" s="191" t="str">
        <f>IF(Reinforcements[[#This Row],[Reinforcement]]="","",IF(OR(Reinforcements[[#This Row],[Bottom End Connection Type]]&lt;&gt;"Welded",Reinforcements[[#This Row],[Bottom Longitudinal (Vertical) Weld]]="None",Reinforcements[[#This Row],[Bottom Longitudinal (Vertical) Weld]]=""),"-",""))</f>
        <v>-</v>
      </c>
      <c r="AY12" s="190" t="str">
        <f>IF(Reinforcements[[#This Row],[Reinforcement]]="","",IF(OR(Reinforcements[[#This Row],[Bottom End Connection Type]]&lt;&gt;"Welded",Reinforcements[[#This Row],[Bottom Longitudinal (Vertical) Weld]]="None"),"-",SQRT(2)/2*Reinforcements[[#This Row],[Bottom Longitudinal Weld Fillet Size (in)]]))</f>
        <v>-</v>
      </c>
      <c r="AZ12" s="190" t="s">
        <v>295</v>
      </c>
      <c r="BA12" s="189" t="str">
        <f>IF(Reinforcements[[#This Row],[Top End Connection Same?]]="Yes",Reinforcements[[#This Row],[Bottom End Connection Type]],"")</f>
        <v>Bolted</v>
      </c>
      <c r="BB12" s="189" t="str">
        <f>IF(Reinforcements[[#This Row],[Reinforcement]]="","",IF(Reinforcements[[#This Row],[Top End Connection Same?]]="Yes",Reinforcements[[#This Row],[Rev. F Bottom Connection Capacity (kips)]],IF(Reinforcements[[#This Row],[Reinforcement]]="","",IF(Reinforcements[[#This Row],[Top End Connection Type]]&lt;&gt;"Capacity Input","-",""))))</f>
        <v>-</v>
      </c>
      <c r="BC12" s="189" t="str">
        <f>IF(Reinforcements[[#This Row],[Reinforcement]]="","",IF(Reinforcements[[#This Row],[Top End Connection Same?]]="Yes",Reinforcements[[#This Row],[Rev. G Bottom Connection Capacity (kips)]],IF(Reinforcements[[#This Row],[Reinforcement]]="","",IF(Reinforcements[[#This Row],[Top End Connection Type]]&lt;&gt;"Capacity Input","-",""))))</f>
        <v>-</v>
      </c>
      <c r="BD12" s="461" t="str">
        <f>IF(Reinforcements[[#This Row],[Reinforcement]]="","",IF(Reinforcements[[#This Row],[Top End Connection Same?]]="Yes",Reinforcements[[#This Row],[Rev. G Bottom Connection Capacity (kips)]],IF(Reinforcements[[#This Row],[Reinforcement]]="","",IF(Reinforcements[[#This Row],[Top End Connection Type]]&lt;&gt;"Capacity Input","-",""))))</f>
        <v>-</v>
      </c>
      <c r="BE12" s="103" t="str">
        <f>IF(Reinforcements[[#This Row],[Top End Connection Same?]]="Yes",Reinforcements[[#This Row],[Bottom End Connection Bolt Type]],IF(Reinforcements[[#This Row],[Top End Connection Type]]="Welded","-",""))</f>
        <v>PC 8.8 - M20 (100)</v>
      </c>
      <c r="BF12" s="190" t="str">
        <f>IF(Reinforcements[[#This Row],[Top End Connection Same?]]="Yes",Reinforcements[[#This Row],[Threads Included (N) or Excluded (X) (Bottom)]],IF(Reinforcements[[#This Row],[Top End Connection Type]]="Welded","-",""))</f>
        <v>N</v>
      </c>
      <c r="BG12" s="190">
        <f>IF(Reinforcements[[#This Row],[Top End Connection Same?]]="Yes",Reinforcements[[#This Row],['# of End Connection Bolts          (Bottom)]],IF(Reinforcements[[#This Row],[Top End Connection Type]]="Welded","-",""))</f>
        <v>32</v>
      </c>
      <c r="BH12" s="190">
        <f>IF(Reinforcements[[#This Row],[Top End Connection Same?]]="Yes",Reinforcements[[#This Row],[End Connection Bolt Spacing (in) (B)]],IF(Reinforcements[[#This Row],[Top End Connection Type]]="Welded","-",""))</f>
        <v>3</v>
      </c>
      <c r="BI12" s="190">
        <f>IF(Reinforcements[[#This Row],[Top End Connection Same?]]="Yes",Reinforcements[[#This Row],[End Connection Edge Distance (in) (B)]],IF(Reinforcements[[#This Row],[Top End Connection Type]]="Welded","-",""))</f>
        <v>2</v>
      </c>
      <c r="BJ12" s="190">
        <f>Reinforcements[[#This Row],[End Connection Edge Distance (in) (T)]]-(Reinforcements[[#This Row],[Bolt Hole Size (in)]]+1/16)/2</f>
        <v>1.375</v>
      </c>
      <c r="BK12" s="190">
        <f>Reinforcements[[#This Row],[End Connection Bolt Spacing (in) (T)]]-(Reinforcements[[#This Row],[Bolt Hole Size (in)]]+1/16)</f>
        <v>1.75</v>
      </c>
      <c r="BL12" s="190">
        <f>Reinforcements[[#This Row],[End Connection Edge Distance (in) (T)]]</f>
        <v>2</v>
      </c>
      <c r="BM12" s="190">
        <f>Reinforcements[[#This Row],[End Connection Bolt Spacing (in) (T)]]</f>
        <v>3</v>
      </c>
      <c r="BN12" s="190" t="str">
        <f>IF(Reinforcements[[#This Row],[Reinforcement]]="","",IF(Reinforcements[[#This Row],[Top End Connection Same?]]="Yes",Reinforcements[[#This Row],[Bottom Connected to Flange/Base Plate?]],IF(Reinforcements[[#This Row],[Top End Connection Type]]="Bolted","-","")))</f>
        <v>-</v>
      </c>
      <c r="BO12" s="190" t="str">
        <f>IF(Reinforcements[[#This Row],[Reinforcement]]="","",IF(Reinforcements[[#This Row],[Top End Connection Same?]]="Yes",Reinforcements[[#This Row],[Bottom Weld Grade (ksi)]],IF(OR(Reinforcements[[#This Row],[Top End Connection Type]]&lt;&gt;"Welded",Reinforcements[[#This Row],[Top End Connection Type]]=""),"-","")))</f>
        <v>-</v>
      </c>
      <c r="BP12" s="190" t="str">
        <f>IF($AZ12="Yes",AP12,IF(Reinforcements[[#This Row],[Reinforcement]]="","",IF(OR(Reinforcements[[#This Row],[Top End Connection Type]]&lt;&gt;"Welded",Reinforcements[[#This Row],[Top End Connection Type]]=""),"-","")))</f>
        <v>-</v>
      </c>
      <c r="BQ12" s="190" t="str">
        <f>IF(Reinforcements[[#This Row],[Reinforcement]]="","",IF($AZ12="Yes",AQ12,IF(OR(Reinforcements[[#This Row],[Top End Connection Type]]&lt;&gt;"Welded",Reinforcements[[#This Row],[Top Transverse (Horizontal) Weld]]="none",Reinforcements[[#This Row],[Top Transverse (Horizontal) Weld]]=""),"-","")))</f>
        <v>-</v>
      </c>
      <c r="BR12" s="190" t="str">
        <f>IF($AZ12="Yes",AR12,IF(Reinforcements[[#This Row],[Reinforcement]]="","",IF(OR(Reinforcements[[#This Row],[Top Transverse (Horizontal) Weld]]="none",Reinforcements[[#This Row],[Top End Connection Type]]&lt;&gt;"Welded",Reinforcements[[#This Row],[Top Transverse (Horizontal) Weld]]="",Reinforcements[[#This Row],[Top Transverse (Horizontal) Weld]]="Fillet"),"-","")))</f>
        <v>-</v>
      </c>
      <c r="BS12" s="190" t="str">
        <f>IF($AZ12="Yes",AS12,IF(Reinforcements[[#This Row],[Reinforcement]]="","",IF(OR(Reinforcements[[#This Row],[Top Transverse (Horizontal) Weld]]="none",Reinforcements[[#This Row],[Top End Connection Type]]&lt;&gt;"Welded",Reinforcements[[#This Row],[Top Transverse (Horizontal) Weld]]="",Reinforcements[[#This Row],[Top Transverse (Horizontal) Weld]]="Fillet"),"-","")))</f>
        <v>-</v>
      </c>
      <c r="BT12" s="190" t="str">
        <f>IF(Reinforcements[[#This Row],[Reinforcement]]="","",IF($AZ12="Yes",AT12,IF(OR(Reinforcements[[#This Row],[Top Transverse (Horizontal) Weld]]="none",Reinforcements[[#This Row],[Top End Connection Type]]&lt;&gt;"Welded",Reinforcements[[#This Row],[Top Transverse (Horizontal) Weld]]=""),"-","")))</f>
        <v>-</v>
      </c>
      <c r="BU12" s="190" t="str">
        <f>IF($AZ12="Yes",AU12,IF(Reinforcements[[#This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2" s="190" t="str">
        <f>IF($AZ12="Yes",AV12,IF(Reinforcements[[#This Row],[Reinforcement]]="","",IF(OR(Reinforcements[[#This Row],[Top End Connection Type]]&lt;&gt;"Welded",Reinforcements[[#This Row],[Top End Connection Type]]=""),"-","")))</f>
        <v>-</v>
      </c>
      <c r="BW12" s="190" t="str">
        <f>IF($AZ12="Yes",AW12,IF(Reinforcements[[#This Row],[Reinforcement]]="","",IF(OR(Reinforcements[[#This Row],[Top End Connection Type]]&lt;&gt;"Welded",Reinforcements[[#This Row],[Top End Connection Type]]="",Reinforcements[[#This Row],[Top Longitudinal (Vertical) Weld]]="",Reinforcements[[#This Row],[Top Longitudinal (Vertical) Weld]]="None"),"-","")))</f>
        <v>-</v>
      </c>
      <c r="BX12" s="190" t="str">
        <f>IF($AZ12="Yes",AX12,IF(Reinforcements[[#This Row],[Reinforcement]]="","",IF(OR(Reinforcements[[#This Row],[Top End Connection Type]]&lt;&gt;"Welded",Reinforcements[[#This Row],[Top End Connection Type]]="",Reinforcements[[#This Row],[Top Longitudinal (Vertical) Weld]]="",Reinforcements[[#This Row],[Top Longitudinal (Vertical) Weld]]="None"),"-","")))</f>
        <v>-</v>
      </c>
      <c r="BY12" s="190" t="str">
        <f>IF($AZ12="Yes",AY12,IF(Reinforcements[[#This Row],[Reinforcement]]="","",IF(OR(Reinforcements[[#This Row],[Top End Connection Type]]&lt;&gt;"Welded",Reinforcements[[#This Row],[Top Longitudinal (Vertical) Weld]]="none"),"-",SQRT(2)/2*Reinforcements[[#This Row],[Top Longitudinal Weld Fillet Size (in)]])))</f>
        <v>-</v>
      </c>
      <c r="BZ12"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2" s="192">
        <f>IF(Reinforcements[[#This Row],[Reinforcement]]="","",IF(Reinforcements[[#This Row],[Bottom End Connection Type]]&lt;&gt;"Bolted","n/a",(Reinforcements[[#This Row],['# of End Connection Bolts          (Bottom)]]-1)*Reinforcements[[#This Row],[End Connection Bolt Spacing (in) (B)]]+Reinforcements[[#This Row],[End Connection Edge Distance (in) (B)]]))</f>
        <v>95</v>
      </c>
      <c r="CB12" s="192">
        <f>IF(Reinforcements[[#This Row],[Reinforcement]]="","",IF(Reinforcements[[#This Row],[Top End Connection Type]]&lt;&gt;"Bolted","n/a",(Reinforcements[[#This Row],['# of End Connection Bolts          (Top)]]-1)*Reinforcements[[#This Row],[End Connection Bolt Spacing (in) (T)]]+Reinforcements[[#This Row],[End Connection Edge Distance (in) (T)]]))</f>
        <v>95</v>
      </c>
      <c r="CC12"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10</v>
      </c>
      <c r="CD12"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v>
      </c>
      <c r="CE12" s="188">
        <f>IFERROR(IF(Reinforcements[[#This Row],[Type]]="","",Reinforcements[[#This Row],[Effective B (in)]]*Reinforcements[[#This Row],[Effective H (in)]]^3/12),"")</f>
        <v>2.8125</v>
      </c>
      <c r="CF12" s="188">
        <f>IFERROR(IF(Reinforcements[[#This Row],[Type]]="","",Reinforcements[[#This Row],[Effective B (in)]]^3*Reinforcements[[#This Row],[Effective H (in)]]/12),"")</f>
        <v>125</v>
      </c>
      <c r="CG12" s="196">
        <f>SQRT(2*PI()^2*29000/VLOOKUP(Reinforcements[[#This Row],[Material]],Materials[],2,FALSE))</f>
        <v>75.659570132481107</v>
      </c>
      <c r="CH12"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47.990460644798723</v>
      </c>
      <c r="CI12"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58.545576509156923</v>
      </c>
      <c r="CJ12" s="195">
        <f>Reinforcements[[#This Row],[Effective Length Factor Kx]]*Reinforcements[[#This Row],[Lu (in)]]/(Reinforcements[[#This Row],[rx]]*PI())*SQRT(VLOOKUP(Reinforcements[[#This Row],[Material]],Materials[],2,FALSE)/29000)</f>
        <v>0.69066981332135202</v>
      </c>
      <c r="CK12" s="195">
        <f>Reinforcements[[#This Row],[Effective Length Factor Ky]]*Reinforcements[[#This Row],[Lu (in)]]/(Reinforcements[[#This Row],[ry]]*PI())*SQRT(VLOOKUP(Reinforcements[[#This Row],[Material]],Materials[],2,FALSE)/29000)</f>
        <v>0.12950058999775346</v>
      </c>
      <c r="CL12" s="195">
        <f>IF(Reinforcements[[#This Row],[λcx]]&lt;=1.5,0.658^(Reinforcements[[#This Row],[λcx]]^2)*Reinforcements[[#This Row],[F''y]],0.877/(Reinforcements[[#This Row],[λcx]]^2)*Reinforcements[[#This Row],[F''y]])</f>
        <v>81.901007621991468</v>
      </c>
      <c r="CM12" s="195">
        <f>IF(Reinforcements[[#This Row],[λcy]]&lt;=1.5,0.658^(Reinforcements[[#This Row],[λcy]]^2)*Reinforcements[[#This Row],[F''y]],0.877/(Reinforcements[[#This Row],[λcy]]^2)*Reinforcements[[#This Row],[F''y]])</f>
        <v>99.300531952576605</v>
      </c>
      <c r="CN12" s="188">
        <f>VLOOKUP(Reinforcements[[#This Row],[Material]],Materials[],2,FALSE)</f>
        <v>100</v>
      </c>
      <c r="CO12" s="196">
        <f>IF(Reinforcements[[#This Row],[Reinforcement]]="","",Reinforcements[[#This Row],[Fax]]*Reinforcements[[#This Row],[Gross Area (in2)]])</f>
        <v>719.85690967198082</v>
      </c>
      <c r="CP12" s="196">
        <f>IF(Reinforcements[[#This Row],[Reinforcement]]="","",Reinforcements[[#This Row],[Fay]]*Reinforcements[[#This Row],[Gross Area (in2)]])</f>
        <v>878.18364763735383</v>
      </c>
      <c r="CQ12" s="196">
        <f>IF(Reinforcements[[#This Row],[Reinforcement]]="","",0.6*VLOOKUP(Reinforcements[[#This Row],[Material]],Materials[],2,FALSE)*Reinforcements[[#This Row],[Gross Area (in2)]])</f>
        <v>900</v>
      </c>
      <c r="CR12" s="196">
        <f>IF(Reinforcements[[#This Row],[Reinforcement]]="","",0.5*VLOOKUP(Reinforcements[[#This Row],[Material]],Materials[],3,FALSE)*Reinforcements[[#This Row],[Net Area (in2)]]*Reinforcements[[#This Row],[Shear Lag (U)]])</f>
        <v>721.875</v>
      </c>
      <c r="CS12" s="196">
        <f>IF(Reinforcements[[#This Row],[Reinforcement]]="","",0.4*VLOOKUP(Reinforcements[[#This Row],[Material]],Materials[],2,FALSE)*Reinforcements[[#This Row],[Gross Area (in2)]])</f>
        <v>600</v>
      </c>
      <c r="CT12"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745.14021372255888</v>
      </c>
      <c r="CU12"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745.14021372255888</v>
      </c>
      <c r="CV12"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43.84251968503937</v>
      </c>
      <c r="CW12"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48.212598425196852</v>
      </c>
      <c r="CX12"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43.84251968503937</v>
      </c>
      <c r="CY12"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48.212598425196852</v>
      </c>
      <c r="CZ12"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7234.0157480314965</v>
      </c>
      <c r="DA12"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7955.0787401574798</v>
      </c>
      <c r="DB12"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7234.0157480314965</v>
      </c>
      <c r="DC12"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7955.0787401574798</v>
      </c>
      <c r="DD12"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2"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2" s="190" t="str">
        <f>IF($AZ12="Yes",DD12,IF(Reinforcements[[#This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2" s="190" t="str">
        <f>IF($AZ12="Yes",DE12,IF(Reinforcements[[#This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2" s="196">
        <f>IF(Reinforcements[[#This Row],[Reinforcement]]="","",φ_c*Reinforcements[[#This Row],[Fcr,x]]*Reinforcements[[#This Row],[Gross Area (in2)]])</f>
        <v>1105.6636028968846</v>
      </c>
      <c r="DI12" s="196">
        <f>IF(Reinforcements[[#This Row],[Reinforcement]]="","",φ_c*Reinforcements[[#This Row],[Fcr,y]]*Reinforcements[[#This Row],[Gross Area (in2)]])</f>
        <v>1340.5571813597842</v>
      </c>
      <c r="DJ12" s="196">
        <f>IF(Reinforcements[[#This Row],[Reinforcement]]="","",φ_t_y*VLOOKUP(Reinforcements[[#This Row],[Material]],Materials[],2,FALSE)*Reinforcements[[#This Row],[Gross Area (in2)]])</f>
        <v>1350</v>
      </c>
      <c r="DK12" s="197">
        <f>IF(Reinforcements[[#This Row],[Reinforcement]]="","",φ_t_r*VLOOKUP(Reinforcements[[#This Row],[Material]],Materials[],3,FALSE)*Reinforcements[[#This Row],[Net Area (in2)]]*Reinforcements[[#This Row],[Shear Lag (U)]])</f>
        <v>1082.8125</v>
      </c>
      <c r="DL12" s="197">
        <f>IF(Reinforcements[[#This Row],[Reinforcement]]="","",φ_v*0.5*Reinforcements[[#This Row],[F''y]]*Reinforcements[[#This Row],[Gross Area (in2)]])</f>
        <v>675</v>
      </c>
      <c r="DM12"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1320.6379873920532</v>
      </c>
      <c r="DN12"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1320.6379873920532</v>
      </c>
      <c r="DO12"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62.766614173228348</v>
      </c>
      <c r="DP12"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78.458267716535431</v>
      </c>
      <c r="DQ12"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62.766614173228348</v>
      </c>
      <c r="DR12"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78.458267716535431</v>
      </c>
      <c r="DS12"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10257.803149606299</v>
      </c>
      <c r="DT12"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12822.253937007874</v>
      </c>
      <c r="DU12"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10257.803149606299</v>
      </c>
      <c r="DV12"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12822.253937007874</v>
      </c>
      <c r="DW12"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2"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2" s="190" t="str">
        <f>IF($AZ12="Yes",DW12,IF(Reinforcements[[#This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2" s="190" t="str">
        <f>IF($AZ12="Yes",DX12,IF(Reinforcements[[#This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2" s="241" t="str">
        <f>IF(OR(Reinforcements[[#This Row],[Type]]="plate",Reinforcements[[#This Row],[Type]]="solid round"),"N/A",Reinforcements[[#This Row],[B (in)]])</f>
        <v>N/A</v>
      </c>
      <c r="EB12" s="237" t="str">
        <f>IF(OR(Reinforcements[[#This Row],[Type]]="plate",Reinforcements[[#This Row],[Type]]="solid round"),"N/A",Reinforcements[[#This Row],[H (in)]])</f>
        <v>N/A</v>
      </c>
      <c r="EC12" s="237" t="str">
        <f>IF(OR(Reinforcements[[#This Row],[Type]]="plate",Reinforcements[[#This Row],[Type]]="solid round"),"N/A",Reinforcements[[#This Row],[B (in)]]-Reinforcements[[#This Row],['[Channel'] Flange Thickness (in)]])</f>
        <v>N/A</v>
      </c>
      <c r="ED12" s="237" t="str">
        <f>IF(OR(Reinforcements[[#This Row],[Type]]="plate",Reinforcements[[#This Row],[Type]]="solid round"),"N/A",Reinforcements[[#This Row],['[Channel']Web Thickness (in)]])</f>
        <v>N/A</v>
      </c>
      <c r="EE12" s="237" t="str">
        <f>IF(OR(Reinforcements[[#This Row],[Type]]="plate",Reinforcements[[#This Row],[Type]]="solid round"),"N/A",Reinforcements[[#This Row],['[Channel'] Flange Thickness (in)]])</f>
        <v>N/A</v>
      </c>
      <c r="EF12" s="237" t="str">
        <f>IF(Reinforcements[[#This Row],[Type]]="channel",Reinforcements[[#This Row],[Channel Flange Width, b]]/Reinforcements[[#This Row],[Channel flange thickness, tf]],"N/A")</f>
        <v>N/A</v>
      </c>
      <c r="EG12" s="237" t="str">
        <f>IF(Reinforcements[[#This Row],[Type]]="channel",Reinforcements[[#This Row],[Channel inside depth, T]]/Reinforcements[[#This Row],[Channel web thickness, tw]],"N/A")</f>
        <v>N/A</v>
      </c>
      <c r="EH12" s="237">
        <v>29000</v>
      </c>
      <c r="EI12" s="237" t="str">
        <f>IF(Reinforcements[[#This Row],[Type]]="channel",0.56*SQRT(Reinforcements[[#This Row],[E, (ksi)]]/Reinforcements[[#This Row],[Fy, (ksi)]]),"N/A")</f>
        <v>N/A</v>
      </c>
      <c r="EJ12" s="237" t="str">
        <f>IF(Reinforcements[[#This Row],[Type]]="channel",1.49*SQRT(Reinforcements[[#This Row],[E, (ksi)]]/Reinforcements[[#This Row],[Fy, (ksi)]]),"N/A")</f>
        <v>N/A</v>
      </c>
      <c r="EK12" s="237">
        <f>VLOOKUP(Reinforcements[[#This Row],[Material]],Materials!$B$2:$C$30,2,FALSE)</f>
        <v>100</v>
      </c>
      <c r="EL12" s="237">
        <f>Reinforcements[[#This Row],[Lu (in)]]*Reinforcements[[#This Row],[Effective Length Factor Kx]]</f>
        <v>16</v>
      </c>
      <c r="EM12" s="237">
        <f>Reinforcements[[#This Row],[Lu (in)]]*Reinforcements[[#This Row],[Effective Length Factor Ky]]</f>
        <v>20</v>
      </c>
      <c r="EN12" s="237">
        <f>Reinforcements[[#This Row],[rx]]</f>
        <v>0.4330127018922193</v>
      </c>
      <c r="EO12" s="237">
        <f>Reinforcements[[#This Row],[ry]]</f>
        <v>2.8867513459481291</v>
      </c>
      <c r="EP12" s="237">
        <f>Reinforcements[[#This Row],[Lcx (in)]]/Reinforcements[[#This Row],[rx (in)]]</f>
        <v>36.950417228136054</v>
      </c>
      <c r="EQ12" s="237">
        <f>Reinforcements[[#This Row],[Lcy (in)]]/Reinforcements[[#This Row],[ry (in)]]</f>
        <v>6.9282032302755088</v>
      </c>
      <c r="ER12" s="237">
        <f>((PI()^2)*Reinforcements[[#This Row],[E, (ksi)]])/(Reinforcements[[#This Row],[Lcx/rx]]^2)</f>
        <v>209.63271066766939</v>
      </c>
      <c r="ES12" s="237">
        <f>((PI()^2)*Reinforcements[[#This Row],[E, (ksi)]])/(Reinforcements[[#This Row],[Lcy/ry]]^2)</f>
        <v>5962.885992324821</v>
      </c>
      <c r="ET12" s="237">
        <f>4.71*(SQRT(Reinforcements[[#This Row],[E, (ksi)]]/Reinforcements[[#This Row],[Fy, (ksi)]]))</f>
        <v>80.20840978351336</v>
      </c>
      <c r="EU12" s="237">
        <f>IF(Reinforcements[[#This Row],[Lcx/rx]]&lt;=Reinforcements[[#This Row],[Fcr Limit]],(0.658^(Reinforcements[[#This Row],[Fy, (ksi)]]/Reinforcements[[#This Row],[Fex, FB (ksi)]]))*Reinforcements[[#This Row],[Fy, (ksi)]],0.877*Reinforcements[[#This Row],[Fex, FB (ksi)]])</f>
        <v>81.901007621991468</v>
      </c>
      <c r="EV12" s="237">
        <f>IF(Reinforcements[[#This Row],[Lcy/ry]]&lt;=Reinforcements[[#This Row],[Fcr Limit]],(0.658^(Reinforcements[[#This Row],[Fy, (ksi)]]/Reinforcements[[#This Row],[Fey, FB (ksi)]]))*Reinforcements[[#This Row],[Fy, (ksi)]],0.877*Reinforcements[[#This Row],[Fey, FB (ksi)]])</f>
        <v>99.300531952576605</v>
      </c>
      <c r="EW12" s="237">
        <f>Reinforcements[[#This Row],[Fcrx (ksi)]]*Reinforcements[[#This Row],[Gross Area (in2)]]</f>
        <v>1228.5151143298719</v>
      </c>
      <c r="EX12" s="237">
        <f>Reinforcements[[#This Row],[Fcry (ksi)]]*Reinforcements[[#This Row],[Gross Area (in2)]]</f>
        <v>1489.507979288649</v>
      </c>
      <c r="EY12" s="237" t="str">
        <f>IF(Reinforcements[[#This Row],[Type]]="channel",0,"N/A")</f>
        <v>N/A</v>
      </c>
      <c r="EZ12" s="237" t="str">
        <f>IF(Reinforcements[[#This Row],[Type]]="channel",Reinforcements[[#This Row],[Channel Flange Width, b]]-(0.5*Reinforcements[[#This Row],[Channel web thickness, tw]]),"N/A")</f>
        <v>N/A</v>
      </c>
      <c r="FA12" s="237" t="str">
        <f>IF(Reinforcements[[#This Row],[Type]]="channel",Reinforcements[[#This Row],[Channel Height, h]]-Reinforcements[[#This Row],[Channel flange thickness, tf]],"N/A")</f>
        <v>N/A</v>
      </c>
      <c r="FB12" s="237" t="str">
        <f>IF(Reinforcements[[#This Row],[Type]]="channel",Reinforcements[[#This Row],[Channel web thickness, tw]],"N/A")</f>
        <v>N/A</v>
      </c>
      <c r="FC12" s="237" t="str">
        <f>IF(Reinforcements[[#This Row],[Type]]="channel",((3*Reinforcements[[#This Row],[b]]^2)/(Reinforcements[[#This Row],[h]]+(6*Reinforcements[[#This Row],[b]])))-Reinforcements[[#This Row],[t]]/2,"N/A")</f>
        <v>N/A</v>
      </c>
      <c r="FD12" s="237">
        <f>Reinforcements[[#This Row],[Pole Face to Centroid (in)]]</f>
        <v>0.75</v>
      </c>
      <c r="FE12" s="237" t="str">
        <f>IF(Reinforcements[[#This Row],[Type]]="channel",Reinforcements[[#This Row],[x(bar)]]+Reinforcements[[#This Row],['[Channel'] e0 (in)]],"N/A")</f>
        <v>N/A</v>
      </c>
      <c r="FF12" s="237" t="str">
        <f>IF(Reinforcements[[#This Row],[Type]]="channel",Reinforcements[[#This Row],[Ix]],"N/A")</f>
        <v>N/A</v>
      </c>
      <c r="FG12" s="237" t="str">
        <f>IF(Reinforcements[[#This Row],[Type]]="channel",Reinforcements[[#This Row],[Iy]],"N/A")</f>
        <v>N/A</v>
      </c>
      <c r="FH12" s="237" t="str">
        <f>IF(Reinforcements[[#This Row],[Type]]="channel",Reinforcements[[#This Row],[Gross Area (in2)]],"N/A")</f>
        <v>N/A</v>
      </c>
      <c r="FI12" s="237" t="str">
        <f>IF(Reinforcements[[#This Row],[Type]]="channel",(Reinforcements[[#This Row],[xo]]^2)+((Reinforcements[[#This Row],[Ix (FTB)]]+Reinforcements[[#This Row],[Iy (FTB)]])/Reinforcements[[#This Row],[Ag]]),"N/A")</f>
        <v>N/A</v>
      </c>
      <c r="FJ12" s="237" t="str">
        <f>IF(Reinforcements[[#This Row],[Type]]="channel",Reinforcements[[#This Row],[Lu (in)]],"N/A")</f>
        <v>N/A</v>
      </c>
      <c r="FK12" s="237" t="str">
        <f>IF(Reinforcements[[#This Row],[Type]]="channel",Reinforcements[[#This Row],[Effective Length Factor Kx]],"N/A")</f>
        <v>N/A</v>
      </c>
      <c r="FL12" s="237" t="str">
        <f>IF(Reinforcements[[#This Row],[Type]]="channel",Reinforcements[[#This Row],[Kz]]*Reinforcements[[#This Row],[Lz]],"N/A")</f>
        <v>N/A</v>
      </c>
      <c r="FM12" s="237" t="str">
        <f>IF(Reinforcements[[#This Row],[Type]]="channel",(((Reinforcements[[#This Row],[t]]^3)/3)*(Reinforcements[[#This Row],[h]]+(2*Reinforcements[[#This Row],[b]]))),"N/A")</f>
        <v>N/A</v>
      </c>
      <c r="FN12" s="237" t="str">
        <f>IF(Reinforcements[[#This Row],[Type]]="channel",(1-(((Reinforcements[[#This Row],[xo]]^2)+(Reinforcements[[#This Row],[yo]]^2))/Reinforcements[[#This Row],[ro^2(bar)]])),"N/A")</f>
        <v>N/A</v>
      </c>
      <c r="FO12" s="237">
        <v>11200</v>
      </c>
      <c r="FP12" s="237" t="str">
        <f>IF(Reinforcements[[#This Row],[Type]]="channel",(((Reinforcements[[#This Row],[h]]^2)*(Reinforcements[[#This Row],[b]]^3)*Reinforcements[[#This Row],[t]])/12)*(((2*Reinforcements[[#This Row],[h]])+(3*Reinforcements[[#This Row],[b]]))/(Reinforcements[[#This Row],[h]]+(6*Reinforcements[[#This Row],[b]]))),"N/A")</f>
        <v>N/A</v>
      </c>
      <c r="FQ12" s="237" t="str">
        <f>IF(Reinforcements[[#This Row],[Type]]="Channel",((((PI()^2)*Reinforcements[[#This Row],[E, (ksi)]]*Reinforcements[[#This Row],['[Channel'] CW (in6)]])/(Reinforcements[[#This Row],[Lcz]]^2))+(Reinforcements[[#This Row],[G]]*Reinforcements[[#This Row],['[Channel'] J (in4)]]))*(1/(Reinforcements[[#This Row],[Ag]]*Reinforcements[[#This Row],[ro^2(bar)]])),"N/A")</f>
        <v>N/A</v>
      </c>
      <c r="FR12" s="237" t="str">
        <f>IF(Reinforcements[[#This Row],[Type]]="channel",((PI()^2)*Reinforcements[[#This Row],[E, (ksi)]])/(Reinforcements[[#This Row],[Lcy/ry]]^2),"N/A")</f>
        <v>N/A</v>
      </c>
      <c r="FS12" s="237" t="str">
        <f>IF(Reinforcements[[#This Row],[Type]]="channel",((Reinforcements[[#This Row],[Fey]]+Reinforcements[[#This Row],[Fez]])/(2*Reinforcements[[#This Row],[H2]]))*(1-SQRT(1-((4*Reinforcements[[#This Row],[Fey]]*Reinforcements[[#This Row],[Fez]]*Reinforcements[[#This Row],[H2]])/(Reinforcements[[#This Row],[Fey]]+Reinforcements[[#This Row],[Fez]])^2))),"N/A")</f>
        <v>N/A</v>
      </c>
      <c r="FT12" s="237" t="str">
        <f>IF(Reinforcements[[#This Row],[Type]]="channel",IF(Reinforcements[[#This Row],[Lcx/rx]]&gt;(4.71*SQRT(Reinforcements[[#This Row],[E, (ksi)]]/Reinforcements[[#This Row],[Fy, (ksi)]])),0.877*Reinforcements[[#This Row],[Fe (FTB)]],0.658^(Reinforcements[[#This Row],[Fy, (ksi)]]/Reinforcements[[#This Row],[Fe (FTB)]])*Reinforcements[[#This Row],[Fy, (ksi)]]),"N/A")</f>
        <v>N/A</v>
      </c>
      <c r="FU12" s="237" t="str">
        <f>IF(Reinforcements[[#This Row],[Type]]="channel",MIN(Reinforcements[[#This Row],[Fcr(FTB)]],Reinforcements[[#This Row],[Fcry (ksi)]]),"N/A")</f>
        <v>N/A</v>
      </c>
      <c r="FV12" s="237">
        <v>0.22</v>
      </c>
      <c r="FW12" s="237">
        <v>1.49</v>
      </c>
      <c r="FX12" s="237" t="str">
        <f>IF(Reinforcements[[#This Row],[Type]]="channel",((Reinforcements[[#This Row],[c2]]*(Reinforcements[[#This Row],[λrf]]/Reinforcements[[#This Row],[λf]]))^2)*Reinforcements[[#This Row],[Fy, (ksi)]],"N/A")</f>
        <v>N/A</v>
      </c>
      <c r="FY12" s="237" t="str">
        <f>IF(Reinforcements[[#This Row],[Type]]="channel",((Reinforcements[[#This Row],[c2]]*(Reinforcements[[#This Row],[λrw]]/Reinforcements[[#This Row],[λw]]))^2)*Reinforcements[[#This Row],[Fy, (ksi)]],"N/A")</f>
        <v>N/A</v>
      </c>
      <c r="FZ12"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2"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2"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2" s="237" t="str">
        <f>IF(Reinforcements[[#This Row],[Type]]="channel",Reinforcements[[#This Row],[Fcr]]*Reinforcements[[#This Row],[Ae]],"N/A")</f>
        <v>N/A</v>
      </c>
      <c r="GD12" s="466">
        <f>IF(Reinforcements[[#This Row],[Reinforcement]]="","",φ_c*Reinforcements[[#This Row],[Pnx, FB (kip)]])</f>
        <v>1105.6636028968849</v>
      </c>
      <c r="GE12" s="466">
        <f>IF(Reinforcements[[#This Row],[Reinforcement]]="","",IF(Reinforcements[[#This Row],[Type]]="channel",φ_c*Reinforcements[[#This Row],[Pn]],φ_c*Reinforcements[[#This Row],[Pny, FB (kip)]]))</f>
        <v>1340.5571813597842</v>
      </c>
      <c r="GF12" s="466">
        <f>Reinforcements[[#This Row],[Rev. G Tension Yield Capacity (kips)]]</f>
        <v>1350</v>
      </c>
      <c r="GG12" s="466">
        <f>Reinforcements[[#This Row],[Rev. G Tension Rupture Capacity (kips)]]</f>
        <v>1082.8125</v>
      </c>
      <c r="GH12" s="466">
        <f>Reinforcements[[#This Row],[Rev. G Shear Capacity (kips)]]</f>
        <v>675</v>
      </c>
      <c r="GI12" s="466">
        <f>IFERROR((Reinforcements[[#This Row],['# of End Connection Bolts          (Bottom)]]-1)*Reinforcements[[#This Row],[End Connection Bolt Spacing (in) (B)]],"-")</f>
        <v>93</v>
      </c>
      <c r="GJ12" s="466">
        <f>IFERROR(IF(VLOOKUP(Reinforcements[[#This Row],[Bottom End Connection Bolt Type]],Bolts[],COLUMN(Bolts[[#Headers],[Rev. H Apply Connection Length Reduction Factor (Rb)?]])-1,FALSE)="Yes",(IF(Reinforcements[[#This Row],[Lb(bottom)]]&lt;=16,1,IF(Reinforcements[[#This Row],[Lb(bottom)]]&gt;38,0.75,0.9))),1),"-")</f>
        <v>1</v>
      </c>
      <c r="GK12"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1484.7885110661739</v>
      </c>
      <c r="GL12" s="466">
        <f>IFERROR(IF(Reinforcements[[#This Row],[Top End Connection Same?]]="Yes",Reinforcements[[#This Row],[Lb(bottom)]],(Reinforcements[[#This Row],['# of End Connection Bolts          (Top)]]-1)*Reinforcements[[#This Row],[End Connection Bolt Spacing (in) (T)]]),"-")</f>
        <v>93</v>
      </c>
      <c r="GM12" s="466">
        <f>IFERROR(IF(VLOOKUP(Reinforcements[[#This Row],[Top End Connection Bolt Type]],Bolts[],COLUMN(Bolts[[#Headers],[Rev. H Apply Connection Length Reduction Factor (Rb)?]])-1,FALSE)="Yes",(IF(Reinforcements[[#This Row],[Lb(top)]]&lt;=16,1,IF(Reinforcements[[#This Row],[Lb(top)]]&gt;38,0.75,0.9))),1),"-")</f>
        <v>1</v>
      </c>
      <c r="GN12"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1484.7885110661739</v>
      </c>
      <c r="GO12" s="466">
        <f>Reinforcements[[#This Row],[Rev. G Bolt-Shaft Bearing Capacity (Bottom)                No Deformation          (*t*Fu kips)]]</f>
        <v>62.766614173228348</v>
      </c>
      <c r="GP12" s="549">
        <f>Reinforcements[[#This Row],[Rev. G Bolt-Shaft Bearing Capacity (Bottom)                   Deformation          (*t*Fu kips)]]</f>
        <v>78.458267716535431</v>
      </c>
      <c r="GQ12" s="466">
        <f>Reinforcements[[#This Row],[Rev. G Bolt-Shaft Bearing Capacity (Top)                    No Deformation          (*t*Fu kips)]]</f>
        <v>62.766614173228348</v>
      </c>
      <c r="GR12" s="466">
        <f>Reinforcements[[#This Row],[Rev. G Bolt-Shaft Bearing Capacity (Top)                        Deformation          (*t*Fu kips)]]</f>
        <v>78.458267716535431</v>
      </c>
      <c r="GS12" s="466">
        <f>Reinforcements[[#This Row],[Rev. G Bolt-Reinf. Bearing Capacity (Bottom)            No Deformation (kips)]]</f>
        <v>10257.803149606299</v>
      </c>
      <c r="GT12" s="466">
        <f>Reinforcements[[#This Row],[Rev. G Bolt-Reinf. Bearing Capacity (Bottom)               Deformation (kips)]]</f>
        <v>12822.253937007874</v>
      </c>
      <c r="GU12" s="466">
        <f>Reinforcements[[#This Row],[Rev. G Bolt-Reinf. Bearing Capacity (Top)                  No Deformation (kips)]]</f>
        <v>10257.803149606299</v>
      </c>
      <c r="GV12" s="466">
        <f>Reinforcements[[#This Row],[Rev. G Bolt-Reinf. Bearing Capacity (Top)               Deformation (kips)]]</f>
        <v>12822.253937007874</v>
      </c>
      <c r="GW12" s="466" t="str">
        <f>Reinforcements[[#This Row],[Rev. G Bottom Transverse Weld Strength]]</f>
        <v>-</v>
      </c>
      <c r="GX12" s="466" t="str">
        <f>Reinforcements[[#This Row],[Rev. G Bottom Longitudinal Weld Strength]]</f>
        <v>-</v>
      </c>
      <c r="GY12" s="466" t="str">
        <f>Reinforcements[[#This Row],[Rev. G Top Transverse Weld Strength]]</f>
        <v>-</v>
      </c>
      <c r="GZ12" s="466" t="str">
        <f>Reinforcements[[#This Row],[Rev. G Top Longitudinal Weld Strength]]</f>
        <v>-</v>
      </c>
      <c r="HA12" s="552">
        <v>10</v>
      </c>
      <c r="HB12"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3" spans="2:210" x14ac:dyDescent="0.2">
      <c r="B13" s="72" t="s">
        <v>364</v>
      </c>
      <c r="C13" s="72" t="s">
        <v>146</v>
      </c>
      <c r="D13" s="185">
        <v>4</v>
      </c>
      <c r="E13" s="185">
        <v>0.75</v>
      </c>
      <c r="F13" s="185" t="str">
        <f>IF(Reinforcements[[#This Row],[Type]]="","",IF(Reinforcements[[#This Row],[Type]]="solid round","","n/a"))</f>
        <v>n/a</v>
      </c>
      <c r="G13" s="185" t="str">
        <f>IF(Reinforcements[[#This Row],[Type]]="","",IF(Reinforcements[[#This Row],[Type]]&lt;&gt;"channel","n/a",""))</f>
        <v>n/a</v>
      </c>
      <c r="H13" s="185" t="str">
        <f>IF(Reinforcements[[#This Row],[Type]]="","",IF(Reinforcements[[#This Row],[Type]]&lt;&gt;"channel","n/a",""))</f>
        <v>n/a</v>
      </c>
      <c r="I13" s="197" t="str">
        <f>IF(Reinforcements[[#This Row],[Type]]="","",IF(Reinforcements[[#This Row],[Type]]&lt;&gt;"channel","n/a",Reinforcements[[#This Row],[eo]]))</f>
        <v>n/a</v>
      </c>
      <c r="J13" s="197" t="str">
        <f>IF(Reinforcements[[#This Row],[Type]]="","",IF(Reinforcements[[#This Row],[Type]]&lt;&gt;"channel","n/a",Reinforcements[[#This Row],[J]]))</f>
        <v>n/a</v>
      </c>
      <c r="K13" s="197" t="str">
        <f>IF(Reinforcements[[#This Row],[Type]]="","",IF(Reinforcements[[#This Row],[Type]]&lt;&gt;"channel","n/a",Reinforcements[[#This Row],[Cw]]))</f>
        <v>n/a</v>
      </c>
      <c r="L13" s="185">
        <f>IFERROR(IF(Reinforcements[[#This Row],[Type]]="","",IF(Reinforcements[[#This Row],[Type]]="plate",Reinforcements[[#This Row],[B (in)]]*Reinforcements[[#This Row],[H (in)]],IF(Reinforcements[[#This Row],[Type]]="solid round",PI()/4*Reinforcements[[#This Row],[Diameter (in)]]^2,""))),"")</f>
        <v>3</v>
      </c>
      <c r="M13" s="185">
        <f>IFERROR(IF(Reinforcements[[#This Row],[Type]]="","",IF(Reinforcements[[#This Row],[Type]]="plate",Reinforcements[[#This Row],[H (in)]]/2,"")),"")</f>
        <v>0.375</v>
      </c>
      <c r="N13" s="186" t="s">
        <v>297</v>
      </c>
      <c r="O13" s="185" t="s">
        <v>60</v>
      </c>
      <c r="P13" s="187">
        <f>IFERROR(IF(Reinforcements[[#This Row],[Type]]="","",IF(Reinforcements[[#This Row],[Type]]="plate",Reinforcements[[#This Row],[B (in)]]*Reinforcements[[#This Row],[H (in)]]^3/12,IF(Reinforcements[[#This Row],[Type]]="solid round",PI()/64*Reinforcements[[#This Row],[Diameter (in)]]^4,""))),"")</f>
        <v>0.140625</v>
      </c>
      <c r="Q13" s="187">
        <f>IF(Reinforcements[[#This Row],[Reinforcement]]="","",SQRT(Reinforcements[[#This Row],[Ix]]/Reinforcements[[#This Row],[Gross Area (in2)]]))</f>
        <v>0.21650635094610965</v>
      </c>
      <c r="R13" s="187">
        <f>IFERROR(IF(Reinforcements[[#This Row],[Type]]="","",IF(Reinforcements[[#This Row],[Type]]="plate",Reinforcements[[#This Row],[B (in)]]^3*Reinforcements[[#This Row],[H (in)]]/12,IF(Reinforcements[[#This Row],[Type]]="solid round",PI()/64*Reinforcements[[#This Row],[Diameter (in)]]^4,""))),"")</f>
        <v>4</v>
      </c>
      <c r="S13" s="187">
        <f>IF(Reinforcements[[#This Row],[Reinforcement]]="","",SQRT(Reinforcements[[#This Row],[Iy]]/Reinforcements[[#This Row],[Gross Area (in2)]]))</f>
        <v>1.1547005383792515</v>
      </c>
      <c r="T13" s="190">
        <v>16</v>
      </c>
      <c r="U13" s="188">
        <v>0.8</v>
      </c>
      <c r="V13" s="188">
        <v>1</v>
      </c>
      <c r="W13" s="185">
        <v>1.1875</v>
      </c>
      <c r="X13" s="188">
        <f>IF(Reinforcements[[#This Row],[Bolt Hole Size (in)]]="","",IF(Reinforcements[[#This Row],[Bolt Hole Size (in)]]="n/a","n/a",Reinforcements[[#This Row],[Bolt Hole Size (in)]]*25.4))</f>
        <v>30.162499999999998</v>
      </c>
      <c r="Y13"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13" s="185">
        <f>IFERROR(IF(Reinforcements[[#This Row],[Reinforcement]]="","",IF(OR(Reinforcements[[#This Row],[Type]]="plate",Reinforcements[[#This Row],[Type]]="solid round"),1,IF(Reinforcements[[#This Row],[Type]]="arbitrary","",1-Reinforcements[[#This Row],[Pole Face to Centroid (in)]]/Reinforcements[[#This Row],[Connection Length (in) '[Channels']]]))),"")</f>
        <v>1</v>
      </c>
      <c r="AA13" s="189" t="s">
        <v>391</v>
      </c>
      <c r="AB13" s="189" t="str">
        <f>IF(Reinforcements[[#This Row],[Reinforcement]]="","",IF(Reinforcements[[#This Row],[Bottom End Connection Type]]&lt;&gt;"Capacity Input","-",""))</f>
        <v>-</v>
      </c>
      <c r="AC13" s="189" t="str">
        <f>IF(Reinforcements[[#This Row],[Reinforcement]]="","",IF(Reinforcements[[#This Row],[Bottom End Connection Type]]&lt;&gt;"Capacity Input","-",""))</f>
        <v>-</v>
      </c>
      <c r="AD13" s="461" t="str">
        <f>IF(Reinforcements[[#This Row],[Reinforcement]]="","",IF(Reinforcements[[#This Row],[Bottom End Connection Type]]&lt;&gt;"Capacity Input","-",""))</f>
        <v>-</v>
      </c>
      <c r="AE13" s="103" t="s">
        <v>416</v>
      </c>
      <c r="AF13" s="190" t="s">
        <v>296</v>
      </c>
      <c r="AG13" s="190">
        <v>6</v>
      </c>
      <c r="AH13" s="190">
        <v>3</v>
      </c>
      <c r="AI13" s="190">
        <v>3</v>
      </c>
      <c r="AJ13" s="190">
        <f>Reinforcements[[#This Row],[End Connection Edge Distance (in) (B)]]-(Reinforcements[[#This Row],[Bolt Hole Size (in)]]+1/16)/2</f>
        <v>2.375</v>
      </c>
      <c r="AK13" s="190">
        <f>Reinforcements[[#This Row],[End Connection Bolt Spacing (in) (B)]]-(Reinforcements[[#This Row],[Bolt Hole Size (in)]]+1/16)</f>
        <v>1.75</v>
      </c>
      <c r="AL13" s="190">
        <f>Reinforcements[[#This Row],[End Connection Edge Distance (in) (B)]]</f>
        <v>3</v>
      </c>
      <c r="AM13" s="190">
        <f>Reinforcements[[#This Row],[End Connection Bolt Spacing (in) (B)]]</f>
        <v>3</v>
      </c>
      <c r="AN13" s="190" t="str">
        <f>IF(Reinforcements[[#This Row],[Reinforcement]]="","",IF(OR(Reinforcements[[#This Row],[Bottom End Connection Type]]="Bolted",Reinforcements[[#This Row],[Bottom End Connection Type]]=""),"-",""))</f>
        <v>-</v>
      </c>
      <c r="AO13" s="191" t="str">
        <f>IF(Reinforcements[[#This Row],[Reinforcement]]="","",IF(OR(Reinforcements[[#This Row],[Bottom End Connection Type]]="Bolted",Reinforcements[[#This Row],[Bottom End Connection Type]]=""),"-",""))</f>
        <v>-</v>
      </c>
      <c r="AP13" s="191" t="str">
        <f>IF(Reinforcements[[#This Row],[Reinforcement]]="","",IF(OR(Reinforcements[[#This Row],[Bottom End Connection Type]]="Bolted",Reinforcements[[#This Row],[Bottom End Connection Type]]=""),"-",""))</f>
        <v>-</v>
      </c>
      <c r="AQ13" s="191" t="str">
        <f>IF(OR(Reinforcements[[#This Row],[Bottom End Connection Type]]="Bolted",Reinforcements[[#This Row],[Bottom Transverse (Horizontal) Weld]]="none"),"-","")</f>
        <v>-</v>
      </c>
      <c r="AR1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3" s="191" t="str">
        <f>IF(OR(Reinforcements[[#This Row],[Bottom Transverse (Horizontal) Weld]]="none",Reinforcements[[#This Row],[Bottom End Connection Type]]="Bolted"),"-","")</f>
        <v>-</v>
      </c>
      <c r="AU13"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3" s="191" t="str">
        <f>IF(Reinforcements[[#This Row],[Reinforcement]]="","",IF(OR(Reinforcements[[#This Row],[Bottom End Connection Type]]="Bolted",Reinforcements[[#This Row],[Bottom End Connection Type]]=""),"-",""))</f>
        <v>-</v>
      </c>
      <c r="AW13" s="191" t="str">
        <f>IF(Reinforcements[[#This Row],[Reinforcement]]="","",IF(OR(Reinforcements[[#This Row],[Bottom End Connection Type]]&lt;&gt;"Welded",Reinforcements[[#This Row],[Bottom Longitudinal (Vertical) Weld]]="None",Reinforcements[[#This Row],[Bottom Longitudinal (Vertical) Weld]]=""),"-",""))</f>
        <v>-</v>
      </c>
      <c r="AX13" s="191" t="str">
        <f>IF(Reinforcements[[#This Row],[Reinforcement]]="","",IF(OR(Reinforcements[[#This Row],[Bottom End Connection Type]]&lt;&gt;"Welded",Reinforcements[[#This Row],[Bottom Longitudinal (Vertical) Weld]]="None",Reinforcements[[#This Row],[Bottom Longitudinal (Vertical) Weld]]=""),"-",""))</f>
        <v>-</v>
      </c>
      <c r="AY13" s="190" t="str">
        <f>IF(Reinforcements[[#This Row],[Reinforcement]]="","",IF(OR(Reinforcements[[#This Row],[Bottom End Connection Type]]&lt;&gt;"Welded",Reinforcements[[#This Row],[Bottom Longitudinal (Vertical) Weld]]="None"),"-",SQRT(2)/2*Reinforcements[[#This Row],[Bottom Longitudinal Weld Fillet Size (in)]]))</f>
        <v>-</v>
      </c>
      <c r="AZ13" s="191" t="s">
        <v>295</v>
      </c>
      <c r="BA13" s="189" t="str">
        <f>IF(Reinforcements[[#This Row],[Top End Connection Same?]]="Yes",Reinforcements[[#This Row],[Bottom End Connection Type]],"")</f>
        <v>Bolted</v>
      </c>
      <c r="BB13" s="189" t="str">
        <f>IF(Reinforcements[[#This Row],[Reinforcement]]="","",IF(Reinforcements[[#This Row],[Top End Connection Same?]]="Yes",Reinforcements[[#This Row],[Rev. F Bottom Connection Capacity (kips)]],IF(Reinforcements[[#This Row],[Reinforcement]]="","",IF(Reinforcements[[#This Row],[Top End Connection Type]]&lt;&gt;"Capacity Input","-",""))))</f>
        <v>-</v>
      </c>
      <c r="BC13" s="189" t="str">
        <f>IF(Reinforcements[[#This Row],[Reinforcement]]="","",IF(Reinforcements[[#This Row],[Top End Connection Same?]]="Yes",Reinforcements[[#This Row],[Rev. G Bottom Connection Capacity (kips)]],IF(Reinforcements[[#This Row],[Reinforcement]]="","",IF(Reinforcements[[#This Row],[Top End Connection Type]]&lt;&gt;"Capacity Input","-",""))))</f>
        <v>-</v>
      </c>
      <c r="BD13" s="461" t="str">
        <f>IF(Reinforcements[[#This Row],[Reinforcement]]="","",IF(Reinforcements[[#This Row],[Top End Connection Same?]]="Yes",Reinforcements[[#This Row],[Rev. G Bottom Connection Capacity (kips)]],IF(Reinforcements[[#This Row],[Reinforcement]]="","",IF(Reinforcements[[#This Row],[Top End Connection Type]]&lt;&gt;"Capacity Input","-",""))))</f>
        <v>-</v>
      </c>
      <c r="BE13" s="103" t="str">
        <f>IF(Reinforcements[[#This Row],[Top End Connection Same?]]="Yes",Reinforcements[[#This Row],[Bottom End Connection Bolt Type]],IF(Reinforcements[[#This Row],[Top End Connection Type]]="Welded","-",""))</f>
        <v>PC 8.8 - M20 (100)</v>
      </c>
      <c r="BF13" s="190" t="str">
        <f>IF(Reinforcements[[#This Row],[Top End Connection Same?]]="Yes",Reinforcements[[#This Row],[Threads Included (N) or Excluded (X) (Bottom)]],IF(Reinforcements[[#This Row],[Top End Connection Type]]="Welded","-",""))</f>
        <v>N</v>
      </c>
      <c r="BG13" s="190">
        <f>IF(Reinforcements[[#This Row],[Top End Connection Same?]]="Yes",Reinforcements[[#This Row],['# of End Connection Bolts          (Bottom)]],IF(Reinforcements[[#This Row],[Top End Connection Type]]="Welded","-",""))</f>
        <v>6</v>
      </c>
      <c r="BH13" s="190">
        <f>IF(Reinforcements[[#This Row],[Top End Connection Same?]]="Yes",Reinforcements[[#This Row],[End Connection Bolt Spacing (in) (B)]],IF(Reinforcements[[#This Row],[Top End Connection Type]]="Welded","-",""))</f>
        <v>3</v>
      </c>
      <c r="BI13" s="190">
        <f>IF(Reinforcements[[#This Row],[Top End Connection Same?]]="Yes",Reinforcements[[#This Row],[End Connection Edge Distance (in) (B)]],IF(Reinforcements[[#This Row],[Top End Connection Type]]="Welded","-",""))</f>
        <v>3</v>
      </c>
      <c r="BJ13" s="190">
        <f>Reinforcements[[#This Row],[End Connection Edge Distance (in) (T)]]-(Reinforcements[[#This Row],[Bolt Hole Size (in)]]+1/16)/2</f>
        <v>2.375</v>
      </c>
      <c r="BK13" s="190">
        <f>Reinforcements[[#This Row],[End Connection Bolt Spacing (in) (T)]]-(Reinforcements[[#This Row],[Bolt Hole Size (in)]]+1/16)</f>
        <v>1.75</v>
      </c>
      <c r="BL13" s="190">
        <f>Reinforcements[[#This Row],[End Connection Edge Distance (in) (T)]]</f>
        <v>3</v>
      </c>
      <c r="BM13" s="190">
        <f>Reinforcements[[#This Row],[End Connection Bolt Spacing (in) (T)]]</f>
        <v>3</v>
      </c>
      <c r="BN13" s="190" t="str">
        <f>IF(Reinforcements[[#This Row],[Reinforcement]]="","",IF(Reinforcements[[#This Row],[Top End Connection Same?]]="Yes",Reinforcements[[#This Row],[Bottom Connected to Flange/Base Plate?]],IF(Reinforcements[[#This Row],[Top End Connection Type]]="Bolted","-","")))</f>
        <v>-</v>
      </c>
      <c r="BO13" s="190" t="str">
        <f>IF(Reinforcements[[#This Row],[Reinforcement]]="","",IF(Reinforcements[[#This Row],[Top End Connection Same?]]="Yes",Reinforcements[[#This Row],[Bottom Weld Grade (ksi)]],IF(OR(Reinforcements[[#This Row],[Top End Connection Type]]&lt;&gt;"Welded",Reinforcements[[#This Row],[Top End Connection Type]]=""),"-","")))</f>
        <v>-</v>
      </c>
      <c r="BP13" s="190" t="str">
        <f>IF($AZ13="Yes",AP13,IF(Reinforcements[[#This Row],[Reinforcement]]="","",IF(OR(Reinforcements[[#This Row],[Top End Connection Type]]&lt;&gt;"Welded",Reinforcements[[#This Row],[Top End Connection Type]]=""),"-","")))</f>
        <v>-</v>
      </c>
      <c r="BQ13" s="190" t="str">
        <f>IF(Reinforcements[[#This Row],[Reinforcement]]="","",IF($AZ13="Yes",AQ13,IF(OR(Reinforcements[[#This Row],[Top End Connection Type]]&lt;&gt;"Welded",Reinforcements[[#This Row],[Top Transverse (Horizontal) Weld]]="none",Reinforcements[[#This Row],[Top Transverse (Horizontal) Weld]]=""),"-","")))</f>
        <v>-</v>
      </c>
      <c r="BR13" s="190" t="str">
        <f>IF($AZ13="Yes",AR13,IF(Reinforcements[[#This Row],[Reinforcement]]="","",IF(OR(Reinforcements[[#This Row],[Top Transverse (Horizontal) Weld]]="none",Reinforcements[[#This Row],[Top End Connection Type]]&lt;&gt;"Welded",Reinforcements[[#This Row],[Top Transverse (Horizontal) Weld]]="",Reinforcements[[#This Row],[Top Transverse (Horizontal) Weld]]="Fillet"),"-","")))</f>
        <v>-</v>
      </c>
      <c r="BS13" s="190" t="str">
        <f>IF($AZ13="Yes",AS13,IF(Reinforcements[[#This Row],[Reinforcement]]="","",IF(OR(Reinforcements[[#This Row],[Top Transverse (Horizontal) Weld]]="none",Reinforcements[[#This Row],[Top End Connection Type]]&lt;&gt;"Welded",Reinforcements[[#This Row],[Top Transverse (Horizontal) Weld]]="",Reinforcements[[#This Row],[Top Transverse (Horizontal) Weld]]="Fillet"),"-","")))</f>
        <v>-</v>
      </c>
      <c r="BT13" s="190" t="str">
        <f>IF(Reinforcements[[#This Row],[Reinforcement]]="","",IF($AZ13="Yes",AT13,IF(OR(Reinforcements[[#This Row],[Top Transverse (Horizontal) Weld]]="none",Reinforcements[[#This Row],[Top End Connection Type]]&lt;&gt;"Welded",Reinforcements[[#This Row],[Top Transverse (Horizontal) Weld]]=""),"-","")))</f>
        <v>-</v>
      </c>
      <c r="BU13" s="190" t="str">
        <f>IF($AZ13="Yes",AU13,IF(Reinforcements[[#This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3" s="190" t="str">
        <f>IF($AZ13="Yes",AV13,IF(Reinforcements[[#This Row],[Reinforcement]]="","",IF(OR(Reinforcements[[#This Row],[Top End Connection Type]]&lt;&gt;"Welded",Reinforcements[[#This Row],[Top End Connection Type]]=""),"-","")))</f>
        <v>-</v>
      </c>
      <c r="BW13" s="190" t="str">
        <f>IF($AZ13="Yes",AW13,IF(Reinforcements[[#This Row],[Reinforcement]]="","",IF(OR(Reinforcements[[#This Row],[Top End Connection Type]]&lt;&gt;"Welded",Reinforcements[[#This Row],[Top End Connection Type]]="",Reinforcements[[#This Row],[Top Longitudinal (Vertical) Weld]]="",Reinforcements[[#This Row],[Top Longitudinal (Vertical) Weld]]="None"),"-","")))</f>
        <v>-</v>
      </c>
      <c r="BX13" s="190" t="str">
        <f>IF($AZ13="Yes",AX13,IF(Reinforcements[[#This Row],[Reinforcement]]="","",IF(OR(Reinforcements[[#This Row],[Top End Connection Type]]&lt;&gt;"Welded",Reinforcements[[#This Row],[Top End Connection Type]]="",Reinforcements[[#This Row],[Top Longitudinal (Vertical) Weld]]="",Reinforcements[[#This Row],[Top Longitudinal (Vertical) Weld]]="None"),"-","")))</f>
        <v>-</v>
      </c>
      <c r="BY13" s="190" t="str">
        <f>IF($AZ13="Yes",AY13,IF(Reinforcements[[#This Row],[Reinforcement]]="","",IF(OR(Reinforcements[[#This Row],[Top End Connection Type]]&lt;&gt;"Welded",Reinforcements[[#This Row],[Top Longitudinal (Vertical) Weld]]="none"),"-",SQRT(2)/2*Reinforcements[[#This Row],[Top Longitudinal Weld Fillet Size (in)]])))</f>
        <v>-</v>
      </c>
      <c r="BZ13"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3" s="192">
        <f>IF(Reinforcements[[#This Row],[Reinforcement]]="","",IF(Reinforcements[[#This Row],[Bottom End Connection Type]]&lt;&gt;"Bolted","n/a",(Reinforcements[[#This Row],['# of End Connection Bolts          (Bottom)]]-1)*Reinforcements[[#This Row],[End Connection Bolt Spacing (in) (B)]]+Reinforcements[[#This Row],[End Connection Edge Distance (in) (B)]]))</f>
        <v>18</v>
      </c>
      <c r="CB13" s="192">
        <f>IF(Reinforcements[[#This Row],[Reinforcement]]="","",IF(Reinforcements[[#This Row],[Top End Connection Type]]&lt;&gt;"Bolted","n/a",(Reinforcements[[#This Row],['# of End Connection Bolts          (Top)]]-1)*Reinforcements[[#This Row],[End Connection Bolt Spacing (in) (T)]]+Reinforcements[[#This Row],[End Connection Edge Distance (in) (T)]]))</f>
        <v>18</v>
      </c>
      <c r="CC13"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13"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13" s="185">
        <f>IFERROR(IF(Reinforcements[[#This Row],[Type]]="","",Reinforcements[[#This Row],[Effective B (in)]]*Reinforcements[[#This Row],[Effective H (in)]]^3/12),"")</f>
        <v>0.140625</v>
      </c>
      <c r="CF13" s="185">
        <f>IFERROR(IF(Reinforcements[[#This Row],[Type]]="","",Reinforcements[[#This Row],[Effective B (in)]]^3*Reinforcements[[#This Row],[Effective H (in)]]/12),"")</f>
        <v>4</v>
      </c>
      <c r="CG13" s="197">
        <f>SQRT(2*PI()^2*29000/VLOOKUP(Reinforcements[[#This Row],[Material]],Materials[],2,FALSE))</f>
        <v>93.844147005158973</v>
      </c>
      <c r="CH13"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27.836949248856321</v>
      </c>
      <c r="CI13"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37.343267566720399</v>
      </c>
      <c r="CJ13" s="187">
        <f>Reinforcements[[#This Row],[Effective Length Factor Kx]]*Reinforcements[[#This Row],[Lu (in)]]/(Reinforcements[[#This Row],[rx]]*PI())*SQRT(VLOOKUP(Reinforcements[[#This Row],[Material]],Materials[],2,FALSE)/29000)</f>
        <v>0.89093728863455735</v>
      </c>
      <c r="CK13" s="187">
        <f>Reinforcements[[#This Row],[Effective Length Factor Ky]]*Reinforcements[[#This Row],[Lu (in)]]/(Reinforcements[[#This Row],[ry]]*PI())*SQRT(VLOOKUP(Reinforcements[[#This Row],[Material]],Materials[],2,FALSE)/29000)</f>
        <v>0.20881342702372435</v>
      </c>
      <c r="CL13" s="187">
        <f>IF(Reinforcements[[#This Row],[λcx]]&lt;=1.5,0.658^(Reinforcements[[#This Row],[λcx]]^2)*Reinforcements[[#This Row],[F''y]],0.877/(Reinforcements[[#This Row],[λcx]]^2)*Reinforcements[[#This Row],[F''y]])</f>
        <v>46.625839044509597</v>
      </c>
      <c r="CM13" s="187">
        <f>IF(Reinforcements[[#This Row],[λcy]]&lt;=1.5,0.658^(Reinforcements[[#This Row],[λcy]]^2)*Reinforcements[[#This Row],[F''y]],0.877/(Reinforcements[[#This Row],[λcy]]^2)*Reinforcements[[#This Row],[F''y]])</f>
        <v>63.824504474805018</v>
      </c>
      <c r="CN13" s="185">
        <f>VLOOKUP(Reinforcements[[#This Row],[Material]],Materials[],2,FALSE)</f>
        <v>65</v>
      </c>
      <c r="CO13" s="197">
        <f>IF(Reinforcements[[#This Row],[Reinforcement]]="","",Reinforcements[[#This Row],[Fax]]*Reinforcements[[#This Row],[Gross Area (in2)]])</f>
        <v>83.51084774656897</v>
      </c>
      <c r="CP13" s="197">
        <f>IF(Reinforcements[[#This Row],[Reinforcement]]="","",Reinforcements[[#This Row],[Fay]]*Reinforcements[[#This Row],[Gross Area (in2)]])</f>
        <v>112.0298027001612</v>
      </c>
      <c r="CQ13" s="197">
        <f>IF(Reinforcements[[#This Row],[Reinforcement]]="","",0.6*VLOOKUP(Reinforcements[[#This Row],[Material]],Materials[],2,FALSE)*Reinforcements[[#This Row],[Gross Area (in2)]])</f>
        <v>117</v>
      </c>
      <c r="CR13" s="197">
        <f>IF(Reinforcements[[#This Row],[Reinforcement]]="","",0.5*VLOOKUP(Reinforcements[[#This Row],[Material]],Materials[],3,FALSE)*Reinforcements[[#This Row],[Net Area (in2)]]*Reinforcements[[#This Row],[Shear Lag (U)]])</f>
        <v>82.5</v>
      </c>
      <c r="CS13" s="197">
        <f>IF(Reinforcements[[#This Row],[Reinforcement]]="","",0.4*VLOOKUP(Reinforcements[[#This Row],[Material]],Materials[],2,FALSE)*Reinforcements[[#This Row],[Gross Area (in2)]])</f>
        <v>78</v>
      </c>
      <c r="CT13"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13"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13"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13"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13"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13"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13"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493.22834645669298</v>
      </c>
      <c r="DA13"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552.75590551181108</v>
      </c>
      <c r="DB13"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493.22834645669298</v>
      </c>
      <c r="DC13"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552.75590551181108</v>
      </c>
      <c r="DD13"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3"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3" s="190" t="str">
        <f>IF($AZ13="Yes",DD13,IF(Reinforcements[[#This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3" s="190" t="str">
        <f>IF($AZ13="Yes",DE13,IF(Reinforcements[[#This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3" s="197">
        <f>IF(Reinforcements[[#This Row],[Reinforcement]]="","",φ_c*Reinforcements[[#This Row],[Fcr,x]]*Reinforcements[[#This Row],[Gross Area (in2)]])</f>
        <v>125.88976542017591</v>
      </c>
      <c r="DI13" s="197">
        <f>IF(Reinforcements[[#This Row],[Reinforcement]]="","",φ_c*Reinforcements[[#This Row],[Fcr,y]]*Reinforcements[[#This Row],[Gross Area (in2)]])</f>
        <v>172.32616208197356</v>
      </c>
      <c r="DJ13" s="197">
        <f>IF(Reinforcements[[#This Row],[Reinforcement]]="","",φ_t_y*VLOOKUP(Reinforcements[[#This Row],[Material]],Materials[],2,FALSE)*Reinforcements[[#This Row],[Gross Area (in2)]])</f>
        <v>175.5</v>
      </c>
      <c r="DK13" s="197">
        <f>IF(Reinforcements[[#This Row],[Reinforcement]]="","",φ_t_r*VLOOKUP(Reinforcements[[#This Row],[Material]],Materials[],3,FALSE)*Reinforcements[[#This Row],[Net Area (in2)]]*Reinforcements[[#This Row],[Shear Lag (U)]])</f>
        <v>123.75</v>
      </c>
      <c r="DL13" s="197">
        <f>IF(Reinforcements[[#This Row],[Reinforcement]]="","",φ_v*0.5*Reinforcements[[#This Row],[F''y]]*Reinforcements[[#This Row],[Gross Area (in2)]])</f>
        <v>87.75</v>
      </c>
      <c r="DM13"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13"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13"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13"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13"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13"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13"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717.73228346456699</v>
      </c>
      <c r="DT13"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897.16535433070862</v>
      </c>
      <c r="DU13"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717.73228346456699</v>
      </c>
      <c r="DV13"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897.16535433070862</v>
      </c>
      <c r="DW13"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3"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3" s="190" t="str">
        <f>IF($AZ13="Yes",DW13,IF(Reinforcements[[#This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3" s="190" t="str">
        <f>IF($AZ13="Yes",DX13,IF(Reinforcements[[#This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3" s="241" t="str">
        <f>IF(OR(Reinforcements[[#This Row],[Type]]="plate",Reinforcements[[#This Row],[Type]]="solid round"),"N/A",Reinforcements[[#This Row],[B (in)]])</f>
        <v>N/A</v>
      </c>
      <c r="EB13" s="237" t="str">
        <f>IF(OR(Reinforcements[[#This Row],[Type]]="plate",Reinforcements[[#This Row],[Type]]="solid round"),"N/A",Reinforcements[[#This Row],[H (in)]])</f>
        <v>N/A</v>
      </c>
      <c r="EC13" s="237" t="str">
        <f>IF(OR(Reinforcements[[#This Row],[Type]]="plate",Reinforcements[[#This Row],[Type]]="solid round"),"N/A",Reinforcements[[#This Row],[B (in)]]-Reinforcements[[#This Row],['[Channel'] Flange Thickness (in)]])</f>
        <v>N/A</v>
      </c>
      <c r="ED13" s="237" t="str">
        <f>IF(OR(Reinforcements[[#This Row],[Type]]="plate",Reinforcements[[#This Row],[Type]]="solid round"),"N/A",Reinforcements[[#This Row],['[Channel']Web Thickness (in)]])</f>
        <v>N/A</v>
      </c>
      <c r="EE13" s="237" t="str">
        <f>IF(OR(Reinforcements[[#This Row],[Type]]="plate",Reinforcements[[#This Row],[Type]]="solid round"),"N/A",Reinforcements[[#This Row],['[Channel'] Flange Thickness (in)]])</f>
        <v>N/A</v>
      </c>
      <c r="EF13" s="237" t="str">
        <f>IF(Reinforcements[[#This Row],[Type]]="channel",Reinforcements[[#This Row],[Channel Flange Width, b]]/Reinforcements[[#This Row],[Channel flange thickness, tf]],"N/A")</f>
        <v>N/A</v>
      </c>
      <c r="EG13" s="237" t="str">
        <f>IF(Reinforcements[[#This Row],[Type]]="channel",Reinforcements[[#This Row],[Channel inside depth, T]]/Reinforcements[[#This Row],[Channel web thickness, tw]],"N/A")</f>
        <v>N/A</v>
      </c>
      <c r="EH13" s="237">
        <v>29000</v>
      </c>
      <c r="EI13" s="237" t="str">
        <f>IF(Reinforcements[[#This Row],[Type]]="channel",0.56*SQRT(Reinforcements[[#This Row],[E, (ksi)]]/Reinforcements[[#This Row],[Fy, (ksi)]]),"N/A")</f>
        <v>N/A</v>
      </c>
      <c r="EJ13" s="237" t="str">
        <f>IF(Reinforcements[[#This Row],[Type]]="channel",1.49*SQRT(Reinforcements[[#This Row],[E, (ksi)]]/Reinforcements[[#This Row],[Fy, (ksi)]]),"N/A")</f>
        <v>N/A</v>
      </c>
      <c r="EK13" s="237">
        <f>VLOOKUP(Reinforcements[[#This Row],[Material]],Materials!$B$2:$C$30,2,FALSE)</f>
        <v>65</v>
      </c>
      <c r="EL13" s="237">
        <f>Reinforcements[[#This Row],[Lu (in)]]*Reinforcements[[#This Row],[Effective Length Factor Kx]]</f>
        <v>12.8</v>
      </c>
      <c r="EM13" s="237">
        <f>Reinforcements[[#This Row],[Lu (in)]]*Reinforcements[[#This Row],[Effective Length Factor Ky]]</f>
        <v>16</v>
      </c>
      <c r="EN13" s="237">
        <f>Reinforcements[[#This Row],[rx]]</f>
        <v>0.21650635094610965</v>
      </c>
      <c r="EO13" s="237">
        <f>Reinforcements[[#This Row],[ry]]</f>
        <v>1.1547005383792515</v>
      </c>
      <c r="EP13" s="237">
        <f>Reinforcements[[#This Row],[Lcx (in)]]/Reinforcements[[#This Row],[rx (in)]]</f>
        <v>59.120667565017683</v>
      </c>
      <c r="EQ13" s="237">
        <f>Reinforcements[[#This Row],[Lcy (in)]]/Reinforcements[[#This Row],[ry (in)]]</f>
        <v>13.856406460551019</v>
      </c>
      <c r="ER13" s="237">
        <f>((PI()^2)*Reinforcements[[#This Row],[E, (ksi)]])/(Reinforcements[[#This Row],[Lcx/rx]]^2)</f>
        <v>81.887777604558366</v>
      </c>
      <c r="ES13" s="237">
        <f>((PI()^2)*Reinforcements[[#This Row],[E, (ksi)]])/(Reinforcements[[#This Row],[Lcy/ry]]^2)</f>
        <v>1490.7214980812048</v>
      </c>
      <c r="ET13" s="237">
        <f>4.71*(SQRT(Reinforcements[[#This Row],[E, (ksi)]]/Reinforcements[[#This Row],[Fy, (ksi)]]))</f>
        <v>99.486288193205496</v>
      </c>
      <c r="EU13" s="237">
        <f>IF(Reinforcements[[#This Row],[Lcx/rx]]&lt;=Reinforcements[[#This Row],[Fcr Limit]],(0.658^(Reinforcements[[#This Row],[Fy, (ksi)]]/Reinforcements[[#This Row],[Fex, FB (ksi)]]))*Reinforcements[[#This Row],[Fy, (ksi)]],0.877*Reinforcements[[#This Row],[Fex, FB (ksi)]])</f>
        <v>46.625839044509597</v>
      </c>
      <c r="EV13" s="237">
        <f>IF(Reinforcements[[#This Row],[Lcy/ry]]&lt;=Reinforcements[[#This Row],[Fcr Limit]],(0.658^(Reinforcements[[#This Row],[Fy, (ksi)]]/Reinforcements[[#This Row],[Fey, FB (ksi)]]))*Reinforcements[[#This Row],[Fy, (ksi)]],0.877*Reinforcements[[#This Row],[Fey, FB (ksi)]])</f>
        <v>63.824504474805018</v>
      </c>
      <c r="EW13" s="237">
        <f>Reinforcements[[#This Row],[Fcrx (ksi)]]*Reinforcements[[#This Row],[Gross Area (in2)]]</f>
        <v>139.87751713352878</v>
      </c>
      <c r="EX13" s="237">
        <f>Reinforcements[[#This Row],[Fcry (ksi)]]*Reinforcements[[#This Row],[Gross Area (in2)]]</f>
        <v>191.47351342441505</v>
      </c>
      <c r="EY13" s="237" t="str">
        <f>IF(Reinforcements[[#This Row],[Type]]="channel",0,"N/A")</f>
        <v>N/A</v>
      </c>
      <c r="EZ13" s="237" t="str">
        <f>IF(Reinforcements[[#This Row],[Type]]="channel",Reinforcements[[#This Row],[Channel Flange Width, b]]-(0.5*Reinforcements[[#This Row],[Channel web thickness, tw]]),"N/A")</f>
        <v>N/A</v>
      </c>
      <c r="FA13" s="237" t="str">
        <f>IF(Reinforcements[[#This Row],[Type]]="channel",Reinforcements[[#This Row],[Channel Height, h]]-Reinforcements[[#This Row],[Channel flange thickness, tf]],"N/A")</f>
        <v>N/A</v>
      </c>
      <c r="FB13" s="237" t="str">
        <f>IF(Reinforcements[[#This Row],[Type]]="channel",Reinforcements[[#This Row],[Channel web thickness, tw]],"N/A")</f>
        <v>N/A</v>
      </c>
      <c r="FC13" s="237" t="str">
        <f>IF(Reinforcements[[#This Row],[Type]]="channel",((3*Reinforcements[[#This Row],[b]]^2)/(Reinforcements[[#This Row],[h]]+(6*Reinforcements[[#This Row],[b]])))-Reinforcements[[#This Row],[t]]/2,"N/A")</f>
        <v>N/A</v>
      </c>
      <c r="FD13" s="237">
        <f>Reinforcements[[#This Row],[Pole Face to Centroid (in)]]</f>
        <v>0.375</v>
      </c>
      <c r="FE13" s="237" t="str">
        <f>IF(Reinforcements[[#This Row],[Type]]="channel",Reinforcements[[#This Row],[x(bar)]]+Reinforcements[[#This Row],['[Channel'] e0 (in)]],"N/A")</f>
        <v>N/A</v>
      </c>
      <c r="FF13" s="237" t="str">
        <f>IF(Reinforcements[[#This Row],[Type]]="channel",Reinforcements[[#This Row],[Ix]],"N/A")</f>
        <v>N/A</v>
      </c>
      <c r="FG13" s="237" t="str">
        <f>IF(Reinforcements[[#This Row],[Type]]="channel",Reinforcements[[#This Row],[Iy]],"N/A")</f>
        <v>N/A</v>
      </c>
      <c r="FH13" s="237" t="str">
        <f>IF(Reinforcements[[#This Row],[Type]]="channel",Reinforcements[[#This Row],[Gross Area (in2)]],"N/A")</f>
        <v>N/A</v>
      </c>
      <c r="FI13" s="237" t="str">
        <f>IF(Reinforcements[[#This Row],[Type]]="channel",(Reinforcements[[#This Row],[xo]]^2)+((Reinforcements[[#This Row],[Ix (FTB)]]+Reinforcements[[#This Row],[Iy (FTB)]])/Reinforcements[[#This Row],[Ag]]),"N/A")</f>
        <v>N/A</v>
      </c>
      <c r="FJ13" s="237" t="str">
        <f>IF(Reinforcements[[#This Row],[Type]]="channel",Reinforcements[[#This Row],[Lu (in)]],"N/A")</f>
        <v>N/A</v>
      </c>
      <c r="FK13" s="237" t="str">
        <f>IF(Reinforcements[[#This Row],[Type]]="channel",Reinforcements[[#This Row],[Effective Length Factor Kx]],"N/A")</f>
        <v>N/A</v>
      </c>
      <c r="FL13" s="237" t="str">
        <f>IF(Reinforcements[[#This Row],[Type]]="channel",Reinforcements[[#This Row],[Kz]]*Reinforcements[[#This Row],[Lz]],"N/A")</f>
        <v>N/A</v>
      </c>
      <c r="FM13" s="237" t="str">
        <f>IF(Reinforcements[[#This Row],[Type]]="channel",(((Reinforcements[[#This Row],[t]]^3)/3)*(Reinforcements[[#This Row],[h]]+(2*Reinforcements[[#This Row],[b]]))),"N/A")</f>
        <v>N/A</v>
      </c>
      <c r="FN13" s="237" t="str">
        <f>IF(Reinforcements[[#This Row],[Type]]="channel",(1-(((Reinforcements[[#This Row],[xo]]^2)+(Reinforcements[[#This Row],[yo]]^2))/Reinforcements[[#This Row],[ro^2(bar)]])),"N/A")</f>
        <v>N/A</v>
      </c>
      <c r="FO13" s="237">
        <v>11200</v>
      </c>
      <c r="FP13" s="237" t="str">
        <f>IF(Reinforcements[[#This Row],[Type]]="channel",(((Reinforcements[[#This Row],[h]]^2)*(Reinforcements[[#This Row],[b]]^3)*Reinforcements[[#This Row],[t]])/12)*(((2*Reinforcements[[#This Row],[h]])+(3*Reinforcements[[#This Row],[b]]))/(Reinforcements[[#This Row],[h]]+(6*Reinforcements[[#This Row],[b]]))),"N/A")</f>
        <v>N/A</v>
      </c>
      <c r="FQ13" s="237" t="str">
        <f>IF(Reinforcements[[#This Row],[Type]]="Channel",((((PI()^2)*Reinforcements[[#This Row],[E, (ksi)]]*Reinforcements[[#This Row],['[Channel'] CW (in6)]])/(Reinforcements[[#This Row],[Lcz]]^2))+(Reinforcements[[#This Row],[G]]*Reinforcements[[#This Row],['[Channel'] J (in4)]]))*(1/(Reinforcements[[#This Row],[Ag]]*Reinforcements[[#This Row],[ro^2(bar)]])),"N/A")</f>
        <v>N/A</v>
      </c>
      <c r="FR13" s="237" t="str">
        <f>IF(Reinforcements[[#This Row],[Type]]="channel",((PI()^2)*Reinforcements[[#This Row],[E, (ksi)]])/(Reinforcements[[#This Row],[Lcy/ry]]^2),"N/A")</f>
        <v>N/A</v>
      </c>
      <c r="FS13" s="237" t="str">
        <f>IF(Reinforcements[[#This Row],[Type]]="channel",((Reinforcements[[#This Row],[Fey]]+Reinforcements[[#This Row],[Fez]])/(2*Reinforcements[[#This Row],[H2]]))*(1-SQRT(1-((4*Reinforcements[[#This Row],[Fey]]*Reinforcements[[#This Row],[Fez]]*Reinforcements[[#This Row],[H2]])/(Reinforcements[[#This Row],[Fey]]+Reinforcements[[#This Row],[Fez]])^2))),"N/A")</f>
        <v>N/A</v>
      </c>
      <c r="FT13" s="237" t="str">
        <f>IF(Reinforcements[[#This Row],[Type]]="channel",IF(Reinforcements[[#This Row],[Lcx/rx]]&gt;(4.71*SQRT(Reinforcements[[#This Row],[E, (ksi)]]/Reinforcements[[#This Row],[Fy, (ksi)]])),0.877*Reinforcements[[#This Row],[Fe (FTB)]],0.658^(Reinforcements[[#This Row],[Fy, (ksi)]]/Reinforcements[[#This Row],[Fe (FTB)]])*Reinforcements[[#This Row],[Fy, (ksi)]]),"N/A")</f>
        <v>N/A</v>
      </c>
      <c r="FU13" s="237" t="str">
        <f>IF(Reinforcements[[#This Row],[Type]]="channel",MIN(Reinforcements[[#This Row],[Fcr(FTB)]],Reinforcements[[#This Row],[Fcry (ksi)]]),"N/A")</f>
        <v>N/A</v>
      </c>
      <c r="FV13" s="237">
        <v>0.22</v>
      </c>
      <c r="FW13" s="237">
        <v>1.49</v>
      </c>
      <c r="FX13" s="237" t="str">
        <f>IF(Reinforcements[[#This Row],[Type]]="channel",((Reinforcements[[#This Row],[c2]]*(Reinforcements[[#This Row],[λrf]]/Reinforcements[[#This Row],[λf]]))^2)*Reinforcements[[#This Row],[Fy, (ksi)]],"N/A")</f>
        <v>N/A</v>
      </c>
      <c r="FY13" s="237" t="str">
        <f>IF(Reinforcements[[#This Row],[Type]]="channel",((Reinforcements[[#This Row],[c2]]*(Reinforcements[[#This Row],[λrw]]/Reinforcements[[#This Row],[λw]]))^2)*Reinforcements[[#This Row],[Fy, (ksi)]],"N/A")</f>
        <v>N/A</v>
      </c>
      <c r="FZ13"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3"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3"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3" s="237" t="str">
        <f>IF(Reinforcements[[#This Row],[Type]]="channel",Reinforcements[[#This Row],[Fcr]]*Reinforcements[[#This Row],[Ae]],"N/A")</f>
        <v>N/A</v>
      </c>
      <c r="GD13" s="466">
        <f>IF(Reinforcements[[#This Row],[Reinforcement]]="","",φ_c*Reinforcements[[#This Row],[Pnx, FB (kip)]])</f>
        <v>125.88976542017591</v>
      </c>
      <c r="GE13" s="466">
        <f>IF(Reinforcements[[#This Row],[Reinforcement]]="","",IF(Reinforcements[[#This Row],[Type]]="channel",φ_c*Reinforcements[[#This Row],[Pn]],φ_c*Reinforcements[[#This Row],[Pny, FB (kip)]]))</f>
        <v>172.32616208197354</v>
      </c>
      <c r="GF13" s="466">
        <f>Reinforcements[[#This Row],[Rev. G Tension Yield Capacity (kips)]]</f>
        <v>175.5</v>
      </c>
      <c r="GG13" s="466">
        <f>Reinforcements[[#This Row],[Rev. G Tension Rupture Capacity (kips)]]</f>
        <v>123.75</v>
      </c>
      <c r="GH13" s="466">
        <f>Reinforcements[[#This Row],[Rev. G Shear Capacity (kips)]]</f>
        <v>87.75</v>
      </c>
      <c r="GI13" s="466">
        <f>IFERROR((Reinforcements[[#This Row],['# of End Connection Bolts          (Bottom)]]-1)*Reinforcements[[#This Row],[End Connection Bolt Spacing (in) (B)]],"-")</f>
        <v>15</v>
      </c>
      <c r="GJ13" s="466">
        <f>IFERROR(IF(VLOOKUP(Reinforcements[[#This Row],[Bottom End Connection Bolt Type]],Bolts[],COLUMN(Bolts[[#Headers],[Rev. H Apply Connection Length Reduction Factor (Rb)?]])-1,FALSE)="Yes",(IF(Reinforcements[[#This Row],[Lb(bottom)]]&lt;=16,1,IF(Reinforcements[[#This Row],[Lb(bottom)]]&gt;38,0.75,0.9))),1),"-")</f>
        <v>1</v>
      </c>
      <c r="GK13"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13" s="466">
        <f>IFERROR(IF(Reinforcements[[#This Row],[Top End Connection Same?]]="Yes",Reinforcements[[#This Row],[Lb(bottom)]],(Reinforcements[[#This Row],['# of End Connection Bolts          (Top)]]-1)*Reinforcements[[#This Row],[End Connection Bolt Spacing (in) (T)]]),"-")</f>
        <v>15</v>
      </c>
      <c r="GM13" s="466">
        <f>IFERROR(IF(VLOOKUP(Reinforcements[[#This Row],[Top End Connection Bolt Type]],Bolts[],COLUMN(Bolts[[#Headers],[Rev. H Apply Connection Length Reduction Factor (Rb)?]])-1,FALSE)="Yes",(IF(Reinforcements[[#This Row],[Lb(top)]]&lt;=16,1,IF(Reinforcements[[#This Row],[Lb(top)]]&gt;38,0.75,0.9))),1),"-")</f>
        <v>1</v>
      </c>
      <c r="GN13"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13" s="466">
        <f>Reinforcements[[#This Row],[Rev. G Bolt-Shaft Bearing Capacity (Bottom)                No Deformation          (*t*Fu kips)]]</f>
        <v>11.96220472440945</v>
      </c>
      <c r="GP13" s="466">
        <f>Reinforcements[[#This Row],[Rev. G Bolt-Shaft Bearing Capacity (Bottom)                   Deformation          (*t*Fu kips)]]</f>
        <v>14.952755905511811</v>
      </c>
      <c r="GQ13" s="466">
        <f>Reinforcements[[#This Row],[Rev. G Bolt-Shaft Bearing Capacity (Top)                    No Deformation          (*t*Fu kips)]]</f>
        <v>11.96220472440945</v>
      </c>
      <c r="GR13" s="466">
        <f>Reinforcements[[#This Row],[Rev. G Bolt-Shaft Bearing Capacity (Top)                        Deformation          (*t*Fu kips)]]</f>
        <v>14.952755905511811</v>
      </c>
      <c r="GS13" s="466">
        <f>Reinforcements[[#This Row],[Rev. G Bolt-Reinf. Bearing Capacity (Bottom)            No Deformation (kips)]]</f>
        <v>717.73228346456699</v>
      </c>
      <c r="GT13" s="466">
        <f>Reinforcements[[#This Row],[Rev. G Bolt-Reinf. Bearing Capacity (Bottom)               Deformation (kips)]]</f>
        <v>897.16535433070862</v>
      </c>
      <c r="GU13" s="466">
        <f>Reinforcements[[#This Row],[Rev. G Bolt-Reinf. Bearing Capacity (Top)                  No Deformation (kips)]]</f>
        <v>717.73228346456699</v>
      </c>
      <c r="GV13" s="466">
        <f>Reinforcements[[#This Row],[Rev. G Bolt-Reinf. Bearing Capacity (Top)               Deformation (kips)]]</f>
        <v>897.16535433070862</v>
      </c>
      <c r="GW13" s="466" t="str">
        <f>Reinforcements[[#This Row],[Rev. G Bottom Transverse Weld Strength]]</f>
        <v>-</v>
      </c>
      <c r="GX13" s="466" t="str">
        <f>Reinforcements[[#This Row],[Rev. G Bottom Longitudinal Weld Strength]]</f>
        <v>-</v>
      </c>
      <c r="GY13" s="466" t="str">
        <f>Reinforcements[[#This Row],[Rev. G Top Transverse Weld Strength]]</f>
        <v>-</v>
      </c>
      <c r="GZ13" s="466" t="str">
        <f>Reinforcements[[#This Row],[Rev. G Top Longitudinal Weld Strength]]</f>
        <v>-</v>
      </c>
      <c r="HA13" s="552">
        <v>11</v>
      </c>
      <c r="HB13"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4" spans="2:210" x14ac:dyDescent="0.2">
      <c r="B14" s="243" t="s">
        <v>866</v>
      </c>
      <c r="C14" s="72" t="s">
        <v>146</v>
      </c>
      <c r="D14" s="185">
        <v>4</v>
      </c>
      <c r="E14" s="185">
        <v>1.25</v>
      </c>
      <c r="F14" s="185" t="str">
        <f>IF(Reinforcements[[#This Row],[Type]]="","",IF(Reinforcements[[#This Row],[Type]]="solid round","","n/a"))</f>
        <v>n/a</v>
      </c>
      <c r="G14" s="185" t="str">
        <f>IF(Reinforcements[[#This Row],[Type]]="","",IF(Reinforcements[[#This Row],[Type]]&lt;&gt;"channel","n/a",""))</f>
        <v>n/a</v>
      </c>
      <c r="H14" s="185" t="str">
        <f>IF(Reinforcements[[#This Row],[Type]]="","",IF(Reinforcements[[#This Row],[Type]]&lt;&gt;"channel","n/a",""))</f>
        <v>n/a</v>
      </c>
      <c r="I14" s="197" t="str">
        <f>IF(Reinforcements[[#This Row],[Type]]="","",IF(Reinforcements[[#This Row],[Type]]&lt;&gt;"channel","n/a",Reinforcements[[#This Row],[eo]]))</f>
        <v>n/a</v>
      </c>
      <c r="J14" s="197" t="str">
        <f>IF(Reinforcements[[#This Row],[Type]]="","",IF(Reinforcements[[#This Row],[Type]]&lt;&gt;"channel","n/a",Reinforcements[[#This Row],[J]]))</f>
        <v>n/a</v>
      </c>
      <c r="K14" s="197" t="str">
        <f>IF(Reinforcements[[#This Row],[Type]]="","",IF(Reinforcements[[#This Row],[Type]]&lt;&gt;"channel","n/a",Reinforcements[[#This Row],[Cw]]))</f>
        <v>n/a</v>
      </c>
      <c r="L14" s="185">
        <f>IFERROR(IF(Reinforcements[[#This Row],[Type]]="","",IF(Reinforcements[[#This Row],[Type]]="plate",Reinforcements[[#This Row],[B (in)]]*Reinforcements[[#This Row],[H (in)]],IF(Reinforcements[[#This Row],[Type]]="solid round",PI()/4*Reinforcements[[#This Row],[Diameter (in)]]^2,""))),"")</f>
        <v>5</v>
      </c>
      <c r="M14" s="185">
        <f>IFERROR(IF(Reinforcements[[#This Row],[Type]]="","",IF(Reinforcements[[#This Row],[Type]]="plate",Reinforcements[[#This Row],[H (in)]]/2,"")),"")</f>
        <v>0.625</v>
      </c>
      <c r="N14" s="199" t="s">
        <v>297</v>
      </c>
      <c r="O14" s="192" t="s">
        <v>60</v>
      </c>
      <c r="P14" s="187">
        <f>IFERROR(IF(Reinforcements[[#This Row],[Type]]="","",IF(Reinforcements[[#This Row],[Type]]="plate",Reinforcements[[#This Row],[B (in)]]*Reinforcements[[#This Row],[H (in)]]^3/12,IF(Reinforcements[[#This Row],[Type]]="solid round",PI()/64*Reinforcements[[#This Row],[Diameter (in)]]^4,""))),"")</f>
        <v>0.65104166666666663</v>
      </c>
      <c r="Q14" s="187">
        <f>IF(Reinforcements[[#This Row],[Reinforcement]]="","",SQRT(Reinforcements[[#This Row],[Ix]]/Reinforcements[[#This Row],[Gross Area (in2)]]))</f>
        <v>0.36084391824351608</v>
      </c>
      <c r="R14" s="187">
        <f>IFERROR(IF(Reinforcements[[#This Row],[Type]]="","",IF(Reinforcements[[#This Row],[Type]]="plate",Reinforcements[[#This Row],[B (in)]]^3*Reinforcements[[#This Row],[H (in)]]/12,IF(Reinforcements[[#This Row],[Type]]="solid round",PI()/64*Reinforcements[[#This Row],[Diameter (in)]]^4,""))),"")</f>
        <v>6.666666666666667</v>
      </c>
      <c r="S14" s="187">
        <f>IF(Reinforcements[[#This Row],[Reinforcement]]="","",SQRT(Reinforcements[[#This Row],[Iy]]/Reinforcements[[#This Row],[Gross Area (in2)]]))</f>
        <v>1.1547005383792517</v>
      </c>
      <c r="T14" s="190">
        <v>27</v>
      </c>
      <c r="U14" s="188">
        <v>0.8</v>
      </c>
      <c r="V14" s="188">
        <v>1</v>
      </c>
      <c r="W14" s="185">
        <v>1.1875</v>
      </c>
      <c r="X14" s="188">
        <f>IF(Reinforcements[[#This Row],[Bolt Hole Size (in)]]="","",IF(Reinforcements[[#This Row],[Bolt Hole Size (in)]]="n/a","n/a",Reinforcements[[#This Row],[Bolt Hole Size (in)]]*25.4))</f>
        <v>30.162499999999998</v>
      </c>
      <c r="Y14"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3.4375</v>
      </c>
      <c r="Z14" s="185">
        <f>IFERROR(IF(Reinforcements[[#This Row],[Reinforcement]]="","",IF(OR(Reinforcements[[#This Row],[Type]]="plate",Reinforcements[[#This Row],[Type]]="solid round"),1,IF(Reinforcements[[#This Row],[Type]]="arbitrary","",1-Reinforcements[[#This Row],[Pole Face to Centroid (in)]]/Reinforcements[[#This Row],[Connection Length (in) '[Channels']]]))),"")</f>
        <v>1</v>
      </c>
      <c r="AA14" s="527" t="s">
        <v>391</v>
      </c>
      <c r="AB14" s="189" t="str">
        <f>IF(Reinforcements[[#This Row],[Reinforcement]]="","",IF(Reinforcements[[#This Row],[Bottom End Connection Type]]&lt;&gt;"Capacity Input","-",""))</f>
        <v>-</v>
      </c>
      <c r="AC14" s="189" t="str">
        <f>IF(Reinforcements[[#This Row],[Reinforcement]]="","",IF(Reinforcements[[#This Row],[Bottom End Connection Type]]&lt;&gt;"Capacity Input","-",""))</f>
        <v>-</v>
      </c>
      <c r="AD14" s="461" t="str">
        <f>IF(Reinforcements[[#This Row],[Reinforcement]]="","",IF(Reinforcements[[#This Row],[Bottom End Connection Type]]&lt;&gt;"Capacity Input","-",""))</f>
        <v>-</v>
      </c>
      <c r="AE14" s="103" t="s">
        <v>416</v>
      </c>
      <c r="AF14" s="190" t="s">
        <v>296</v>
      </c>
      <c r="AG14" s="190">
        <v>8</v>
      </c>
      <c r="AH14" s="190">
        <v>3</v>
      </c>
      <c r="AI14" s="190">
        <v>3</v>
      </c>
      <c r="AJ14" s="190">
        <f>Reinforcements[[#This Row],[End Connection Edge Distance (in) (B)]]-(Reinforcements[[#This Row],[Bolt Hole Size (in)]]+1/16)/2</f>
        <v>2.375</v>
      </c>
      <c r="AK14" s="190">
        <f>Reinforcements[[#This Row],[End Connection Bolt Spacing (in) (B)]]-(Reinforcements[[#This Row],[Bolt Hole Size (in)]]+1/16)</f>
        <v>1.75</v>
      </c>
      <c r="AL14" s="190">
        <f>Reinforcements[[#This Row],[End Connection Edge Distance (in) (B)]]</f>
        <v>3</v>
      </c>
      <c r="AM14" s="190">
        <f>Reinforcements[[#This Row],[End Connection Bolt Spacing (in) (B)]]</f>
        <v>3</v>
      </c>
      <c r="AN14" s="190" t="str">
        <f>IF(Reinforcements[[#This Row],[Reinforcement]]="","",IF(OR(Reinforcements[[#This Row],[Bottom End Connection Type]]="Bolted",Reinforcements[[#This Row],[Bottom End Connection Type]]=""),"-",""))</f>
        <v>-</v>
      </c>
      <c r="AO14" s="191" t="str">
        <f>IF(Reinforcements[[#This Row],[Reinforcement]]="","",IF(OR(Reinforcements[[#This Row],[Bottom End Connection Type]]="Bolted",Reinforcements[[#This Row],[Bottom End Connection Type]]=""),"-",""))</f>
        <v>-</v>
      </c>
      <c r="AP14" s="191" t="str">
        <f>IF(Reinforcements[[#This Row],[Reinforcement]]="","",IF(OR(Reinforcements[[#This Row],[Bottom End Connection Type]]="Bolted",Reinforcements[[#This Row],[Bottom End Connection Type]]=""),"-",""))</f>
        <v>-</v>
      </c>
      <c r="AQ14" s="191" t="str">
        <f>IF(OR(Reinforcements[[#This Row],[Bottom End Connection Type]]="Bolted",Reinforcements[[#This Row],[Bottom Transverse (Horizontal) Weld]]="none"),"-","")</f>
        <v>-</v>
      </c>
      <c r="AR1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4" s="191" t="str">
        <f>IF(OR(Reinforcements[[#This Row],[Bottom Transverse (Horizontal) Weld]]="none",Reinforcements[[#This Row],[Bottom End Connection Type]]="Bolted"),"-","")</f>
        <v>-</v>
      </c>
      <c r="AU14"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4" s="191" t="str">
        <f>IF(Reinforcements[[#This Row],[Reinforcement]]="","",IF(OR(Reinforcements[[#This Row],[Bottom End Connection Type]]="Bolted",Reinforcements[[#This Row],[Bottom End Connection Type]]=""),"-",""))</f>
        <v>-</v>
      </c>
      <c r="AW14" s="191" t="str">
        <f>IF(Reinforcements[[#This Row],[Reinforcement]]="","",IF(OR(Reinforcements[[#This Row],[Bottom End Connection Type]]&lt;&gt;"Welded",Reinforcements[[#This Row],[Bottom Longitudinal (Vertical) Weld]]="None",Reinforcements[[#This Row],[Bottom Longitudinal (Vertical) Weld]]=""),"-",""))</f>
        <v>-</v>
      </c>
      <c r="AX14" s="191" t="str">
        <f>IF(Reinforcements[[#This Row],[Reinforcement]]="","",IF(OR(Reinforcements[[#This Row],[Bottom End Connection Type]]&lt;&gt;"Welded",Reinforcements[[#This Row],[Bottom Longitudinal (Vertical) Weld]]="None",Reinforcements[[#This Row],[Bottom Longitudinal (Vertical) Weld]]=""),"-",""))</f>
        <v>-</v>
      </c>
      <c r="AY14" s="190" t="str">
        <f>IF(Reinforcements[[#This Row],[Reinforcement]]="","",IF(OR(Reinforcements[[#This Row],[Bottom End Connection Type]]&lt;&gt;"Welded",Reinforcements[[#This Row],[Bottom Longitudinal (Vertical) Weld]]="None"),"-",SQRT(2)/2*Reinforcements[[#This Row],[Bottom Longitudinal Weld Fillet Size (in)]]))</f>
        <v>-</v>
      </c>
      <c r="AZ14" s="190" t="s">
        <v>295</v>
      </c>
      <c r="BA14" s="189" t="str">
        <f>IF(Reinforcements[[#This Row],[Top End Connection Same?]]="Yes",Reinforcements[[#This Row],[Bottom End Connection Type]],"")</f>
        <v>Bolted</v>
      </c>
      <c r="BB14" s="189" t="str">
        <f>IF(Reinforcements[[#This Row],[Reinforcement]]="","",IF(Reinforcements[[#This Row],[Top End Connection Same?]]="Yes",Reinforcements[[#This Row],[Rev. F Bottom Connection Capacity (kips)]],IF(Reinforcements[[#This Row],[Reinforcement]]="","",IF(Reinforcements[[#This Row],[Top End Connection Type]]&lt;&gt;"Capacity Input","-",""))))</f>
        <v>-</v>
      </c>
      <c r="BC14" s="189" t="str">
        <f>IF(Reinforcements[[#This Row],[Reinforcement]]="","",IF(Reinforcements[[#This Row],[Top End Connection Same?]]="Yes",Reinforcements[[#This Row],[Rev. G Bottom Connection Capacity (kips)]],IF(Reinforcements[[#This Row],[Reinforcement]]="","",IF(Reinforcements[[#This Row],[Top End Connection Type]]&lt;&gt;"Capacity Input","-",""))))</f>
        <v>-</v>
      </c>
      <c r="BD14" s="461" t="str">
        <f>IF(Reinforcements[[#This Row],[Reinforcement]]="","",IF(Reinforcements[[#This Row],[Top End Connection Same?]]="Yes",Reinforcements[[#This Row],[Rev. G Bottom Connection Capacity (kips)]],IF(Reinforcements[[#This Row],[Reinforcement]]="","",IF(Reinforcements[[#This Row],[Top End Connection Type]]&lt;&gt;"Capacity Input","-",""))))</f>
        <v>-</v>
      </c>
      <c r="BE14" s="103" t="str">
        <f>IF(Reinforcements[[#This Row],[Top End Connection Same?]]="Yes",Reinforcements[[#This Row],[Bottom End Connection Bolt Type]],IF(Reinforcements[[#This Row],[Top End Connection Type]]="Welded","-",""))</f>
        <v>PC 8.8 - M20 (100)</v>
      </c>
      <c r="BF14" s="190" t="str">
        <f>IF(Reinforcements[[#This Row],[Top End Connection Same?]]="Yes",Reinforcements[[#This Row],[Threads Included (N) or Excluded (X) (Bottom)]],IF(Reinforcements[[#This Row],[Top End Connection Type]]="Welded","-",""))</f>
        <v>N</v>
      </c>
      <c r="BG14" s="190">
        <f>IF(Reinforcements[[#This Row],[Top End Connection Same?]]="Yes",Reinforcements[[#This Row],['# of End Connection Bolts          (Bottom)]],IF(Reinforcements[[#This Row],[Top End Connection Type]]="Welded","-",""))</f>
        <v>8</v>
      </c>
      <c r="BH14" s="190">
        <f>IF(Reinforcements[[#This Row],[Top End Connection Same?]]="Yes",Reinforcements[[#This Row],[End Connection Bolt Spacing (in) (B)]],IF(Reinforcements[[#This Row],[Top End Connection Type]]="Welded","-",""))</f>
        <v>3</v>
      </c>
      <c r="BI14" s="190">
        <f>IF(Reinforcements[[#This Row],[Top End Connection Same?]]="Yes",Reinforcements[[#This Row],[End Connection Edge Distance (in) (B)]],IF(Reinforcements[[#This Row],[Top End Connection Type]]="Welded","-",""))</f>
        <v>3</v>
      </c>
      <c r="BJ14" s="190">
        <f>Reinforcements[[#This Row],[End Connection Edge Distance (in) (T)]]-(Reinforcements[[#This Row],[Bolt Hole Size (in)]]+1/16)/2</f>
        <v>2.375</v>
      </c>
      <c r="BK14" s="190">
        <f>Reinforcements[[#This Row],[End Connection Bolt Spacing (in) (T)]]-(Reinforcements[[#This Row],[Bolt Hole Size (in)]]+1/16)</f>
        <v>1.75</v>
      </c>
      <c r="BL14" s="190">
        <f>Reinforcements[[#This Row],[End Connection Edge Distance (in) (T)]]</f>
        <v>3</v>
      </c>
      <c r="BM14" s="190">
        <f>Reinforcements[[#This Row],[End Connection Bolt Spacing (in) (T)]]</f>
        <v>3</v>
      </c>
      <c r="BN14" s="190" t="str">
        <f>IF(Reinforcements[[#This Row],[Reinforcement]]="","",IF(Reinforcements[[#This Row],[Top End Connection Same?]]="Yes",Reinforcements[[#This Row],[Bottom Connected to Flange/Base Plate?]],IF(Reinforcements[[#This Row],[Top End Connection Type]]="Bolted","-","")))</f>
        <v>-</v>
      </c>
      <c r="BO14" s="190" t="str">
        <f>IF(Reinforcements[[#This Row],[Reinforcement]]="","",IF(Reinforcements[[#This Row],[Top End Connection Same?]]="Yes",Reinforcements[[#This Row],[Bottom Weld Grade (ksi)]],IF(OR(Reinforcements[[#This Row],[Top End Connection Type]]&lt;&gt;"Welded",Reinforcements[[#This Row],[Top End Connection Type]]=""),"-","")))</f>
        <v>-</v>
      </c>
      <c r="BP14" s="190" t="str">
        <f>IF($AZ14="Yes",AP14,IF(Reinforcements[[#This Row],[Reinforcement]]="","",IF(OR(Reinforcements[[#This Row],[Top End Connection Type]]&lt;&gt;"Welded",Reinforcements[[#This Row],[Top End Connection Type]]=""),"-","")))</f>
        <v>-</v>
      </c>
      <c r="BQ14" s="190" t="str">
        <f>IF(Reinforcements[[#This Row],[Reinforcement]]="","",IF($AZ14="Yes",AQ14,IF(OR(Reinforcements[[#This Row],[Top End Connection Type]]&lt;&gt;"Welded",Reinforcements[[#This Row],[Top Transverse (Horizontal) Weld]]="none",Reinforcements[[#This Row],[Top Transverse (Horizontal) Weld]]=""),"-","")))</f>
        <v>-</v>
      </c>
      <c r="BR14" s="190" t="str">
        <f>IF($AZ14="Yes",AR14,IF(Reinforcements[[#This Row],[Reinforcement]]="","",IF(OR(Reinforcements[[#This Row],[Top Transverse (Horizontal) Weld]]="none",Reinforcements[[#This Row],[Top End Connection Type]]&lt;&gt;"Welded",Reinforcements[[#This Row],[Top Transverse (Horizontal) Weld]]="",Reinforcements[[#This Row],[Top Transverse (Horizontal) Weld]]="Fillet"),"-","")))</f>
        <v>-</v>
      </c>
      <c r="BS14" s="190" t="str">
        <f>IF($AZ14="Yes",AS14,IF(Reinforcements[[#This Row],[Reinforcement]]="","",IF(OR(Reinforcements[[#This Row],[Top Transverse (Horizontal) Weld]]="none",Reinforcements[[#This Row],[Top End Connection Type]]&lt;&gt;"Welded",Reinforcements[[#This Row],[Top Transverse (Horizontal) Weld]]="",Reinforcements[[#This Row],[Top Transverse (Horizontal) Weld]]="Fillet"),"-","")))</f>
        <v>-</v>
      </c>
      <c r="BT14" s="190" t="str">
        <f>IF(Reinforcements[[#This Row],[Reinforcement]]="","",IF($AZ14="Yes",AT14,IF(OR(Reinforcements[[#This Row],[Top Transverse (Horizontal) Weld]]="none",Reinforcements[[#This Row],[Top End Connection Type]]&lt;&gt;"Welded",Reinforcements[[#This Row],[Top Transverse (Horizontal) Weld]]=""),"-","")))</f>
        <v>-</v>
      </c>
      <c r="BU14" s="190" t="str">
        <f>IF($AZ14="Yes",AU14,IF(Reinforcements[[#This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4" s="190" t="str">
        <f>IF($AZ14="Yes",AV14,IF(Reinforcements[[#This Row],[Reinforcement]]="","",IF(OR(Reinforcements[[#This Row],[Top End Connection Type]]&lt;&gt;"Welded",Reinforcements[[#This Row],[Top End Connection Type]]=""),"-","")))</f>
        <v>-</v>
      </c>
      <c r="BW14" s="190" t="str">
        <f>IF($AZ14="Yes",AW14,IF(Reinforcements[[#This Row],[Reinforcement]]="","",IF(OR(Reinforcements[[#This Row],[Top End Connection Type]]&lt;&gt;"Welded",Reinforcements[[#This Row],[Top End Connection Type]]="",Reinforcements[[#This Row],[Top Longitudinal (Vertical) Weld]]="",Reinforcements[[#This Row],[Top Longitudinal (Vertical) Weld]]="None"),"-","")))</f>
        <v>-</v>
      </c>
      <c r="BX14" s="190" t="str">
        <f>IF($AZ14="Yes",AX14,IF(Reinforcements[[#This Row],[Reinforcement]]="","",IF(OR(Reinforcements[[#This Row],[Top End Connection Type]]&lt;&gt;"Welded",Reinforcements[[#This Row],[Top End Connection Type]]="",Reinforcements[[#This Row],[Top Longitudinal (Vertical) Weld]]="",Reinforcements[[#This Row],[Top Longitudinal (Vertical) Weld]]="None"),"-","")))</f>
        <v>-</v>
      </c>
      <c r="BY14" s="190" t="str">
        <f>IF($AZ14="Yes",AY14,IF(Reinforcements[[#This Row],[Reinforcement]]="","",IF(OR(Reinforcements[[#This Row],[Top End Connection Type]]&lt;&gt;"Welded",Reinforcements[[#This Row],[Top Longitudinal (Vertical) Weld]]="none"),"-",SQRT(2)/2*Reinforcements[[#This Row],[Top Longitudinal Weld Fillet Size (in)]])))</f>
        <v>-</v>
      </c>
      <c r="BZ14"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4" s="192">
        <f>IF(Reinforcements[[#This Row],[Reinforcement]]="","",IF(Reinforcements[[#This Row],[Bottom End Connection Type]]&lt;&gt;"Bolted","n/a",(Reinforcements[[#This Row],['# of End Connection Bolts          (Bottom)]]-1)*Reinforcements[[#This Row],[End Connection Bolt Spacing (in) (B)]]+Reinforcements[[#This Row],[End Connection Edge Distance (in) (B)]]))</f>
        <v>24</v>
      </c>
      <c r="CB14" s="192">
        <f>IF(Reinforcements[[#This Row],[Reinforcement]]="","",IF(Reinforcements[[#This Row],[Top End Connection Type]]&lt;&gt;"Bolted","n/a",(Reinforcements[[#This Row],['# of End Connection Bolts          (Top)]]-1)*Reinforcements[[#This Row],[End Connection Bolt Spacing (in) (T)]]+Reinforcements[[#This Row],[End Connection Edge Distance (in) (T)]]))</f>
        <v>24</v>
      </c>
      <c r="CC14"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14"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14" s="185">
        <f>IFERROR(IF(Reinforcements[[#This Row],[Type]]="","",Reinforcements[[#This Row],[Effective B (in)]]*Reinforcements[[#This Row],[Effective H (in)]]^3/12),"")</f>
        <v>0.65104166666666663</v>
      </c>
      <c r="CF14" s="185">
        <f>IFERROR(IF(Reinforcements[[#This Row],[Type]]="","",Reinforcements[[#This Row],[Effective B (in)]]^3*Reinforcements[[#This Row],[Effective H (in)]]/12),"")</f>
        <v>6.666666666666667</v>
      </c>
      <c r="CG14" s="197">
        <f>SQRT(2*PI()^2*29000/VLOOKUP(Reinforcements[[#This Row],[Material]],Materials[],2,FALSE))</f>
        <v>93.844147005158973</v>
      </c>
      <c r="CH14"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27.637499827371208</v>
      </c>
      <c r="CI14"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35.82264293544381</v>
      </c>
      <c r="CJ14" s="187">
        <f>Reinforcements[[#This Row],[Effective Length Factor Kx]]*Reinforcements[[#This Row],[Lu (in)]]/(Reinforcements[[#This Row],[rx]]*PI())*SQRT(VLOOKUP(Reinforcements[[#This Row],[Material]],Materials[],2,FALSE)/29000)</f>
        <v>0.90207400474248911</v>
      </c>
      <c r="CK14" s="187">
        <f>Reinforcements[[#This Row],[Effective Length Factor Ky]]*Reinforcements[[#This Row],[Lu (in)]]/(Reinforcements[[#This Row],[ry]]*PI())*SQRT(VLOOKUP(Reinforcements[[#This Row],[Material]],Materials[],2,FALSE)/29000)</f>
        <v>0.35237265810253476</v>
      </c>
      <c r="CL14" s="187">
        <f>IF(Reinforcements[[#This Row],[λcx]]&lt;=1.5,0.658^(Reinforcements[[#This Row],[λcx]]^2)*Reinforcements[[#This Row],[F''y]],0.877/(Reinforcements[[#This Row],[λcx]]^2)*Reinforcements[[#This Row],[F''y]])</f>
        <v>46.237777195184954</v>
      </c>
      <c r="CM14" s="187">
        <f>IF(Reinforcements[[#This Row],[λcy]]&lt;=1.5,0.658^(Reinforcements[[#This Row],[λcy]]^2)*Reinforcements[[#This Row],[F''y]],0.877/(Reinforcements[[#This Row],[λcy]]^2)*Reinforcements[[#This Row],[F''y]])</f>
        <v>61.70823202958254</v>
      </c>
      <c r="CN14" s="185">
        <f>VLOOKUP(Reinforcements[[#This Row],[Material]],Materials[],2,FALSE)</f>
        <v>65</v>
      </c>
      <c r="CO14" s="197">
        <f>IF(Reinforcements[[#This Row],[Reinforcement]]="","",Reinforcements[[#This Row],[Fax]]*Reinforcements[[#This Row],[Gross Area (in2)]])</f>
        <v>138.18749913685605</v>
      </c>
      <c r="CP14" s="197">
        <f>IF(Reinforcements[[#This Row],[Reinforcement]]="","",Reinforcements[[#This Row],[Fay]]*Reinforcements[[#This Row],[Gross Area (in2)]])</f>
        <v>179.11321467721905</v>
      </c>
      <c r="CQ14" s="197">
        <f>IF(Reinforcements[[#This Row],[Reinforcement]]="","",0.6*VLOOKUP(Reinforcements[[#This Row],[Material]],Materials[],2,FALSE)*Reinforcements[[#This Row],[Gross Area (in2)]])</f>
        <v>195</v>
      </c>
      <c r="CR14" s="197">
        <f>IF(Reinforcements[[#This Row],[Reinforcement]]="","",0.5*VLOOKUP(Reinforcements[[#This Row],[Material]],Materials[],3,FALSE)*Reinforcements[[#This Row],[Net Area (in2)]]*Reinforcements[[#This Row],[Shear Lag (U)]])</f>
        <v>137.5</v>
      </c>
      <c r="CS14" s="197">
        <f>IF(Reinforcements[[#This Row],[Reinforcement]]="","",0.4*VLOOKUP(Reinforcements[[#This Row],[Material]],Materials[],2,FALSE)*Reinforcements[[#This Row],[Gross Area (in2)]])</f>
        <v>130</v>
      </c>
      <c r="CT14"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14"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14"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14"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14"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14"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14"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1096.0629921259842</v>
      </c>
      <c r="DA14"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1221.259842519685</v>
      </c>
      <c r="DB14"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14"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1221.259842519685</v>
      </c>
      <c r="DD14"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4"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4" s="190" t="str">
        <f>IF($AZ14="Yes",DD14,IF(Reinforcements[[#This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4" s="190" t="str">
        <f>IF($AZ14="Yes",DE14,IF(Reinforcements[[#This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4" s="197">
        <f>IF(Reinforcements[[#This Row],[Reinforcement]]="","",φ_c*Reinforcements[[#This Row],[Fcr,x]]*Reinforcements[[#This Row],[Gross Area (in2)]])</f>
        <v>208.06999737833229</v>
      </c>
      <c r="DI14" s="197">
        <f>IF(Reinforcements[[#This Row],[Reinforcement]]="","",φ_c*Reinforcements[[#This Row],[Fcr,y]]*Reinforcements[[#This Row],[Gross Area (in2)]])</f>
        <v>277.68704413312145</v>
      </c>
      <c r="DJ14" s="197">
        <f>IF(Reinforcements[[#This Row],[Reinforcement]]="","",φ_t_y*VLOOKUP(Reinforcements[[#This Row],[Material]],Materials[],2,FALSE)*Reinforcements[[#This Row],[Gross Area (in2)]])</f>
        <v>292.5</v>
      </c>
      <c r="DK14" s="197">
        <f>IF(Reinforcements[[#This Row],[Reinforcement]]="","",φ_t_r*VLOOKUP(Reinforcements[[#This Row],[Material]],Materials[],3,FALSE)*Reinforcements[[#This Row],[Net Area (in2)]]*Reinforcements[[#This Row],[Shear Lag (U)]])</f>
        <v>206.25</v>
      </c>
      <c r="DL14" s="197">
        <f>IF(Reinforcements[[#This Row],[Reinforcement]]="","",φ_v*0.5*Reinforcements[[#This Row],[F''y]]*Reinforcements[[#This Row],[Gross Area (in2)]])</f>
        <v>146.25</v>
      </c>
      <c r="DM14"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14"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14"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14"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14"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14"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14"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T14"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1983.7795275590552</v>
      </c>
      <c r="DU14"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V14"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1983.7795275590552</v>
      </c>
      <c r="DW14"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4"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4" s="190" t="str">
        <f>IF($AZ14="Yes",DW14,IF(Reinforcements[[#This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4" s="190" t="str">
        <f>IF($AZ14="Yes",DX14,IF(Reinforcements[[#This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4" s="238" t="str">
        <f>IF(OR(Reinforcements[[#This Row],[Type]]="plate",Reinforcements[[#This Row],[Type]]="solid round"),"N/A",Reinforcements[[#This Row],[B (in)]])</f>
        <v>N/A</v>
      </c>
      <c r="EB14" s="236" t="str">
        <f>IF(OR(Reinforcements[[#This Row],[Type]]="plate",Reinforcements[[#This Row],[Type]]="solid round"),"N/A",Reinforcements[[#This Row],[H (in)]])</f>
        <v>N/A</v>
      </c>
      <c r="EC14" s="236" t="str">
        <f>IF(OR(Reinforcements[[#This Row],[Type]]="plate",Reinforcements[[#This Row],[Type]]="solid round"),"N/A",Reinforcements[[#This Row],[B (in)]]-Reinforcements[[#This Row],['[Channel'] Flange Thickness (in)]])</f>
        <v>N/A</v>
      </c>
      <c r="ED14" s="236" t="str">
        <f>IF(OR(Reinforcements[[#This Row],[Type]]="plate",Reinforcements[[#This Row],[Type]]="solid round"),"N/A",Reinforcements[[#This Row],['[Channel']Web Thickness (in)]])</f>
        <v>N/A</v>
      </c>
      <c r="EE14" s="236" t="str">
        <f>IF(OR(Reinforcements[[#This Row],[Type]]="plate",Reinforcements[[#This Row],[Type]]="solid round"),"N/A",Reinforcements[[#This Row],['[Channel'] Flange Thickness (in)]])</f>
        <v>N/A</v>
      </c>
      <c r="EF14" s="236" t="str">
        <f>IF(Reinforcements[[#This Row],[Type]]="channel",Reinforcements[[#This Row],[Channel Flange Width, b]]/Reinforcements[[#This Row],[Channel flange thickness, tf]],"N/A")</f>
        <v>N/A</v>
      </c>
      <c r="EG14" s="236" t="str">
        <f>IF(Reinforcements[[#This Row],[Type]]="channel",Reinforcements[[#This Row],[Channel inside depth, T]]/Reinforcements[[#This Row],[Channel web thickness, tw]],"N/A")</f>
        <v>N/A</v>
      </c>
      <c r="EH14" s="237">
        <v>29000</v>
      </c>
      <c r="EI14" s="237" t="str">
        <f>IF(Reinforcements[[#This Row],[Type]]="channel",0.56*SQRT(Reinforcements[[#This Row],[E, (ksi)]]/Reinforcements[[#This Row],[Fy, (ksi)]]),"N/A")</f>
        <v>N/A</v>
      </c>
      <c r="EJ14" s="237" t="str">
        <f>IF(Reinforcements[[#This Row],[Type]]="channel",1.49*SQRT(Reinforcements[[#This Row],[E, (ksi)]]/Reinforcements[[#This Row],[Fy, (ksi)]]),"N/A")</f>
        <v>N/A</v>
      </c>
      <c r="EK14" s="237">
        <f>VLOOKUP(Reinforcements[[#This Row],[Material]],Materials!$B$2:$C$30,2,FALSE)</f>
        <v>65</v>
      </c>
      <c r="EL14" s="237">
        <f>Reinforcements[[#This Row],[Lu (in)]]*Reinforcements[[#This Row],[Effective Length Factor Kx]]</f>
        <v>21.6</v>
      </c>
      <c r="EM14" s="237">
        <f>Reinforcements[[#This Row],[Lu (in)]]*Reinforcements[[#This Row],[Effective Length Factor Ky]]</f>
        <v>27</v>
      </c>
      <c r="EN14" s="237">
        <f>Reinforcements[[#This Row],[rx]]</f>
        <v>0.36084391824351608</v>
      </c>
      <c r="EO14" s="237">
        <f>Reinforcements[[#This Row],[ry]]</f>
        <v>1.1547005383792517</v>
      </c>
      <c r="EP14" s="237">
        <f>Reinforcements[[#This Row],[Lcx (in)]]/Reinforcements[[#This Row],[rx (in)]]</f>
        <v>59.859675909580403</v>
      </c>
      <c r="EQ14" s="237">
        <f>Reinforcements[[#This Row],[Lcy (in)]]/Reinforcements[[#This Row],[ry (in)]]</f>
        <v>23.382685902179841</v>
      </c>
      <c r="ER14" s="237">
        <f>((PI()^2)*Reinforcements[[#This Row],[E, (ksi)]])/(Reinforcements[[#This Row],[Lcx/rx]]^2)</f>
        <v>79.878338160215449</v>
      </c>
      <c r="ES14" s="237">
        <f>((PI()^2)*Reinforcements[[#This Row],[E, (ksi)]])/(Reinforcements[[#This Row],[Lcy/ry]]^2)</f>
        <v>523.4906769667881</v>
      </c>
      <c r="ET14" s="237">
        <f>4.71*(SQRT(Reinforcements[[#This Row],[E, (ksi)]]/Reinforcements[[#This Row],[Fy, (ksi)]]))</f>
        <v>99.486288193205496</v>
      </c>
      <c r="EU14" s="237">
        <f>IF(Reinforcements[[#This Row],[Lcx/rx]]&lt;=Reinforcements[[#This Row],[Fcr Limit]],(0.658^(Reinforcements[[#This Row],[Fy, (ksi)]]/Reinforcements[[#This Row],[Fex, FB (ksi)]]))*Reinforcements[[#This Row],[Fy, (ksi)]],0.877*Reinforcements[[#This Row],[Fex, FB (ksi)]])</f>
        <v>46.23777719518494</v>
      </c>
      <c r="EV14" s="237">
        <f>IF(Reinforcements[[#This Row],[Lcy/ry]]&lt;=Reinforcements[[#This Row],[Fcr Limit]],(0.658^(Reinforcements[[#This Row],[Fy, (ksi)]]/Reinforcements[[#This Row],[Fey, FB (ksi)]]))*Reinforcements[[#This Row],[Fy, (ksi)]],0.877*Reinforcements[[#This Row],[Fey, FB (ksi)]])</f>
        <v>61.70823202958254</v>
      </c>
      <c r="EW14" s="237">
        <f>Reinforcements[[#This Row],[Fcrx (ksi)]]*Reinforcements[[#This Row],[Gross Area (in2)]]</f>
        <v>231.18888597592471</v>
      </c>
      <c r="EX14" s="237">
        <f>Reinforcements[[#This Row],[Fcry (ksi)]]*Reinforcements[[#This Row],[Gross Area (in2)]]</f>
        <v>308.54116014791271</v>
      </c>
      <c r="EY14" s="237" t="str">
        <f>IF(Reinforcements[[#This Row],[Type]]="channel",0,"N/A")</f>
        <v>N/A</v>
      </c>
      <c r="EZ14" s="237" t="str">
        <f>IF(Reinforcements[[#This Row],[Type]]="channel",Reinforcements[[#This Row],[Channel Flange Width, b]]-(0.5*Reinforcements[[#This Row],[Channel web thickness, tw]]),"N/A")</f>
        <v>N/A</v>
      </c>
      <c r="FA14" s="237" t="str">
        <f>IF(Reinforcements[[#This Row],[Type]]="channel",Reinforcements[[#This Row],[Channel Height, h]]-Reinforcements[[#This Row],[Channel flange thickness, tf]],"N/A")</f>
        <v>N/A</v>
      </c>
      <c r="FB14" s="237" t="str">
        <f>IF(Reinforcements[[#This Row],[Type]]="channel",Reinforcements[[#This Row],[Channel web thickness, tw]],"N/A")</f>
        <v>N/A</v>
      </c>
      <c r="FC14" s="237" t="str">
        <f>IF(Reinforcements[[#This Row],[Type]]="channel",((3*Reinforcements[[#This Row],[b]]^2)/(Reinforcements[[#This Row],[h]]+(6*Reinforcements[[#This Row],[b]])))-Reinforcements[[#This Row],[t]]/2,"N/A")</f>
        <v>N/A</v>
      </c>
      <c r="FD14" s="237">
        <f>Reinforcements[[#This Row],[Pole Face to Centroid (in)]]</f>
        <v>0.625</v>
      </c>
      <c r="FE14" s="236" t="str">
        <f>IF(Reinforcements[[#This Row],[Type]]="channel",Reinforcements[[#This Row],[x(bar)]]+Reinforcements[[#This Row],['[Channel'] e0 (in)]],"N/A")</f>
        <v>N/A</v>
      </c>
      <c r="FF14" s="236" t="str">
        <f>IF(Reinforcements[[#This Row],[Type]]="channel",Reinforcements[[#This Row],[Ix]],"N/A")</f>
        <v>N/A</v>
      </c>
      <c r="FG14" s="236" t="str">
        <f>IF(Reinforcements[[#This Row],[Type]]="channel",Reinforcements[[#This Row],[Iy]],"N/A")</f>
        <v>N/A</v>
      </c>
      <c r="FH14" s="236" t="str">
        <f>IF(Reinforcements[[#This Row],[Type]]="channel",Reinforcements[[#This Row],[Gross Area (in2)]],"N/A")</f>
        <v>N/A</v>
      </c>
      <c r="FI14" s="236" t="str">
        <f>IF(Reinforcements[[#This Row],[Type]]="channel",(Reinforcements[[#This Row],[xo]]^2)+((Reinforcements[[#This Row],[Ix (FTB)]]+Reinforcements[[#This Row],[Iy (FTB)]])/Reinforcements[[#This Row],[Ag]]),"N/A")</f>
        <v>N/A</v>
      </c>
      <c r="FJ14" s="236" t="str">
        <f>IF(Reinforcements[[#This Row],[Type]]="channel",Reinforcements[[#This Row],[Lu (in)]],"N/A")</f>
        <v>N/A</v>
      </c>
      <c r="FK14" s="236" t="str">
        <f>IF(Reinforcements[[#This Row],[Type]]="channel",Reinforcements[[#This Row],[Effective Length Factor Kx]],"N/A")</f>
        <v>N/A</v>
      </c>
      <c r="FL14" s="236" t="str">
        <f>IF(Reinforcements[[#This Row],[Type]]="channel",Reinforcements[[#This Row],[Kz]]*Reinforcements[[#This Row],[Lz]],"N/A")</f>
        <v>N/A</v>
      </c>
      <c r="FM14" s="236" t="str">
        <f>IF(Reinforcements[[#This Row],[Type]]="channel",(((Reinforcements[[#This Row],[t]]^3)/3)*(Reinforcements[[#This Row],[h]]+(2*Reinforcements[[#This Row],[b]]))),"N/A")</f>
        <v>N/A</v>
      </c>
      <c r="FN14" s="236" t="str">
        <f>IF(Reinforcements[[#This Row],[Type]]="channel",(1-(((Reinforcements[[#This Row],[xo]]^2)+(Reinforcements[[#This Row],[yo]]^2))/Reinforcements[[#This Row],[ro^2(bar)]])),"N/A")</f>
        <v>N/A</v>
      </c>
      <c r="FO14" s="237">
        <v>11200</v>
      </c>
      <c r="FP14" s="236" t="str">
        <f>IF(Reinforcements[[#This Row],[Type]]="channel",(((Reinforcements[[#This Row],[h]]^2)*(Reinforcements[[#This Row],[b]]^3)*Reinforcements[[#This Row],[t]])/12)*(((2*Reinforcements[[#This Row],[h]])+(3*Reinforcements[[#This Row],[b]]))/(Reinforcements[[#This Row],[h]]+(6*Reinforcements[[#This Row],[b]]))),"N/A")</f>
        <v>N/A</v>
      </c>
      <c r="FQ14" s="236" t="str">
        <f>IF(Reinforcements[[#This Row],[Type]]="Channel",((((PI()^2)*Reinforcements[[#This Row],[E, (ksi)]]*Reinforcements[[#This Row],['[Channel'] CW (in6)]])/(Reinforcements[[#This Row],[Lcz]]^2))+(Reinforcements[[#This Row],[G]]*Reinforcements[[#This Row],['[Channel'] J (in4)]]))*(1/(Reinforcements[[#This Row],[Ag]]*Reinforcements[[#This Row],[ro^2(bar)]])),"N/A")</f>
        <v>N/A</v>
      </c>
      <c r="FR14" s="236" t="str">
        <f>IF(Reinforcements[[#This Row],[Type]]="channel",((PI()^2)*Reinforcements[[#This Row],[E, (ksi)]])/(Reinforcements[[#This Row],[Lcy/ry]]^2),"N/A")</f>
        <v>N/A</v>
      </c>
      <c r="FS14" s="236" t="str">
        <f>IF(Reinforcements[[#This Row],[Type]]="channel",((Reinforcements[[#This Row],[Fey]]+Reinforcements[[#This Row],[Fez]])/(2*Reinforcements[[#This Row],[H2]]))*(1-SQRT(1-((4*Reinforcements[[#This Row],[Fey]]*Reinforcements[[#This Row],[Fez]]*Reinforcements[[#This Row],[H2]])/(Reinforcements[[#This Row],[Fey]]+Reinforcements[[#This Row],[Fez]])^2))),"N/A")</f>
        <v>N/A</v>
      </c>
      <c r="FT14" s="236" t="str">
        <f>IF(Reinforcements[[#This Row],[Type]]="channel",IF(Reinforcements[[#This Row],[Lcx/rx]]&gt;(4.71*SQRT(Reinforcements[[#This Row],[E, (ksi)]]/Reinforcements[[#This Row],[Fy, (ksi)]])),0.877*Reinforcements[[#This Row],[Fe (FTB)]],0.658^(Reinforcements[[#This Row],[Fy, (ksi)]]/Reinforcements[[#This Row],[Fe (FTB)]])*Reinforcements[[#This Row],[Fy, (ksi)]]),"N/A")</f>
        <v>N/A</v>
      </c>
      <c r="FU14" s="236" t="str">
        <f>IF(Reinforcements[[#This Row],[Type]]="channel",MIN(Reinforcements[[#This Row],[Fcr(FTB)]],Reinforcements[[#This Row],[Fcry (ksi)]]),"N/A")</f>
        <v>N/A</v>
      </c>
      <c r="FV14" s="237">
        <v>0.22</v>
      </c>
      <c r="FW14" s="237">
        <v>1.49</v>
      </c>
      <c r="FX14" s="236" t="str">
        <f>IF(Reinforcements[[#This Row],[Type]]="channel",((Reinforcements[[#This Row],[c2]]*(Reinforcements[[#This Row],[λrf]]/Reinforcements[[#This Row],[λf]]))^2)*Reinforcements[[#This Row],[Fy, (ksi)]],"N/A")</f>
        <v>N/A</v>
      </c>
      <c r="FY14" s="236" t="str">
        <f>IF(Reinforcements[[#This Row],[Type]]="channel",((Reinforcements[[#This Row],[c2]]*(Reinforcements[[#This Row],[λrw]]/Reinforcements[[#This Row],[λw]]))^2)*Reinforcements[[#This Row],[Fy, (ksi)]],"N/A")</f>
        <v>N/A</v>
      </c>
      <c r="FZ14"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4"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4"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4" s="236" t="str">
        <f>IF(Reinforcements[[#This Row],[Type]]="channel",Reinforcements[[#This Row],[Fcr]]*Reinforcements[[#This Row],[Ae]],"N/A")</f>
        <v>N/A</v>
      </c>
      <c r="GD14" s="466">
        <f>IF(Reinforcements[[#This Row],[Reinforcement]]="","",φ_c*Reinforcements[[#This Row],[Pnx, FB (kip)]])</f>
        <v>208.06999737833223</v>
      </c>
      <c r="GE14" s="466">
        <f>IF(Reinforcements[[#This Row],[Reinforcement]]="","",IF(Reinforcements[[#This Row],[Type]]="channel",φ_c*Reinforcements[[#This Row],[Pn]],φ_c*Reinforcements[[#This Row],[Pny, FB (kip)]]))</f>
        <v>277.68704413312145</v>
      </c>
      <c r="GF14" s="466">
        <f>Reinforcements[[#This Row],[Rev. G Tension Yield Capacity (kips)]]</f>
        <v>292.5</v>
      </c>
      <c r="GG14" s="466">
        <f>Reinforcements[[#This Row],[Rev. G Tension Rupture Capacity (kips)]]</f>
        <v>206.25</v>
      </c>
      <c r="GH14" s="466">
        <f>Reinforcements[[#This Row],[Rev. G Shear Capacity (kips)]]</f>
        <v>146.25</v>
      </c>
      <c r="GI14" s="466">
        <f>IFERROR((Reinforcements[[#This Row],['# of End Connection Bolts          (Bottom)]]-1)*Reinforcements[[#This Row],[End Connection Bolt Spacing (in) (B)]],"-")</f>
        <v>21</v>
      </c>
      <c r="GJ14" s="466">
        <f>IFERROR(IF(VLOOKUP(Reinforcements[[#This Row],[Bottom End Connection Bolt Type]],Bolts[],COLUMN(Bolts[[#Headers],[Rev. H Apply Connection Length Reduction Factor (Rb)?]])-1,FALSE)="Yes",(IF(Reinforcements[[#This Row],[Lb(bottom)]]&lt;=16,1,IF(Reinforcements[[#This Row],[Lb(bottom)]]&gt;38,0.75,0.9))),1),"-")</f>
        <v>1</v>
      </c>
      <c r="GK14"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14" s="466">
        <f>IFERROR(IF(Reinforcements[[#This Row],[Top End Connection Same?]]="Yes",Reinforcements[[#This Row],[Lb(bottom)]],(Reinforcements[[#This Row],['# of End Connection Bolts          (Top)]]-1)*Reinforcements[[#This Row],[End Connection Bolt Spacing (in) (T)]]),"-")</f>
        <v>21</v>
      </c>
      <c r="GM14" s="466">
        <f>IFERROR(IF(VLOOKUP(Reinforcements[[#This Row],[Top End Connection Bolt Type]],Bolts[],COLUMN(Bolts[[#Headers],[Rev. H Apply Connection Length Reduction Factor (Rb)?]])-1,FALSE)="Yes",(IF(Reinforcements[[#This Row],[Lb(top)]]&lt;=16,1,IF(Reinforcements[[#This Row],[Lb(top)]]&gt;38,0.75,0.9))),1),"-")</f>
        <v>1</v>
      </c>
      <c r="GN14"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371.19712776654347</v>
      </c>
      <c r="GO14" s="466">
        <f>Reinforcements[[#This Row],[Rev. G Bolt-Shaft Bearing Capacity (Bottom)                No Deformation          (*t*Fu kips)]]</f>
        <v>15.870236220472439</v>
      </c>
      <c r="GP14" s="466">
        <f>Reinforcements[[#This Row],[Rev. G Bolt-Shaft Bearing Capacity (Bottom)                   Deformation          (*t*Fu kips)]]</f>
        <v>19.837795275590551</v>
      </c>
      <c r="GQ14" s="466">
        <f>Reinforcements[[#This Row],[Rev. G Bolt-Shaft Bearing Capacity (Top)                    No Deformation          (*t*Fu kips)]]</f>
        <v>15.870236220472439</v>
      </c>
      <c r="GR14" s="466">
        <f>Reinforcements[[#This Row],[Rev. G Bolt-Shaft Bearing Capacity (Top)                        Deformation          (*t*Fu kips)]]</f>
        <v>19.837795275590551</v>
      </c>
      <c r="GS14" s="466">
        <f>Reinforcements[[#This Row],[Rev. G Bolt-Reinf. Bearing Capacity (Bottom)            No Deformation (kips)]]</f>
        <v>1587.0236220472443</v>
      </c>
      <c r="GT14" s="466">
        <f>Reinforcements[[#This Row],[Rev. G Bolt-Reinf. Bearing Capacity (Bottom)               Deformation (kips)]]</f>
        <v>1983.7795275590552</v>
      </c>
      <c r="GU14" s="466">
        <f>Reinforcements[[#This Row],[Rev. G Bolt-Reinf. Bearing Capacity (Top)                  No Deformation (kips)]]</f>
        <v>1587.0236220472443</v>
      </c>
      <c r="GV14" s="466">
        <f>Reinforcements[[#This Row],[Rev. G Bolt-Reinf. Bearing Capacity (Top)               Deformation (kips)]]</f>
        <v>1983.7795275590552</v>
      </c>
      <c r="GW14" s="466" t="str">
        <f>Reinforcements[[#This Row],[Rev. G Bottom Transverse Weld Strength]]</f>
        <v>-</v>
      </c>
      <c r="GX14" s="466" t="str">
        <f>Reinforcements[[#This Row],[Rev. G Bottom Longitudinal Weld Strength]]</f>
        <v>-</v>
      </c>
      <c r="GY14" s="466" t="str">
        <f>Reinforcements[[#This Row],[Rev. G Top Transverse Weld Strength]]</f>
        <v>-</v>
      </c>
      <c r="GZ14" s="466" t="str">
        <f>Reinforcements[[#This Row],[Rev. G Top Longitudinal Weld Strength]]</f>
        <v>-</v>
      </c>
      <c r="HA14" s="552">
        <v>12</v>
      </c>
      <c r="HB14"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5" spans="2:210" x14ac:dyDescent="0.2">
      <c r="B15" s="72" t="s">
        <v>365</v>
      </c>
      <c r="C15" s="72" t="s">
        <v>146</v>
      </c>
      <c r="D15" s="185">
        <v>4.5</v>
      </c>
      <c r="E15" s="185">
        <v>1</v>
      </c>
      <c r="F15" s="185" t="str">
        <f>IF(Reinforcements[[#This Row],[Type]]="","",IF(Reinforcements[[#This Row],[Type]]="solid round","","n/a"))</f>
        <v>n/a</v>
      </c>
      <c r="G15" s="185" t="str">
        <f>IF(Reinforcements[[#This Row],[Type]]="","",IF(Reinforcements[[#This Row],[Type]]&lt;&gt;"channel","n/a",""))</f>
        <v>n/a</v>
      </c>
      <c r="H15" s="185" t="str">
        <f>IF(Reinforcements[[#This Row],[Type]]="","",IF(Reinforcements[[#This Row],[Type]]&lt;&gt;"channel","n/a",""))</f>
        <v>n/a</v>
      </c>
      <c r="I15" s="197" t="str">
        <f>IF(Reinforcements[[#This Row],[Type]]="","",IF(Reinforcements[[#This Row],[Type]]&lt;&gt;"channel","n/a",Reinforcements[[#This Row],[eo]]))</f>
        <v>n/a</v>
      </c>
      <c r="J15" s="197" t="str">
        <f>IF(Reinforcements[[#This Row],[Type]]="","",IF(Reinforcements[[#This Row],[Type]]&lt;&gt;"channel","n/a",Reinforcements[[#This Row],[J]]))</f>
        <v>n/a</v>
      </c>
      <c r="K15" s="197" t="str">
        <f>IF(Reinforcements[[#This Row],[Type]]="","",IF(Reinforcements[[#This Row],[Type]]&lt;&gt;"channel","n/a",Reinforcements[[#This Row],[Cw]]))</f>
        <v>n/a</v>
      </c>
      <c r="L15" s="185">
        <f>IFERROR(IF(Reinforcements[[#This Row],[Type]]="","",IF(Reinforcements[[#This Row],[Type]]="plate",Reinforcements[[#This Row],[B (in)]]*Reinforcements[[#This Row],[H (in)]],IF(Reinforcements[[#This Row],[Type]]="solid round",PI()/4*Reinforcements[[#This Row],[Diameter (in)]]^2,""))),"")</f>
        <v>4.5</v>
      </c>
      <c r="M15" s="185">
        <f>IFERROR(IF(Reinforcements[[#This Row],[Type]]="","",IF(Reinforcements[[#This Row],[Type]]="plate",Reinforcements[[#This Row],[H (in)]]/2,"")),"")</f>
        <v>0.5</v>
      </c>
      <c r="N15" s="186" t="s">
        <v>297</v>
      </c>
      <c r="O15" s="185" t="s">
        <v>60</v>
      </c>
      <c r="P15" s="187">
        <f>IFERROR(IF(Reinforcements[[#This Row],[Type]]="","",IF(Reinforcements[[#This Row],[Type]]="plate",Reinforcements[[#This Row],[B (in)]]*Reinforcements[[#This Row],[H (in)]]^3/12,IF(Reinforcements[[#This Row],[Type]]="solid round",PI()/64*Reinforcements[[#This Row],[Diameter (in)]]^4,""))),"")</f>
        <v>0.375</v>
      </c>
      <c r="Q15" s="187">
        <f>IF(Reinforcements[[#This Row],[Reinforcement]]="","",SQRT(Reinforcements[[#This Row],[Ix]]/Reinforcements[[#This Row],[Gross Area (in2)]]))</f>
        <v>0.28867513459481287</v>
      </c>
      <c r="R15" s="187">
        <f>IFERROR(IF(Reinforcements[[#This Row],[Type]]="","",IF(Reinforcements[[#This Row],[Type]]="plate",Reinforcements[[#This Row],[B (in)]]^3*Reinforcements[[#This Row],[H (in)]]/12,IF(Reinforcements[[#This Row],[Type]]="solid round",PI()/64*Reinforcements[[#This Row],[Diameter (in)]]^4,""))),"")</f>
        <v>7.59375</v>
      </c>
      <c r="S15" s="187">
        <f>IF(Reinforcements[[#This Row],[Reinforcement]]="","",SQRT(Reinforcements[[#This Row],[Iy]]/Reinforcements[[#This Row],[Gross Area (in2)]]))</f>
        <v>1.299038105676658</v>
      </c>
      <c r="T15" s="190">
        <v>20</v>
      </c>
      <c r="U15" s="188">
        <v>0.8</v>
      </c>
      <c r="V15" s="188">
        <v>1</v>
      </c>
      <c r="W15" s="185">
        <v>1.1875</v>
      </c>
      <c r="X15" s="188">
        <f>IF(Reinforcements[[#This Row],[Bolt Hole Size (in)]]="","",IF(Reinforcements[[#This Row],[Bolt Hole Size (in)]]="n/a","n/a",Reinforcements[[#This Row],[Bolt Hole Size (in)]]*25.4))</f>
        <v>30.162499999999998</v>
      </c>
      <c r="Y15"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15" s="185">
        <f>IFERROR(IF(Reinforcements[[#This Row],[Reinforcement]]="","",IF(OR(Reinforcements[[#This Row],[Type]]="plate",Reinforcements[[#This Row],[Type]]="solid round"),1,IF(Reinforcements[[#This Row],[Type]]="arbitrary","",1-Reinforcements[[#This Row],[Pole Face to Centroid (in)]]/Reinforcements[[#This Row],[Connection Length (in) '[Channels']]]))),"")</f>
        <v>1</v>
      </c>
      <c r="AA15" s="189" t="s">
        <v>391</v>
      </c>
      <c r="AB15" s="189" t="str">
        <f>IF(Reinforcements[[#This Row],[Reinforcement]]="","",IF(Reinforcements[[#This Row],[Bottom End Connection Type]]&lt;&gt;"Capacity Input","-",""))</f>
        <v>-</v>
      </c>
      <c r="AC15" s="189" t="str">
        <f>IF(Reinforcements[[#This Row],[Reinforcement]]="","",IF(Reinforcements[[#This Row],[Bottom End Connection Type]]&lt;&gt;"Capacity Input","-",""))</f>
        <v>-</v>
      </c>
      <c r="AD15" s="461" t="str">
        <f>IF(Reinforcements[[#This Row],[Reinforcement]]="","",IF(Reinforcements[[#This Row],[Bottom End Connection Type]]&lt;&gt;"Capacity Input","-",""))</f>
        <v>-</v>
      </c>
      <c r="AE15" s="103" t="s">
        <v>416</v>
      </c>
      <c r="AF15" s="190" t="s">
        <v>296</v>
      </c>
      <c r="AG15" s="190">
        <v>8</v>
      </c>
      <c r="AH15" s="190">
        <v>3</v>
      </c>
      <c r="AI15" s="190">
        <v>3</v>
      </c>
      <c r="AJ15" s="190">
        <f>Reinforcements[[#This Row],[End Connection Edge Distance (in) (B)]]-(Reinforcements[[#This Row],[Bolt Hole Size (in)]]+1/16)/2</f>
        <v>2.375</v>
      </c>
      <c r="AK15" s="190">
        <f>Reinforcements[[#This Row],[End Connection Bolt Spacing (in) (B)]]-(Reinforcements[[#This Row],[Bolt Hole Size (in)]]+1/16)</f>
        <v>1.75</v>
      </c>
      <c r="AL15" s="190">
        <f>Reinforcements[[#This Row],[End Connection Edge Distance (in) (B)]]</f>
        <v>3</v>
      </c>
      <c r="AM15" s="190">
        <f>Reinforcements[[#This Row],[End Connection Bolt Spacing (in) (B)]]</f>
        <v>3</v>
      </c>
      <c r="AN15" s="190" t="str">
        <f>IF(Reinforcements[[#This Row],[Reinforcement]]="","",IF(OR(Reinforcements[[#This Row],[Bottom End Connection Type]]="Bolted",Reinforcements[[#This Row],[Bottom End Connection Type]]=""),"-",""))</f>
        <v>-</v>
      </c>
      <c r="AO15" s="191" t="str">
        <f>IF(Reinforcements[[#This Row],[Reinforcement]]="","",IF(OR(Reinforcements[[#This Row],[Bottom End Connection Type]]="Bolted",Reinforcements[[#This Row],[Bottom End Connection Type]]=""),"-",""))</f>
        <v>-</v>
      </c>
      <c r="AP15" s="191" t="str">
        <f>IF(Reinforcements[[#This Row],[Reinforcement]]="","",IF(OR(Reinforcements[[#This Row],[Bottom End Connection Type]]="Bolted",Reinforcements[[#This Row],[Bottom End Connection Type]]=""),"-",""))</f>
        <v>-</v>
      </c>
      <c r="AQ15" s="191" t="str">
        <f>IF(OR(Reinforcements[[#This Row],[Bottom End Connection Type]]="Bolted",Reinforcements[[#This Row],[Bottom Transverse (Horizontal) Weld]]="none"),"-","")</f>
        <v>-</v>
      </c>
      <c r="AR1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5" s="191" t="str">
        <f>IF(OR(Reinforcements[[#This Row],[Bottom Transverse (Horizontal) Weld]]="none",Reinforcements[[#This Row],[Bottom End Connection Type]]="Bolted"),"-","")</f>
        <v>-</v>
      </c>
      <c r="AU15"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5" s="191" t="str">
        <f>IF(Reinforcements[[#This Row],[Reinforcement]]="","",IF(OR(Reinforcements[[#This Row],[Bottom End Connection Type]]="Bolted",Reinforcements[[#This Row],[Bottom End Connection Type]]=""),"-",""))</f>
        <v>-</v>
      </c>
      <c r="AW15" s="191" t="str">
        <f>IF(Reinforcements[[#This Row],[Reinforcement]]="","",IF(OR(Reinforcements[[#This Row],[Bottom End Connection Type]]&lt;&gt;"Welded",Reinforcements[[#This Row],[Bottom Longitudinal (Vertical) Weld]]="None",Reinforcements[[#This Row],[Bottom Longitudinal (Vertical) Weld]]=""),"-",""))</f>
        <v>-</v>
      </c>
      <c r="AX15" s="191" t="str">
        <f>IF(Reinforcements[[#This Row],[Reinforcement]]="","",IF(OR(Reinforcements[[#This Row],[Bottom End Connection Type]]&lt;&gt;"Welded",Reinforcements[[#This Row],[Bottom Longitudinal (Vertical) Weld]]="None",Reinforcements[[#This Row],[Bottom Longitudinal (Vertical) Weld]]=""),"-",""))</f>
        <v>-</v>
      </c>
      <c r="AY15" s="190" t="str">
        <f>IF(Reinforcements[[#This Row],[Reinforcement]]="","",IF(OR(Reinforcements[[#This Row],[Bottom End Connection Type]]&lt;&gt;"Welded",Reinforcements[[#This Row],[Bottom Longitudinal (Vertical) Weld]]="None"),"-",SQRT(2)/2*Reinforcements[[#This Row],[Bottom Longitudinal Weld Fillet Size (in)]]))</f>
        <v>-</v>
      </c>
      <c r="AZ15" s="190" t="s">
        <v>295</v>
      </c>
      <c r="BA15" s="189" t="str">
        <f>IF(Reinforcements[[#This Row],[Top End Connection Same?]]="Yes",Reinforcements[[#This Row],[Bottom End Connection Type]],"")</f>
        <v>Bolted</v>
      </c>
      <c r="BB15" s="189" t="str">
        <f>IF(Reinforcements[[#This Row],[Reinforcement]]="","",IF(Reinforcements[[#This Row],[Top End Connection Same?]]="Yes",Reinforcements[[#This Row],[Rev. F Bottom Connection Capacity (kips)]],IF(Reinforcements[[#This Row],[Reinforcement]]="","",IF(Reinforcements[[#This Row],[Top End Connection Type]]&lt;&gt;"Capacity Input","-",""))))</f>
        <v>-</v>
      </c>
      <c r="BC15" s="189" t="str">
        <f>IF(Reinforcements[[#This Row],[Reinforcement]]="","",IF(Reinforcements[[#This Row],[Top End Connection Same?]]="Yes",Reinforcements[[#This Row],[Rev. G Bottom Connection Capacity (kips)]],IF(Reinforcements[[#This Row],[Reinforcement]]="","",IF(Reinforcements[[#This Row],[Top End Connection Type]]&lt;&gt;"Capacity Input","-",""))))</f>
        <v>-</v>
      </c>
      <c r="BD15" s="461" t="str">
        <f>IF(Reinforcements[[#This Row],[Reinforcement]]="","",IF(Reinforcements[[#This Row],[Top End Connection Same?]]="Yes",Reinforcements[[#This Row],[Rev. G Bottom Connection Capacity (kips)]],IF(Reinforcements[[#This Row],[Reinforcement]]="","",IF(Reinforcements[[#This Row],[Top End Connection Type]]&lt;&gt;"Capacity Input","-",""))))</f>
        <v>-</v>
      </c>
      <c r="BE15" s="103" t="str">
        <f>IF(Reinforcements[[#This Row],[Top End Connection Same?]]="Yes",Reinforcements[[#This Row],[Bottom End Connection Bolt Type]],IF(Reinforcements[[#This Row],[Top End Connection Type]]="Welded","-",""))</f>
        <v>PC 8.8 - M20 (100)</v>
      </c>
      <c r="BF15" s="190" t="str">
        <f>IF(Reinforcements[[#This Row],[Top End Connection Same?]]="Yes",Reinforcements[[#This Row],[Threads Included (N) or Excluded (X) (Bottom)]],IF(Reinforcements[[#This Row],[Top End Connection Type]]="Welded","-",""))</f>
        <v>N</v>
      </c>
      <c r="BG15" s="190">
        <f>IF(Reinforcements[[#This Row],[Top End Connection Same?]]="Yes",Reinforcements[[#This Row],['# of End Connection Bolts          (Bottom)]],IF(Reinforcements[[#This Row],[Top End Connection Type]]="Welded","-",""))</f>
        <v>8</v>
      </c>
      <c r="BH15" s="190">
        <f>IF(Reinforcements[[#This Row],[Top End Connection Same?]]="Yes",Reinforcements[[#This Row],[End Connection Bolt Spacing (in) (B)]],IF(Reinforcements[[#This Row],[Top End Connection Type]]="Welded","-",""))</f>
        <v>3</v>
      </c>
      <c r="BI15" s="190">
        <f>IF(Reinforcements[[#This Row],[Top End Connection Same?]]="Yes",Reinforcements[[#This Row],[End Connection Edge Distance (in) (B)]],IF(Reinforcements[[#This Row],[Top End Connection Type]]="Welded","-",""))</f>
        <v>3</v>
      </c>
      <c r="BJ15" s="190">
        <f>Reinforcements[[#This Row],[End Connection Edge Distance (in) (T)]]-(Reinforcements[[#This Row],[Bolt Hole Size (in)]]+1/16)/2</f>
        <v>2.375</v>
      </c>
      <c r="BK15" s="190">
        <f>Reinforcements[[#This Row],[End Connection Bolt Spacing (in) (T)]]-(Reinforcements[[#This Row],[Bolt Hole Size (in)]]+1/16)</f>
        <v>1.75</v>
      </c>
      <c r="BL15" s="190">
        <f>Reinforcements[[#This Row],[End Connection Edge Distance (in) (T)]]</f>
        <v>3</v>
      </c>
      <c r="BM15" s="190">
        <f>Reinforcements[[#This Row],[End Connection Bolt Spacing (in) (T)]]</f>
        <v>3</v>
      </c>
      <c r="BN15" s="190" t="str">
        <f>IF(Reinforcements[[#This Row],[Reinforcement]]="","",IF(Reinforcements[[#This Row],[Top End Connection Same?]]="Yes",Reinforcements[[#This Row],[Bottom Connected to Flange/Base Plate?]],IF(Reinforcements[[#This Row],[Top End Connection Type]]="Bolted","-","")))</f>
        <v>-</v>
      </c>
      <c r="BO15" s="190" t="str">
        <f>IF(Reinforcements[[#This Row],[Reinforcement]]="","",IF(Reinforcements[[#This Row],[Top End Connection Same?]]="Yes",Reinforcements[[#This Row],[Bottom Weld Grade (ksi)]],IF(OR(Reinforcements[[#This Row],[Top End Connection Type]]&lt;&gt;"Welded",Reinforcements[[#This Row],[Top End Connection Type]]=""),"-","")))</f>
        <v>-</v>
      </c>
      <c r="BP15" s="190" t="str">
        <f>IF($AZ15="Yes",AP15,IF(Reinforcements[[#This Row],[Reinforcement]]="","",IF(OR(Reinforcements[[#This Row],[Top End Connection Type]]&lt;&gt;"Welded",Reinforcements[[#This Row],[Top End Connection Type]]=""),"-","")))</f>
        <v>-</v>
      </c>
      <c r="BQ15" s="190" t="str">
        <f>IF(Reinforcements[[#This Row],[Reinforcement]]="","",IF($AZ15="Yes",AQ15,IF(OR(Reinforcements[[#This Row],[Top End Connection Type]]&lt;&gt;"Welded",Reinforcements[[#This Row],[Top Transverse (Horizontal) Weld]]="none",Reinforcements[[#This Row],[Top Transverse (Horizontal) Weld]]=""),"-","")))</f>
        <v>-</v>
      </c>
      <c r="BR15" s="190" t="str">
        <f>IF($AZ15="Yes",AR15,IF(Reinforcements[[#This Row],[Reinforcement]]="","",IF(OR(Reinforcements[[#This Row],[Top Transverse (Horizontal) Weld]]="none",Reinforcements[[#This Row],[Top End Connection Type]]&lt;&gt;"Welded",Reinforcements[[#This Row],[Top Transverse (Horizontal) Weld]]="",Reinforcements[[#This Row],[Top Transverse (Horizontal) Weld]]="Fillet"),"-","")))</f>
        <v>-</v>
      </c>
      <c r="BS15" s="190" t="str">
        <f>IF($AZ15="Yes",AS15,IF(Reinforcements[[#This Row],[Reinforcement]]="","",IF(OR(Reinforcements[[#This Row],[Top Transverse (Horizontal) Weld]]="none",Reinforcements[[#This Row],[Top End Connection Type]]&lt;&gt;"Welded",Reinforcements[[#This Row],[Top Transverse (Horizontal) Weld]]="",Reinforcements[[#This Row],[Top Transverse (Horizontal) Weld]]="Fillet"),"-","")))</f>
        <v>-</v>
      </c>
      <c r="BT15" s="190" t="str">
        <f>IF(Reinforcements[[#This Row],[Reinforcement]]="","",IF($AZ15="Yes",AT15,IF(OR(Reinforcements[[#This Row],[Top Transverse (Horizontal) Weld]]="none",Reinforcements[[#This Row],[Top End Connection Type]]&lt;&gt;"Welded",Reinforcements[[#This Row],[Top Transverse (Horizontal) Weld]]=""),"-","")))</f>
        <v>-</v>
      </c>
      <c r="BU15" s="190" t="str">
        <f>IF($AZ15="Yes",AU15,IF(Reinforcements[[#This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5" s="190" t="str">
        <f>IF($AZ15="Yes",AV15,IF(Reinforcements[[#This Row],[Reinforcement]]="","",IF(OR(Reinforcements[[#This Row],[Top End Connection Type]]&lt;&gt;"Welded",Reinforcements[[#This Row],[Top End Connection Type]]=""),"-","")))</f>
        <v>-</v>
      </c>
      <c r="BW15" s="190" t="str">
        <f>IF($AZ15="Yes",AW15,IF(Reinforcements[[#This Row],[Reinforcement]]="","",IF(OR(Reinforcements[[#This Row],[Top End Connection Type]]&lt;&gt;"Welded",Reinforcements[[#This Row],[Top End Connection Type]]="",Reinforcements[[#This Row],[Top Longitudinal (Vertical) Weld]]="",Reinforcements[[#This Row],[Top Longitudinal (Vertical) Weld]]="None"),"-","")))</f>
        <v>-</v>
      </c>
      <c r="BX15" s="190" t="str">
        <f>IF($AZ15="Yes",AX15,IF(Reinforcements[[#This Row],[Reinforcement]]="","",IF(OR(Reinforcements[[#This Row],[Top End Connection Type]]&lt;&gt;"Welded",Reinforcements[[#This Row],[Top End Connection Type]]="",Reinforcements[[#This Row],[Top Longitudinal (Vertical) Weld]]="",Reinforcements[[#This Row],[Top Longitudinal (Vertical) Weld]]="None"),"-","")))</f>
        <v>-</v>
      </c>
      <c r="BY15" s="190" t="str">
        <f>IF($AZ15="Yes",AY15,IF(Reinforcements[[#This Row],[Reinforcement]]="","",IF(OR(Reinforcements[[#This Row],[Top End Connection Type]]&lt;&gt;"Welded",Reinforcements[[#This Row],[Top Longitudinal (Vertical) Weld]]="none"),"-",SQRT(2)/2*Reinforcements[[#This Row],[Top Longitudinal Weld Fillet Size (in)]])))</f>
        <v>-</v>
      </c>
      <c r="BZ15"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5" s="192">
        <f>IF(Reinforcements[[#This Row],[Reinforcement]]="","",IF(Reinforcements[[#This Row],[Bottom End Connection Type]]&lt;&gt;"Bolted","n/a",(Reinforcements[[#This Row],['# of End Connection Bolts          (Bottom)]]-1)*Reinforcements[[#This Row],[End Connection Bolt Spacing (in) (B)]]+Reinforcements[[#This Row],[End Connection Edge Distance (in) (B)]]))</f>
        <v>24</v>
      </c>
      <c r="CB15" s="192">
        <f>IF(Reinforcements[[#This Row],[Reinforcement]]="","",IF(Reinforcements[[#This Row],[Top End Connection Type]]&lt;&gt;"Bolted","n/a",(Reinforcements[[#This Row],['# of End Connection Bolts          (Top)]]-1)*Reinforcements[[#This Row],[End Connection Bolt Spacing (in) (T)]]+Reinforcements[[#This Row],[End Connection Edge Distance (in) (T)]]))</f>
        <v>24</v>
      </c>
      <c r="CC15"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15"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15" s="185">
        <f>IFERROR(IF(Reinforcements[[#This Row],[Type]]="","",Reinforcements[[#This Row],[Effective B (in)]]*Reinforcements[[#This Row],[Effective H (in)]]^3/12),"")</f>
        <v>0.375</v>
      </c>
      <c r="CF15" s="185">
        <f>IFERROR(IF(Reinforcements[[#This Row],[Type]]="","",Reinforcements[[#This Row],[Effective B (in)]]^3*Reinforcements[[#This Row],[Effective H (in)]]/12),"")</f>
        <v>7.59375</v>
      </c>
      <c r="CG15" s="197">
        <f>SQRT(2*PI()^2*29000/VLOOKUP(Reinforcements[[#This Row],[Material]],Materials[],2,FALSE))</f>
        <v>93.844147005158973</v>
      </c>
      <c r="CH15"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28.814097290290295</v>
      </c>
      <c r="CI15"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37.117316606332658</v>
      </c>
      <c r="CJ15" s="187">
        <f>Reinforcements[[#This Row],[Effective Length Factor Kx]]*Reinforcements[[#This Row],[Lu (in)]]/(Reinforcements[[#This Row],[rx]]*PI())*SQRT(VLOOKUP(Reinforcements[[#This Row],[Material]],Materials[],2,FALSE)/29000)</f>
        <v>0.83525370809489741</v>
      </c>
      <c r="CK15" s="187">
        <f>Reinforcements[[#This Row],[Effective Length Factor Ky]]*Reinforcements[[#This Row],[Lu (in)]]/(Reinforcements[[#This Row],[ry]]*PI())*SQRT(VLOOKUP(Reinforcements[[#This Row],[Material]],Materials[],2,FALSE)/29000)</f>
        <v>0.23201491891524928</v>
      </c>
      <c r="CL15" s="187">
        <f>IF(Reinforcements[[#This Row],[λcx]]&lt;=1.5,0.658^(Reinforcements[[#This Row],[λcx]]^2)*Reinforcements[[#This Row],[F''y]],0.877/(Reinforcements[[#This Row],[λcx]]^2)*Reinforcements[[#This Row],[F''y]])</f>
        <v>48.539900000911423</v>
      </c>
      <c r="CM15" s="187">
        <f>IF(Reinforcements[[#This Row],[λcy]]&lt;=1.5,0.658^(Reinforcements[[#This Row],[λcy]]^2)*Reinforcements[[#This Row],[F''y]],0.877/(Reinforcements[[#This Row],[λcy]]^2)*Reinforcements[[#This Row],[F''y]])</f>
        <v>63.551863369977021</v>
      </c>
      <c r="CN15" s="185">
        <f>VLOOKUP(Reinforcements[[#This Row],[Material]],Materials[],2,FALSE)</f>
        <v>65</v>
      </c>
      <c r="CO15" s="197">
        <f>IF(Reinforcements[[#This Row],[Reinforcement]]="","",Reinforcements[[#This Row],[Fax]]*Reinforcements[[#This Row],[Gross Area (in2)]])</f>
        <v>129.66343780630632</v>
      </c>
      <c r="CP15" s="197">
        <f>IF(Reinforcements[[#This Row],[Reinforcement]]="","",Reinforcements[[#This Row],[Fay]]*Reinforcements[[#This Row],[Gross Area (in2)]])</f>
        <v>167.02792472849697</v>
      </c>
      <c r="CQ15" s="197">
        <f>IF(Reinforcements[[#This Row],[Reinforcement]]="","",0.6*VLOOKUP(Reinforcements[[#This Row],[Material]],Materials[],2,FALSE)*Reinforcements[[#This Row],[Gross Area (in2)]])</f>
        <v>175.5</v>
      </c>
      <c r="CR15" s="197">
        <f>IF(Reinforcements[[#This Row],[Reinforcement]]="","",0.5*VLOOKUP(Reinforcements[[#This Row],[Material]],Materials[],3,FALSE)*Reinforcements[[#This Row],[Net Area (in2)]]*Reinforcements[[#This Row],[Shear Lag (U)]])</f>
        <v>130</v>
      </c>
      <c r="CS15" s="197">
        <f>IF(Reinforcements[[#This Row],[Reinforcement]]="","",0.4*VLOOKUP(Reinforcements[[#This Row],[Material]],Materials[],2,FALSE)*Reinforcements[[#This Row],[Gross Area (in2)]])</f>
        <v>117</v>
      </c>
      <c r="CT15"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15"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15"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15"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15"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15"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15"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876.85039370078744</v>
      </c>
      <c r="DA15"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977.00787401574803</v>
      </c>
      <c r="DB15"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15"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15"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5"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5" s="190" t="str">
        <f>IF($AZ15="Yes",DD15,IF(Reinforcements[[#This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5" s="190" t="str">
        <f>IF($AZ15="Yes",DE15,IF(Reinforcements[[#This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5" s="197">
        <f>IF(Reinforcements[[#This Row],[Reinforcement]]="","",φ_c*Reinforcements[[#This Row],[Fcr,x]]*Reinforcements[[#This Row],[Gross Area (in2)]])</f>
        <v>196.58659500369126</v>
      </c>
      <c r="DI15" s="197">
        <f>IF(Reinforcements[[#This Row],[Reinforcement]]="","",φ_c*Reinforcements[[#This Row],[Fcr,y]]*Reinforcements[[#This Row],[Gross Area (in2)]])</f>
        <v>257.3850466484069</v>
      </c>
      <c r="DJ15" s="197">
        <f>IF(Reinforcements[[#This Row],[Reinforcement]]="","",φ_t_y*VLOOKUP(Reinforcements[[#This Row],[Material]],Materials[],2,FALSE)*Reinforcements[[#This Row],[Gross Area (in2)]])</f>
        <v>263.25</v>
      </c>
      <c r="DK15" s="197">
        <f>IF(Reinforcements[[#This Row],[Reinforcement]]="","",φ_t_r*VLOOKUP(Reinforcements[[#This Row],[Material]],Materials[],3,FALSE)*Reinforcements[[#This Row],[Net Area (in2)]]*Reinforcements[[#This Row],[Shear Lag (U)]])</f>
        <v>195</v>
      </c>
      <c r="DL15" s="197">
        <f>IF(Reinforcements[[#This Row],[Reinforcement]]="","",φ_v*0.5*Reinforcements[[#This Row],[F''y]]*Reinforcements[[#This Row],[Gross Area (in2)]])</f>
        <v>131.625</v>
      </c>
      <c r="DM15"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15"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15"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15"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15"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15"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15"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1269.6188976377953</v>
      </c>
      <c r="DT15"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U15"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15"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15"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5"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5" s="190" t="str">
        <f>IF($AZ15="Yes",DW15,IF(Reinforcements[[#This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5" s="190" t="str">
        <f>IF($AZ15="Yes",DX15,IF(Reinforcements[[#This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5" s="241" t="str">
        <f>IF(OR(Reinforcements[[#This Row],[Type]]="plate",Reinforcements[[#This Row],[Type]]="solid round"),"N/A",Reinforcements[[#This Row],[B (in)]])</f>
        <v>N/A</v>
      </c>
      <c r="EB15" s="237" t="str">
        <f>IF(OR(Reinforcements[[#This Row],[Type]]="plate",Reinforcements[[#This Row],[Type]]="solid round"),"N/A",Reinforcements[[#This Row],[H (in)]])</f>
        <v>N/A</v>
      </c>
      <c r="EC15" s="237" t="str">
        <f>IF(OR(Reinforcements[[#This Row],[Type]]="plate",Reinforcements[[#This Row],[Type]]="solid round"),"N/A",Reinforcements[[#This Row],[B (in)]]-Reinforcements[[#This Row],['[Channel'] Flange Thickness (in)]])</f>
        <v>N/A</v>
      </c>
      <c r="ED15" s="237" t="str">
        <f>IF(OR(Reinforcements[[#This Row],[Type]]="plate",Reinforcements[[#This Row],[Type]]="solid round"),"N/A",Reinforcements[[#This Row],['[Channel']Web Thickness (in)]])</f>
        <v>N/A</v>
      </c>
      <c r="EE15" s="237" t="str">
        <f>IF(OR(Reinforcements[[#This Row],[Type]]="plate",Reinforcements[[#This Row],[Type]]="solid round"),"N/A",Reinforcements[[#This Row],['[Channel'] Flange Thickness (in)]])</f>
        <v>N/A</v>
      </c>
      <c r="EF15" s="237" t="str">
        <f>IF(Reinforcements[[#This Row],[Type]]="channel",Reinforcements[[#This Row],[Channel Flange Width, b]]/Reinforcements[[#This Row],[Channel flange thickness, tf]],"N/A")</f>
        <v>N/A</v>
      </c>
      <c r="EG15" s="237" t="str">
        <f>IF(Reinforcements[[#This Row],[Type]]="channel",Reinforcements[[#This Row],[Channel inside depth, T]]/Reinforcements[[#This Row],[Channel web thickness, tw]],"N/A")</f>
        <v>N/A</v>
      </c>
      <c r="EH15" s="237">
        <v>29000</v>
      </c>
      <c r="EI15" s="237" t="str">
        <f>IF(Reinforcements[[#This Row],[Type]]="channel",0.56*SQRT(Reinforcements[[#This Row],[E, (ksi)]]/Reinforcements[[#This Row],[Fy, (ksi)]]),"N/A")</f>
        <v>N/A</v>
      </c>
      <c r="EJ15" s="237" t="str">
        <f>IF(Reinforcements[[#This Row],[Type]]="channel",1.49*SQRT(Reinforcements[[#This Row],[E, (ksi)]]/Reinforcements[[#This Row],[Fy, (ksi)]]),"N/A")</f>
        <v>N/A</v>
      </c>
      <c r="EK15" s="237">
        <f>VLOOKUP(Reinforcements[[#This Row],[Material]],Materials!$B$2:$C$30,2,FALSE)</f>
        <v>65</v>
      </c>
      <c r="EL15" s="237">
        <f>Reinforcements[[#This Row],[Lu (in)]]*Reinforcements[[#This Row],[Effective Length Factor Kx]]</f>
        <v>16</v>
      </c>
      <c r="EM15" s="237">
        <f>Reinforcements[[#This Row],[Lu (in)]]*Reinforcements[[#This Row],[Effective Length Factor Ky]]</f>
        <v>20</v>
      </c>
      <c r="EN15" s="237">
        <f>Reinforcements[[#This Row],[rx]]</f>
        <v>0.28867513459481287</v>
      </c>
      <c r="EO15" s="237">
        <f>Reinforcements[[#This Row],[ry]]</f>
        <v>1.299038105676658</v>
      </c>
      <c r="EP15" s="237">
        <f>Reinforcements[[#This Row],[Lcx (in)]]/Reinforcements[[#This Row],[rx (in)]]</f>
        <v>55.425625842204077</v>
      </c>
      <c r="EQ15" s="237">
        <f>Reinforcements[[#This Row],[Lcy (in)]]/Reinforcements[[#This Row],[ry (in)]]</f>
        <v>15.39600717839002</v>
      </c>
      <c r="ER15" s="237">
        <f>((PI()^2)*Reinforcements[[#This Row],[E, (ksi)]])/(Reinforcements[[#This Row],[Lcx/rx]]^2)</f>
        <v>93.1700936300753</v>
      </c>
      <c r="ES15" s="237">
        <f>((PI()^2)*Reinforcements[[#This Row],[E, (ksi)]])/(Reinforcements[[#This Row],[Lcy/ry]]^2)</f>
        <v>1207.484413445776</v>
      </c>
      <c r="ET15" s="237">
        <f>4.71*(SQRT(Reinforcements[[#This Row],[E, (ksi)]]/Reinforcements[[#This Row],[Fy, (ksi)]]))</f>
        <v>99.486288193205496</v>
      </c>
      <c r="EU15" s="237">
        <f>IF(Reinforcements[[#This Row],[Lcx/rx]]&lt;=Reinforcements[[#This Row],[Fcr Limit]],(0.658^(Reinforcements[[#This Row],[Fy, (ksi)]]/Reinforcements[[#This Row],[Fex, FB (ksi)]]))*Reinforcements[[#This Row],[Fy, (ksi)]],0.877*Reinforcements[[#This Row],[Fex, FB (ksi)]])</f>
        <v>48.539900000911416</v>
      </c>
      <c r="EV15" s="237">
        <f>IF(Reinforcements[[#This Row],[Lcy/ry]]&lt;=Reinforcements[[#This Row],[Fcr Limit]],(0.658^(Reinforcements[[#This Row],[Fy, (ksi)]]/Reinforcements[[#This Row],[Fey, FB (ksi)]]))*Reinforcements[[#This Row],[Fy, (ksi)]],0.877*Reinforcements[[#This Row],[Fey, FB (ksi)]])</f>
        <v>63.551863369977021</v>
      </c>
      <c r="EW15" s="237">
        <f>Reinforcements[[#This Row],[Fcrx (ksi)]]*Reinforcements[[#This Row],[Gross Area (in2)]]</f>
        <v>218.42955000410137</v>
      </c>
      <c r="EX15" s="237">
        <f>Reinforcements[[#This Row],[Fcry (ksi)]]*Reinforcements[[#This Row],[Gross Area (in2)]]</f>
        <v>285.98338516489662</v>
      </c>
      <c r="EY15" s="237" t="str">
        <f>IF(Reinforcements[[#This Row],[Type]]="channel",0,"N/A")</f>
        <v>N/A</v>
      </c>
      <c r="EZ15" s="237" t="str">
        <f>IF(Reinforcements[[#This Row],[Type]]="channel",Reinforcements[[#This Row],[Channel Flange Width, b]]-(0.5*Reinforcements[[#This Row],[Channel web thickness, tw]]),"N/A")</f>
        <v>N/A</v>
      </c>
      <c r="FA15" s="237" t="str">
        <f>IF(Reinforcements[[#This Row],[Type]]="channel",Reinforcements[[#This Row],[Channel Height, h]]-Reinforcements[[#This Row],[Channel flange thickness, tf]],"N/A")</f>
        <v>N/A</v>
      </c>
      <c r="FB15" s="237" t="str">
        <f>IF(Reinforcements[[#This Row],[Type]]="channel",Reinforcements[[#This Row],[Channel web thickness, tw]],"N/A")</f>
        <v>N/A</v>
      </c>
      <c r="FC15" s="237" t="str">
        <f>IF(Reinforcements[[#This Row],[Type]]="channel",((3*Reinforcements[[#This Row],[b]]^2)/(Reinforcements[[#This Row],[h]]+(6*Reinforcements[[#This Row],[b]])))-Reinforcements[[#This Row],[t]]/2,"N/A")</f>
        <v>N/A</v>
      </c>
      <c r="FD15" s="237">
        <f>Reinforcements[[#This Row],[Pole Face to Centroid (in)]]</f>
        <v>0.5</v>
      </c>
      <c r="FE15" s="237" t="str">
        <f>IF(Reinforcements[[#This Row],[Type]]="channel",Reinforcements[[#This Row],[x(bar)]]+Reinforcements[[#This Row],['[Channel'] e0 (in)]],"N/A")</f>
        <v>N/A</v>
      </c>
      <c r="FF15" s="237" t="str">
        <f>IF(Reinforcements[[#This Row],[Type]]="channel",Reinforcements[[#This Row],[Ix]],"N/A")</f>
        <v>N/A</v>
      </c>
      <c r="FG15" s="237" t="str">
        <f>IF(Reinforcements[[#This Row],[Type]]="channel",Reinforcements[[#This Row],[Iy]],"N/A")</f>
        <v>N/A</v>
      </c>
      <c r="FH15" s="237" t="str">
        <f>IF(Reinforcements[[#This Row],[Type]]="channel",Reinforcements[[#This Row],[Gross Area (in2)]],"N/A")</f>
        <v>N/A</v>
      </c>
      <c r="FI15" s="237" t="str">
        <f>IF(Reinforcements[[#This Row],[Type]]="channel",(Reinforcements[[#This Row],[xo]]^2)+((Reinforcements[[#This Row],[Ix (FTB)]]+Reinforcements[[#This Row],[Iy (FTB)]])/Reinforcements[[#This Row],[Ag]]),"N/A")</f>
        <v>N/A</v>
      </c>
      <c r="FJ15" s="237" t="str">
        <f>IF(Reinforcements[[#This Row],[Type]]="channel",Reinforcements[[#This Row],[Lu (in)]],"N/A")</f>
        <v>N/A</v>
      </c>
      <c r="FK15" s="237" t="str">
        <f>IF(Reinforcements[[#This Row],[Type]]="channel",Reinforcements[[#This Row],[Effective Length Factor Kx]],"N/A")</f>
        <v>N/A</v>
      </c>
      <c r="FL15" s="237" t="str">
        <f>IF(Reinforcements[[#This Row],[Type]]="channel",Reinforcements[[#This Row],[Kz]]*Reinforcements[[#This Row],[Lz]],"N/A")</f>
        <v>N/A</v>
      </c>
      <c r="FM15" s="237" t="str">
        <f>IF(Reinforcements[[#This Row],[Type]]="channel",(((Reinforcements[[#This Row],[t]]^3)/3)*(Reinforcements[[#This Row],[h]]+(2*Reinforcements[[#This Row],[b]]))),"N/A")</f>
        <v>N/A</v>
      </c>
      <c r="FN15" s="237" t="str">
        <f>IF(Reinforcements[[#This Row],[Type]]="channel",(1-(((Reinforcements[[#This Row],[xo]]^2)+(Reinforcements[[#This Row],[yo]]^2))/Reinforcements[[#This Row],[ro^2(bar)]])),"N/A")</f>
        <v>N/A</v>
      </c>
      <c r="FO15" s="237">
        <v>11200</v>
      </c>
      <c r="FP15" s="237" t="str">
        <f>IF(Reinforcements[[#This Row],[Type]]="channel",(((Reinforcements[[#This Row],[h]]^2)*(Reinforcements[[#This Row],[b]]^3)*Reinforcements[[#This Row],[t]])/12)*(((2*Reinforcements[[#This Row],[h]])+(3*Reinforcements[[#This Row],[b]]))/(Reinforcements[[#This Row],[h]]+(6*Reinforcements[[#This Row],[b]]))),"N/A")</f>
        <v>N/A</v>
      </c>
      <c r="FQ15" s="237" t="str">
        <f>IF(Reinforcements[[#This Row],[Type]]="Channel",((((PI()^2)*Reinforcements[[#This Row],[E, (ksi)]]*Reinforcements[[#This Row],['[Channel'] CW (in6)]])/(Reinforcements[[#This Row],[Lcz]]^2))+(Reinforcements[[#This Row],[G]]*Reinforcements[[#This Row],['[Channel'] J (in4)]]))*(1/(Reinforcements[[#This Row],[Ag]]*Reinforcements[[#This Row],[ro^2(bar)]])),"N/A")</f>
        <v>N/A</v>
      </c>
      <c r="FR15" s="237" t="str">
        <f>IF(Reinforcements[[#This Row],[Type]]="channel",((PI()^2)*Reinforcements[[#This Row],[E, (ksi)]])/(Reinforcements[[#This Row],[Lcy/ry]]^2),"N/A")</f>
        <v>N/A</v>
      </c>
      <c r="FS15" s="237" t="str">
        <f>IF(Reinforcements[[#This Row],[Type]]="channel",((Reinforcements[[#This Row],[Fey]]+Reinforcements[[#This Row],[Fez]])/(2*Reinforcements[[#This Row],[H2]]))*(1-SQRT(1-((4*Reinforcements[[#This Row],[Fey]]*Reinforcements[[#This Row],[Fez]]*Reinforcements[[#This Row],[H2]])/(Reinforcements[[#This Row],[Fey]]+Reinforcements[[#This Row],[Fez]])^2))),"N/A")</f>
        <v>N/A</v>
      </c>
      <c r="FT15" s="237" t="str">
        <f>IF(Reinforcements[[#This Row],[Type]]="channel",IF(Reinforcements[[#This Row],[Lcx/rx]]&gt;(4.71*SQRT(Reinforcements[[#This Row],[E, (ksi)]]/Reinforcements[[#This Row],[Fy, (ksi)]])),0.877*Reinforcements[[#This Row],[Fe (FTB)]],0.658^(Reinforcements[[#This Row],[Fy, (ksi)]]/Reinforcements[[#This Row],[Fe (FTB)]])*Reinforcements[[#This Row],[Fy, (ksi)]]),"N/A")</f>
        <v>N/A</v>
      </c>
      <c r="FU15" s="237" t="str">
        <f>IF(Reinforcements[[#This Row],[Type]]="channel",MIN(Reinforcements[[#This Row],[Fcr(FTB)]],Reinforcements[[#This Row],[Fcry (ksi)]]),"N/A")</f>
        <v>N/A</v>
      </c>
      <c r="FV15" s="237">
        <v>0.22</v>
      </c>
      <c r="FW15" s="237">
        <v>1.49</v>
      </c>
      <c r="FX15" s="237" t="str">
        <f>IF(Reinforcements[[#This Row],[Type]]="channel",((Reinforcements[[#This Row],[c2]]*(Reinforcements[[#This Row],[λrf]]/Reinforcements[[#This Row],[λf]]))^2)*Reinforcements[[#This Row],[Fy, (ksi)]],"N/A")</f>
        <v>N/A</v>
      </c>
      <c r="FY15" s="237" t="str">
        <f>IF(Reinforcements[[#This Row],[Type]]="channel",((Reinforcements[[#This Row],[c2]]*(Reinforcements[[#This Row],[λrw]]/Reinforcements[[#This Row],[λw]]))^2)*Reinforcements[[#This Row],[Fy, (ksi)]],"N/A")</f>
        <v>N/A</v>
      </c>
      <c r="FZ15"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5"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5"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5" s="237" t="str">
        <f>IF(Reinforcements[[#This Row],[Type]]="channel",Reinforcements[[#This Row],[Fcr]]*Reinforcements[[#This Row],[Ae]],"N/A")</f>
        <v>N/A</v>
      </c>
      <c r="GD15" s="466">
        <f>IF(Reinforcements[[#This Row],[Reinforcement]]="","",φ_c*Reinforcements[[#This Row],[Pnx, FB (kip)]])</f>
        <v>196.58659500369123</v>
      </c>
      <c r="GE15" s="466">
        <f>IF(Reinforcements[[#This Row],[Reinforcement]]="","",IF(Reinforcements[[#This Row],[Type]]="channel",φ_c*Reinforcements[[#This Row],[Pn]],φ_c*Reinforcements[[#This Row],[Pny, FB (kip)]]))</f>
        <v>257.38504664840696</v>
      </c>
      <c r="GF15" s="466">
        <f>Reinforcements[[#This Row],[Rev. G Tension Yield Capacity (kips)]]</f>
        <v>263.25</v>
      </c>
      <c r="GG15" s="466">
        <f>Reinforcements[[#This Row],[Rev. G Tension Rupture Capacity (kips)]]</f>
        <v>195</v>
      </c>
      <c r="GH15" s="466">
        <f>Reinforcements[[#This Row],[Rev. G Shear Capacity (kips)]]</f>
        <v>131.625</v>
      </c>
      <c r="GI15" s="466">
        <f>IFERROR((Reinforcements[[#This Row],['# of End Connection Bolts          (Bottom)]]-1)*Reinforcements[[#This Row],[End Connection Bolt Spacing (in) (B)]],"-")</f>
        <v>21</v>
      </c>
      <c r="GJ15" s="466">
        <f>IFERROR(IF(VLOOKUP(Reinforcements[[#This Row],[Bottom End Connection Bolt Type]],Bolts[],COLUMN(Bolts[[#Headers],[Rev. H Apply Connection Length Reduction Factor (Rb)?]])-1,FALSE)="Yes",(IF(Reinforcements[[#This Row],[Lb(bottom)]]&lt;=16,1,IF(Reinforcements[[#This Row],[Lb(bottom)]]&gt;38,0.75,0.9))),1),"-")</f>
        <v>1</v>
      </c>
      <c r="GK15"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15" s="466">
        <f>IFERROR(IF(Reinforcements[[#This Row],[Top End Connection Same?]]="Yes",Reinforcements[[#This Row],[Lb(bottom)]],(Reinforcements[[#This Row],['# of End Connection Bolts          (Top)]]-1)*Reinforcements[[#This Row],[End Connection Bolt Spacing (in) (T)]]),"-")</f>
        <v>21</v>
      </c>
      <c r="GM15" s="466">
        <f>IFERROR(IF(VLOOKUP(Reinforcements[[#This Row],[Top End Connection Bolt Type]],Bolts[],COLUMN(Bolts[[#Headers],[Rev. H Apply Connection Length Reduction Factor (Rb)?]])-1,FALSE)="Yes",(IF(Reinforcements[[#This Row],[Lb(top)]]&lt;=16,1,IF(Reinforcements[[#This Row],[Lb(top)]]&gt;38,0.75,0.9))),1),"-")</f>
        <v>1</v>
      </c>
      <c r="GN15"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371.19712776654347</v>
      </c>
      <c r="GO15" s="466">
        <f>Reinforcements[[#This Row],[Rev. G Bolt-Shaft Bearing Capacity (Bottom)                No Deformation          (*t*Fu kips)]]</f>
        <v>15.870236220472439</v>
      </c>
      <c r="GP15" s="466">
        <f>Reinforcements[[#This Row],[Rev. G Bolt-Shaft Bearing Capacity (Bottom)                   Deformation          (*t*Fu kips)]]</f>
        <v>19.837795275590551</v>
      </c>
      <c r="GQ15" s="466">
        <f>Reinforcements[[#This Row],[Rev. G Bolt-Shaft Bearing Capacity (Top)                    No Deformation          (*t*Fu kips)]]</f>
        <v>15.870236220472439</v>
      </c>
      <c r="GR15" s="466">
        <f>Reinforcements[[#This Row],[Rev. G Bolt-Shaft Bearing Capacity (Top)                        Deformation          (*t*Fu kips)]]</f>
        <v>19.837795275590551</v>
      </c>
      <c r="GS15" s="466">
        <f>Reinforcements[[#This Row],[Rev. G Bolt-Reinf. Bearing Capacity (Bottom)            No Deformation (kips)]]</f>
        <v>1269.6188976377953</v>
      </c>
      <c r="GT15" s="466">
        <f>Reinforcements[[#This Row],[Rev. G Bolt-Reinf. Bearing Capacity (Bottom)               Deformation (kips)]]</f>
        <v>1587.0236220472443</v>
      </c>
      <c r="GU15" s="466">
        <f>Reinforcements[[#This Row],[Rev. G Bolt-Reinf. Bearing Capacity (Top)                  No Deformation (kips)]]</f>
        <v>1269.6188976377953</v>
      </c>
      <c r="GV15" s="466">
        <f>Reinforcements[[#This Row],[Rev. G Bolt-Reinf. Bearing Capacity (Top)               Deformation (kips)]]</f>
        <v>1587.0236220472443</v>
      </c>
      <c r="GW15" s="466" t="str">
        <f>Reinforcements[[#This Row],[Rev. G Bottom Transverse Weld Strength]]</f>
        <v>-</v>
      </c>
      <c r="GX15" s="466" t="str">
        <f>Reinforcements[[#This Row],[Rev. G Bottom Longitudinal Weld Strength]]</f>
        <v>-</v>
      </c>
      <c r="GY15" s="466" t="str">
        <f>Reinforcements[[#This Row],[Rev. G Top Transverse Weld Strength]]</f>
        <v>-</v>
      </c>
      <c r="GZ15" s="466" t="str">
        <f>Reinforcements[[#This Row],[Rev. G Top Longitudinal Weld Strength]]</f>
        <v>-</v>
      </c>
      <c r="HA15" s="552">
        <v>13</v>
      </c>
      <c r="HB15"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6" spans="2:210" x14ac:dyDescent="0.2">
      <c r="B16" s="72" t="s">
        <v>867</v>
      </c>
      <c r="C16" s="72" t="s">
        <v>146</v>
      </c>
      <c r="D16" s="185">
        <v>5</v>
      </c>
      <c r="E16" s="185">
        <v>1.25</v>
      </c>
      <c r="F16" s="185" t="str">
        <f>IF(Reinforcements[[#This Row],[Type]]="","",IF(Reinforcements[[#This Row],[Type]]="solid round","","n/a"))</f>
        <v>n/a</v>
      </c>
      <c r="G16" s="185" t="str">
        <f>IF(Reinforcements[[#This Row],[Type]]="","",IF(Reinforcements[[#This Row],[Type]]&lt;&gt;"channel","n/a",""))</f>
        <v>n/a</v>
      </c>
      <c r="H16" s="185" t="str">
        <f>IF(Reinforcements[[#This Row],[Type]]="","",IF(Reinforcements[[#This Row],[Type]]&lt;&gt;"channel","n/a",""))</f>
        <v>n/a</v>
      </c>
      <c r="I16" s="197" t="str">
        <f>IF(Reinforcements[[#This Row],[Type]]="","",IF(Reinforcements[[#This Row],[Type]]&lt;&gt;"channel","n/a",Reinforcements[[#This Row],[eo]]))</f>
        <v>n/a</v>
      </c>
      <c r="J16" s="197" t="str">
        <f>IF(Reinforcements[[#This Row],[Type]]="","",IF(Reinforcements[[#This Row],[Type]]&lt;&gt;"channel","n/a",Reinforcements[[#This Row],[J]]))</f>
        <v>n/a</v>
      </c>
      <c r="K16" s="197" t="str">
        <f>IF(Reinforcements[[#This Row],[Type]]="","",IF(Reinforcements[[#This Row],[Type]]&lt;&gt;"channel","n/a",Reinforcements[[#This Row],[Cw]]))</f>
        <v>n/a</v>
      </c>
      <c r="L16" s="185">
        <f>IFERROR(IF(Reinforcements[[#This Row],[Type]]="","",IF(Reinforcements[[#This Row],[Type]]="plate",Reinforcements[[#This Row],[B (in)]]*Reinforcements[[#This Row],[H (in)]],IF(Reinforcements[[#This Row],[Type]]="solid round",PI()/4*Reinforcements[[#This Row],[Diameter (in)]]^2,""))),"")</f>
        <v>6.25</v>
      </c>
      <c r="M16" s="185">
        <f>IFERROR(IF(Reinforcements[[#This Row],[Type]]="","",IF(Reinforcements[[#This Row],[Type]]="plate",Reinforcements[[#This Row],[H (in)]]/2,"")),"")</f>
        <v>0.625</v>
      </c>
      <c r="N16" s="199" t="s">
        <v>297</v>
      </c>
      <c r="O16" s="192" t="s">
        <v>60</v>
      </c>
      <c r="P16" s="187">
        <f>IFERROR(IF(Reinforcements[[#This Row],[Type]]="","",IF(Reinforcements[[#This Row],[Type]]="plate",Reinforcements[[#This Row],[B (in)]]*Reinforcements[[#This Row],[H (in)]]^3/12,IF(Reinforcements[[#This Row],[Type]]="solid round",PI()/64*Reinforcements[[#This Row],[Diameter (in)]]^4,""))),"")</f>
        <v>0.81380208333333337</v>
      </c>
      <c r="Q16" s="187">
        <f>IF(Reinforcements[[#This Row],[Reinforcement]]="","",SQRT(Reinforcements[[#This Row],[Ix]]/Reinforcements[[#This Row],[Gross Area (in2)]]))</f>
        <v>0.36084391824351614</v>
      </c>
      <c r="R16" s="187">
        <f>IFERROR(IF(Reinforcements[[#This Row],[Type]]="","",IF(Reinforcements[[#This Row],[Type]]="plate",Reinforcements[[#This Row],[B (in)]]^3*Reinforcements[[#This Row],[H (in)]]/12,IF(Reinforcements[[#This Row],[Type]]="solid round",PI()/64*Reinforcements[[#This Row],[Diameter (in)]]^4,""))),"")</f>
        <v>13.020833333333334</v>
      </c>
      <c r="S16" s="187">
        <f>IF(Reinforcements[[#This Row],[Reinforcement]]="","",SQRT(Reinforcements[[#This Row],[Iy]]/Reinforcements[[#This Row],[Gross Area (in2)]]))</f>
        <v>1.4433756729740645</v>
      </c>
      <c r="T16" s="190">
        <v>23</v>
      </c>
      <c r="U16" s="188">
        <v>0.8</v>
      </c>
      <c r="V16" s="188">
        <v>1</v>
      </c>
      <c r="W16" s="185">
        <v>1.1875</v>
      </c>
      <c r="X16" s="188">
        <f>IF(Reinforcements[[#This Row],[Bolt Hole Size (in)]]="","",IF(Reinforcements[[#This Row],[Bolt Hole Size (in)]]="n/a","n/a",Reinforcements[[#This Row],[Bolt Hole Size (in)]]*25.4))</f>
        <v>30.162499999999998</v>
      </c>
      <c r="Y16"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16" s="185">
        <f>IFERROR(IF(Reinforcements[[#This Row],[Reinforcement]]="","",IF(OR(Reinforcements[[#This Row],[Type]]="plate",Reinforcements[[#This Row],[Type]]="solid round"),1,IF(Reinforcements[[#This Row],[Type]]="arbitrary","",1-Reinforcements[[#This Row],[Pole Face to Centroid (in)]]/Reinforcements[[#This Row],[Connection Length (in) '[Channels']]]))),"")</f>
        <v>1</v>
      </c>
      <c r="AA16" s="527" t="s">
        <v>391</v>
      </c>
      <c r="AB16" s="189" t="str">
        <f>IF(Reinforcements[[#This Row],[Reinforcement]]="","",IF(Reinforcements[[#This Row],[Bottom End Connection Type]]&lt;&gt;"Capacity Input","-",""))</f>
        <v>-</v>
      </c>
      <c r="AC16" s="189" t="str">
        <f>IF(Reinforcements[[#This Row],[Reinforcement]]="","",IF(Reinforcements[[#This Row],[Bottom End Connection Type]]&lt;&gt;"Capacity Input","-",""))</f>
        <v>-</v>
      </c>
      <c r="AD16" s="461" t="str">
        <f>IF(Reinforcements[[#This Row],[Reinforcement]]="","",IF(Reinforcements[[#This Row],[Bottom End Connection Type]]&lt;&gt;"Capacity Input","-",""))</f>
        <v>-</v>
      </c>
      <c r="AE16" s="103" t="s">
        <v>416</v>
      </c>
      <c r="AF16" s="190" t="s">
        <v>296</v>
      </c>
      <c r="AG16" s="190">
        <v>10</v>
      </c>
      <c r="AH16" s="190">
        <v>3</v>
      </c>
      <c r="AI16" s="190">
        <v>3</v>
      </c>
      <c r="AJ16" s="190">
        <f>Reinforcements[[#This Row],[End Connection Edge Distance (in) (B)]]-(Reinforcements[[#This Row],[Bolt Hole Size (in)]]+1/16)/2</f>
        <v>2.375</v>
      </c>
      <c r="AK16" s="190">
        <f>Reinforcements[[#This Row],[End Connection Bolt Spacing (in) (B)]]-(Reinforcements[[#This Row],[Bolt Hole Size (in)]]+1/16)</f>
        <v>1.75</v>
      </c>
      <c r="AL16" s="190">
        <f>Reinforcements[[#This Row],[End Connection Edge Distance (in) (B)]]</f>
        <v>3</v>
      </c>
      <c r="AM16" s="190">
        <f>Reinforcements[[#This Row],[End Connection Bolt Spacing (in) (B)]]</f>
        <v>3</v>
      </c>
      <c r="AN16" s="190" t="str">
        <f>IF(Reinforcements[[#This Row],[Reinforcement]]="","",IF(OR(Reinforcements[[#This Row],[Bottom End Connection Type]]="Bolted",Reinforcements[[#This Row],[Bottom End Connection Type]]=""),"-",""))</f>
        <v>-</v>
      </c>
      <c r="AO16" s="191" t="str">
        <f>IF(Reinforcements[[#This Row],[Reinforcement]]="","",IF(OR(Reinforcements[[#This Row],[Bottom End Connection Type]]="Bolted",Reinforcements[[#This Row],[Bottom End Connection Type]]=""),"-",""))</f>
        <v>-</v>
      </c>
      <c r="AP16" s="191" t="str">
        <f>IF(Reinforcements[[#This Row],[Reinforcement]]="","",IF(OR(Reinforcements[[#This Row],[Bottom End Connection Type]]="Bolted",Reinforcements[[#This Row],[Bottom End Connection Type]]=""),"-",""))</f>
        <v>-</v>
      </c>
      <c r="AQ16" s="191" t="str">
        <f>IF(OR(Reinforcements[[#This Row],[Bottom End Connection Type]]="Bolted",Reinforcements[[#This Row],[Bottom Transverse (Horizontal) Weld]]="none"),"-","")</f>
        <v>-</v>
      </c>
      <c r="AR1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6" s="191" t="str">
        <f>IF(OR(Reinforcements[[#This Row],[Bottom Transverse (Horizontal) Weld]]="none",Reinforcements[[#This Row],[Bottom End Connection Type]]="Bolted"),"-","")</f>
        <v>-</v>
      </c>
      <c r="AU16"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6" s="191" t="str">
        <f>IF(Reinforcements[[#This Row],[Reinforcement]]="","",IF(OR(Reinforcements[[#This Row],[Bottom End Connection Type]]="Bolted",Reinforcements[[#This Row],[Bottom End Connection Type]]=""),"-",""))</f>
        <v>-</v>
      </c>
      <c r="AW16" s="191" t="str">
        <f>IF(Reinforcements[[#This Row],[Reinforcement]]="","",IF(OR(Reinforcements[[#This Row],[Bottom End Connection Type]]&lt;&gt;"Welded",Reinforcements[[#This Row],[Bottom Longitudinal (Vertical) Weld]]="None",Reinforcements[[#This Row],[Bottom Longitudinal (Vertical) Weld]]=""),"-",""))</f>
        <v>-</v>
      </c>
      <c r="AX16" s="191" t="str">
        <f>IF(Reinforcements[[#This Row],[Reinforcement]]="","",IF(OR(Reinforcements[[#This Row],[Bottom End Connection Type]]&lt;&gt;"Welded",Reinforcements[[#This Row],[Bottom Longitudinal (Vertical) Weld]]="None",Reinforcements[[#This Row],[Bottom Longitudinal (Vertical) Weld]]=""),"-",""))</f>
        <v>-</v>
      </c>
      <c r="AY16" s="190" t="str">
        <f>IF(Reinforcements[[#This Row],[Reinforcement]]="","",IF(OR(Reinforcements[[#This Row],[Bottom End Connection Type]]&lt;&gt;"Welded",Reinforcements[[#This Row],[Bottom Longitudinal (Vertical) Weld]]="None"),"-",SQRT(2)/2*Reinforcements[[#This Row],[Bottom Longitudinal Weld Fillet Size (in)]]))</f>
        <v>-</v>
      </c>
      <c r="AZ16" s="190" t="s">
        <v>295</v>
      </c>
      <c r="BA16" s="189" t="str">
        <f>IF(Reinforcements[[#This Row],[Top End Connection Same?]]="Yes",Reinforcements[[#This Row],[Bottom End Connection Type]],"")</f>
        <v>Bolted</v>
      </c>
      <c r="BB16" s="189" t="str">
        <f>IF(Reinforcements[[#This Row],[Reinforcement]]="","",IF(Reinforcements[[#This Row],[Top End Connection Same?]]="Yes",Reinforcements[[#This Row],[Rev. F Bottom Connection Capacity (kips)]],IF(Reinforcements[[#This Row],[Reinforcement]]="","",IF(Reinforcements[[#This Row],[Top End Connection Type]]&lt;&gt;"Capacity Input","-",""))))</f>
        <v>-</v>
      </c>
      <c r="BC16" s="189" t="str">
        <f>IF(Reinforcements[[#This Row],[Reinforcement]]="","",IF(Reinforcements[[#This Row],[Top End Connection Same?]]="Yes",Reinforcements[[#This Row],[Rev. G Bottom Connection Capacity (kips)]],IF(Reinforcements[[#This Row],[Reinforcement]]="","",IF(Reinforcements[[#This Row],[Top End Connection Type]]&lt;&gt;"Capacity Input","-",""))))</f>
        <v>-</v>
      </c>
      <c r="BD16" s="461" t="str">
        <f>IF(Reinforcements[[#This Row],[Reinforcement]]="","",IF(Reinforcements[[#This Row],[Top End Connection Same?]]="Yes",Reinforcements[[#This Row],[Rev. G Bottom Connection Capacity (kips)]],IF(Reinforcements[[#This Row],[Reinforcement]]="","",IF(Reinforcements[[#This Row],[Top End Connection Type]]&lt;&gt;"Capacity Input","-",""))))</f>
        <v>-</v>
      </c>
      <c r="BE16" s="103" t="str">
        <f>IF(Reinforcements[[#This Row],[Top End Connection Same?]]="Yes",Reinforcements[[#This Row],[Bottom End Connection Bolt Type]],IF(Reinforcements[[#This Row],[Top End Connection Type]]="Welded","-",""))</f>
        <v>PC 8.8 - M20 (100)</v>
      </c>
      <c r="BF16" s="190" t="str">
        <f>IF(Reinforcements[[#This Row],[Top End Connection Same?]]="Yes",Reinforcements[[#This Row],[Threads Included (N) or Excluded (X) (Bottom)]],IF(Reinforcements[[#This Row],[Top End Connection Type]]="Welded","-",""))</f>
        <v>N</v>
      </c>
      <c r="BG16" s="190">
        <f>IF(Reinforcements[[#This Row],[Top End Connection Same?]]="Yes",Reinforcements[[#This Row],['# of End Connection Bolts          (Bottom)]],IF(Reinforcements[[#This Row],[Top End Connection Type]]="Welded","-",""))</f>
        <v>10</v>
      </c>
      <c r="BH16" s="190">
        <f>IF(Reinforcements[[#This Row],[Top End Connection Same?]]="Yes",Reinforcements[[#This Row],[End Connection Bolt Spacing (in) (B)]],IF(Reinforcements[[#This Row],[Top End Connection Type]]="Welded","-",""))</f>
        <v>3</v>
      </c>
      <c r="BI16" s="190">
        <f>IF(Reinforcements[[#This Row],[Top End Connection Same?]]="Yes",Reinforcements[[#This Row],[End Connection Edge Distance (in) (B)]],IF(Reinforcements[[#This Row],[Top End Connection Type]]="Welded","-",""))</f>
        <v>3</v>
      </c>
      <c r="BJ16" s="190">
        <f>Reinforcements[[#This Row],[End Connection Edge Distance (in) (T)]]-(Reinforcements[[#This Row],[Bolt Hole Size (in)]]+1/16)/2</f>
        <v>2.375</v>
      </c>
      <c r="BK16" s="190">
        <f>Reinforcements[[#This Row],[End Connection Bolt Spacing (in) (T)]]-(Reinforcements[[#This Row],[Bolt Hole Size (in)]]+1/16)</f>
        <v>1.75</v>
      </c>
      <c r="BL16" s="190">
        <f>Reinforcements[[#This Row],[End Connection Edge Distance (in) (T)]]</f>
        <v>3</v>
      </c>
      <c r="BM16" s="190">
        <f>Reinforcements[[#This Row],[End Connection Bolt Spacing (in) (T)]]</f>
        <v>3</v>
      </c>
      <c r="BN16" s="190" t="str">
        <f>IF(Reinforcements[[#This Row],[Reinforcement]]="","",IF(Reinforcements[[#This Row],[Top End Connection Same?]]="Yes",Reinforcements[[#This Row],[Bottom Connected to Flange/Base Plate?]],IF(Reinforcements[[#This Row],[Top End Connection Type]]="Bolted","-","")))</f>
        <v>-</v>
      </c>
      <c r="BO16" s="190" t="str">
        <f>IF(Reinforcements[[#This Row],[Reinforcement]]="","",IF(Reinforcements[[#This Row],[Top End Connection Same?]]="Yes",Reinforcements[[#This Row],[Bottom Weld Grade (ksi)]],IF(OR(Reinforcements[[#This Row],[Top End Connection Type]]&lt;&gt;"Welded",Reinforcements[[#This Row],[Top End Connection Type]]=""),"-","")))</f>
        <v>-</v>
      </c>
      <c r="BP16" s="190" t="str">
        <f>IF($AZ16="Yes",AP16,IF(Reinforcements[[#This Row],[Reinforcement]]="","",IF(OR(Reinforcements[[#This Row],[Top End Connection Type]]&lt;&gt;"Welded",Reinforcements[[#This Row],[Top End Connection Type]]=""),"-","")))</f>
        <v>-</v>
      </c>
      <c r="BQ16" s="190" t="str">
        <f>IF(Reinforcements[[#This Row],[Reinforcement]]="","",IF($AZ16="Yes",AQ16,IF(OR(Reinforcements[[#This Row],[Top End Connection Type]]&lt;&gt;"Welded",Reinforcements[[#This Row],[Top Transverse (Horizontal) Weld]]="none",Reinforcements[[#This Row],[Top Transverse (Horizontal) Weld]]=""),"-","")))</f>
        <v>-</v>
      </c>
      <c r="BR16" s="190" t="str">
        <f>IF($AZ16="Yes",AR16,IF(Reinforcements[[#This Row],[Reinforcement]]="","",IF(OR(Reinforcements[[#This Row],[Top Transverse (Horizontal) Weld]]="none",Reinforcements[[#This Row],[Top End Connection Type]]&lt;&gt;"Welded",Reinforcements[[#This Row],[Top Transverse (Horizontal) Weld]]="",Reinforcements[[#This Row],[Top Transverse (Horizontal) Weld]]="Fillet"),"-","")))</f>
        <v>-</v>
      </c>
      <c r="BS16" s="190" t="str">
        <f>IF($AZ16="Yes",AS16,IF(Reinforcements[[#This Row],[Reinforcement]]="","",IF(OR(Reinforcements[[#This Row],[Top Transverse (Horizontal) Weld]]="none",Reinforcements[[#This Row],[Top End Connection Type]]&lt;&gt;"Welded",Reinforcements[[#This Row],[Top Transverse (Horizontal) Weld]]="",Reinforcements[[#This Row],[Top Transverse (Horizontal) Weld]]="Fillet"),"-","")))</f>
        <v>-</v>
      </c>
      <c r="BT16" s="190" t="str">
        <f>IF(Reinforcements[[#This Row],[Reinforcement]]="","",IF($AZ16="Yes",AT16,IF(OR(Reinforcements[[#This Row],[Top Transverse (Horizontal) Weld]]="none",Reinforcements[[#This Row],[Top End Connection Type]]&lt;&gt;"Welded",Reinforcements[[#This Row],[Top Transverse (Horizontal) Weld]]=""),"-","")))</f>
        <v>-</v>
      </c>
      <c r="BU16" s="190" t="str">
        <f>IF($AZ16="Yes",AU16,IF(Reinforcements[[#This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6" s="190" t="str">
        <f>IF($AZ16="Yes",AV16,IF(Reinforcements[[#This Row],[Reinforcement]]="","",IF(OR(Reinforcements[[#This Row],[Top End Connection Type]]&lt;&gt;"Welded",Reinforcements[[#This Row],[Top End Connection Type]]=""),"-","")))</f>
        <v>-</v>
      </c>
      <c r="BW16" s="190" t="str">
        <f>IF($AZ16="Yes",AW16,IF(Reinforcements[[#This Row],[Reinforcement]]="","",IF(OR(Reinforcements[[#This Row],[Top End Connection Type]]&lt;&gt;"Welded",Reinforcements[[#This Row],[Top End Connection Type]]="",Reinforcements[[#This Row],[Top Longitudinal (Vertical) Weld]]="",Reinforcements[[#This Row],[Top Longitudinal (Vertical) Weld]]="None"),"-","")))</f>
        <v>-</v>
      </c>
      <c r="BX16" s="190" t="str">
        <f>IF($AZ16="Yes",AX16,IF(Reinforcements[[#This Row],[Reinforcement]]="","",IF(OR(Reinforcements[[#This Row],[Top End Connection Type]]&lt;&gt;"Welded",Reinforcements[[#This Row],[Top End Connection Type]]="",Reinforcements[[#This Row],[Top Longitudinal (Vertical) Weld]]="",Reinforcements[[#This Row],[Top Longitudinal (Vertical) Weld]]="None"),"-","")))</f>
        <v>-</v>
      </c>
      <c r="BY16" s="190" t="str">
        <f>IF($AZ16="Yes",AY16,IF(Reinforcements[[#This Row],[Reinforcement]]="","",IF(OR(Reinforcements[[#This Row],[Top End Connection Type]]&lt;&gt;"Welded",Reinforcements[[#This Row],[Top Longitudinal (Vertical) Weld]]="none"),"-",SQRT(2)/2*Reinforcements[[#This Row],[Top Longitudinal Weld Fillet Size (in)]])))</f>
        <v>-</v>
      </c>
      <c r="BZ16"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6" s="192">
        <f>IF(Reinforcements[[#This Row],[Reinforcement]]="","",IF(Reinforcements[[#This Row],[Bottom End Connection Type]]&lt;&gt;"Bolted","n/a",(Reinforcements[[#This Row],['# of End Connection Bolts          (Bottom)]]-1)*Reinforcements[[#This Row],[End Connection Bolt Spacing (in) (B)]]+Reinforcements[[#This Row],[End Connection Edge Distance (in) (B)]]))</f>
        <v>30</v>
      </c>
      <c r="CB16" s="192">
        <f>IF(Reinforcements[[#This Row],[Reinforcement]]="","",IF(Reinforcements[[#This Row],[Top End Connection Type]]&lt;&gt;"Bolted","n/a",(Reinforcements[[#This Row],['# of End Connection Bolts          (Top)]]-1)*Reinforcements[[#This Row],[End Connection Bolt Spacing (in) (T)]]+Reinforcements[[#This Row],[End Connection Edge Distance (in) (T)]]))</f>
        <v>30</v>
      </c>
      <c r="CC16"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16"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16" s="185">
        <f>IFERROR(IF(Reinforcements[[#This Row],[Type]]="","",Reinforcements[[#This Row],[Effective B (in)]]*Reinforcements[[#This Row],[Effective H (in)]]^3/12),"")</f>
        <v>0.81380208333333337</v>
      </c>
      <c r="CF16" s="185">
        <f>IFERROR(IF(Reinforcements[[#This Row],[Type]]="","",Reinforcements[[#This Row],[Effective B (in)]]^3*Reinforcements[[#This Row],[Effective H (in)]]/12),"")</f>
        <v>13.020833333333334</v>
      </c>
      <c r="CG16" s="197">
        <f>SQRT(2*PI()^2*29000/VLOOKUP(Reinforcements[[#This Row],[Material]],Materials[],2,FALSE))</f>
        <v>93.844147005158973</v>
      </c>
      <c r="CH16"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29.942327757095867</v>
      </c>
      <c r="CI16"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37.036378660354636</v>
      </c>
      <c r="CJ16" s="187">
        <f>Reinforcements[[#This Row],[Effective Length Factor Kx]]*Reinforcements[[#This Row],[Lu (in)]]/(Reinforcements[[#This Row],[rx]]*PI())*SQRT(VLOOKUP(Reinforcements[[#This Row],[Material]],Materials[],2,FALSE)/29000)</f>
        <v>0.76843341144730548</v>
      </c>
      <c r="CK16" s="187">
        <f>Reinforcements[[#This Row],[Effective Length Factor Ky]]*Reinforcements[[#This Row],[Lu (in)]]/(Reinforcements[[#This Row],[ry]]*PI())*SQRT(VLOOKUP(Reinforcements[[#This Row],[Material]],Materials[],2,FALSE)/29000)</f>
        <v>0.24013544107728296</v>
      </c>
      <c r="CL16" s="187">
        <f>IF(Reinforcements[[#This Row],[λcx]]&lt;=1.5,0.658^(Reinforcements[[#This Row],[λcx]]^2)*Reinforcements[[#This Row],[F''y]],0.877/(Reinforcements[[#This Row],[λcx]]^2)*Reinforcements[[#This Row],[F''y]])</f>
        <v>50.766541905358231</v>
      </c>
      <c r="CM16" s="187">
        <f>IF(Reinforcements[[#This Row],[λcy]]&lt;=1.5,0.658^(Reinforcements[[#This Row],[λcy]]^2)*Reinforcements[[#This Row],[F''y]],0.877/(Reinforcements[[#This Row],[λcy]]^2)*Reinforcements[[#This Row],[F''y]])</f>
        <v>63.449959224213764</v>
      </c>
      <c r="CN16" s="185">
        <f>VLOOKUP(Reinforcements[[#This Row],[Material]],Materials[],2,FALSE)</f>
        <v>65</v>
      </c>
      <c r="CO16" s="197">
        <f>IF(Reinforcements[[#This Row],[Reinforcement]]="","",Reinforcements[[#This Row],[Fax]]*Reinforcements[[#This Row],[Gross Area (in2)]])</f>
        <v>187.13954848184918</v>
      </c>
      <c r="CP16" s="197">
        <f>IF(Reinforcements[[#This Row],[Reinforcement]]="","",Reinforcements[[#This Row],[Fay]]*Reinforcements[[#This Row],[Gross Area (in2)]])</f>
        <v>231.47736662721647</v>
      </c>
      <c r="CQ16" s="197">
        <f>IF(Reinforcements[[#This Row],[Reinforcement]]="","",0.6*VLOOKUP(Reinforcements[[#This Row],[Material]],Materials[],2,FALSE)*Reinforcements[[#This Row],[Gross Area (in2)]])</f>
        <v>243.75</v>
      </c>
      <c r="CR16" s="197">
        <f>IF(Reinforcements[[#This Row],[Reinforcement]]="","",0.5*VLOOKUP(Reinforcements[[#This Row],[Material]],Materials[],3,FALSE)*Reinforcements[[#This Row],[Net Area (in2)]]*Reinforcements[[#This Row],[Shear Lag (U)]])</f>
        <v>187.5</v>
      </c>
      <c r="CS16" s="197">
        <f>IF(Reinforcements[[#This Row],[Reinforcement]]="","",0.4*VLOOKUP(Reinforcements[[#This Row],[Material]],Materials[],2,FALSE)*Reinforcements[[#This Row],[Gross Area (in2)]])</f>
        <v>162.5</v>
      </c>
      <c r="CT16"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16"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16"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16"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16"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16"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16"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1370.0787401574803</v>
      </c>
      <c r="DA16"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1521.259842519685</v>
      </c>
      <c r="DB16"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1370.0787401574803</v>
      </c>
      <c r="DC16"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1521.259842519685</v>
      </c>
      <c r="DD16"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6"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6" s="190" t="str">
        <f>IF($AZ16="Yes",DD16,IF(Reinforcements[[#This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6" s="190" t="str">
        <f>IF($AZ16="Yes",DE16,IF(Reinforcements[[#This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6" s="197">
        <f>IF(Reinforcements[[#This Row],[Reinforcement]]="","",φ_c*Reinforcements[[#This Row],[Fcr,x]]*Reinforcements[[#This Row],[Gross Area (in2)]])</f>
        <v>285.56179821764005</v>
      </c>
      <c r="DI16" s="197">
        <f>IF(Reinforcements[[#This Row],[Reinforcement]]="","",φ_c*Reinforcements[[#This Row],[Fcr,y]]*Reinforcements[[#This Row],[Gross Area (in2)]])</f>
        <v>356.90602063620241</v>
      </c>
      <c r="DJ16" s="197">
        <f>IF(Reinforcements[[#This Row],[Reinforcement]]="","",φ_t_y*VLOOKUP(Reinforcements[[#This Row],[Material]],Materials[],2,FALSE)*Reinforcements[[#This Row],[Gross Area (in2)]])</f>
        <v>365.625</v>
      </c>
      <c r="DK16" s="197">
        <f>IF(Reinforcements[[#This Row],[Reinforcement]]="","",φ_t_r*VLOOKUP(Reinforcements[[#This Row],[Material]],Materials[],3,FALSE)*Reinforcements[[#This Row],[Net Area (in2)]]*Reinforcements[[#This Row],[Shear Lag (U)]])</f>
        <v>281.25</v>
      </c>
      <c r="DL16" s="197">
        <f>IF(Reinforcements[[#This Row],[Reinforcement]]="","",φ_v*0.5*Reinforcements[[#This Row],[F''y]]*Reinforcements[[#This Row],[Gross Area (in2)]])</f>
        <v>182.8125</v>
      </c>
      <c r="DM16"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16"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16"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19.778267716535435</v>
      </c>
      <c r="DP16"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24.722834645669291</v>
      </c>
      <c r="DQ16"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16"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16"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1977.8267716535433</v>
      </c>
      <c r="DT16"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2472.2834645669291</v>
      </c>
      <c r="DU16"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1977.8267716535433</v>
      </c>
      <c r="DV16"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2472.2834645669291</v>
      </c>
      <c r="DW16"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6"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6" s="190" t="str">
        <f>IF($AZ16="Yes",DW16,IF(Reinforcements[[#This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6" s="190" t="str">
        <f>IF($AZ16="Yes",DX16,IF(Reinforcements[[#This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6" s="238" t="str">
        <f>IF(OR(Reinforcements[[#This Row],[Type]]="plate",Reinforcements[[#This Row],[Type]]="solid round"),"N/A",Reinforcements[[#This Row],[B (in)]])</f>
        <v>N/A</v>
      </c>
      <c r="EB16" s="236" t="str">
        <f>IF(OR(Reinforcements[[#This Row],[Type]]="plate",Reinforcements[[#This Row],[Type]]="solid round"),"N/A",Reinforcements[[#This Row],[H (in)]])</f>
        <v>N/A</v>
      </c>
      <c r="EC16" s="236" t="str">
        <f>IF(OR(Reinforcements[[#This Row],[Type]]="plate",Reinforcements[[#This Row],[Type]]="solid round"),"N/A",Reinforcements[[#This Row],[B (in)]]-Reinforcements[[#This Row],['[Channel'] Flange Thickness (in)]])</f>
        <v>N/A</v>
      </c>
      <c r="ED16" s="236" t="str">
        <f>IF(OR(Reinforcements[[#This Row],[Type]]="plate",Reinforcements[[#This Row],[Type]]="solid round"),"N/A",Reinforcements[[#This Row],['[Channel']Web Thickness (in)]])</f>
        <v>N/A</v>
      </c>
      <c r="EE16" s="236" t="str">
        <f>IF(OR(Reinforcements[[#This Row],[Type]]="plate",Reinforcements[[#This Row],[Type]]="solid round"),"N/A",Reinforcements[[#This Row],['[Channel'] Flange Thickness (in)]])</f>
        <v>N/A</v>
      </c>
      <c r="EF16" s="236" t="str">
        <f>IF(Reinforcements[[#This Row],[Type]]="channel",Reinforcements[[#This Row],[Channel Flange Width, b]]/Reinforcements[[#This Row],[Channel flange thickness, tf]],"N/A")</f>
        <v>N/A</v>
      </c>
      <c r="EG16" s="236" t="str">
        <f>IF(Reinforcements[[#This Row],[Type]]="channel",Reinforcements[[#This Row],[Channel inside depth, T]]/Reinforcements[[#This Row],[Channel web thickness, tw]],"N/A")</f>
        <v>N/A</v>
      </c>
      <c r="EH16" s="237">
        <v>29000</v>
      </c>
      <c r="EI16" s="237" t="str">
        <f>IF(Reinforcements[[#This Row],[Type]]="channel",0.56*SQRT(Reinforcements[[#This Row],[E, (ksi)]]/Reinforcements[[#This Row],[Fy, (ksi)]]),"N/A")</f>
        <v>N/A</v>
      </c>
      <c r="EJ16" s="237" t="str">
        <f>IF(Reinforcements[[#This Row],[Type]]="channel",1.49*SQRT(Reinforcements[[#This Row],[E, (ksi)]]/Reinforcements[[#This Row],[Fy, (ksi)]]),"N/A")</f>
        <v>N/A</v>
      </c>
      <c r="EK16" s="237">
        <f>VLOOKUP(Reinforcements[[#This Row],[Material]],Materials!$B$2:$C$30,2,FALSE)</f>
        <v>65</v>
      </c>
      <c r="EL16" s="237">
        <f>Reinforcements[[#This Row],[Lu (in)]]*Reinforcements[[#This Row],[Effective Length Factor Kx]]</f>
        <v>18.400000000000002</v>
      </c>
      <c r="EM16" s="237">
        <f>Reinforcements[[#This Row],[Lu (in)]]*Reinforcements[[#This Row],[Effective Length Factor Ky]]</f>
        <v>23</v>
      </c>
      <c r="EN16" s="237">
        <f>Reinforcements[[#This Row],[rx]]</f>
        <v>0.36084391824351614</v>
      </c>
      <c r="EO16" s="237">
        <f>Reinforcements[[#This Row],[ry]]</f>
        <v>1.4433756729740645</v>
      </c>
      <c r="EP16" s="237">
        <f>Reinforcements[[#This Row],[Lcx (in)]]/Reinforcements[[#This Row],[rx (in)]]</f>
        <v>50.991575774827751</v>
      </c>
      <c r="EQ16" s="237">
        <f>Reinforcements[[#This Row],[Lcy (in)]]/Reinforcements[[#This Row],[ry (in)]]</f>
        <v>15.93486742963367</v>
      </c>
      <c r="ER16" s="237">
        <f>((PI()^2)*Reinforcements[[#This Row],[E, (ksi)]])/(Reinforcements[[#This Row],[Lcx/rx]]^2)</f>
        <v>110.07808793723451</v>
      </c>
      <c r="ES16" s="237">
        <f>((PI()^2)*Reinforcements[[#This Row],[E, (ksi)]])/(Reinforcements[[#This Row],[Lcy/ry]]^2)</f>
        <v>1127.1996204772818</v>
      </c>
      <c r="ET16" s="237">
        <f>4.71*(SQRT(Reinforcements[[#This Row],[E, (ksi)]]/Reinforcements[[#This Row],[Fy, (ksi)]]))</f>
        <v>99.486288193205496</v>
      </c>
      <c r="EU16" s="237">
        <f>IF(Reinforcements[[#This Row],[Lcx/rx]]&lt;=Reinforcements[[#This Row],[Fcr Limit]],(0.658^(Reinforcements[[#This Row],[Fy, (ksi)]]/Reinforcements[[#This Row],[Fex, FB (ksi)]]))*Reinforcements[[#This Row],[Fy, (ksi)]],0.877*Reinforcements[[#This Row],[Fex, FB (ksi)]])</f>
        <v>50.766541905358217</v>
      </c>
      <c r="EV16" s="237">
        <f>IF(Reinforcements[[#This Row],[Lcy/ry]]&lt;=Reinforcements[[#This Row],[Fcr Limit]],(0.658^(Reinforcements[[#This Row],[Fy, (ksi)]]/Reinforcements[[#This Row],[Fey, FB (ksi)]]))*Reinforcements[[#This Row],[Fy, (ksi)]],0.877*Reinforcements[[#This Row],[Fey, FB (ksi)]])</f>
        <v>63.449959224213764</v>
      </c>
      <c r="EW16" s="237">
        <f>Reinforcements[[#This Row],[Fcrx (ksi)]]*Reinforcements[[#This Row],[Gross Area (in2)]]</f>
        <v>317.29088690848886</v>
      </c>
      <c r="EX16" s="237">
        <f>Reinforcements[[#This Row],[Fcry (ksi)]]*Reinforcements[[#This Row],[Gross Area (in2)]]</f>
        <v>396.56224515133601</v>
      </c>
      <c r="EY16" s="237" t="str">
        <f>IF(Reinforcements[[#This Row],[Type]]="channel",0,"N/A")</f>
        <v>N/A</v>
      </c>
      <c r="EZ16" s="237" t="str">
        <f>IF(Reinforcements[[#This Row],[Type]]="channel",Reinforcements[[#This Row],[Channel Flange Width, b]]-(0.5*Reinforcements[[#This Row],[Channel web thickness, tw]]),"N/A")</f>
        <v>N/A</v>
      </c>
      <c r="FA16" s="237" t="str">
        <f>IF(Reinforcements[[#This Row],[Type]]="channel",Reinforcements[[#This Row],[Channel Height, h]]-Reinforcements[[#This Row],[Channel flange thickness, tf]],"N/A")</f>
        <v>N/A</v>
      </c>
      <c r="FB16" s="237" t="str">
        <f>IF(Reinforcements[[#This Row],[Type]]="channel",Reinforcements[[#This Row],[Channel web thickness, tw]],"N/A")</f>
        <v>N/A</v>
      </c>
      <c r="FC16" s="237" t="str">
        <f>IF(Reinforcements[[#This Row],[Type]]="channel",((3*Reinforcements[[#This Row],[b]]^2)/(Reinforcements[[#This Row],[h]]+(6*Reinforcements[[#This Row],[b]])))-Reinforcements[[#This Row],[t]]/2,"N/A")</f>
        <v>N/A</v>
      </c>
      <c r="FD16" s="237">
        <f>Reinforcements[[#This Row],[Pole Face to Centroid (in)]]</f>
        <v>0.625</v>
      </c>
      <c r="FE16" s="236" t="str">
        <f>IF(Reinforcements[[#This Row],[Type]]="channel",Reinforcements[[#This Row],[x(bar)]]+Reinforcements[[#This Row],['[Channel'] e0 (in)]],"N/A")</f>
        <v>N/A</v>
      </c>
      <c r="FF16" s="236" t="str">
        <f>IF(Reinforcements[[#This Row],[Type]]="channel",Reinforcements[[#This Row],[Ix]],"N/A")</f>
        <v>N/A</v>
      </c>
      <c r="FG16" s="236" t="str">
        <f>IF(Reinforcements[[#This Row],[Type]]="channel",Reinforcements[[#This Row],[Iy]],"N/A")</f>
        <v>N/A</v>
      </c>
      <c r="FH16" s="236" t="str">
        <f>IF(Reinforcements[[#This Row],[Type]]="channel",Reinforcements[[#This Row],[Gross Area (in2)]],"N/A")</f>
        <v>N/A</v>
      </c>
      <c r="FI16" s="236" t="str">
        <f>IF(Reinforcements[[#This Row],[Type]]="channel",(Reinforcements[[#This Row],[xo]]^2)+((Reinforcements[[#This Row],[Ix (FTB)]]+Reinforcements[[#This Row],[Iy (FTB)]])/Reinforcements[[#This Row],[Ag]]),"N/A")</f>
        <v>N/A</v>
      </c>
      <c r="FJ16" s="236" t="str">
        <f>IF(Reinforcements[[#This Row],[Type]]="channel",Reinforcements[[#This Row],[Lu (in)]],"N/A")</f>
        <v>N/A</v>
      </c>
      <c r="FK16" s="236" t="str">
        <f>IF(Reinforcements[[#This Row],[Type]]="channel",Reinforcements[[#This Row],[Effective Length Factor Kx]],"N/A")</f>
        <v>N/A</v>
      </c>
      <c r="FL16" s="236" t="str">
        <f>IF(Reinforcements[[#This Row],[Type]]="channel",Reinforcements[[#This Row],[Kz]]*Reinforcements[[#This Row],[Lz]],"N/A")</f>
        <v>N/A</v>
      </c>
      <c r="FM16" s="236" t="str">
        <f>IF(Reinforcements[[#This Row],[Type]]="channel",(((Reinforcements[[#This Row],[t]]^3)/3)*(Reinforcements[[#This Row],[h]]+(2*Reinforcements[[#This Row],[b]]))),"N/A")</f>
        <v>N/A</v>
      </c>
      <c r="FN16" s="236" t="str">
        <f>IF(Reinforcements[[#This Row],[Type]]="channel",(1-(((Reinforcements[[#This Row],[xo]]^2)+(Reinforcements[[#This Row],[yo]]^2))/Reinforcements[[#This Row],[ro^2(bar)]])),"N/A")</f>
        <v>N/A</v>
      </c>
      <c r="FO16" s="237">
        <v>11200</v>
      </c>
      <c r="FP16" s="236" t="str">
        <f>IF(Reinforcements[[#This Row],[Type]]="channel",(((Reinforcements[[#This Row],[h]]^2)*(Reinforcements[[#This Row],[b]]^3)*Reinforcements[[#This Row],[t]])/12)*(((2*Reinforcements[[#This Row],[h]])+(3*Reinforcements[[#This Row],[b]]))/(Reinforcements[[#This Row],[h]]+(6*Reinforcements[[#This Row],[b]]))),"N/A")</f>
        <v>N/A</v>
      </c>
      <c r="FQ16" s="236" t="str">
        <f>IF(Reinforcements[[#This Row],[Type]]="Channel",((((PI()^2)*Reinforcements[[#This Row],[E, (ksi)]]*Reinforcements[[#This Row],['[Channel'] CW (in6)]])/(Reinforcements[[#This Row],[Lcz]]^2))+(Reinforcements[[#This Row],[G]]*Reinforcements[[#This Row],['[Channel'] J (in4)]]))*(1/(Reinforcements[[#This Row],[Ag]]*Reinforcements[[#This Row],[ro^2(bar)]])),"N/A")</f>
        <v>N/A</v>
      </c>
      <c r="FR16" s="236" t="str">
        <f>IF(Reinforcements[[#This Row],[Type]]="channel",((PI()^2)*Reinforcements[[#This Row],[E, (ksi)]])/(Reinforcements[[#This Row],[Lcy/ry]]^2),"N/A")</f>
        <v>N/A</v>
      </c>
      <c r="FS16" s="236" t="str">
        <f>IF(Reinforcements[[#This Row],[Type]]="channel",((Reinforcements[[#This Row],[Fey]]+Reinforcements[[#This Row],[Fez]])/(2*Reinforcements[[#This Row],[H2]]))*(1-SQRT(1-((4*Reinforcements[[#This Row],[Fey]]*Reinforcements[[#This Row],[Fez]]*Reinforcements[[#This Row],[H2]])/(Reinforcements[[#This Row],[Fey]]+Reinforcements[[#This Row],[Fez]])^2))),"N/A")</f>
        <v>N/A</v>
      </c>
      <c r="FT16" s="236" t="str">
        <f>IF(Reinforcements[[#This Row],[Type]]="channel",IF(Reinforcements[[#This Row],[Lcx/rx]]&gt;(4.71*SQRT(Reinforcements[[#This Row],[E, (ksi)]]/Reinforcements[[#This Row],[Fy, (ksi)]])),0.877*Reinforcements[[#This Row],[Fe (FTB)]],0.658^(Reinforcements[[#This Row],[Fy, (ksi)]]/Reinforcements[[#This Row],[Fe (FTB)]])*Reinforcements[[#This Row],[Fy, (ksi)]]),"N/A")</f>
        <v>N/A</v>
      </c>
      <c r="FU16" s="236" t="str">
        <f>IF(Reinforcements[[#This Row],[Type]]="channel",MIN(Reinforcements[[#This Row],[Fcr(FTB)]],Reinforcements[[#This Row],[Fcry (ksi)]]),"N/A")</f>
        <v>N/A</v>
      </c>
      <c r="FV16" s="237">
        <v>0.22</v>
      </c>
      <c r="FW16" s="237">
        <v>1.49</v>
      </c>
      <c r="FX16" s="236" t="str">
        <f>IF(Reinforcements[[#This Row],[Type]]="channel",((Reinforcements[[#This Row],[c2]]*(Reinforcements[[#This Row],[λrf]]/Reinforcements[[#This Row],[λf]]))^2)*Reinforcements[[#This Row],[Fy, (ksi)]],"N/A")</f>
        <v>N/A</v>
      </c>
      <c r="FY16" s="236" t="str">
        <f>IF(Reinforcements[[#This Row],[Type]]="channel",((Reinforcements[[#This Row],[c2]]*(Reinforcements[[#This Row],[λrw]]/Reinforcements[[#This Row],[λw]]))^2)*Reinforcements[[#This Row],[Fy, (ksi)]],"N/A")</f>
        <v>N/A</v>
      </c>
      <c r="FZ16"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6"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6"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6" s="236" t="str">
        <f>IF(Reinforcements[[#This Row],[Type]]="channel",Reinforcements[[#This Row],[Fcr]]*Reinforcements[[#This Row],[Ae]],"N/A")</f>
        <v>N/A</v>
      </c>
      <c r="GD16" s="466">
        <f>IF(Reinforcements[[#This Row],[Reinforcement]]="","",φ_c*Reinforcements[[#This Row],[Pnx, FB (kip)]])</f>
        <v>285.56179821763999</v>
      </c>
      <c r="GE16" s="466">
        <f>IF(Reinforcements[[#This Row],[Reinforcement]]="","",IF(Reinforcements[[#This Row],[Type]]="channel",φ_c*Reinforcements[[#This Row],[Pn]],φ_c*Reinforcements[[#This Row],[Pny, FB (kip)]]))</f>
        <v>356.90602063620241</v>
      </c>
      <c r="GF16" s="466">
        <f>Reinforcements[[#This Row],[Rev. G Tension Yield Capacity (kips)]]</f>
        <v>365.625</v>
      </c>
      <c r="GG16" s="466">
        <f>Reinforcements[[#This Row],[Rev. G Tension Rupture Capacity (kips)]]</f>
        <v>281.25</v>
      </c>
      <c r="GH16" s="466">
        <f>Reinforcements[[#This Row],[Rev. G Shear Capacity (kips)]]</f>
        <v>182.8125</v>
      </c>
      <c r="GI16" s="466">
        <f>IFERROR((Reinforcements[[#This Row],['# of End Connection Bolts          (Bottom)]]-1)*Reinforcements[[#This Row],[End Connection Bolt Spacing (in) (B)]],"-")</f>
        <v>27</v>
      </c>
      <c r="GJ16" s="466">
        <f>IFERROR(IF(VLOOKUP(Reinforcements[[#This Row],[Bottom End Connection Bolt Type]],Bolts[],COLUMN(Bolts[[#Headers],[Rev. H Apply Connection Length Reduction Factor (Rb)?]])-1,FALSE)="Yes",(IF(Reinforcements[[#This Row],[Lb(bottom)]]&lt;=16,1,IF(Reinforcements[[#This Row],[Lb(bottom)]]&gt;38,0.75,0.9))),1),"-")</f>
        <v>1</v>
      </c>
      <c r="GK16"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463.99640970817933</v>
      </c>
      <c r="GL16" s="466">
        <f>IFERROR(IF(Reinforcements[[#This Row],[Top End Connection Same?]]="Yes",Reinforcements[[#This Row],[Lb(bottom)]],(Reinforcements[[#This Row],['# of End Connection Bolts          (Top)]]-1)*Reinforcements[[#This Row],[End Connection Bolt Spacing (in) (T)]]),"-")</f>
        <v>27</v>
      </c>
      <c r="GM16" s="466">
        <f>IFERROR(IF(VLOOKUP(Reinforcements[[#This Row],[Top End Connection Bolt Type]],Bolts[],COLUMN(Bolts[[#Headers],[Rev. H Apply Connection Length Reduction Factor (Rb)?]])-1,FALSE)="Yes",(IF(Reinforcements[[#This Row],[Lb(top)]]&lt;=16,1,IF(Reinforcements[[#This Row],[Lb(top)]]&gt;38,0.75,0.9))),1),"-")</f>
        <v>1</v>
      </c>
      <c r="GN16"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463.99640970817933</v>
      </c>
      <c r="GO16" s="466">
        <f>Reinforcements[[#This Row],[Rev. G Bolt-Shaft Bearing Capacity (Bottom)                No Deformation          (*t*Fu kips)]]</f>
        <v>19.778267716535435</v>
      </c>
      <c r="GP16" s="466">
        <f>Reinforcements[[#This Row],[Rev. G Bolt-Shaft Bearing Capacity (Bottom)                   Deformation          (*t*Fu kips)]]</f>
        <v>24.722834645669291</v>
      </c>
      <c r="GQ16" s="466">
        <f>Reinforcements[[#This Row],[Rev. G Bolt-Shaft Bearing Capacity (Top)                    No Deformation          (*t*Fu kips)]]</f>
        <v>19.778267716535435</v>
      </c>
      <c r="GR16" s="466">
        <f>Reinforcements[[#This Row],[Rev. G Bolt-Shaft Bearing Capacity (Top)                        Deformation          (*t*Fu kips)]]</f>
        <v>24.722834645669291</v>
      </c>
      <c r="GS16" s="466">
        <f>Reinforcements[[#This Row],[Rev. G Bolt-Reinf. Bearing Capacity (Bottom)            No Deformation (kips)]]</f>
        <v>1977.8267716535433</v>
      </c>
      <c r="GT16" s="466">
        <f>Reinforcements[[#This Row],[Rev. G Bolt-Reinf. Bearing Capacity (Bottom)               Deformation (kips)]]</f>
        <v>2472.2834645669291</v>
      </c>
      <c r="GU16" s="466">
        <f>Reinforcements[[#This Row],[Rev. G Bolt-Reinf. Bearing Capacity (Top)                  No Deformation (kips)]]</f>
        <v>1977.8267716535433</v>
      </c>
      <c r="GV16" s="466">
        <f>Reinforcements[[#This Row],[Rev. G Bolt-Reinf. Bearing Capacity (Top)               Deformation (kips)]]</f>
        <v>2472.2834645669291</v>
      </c>
      <c r="GW16" s="466" t="str">
        <f>Reinforcements[[#This Row],[Rev. G Bottom Transverse Weld Strength]]</f>
        <v>-</v>
      </c>
      <c r="GX16" s="466" t="str">
        <f>Reinforcements[[#This Row],[Rev. G Bottom Longitudinal Weld Strength]]</f>
        <v>-</v>
      </c>
      <c r="GY16" s="466" t="str">
        <f>Reinforcements[[#This Row],[Rev. G Top Transverse Weld Strength]]</f>
        <v>-</v>
      </c>
      <c r="GZ16" s="466" t="str">
        <f>Reinforcements[[#This Row],[Rev. G Top Longitudinal Weld Strength]]</f>
        <v>-</v>
      </c>
      <c r="HA16" s="552">
        <v>14</v>
      </c>
      <c r="HB16"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7" spans="2:217" x14ac:dyDescent="0.2">
      <c r="B17" s="72" t="s">
        <v>366</v>
      </c>
      <c r="C17" s="72" t="s">
        <v>146</v>
      </c>
      <c r="D17" s="185">
        <v>6</v>
      </c>
      <c r="E17" s="185">
        <v>1</v>
      </c>
      <c r="F17" s="185" t="str">
        <f>IF(Reinforcements[[#This Row],[Type]]="","",IF(Reinforcements[[#This Row],[Type]]="solid round","","n/a"))</f>
        <v>n/a</v>
      </c>
      <c r="G17" s="185" t="str">
        <f>IF(Reinforcements[[#This Row],[Type]]="","",IF(Reinforcements[[#This Row],[Type]]&lt;&gt;"channel","n/a",""))</f>
        <v>n/a</v>
      </c>
      <c r="H17" s="185" t="str">
        <f>IF(Reinforcements[[#This Row],[Type]]="","",IF(Reinforcements[[#This Row],[Type]]&lt;&gt;"channel","n/a",""))</f>
        <v>n/a</v>
      </c>
      <c r="I17" s="197" t="str">
        <f>IF(Reinforcements[[#This Row],[Type]]="","",IF(Reinforcements[[#This Row],[Type]]&lt;&gt;"channel","n/a",Reinforcements[[#This Row],[eo]]))</f>
        <v>n/a</v>
      </c>
      <c r="J17" s="197" t="str">
        <f>IF(Reinforcements[[#This Row],[Type]]="","",IF(Reinforcements[[#This Row],[Type]]&lt;&gt;"channel","n/a",Reinforcements[[#This Row],[J]]))</f>
        <v>n/a</v>
      </c>
      <c r="K17" s="197" t="str">
        <f>IF(Reinforcements[[#This Row],[Type]]="","",IF(Reinforcements[[#This Row],[Type]]&lt;&gt;"channel","n/a",Reinforcements[[#This Row],[Cw]]))</f>
        <v>n/a</v>
      </c>
      <c r="L17" s="185">
        <f>IFERROR(IF(Reinforcements[[#This Row],[Type]]="","",IF(Reinforcements[[#This Row],[Type]]="plate",Reinforcements[[#This Row],[B (in)]]*Reinforcements[[#This Row],[H (in)]],IF(Reinforcements[[#This Row],[Type]]="solid round",PI()/4*Reinforcements[[#This Row],[Diameter (in)]]^2,""))),"")</f>
        <v>6</v>
      </c>
      <c r="M17" s="185">
        <f>IFERROR(IF(Reinforcements[[#This Row],[Type]]="","",IF(Reinforcements[[#This Row],[Type]]="plate",Reinforcements[[#This Row],[H (in)]]/2,"")),"")</f>
        <v>0.5</v>
      </c>
      <c r="N17" s="186" t="s">
        <v>297</v>
      </c>
      <c r="O17" s="185" t="s">
        <v>60</v>
      </c>
      <c r="P17" s="187">
        <f>IFERROR(IF(Reinforcements[[#This Row],[Type]]="","",IF(Reinforcements[[#This Row],[Type]]="plate",Reinforcements[[#This Row],[B (in)]]*Reinforcements[[#This Row],[H (in)]]^3/12,IF(Reinforcements[[#This Row],[Type]]="solid round",PI()/64*Reinforcements[[#This Row],[Diameter (in)]]^4,""))),"")</f>
        <v>0.5</v>
      </c>
      <c r="Q17" s="187">
        <f>IF(Reinforcements[[#This Row],[Reinforcement]]="","",SQRT(Reinforcements[[#This Row],[Ix]]/Reinforcements[[#This Row],[Gross Area (in2)]]))</f>
        <v>0.28867513459481287</v>
      </c>
      <c r="R17" s="187">
        <f>IFERROR(IF(Reinforcements[[#This Row],[Type]]="","",IF(Reinforcements[[#This Row],[Type]]="plate",Reinforcements[[#This Row],[B (in)]]^3*Reinforcements[[#This Row],[H (in)]]/12,IF(Reinforcements[[#This Row],[Type]]="solid round",PI()/64*Reinforcements[[#This Row],[Diameter (in)]]^4,""))),"")</f>
        <v>18</v>
      </c>
      <c r="S17" s="187">
        <f>IF(Reinforcements[[#This Row],[Reinforcement]]="","",SQRT(Reinforcements[[#This Row],[Iy]]/Reinforcements[[#This Row],[Gross Area (in2)]]))</f>
        <v>1.7320508075688772</v>
      </c>
      <c r="T17" s="190">
        <v>16</v>
      </c>
      <c r="U17" s="188">
        <v>0.8</v>
      </c>
      <c r="V17" s="188">
        <v>1</v>
      </c>
      <c r="W17" s="185">
        <v>1.1875</v>
      </c>
      <c r="X17" s="188">
        <f>IF(Reinforcements[[#This Row],[Bolt Hole Size (in)]]="","",IF(Reinforcements[[#This Row],[Bolt Hole Size (in)]]="n/a","n/a",Reinforcements[[#This Row],[Bolt Hole Size (in)]]*25.4))</f>
        <v>30.162499999999998</v>
      </c>
      <c r="Y17"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17" s="185">
        <f>IFERROR(IF(Reinforcements[[#This Row],[Reinforcement]]="","",IF(OR(Reinforcements[[#This Row],[Type]]="plate",Reinforcements[[#This Row],[Type]]="solid round"),1,IF(Reinforcements[[#This Row],[Type]]="arbitrary","",1-Reinforcements[[#This Row],[Pole Face to Centroid (in)]]/Reinforcements[[#This Row],[Connection Length (in) '[Channels']]]))),"")</f>
        <v>1</v>
      </c>
      <c r="AA17" s="189" t="s">
        <v>391</v>
      </c>
      <c r="AB17" s="189" t="str">
        <f>IF(Reinforcements[[#This Row],[Reinforcement]]="","",IF(Reinforcements[[#This Row],[Bottom End Connection Type]]&lt;&gt;"Capacity Input","-",""))</f>
        <v>-</v>
      </c>
      <c r="AC17" s="189" t="str">
        <f>IF(Reinforcements[[#This Row],[Reinforcement]]="","",IF(Reinforcements[[#This Row],[Bottom End Connection Type]]&lt;&gt;"Capacity Input","-",""))</f>
        <v>-</v>
      </c>
      <c r="AD17" s="461" t="str">
        <f>IF(Reinforcements[[#This Row],[Reinforcement]]="","",IF(Reinforcements[[#This Row],[Bottom End Connection Type]]&lt;&gt;"Capacity Input","-",""))</f>
        <v>-</v>
      </c>
      <c r="AE17" s="103" t="s">
        <v>416</v>
      </c>
      <c r="AF17" s="190" t="s">
        <v>296</v>
      </c>
      <c r="AG17" s="190">
        <v>10</v>
      </c>
      <c r="AH17" s="190">
        <v>3</v>
      </c>
      <c r="AI17" s="190">
        <v>3</v>
      </c>
      <c r="AJ17" s="190">
        <f>Reinforcements[[#This Row],[End Connection Edge Distance (in) (B)]]-(Reinforcements[[#This Row],[Bolt Hole Size (in)]]+1/16)/2</f>
        <v>2.375</v>
      </c>
      <c r="AK17" s="190">
        <f>Reinforcements[[#This Row],[End Connection Bolt Spacing (in) (B)]]-(Reinforcements[[#This Row],[Bolt Hole Size (in)]]+1/16)</f>
        <v>1.75</v>
      </c>
      <c r="AL17" s="190">
        <f>Reinforcements[[#This Row],[End Connection Edge Distance (in) (B)]]</f>
        <v>3</v>
      </c>
      <c r="AM17" s="190">
        <f>Reinforcements[[#This Row],[End Connection Bolt Spacing (in) (B)]]</f>
        <v>3</v>
      </c>
      <c r="AN17" s="190" t="str">
        <f>IF(Reinforcements[[#This Row],[Reinforcement]]="","",IF(OR(Reinforcements[[#This Row],[Bottom End Connection Type]]="Bolted",Reinforcements[[#This Row],[Bottom End Connection Type]]=""),"-",""))</f>
        <v>-</v>
      </c>
      <c r="AO17" s="191" t="str">
        <f>IF(Reinforcements[[#This Row],[Reinforcement]]="","",IF(OR(Reinforcements[[#This Row],[Bottom End Connection Type]]="Bolted",Reinforcements[[#This Row],[Bottom End Connection Type]]=""),"-",""))</f>
        <v>-</v>
      </c>
      <c r="AP17" s="191" t="str">
        <f>IF(Reinforcements[[#This Row],[Reinforcement]]="","",IF(OR(Reinforcements[[#This Row],[Bottom End Connection Type]]="Bolted",Reinforcements[[#This Row],[Bottom End Connection Type]]=""),"-",""))</f>
        <v>-</v>
      </c>
      <c r="AQ17" s="191" t="str">
        <f>IF(OR(Reinforcements[[#This Row],[Bottom End Connection Type]]="Bolted",Reinforcements[[#This Row],[Bottom Transverse (Horizontal) Weld]]="none"),"-","")</f>
        <v>-</v>
      </c>
      <c r="AR1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7" s="191" t="str">
        <f>IF(OR(Reinforcements[[#This Row],[Bottom Transverse (Horizontal) Weld]]="none",Reinforcements[[#This Row],[Bottom End Connection Type]]="Bolted"),"-","")</f>
        <v>-</v>
      </c>
      <c r="AU17"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7" s="191" t="str">
        <f>IF(Reinforcements[[#This Row],[Reinforcement]]="","",IF(OR(Reinforcements[[#This Row],[Bottom End Connection Type]]="Bolted",Reinforcements[[#This Row],[Bottom End Connection Type]]=""),"-",""))</f>
        <v>-</v>
      </c>
      <c r="AW17" s="191" t="str">
        <f>IF(Reinforcements[[#This Row],[Reinforcement]]="","",IF(OR(Reinforcements[[#This Row],[Bottom End Connection Type]]&lt;&gt;"Welded",Reinforcements[[#This Row],[Bottom Longitudinal (Vertical) Weld]]="None",Reinforcements[[#This Row],[Bottom Longitudinal (Vertical) Weld]]=""),"-",""))</f>
        <v>-</v>
      </c>
      <c r="AX17" s="191" t="str">
        <f>IF(Reinforcements[[#This Row],[Reinforcement]]="","",IF(OR(Reinforcements[[#This Row],[Bottom End Connection Type]]&lt;&gt;"Welded",Reinforcements[[#This Row],[Bottom Longitudinal (Vertical) Weld]]="None",Reinforcements[[#This Row],[Bottom Longitudinal (Vertical) Weld]]=""),"-",""))</f>
        <v>-</v>
      </c>
      <c r="AY17" s="190" t="str">
        <f>IF(Reinforcements[[#This Row],[Reinforcement]]="","",IF(OR(Reinforcements[[#This Row],[Bottom End Connection Type]]&lt;&gt;"Welded",Reinforcements[[#This Row],[Bottom Longitudinal (Vertical) Weld]]="None"),"-",SQRT(2)/2*Reinforcements[[#This Row],[Bottom Longitudinal Weld Fillet Size (in)]]))</f>
        <v>-</v>
      </c>
      <c r="AZ17" s="191" t="s">
        <v>295</v>
      </c>
      <c r="BA17" s="189" t="str">
        <f>IF(Reinforcements[[#This Row],[Top End Connection Same?]]="Yes",Reinforcements[[#This Row],[Bottom End Connection Type]],"")</f>
        <v>Bolted</v>
      </c>
      <c r="BB17" s="189" t="str">
        <f>IF(Reinforcements[[#This Row],[Reinforcement]]="","",IF(Reinforcements[[#This Row],[Top End Connection Same?]]="Yes",Reinforcements[[#This Row],[Rev. F Bottom Connection Capacity (kips)]],IF(Reinforcements[[#This Row],[Reinforcement]]="","",IF(Reinforcements[[#This Row],[Top End Connection Type]]&lt;&gt;"Capacity Input","-",""))))</f>
        <v>-</v>
      </c>
      <c r="BC17" s="189" t="str">
        <f>IF(Reinforcements[[#This Row],[Reinforcement]]="","",IF(Reinforcements[[#This Row],[Top End Connection Same?]]="Yes",Reinforcements[[#This Row],[Rev. G Bottom Connection Capacity (kips)]],IF(Reinforcements[[#This Row],[Reinforcement]]="","",IF(Reinforcements[[#This Row],[Top End Connection Type]]&lt;&gt;"Capacity Input","-",""))))</f>
        <v>-</v>
      </c>
      <c r="BD17" s="461" t="str">
        <f>IF(Reinforcements[[#This Row],[Reinforcement]]="","",IF(Reinforcements[[#This Row],[Top End Connection Same?]]="Yes",Reinforcements[[#This Row],[Rev. G Bottom Connection Capacity (kips)]],IF(Reinforcements[[#This Row],[Reinforcement]]="","",IF(Reinforcements[[#This Row],[Top End Connection Type]]&lt;&gt;"Capacity Input","-",""))))</f>
        <v>-</v>
      </c>
      <c r="BE17" s="103" t="str">
        <f>IF(Reinforcements[[#This Row],[Top End Connection Same?]]="Yes",Reinforcements[[#This Row],[Bottom End Connection Bolt Type]],IF(Reinforcements[[#This Row],[Top End Connection Type]]="Welded","-",""))</f>
        <v>PC 8.8 - M20 (100)</v>
      </c>
      <c r="BF17" s="190" t="str">
        <f>IF(Reinforcements[[#This Row],[Top End Connection Same?]]="Yes",Reinforcements[[#This Row],[Threads Included (N) or Excluded (X) (Bottom)]],IF(Reinforcements[[#This Row],[Top End Connection Type]]="Welded","-",""))</f>
        <v>N</v>
      </c>
      <c r="BG17" s="190">
        <f>IF(Reinforcements[[#This Row],[Top End Connection Same?]]="Yes",Reinforcements[[#This Row],['# of End Connection Bolts          (Bottom)]],IF(Reinforcements[[#This Row],[Top End Connection Type]]="Welded","-",""))</f>
        <v>10</v>
      </c>
      <c r="BH17" s="190">
        <f>IF(Reinforcements[[#This Row],[Top End Connection Same?]]="Yes",Reinforcements[[#This Row],[End Connection Bolt Spacing (in) (B)]],IF(Reinforcements[[#This Row],[Top End Connection Type]]="Welded","-",""))</f>
        <v>3</v>
      </c>
      <c r="BI17" s="190">
        <f>IF(Reinforcements[[#This Row],[Top End Connection Same?]]="Yes",Reinforcements[[#This Row],[End Connection Edge Distance (in) (B)]],IF(Reinforcements[[#This Row],[Top End Connection Type]]="Welded","-",""))</f>
        <v>3</v>
      </c>
      <c r="BJ17" s="190">
        <f>Reinforcements[[#This Row],[End Connection Edge Distance (in) (T)]]-(Reinforcements[[#This Row],[Bolt Hole Size (in)]]+1/16)/2</f>
        <v>2.375</v>
      </c>
      <c r="BK17" s="190">
        <f>Reinforcements[[#This Row],[End Connection Bolt Spacing (in) (T)]]-(Reinforcements[[#This Row],[Bolt Hole Size (in)]]+1/16)</f>
        <v>1.75</v>
      </c>
      <c r="BL17" s="190">
        <f>Reinforcements[[#This Row],[End Connection Edge Distance (in) (T)]]</f>
        <v>3</v>
      </c>
      <c r="BM17" s="190">
        <f>Reinforcements[[#This Row],[End Connection Bolt Spacing (in) (T)]]</f>
        <v>3</v>
      </c>
      <c r="BN17" s="190" t="str">
        <f>IF(Reinforcements[[#This Row],[Reinforcement]]="","",IF(Reinforcements[[#This Row],[Top End Connection Same?]]="Yes",Reinforcements[[#This Row],[Bottom Connected to Flange/Base Plate?]],IF(Reinforcements[[#This Row],[Top End Connection Type]]="Bolted","-","")))</f>
        <v>-</v>
      </c>
      <c r="BO17" s="190" t="str">
        <f>IF(Reinforcements[[#This Row],[Reinforcement]]="","",IF(Reinforcements[[#This Row],[Top End Connection Same?]]="Yes",Reinforcements[[#This Row],[Bottom Weld Grade (ksi)]],IF(OR(Reinforcements[[#This Row],[Top End Connection Type]]&lt;&gt;"Welded",Reinforcements[[#This Row],[Top End Connection Type]]=""),"-","")))</f>
        <v>-</v>
      </c>
      <c r="BP17" s="190" t="str">
        <f>IF($AZ17="Yes",AP17,IF(Reinforcements[[#This Row],[Reinforcement]]="","",IF(OR(Reinforcements[[#This Row],[Top End Connection Type]]&lt;&gt;"Welded",Reinforcements[[#This Row],[Top End Connection Type]]=""),"-","")))</f>
        <v>-</v>
      </c>
      <c r="BQ17" s="190" t="str">
        <f>IF(Reinforcements[[#This Row],[Reinforcement]]="","",IF($AZ17="Yes",AQ17,IF(OR(Reinforcements[[#This Row],[Top End Connection Type]]&lt;&gt;"Welded",Reinforcements[[#This Row],[Top Transverse (Horizontal) Weld]]="none",Reinforcements[[#This Row],[Top Transverse (Horizontal) Weld]]=""),"-","")))</f>
        <v>-</v>
      </c>
      <c r="BR17" s="190" t="str">
        <f>IF($AZ17="Yes",AR17,IF(Reinforcements[[#This Row],[Reinforcement]]="","",IF(OR(Reinforcements[[#This Row],[Top Transverse (Horizontal) Weld]]="none",Reinforcements[[#This Row],[Top End Connection Type]]&lt;&gt;"Welded",Reinforcements[[#This Row],[Top Transverse (Horizontal) Weld]]="",Reinforcements[[#This Row],[Top Transverse (Horizontal) Weld]]="Fillet"),"-","")))</f>
        <v>-</v>
      </c>
      <c r="BS17" s="190" t="str">
        <f>IF($AZ17="Yes",AS17,IF(Reinforcements[[#This Row],[Reinforcement]]="","",IF(OR(Reinforcements[[#This Row],[Top Transverse (Horizontal) Weld]]="none",Reinforcements[[#This Row],[Top End Connection Type]]&lt;&gt;"Welded",Reinforcements[[#This Row],[Top Transverse (Horizontal) Weld]]="",Reinforcements[[#This Row],[Top Transverse (Horizontal) Weld]]="Fillet"),"-","")))</f>
        <v>-</v>
      </c>
      <c r="BT17" s="190" t="str">
        <f>IF(Reinforcements[[#This Row],[Reinforcement]]="","",IF($AZ17="Yes",AT17,IF(OR(Reinforcements[[#This Row],[Top Transverse (Horizontal) Weld]]="none",Reinforcements[[#This Row],[Top End Connection Type]]&lt;&gt;"Welded",Reinforcements[[#This Row],[Top Transverse (Horizontal) Weld]]=""),"-","")))</f>
        <v>-</v>
      </c>
      <c r="BU17" s="190" t="str">
        <f>IF($AZ17="Yes",AU17,IF(Reinforcements[[#This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7" s="190" t="str">
        <f>IF($AZ17="Yes",AV17,IF(Reinforcements[[#This Row],[Reinforcement]]="","",IF(OR(Reinforcements[[#This Row],[Top End Connection Type]]&lt;&gt;"Welded",Reinforcements[[#This Row],[Top End Connection Type]]=""),"-","")))</f>
        <v>-</v>
      </c>
      <c r="BW17" s="190" t="str">
        <f>IF($AZ17="Yes",AW17,IF(Reinforcements[[#This Row],[Reinforcement]]="","",IF(OR(Reinforcements[[#This Row],[Top End Connection Type]]&lt;&gt;"Welded",Reinforcements[[#This Row],[Top End Connection Type]]="",Reinforcements[[#This Row],[Top Longitudinal (Vertical) Weld]]="",Reinforcements[[#This Row],[Top Longitudinal (Vertical) Weld]]="None"),"-","")))</f>
        <v>-</v>
      </c>
      <c r="BX17" s="190" t="str">
        <f>IF($AZ17="Yes",AX17,IF(Reinforcements[[#This Row],[Reinforcement]]="","",IF(OR(Reinforcements[[#This Row],[Top End Connection Type]]&lt;&gt;"Welded",Reinforcements[[#This Row],[Top End Connection Type]]="",Reinforcements[[#This Row],[Top Longitudinal (Vertical) Weld]]="",Reinforcements[[#This Row],[Top Longitudinal (Vertical) Weld]]="None"),"-","")))</f>
        <v>-</v>
      </c>
      <c r="BY17" s="190" t="str">
        <f>IF($AZ17="Yes",AY17,IF(Reinforcements[[#This Row],[Reinforcement]]="","",IF(OR(Reinforcements[[#This Row],[Top End Connection Type]]&lt;&gt;"Welded",Reinforcements[[#This Row],[Top Longitudinal (Vertical) Weld]]="none"),"-",SQRT(2)/2*Reinforcements[[#This Row],[Top Longitudinal Weld Fillet Size (in)]])))</f>
        <v>-</v>
      </c>
      <c r="BZ17"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7" s="192">
        <f>IF(Reinforcements[[#This Row],[Reinforcement]]="","",IF(Reinforcements[[#This Row],[Bottom End Connection Type]]&lt;&gt;"Bolted","n/a",(Reinforcements[[#This Row],['# of End Connection Bolts          (Bottom)]]-1)*Reinforcements[[#This Row],[End Connection Bolt Spacing (in) (B)]]+Reinforcements[[#This Row],[End Connection Edge Distance (in) (B)]]))</f>
        <v>30</v>
      </c>
      <c r="CB17" s="192">
        <f>IF(Reinforcements[[#This Row],[Reinforcement]]="","",IF(Reinforcements[[#This Row],[Top End Connection Type]]&lt;&gt;"Bolted","n/a",(Reinforcements[[#This Row],['# of End Connection Bolts          (Top)]]-1)*Reinforcements[[#This Row],[End Connection Bolt Spacing (in) (T)]]+Reinforcements[[#This Row],[End Connection Edge Distance (in) (T)]]))</f>
        <v>30</v>
      </c>
      <c r="CC17"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17"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17" s="185">
        <f>IFERROR(IF(Reinforcements[[#This Row],[Type]]="","",Reinforcements[[#This Row],[Effective B (in)]]*Reinforcements[[#This Row],[Effective H (in)]]^3/12),"")</f>
        <v>0.5</v>
      </c>
      <c r="CF17" s="185">
        <f>IFERROR(IF(Reinforcements[[#This Row],[Type]]="","",Reinforcements[[#This Row],[Effective B (in)]]^3*Reinforcements[[#This Row],[Effective H (in)]]/12),"")</f>
        <v>18</v>
      </c>
      <c r="CG17" s="197">
        <f>SQRT(2*PI()^2*29000/VLOOKUP(Reinforcements[[#This Row],[Material]],Materials[],2,FALSE))</f>
        <v>93.844147005158973</v>
      </c>
      <c r="CH17"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31.54287616885998</v>
      </c>
      <c r="CI17"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37.972749066590325</v>
      </c>
      <c r="CJ17" s="187">
        <f>Reinforcements[[#This Row],[Effective Length Factor Kx]]*Reinforcements[[#This Row],[Lu (in)]]/(Reinforcements[[#This Row],[rx]]*PI())*SQRT(VLOOKUP(Reinforcements[[#This Row],[Material]],Materials[],2,FALSE)/29000)</f>
        <v>0.66820296647591804</v>
      </c>
      <c r="CK17" s="187">
        <f>Reinforcements[[#This Row],[Effective Length Factor Ky]]*Reinforcements[[#This Row],[Lu (in)]]/(Reinforcements[[#This Row],[ry]]*PI())*SQRT(VLOOKUP(Reinforcements[[#This Row],[Material]],Materials[],2,FALSE)/29000)</f>
        <v>0.13920895134914957</v>
      </c>
      <c r="CL17" s="187">
        <f>IF(Reinforcements[[#This Row],[λcx]]&lt;=1.5,0.658^(Reinforcements[[#This Row],[λcx]]^2)*Reinforcements[[#This Row],[F''y]],0.877/(Reinforcements[[#This Row],[λcx]]^2)*Reinforcements[[#This Row],[F''y]])</f>
        <v>53.9202739283065</v>
      </c>
      <c r="CM17" s="187">
        <f>IF(Reinforcements[[#This Row],[λcy]]&lt;=1.5,0.658^(Reinforcements[[#This Row],[λcy]]^2)*Reinforcements[[#This Row],[F''y]],0.877/(Reinforcements[[#This Row],[λcy]]^2)*Reinforcements[[#This Row],[F''y]])</f>
        <v>64.474908164166294</v>
      </c>
      <c r="CN17" s="185">
        <f>VLOOKUP(Reinforcements[[#This Row],[Material]],Materials[],2,FALSE)</f>
        <v>65</v>
      </c>
      <c r="CO17" s="197">
        <f>IF(Reinforcements[[#This Row],[Reinforcement]]="","",Reinforcements[[#This Row],[Fax]]*Reinforcements[[#This Row],[Gross Area (in2)]])</f>
        <v>189.25725701315989</v>
      </c>
      <c r="CP17" s="197">
        <f>IF(Reinforcements[[#This Row],[Reinforcement]]="","",Reinforcements[[#This Row],[Fay]]*Reinforcements[[#This Row],[Gross Area (in2)]])</f>
        <v>227.83649439954195</v>
      </c>
      <c r="CQ17" s="197">
        <f>IF(Reinforcements[[#This Row],[Reinforcement]]="","",0.6*VLOOKUP(Reinforcements[[#This Row],[Material]],Materials[],2,FALSE)*Reinforcements[[#This Row],[Gross Area (in2)]])</f>
        <v>234</v>
      </c>
      <c r="CR17" s="197">
        <f>IF(Reinforcements[[#This Row],[Reinforcement]]="","",0.5*VLOOKUP(Reinforcements[[#This Row],[Material]],Materials[],3,FALSE)*Reinforcements[[#This Row],[Net Area (in2)]]*Reinforcements[[#This Row],[Shear Lag (U)]])</f>
        <v>190</v>
      </c>
      <c r="CS17" s="197">
        <f>IF(Reinforcements[[#This Row],[Reinforcement]]="","",0.4*VLOOKUP(Reinforcements[[#This Row],[Material]],Materials[],2,FALSE)*Reinforcements[[#This Row],[Gross Area (in2)]])</f>
        <v>156</v>
      </c>
      <c r="CT17"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17"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17"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17"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17"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17"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17"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1096.0629921259842</v>
      </c>
      <c r="DA17"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1217.007874015748</v>
      </c>
      <c r="DB17"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17"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1217.007874015748</v>
      </c>
      <c r="DD17"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7"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7" s="190" t="str">
        <f>IF($AZ17="Yes",DD17,IF(Reinforcements[[#This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7" s="190" t="str">
        <f>IF($AZ17="Yes",DE17,IF(Reinforcements[[#This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7" s="197">
        <f>IF(Reinforcements[[#This Row],[Reinforcement]]="","",φ_c*Reinforcements[[#This Row],[Fcr,x]]*Reinforcements[[#This Row],[Gross Area (in2)]])</f>
        <v>291.16947921285509</v>
      </c>
      <c r="DI17" s="197">
        <f>IF(Reinforcements[[#This Row],[Reinforcement]]="","",φ_c*Reinforcements[[#This Row],[Fcr,y]]*Reinforcements[[#This Row],[Gross Area (in2)]])</f>
        <v>348.16450408649803</v>
      </c>
      <c r="DJ17" s="197">
        <f>IF(Reinforcements[[#This Row],[Reinforcement]]="","",φ_t_y*VLOOKUP(Reinforcements[[#This Row],[Material]],Materials[],2,FALSE)*Reinforcements[[#This Row],[Gross Area (in2)]])</f>
        <v>351</v>
      </c>
      <c r="DK17" s="197">
        <f>IF(Reinforcements[[#This Row],[Reinforcement]]="","",φ_t_r*VLOOKUP(Reinforcements[[#This Row],[Material]],Materials[],3,FALSE)*Reinforcements[[#This Row],[Net Area (in2)]]*Reinforcements[[#This Row],[Shear Lag (U)]])</f>
        <v>285</v>
      </c>
      <c r="DL17" s="197">
        <f>IF(Reinforcements[[#This Row],[Reinforcement]]="","",φ_v*0.5*Reinforcements[[#This Row],[F''y]]*Reinforcements[[#This Row],[Gross Area (in2)]])</f>
        <v>175.5</v>
      </c>
      <c r="DM17"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17"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17"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19.778267716535435</v>
      </c>
      <c r="DP17"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24.722834645669291</v>
      </c>
      <c r="DQ17"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17"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17"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1582.2614173228346</v>
      </c>
      <c r="DT17"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1977.8267716535433</v>
      </c>
      <c r="DU17"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1582.2614173228346</v>
      </c>
      <c r="DV17"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1977.8267716535433</v>
      </c>
      <c r="DW17"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7"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7" s="190" t="str">
        <f>IF($AZ17="Yes",DW17,IF(Reinforcements[[#This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7" s="190" t="str">
        <f>IF($AZ17="Yes",DX17,IF(Reinforcements[[#This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7" s="241" t="str">
        <f>IF(OR(Reinforcements[[#This Row],[Type]]="plate",Reinforcements[[#This Row],[Type]]="solid round"),"N/A",Reinforcements[[#This Row],[B (in)]])</f>
        <v>N/A</v>
      </c>
      <c r="EB17" s="237" t="str">
        <f>IF(OR(Reinforcements[[#This Row],[Type]]="plate",Reinforcements[[#This Row],[Type]]="solid round"),"N/A",Reinforcements[[#This Row],[H (in)]])</f>
        <v>N/A</v>
      </c>
      <c r="EC17" s="237" t="str">
        <f>IF(OR(Reinforcements[[#This Row],[Type]]="plate",Reinforcements[[#This Row],[Type]]="solid round"),"N/A",Reinforcements[[#This Row],[B (in)]]-Reinforcements[[#This Row],['[Channel'] Flange Thickness (in)]])</f>
        <v>N/A</v>
      </c>
      <c r="ED17" s="237" t="str">
        <f>IF(OR(Reinforcements[[#This Row],[Type]]="plate",Reinforcements[[#This Row],[Type]]="solid round"),"N/A",Reinforcements[[#This Row],['[Channel']Web Thickness (in)]])</f>
        <v>N/A</v>
      </c>
      <c r="EE17" s="237" t="str">
        <f>IF(OR(Reinforcements[[#This Row],[Type]]="plate",Reinforcements[[#This Row],[Type]]="solid round"),"N/A",Reinforcements[[#This Row],['[Channel'] Flange Thickness (in)]])</f>
        <v>N/A</v>
      </c>
      <c r="EF17" s="237" t="str">
        <f>IF(Reinforcements[[#This Row],[Type]]="channel",Reinforcements[[#This Row],[Channel Flange Width, b]]/Reinforcements[[#This Row],[Channel flange thickness, tf]],"N/A")</f>
        <v>N/A</v>
      </c>
      <c r="EG17" s="237" t="str">
        <f>IF(Reinforcements[[#This Row],[Type]]="channel",Reinforcements[[#This Row],[Channel inside depth, T]]/Reinforcements[[#This Row],[Channel web thickness, tw]],"N/A")</f>
        <v>N/A</v>
      </c>
      <c r="EH17" s="237">
        <v>29000</v>
      </c>
      <c r="EI17" s="237" t="str">
        <f>IF(Reinforcements[[#This Row],[Type]]="channel",0.56*SQRT(Reinforcements[[#This Row],[E, (ksi)]]/Reinforcements[[#This Row],[Fy, (ksi)]]),"N/A")</f>
        <v>N/A</v>
      </c>
      <c r="EJ17" s="237" t="str">
        <f>IF(Reinforcements[[#This Row],[Type]]="channel",1.49*SQRT(Reinforcements[[#This Row],[E, (ksi)]]/Reinforcements[[#This Row],[Fy, (ksi)]]),"N/A")</f>
        <v>N/A</v>
      </c>
      <c r="EK17" s="237">
        <f>VLOOKUP(Reinforcements[[#This Row],[Material]],Materials!$B$2:$C$30,2,FALSE)</f>
        <v>65</v>
      </c>
      <c r="EL17" s="237">
        <f>Reinforcements[[#This Row],[Lu (in)]]*Reinforcements[[#This Row],[Effective Length Factor Kx]]</f>
        <v>12.8</v>
      </c>
      <c r="EM17" s="237">
        <f>Reinforcements[[#This Row],[Lu (in)]]*Reinforcements[[#This Row],[Effective Length Factor Ky]]</f>
        <v>16</v>
      </c>
      <c r="EN17" s="237">
        <f>Reinforcements[[#This Row],[rx]]</f>
        <v>0.28867513459481287</v>
      </c>
      <c r="EO17" s="237">
        <f>Reinforcements[[#This Row],[ry]]</f>
        <v>1.7320508075688772</v>
      </c>
      <c r="EP17" s="237">
        <f>Reinforcements[[#This Row],[Lcx (in)]]/Reinforcements[[#This Row],[rx (in)]]</f>
        <v>44.340500673763266</v>
      </c>
      <c r="EQ17" s="237">
        <f>Reinforcements[[#This Row],[Lcy (in)]]/Reinforcements[[#This Row],[ry (in)]]</f>
        <v>9.2376043070340135</v>
      </c>
      <c r="ER17" s="237">
        <f>((PI()^2)*Reinforcements[[#This Row],[E, (ksi)]])/(Reinforcements[[#This Row],[Lcx/rx]]^2)</f>
        <v>145.57827129699263</v>
      </c>
      <c r="ES17" s="237">
        <f>((PI()^2)*Reinforcements[[#This Row],[E, (ksi)]])/(Reinforcements[[#This Row],[Lcy/ry]]^2)</f>
        <v>3354.1233706827102</v>
      </c>
      <c r="ET17" s="237">
        <f>4.71*(SQRT(Reinforcements[[#This Row],[E, (ksi)]]/Reinforcements[[#This Row],[Fy, (ksi)]]))</f>
        <v>99.486288193205496</v>
      </c>
      <c r="EU17" s="237">
        <f>IF(Reinforcements[[#This Row],[Lcx/rx]]&lt;=Reinforcements[[#This Row],[Fcr Limit]],(0.658^(Reinforcements[[#This Row],[Fy, (ksi)]]/Reinforcements[[#This Row],[Fex, FB (ksi)]]))*Reinforcements[[#This Row],[Fy, (ksi)]],0.877*Reinforcements[[#This Row],[Fex, FB (ksi)]])</f>
        <v>53.9202739283065</v>
      </c>
      <c r="EV17" s="237">
        <f>IF(Reinforcements[[#This Row],[Lcy/ry]]&lt;=Reinforcements[[#This Row],[Fcr Limit]],(0.658^(Reinforcements[[#This Row],[Fy, (ksi)]]/Reinforcements[[#This Row],[Fey, FB (ksi)]]))*Reinforcements[[#This Row],[Fy, (ksi)]],0.877*Reinforcements[[#This Row],[Fey, FB (ksi)]])</f>
        <v>64.474908164166294</v>
      </c>
      <c r="EW17" s="237">
        <f>Reinforcements[[#This Row],[Fcrx (ksi)]]*Reinforcements[[#This Row],[Gross Area (in2)]]</f>
        <v>323.521643569839</v>
      </c>
      <c r="EX17" s="237">
        <f>Reinforcements[[#This Row],[Fcry (ksi)]]*Reinforcements[[#This Row],[Gross Area (in2)]]</f>
        <v>386.84944898499776</v>
      </c>
      <c r="EY17" s="237" t="str">
        <f>IF(Reinforcements[[#This Row],[Type]]="channel",0,"N/A")</f>
        <v>N/A</v>
      </c>
      <c r="EZ17" s="237" t="str">
        <f>IF(Reinforcements[[#This Row],[Type]]="channel",Reinforcements[[#This Row],[Channel Flange Width, b]]-(0.5*Reinforcements[[#This Row],[Channel web thickness, tw]]),"N/A")</f>
        <v>N/A</v>
      </c>
      <c r="FA17" s="237" t="str">
        <f>IF(Reinforcements[[#This Row],[Type]]="channel",Reinforcements[[#This Row],[Channel Height, h]]-Reinforcements[[#This Row],[Channel flange thickness, tf]],"N/A")</f>
        <v>N/A</v>
      </c>
      <c r="FB17" s="237" t="str">
        <f>IF(Reinforcements[[#This Row],[Type]]="channel",Reinforcements[[#This Row],[Channel web thickness, tw]],"N/A")</f>
        <v>N/A</v>
      </c>
      <c r="FC17" s="237" t="str">
        <f>IF(Reinforcements[[#This Row],[Type]]="channel",((3*Reinforcements[[#This Row],[b]]^2)/(Reinforcements[[#This Row],[h]]+(6*Reinforcements[[#This Row],[b]])))-Reinforcements[[#This Row],[t]]/2,"N/A")</f>
        <v>N/A</v>
      </c>
      <c r="FD17" s="237">
        <f>Reinforcements[[#This Row],[Pole Face to Centroid (in)]]</f>
        <v>0.5</v>
      </c>
      <c r="FE17" s="237" t="str">
        <f>IF(Reinforcements[[#This Row],[Type]]="channel",Reinforcements[[#This Row],[x(bar)]]+Reinforcements[[#This Row],['[Channel'] e0 (in)]],"N/A")</f>
        <v>N/A</v>
      </c>
      <c r="FF17" s="237" t="str">
        <f>IF(Reinforcements[[#This Row],[Type]]="channel",Reinforcements[[#This Row],[Ix]],"N/A")</f>
        <v>N/A</v>
      </c>
      <c r="FG17" s="237" t="str">
        <f>IF(Reinforcements[[#This Row],[Type]]="channel",Reinforcements[[#This Row],[Iy]],"N/A")</f>
        <v>N/A</v>
      </c>
      <c r="FH17" s="237" t="str">
        <f>IF(Reinforcements[[#This Row],[Type]]="channel",Reinforcements[[#This Row],[Gross Area (in2)]],"N/A")</f>
        <v>N/A</v>
      </c>
      <c r="FI17" s="237" t="str">
        <f>IF(Reinforcements[[#This Row],[Type]]="channel",(Reinforcements[[#This Row],[xo]]^2)+((Reinforcements[[#This Row],[Ix (FTB)]]+Reinforcements[[#This Row],[Iy (FTB)]])/Reinforcements[[#This Row],[Ag]]),"N/A")</f>
        <v>N/A</v>
      </c>
      <c r="FJ17" s="237" t="str">
        <f>IF(Reinforcements[[#This Row],[Type]]="channel",Reinforcements[[#This Row],[Lu (in)]],"N/A")</f>
        <v>N/A</v>
      </c>
      <c r="FK17" s="237" t="str">
        <f>IF(Reinforcements[[#This Row],[Type]]="channel",Reinforcements[[#This Row],[Effective Length Factor Kx]],"N/A")</f>
        <v>N/A</v>
      </c>
      <c r="FL17" s="237" t="str">
        <f>IF(Reinforcements[[#This Row],[Type]]="channel",Reinforcements[[#This Row],[Kz]]*Reinforcements[[#This Row],[Lz]],"N/A")</f>
        <v>N/A</v>
      </c>
      <c r="FM17" s="237" t="str">
        <f>IF(Reinforcements[[#This Row],[Type]]="channel",(((Reinforcements[[#This Row],[t]]^3)/3)*(Reinforcements[[#This Row],[h]]+(2*Reinforcements[[#This Row],[b]]))),"N/A")</f>
        <v>N/A</v>
      </c>
      <c r="FN17" s="237" t="str">
        <f>IF(Reinforcements[[#This Row],[Type]]="channel",(1-(((Reinforcements[[#This Row],[xo]]^2)+(Reinforcements[[#This Row],[yo]]^2))/Reinforcements[[#This Row],[ro^2(bar)]])),"N/A")</f>
        <v>N/A</v>
      </c>
      <c r="FO17" s="237">
        <v>11200</v>
      </c>
      <c r="FP17" s="237" t="str">
        <f>IF(Reinforcements[[#This Row],[Type]]="channel",(((Reinforcements[[#This Row],[h]]^2)*(Reinforcements[[#This Row],[b]]^3)*Reinforcements[[#This Row],[t]])/12)*(((2*Reinforcements[[#This Row],[h]])+(3*Reinforcements[[#This Row],[b]]))/(Reinforcements[[#This Row],[h]]+(6*Reinforcements[[#This Row],[b]]))),"N/A")</f>
        <v>N/A</v>
      </c>
      <c r="FQ17" s="237" t="str">
        <f>IF(Reinforcements[[#This Row],[Type]]="Channel",((((PI()^2)*Reinforcements[[#This Row],[E, (ksi)]]*Reinforcements[[#This Row],['[Channel'] CW (in6)]])/(Reinforcements[[#This Row],[Lcz]]^2))+(Reinforcements[[#This Row],[G]]*Reinforcements[[#This Row],['[Channel'] J (in4)]]))*(1/(Reinforcements[[#This Row],[Ag]]*Reinforcements[[#This Row],[ro^2(bar)]])),"N/A")</f>
        <v>N/A</v>
      </c>
      <c r="FR17" s="237" t="str">
        <f>IF(Reinforcements[[#This Row],[Type]]="channel",((PI()^2)*Reinforcements[[#This Row],[E, (ksi)]])/(Reinforcements[[#This Row],[Lcy/ry]]^2),"N/A")</f>
        <v>N/A</v>
      </c>
      <c r="FS17" s="237" t="str">
        <f>IF(Reinforcements[[#This Row],[Type]]="channel",((Reinforcements[[#This Row],[Fey]]+Reinforcements[[#This Row],[Fez]])/(2*Reinforcements[[#This Row],[H2]]))*(1-SQRT(1-((4*Reinforcements[[#This Row],[Fey]]*Reinforcements[[#This Row],[Fez]]*Reinforcements[[#This Row],[H2]])/(Reinforcements[[#This Row],[Fey]]+Reinforcements[[#This Row],[Fez]])^2))),"N/A")</f>
        <v>N/A</v>
      </c>
      <c r="FT17" s="237" t="str">
        <f>IF(Reinforcements[[#This Row],[Type]]="channel",IF(Reinforcements[[#This Row],[Lcx/rx]]&gt;(4.71*SQRT(Reinforcements[[#This Row],[E, (ksi)]]/Reinforcements[[#This Row],[Fy, (ksi)]])),0.877*Reinforcements[[#This Row],[Fe (FTB)]],0.658^(Reinforcements[[#This Row],[Fy, (ksi)]]/Reinforcements[[#This Row],[Fe (FTB)]])*Reinforcements[[#This Row],[Fy, (ksi)]]),"N/A")</f>
        <v>N/A</v>
      </c>
      <c r="FU17" s="237" t="str">
        <f>IF(Reinforcements[[#This Row],[Type]]="channel",MIN(Reinforcements[[#This Row],[Fcr(FTB)]],Reinforcements[[#This Row],[Fcry (ksi)]]),"N/A")</f>
        <v>N/A</v>
      </c>
      <c r="FV17" s="237">
        <v>0.22</v>
      </c>
      <c r="FW17" s="237">
        <v>1.49</v>
      </c>
      <c r="FX17" s="237" t="str">
        <f>IF(Reinforcements[[#This Row],[Type]]="channel",((Reinforcements[[#This Row],[c2]]*(Reinforcements[[#This Row],[λrf]]/Reinforcements[[#This Row],[λf]]))^2)*Reinforcements[[#This Row],[Fy, (ksi)]],"N/A")</f>
        <v>N/A</v>
      </c>
      <c r="FY17" s="237" t="str">
        <f>IF(Reinforcements[[#This Row],[Type]]="channel",((Reinforcements[[#This Row],[c2]]*(Reinforcements[[#This Row],[λrw]]/Reinforcements[[#This Row],[λw]]))^2)*Reinforcements[[#This Row],[Fy, (ksi)]],"N/A")</f>
        <v>N/A</v>
      </c>
      <c r="FZ17"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7"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7"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7" s="237" t="str">
        <f>IF(Reinforcements[[#This Row],[Type]]="channel",Reinforcements[[#This Row],[Fcr]]*Reinforcements[[#This Row],[Ae]],"N/A")</f>
        <v>N/A</v>
      </c>
      <c r="GD17" s="466">
        <f>IF(Reinforcements[[#This Row],[Reinforcement]]="","",φ_c*Reinforcements[[#This Row],[Pnx, FB (kip)]])</f>
        <v>291.16947921285509</v>
      </c>
      <c r="GE17" s="466">
        <f>IF(Reinforcements[[#This Row],[Reinforcement]]="","",IF(Reinforcements[[#This Row],[Type]]="channel",φ_c*Reinforcements[[#This Row],[Pn]],φ_c*Reinforcements[[#This Row],[Pny, FB (kip)]]))</f>
        <v>348.16450408649797</v>
      </c>
      <c r="GF17" s="466">
        <f>Reinforcements[[#This Row],[Rev. G Tension Yield Capacity (kips)]]</f>
        <v>351</v>
      </c>
      <c r="GG17" s="466">
        <f>Reinforcements[[#This Row],[Rev. G Tension Rupture Capacity (kips)]]</f>
        <v>285</v>
      </c>
      <c r="GH17" s="466">
        <f>Reinforcements[[#This Row],[Rev. G Shear Capacity (kips)]]</f>
        <v>175.5</v>
      </c>
      <c r="GI17" s="466">
        <f>IFERROR((Reinforcements[[#This Row],['# of End Connection Bolts          (Bottom)]]-1)*Reinforcements[[#This Row],[End Connection Bolt Spacing (in) (B)]],"-")</f>
        <v>27</v>
      </c>
      <c r="GJ17" s="466">
        <f>IFERROR(IF(VLOOKUP(Reinforcements[[#This Row],[Bottom End Connection Bolt Type]],Bolts[],COLUMN(Bolts[[#Headers],[Rev. H Apply Connection Length Reduction Factor (Rb)?]])-1,FALSE)="Yes",(IF(Reinforcements[[#This Row],[Lb(bottom)]]&lt;=16,1,IF(Reinforcements[[#This Row],[Lb(bottom)]]&gt;38,0.75,0.9))),1),"-")</f>
        <v>1</v>
      </c>
      <c r="GK17"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463.99640970817933</v>
      </c>
      <c r="GL17" s="466">
        <f>IFERROR(IF(Reinforcements[[#This Row],[Top End Connection Same?]]="Yes",Reinforcements[[#This Row],[Lb(bottom)]],(Reinforcements[[#This Row],['# of End Connection Bolts          (Top)]]-1)*Reinforcements[[#This Row],[End Connection Bolt Spacing (in) (T)]]),"-")</f>
        <v>27</v>
      </c>
      <c r="GM17" s="466">
        <f>IFERROR(IF(VLOOKUP(Reinforcements[[#This Row],[Top End Connection Bolt Type]],Bolts[],COLUMN(Bolts[[#Headers],[Rev. H Apply Connection Length Reduction Factor (Rb)?]])-1,FALSE)="Yes",(IF(Reinforcements[[#This Row],[Lb(top)]]&lt;=16,1,IF(Reinforcements[[#This Row],[Lb(top)]]&gt;38,0.75,0.9))),1),"-")</f>
        <v>1</v>
      </c>
      <c r="GN17"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463.99640970817933</v>
      </c>
      <c r="GO17" s="466">
        <f>Reinforcements[[#This Row],[Rev. G Bolt-Shaft Bearing Capacity (Bottom)                No Deformation          (*t*Fu kips)]]</f>
        <v>19.778267716535435</v>
      </c>
      <c r="GP17" s="466">
        <f>Reinforcements[[#This Row],[Rev. G Bolt-Shaft Bearing Capacity (Bottom)                   Deformation          (*t*Fu kips)]]</f>
        <v>24.722834645669291</v>
      </c>
      <c r="GQ17" s="466">
        <f>Reinforcements[[#This Row],[Rev. G Bolt-Shaft Bearing Capacity (Top)                    No Deformation          (*t*Fu kips)]]</f>
        <v>19.778267716535435</v>
      </c>
      <c r="GR17" s="466">
        <f>Reinforcements[[#This Row],[Rev. G Bolt-Shaft Bearing Capacity (Top)                        Deformation          (*t*Fu kips)]]</f>
        <v>24.722834645669291</v>
      </c>
      <c r="GS17" s="466">
        <f>Reinforcements[[#This Row],[Rev. G Bolt-Reinf. Bearing Capacity (Bottom)            No Deformation (kips)]]</f>
        <v>1582.2614173228346</v>
      </c>
      <c r="GT17" s="466">
        <f>Reinforcements[[#This Row],[Rev. G Bolt-Reinf. Bearing Capacity (Bottom)               Deformation (kips)]]</f>
        <v>1977.8267716535433</v>
      </c>
      <c r="GU17" s="466">
        <f>Reinforcements[[#This Row],[Rev. G Bolt-Reinf. Bearing Capacity (Top)                  No Deformation (kips)]]</f>
        <v>1582.2614173228346</v>
      </c>
      <c r="GV17" s="466">
        <f>Reinforcements[[#This Row],[Rev. G Bolt-Reinf. Bearing Capacity (Top)               Deformation (kips)]]</f>
        <v>1977.8267716535433</v>
      </c>
      <c r="GW17" s="466" t="str">
        <f>Reinforcements[[#This Row],[Rev. G Bottom Transverse Weld Strength]]</f>
        <v>-</v>
      </c>
      <c r="GX17" s="466" t="str">
        <f>Reinforcements[[#This Row],[Rev. G Bottom Longitudinal Weld Strength]]</f>
        <v>-</v>
      </c>
      <c r="GY17" s="466" t="str">
        <f>Reinforcements[[#This Row],[Rev. G Top Transverse Weld Strength]]</f>
        <v>-</v>
      </c>
      <c r="GZ17" s="466" t="str">
        <f>Reinforcements[[#This Row],[Rev. G Top Longitudinal Weld Strength]]</f>
        <v>-</v>
      </c>
      <c r="HA17" s="552">
        <v>15</v>
      </c>
      <c r="HB17"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8" spans="2:217" s="65" customFormat="1" x14ac:dyDescent="0.2">
      <c r="B18" s="72" t="s">
        <v>367</v>
      </c>
      <c r="C18" s="72" t="s">
        <v>146</v>
      </c>
      <c r="D18" s="185">
        <v>6.5</v>
      </c>
      <c r="E18" s="185">
        <v>1.25</v>
      </c>
      <c r="F18" s="185" t="str">
        <f>IF(Reinforcements[[#This Row],[Type]]="","",IF(Reinforcements[[#This Row],[Type]]="solid round","","n/a"))</f>
        <v>n/a</v>
      </c>
      <c r="G18" s="185" t="str">
        <f>IF(Reinforcements[[#This Row],[Type]]="","",IF(Reinforcements[[#This Row],[Type]]&lt;&gt;"channel","n/a",""))</f>
        <v>n/a</v>
      </c>
      <c r="H18" s="185" t="str">
        <f>IF(Reinforcements[[#This Row],[Type]]="","",IF(Reinforcements[[#This Row],[Type]]&lt;&gt;"channel","n/a",""))</f>
        <v>n/a</v>
      </c>
      <c r="I18" s="197" t="str">
        <f>IF(Reinforcements[[#This Row],[Type]]="","",IF(Reinforcements[[#This Row],[Type]]&lt;&gt;"channel","n/a",Reinforcements[[#This Row],[eo]]))</f>
        <v>n/a</v>
      </c>
      <c r="J18" s="197" t="str">
        <f>IF(Reinforcements[[#This Row],[Type]]="","",IF(Reinforcements[[#This Row],[Type]]&lt;&gt;"channel","n/a",Reinforcements[[#This Row],[J]]))</f>
        <v>n/a</v>
      </c>
      <c r="K18" s="197" t="str">
        <f>IF(Reinforcements[[#This Row],[Type]]="","",IF(Reinforcements[[#This Row],[Type]]&lt;&gt;"channel","n/a",Reinforcements[[#This Row],[Cw]]))</f>
        <v>n/a</v>
      </c>
      <c r="L18" s="185">
        <f>IFERROR(IF(Reinforcements[[#This Row],[Type]]="","",IF(Reinforcements[[#This Row],[Type]]="plate",Reinforcements[[#This Row],[B (in)]]*Reinforcements[[#This Row],[H (in)]],IF(Reinforcements[[#This Row],[Type]]="solid round",PI()/4*Reinforcements[[#This Row],[Diameter (in)]]^2,""))),"")</f>
        <v>8.125</v>
      </c>
      <c r="M18" s="185">
        <f>IFERROR(IF(Reinforcements[[#This Row],[Type]]="","",IF(Reinforcements[[#This Row],[Type]]="plate",Reinforcements[[#This Row],[H (in)]]/2,"")),"")</f>
        <v>0.625</v>
      </c>
      <c r="N18" s="186" t="s">
        <v>297</v>
      </c>
      <c r="O18" s="185" t="s">
        <v>60</v>
      </c>
      <c r="P18" s="187">
        <f>IFERROR(IF(Reinforcements[[#This Row],[Type]]="","",IF(Reinforcements[[#This Row],[Type]]="plate",Reinforcements[[#This Row],[B (in)]]*Reinforcements[[#This Row],[H (in)]]^3/12,IF(Reinforcements[[#This Row],[Type]]="solid round",PI()/64*Reinforcements[[#This Row],[Diameter (in)]]^4,""))),"")</f>
        <v>1.0579427083333333</v>
      </c>
      <c r="Q18" s="187">
        <f>IF(Reinforcements[[#This Row],[Reinforcement]]="","",SQRT(Reinforcements[[#This Row],[Ix]]/Reinforcements[[#This Row],[Gross Area (in2)]]))</f>
        <v>0.36084391824351608</v>
      </c>
      <c r="R18" s="187">
        <f>IFERROR(IF(Reinforcements[[#This Row],[Type]]="","",IF(Reinforcements[[#This Row],[Type]]="plate",Reinforcements[[#This Row],[B (in)]]^3*Reinforcements[[#This Row],[H (in)]]/12,IF(Reinforcements[[#This Row],[Type]]="solid round",PI()/64*Reinforcements[[#This Row],[Diameter (in)]]^4,""))),"")</f>
        <v>28.606770833333332</v>
      </c>
      <c r="S18" s="187">
        <f>IF(Reinforcements[[#This Row],[Reinforcement]]="","",SQRT(Reinforcements[[#This Row],[Iy]]/Reinforcements[[#This Row],[Gross Area (in2)]]))</f>
        <v>1.8763883748662837</v>
      </c>
      <c r="T18" s="190">
        <v>19</v>
      </c>
      <c r="U18" s="188">
        <v>0.8</v>
      </c>
      <c r="V18" s="188">
        <v>1</v>
      </c>
      <c r="W18" s="185">
        <v>1.1875</v>
      </c>
      <c r="X18" s="188">
        <f>IF(Reinforcements[[#This Row],[Bolt Hole Size (in)]]="","",IF(Reinforcements[[#This Row],[Bolt Hole Size (in)]]="n/a","n/a",Reinforcements[[#This Row],[Bolt Hole Size (in)]]*25.4))</f>
        <v>30.162499999999998</v>
      </c>
      <c r="Y18"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18" s="185">
        <f>IFERROR(IF(Reinforcements[[#This Row],[Reinforcement]]="","",IF(OR(Reinforcements[[#This Row],[Type]]="plate",Reinforcements[[#This Row],[Type]]="solid round"),1,IF(Reinforcements[[#This Row],[Type]]="arbitrary","",1-Reinforcements[[#This Row],[Pole Face to Centroid (in)]]/Reinforcements[[#This Row],[Connection Length (in) '[Channels']]]))),"")</f>
        <v>1</v>
      </c>
      <c r="AA18" s="189" t="s">
        <v>391</v>
      </c>
      <c r="AB18" s="189" t="str">
        <f>IF(Reinforcements[[#This Row],[Reinforcement]]="","",IF(Reinforcements[[#This Row],[Bottom End Connection Type]]&lt;&gt;"Capacity Input","-",""))</f>
        <v>-</v>
      </c>
      <c r="AC18" s="189" t="str">
        <f>IF(Reinforcements[[#This Row],[Reinforcement]]="","",IF(Reinforcements[[#This Row],[Bottom End Connection Type]]&lt;&gt;"Capacity Input","-",""))</f>
        <v>-</v>
      </c>
      <c r="AD18" s="461" t="str">
        <f>IF(Reinforcements[[#This Row],[Reinforcement]]="","",IF(Reinforcements[[#This Row],[Bottom End Connection Type]]&lt;&gt;"Capacity Input","-",""))</f>
        <v>-</v>
      </c>
      <c r="AE18" s="103" t="s">
        <v>416</v>
      </c>
      <c r="AF18" s="190" t="s">
        <v>296</v>
      </c>
      <c r="AG18" s="190">
        <v>14</v>
      </c>
      <c r="AH18" s="190">
        <v>3</v>
      </c>
      <c r="AI18" s="190">
        <v>3</v>
      </c>
      <c r="AJ18" s="190">
        <f>Reinforcements[[#This Row],[End Connection Edge Distance (in) (B)]]-(Reinforcements[[#This Row],[Bolt Hole Size (in)]]+1/16)/2</f>
        <v>2.375</v>
      </c>
      <c r="AK18" s="190">
        <f>Reinforcements[[#This Row],[End Connection Bolt Spacing (in) (B)]]-(Reinforcements[[#This Row],[Bolt Hole Size (in)]]+1/16)</f>
        <v>1.75</v>
      </c>
      <c r="AL18" s="190">
        <f>Reinforcements[[#This Row],[End Connection Edge Distance (in) (B)]]</f>
        <v>3</v>
      </c>
      <c r="AM18" s="190">
        <f>Reinforcements[[#This Row],[End Connection Bolt Spacing (in) (B)]]</f>
        <v>3</v>
      </c>
      <c r="AN18" s="190" t="str">
        <f>IF(Reinforcements[[#This Row],[Reinforcement]]="","",IF(OR(Reinforcements[[#This Row],[Bottom End Connection Type]]="Bolted",Reinforcements[[#This Row],[Bottom End Connection Type]]=""),"-",""))</f>
        <v>-</v>
      </c>
      <c r="AO18" s="191" t="str">
        <f>IF(Reinforcements[[#This Row],[Reinforcement]]="","",IF(OR(Reinforcements[[#This Row],[Bottom End Connection Type]]="Bolted",Reinforcements[[#This Row],[Bottom End Connection Type]]=""),"-",""))</f>
        <v>-</v>
      </c>
      <c r="AP18" s="191" t="str">
        <f>IF(Reinforcements[[#This Row],[Reinforcement]]="","",IF(OR(Reinforcements[[#This Row],[Bottom End Connection Type]]="Bolted",Reinforcements[[#This Row],[Bottom End Connection Type]]=""),"-",""))</f>
        <v>-</v>
      </c>
      <c r="AQ18" s="191" t="str">
        <f>IF(OR(Reinforcements[[#This Row],[Bottom End Connection Type]]="Bolted",Reinforcements[[#This Row],[Bottom Transverse (Horizontal) Weld]]="none"),"-","")</f>
        <v>-</v>
      </c>
      <c r="AR1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8" s="191" t="str">
        <f>IF(OR(Reinforcements[[#This Row],[Bottom Transverse (Horizontal) Weld]]="none",Reinforcements[[#This Row],[Bottom End Connection Type]]="Bolted"),"-","")</f>
        <v>-</v>
      </c>
      <c r="AU18"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8" s="191" t="str">
        <f>IF(Reinforcements[[#This Row],[Reinforcement]]="","",IF(OR(Reinforcements[[#This Row],[Bottom End Connection Type]]="Bolted",Reinforcements[[#This Row],[Bottom End Connection Type]]=""),"-",""))</f>
        <v>-</v>
      </c>
      <c r="AW18" s="191" t="str">
        <f>IF(Reinforcements[[#This Row],[Reinforcement]]="","",IF(OR(Reinforcements[[#This Row],[Bottom End Connection Type]]&lt;&gt;"Welded",Reinforcements[[#This Row],[Bottom Longitudinal (Vertical) Weld]]="None",Reinforcements[[#This Row],[Bottom Longitudinal (Vertical) Weld]]=""),"-",""))</f>
        <v>-</v>
      </c>
      <c r="AX18" s="191" t="str">
        <f>IF(Reinforcements[[#This Row],[Reinforcement]]="","",IF(OR(Reinforcements[[#This Row],[Bottom End Connection Type]]&lt;&gt;"Welded",Reinforcements[[#This Row],[Bottom Longitudinal (Vertical) Weld]]="None",Reinforcements[[#This Row],[Bottom Longitudinal (Vertical) Weld]]=""),"-",""))</f>
        <v>-</v>
      </c>
      <c r="AY18" s="190" t="str">
        <f>IF(Reinforcements[[#This Row],[Reinforcement]]="","",IF(OR(Reinforcements[[#This Row],[Bottom End Connection Type]]&lt;&gt;"Welded",Reinforcements[[#This Row],[Bottom Longitudinal (Vertical) Weld]]="None"),"-",SQRT(2)/2*Reinforcements[[#This Row],[Bottom Longitudinal Weld Fillet Size (in)]]))</f>
        <v>-</v>
      </c>
      <c r="AZ18" s="190" t="s">
        <v>295</v>
      </c>
      <c r="BA18" s="189" t="str">
        <f>IF(Reinforcements[[#This Row],[Top End Connection Same?]]="Yes",Reinforcements[[#This Row],[Bottom End Connection Type]],"")</f>
        <v>Bolted</v>
      </c>
      <c r="BB18" s="189" t="str">
        <f>IF(Reinforcements[[#This Row],[Reinforcement]]="","",IF(Reinforcements[[#This Row],[Top End Connection Same?]]="Yes",Reinforcements[[#This Row],[Rev. F Bottom Connection Capacity (kips)]],IF(Reinforcements[[#This Row],[Reinforcement]]="","",IF(Reinforcements[[#This Row],[Top End Connection Type]]&lt;&gt;"Capacity Input","-",""))))</f>
        <v>-</v>
      </c>
      <c r="BC18" s="189" t="str">
        <f>IF(Reinforcements[[#This Row],[Reinforcement]]="","",IF(Reinforcements[[#This Row],[Top End Connection Same?]]="Yes",Reinforcements[[#This Row],[Rev. G Bottom Connection Capacity (kips)]],IF(Reinforcements[[#This Row],[Reinforcement]]="","",IF(Reinforcements[[#This Row],[Top End Connection Type]]&lt;&gt;"Capacity Input","-",""))))</f>
        <v>-</v>
      </c>
      <c r="BD18" s="461" t="str">
        <f>IF(Reinforcements[[#This Row],[Reinforcement]]="","",IF(Reinforcements[[#This Row],[Top End Connection Same?]]="Yes",Reinforcements[[#This Row],[Rev. G Bottom Connection Capacity (kips)]],IF(Reinforcements[[#This Row],[Reinforcement]]="","",IF(Reinforcements[[#This Row],[Top End Connection Type]]&lt;&gt;"Capacity Input","-",""))))</f>
        <v>-</v>
      </c>
      <c r="BE18" s="103" t="str">
        <f>IF(Reinforcements[[#This Row],[Top End Connection Same?]]="Yes",Reinforcements[[#This Row],[Bottom End Connection Bolt Type]],IF(Reinforcements[[#This Row],[Top End Connection Type]]="Welded","-",""))</f>
        <v>PC 8.8 - M20 (100)</v>
      </c>
      <c r="BF18" s="190" t="str">
        <f>IF(Reinforcements[[#This Row],[Top End Connection Same?]]="Yes",Reinforcements[[#This Row],[Threads Included (N) or Excluded (X) (Bottom)]],IF(Reinforcements[[#This Row],[Top End Connection Type]]="Welded","-",""))</f>
        <v>N</v>
      </c>
      <c r="BG18" s="190">
        <f>IF(Reinforcements[[#This Row],[Top End Connection Same?]]="Yes",Reinforcements[[#This Row],['# of End Connection Bolts          (Bottom)]],IF(Reinforcements[[#This Row],[Top End Connection Type]]="Welded","-",""))</f>
        <v>14</v>
      </c>
      <c r="BH18" s="190">
        <f>IF(Reinforcements[[#This Row],[Top End Connection Same?]]="Yes",Reinforcements[[#This Row],[End Connection Bolt Spacing (in) (B)]],IF(Reinforcements[[#This Row],[Top End Connection Type]]="Welded","-",""))</f>
        <v>3</v>
      </c>
      <c r="BI18" s="190">
        <f>IF(Reinforcements[[#This Row],[Top End Connection Same?]]="Yes",Reinforcements[[#This Row],[End Connection Edge Distance (in) (B)]],IF(Reinforcements[[#This Row],[Top End Connection Type]]="Welded","-",""))</f>
        <v>3</v>
      </c>
      <c r="BJ18" s="190">
        <f>Reinforcements[[#This Row],[End Connection Edge Distance (in) (T)]]-(Reinforcements[[#This Row],[Bolt Hole Size (in)]]+1/16)/2</f>
        <v>2.375</v>
      </c>
      <c r="BK18" s="190">
        <f>Reinforcements[[#This Row],[End Connection Bolt Spacing (in) (T)]]-(Reinforcements[[#This Row],[Bolt Hole Size (in)]]+1/16)</f>
        <v>1.75</v>
      </c>
      <c r="BL18" s="190">
        <f>Reinforcements[[#This Row],[End Connection Edge Distance (in) (T)]]</f>
        <v>3</v>
      </c>
      <c r="BM18" s="190">
        <f>Reinforcements[[#This Row],[End Connection Bolt Spacing (in) (T)]]</f>
        <v>3</v>
      </c>
      <c r="BN18" s="190" t="str">
        <f>IF(Reinforcements[[#This Row],[Reinforcement]]="","",IF(Reinforcements[[#This Row],[Top End Connection Same?]]="Yes",Reinforcements[[#This Row],[Bottom Connected to Flange/Base Plate?]],IF(Reinforcements[[#This Row],[Top End Connection Type]]="Bolted","-","")))</f>
        <v>-</v>
      </c>
      <c r="BO18" s="190" t="str">
        <f>IF(Reinforcements[[#This Row],[Reinforcement]]="","",IF(Reinforcements[[#This Row],[Top End Connection Same?]]="Yes",Reinforcements[[#This Row],[Bottom Weld Grade (ksi)]],IF(OR(Reinforcements[[#This Row],[Top End Connection Type]]&lt;&gt;"Welded",Reinforcements[[#This Row],[Top End Connection Type]]=""),"-","")))</f>
        <v>-</v>
      </c>
      <c r="BP18" s="190" t="str">
        <f>IF($AZ18="Yes",AP18,IF(Reinforcements[[#This Row],[Reinforcement]]="","",IF(OR(Reinforcements[[#This Row],[Top End Connection Type]]&lt;&gt;"Welded",Reinforcements[[#This Row],[Top End Connection Type]]=""),"-","")))</f>
        <v>-</v>
      </c>
      <c r="BQ18" s="190" t="str">
        <f>IF(Reinforcements[[#This Row],[Reinforcement]]="","",IF($AZ18="Yes",AQ18,IF(OR(Reinforcements[[#This Row],[Top End Connection Type]]&lt;&gt;"Welded",Reinforcements[[#This Row],[Top Transverse (Horizontal) Weld]]="none",Reinforcements[[#This Row],[Top Transverse (Horizontal) Weld]]=""),"-","")))</f>
        <v>-</v>
      </c>
      <c r="BR18" s="190" t="str">
        <f>IF($AZ18="Yes",AR18,IF(Reinforcements[[#This Row],[Reinforcement]]="","",IF(OR(Reinforcements[[#This Row],[Top Transverse (Horizontal) Weld]]="none",Reinforcements[[#This Row],[Top End Connection Type]]&lt;&gt;"Welded",Reinforcements[[#This Row],[Top Transverse (Horizontal) Weld]]="",Reinforcements[[#This Row],[Top Transverse (Horizontal) Weld]]="Fillet"),"-","")))</f>
        <v>-</v>
      </c>
      <c r="BS18" s="190" t="str">
        <f>IF($AZ18="Yes",AS18,IF(Reinforcements[[#This Row],[Reinforcement]]="","",IF(OR(Reinforcements[[#This Row],[Top Transverse (Horizontal) Weld]]="none",Reinforcements[[#This Row],[Top End Connection Type]]&lt;&gt;"Welded",Reinforcements[[#This Row],[Top Transverse (Horizontal) Weld]]="",Reinforcements[[#This Row],[Top Transverse (Horizontal) Weld]]="Fillet"),"-","")))</f>
        <v>-</v>
      </c>
      <c r="BT18" s="190" t="str">
        <f>IF(Reinforcements[[#This Row],[Reinforcement]]="","",IF($AZ18="Yes",AT18,IF(OR(Reinforcements[[#This Row],[Top Transverse (Horizontal) Weld]]="none",Reinforcements[[#This Row],[Top End Connection Type]]&lt;&gt;"Welded",Reinforcements[[#This Row],[Top Transverse (Horizontal) Weld]]=""),"-","")))</f>
        <v>-</v>
      </c>
      <c r="BU18" s="190" t="str">
        <f>IF($AZ18="Yes",AU18,IF(Reinforcements[[#This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8" s="190" t="str">
        <f>IF($AZ18="Yes",AV18,IF(Reinforcements[[#This Row],[Reinforcement]]="","",IF(OR(Reinforcements[[#This Row],[Top End Connection Type]]&lt;&gt;"Welded",Reinforcements[[#This Row],[Top End Connection Type]]=""),"-","")))</f>
        <v>-</v>
      </c>
      <c r="BW18" s="190" t="str">
        <f>IF($AZ18="Yes",AW18,IF(Reinforcements[[#This Row],[Reinforcement]]="","",IF(OR(Reinforcements[[#This Row],[Top End Connection Type]]&lt;&gt;"Welded",Reinforcements[[#This Row],[Top End Connection Type]]="",Reinforcements[[#This Row],[Top Longitudinal (Vertical) Weld]]="",Reinforcements[[#This Row],[Top Longitudinal (Vertical) Weld]]="None"),"-","")))</f>
        <v>-</v>
      </c>
      <c r="BX18" s="190" t="str">
        <f>IF($AZ18="Yes",AX18,IF(Reinforcements[[#This Row],[Reinforcement]]="","",IF(OR(Reinforcements[[#This Row],[Top End Connection Type]]&lt;&gt;"Welded",Reinforcements[[#This Row],[Top End Connection Type]]="",Reinforcements[[#This Row],[Top Longitudinal (Vertical) Weld]]="",Reinforcements[[#This Row],[Top Longitudinal (Vertical) Weld]]="None"),"-","")))</f>
        <v>-</v>
      </c>
      <c r="BY18" s="190" t="str">
        <f>IF($AZ18="Yes",AY18,IF(Reinforcements[[#This Row],[Reinforcement]]="","",IF(OR(Reinforcements[[#This Row],[Top End Connection Type]]&lt;&gt;"Welded",Reinforcements[[#This Row],[Top Longitudinal (Vertical) Weld]]="none"),"-",SQRT(2)/2*Reinforcements[[#This Row],[Top Longitudinal Weld Fillet Size (in)]])))</f>
        <v>-</v>
      </c>
      <c r="BZ18"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8" s="192">
        <f>IF(Reinforcements[[#This Row],[Reinforcement]]="","",IF(Reinforcements[[#This Row],[Bottom End Connection Type]]&lt;&gt;"Bolted","n/a",(Reinforcements[[#This Row],['# of End Connection Bolts          (Bottom)]]-1)*Reinforcements[[#This Row],[End Connection Bolt Spacing (in) (B)]]+Reinforcements[[#This Row],[End Connection Edge Distance (in) (B)]]))</f>
        <v>42</v>
      </c>
      <c r="CB18" s="192">
        <f>IF(Reinforcements[[#This Row],[Reinforcement]]="","",IF(Reinforcements[[#This Row],[Top End Connection Type]]&lt;&gt;"Bolted","n/a",(Reinforcements[[#This Row],['# of End Connection Bolts          (Top)]]-1)*Reinforcements[[#This Row],[End Connection Bolt Spacing (in) (T)]]+Reinforcements[[#This Row],[End Connection Edge Distance (in) (T)]]))</f>
        <v>42</v>
      </c>
      <c r="CC18"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18"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18" s="185">
        <f>IFERROR(IF(Reinforcements[[#This Row],[Type]]="","",Reinforcements[[#This Row],[Effective B (in)]]*Reinforcements[[#This Row],[Effective H (in)]]^3/12),"")</f>
        <v>1.0579427083333333</v>
      </c>
      <c r="CF18" s="185">
        <f>IFERROR(IF(Reinforcements[[#This Row],[Type]]="","",Reinforcements[[#This Row],[Effective B (in)]]^3*Reinforcements[[#This Row],[Effective H (in)]]/12),"")</f>
        <v>28.606770833333332</v>
      </c>
      <c r="CG18" s="197">
        <f>SQRT(2*PI()^2*29000/VLOOKUP(Reinforcements[[#This Row],[Material]],Materials[],2,FALSE))</f>
        <v>93.844147005158973</v>
      </c>
      <c r="CH18"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32.051484618003961</v>
      </c>
      <c r="CI18"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37.857448581601105</v>
      </c>
      <c r="CJ18" s="187">
        <f>Reinforcements[[#This Row],[Effective Length Factor Kx]]*Reinforcements[[#This Row],[Lu (in)]]/(Reinforcements[[#This Row],[rx]]*PI())*SQRT(VLOOKUP(Reinforcements[[#This Row],[Material]],Materials[],2,FALSE)/29000)</f>
        <v>0.63479281815212207</v>
      </c>
      <c r="CK18" s="187">
        <f>Reinforcements[[#This Row],[Effective Length Factor Ky]]*Reinforcements[[#This Row],[Lu (in)]]/(Reinforcements[[#This Row],[ry]]*PI())*SQRT(VLOOKUP(Reinforcements[[#This Row],[Material]],Materials[],2,FALSE)/29000)</f>
        <v>0.15259442744041396</v>
      </c>
      <c r="CL18" s="187">
        <f>IF(Reinforcements[[#This Row],[λcx]]&lt;=1.5,0.658^(Reinforcements[[#This Row],[λcx]]^2)*Reinforcements[[#This Row],[F''y]],0.877/(Reinforcements[[#This Row],[λcx]]^2)*Reinforcements[[#This Row],[F''y]])</f>
        <v>54.911753637534716</v>
      </c>
      <c r="CM18" s="187">
        <f>IF(Reinforcements[[#This Row],[λcy]]&lt;=1.5,0.658^(Reinforcements[[#This Row],[λcy]]^2)*Reinforcements[[#This Row],[F''y]],0.877/(Reinforcements[[#This Row],[λcy]]^2)*Reinforcements[[#This Row],[F''y]])</f>
        <v>64.369588945551428</v>
      </c>
      <c r="CN18" s="185">
        <f>VLOOKUP(Reinforcements[[#This Row],[Material]],Materials[],2,FALSE)</f>
        <v>65</v>
      </c>
      <c r="CO18" s="197">
        <f>IF(Reinforcements[[#This Row],[Reinforcement]]="","",Reinforcements[[#This Row],[Fax]]*Reinforcements[[#This Row],[Gross Area (in2)]])</f>
        <v>260.41831252128219</v>
      </c>
      <c r="CP18" s="197">
        <f>IF(Reinforcements[[#This Row],[Reinforcement]]="","",Reinforcements[[#This Row],[Fay]]*Reinforcements[[#This Row],[Gross Area (in2)]])</f>
        <v>307.59176972550898</v>
      </c>
      <c r="CQ18" s="197">
        <f>IF(Reinforcements[[#This Row],[Reinforcement]]="","",0.6*VLOOKUP(Reinforcements[[#This Row],[Material]],Materials[],2,FALSE)*Reinforcements[[#This Row],[Gross Area (in2)]])</f>
        <v>316.875</v>
      </c>
      <c r="CR18" s="197">
        <f>IF(Reinforcements[[#This Row],[Reinforcement]]="","",0.5*VLOOKUP(Reinforcements[[#This Row],[Material]],Materials[],3,FALSE)*Reinforcements[[#This Row],[Net Area (in2)]]*Reinforcements[[#This Row],[Shear Lag (U)]])</f>
        <v>262.5</v>
      </c>
      <c r="CS18" s="197">
        <f>IF(Reinforcements[[#This Row],[Reinforcement]]="","",0.4*VLOOKUP(Reinforcements[[#This Row],[Material]],Materials[],2,FALSE)*Reinforcements[[#This Row],[Gross Area (in2)]])</f>
        <v>211.25</v>
      </c>
      <c r="CT18"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18"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18"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18"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18"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18"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18"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1918.1102362204724</v>
      </c>
      <c r="DA18"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2121.2598425196852</v>
      </c>
      <c r="DB18"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1918.1102362204724</v>
      </c>
      <c r="DC18"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2121.2598425196852</v>
      </c>
      <c r="DD18"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8"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8" s="190" t="str">
        <f>IF($AZ18="Yes",DD18,IF(Reinforcements[[#This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8" s="190" t="str">
        <f>IF($AZ18="Yes",DE18,IF(Reinforcements[[#This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8" s="197">
        <f>IF(Reinforcements[[#This Row],[Reinforcement]]="","",φ_c*Reinforcements[[#This Row],[Fcr,x]]*Reinforcements[[#This Row],[Gross Area (in2)]])</f>
        <v>401.54219847447263</v>
      </c>
      <c r="DI18" s="197">
        <f>IF(Reinforcements[[#This Row],[Reinforcement]]="","",φ_c*Reinforcements[[#This Row],[Fcr,y]]*Reinforcements[[#This Row],[Gross Area (in2)]])</f>
        <v>470.70261916434481</v>
      </c>
      <c r="DJ18" s="197">
        <f>IF(Reinforcements[[#This Row],[Reinforcement]]="","",φ_t_y*VLOOKUP(Reinforcements[[#This Row],[Material]],Materials[],2,FALSE)*Reinforcements[[#This Row],[Gross Area (in2)]])</f>
        <v>475.3125</v>
      </c>
      <c r="DK18" s="197">
        <f>IF(Reinforcements[[#This Row],[Reinforcement]]="","",φ_t_r*VLOOKUP(Reinforcements[[#This Row],[Material]],Materials[],3,FALSE)*Reinforcements[[#This Row],[Net Area (in2)]]*Reinforcements[[#This Row],[Shear Lag (U)]])</f>
        <v>393.75</v>
      </c>
      <c r="DL18" s="197">
        <f>IF(Reinforcements[[#This Row],[Reinforcement]]="","",φ_v*0.5*Reinforcements[[#This Row],[F''y]]*Reinforcements[[#This Row],[Gross Area (in2)]])</f>
        <v>237.65625</v>
      </c>
      <c r="DM18"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18"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18"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27.59433070866142</v>
      </c>
      <c r="DP18"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34.492913385826775</v>
      </c>
      <c r="DQ18"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18"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18"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2759.4330708661419</v>
      </c>
      <c r="DT18"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3449.2913385826778</v>
      </c>
      <c r="DU18"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2759.4330708661419</v>
      </c>
      <c r="DV18"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3449.2913385826778</v>
      </c>
      <c r="DW18"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8"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8" s="190" t="str">
        <f>IF($AZ18="Yes",DW18,IF(Reinforcements[[#This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8" s="190" t="str">
        <f>IF($AZ18="Yes",DX18,IF(Reinforcements[[#This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8" s="241" t="str">
        <f>IF(OR(Reinforcements[[#This Row],[Type]]="plate",Reinforcements[[#This Row],[Type]]="solid round"),"N/A",Reinforcements[[#This Row],[B (in)]])</f>
        <v>N/A</v>
      </c>
      <c r="EB18" s="237" t="str">
        <f>IF(OR(Reinforcements[[#This Row],[Type]]="plate",Reinforcements[[#This Row],[Type]]="solid round"),"N/A",Reinforcements[[#This Row],[H (in)]])</f>
        <v>N/A</v>
      </c>
      <c r="EC18" s="237" t="str">
        <f>IF(OR(Reinforcements[[#This Row],[Type]]="plate",Reinforcements[[#This Row],[Type]]="solid round"),"N/A",Reinforcements[[#This Row],[B (in)]]-Reinforcements[[#This Row],['[Channel'] Flange Thickness (in)]])</f>
        <v>N/A</v>
      </c>
      <c r="ED18" s="237" t="str">
        <f>IF(OR(Reinforcements[[#This Row],[Type]]="plate",Reinforcements[[#This Row],[Type]]="solid round"),"N/A",Reinforcements[[#This Row],['[Channel']Web Thickness (in)]])</f>
        <v>N/A</v>
      </c>
      <c r="EE18" s="237" t="str">
        <f>IF(OR(Reinforcements[[#This Row],[Type]]="plate",Reinforcements[[#This Row],[Type]]="solid round"),"N/A",Reinforcements[[#This Row],['[Channel'] Flange Thickness (in)]])</f>
        <v>N/A</v>
      </c>
      <c r="EF18" s="237" t="str">
        <f>IF(Reinforcements[[#This Row],[Type]]="channel",Reinforcements[[#This Row],[Channel Flange Width, b]]/Reinforcements[[#This Row],[Channel flange thickness, tf]],"N/A")</f>
        <v>N/A</v>
      </c>
      <c r="EG18" s="237" t="str">
        <f>IF(Reinforcements[[#This Row],[Type]]="channel",Reinforcements[[#This Row],[Channel inside depth, T]]/Reinforcements[[#This Row],[Channel web thickness, tw]],"N/A")</f>
        <v>N/A</v>
      </c>
      <c r="EH18" s="237">
        <v>29000</v>
      </c>
      <c r="EI18" s="237" t="str">
        <f>IF(Reinforcements[[#This Row],[Type]]="channel",0.56*SQRT(Reinforcements[[#This Row],[E, (ksi)]]/Reinforcements[[#This Row],[Fy, (ksi)]]),"N/A")</f>
        <v>N/A</v>
      </c>
      <c r="EJ18" s="237" t="str">
        <f>IF(Reinforcements[[#This Row],[Type]]="channel",1.49*SQRT(Reinforcements[[#This Row],[E, (ksi)]]/Reinforcements[[#This Row],[Fy, (ksi)]]),"N/A")</f>
        <v>N/A</v>
      </c>
      <c r="EK18" s="237">
        <f>VLOOKUP(Reinforcements[[#This Row],[Material]],Materials!$B$2:$C$30,2,FALSE)</f>
        <v>65</v>
      </c>
      <c r="EL18" s="237">
        <f>Reinforcements[[#This Row],[Lu (in)]]*Reinforcements[[#This Row],[Effective Length Factor Kx]]</f>
        <v>15.200000000000001</v>
      </c>
      <c r="EM18" s="237">
        <f>Reinforcements[[#This Row],[Lu (in)]]*Reinforcements[[#This Row],[Effective Length Factor Ky]]</f>
        <v>19</v>
      </c>
      <c r="EN18" s="237">
        <f>Reinforcements[[#This Row],[rx]]</f>
        <v>0.36084391824351608</v>
      </c>
      <c r="EO18" s="237">
        <f>Reinforcements[[#This Row],[ry]]</f>
        <v>1.8763883748662837</v>
      </c>
      <c r="EP18" s="237">
        <f>Reinforcements[[#This Row],[Lcx (in)]]/Reinforcements[[#This Row],[rx (in)]]</f>
        <v>42.1234756400751</v>
      </c>
      <c r="EQ18" s="237">
        <f>Reinforcements[[#This Row],[Lcy (in)]]/Reinforcements[[#This Row],[ry (in)]]</f>
        <v>10.125835490402666</v>
      </c>
      <c r="ER18" s="237">
        <f>((PI()^2)*Reinforcements[[#This Row],[E, (ksi)]])/(Reinforcements[[#This Row],[Lcx/rx]]^2)</f>
        <v>161.30556376398079</v>
      </c>
      <c r="ES18" s="237">
        <f>((PI()^2)*Reinforcements[[#This Row],[E, (ksi)]])/(Reinforcements[[#This Row],[Lcy/ry]]^2)</f>
        <v>2791.4895642739466</v>
      </c>
      <c r="ET18" s="237">
        <f>4.71*(SQRT(Reinforcements[[#This Row],[E, (ksi)]]/Reinforcements[[#This Row],[Fy, (ksi)]]))</f>
        <v>99.486288193205496</v>
      </c>
      <c r="EU18" s="237">
        <f>IF(Reinforcements[[#This Row],[Lcx/rx]]&lt;=Reinforcements[[#This Row],[Fcr Limit]],(0.658^(Reinforcements[[#This Row],[Fy, (ksi)]]/Reinforcements[[#This Row],[Fex, FB (ksi)]]))*Reinforcements[[#This Row],[Fy, (ksi)]],0.877*Reinforcements[[#This Row],[Fex, FB (ksi)]])</f>
        <v>54.911753637534716</v>
      </c>
      <c r="EV18" s="237">
        <f>IF(Reinforcements[[#This Row],[Lcy/ry]]&lt;=Reinforcements[[#This Row],[Fcr Limit]],(0.658^(Reinforcements[[#This Row],[Fy, (ksi)]]/Reinforcements[[#This Row],[Fey, FB (ksi)]]))*Reinforcements[[#This Row],[Fy, (ksi)]],0.877*Reinforcements[[#This Row],[Fey, FB (ksi)]])</f>
        <v>64.369588945551428</v>
      </c>
      <c r="EW18" s="237">
        <f>Reinforcements[[#This Row],[Fcrx (ksi)]]*Reinforcements[[#This Row],[Gross Area (in2)]]</f>
        <v>446.15799830496957</v>
      </c>
      <c r="EX18" s="237">
        <f>Reinforcements[[#This Row],[Fcry (ksi)]]*Reinforcements[[#This Row],[Gross Area (in2)]]</f>
        <v>523.00291018260532</v>
      </c>
      <c r="EY18" s="237" t="str">
        <f>IF(Reinforcements[[#This Row],[Type]]="channel",0,"N/A")</f>
        <v>N/A</v>
      </c>
      <c r="EZ18" s="237" t="str">
        <f>IF(Reinforcements[[#This Row],[Type]]="channel",Reinforcements[[#This Row],[Channel Flange Width, b]]-(0.5*Reinforcements[[#This Row],[Channel web thickness, tw]]),"N/A")</f>
        <v>N/A</v>
      </c>
      <c r="FA18" s="237" t="str">
        <f>IF(Reinforcements[[#This Row],[Type]]="channel",Reinforcements[[#This Row],[Channel Height, h]]-Reinforcements[[#This Row],[Channel flange thickness, tf]],"N/A")</f>
        <v>N/A</v>
      </c>
      <c r="FB18" s="237" t="str">
        <f>IF(Reinforcements[[#This Row],[Type]]="channel",Reinforcements[[#This Row],[Channel web thickness, tw]],"N/A")</f>
        <v>N/A</v>
      </c>
      <c r="FC18" s="237" t="str">
        <f>IF(Reinforcements[[#This Row],[Type]]="channel",((3*Reinforcements[[#This Row],[b]]^2)/(Reinforcements[[#This Row],[h]]+(6*Reinforcements[[#This Row],[b]])))-Reinforcements[[#This Row],[t]]/2,"N/A")</f>
        <v>N/A</v>
      </c>
      <c r="FD18" s="237">
        <f>Reinforcements[[#This Row],[Pole Face to Centroid (in)]]</f>
        <v>0.625</v>
      </c>
      <c r="FE18" s="237" t="str">
        <f>IF(Reinforcements[[#This Row],[Type]]="channel",Reinforcements[[#This Row],[x(bar)]]+Reinforcements[[#This Row],['[Channel'] e0 (in)]],"N/A")</f>
        <v>N/A</v>
      </c>
      <c r="FF18" s="237" t="str">
        <f>IF(Reinforcements[[#This Row],[Type]]="channel",Reinforcements[[#This Row],[Ix]],"N/A")</f>
        <v>N/A</v>
      </c>
      <c r="FG18" s="237" t="str">
        <f>IF(Reinforcements[[#This Row],[Type]]="channel",Reinforcements[[#This Row],[Iy]],"N/A")</f>
        <v>N/A</v>
      </c>
      <c r="FH18" s="237" t="str">
        <f>IF(Reinforcements[[#This Row],[Type]]="channel",Reinforcements[[#This Row],[Gross Area (in2)]],"N/A")</f>
        <v>N/A</v>
      </c>
      <c r="FI18" s="237" t="str">
        <f>IF(Reinforcements[[#This Row],[Type]]="channel",(Reinforcements[[#This Row],[xo]]^2)+((Reinforcements[[#This Row],[Ix (FTB)]]+Reinforcements[[#This Row],[Iy (FTB)]])/Reinforcements[[#This Row],[Ag]]),"N/A")</f>
        <v>N/A</v>
      </c>
      <c r="FJ18" s="237" t="str">
        <f>IF(Reinforcements[[#This Row],[Type]]="channel",Reinforcements[[#This Row],[Lu (in)]],"N/A")</f>
        <v>N/A</v>
      </c>
      <c r="FK18" s="237" t="str">
        <f>IF(Reinforcements[[#This Row],[Type]]="channel",Reinforcements[[#This Row],[Effective Length Factor Kx]],"N/A")</f>
        <v>N/A</v>
      </c>
      <c r="FL18" s="237" t="str">
        <f>IF(Reinforcements[[#This Row],[Type]]="channel",Reinforcements[[#This Row],[Kz]]*Reinforcements[[#This Row],[Lz]],"N/A")</f>
        <v>N/A</v>
      </c>
      <c r="FM18" s="237" t="str">
        <f>IF(Reinforcements[[#This Row],[Type]]="channel",(((Reinforcements[[#This Row],[t]]^3)/3)*(Reinforcements[[#This Row],[h]]+(2*Reinforcements[[#This Row],[b]]))),"N/A")</f>
        <v>N/A</v>
      </c>
      <c r="FN18" s="237" t="str">
        <f>IF(Reinforcements[[#This Row],[Type]]="channel",(1-(((Reinforcements[[#This Row],[xo]]^2)+(Reinforcements[[#This Row],[yo]]^2))/Reinforcements[[#This Row],[ro^2(bar)]])),"N/A")</f>
        <v>N/A</v>
      </c>
      <c r="FO18" s="237">
        <v>11200</v>
      </c>
      <c r="FP18" s="237" t="str">
        <f>IF(Reinforcements[[#This Row],[Type]]="channel",(((Reinforcements[[#This Row],[h]]^2)*(Reinforcements[[#This Row],[b]]^3)*Reinforcements[[#This Row],[t]])/12)*(((2*Reinforcements[[#This Row],[h]])+(3*Reinforcements[[#This Row],[b]]))/(Reinforcements[[#This Row],[h]]+(6*Reinforcements[[#This Row],[b]]))),"N/A")</f>
        <v>N/A</v>
      </c>
      <c r="FQ18" s="237" t="str">
        <f>IF(Reinforcements[[#This Row],[Type]]="Channel",((((PI()^2)*Reinforcements[[#This Row],[E, (ksi)]]*Reinforcements[[#This Row],['[Channel'] CW (in6)]])/(Reinforcements[[#This Row],[Lcz]]^2))+(Reinforcements[[#This Row],[G]]*Reinforcements[[#This Row],['[Channel'] J (in4)]]))*(1/(Reinforcements[[#This Row],[Ag]]*Reinforcements[[#This Row],[ro^2(bar)]])),"N/A")</f>
        <v>N/A</v>
      </c>
      <c r="FR18" s="237" t="str">
        <f>IF(Reinforcements[[#This Row],[Type]]="channel",((PI()^2)*Reinforcements[[#This Row],[E, (ksi)]])/(Reinforcements[[#This Row],[Lcy/ry]]^2),"N/A")</f>
        <v>N/A</v>
      </c>
      <c r="FS18" s="237" t="str">
        <f>IF(Reinforcements[[#This Row],[Type]]="channel",((Reinforcements[[#This Row],[Fey]]+Reinforcements[[#This Row],[Fez]])/(2*Reinforcements[[#This Row],[H2]]))*(1-SQRT(1-((4*Reinforcements[[#This Row],[Fey]]*Reinforcements[[#This Row],[Fez]]*Reinforcements[[#This Row],[H2]])/(Reinforcements[[#This Row],[Fey]]+Reinforcements[[#This Row],[Fez]])^2))),"N/A")</f>
        <v>N/A</v>
      </c>
      <c r="FT18" s="237" t="str">
        <f>IF(Reinforcements[[#This Row],[Type]]="channel",IF(Reinforcements[[#This Row],[Lcx/rx]]&gt;(4.71*SQRT(Reinforcements[[#This Row],[E, (ksi)]]/Reinforcements[[#This Row],[Fy, (ksi)]])),0.877*Reinforcements[[#This Row],[Fe (FTB)]],0.658^(Reinforcements[[#This Row],[Fy, (ksi)]]/Reinforcements[[#This Row],[Fe (FTB)]])*Reinforcements[[#This Row],[Fy, (ksi)]]),"N/A")</f>
        <v>N/A</v>
      </c>
      <c r="FU18" s="237" t="str">
        <f>IF(Reinforcements[[#This Row],[Type]]="channel",MIN(Reinforcements[[#This Row],[Fcr(FTB)]],Reinforcements[[#This Row],[Fcry (ksi)]]),"N/A")</f>
        <v>N/A</v>
      </c>
      <c r="FV18" s="237">
        <v>0.22</v>
      </c>
      <c r="FW18" s="237">
        <v>1.49</v>
      </c>
      <c r="FX18" s="237" t="str">
        <f>IF(Reinforcements[[#This Row],[Type]]="channel",((Reinforcements[[#This Row],[c2]]*(Reinforcements[[#This Row],[λrf]]/Reinforcements[[#This Row],[λf]]))^2)*Reinforcements[[#This Row],[Fy, (ksi)]],"N/A")</f>
        <v>N/A</v>
      </c>
      <c r="FY18" s="237" t="str">
        <f>IF(Reinforcements[[#This Row],[Type]]="channel",((Reinforcements[[#This Row],[c2]]*(Reinforcements[[#This Row],[λrw]]/Reinforcements[[#This Row],[λw]]))^2)*Reinforcements[[#This Row],[Fy, (ksi)]],"N/A")</f>
        <v>N/A</v>
      </c>
      <c r="FZ18"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8"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8"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8" s="237" t="str">
        <f>IF(Reinforcements[[#This Row],[Type]]="channel",Reinforcements[[#This Row],[Fcr]]*Reinforcements[[#This Row],[Ae]],"N/A")</f>
        <v>N/A</v>
      </c>
      <c r="GD18" s="466">
        <f>IF(Reinforcements[[#This Row],[Reinforcement]]="","",φ_c*Reinforcements[[#This Row],[Pnx, FB (kip)]])</f>
        <v>401.54219847447263</v>
      </c>
      <c r="GE18" s="466">
        <f>IF(Reinforcements[[#This Row],[Reinforcement]]="","",IF(Reinforcements[[#This Row],[Type]]="channel",φ_c*Reinforcements[[#This Row],[Pn]],φ_c*Reinforcements[[#This Row],[Pny, FB (kip)]]))</f>
        <v>470.70261916434481</v>
      </c>
      <c r="GF18" s="466">
        <f>Reinforcements[[#This Row],[Rev. G Tension Yield Capacity (kips)]]</f>
        <v>475.3125</v>
      </c>
      <c r="GG18" s="466">
        <f>Reinforcements[[#This Row],[Rev. G Tension Rupture Capacity (kips)]]</f>
        <v>393.75</v>
      </c>
      <c r="GH18" s="466">
        <f>Reinforcements[[#This Row],[Rev. G Shear Capacity (kips)]]</f>
        <v>237.65625</v>
      </c>
      <c r="GI18" s="466">
        <f>IFERROR((Reinforcements[[#This Row],['# of End Connection Bolts          (Bottom)]]-1)*Reinforcements[[#This Row],[End Connection Bolt Spacing (in) (B)]],"-")</f>
        <v>39</v>
      </c>
      <c r="GJ18" s="466">
        <f>IFERROR(IF(VLOOKUP(Reinforcements[[#This Row],[Bottom End Connection Bolt Type]],Bolts[],COLUMN(Bolts[[#Headers],[Rev. H Apply Connection Length Reduction Factor (Rb)?]])-1,FALSE)="Yes",(IF(Reinforcements[[#This Row],[Lb(bottom)]]&lt;=16,1,IF(Reinforcements[[#This Row],[Lb(bottom)]]&gt;38,0.75,0.9))),1),"-")</f>
        <v>1</v>
      </c>
      <c r="GK18"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649.59497359145109</v>
      </c>
      <c r="GL18" s="466">
        <f>IFERROR(IF(Reinforcements[[#This Row],[Top End Connection Same?]]="Yes",Reinforcements[[#This Row],[Lb(bottom)]],(Reinforcements[[#This Row],['# of End Connection Bolts          (Top)]]-1)*Reinforcements[[#This Row],[End Connection Bolt Spacing (in) (T)]]),"-")</f>
        <v>39</v>
      </c>
      <c r="GM18" s="466">
        <f>IFERROR(IF(VLOOKUP(Reinforcements[[#This Row],[Top End Connection Bolt Type]],Bolts[],COLUMN(Bolts[[#Headers],[Rev. H Apply Connection Length Reduction Factor (Rb)?]])-1,FALSE)="Yes",(IF(Reinforcements[[#This Row],[Lb(top)]]&lt;=16,1,IF(Reinforcements[[#This Row],[Lb(top)]]&gt;38,0.75,0.9))),1),"-")</f>
        <v>1</v>
      </c>
      <c r="GN18"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649.59497359145109</v>
      </c>
      <c r="GO18" s="466">
        <f>Reinforcements[[#This Row],[Rev. G Bolt-Shaft Bearing Capacity (Bottom)                No Deformation          (*t*Fu kips)]]</f>
        <v>27.59433070866142</v>
      </c>
      <c r="GP18" s="466">
        <f>Reinforcements[[#This Row],[Rev. G Bolt-Shaft Bearing Capacity (Bottom)                   Deformation          (*t*Fu kips)]]</f>
        <v>34.492913385826775</v>
      </c>
      <c r="GQ18" s="466">
        <f>Reinforcements[[#This Row],[Rev. G Bolt-Shaft Bearing Capacity (Top)                    No Deformation          (*t*Fu kips)]]</f>
        <v>27.59433070866142</v>
      </c>
      <c r="GR18" s="466">
        <f>Reinforcements[[#This Row],[Rev. G Bolt-Shaft Bearing Capacity (Top)                        Deformation          (*t*Fu kips)]]</f>
        <v>34.492913385826775</v>
      </c>
      <c r="GS18" s="466">
        <f>Reinforcements[[#This Row],[Rev. G Bolt-Reinf. Bearing Capacity (Bottom)            No Deformation (kips)]]</f>
        <v>2759.4330708661419</v>
      </c>
      <c r="GT18" s="466">
        <f>Reinforcements[[#This Row],[Rev. G Bolt-Reinf. Bearing Capacity (Bottom)               Deformation (kips)]]</f>
        <v>3449.2913385826778</v>
      </c>
      <c r="GU18" s="466">
        <f>Reinforcements[[#This Row],[Rev. G Bolt-Reinf. Bearing Capacity (Top)                  No Deformation (kips)]]</f>
        <v>2759.4330708661419</v>
      </c>
      <c r="GV18" s="466">
        <f>Reinforcements[[#This Row],[Rev. G Bolt-Reinf. Bearing Capacity (Top)               Deformation (kips)]]</f>
        <v>3449.2913385826778</v>
      </c>
      <c r="GW18" s="466" t="str">
        <f>Reinforcements[[#This Row],[Rev. G Bottom Transverse Weld Strength]]</f>
        <v>-</v>
      </c>
      <c r="GX18" s="466" t="str">
        <f>Reinforcements[[#This Row],[Rev. G Bottom Longitudinal Weld Strength]]</f>
        <v>-</v>
      </c>
      <c r="GY18" s="466" t="str">
        <f>Reinforcements[[#This Row],[Rev. G Top Transverse Weld Strength]]</f>
        <v>-</v>
      </c>
      <c r="GZ18" s="466" t="str">
        <f>Reinforcements[[#This Row],[Rev. G Top Longitudinal Weld Strength]]</f>
        <v>-</v>
      </c>
      <c r="HA18" s="552">
        <v>16</v>
      </c>
      <c r="HB18"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9" spans="2:217" s="65" customFormat="1" x14ac:dyDescent="0.2">
      <c r="B19" s="72" t="s">
        <v>368</v>
      </c>
      <c r="C19" s="72" t="s">
        <v>146</v>
      </c>
      <c r="D19" s="185">
        <v>8.5</v>
      </c>
      <c r="E19" s="185">
        <v>1.25</v>
      </c>
      <c r="F19" s="185" t="str">
        <f>IF(Reinforcements[[#This Row],[Type]]="","",IF(Reinforcements[[#This Row],[Type]]="solid round","","n/a"))</f>
        <v>n/a</v>
      </c>
      <c r="G19" s="185" t="str">
        <f>IF(Reinforcements[[#This Row],[Type]]="","",IF(Reinforcements[[#This Row],[Type]]&lt;&gt;"channel","n/a",""))</f>
        <v>n/a</v>
      </c>
      <c r="H19" s="185" t="str">
        <f>IF(Reinforcements[[#This Row],[Type]]="","",IF(Reinforcements[[#This Row],[Type]]&lt;&gt;"channel","n/a",""))</f>
        <v>n/a</v>
      </c>
      <c r="I19" s="197" t="str">
        <f>IF(Reinforcements[[#This Row],[Type]]="","",IF(Reinforcements[[#This Row],[Type]]&lt;&gt;"channel","n/a",Reinforcements[[#This Row],[eo]]))</f>
        <v>n/a</v>
      </c>
      <c r="J19" s="197" t="str">
        <f>IF(Reinforcements[[#This Row],[Type]]="","",IF(Reinforcements[[#This Row],[Type]]&lt;&gt;"channel","n/a",Reinforcements[[#This Row],[J]]))</f>
        <v>n/a</v>
      </c>
      <c r="K19" s="197" t="str">
        <f>IF(Reinforcements[[#This Row],[Type]]="","",IF(Reinforcements[[#This Row],[Type]]&lt;&gt;"channel","n/a",Reinforcements[[#This Row],[Cw]]))</f>
        <v>n/a</v>
      </c>
      <c r="L19" s="185">
        <f>IFERROR(IF(Reinforcements[[#This Row],[Type]]="","",IF(Reinforcements[[#This Row],[Type]]="plate",Reinforcements[[#This Row],[B (in)]]*Reinforcements[[#This Row],[H (in)]],IF(Reinforcements[[#This Row],[Type]]="solid round",PI()/4*Reinforcements[[#This Row],[Diameter (in)]]^2,""))),"")</f>
        <v>10.625</v>
      </c>
      <c r="M19" s="185">
        <f>IFERROR(IF(Reinforcements[[#This Row],[Type]]="","",IF(Reinforcements[[#This Row],[Type]]="plate",Reinforcements[[#This Row],[H (in)]]/2,"")),"")</f>
        <v>0.625</v>
      </c>
      <c r="N19" s="186" t="s">
        <v>297</v>
      </c>
      <c r="O19" s="185" t="s">
        <v>60</v>
      </c>
      <c r="P19" s="187">
        <f>IFERROR(IF(Reinforcements[[#This Row],[Type]]="","",IF(Reinforcements[[#This Row],[Type]]="plate",Reinforcements[[#This Row],[B (in)]]*Reinforcements[[#This Row],[H (in)]]^3/12,IF(Reinforcements[[#This Row],[Type]]="solid round",PI()/64*Reinforcements[[#This Row],[Diameter (in)]]^4,""))),"")</f>
        <v>1.3834635416666667</v>
      </c>
      <c r="Q19" s="187">
        <f>IF(Reinforcements[[#This Row],[Reinforcement]]="","",SQRT(Reinforcements[[#This Row],[Ix]]/Reinforcements[[#This Row],[Gross Area (in2)]]))</f>
        <v>0.36084391824351614</v>
      </c>
      <c r="R19" s="187">
        <f>IFERROR(IF(Reinforcements[[#This Row],[Type]]="","",IF(Reinforcements[[#This Row],[Type]]="plate",Reinforcements[[#This Row],[B (in)]]^3*Reinforcements[[#This Row],[H (in)]]/12,IF(Reinforcements[[#This Row],[Type]]="solid round",PI()/64*Reinforcements[[#This Row],[Diameter (in)]]^4,""))),"")</f>
        <v>63.971354166666664</v>
      </c>
      <c r="S19" s="187">
        <f>IF(Reinforcements[[#This Row],[Reinforcement]]="","",SQRT(Reinforcements[[#This Row],[Iy]]/Reinforcements[[#This Row],[Gross Area (in2)]]))</f>
        <v>2.4537386440559095</v>
      </c>
      <c r="T19" s="190">
        <v>17</v>
      </c>
      <c r="U19" s="188">
        <v>0.8</v>
      </c>
      <c r="V19" s="188">
        <v>1</v>
      </c>
      <c r="W19" s="185">
        <v>1.1875</v>
      </c>
      <c r="X19" s="188">
        <f>IF(Reinforcements[[#This Row],[Bolt Hole Size (in)]]="","",IF(Reinforcements[[#This Row],[Bolt Hole Size (in)]]="n/a","n/a",Reinforcements[[#This Row],[Bolt Hole Size (in)]]*25.4))</f>
        <v>30.162499999999998</v>
      </c>
      <c r="Y19"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19" s="185">
        <f>IFERROR(IF(Reinforcements[[#This Row],[Reinforcement]]="","",IF(OR(Reinforcements[[#This Row],[Type]]="plate",Reinforcements[[#This Row],[Type]]="solid round"),1,IF(Reinforcements[[#This Row],[Type]]="arbitrary","",1-Reinforcements[[#This Row],[Pole Face to Centroid (in)]]/Reinforcements[[#This Row],[Connection Length (in) '[Channels']]]))),"")</f>
        <v>1</v>
      </c>
      <c r="AA19" s="189" t="s">
        <v>391</v>
      </c>
      <c r="AB19" s="189" t="str">
        <f>IF(Reinforcements[[#This Row],[Reinforcement]]="","",IF(Reinforcements[[#This Row],[Bottom End Connection Type]]&lt;&gt;"Capacity Input","-",""))</f>
        <v>-</v>
      </c>
      <c r="AC19" s="189" t="str">
        <f>IF(Reinforcements[[#This Row],[Reinforcement]]="","",IF(Reinforcements[[#This Row],[Bottom End Connection Type]]&lt;&gt;"Capacity Input","-",""))</f>
        <v>-</v>
      </c>
      <c r="AD19" s="461" t="str">
        <f>IF(Reinforcements[[#This Row],[Reinforcement]]="","",IF(Reinforcements[[#This Row],[Bottom End Connection Type]]&lt;&gt;"Capacity Input","-",""))</f>
        <v>-</v>
      </c>
      <c r="AE19" s="103" t="s">
        <v>416</v>
      </c>
      <c r="AF19" s="190" t="s">
        <v>296</v>
      </c>
      <c r="AG19" s="190">
        <v>17</v>
      </c>
      <c r="AH19" s="190">
        <v>3</v>
      </c>
      <c r="AI19" s="190">
        <v>3</v>
      </c>
      <c r="AJ19" s="190">
        <f>Reinforcements[[#This Row],[End Connection Edge Distance (in) (B)]]-(Reinforcements[[#This Row],[Bolt Hole Size (in)]]+1/16)/2</f>
        <v>2.375</v>
      </c>
      <c r="AK19" s="190">
        <f>Reinforcements[[#This Row],[End Connection Bolt Spacing (in) (B)]]-(Reinforcements[[#This Row],[Bolt Hole Size (in)]]+1/16)</f>
        <v>1.75</v>
      </c>
      <c r="AL19" s="190">
        <f>Reinforcements[[#This Row],[End Connection Edge Distance (in) (B)]]</f>
        <v>3</v>
      </c>
      <c r="AM19" s="190">
        <f>Reinforcements[[#This Row],[End Connection Bolt Spacing (in) (B)]]</f>
        <v>3</v>
      </c>
      <c r="AN19" s="190" t="str">
        <f>IF(Reinforcements[[#This Row],[Reinforcement]]="","",IF(OR(Reinforcements[[#This Row],[Bottom End Connection Type]]="Bolted",Reinforcements[[#This Row],[Bottom End Connection Type]]=""),"-",""))</f>
        <v>-</v>
      </c>
      <c r="AO19" s="191" t="str">
        <f>IF(Reinforcements[[#This Row],[Reinforcement]]="","",IF(OR(Reinforcements[[#This Row],[Bottom End Connection Type]]="Bolted",Reinforcements[[#This Row],[Bottom End Connection Type]]=""),"-",""))</f>
        <v>-</v>
      </c>
      <c r="AP19" s="191" t="str">
        <f>IF(Reinforcements[[#This Row],[Reinforcement]]="","",IF(OR(Reinforcements[[#This Row],[Bottom End Connection Type]]="Bolted",Reinforcements[[#This Row],[Bottom End Connection Type]]=""),"-",""))</f>
        <v>-</v>
      </c>
      <c r="AQ19" s="191" t="str">
        <f>IF(OR(Reinforcements[[#This Row],[Bottom End Connection Type]]="Bolted",Reinforcements[[#This Row],[Bottom Transverse (Horizontal) Weld]]="none"),"-","")</f>
        <v>-</v>
      </c>
      <c r="AR19"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9"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9" s="191" t="str">
        <f>IF(OR(Reinforcements[[#This Row],[Bottom Transverse (Horizontal) Weld]]="none",Reinforcements[[#This Row],[Bottom End Connection Type]]="Bolted"),"-","")</f>
        <v>-</v>
      </c>
      <c r="AU19"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9" s="191" t="str">
        <f>IF(Reinforcements[[#This Row],[Reinforcement]]="","",IF(OR(Reinforcements[[#This Row],[Bottom End Connection Type]]="Bolted",Reinforcements[[#This Row],[Bottom End Connection Type]]=""),"-",""))</f>
        <v>-</v>
      </c>
      <c r="AW19" s="191" t="str">
        <f>IF(Reinforcements[[#This Row],[Reinforcement]]="","",IF(OR(Reinforcements[[#This Row],[Bottom End Connection Type]]&lt;&gt;"Welded",Reinforcements[[#This Row],[Bottom Longitudinal (Vertical) Weld]]="None",Reinforcements[[#This Row],[Bottom Longitudinal (Vertical) Weld]]=""),"-",""))</f>
        <v>-</v>
      </c>
      <c r="AX19" s="191" t="str">
        <f>IF(Reinforcements[[#This Row],[Reinforcement]]="","",IF(OR(Reinforcements[[#This Row],[Bottom End Connection Type]]&lt;&gt;"Welded",Reinforcements[[#This Row],[Bottom Longitudinal (Vertical) Weld]]="None",Reinforcements[[#This Row],[Bottom Longitudinal (Vertical) Weld]]=""),"-",""))</f>
        <v>-</v>
      </c>
      <c r="AY19" s="190" t="str">
        <f>IF(Reinforcements[[#This Row],[Reinforcement]]="","",IF(OR(Reinforcements[[#This Row],[Bottom End Connection Type]]&lt;&gt;"Welded",Reinforcements[[#This Row],[Bottom Longitudinal (Vertical) Weld]]="None"),"-",SQRT(2)/2*Reinforcements[[#This Row],[Bottom Longitudinal Weld Fillet Size (in)]]))</f>
        <v>-</v>
      </c>
      <c r="AZ19" s="191" t="s">
        <v>295</v>
      </c>
      <c r="BA19" s="189" t="str">
        <f>IF(Reinforcements[[#This Row],[Top End Connection Same?]]="Yes",Reinforcements[[#This Row],[Bottom End Connection Type]],"")</f>
        <v>Bolted</v>
      </c>
      <c r="BB19" s="189" t="str">
        <f>IF(Reinforcements[[#This Row],[Reinforcement]]="","",IF(Reinforcements[[#This Row],[Top End Connection Same?]]="Yes",Reinforcements[[#This Row],[Rev. F Bottom Connection Capacity (kips)]],IF(Reinforcements[[#This Row],[Reinforcement]]="","",IF(Reinforcements[[#This Row],[Top End Connection Type]]&lt;&gt;"Capacity Input","-",""))))</f>
        <v>-</v>
      </c>
      <c r="BC19" s="189" t="str">
        <f>IF(Reinforcements[[#This Row],[Reinforcement]]="","",IF(Reinforcements[[#This Row],[Top End Connection Same?]]="Yes",Reinforcements[[#This Row],[Rev. G Bottom Connection Capacity (kips)]],IF(Reinforcements[[#This Row],[Reinforcement]]="","",IF(Reinforcements[[#This Row],[Top End Connection Type]]&lt;&gt;"Capacity Input","-",""))))</f>
        <v>-</v>
      </c>
      <c r="BD19" s="461" t="str">
        <f>IF(Reinforcements[[#This Row],[Reinforcement]]="","",IF(Reinforcements[[#This Row],[Top End Connection Same?]]="Yes",Reinforcements[[#This Row],[Rev. G Bottom Connection Capacity (kips)]],IF(Reinforcements[[#This Row],[Reinforcement]]="","",IF(Reinforcements[[#This Row],[Top End Connection Type]]&lt;&gt;"Capacity Input","-",""))))</f>
        <v>-</v>
      </c>
      <c r="BE19" s="103" t="str">
        <f>IF(Reinforcements[[#This Row],[Top End Connection Same?]]="Yes",Reinforcements[[#This Row],[Bottom End Connection Bolt Type]],IF(Reinforcements[[#This Row],[Top End Connection Type]]="Welded","-",""))</f>
        <v>PC 8.8 - M20 (100)</v>
      </c>
      <c r="BF19" s="190" t="str">
        <f>IF(Reinforcements[[#This Row],[Top End Connection Same?]]="Yes",Reinforcements[[#This Row],[Threads Included (N) or Excluded (X) (Bottom)]],IF(Reinforcements[[#This Row],[Top End Connection Type]]="Welded","-",""))</f>
        <v>N</v>
      </c>
      <c r="BG19" s="190">
        <f>IF(Reinforcements[[#This Row],[Top End Connection Same?]]="Yes",Reinforcements[[#This Row],['# of End Connection Bolts          (Bottom)]],IF(Reinforcements[[#This Row],[Top End Connection Type]]="Welded","-",""))</f>
        <v>17</v>
      </c>
      <c r="BH19" s="190">
        <f>IF(Reinforcements[[#This Row],[Top End Connection Same?]]="Yes",Reinforcements[[#This Row],[End Connection Bolt Spacing (in) (B)]],IF(Reinforcements[[#This Row],[Top End Connection Type]]="Welded","-",""))</f>
        <v>3</v>
      </c>
      <c r="BI19" s="190">
        <f>IF(Reinforcements[[#This Row],[Top End Connection Same?]]="Yes",Reinforcements[[#This Row],[End Connection Edge Distance (in) (B)]],IF(Reinforcements[[#This Row],[Top End Connection Type]]="Welded","-",""))</f>
        <v>3</v>
      </c>
      <c r="BJ19" s="190">
        <f>Reinforcements[[#This Row],[End Connection Edge Distance (in) (T)]]-(Reinforcements[[#This Row],[Bolt Hole Size (in)]]+1/16)/2</f>
        <v>2.375</v>
      </c>
      <c r="BK19" s="190">
        <f>Reinforcements[[#This Row],[End Connection Bolt Spacing (in) (T)]]-(Reinforcements[[#This Row],[Bolt Hole Size (in)]]+1/16)</f>
        <v>1.75</v>
      </c>
      <c r="BL19" s="190">
        <f>Reinforcements[[#This Row],[End Connection Edge Distance (in) (T)]]</f>
        <v>3</v>
      </c>
      <c r="BM19" s="190">
        <f>Reinforcements[[#This Row],[End Connection Bolt Spacing (in) (T)]]</f>
        <v>3</v>
      </c>
      <c r="BN19" s="190" t="str">
        <f>IF(Reinforcements[[#This Row],[Reinforcement]]="","",IF(Reinforcements[[#This Row],[Top End Connection Same?]]="Yes",Reinforcements[[#This Row],[Bottom Connected to Flange/Base Plate?]],IF(Reinforcements[[#This Row],[Top End Connection Type]]="Bolted","-","")))</f>
        <v>-</v>
      </c>
      <c r="BO19" s="190" t="str">
        <f>IF(Reinforcements[[#This Row],[Reinforcement]]="","",IF(Reinforcements[[#This Row],[Top End Connection Same?]]="Yes",Reinforcements[[#This Row],[Bottom Weld Grade (ksi)]],IF(OR(Reinforcements[[#This Row],[Top End Connection Type]]&lt;&gt;"Welded",Reinforcements[[#This Row],[Top End Connection Type]]=""),"-","")))</f>
        <v>-</v>
      </c>
      <c r="BP19" s="190" t="str">
        <f>IF($AZ19="Yes",AP19,IF(Reinforcements[[#This Row],[Reinforcement]]="","",IF(OR(Reinforcements[[#This Row],[Top End Connection Type]]&lt;&gt;"Welded",Reinforcements[[#This Row],[Top End Connection Type]]=""),"-","")))</f>
        <v>-</v>
      </c>
      <c r="BQ19" s="190" t="str">
        <f>IF(Reinforcements[[#This Row],[Reinforcement]]="","",IF($AZ19="Yes",AQ19,IF(OR(Reinforcements[[#This Row],[Top End Connection Type]]&lt;&gt;"Welded",Reinforcements[[#This Row],[Top Transverse (Horizontal) Weld]]="none",Reinforcements[[#This Row],[Top Transverse (Horizontal) Weld]]=""),"-","")))</f>
        <v>-</v>
      </c>
      <c r="BR19" s="190" t="str">
        <f>IF($AZ19="Yes",AR19,IF(Reinforcements[[#This Row],[Reinforcement]]="","",IF(OR(Reinforcements[[#This Row],[Top Transverse (Horizontal) Weld]]="none",Reinforcements[[#This Row],[Top End Connection Type]]&lt;&gt;"Welded",Reinforcements[[#This Row],[Top Transverse (Horizontal) Weld]]="",Reinforcements[[#This Row],[Top Transverse (Horizontal) Weld]]="Fillet"),"-","")))</f>
        <v>-</v>
      </c>
      <c r="BS19" s="190" t="str">
        <f>IF($AZ19="Yes",AS19,IF(Reinforcements[[#This Row],[Reinforcement]]="","",IF(OR(Reinforcements[[#This Row],[Top Transverse (Horizontal) Weld]]="none",Reinforcements[[#This Row],[Top End Connection Type]]&lt;&gt;"Welded",Reinforcements[[#This Row],[Top Transverse (Horizontal) Weld]]="",Reinforcements[[#This Row],[Top Transverse (Horizontal) Weld]]="Fillet"),"-","")))</f>
        <v>-</v>
      </c>
      <c r="BT19" s="190" t="str">
        <f>IF(Reinforcements[[#This Row],[Reinforcement]]="","",IF($AZ19="Yes",AT19,IF(OR(Reinforcements[[#This Row],[Top Transverse (Horizontal) Weld]]="none",Reinforcements[[#This Row],[Top End Connection Type]]&lt;&gt;"Welded",Reinforcements[[#This Row],[Top Transverse (Horizontal) Weld]]=""),"-","")))</f>
        <v>-</v>
      </c>
      <c r="BU19" s="190" t="str">
        <f>IF($AZ19="Yes",AU19,IF(Reinforcements[[#This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9" s="190" t="str">
        <f>IF($AZ19="Yes",AV19,IF(Reinforcements[[#This Row],[Reinforcement]]="","",IF(OR(Reinforcements[[#This Row],[Top End Connection Type]]&lt;&gt;"Welded",Reinforcements[[#This Row],[Top End Connection Type]]=""),"-","")))</f>
        <v>-</v>
      </c>
      <c r="BW19" s="190" t="str">
        <f>IF($AZ19="Yes",AW19,IF(Reinforcements[[#This Row],[Reinforcement]]="","",IF(OR(Reinforcements[[#This Row],[Top End Connection Type]]&lt;&gt;"Welded",Reinforcements[[#This Row],[Top End Connection Type]]="",Reinforcements[[#This Row],[Top Longitudinal (Vertical) Weld]]="",Reinforcements[[#This Row],[Top Longitudinal (Vertical) Weld]]="None"),"-","")))</f>
        <v>-</v>
      </c>
      <c r="BX19" s="190" t="str">
        <f>IF($AZ19="Yes",AX19,IF(Reinforcements[[#This Row],[Reinforcement]]="","",IF(OR(Reinforcements[[#This Row],[Top End Connection Type]]&lt;&gt;"Welded",Reinforcements[[#This Row],[Top End Connection Type]]="",Reinforcements[[#This Row],[Top Longitudinal (Vertical) Weld]]="",Reinforcements[[#This Row],[Top Longitudinal (Vertical) Weld]]="None"),"-","")))</f>
        <v>-</v>
      </c>
      <c r="BY19" s="190" t="str">
        <f>IF($AZ19="Yes",AY19,IF(Reinforcements[[#This Row],[Reinforcement]]="","",IF(OR(Reinforcements[[#This Row],[Top End Connection Type]]&lt;&gt;"Welded",Reinforcements[[#This Row],[Top Longitudinal (Vertical) Weld]]="none"),"-",SQRT(2)/2*Reinforcements[[#This Row],[Top Longitudinal Weld Fillet Size (in)]])))</f>
        <v>-</v>
      </c>
      <c r="BZ19"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9" s="192">
        <f>IF(Reinforcements[[#This Row],[Reinforcement]]="","",IF(Reinforcements[[#This Row],[Bottom End Connection Type]]&lt;&gt;"Bolted","n/a",(Reinforcements[[#This Row],['# of End Connection Bolts          (Bottom)]]-1)*Reinforcements[[#This Row],[End Connection Bolt Spacing (in) (B)]]+Reinforcements[[#This Row],[End Connection Edge Distance (in) (B)]]))</f>
        <v>51</v>
      </c>
      <c r="CB19" s="192">
        <f>IF(Reinforcements[[#This Row],[Reinforcement]]="","",IF(Reinforcements[[#This Row],[Top End Connection Type]]&lt;&gt;"Bolted","n/a",(Reinforcements[[#This Row],['# of End Connection Bolts          (Top)]]-1)*Reinforcements[[#This Row],[End Connection Bolt Spacing (in) (T)]]+Reinforcements[[#This Row],[End Connection Edge Distance (in) (T)]]))</f>
        <v>51</v>
      </c>
      <c r="CC19"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19"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19" s="185">
        <f>IFERROR(IF(Reinforcements[[#This Row],[Type]]="","",Reinforcements[[#This Row],[Effective B (in)]]*Reinforcements[[#This Row],[Effective H (in)]]^3/12),"")</f>
        <v>1.3834635416666667</v>
      </c>
      <c r="CF19" s="185">
        <f>IFERROR(IF(Reinforcements[[#This Row],[Type]]="","",Reinforcements[[#This Row],[Effective B (in)]]^3*Reinforcements[[#This Row],[Effective H (in)]]/12),"")</f>
        <v>63.971354166666664</v>
      </c>
      <c r="CG19" s="197">
        <f>SQRT(2*PI()^2*29000/VLOOKUP(Reinforcements[[#This Row],[Material]],Materials[],2,FALSE))</f>
        <v>93.844147005158973</v>
      </c>
      <c r="CH19"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33.030438827573469</v>
      </c>
      <c r="CI19"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38.259345951636107</v>
      </c>
      <c r="CJ19" s="187">
        <f>Reinforcements[[#This Row],[Effective Length Factor Kx]]*Reinforcements[[#This Row],[Lu (in)]]/(Reinforcements[[#This Row],[rx]]*PI())*SQRT(VLOOKUP(Reinforcements[[#This Row],[Material]],Materials[],2,FALSE)/29000)</f>
        <v>0.56797252150453015</v>
      </c>
      <c r="CK19" s="187">
        <f>Reinforcements[[#This Row],[Effective Length Factor Ky]]*Reinforcements[[#This Row],[Lu (in)]]/(Reinforcements[[#This Row],[ry]]*PI())*SQRT(VLOOKUP(Reinforcements[[#This Row],[Material]],Materials[],2,FALSE)/29000)</f>
        <v>0.10440671351186218</v>
      </c>
      <c r="CL19" s="187">
        <f>IF(Reinforcements[[#This Row],[λcx]]&lt;=1.5,0.658^(Reinforcements[[#This Row],[λcx]]^2)*Reinforcements[[#This Row],[F''y]],0.877/(Reinforcements[[#This Row],[λcx]]^2)*Reinforcements[[#This Row],[F''y]])</f>
        <v>56.790323341365259</v>
      </c>
      <c r="CM19" s="187">
        <f>IF(Reinforcements[[#This Row],[λcy]]&lt;=1.5,0.658^(Reinforcements[[#This Row],[λcy]]^2)*Reinforcements[[#This Row],[F''y]],0.877/(Reinforcements[[#This Row],[λcy]]^2)*Reinforcements[[#This Row],[F''y]])</f>
        <v>64.704111863315191</v>
      </c>
      <c r="CN19" s="185">
        <f>VLOOKUP(Reinforcements[[#This Row],[Material]],Materials[],2,FALSE)</f>
        <v>65</v>
      </c>
      <c r="CO19" s="197">
        <f>IF(Reinforcements[[#This Row],[Reinforcement]]="","",Reinforcements[[#This Row],[Fax]]*Reinforcements[[#This Row],[Gross Area (in2)]])</f>
        <v>350.94841254296813</v>
      </c>
      <c r="CP19" s="197">
        <f>IF(Reinforcements[[#This Row],[Reinforcement]]="","",Reinforcements[[#This Row],[Fay]]*Reinforcements[[#This Row],[Gross Area (in2)]])</f>
        <v>406.50555073613361</v>
      </c>
      <c r="CQ19" s="197">
        <f>IF(Reinforcements[[#This Row],[Reinforcement]]="","",0.6*VLOOKUP(Reinforcements[[#This Row],[Material]],Materials[],2,FALSE)*Reinforcements[[#This Row],[Gross Area (in2)]])</f>
        <v>414.375</v>
      </c>
      <c r="CR19" s="197">
        <f>IF(Reinforcements[[#This Row],[Reinforcement]]="","",0.5*VLOOKUP(Reinforcements[[#This Row],[Material]],Materials[],3,FALSE)*Reinforcements[[#This Row],[Net Area (in2)]]*Reinforcements[[#This Row],[Shear Lag (U)]])</f>
        <v>362.5</v>
      </c>
      <c r="CS19" s="197">
        <f>IF(Reinforcements[[#This Row],[Reinforcement]]="","",0.4*VLOOKUP(Reinforcements[[#This Row],[Material]],Materials[],2,FALSE)*Reinforcements[[#This Row],[Gross Area (in2)]])</f>
        <v>276.25</v>
      </c>
      <c r="CT19"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395.85573854010943</v>
      </c>
      <c r="CU19"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395.85573854010943</v>
      </c>
      <c r="CV19"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23.291338582677167</v>
      </c>
      <c r="CW19"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25.712598425196852</v>
      </c>
      <c r="CX19"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23.291338582677167</v>
      </c>
      <c r="CY19"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25.712598425196852</v>
      </c>
      <c r="CZ19"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2329.1338582677163</v>
      </c>
      <c r="DA19"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2571.2598425196852</v>
      </c>
      <c r="DB19"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2329.1338582677163</v>
      </c>
      <c r="DC19"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2571.2598425196852</v>
      </c>
      <c r="DD19"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9"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9" s="190" t="str">
        <f>IF($AZ19="Yes",DD19,IF(Reinforcements[[#This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9" s="190" t="str">
        <f>IF($AZ19="Yes",DE19,IF(Reinforcements[[#This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9" s="197">
        <f>IF(Reinforcements[[#This Row],[Reinforcement]]="","",φ_c*Reinforcements[[#This Row],[Fcr,x]]*Reinforcements[[#This Row],[Gross Area (in2)]])</f>
        <v>543.05746695180528</v>
      </c>
      <c r="DI19" s="197">
        <f>IF(Reinforcements[[#This Row],[Reinforcement]]="","",φ_c*Reinforcements[[#This Row],[Fcr,y]]*Reinforcements[[#This Row],[Gross Area (in2)]])</f>
        <v>618.73306969295152</v>
      </c>
      <c r="DJ19" s="197">
        <f>IF(Reinforcements[[#This Row],[Reinforcement]]="","",φ_t_y*VLOOKUP(Reinforcements[[#This Row],[Material]],Materials[],2,FALSE)*Reinforcements[[#This Row],[Gross Area (in2)]])</f>
        <v>621.5625</v>
      </c>
      <c r="DK19" s="197">
        <f>IF(Reinforcements[[#This Row],[Reinforcement]]="","",φ_t_r*VLOOKUP(Reinforcements[[#This Row],[Material]],Materials[],3,FALSE)*Reinforcements[[#This Row],[Net Area (in2)]]*Reinforcements[[#This Row],[Shear Lag (U)]])</f>
        <v>543.75</v>
      </c>
      <c r="DL19" s="197">
        <f>IF(Reinforcements[[#This Row],[Reinforcement]]="","",φ_v*0.5*Reinforcements[[#This Row],[F''y]]*Reinforcements[[#This Row],[Gross Area (in2)]])</f>
        <v>310.78125</v>
      </c>
      <c r="DM19"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701.58893080202824</v>
      </c>
      <c r="DN19"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701.58893080202824</v>
      </c>
      <c r="DO19"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33.456377952755908</v>
      </c>
      <c r="DP19"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41.820472440944883</v>
      </c>
      <c r="DQ19"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33.456377952755908</v>
      </c>
      <c r="DR19"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41.820472440944883</v>
      </c>
      <c r="DS19"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3345.6377952755911</v>
      </c>
      <c r="DT19"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4182.0472440944886</v>
      </c>
      <c r="DU19"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3345.6377952755911</v>
      </c>
      <c r="DV19"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4182.0472440944886</v>
      </c>
      <c r="DW19"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9"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9" s="190" t="str">
        <f>IF($AZ19="Yes",DW19,IF(Reinforcements[[#This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9" s="190" t="str">
        <f>IF($AZ19="Yes",DX19,IF(Reinforcements[[#This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9" s="241" t="str">
        <f>IF(OR(Reinforcements[[#This Row],[Type]]="plate",Reinforcements[[#This Row],[Type]]="solid round"),"N/A",Reinforcements[[#This Row],[B (in)]])</f>
        <v>N/A</v>
      </c>
      <c r="EB19" s="237" t="str">
        <f>IF(OR(Reinforcements[[#This Row],[Type]]="plate",Reinforcements[[#This Row],[Type]]="solid round"),"N/A",Reinforcements[[#This Row],[H (in)]])</f>
        <v>N/A</v>
      </c>
      <c r="EC19" s="237" t="str">
        <f>IF(OR(Reinforcements[[#This Row],[Type]]="plate",Reinforcements[[#This Row],[Type]]="solid round"),"N/A",Reinforcements[[#This Row],[B (in)]]-Reinforcements[[#This Row],['[Channel'] Flange Thickness (in)]])</f>
        <v>N/A</v>
      </c>
      <c r="ED19" s="237" t="str">
        <f>IF(OR(Reinforcements[[#This Row],[Type]]="plate",Reinforcements[[#This Row],[Type]]="solid round"),"N/A",Reinforcements[[#This Row],['[Channel']Web Thickness (in)]])</f>
        <v>N/A</v>
      </c>
      <c r="EE19" s="237" t="str">
        <f>IF(OR(Reinforcements[[#This Row],[Type]]="plate",Reinforcements[[#This Row],[Type]]="solid round"),"N/A",Reinforcements[[#This Row],['[Channel'] Flange Thickness (in)]])</f>
        <v>N/A</v>
      </c>
      <c r="EF19" s="237" t="str">
        <f>IF(Reinforcements[[#This Row],[Type]]="channel",Reinforcements[[#This Row],[Channel Flange Width, b]]/Reinforcements[[#This Row],[Channel flange thickness, tf]],"N/A")</f>
        <v>N/A</v>
      </c>
      <c r="EG19" s="237" t="str">
        <f>IF(Reinforcements[[#This Row],[Type]]="channel",Reinforcements[[#This Row],[Channel inside depth, T]]/Reinforcements[[#This Row],[Channel web thickness, tw]],"N/A")</f>
        <v>N/A</v>
      </c>
      <c r="EH19" s="237">
        <v>29000</v>
      </c>
      <c r="EI19" s="237" t="str">
        <f>IF(Reinforcements[[#This Row],[Type]]="channel",0.56*SQRT(Reinforcements[[#This Row],[E, (ksi)]]/Reinforcements[[#This Row],[Fy, (ksi)]]),"N/A")</f>
        <v>N/A</v>
      </c>
      <c r="EJ19" s="237" t="str">
        <f>IF(Reinforcements[[#This Row],[Type]]="channel",1.49*SQRT(Reinforcements[[#This Row],[E, (ksi)]]/Reinforcements[[#This Row],[Fy, (ksi)]]),"N/A")</f>
        <v>N/A</v>
      </c>
      <c r="EK19" s="237">
        <f>VLOOKUP(Reinforcements[[#This Row],[Material]],Materials!$B$2:$C$30,2,FALSE)</f>
        <v>65</v>
      </c>
      <c r="EL19" s="237">
        <f>Reinforcements[[#This Row],[Lu (in)]]*Reinforcements[[#This Row],[Effective Length Factor Kx]]</f>
        <v>13.600000000000001</v>
      </c>
      <c r="EM19" s="237">
        <f>Reinforcements[[#This Row],[Lu (in)]]*Reinforcements[[#This Row],[Effective Length Factor Ky]]</f>
        <v>17</v>
      </c>
      <c r="EN19" s="237">
        <f>Reinforcements[[#This Row],[rx]]</f>
        <v>0.36084391824351614</v>
      </c>
      <c r="EO19" s="237">
        <f>Reinforcements[[#This Row],[ry]]</f>
        <v>2.4537386440559095</v>
      </c>
      <c r="EP19" s="237">
        <f>Reinforcements[[#This Row],[Lcx (in)]]/Reinforcements[[#This Row],[rx (in)]]</f>
        <v>37.689425572698774</v>
      </c>
      <c r="EQ19" s="237">
        <f>Reinforcements[[#This Row],[Lcy (in)]]/Reinforcements[[#This Row],[ry (in)]]</f>
        <v>6.9282032302755097</v>
      </c>
      <c r="ER19" s="237">
        <f>((PI()^2)*Reinforcements[[#This Row],[E, (ksi)]])/(Reinforcements[[#This Row],[Lcx/rx]]^2)</f>
        <v>201.49241702005904</v>
      </c>
      <c r="ES19" s="237">
        <f>((PI()^2)*Reinforcements[[#This Row],[E, (ksi)]])/(Reinforcements[[#This Row],[Lcy/ry]]^2)</f>
        <v>5962.8859923248192</v>
      </c>
      <c r="ET19" s="237">
        <f>4.71*(SQRT(Reinforcements[[#This Row],[E, (ksi)]]/Reinforcements[[#This Row],[Fy, (ksi)]]))</f>
        <v>99.486288193205496</v>
      </c>
      <c r="EU19" s="237">
        <f>IF(Reinforcements[[#This Row],[Lcx/rx]]&lt;=Reinforcements[[#This Row],[Fcr Limit]],(0.658^(Reinforcements[[#This Row],[Fy, (ksi)]]/Reinforcements[[#This Row],[Fex, FB (ksi)]]))*Reinforcements[[#This Row],[Fy, (ksi)]],0.877*Reinforcements[[#This Row],[Fex, FB (ksi)]])</f>
        <v>56.790323341365259</v>
      </c>
      <c r="EV19" s="237">
        <f>IF(Reinforcements[[#This Row],[Lcy/ry]]&lt;=Reinforcements[[#This Row],[Fcr Limit]],(0.658^(Reinforcements[[#This Row],[Fy, (ksi)]]/Reinforcements[[#This Row],[Fey, FB (ksi)]]))*Reinforcements[[#This Row],[Fy, (ksi)]],0.877*Reinforcements[[#This Row],[Fey, FB (ksi)]])</f>
        <v>64.704111863315191</v>
      </c>
      <c r="EW19" s="237">
        <f>Reinforcements[[#This Row],[Fcrx (ksi)]]*Reinforcements[[#This Row],[Gross Area (in2)]]</f>
        <v>603.39718550200587</v>
      </c>
      <c r="EX19" s="237">
        <f>Reinforcements[[#This Row],[Fcry (ksi)]]*Reinforcements[[#This Row],[Gross Area (in2)]]</f>
        <v>687.48118854772395</v>
      </c>
      <c r="EY19" s="237" t="str">
        <f>IF(Reinforcements[[#This Row],[Type]]="channel",0,"N/A")</f>
        <v>N/A</v>
      </c>
      <c r="EZ19" s="237" t="str">
        <f>IF(Reinforcements[[#This Row],[Type]]="channel",Reinforcements[[#This Row],[Channel Flange Width, b]]-(0.5*Reinforcements[[#This Row],[Channel web thickness, tw]]),"N/A")</f>
        <v>N/A</v>
      </c>
      <c r="FA19" s="237" t="str">
        <f>IF(Reinforcements[[#This Row],[Type]]="channel",Reinforcements[[#This Row],[Channel Height, h]]-Reinforcements[[#This Row],[Channel flange thickness, tf]],"N/A")</f>
        <v>N/A</v>
      </c>
      <c r="FB19" s="237" t="str">
        <f>IF(Reinforcements[[#This Row],[Type]]="channel",Reinforcements[[#This Row],[Channel web thickness, tw]],"N/A")</f>
        <v>N/A</v>
      </c>
      <c r="FC19" s="237" t="str">
        <f>IF(Reinforcements[[#This Row],[Type]]="channel",((3*Reinforcements[[#This Row],[b]]^2)/(Reinforcements[[#This Row],[h]]+(6*Reinforcements[[#This Row],[b]])))-Reinforcements[[#This Row],[t]]/2,"N/A")</f>
        <v>N/A</v>
      </c>
      <c r="FD19" s="237">
        <f>Reinforcements[[#This Row],[Pole Face to Centroid (in)]]</f>
        <v>0.625</v>
      </c>
      <c r="FE19" s="237" t="str">
        <f>IF(Reinforcements[[#This Row],[Type]]="channel",Reinforcements[[#This Row],[x(bar)]]+Reinforcements[[#This Row],['[Channel'] e0 (in)]],"N/A")</f>
        <v>N/A</v>
      </c>
      <c r="FF19" s="237" t="str">
        <f>IF(Reinforcements[[#This Row],[Type]]="channel",Reinforcements[[#This Row],[Ix]],"N/A")</f>
        <v>N/A</v>
      </c>
      <c r="FG19" s="237" t="str">
        <f>IF(Reinforcements[[#This Row],[Type]]="channel",Reinforcements[[#This Row],[Iy]],"N/A")</f>
        <v>N/A</v>
      </c>
      <c r="FH19" s="237" t="str">
        <f>IF(Reinforcements[[#This Row],[Type]]="channel",Reinforcements[[#This Row],[Gross Area (in2)]],"N/A")</f>
        <v>N/A</v>
      </c>
      <c r="FI19" s="237" t="str">
        <f>IF(Reinforcements[[#This Row],[Type]]="channel",(Reinforcements[[#This Row],[xo]]^2)+((Reinforcements[[#This Row],[Ix (FTB)]]+Reinforcements[[#This Row],[Iy (FTB)]])/Reinforcements[[#This Row],[Ag]]),"N/A")</f>
        <v>N/A</v>
      </c>
      <c r="FJ19" s="237" t="str">
        <f>IF(Reinforcements[[#This Row],[Type]]="channel",Reinforcements[[#This Row],[Lu (in)]],"N/A")</f>
        <v>N/A</v>
      </c>
      <c r="FK19" s="237" t="str">
        <f>IF(Reinforcements[[#This Row],[Type]]="channel",Reinforcements[[#This Row],[Effective Length Factor Kx]],"N/A")</f>
        <v>N/A</v>
      </c>
      <c r="FL19" s="237" t="str">
        <f>IF(Reinforcements[[#This Row],[Type]]="channel",Reinforcements[[#This Row],[Kz]]*Reinforcements[[#This Row],[Lz]],"N/A")</f>
        <v>N/A</v>
      </c>
      <c r="FM19" s="237" t="str">
        <f>IF(Reinforcements[[#This Row],[Type]]="channel",(((Reinforcements[[#This Row],[t]]^3)/3)*(Reinforcements[[#This Row],[h]]+(2*Reinforcements[[#This Row],[b]]))),"N/A")</f>
        <v>N/A</v>
      </c>
      <c r="FN19" s="237" t="str">
        <f>IF(Reinforcements[[#This Row],[Type]]="channel",(1-(((Reinforcements[[#This Row],[xo]]^2)+(Reinforcements[[#This Row],[yo]]^2))/Reinforcements[[#This Row],[ro^2(bar)]])),"N/A")</f>
        <v>N/A</v>
      </c>
      <c r="FO19" s="237">
        <v>11200</v>
      </c>
      <c r="FP19" s="237" t="str">
        <f>IF(Reinforcements[[#This Row],[Type]]="channel",(((Reinforcements[[#This Row],[h]]^2)*(Reinforcements[[#This Row],[b]]^3)*Reinforcements[[#This Row],[t]])/12)*(((2*Reinforcements[[#This Row],[h]])+(3*Reinforcements[[#This Row],[b]]))/(Reinforcements[[#This Row],[h]]+(6*Reinforcements[[#This Row],[b]]))),"N/A")</f>
        <v>N/A</v>
      </c>
      <c r="FQ19" s="237" t="str">
        <f>IF(Reinforcements[[#This Row],[Type]]="Channel",((((PI()^2)*Reinforcements[[#This Row],[E, (ksi)]]*Reinforcements[[#This Row],['[Channel'] CW (in6)]])/(Reinforcements[[#This Row],[Lcz]]^2))+(Reinforcements[[#This Row],[G]]*Reinforcements[[#This Row],['[Channel'] J (in4)]]))*(1/(Reinforcements[[#This Row],[Ag]]*Reinforcements[[#This Row],[ro^2(bar)]])),"N/A")</f>
        <v>N/A</v>
      </c>
      <c r="FR19" s="237" t="str">
        <f>IF(Reinforcements[[#This Row],[Type]]="channel",((PI()^2)*Reinforcements[[#This Row],[E, (ksi)]])/(Reinforcements[[#This Row],[Lcy/ry]]^2),"N/A")</f>
        <v>N/A</v>
      </c>
      <c r="FS19" s="237" t="str">
        <f>IF(Reinforcements[[#This Row],[Type]]="channel",((Reinforcements[[#This Row],[Fey]]+Reinforcements[[#This Row],[Fez]])/(2*Reinforcements[[#This Row],[H2]]))*(1-SQRT(1-((4*Reinforcements[[#This Row],[Fey]]*Reinforcements[[#This Row],[Fez]]*Reinforcements[[#This Row],[H2]])/(Reinforcements[[#This Row],[Fey]]+Reinforcements[[#This Row],[Fez]])^2))),"N/A")</f>
        <v>N/A</v>
      </c>
      <c r="FT19" s="237" t="str">
        <f>IF(Reinforcements[[#This Row],[Type]]="channel",IF(Reinforcements[[#This Row],[Lcx/rx]]&gt;(4.71*SQRT(Reinforcements[[#This Row],[E, (ksi)]]/Reinforcements[[#This Row],[Fy, (ksi)]])),0.877*Reinforcements[[#This Row],[Fe (FTB)]],0.658^(Reinforcements[[#This Row],[Fy, (ksi)]]/Reinforcements[[#This Row],[Fe (FTB)]])*Reinforcements[[#This Row],[Fy, (ksi)]]),"N/A")</f>
        <v>N/A</v>
      </c>
      <c r="FU19" s="237" t="str">
        <f>IF(Reinforcements[[#This Row],[Type]]="channel",MIN(Reinforcements[[#This Row],[Fcr(FTB)]],Reinforcements[[#This Row],[Fcry (ksi)]]),"N/A")</f>
        <v>N/A</v>
      </c>
      <c r="FV19" s="237">
        <v>0.22</v>
      </c>
      <c r="FW19" s="237">
        <v>1.49</v>
      </c>
      <c r="FX19" s="237" t="str">
        <f>IF(Reinforcements[[#This Row],[Type]]="channel",((Reinforcements[[#This Row],[c2]]*(Reinforcements[[#This Row],[λrf]]/Reinforcements[[#This Row],[λf]]))^2)*Reinforcements[[#This Row],[Fy, (ksi)]],"N/A")</f>
        <v>N/A</v>
      </c>
      <c r="FY19" s="237" t="str">
        <f>IF(Reinforcements[[#This Row],[Type]]="channel",((Reinforcements[[#This Row],[c2]]*(Reinforcements[[#This Row],[λrw]]/Reinforcements[[#This Row],[λw]]))^2)*Reinforcements[[#This Row],[Fy, (ksi)]],"N/A")</f>
        <v>N/A</v>
      </c>
      <c r="FZ19"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9"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9"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9" s="237" t="str">
        <f>IF(Reinforcements[[#This Row],[Type]]="channel",Reinforcements[[#This Row],[Fcr]]*Reinforcements[[#This Row],[Ae]],"N/A")</f>
        <v>N/A</v>
      </c>
      <c r="GD19" s="466">
        <f>IF(Reinforcements[[#This Row],[Reinforcement]]="","",φ_c*Reinforcements[[#This Row],[Pnx, FB (kip)]])</f>
        <v>543.05746695180528</v>
      </c>
      <c r="GE19" s="466">
        <f>IF(Reinforcements[[#This Row],[Reinforcement]]="","",IF(Reinforcements[[#This Row],[Type]]="channel",φ_c*Reinforcements[[#This Row],[Pn]],φ_c*Reinforcements[[#This Row],[Pny, FB (kip)]]))</f>
        <v>618.73306969295152</v>
      </c>
      <c r="GF19" s="466">
        <f>Reinforcements[[#This Row],[Rev. G Tension Yield Capacity (kips)]]</f>
        <v>621.5625</v>
      </c>
      <c r="GG19" s="466">
        <f>Reinforcements[[#This Row],[Rev. G Tension Rupture Capacity (kips)]]</f>
        <v>543.75</v>
      </c>
      <c r="GH19" s="466">
        <f>Reinforcements[[#This Row],[Rev. G Shear Capacity (kips)]]</f>
        <v>310.78125</v>
      </c>
      <c r="GI19" s="466">
        <f>IFERROR((Reinforcements[[#This Row],['# of End Connection Bolts          (Bottom)]]-1)*Reinforcements[[#This Row],[End Connection Bolt Spacing (in) (B)]],"-")</f>
        <v>48</v>
      </c>
      <c r="GJ19" s="466">
        <f>IFERROR(IF(VLOOKUP(Reinforcements[[#This Row],[Bottom End Connection Bolt Type]],Bolts[],COLUMN(Bolts[[#Headers],[Rev. H Apply Connection Length Reduction Factor (Rb)?]])-1,FALSE)="Yes",(IF(Reinforcements[[#This Row],[Lb(bottom)]]&lt;=16,1,IF(Reinforcements[[#This Row],[Lb(bottom)]]&gt;38,0.75,0.9))),1),"-")</f>
        <v>1</v>
      </c>
      <c r="GK19"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788.79389650390488</v>
      </c>
      <c r="GL19" s="466">
        <f>IFERROR(IF(Reinforcements[[#This Row],[Top End Connection Same?]]="Yes",Reinforcements[[#This Row],[Lb(bottom)]],(Reinforcements[[#This Row],['# of End Connection Bolts          (Top)]]-1)*Reinforcements[[#This Row],[End Connection Bolt Spacing (in) (T)]]),"-")</f>
        <v>48</v>
      </c>
      <c r="GM19" s="466">
        <f>IFERROR(IF(VLOOKUP(Reinforcements[[#This Row],[Top End Connection Bolt Type]],Bolts[],COLUMN(Bolts[[#Headers],[Rev. H Apply Connection Length Reduction Factor (Rb)?]])-1,FALSE)="Yes",(IF(Reinforcements[[#This Row],[Lb(top)]]&lt;=16,1,IF(Reinforcements[[#This Row],[Lb(top)]]&gt;38,0.75,0.9))),1),"-")</f>
        <v>1</v>
      </c>
      <c r="GN19"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788.79389650390488</v>
      </c>
      <c r="GO19" s="466">
        <f>Reinforcements[[#This Row],[Rev. G Bolt-Shaft Bearing Capacity (Bottom)                No Deformation          (*t*Fu kips)]]</f>
        <v>33.456377952755908</v>
      </c>
      <c r="GP19" s="466">
        <f>Reinforcements[[#This Row],[Rev. G Bolt-Shaft Bearing Capacity (Bottom)                   Deformation          (*t*Fu kips)]]</f>
        <v>41.820472440944883</v>
      </c>
      <c r="GQ19" s="466">
        <f>Reinforcements[[#This Row],[Rev. G Bolt-Shaft Bearing Capacity (Top)                    No Deformation          (*t*Fu kips)]]</f>
        <v>33.456377952755908</v>
      </c>
      <c r="GR19" s="466">
        <f>Reinforcements[[#This Row],[Rev. G Bolt-Shaft Bearing Capacity (Top)                        Deformation          (*t*Fu kips)]]</f>
        <v>41.820472440944883</v>
      </c>
      <c r="GS19" s="466">
        <f>Reinforcements[[#This Row],[Rev. G Bolt-Reinf. Bearing Capacity (Bottom)            No Deformation (kips)]]</f>
        <v>3345.6377952755911</v>
      </c>
      <c r="GT19" s="466">
        <f>Reinforcements[[#This Row],[Rev. G Bolt-Reinf. Bearing Capacity (Bottom)               Deformation (kips)]]</f>
        <v>4182.0472440944886</v>
      </c>
      <c r="GU19" s="466">
        <f>Reinforcements[[#This Row],[Rev. G Bolt-Reinf. Bearing Capacity (Top)                  No Deformation (kips)]]</f>
        <v>3345.6377952755911</v>
      </c>
      <c r="GV19" s="466">
        <f>Reinforcements[[#This Row],[Rev. G Bolt-Reinf. Bearing Capacity (Top)               Deformation (kips)]]</f>
        <v>4182.0472440944886</v>
      </c>
      <c r="GW19" s="466" t="str">
        <f>Reinforcements[[#This Row],[Rev. G Bottom Transverse Weld Strength]]</f>
        <v>-</v>
      </c>
      <c r="GX19" s="466" t="str">
        <f>Reinforcements[[#This Row],[Rev. G Bottom Longitudinal Weld Strength]]</f>
        <v>-</v>
      </c>
      <c r="GY19" s="466" t="str">
        <f>Reinforcements[[#This Row],[Rev. G Top Transverse Weld Strength]]</f>
        <v>-</v>
      </c>
      <c r="GZ19" s="466" t="str">
        <f>Reinforcements[[#This Row],[Rev. G Top Longitudinal Weld Strength]]</f>
        <v>-</v>
      </c>
      <c r="HA19" s="552">
        <v>17</v>
      </c>
      <c r="HB19"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0" spans="2:217" s="65" customFormat="1" x14ac:dyDescent="0.2">
      <c r="B20" s="72" t="s">
        <v>359</v>
      </c>
      <c r="C20" s="72" t="s">
        <v>146</v>
      </c>
      <c r="D20" s="185">
        <v>4</v>
      </c>
      <c r="E20" s="185">
        <v>0.75</v>
      </c>
      <c r="F20" s="185" t="str">
        <f>IF(Reinforcements[[#This Row],[Type]]="","",IF(Reinforcements[[#This Row],[Type]]="solid round","","n/a"))</f>
        <v>n/a</v>
      </c>
      <c r="G20" s="185" t="str">
        <f>IF(Reinforcements[[#This Row],[Type]]="","",IF(Reinforcements[[#This Row],[Type]]&lt;&gt;"channel","n/a",""))</f>
        <v>n/a</v>
      </c>
      <c r="H20" s="185" t="str">
        <f>IF(Reinforcements[[#This Row],[Type]]="","",IF(Reinforcements[[#This Row],[Type]]&lt;&gt;"channel","n/a",""))</f>
        <v>n/a</v>
      </c>
      <c r="I20" s="197" t="str">
        <f>IF(Reinforcements[[#This Row],[Type]]="","",IF(Reinforcements[[#This Row],[Type]]&lt;&gt;"channel","n/a",Reinforcements[[#This Row],[eo]]))</f>
        <v>n/a</v>
      </c>
      <c r="J20" s="197" t="str">
        <f>IF(Reinforcements[[#This Row],[Type]]="","",IF(Reinforcements[[#This Row],[Type]]&lt;&gt;"channel","n/a",Reinforcements[[#This Row],[J]]))</f>
        <v>n/a</v>
      </c>
      <c r="K20" s="197" t="str">
        <f>IF(Reinforcements[[#This Row],[Type]]="","",IF(Reinforcements[[#This Row],[Type]]&lt;&gt;"channel","n/a",Reinforcements[[#This Row],[Cw]]))</f>
        <v>n/a</v>
      </c>
      <c r="L20" s="185">
        <f>IFERROR(IF(Reinforcements[[#This Row],[Type]]="","",IF(Reinforcements[[#This Row],[Type]]="plate",Reinforcements[[#This Row],[B (in)]]*Reinforcements[[#This Row],[H (in)]],IF(Reinforcements[[#This Row],[Type]]="solid round",PI()/4*Reinforcements[[#This Row],[Diameter (in)]]^2,""))),"")</f>
        <v>3</v>
      </c>
      <c r="M20" s="185">
        <f>IFERROR(IF(Reinforcements[[#This Row],[Type]]="","",IF(Reinforcements[[#This Row],[Type]]="plate",Reinforcements[[#This Row],[H (in)]]/2,"")),"")</f>
        <v>0.375</v>
      </c>
      <c r="N20" s="186" t="s">
        <v>297</v>
      </c>
      <c r="O20" s="185" t="s">
        <v>60</v>
      </c>
      <c r="P20" s="187">
        <f>IFERROR(IF(Reinforcements[[#This Row],[Type]]="","",IF(Reinforcements[[#This Row],[Type]]="plate",Reinforcements[[#This Row],[B (in)]]*Reinforcements[[#This Row],[H (in)]]^3/12,IF(Reinforcements[[#This Row],[Type]]="solid round",PI()/64*Reinforcements[[#This Row],[Diameter (in)]]^4,""))),"")</f>
        <v>0.140625</v>
      </c>
      <c r="Q20" s="187">
        <f>IF(Reinforcements[[#This Row],[Reinforcement]]="","",SQRT(Reinforcements[[#This Row],[Ix]]/Reinforcements[[#This Row],[Gross Area (in2)]]))</f>
        <v>0.21650635094610965</v>
      </c>
      <c r="R20" s="187">
        <f>IFERROR(IF(Reinforcements[[#This Row],[Type]]="","",IF(Reinforcements[[#This Row],[Type]]="plate",Reinforcements[[#This Row],[B (in)]]^3*Reinforcements[[#This Row],[H (in)]]/12,IF(Reinforcements[[#This Row],[Type]]="solid round",PI()/64*Reinforcements[[#This Row],[Diameter (in)]]^4,""))),"")</f>
        <v>4</v>
      </c>
      <c r="S20" s="187">
        <f>IF(Reinforcements[[#This Row],[Reinforcement]]="","",SQRT(Reinforcements[[#This Row],[Iy]]/Reinforcements[[#This Row],[Gross Area (in2)]]))</f>
        <v>1.1547005383792515</v>
      </c>
      <c r="T20" s="190">
        <v>16</v>
      </c>
      <c r="U20" s="188">
        <v>0.8</v>
      </c>
      <c r="V20" s="188">
        <v>1</v>
      </c>
      <c r="W20" s="185">
        <v>1.1875</v>
      </c>
      <c r="X20" s="188">
        <f>IF(Reinforcements[[#This Row],[Bolt Hole Size (in)]]="","",IF(Reinforcements[[#This Row],[Bolt Hole Size (in)]]="n/a","n/a",Reinforcements[[#This Row],[Bolt Hole Size (in)]]*25.4))</f>
        <v>30.162499999999998</v>
      </c>
      <c r="Y20"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20" s="185">
        <f>IFERROR(IF(Reinforcements[[#This Row],[Reinforcement]]="","",IF(OR(Reinforcements[[#This Row],[Type]]="plate",Reinforcements[[#This Row],[Type]]="solid round"),1,IF(Reinforcements[[#This Row],[Type]]="arbitrary","",1-Reinforcements[[#This Row],[Pole Face to Centroid (in)]]/Reinforcements[[#This Row],[Connection Length (in) '[Channels']]]))),"")</f>
        <v>1</v>
      </c>
      <c r="AA20" s="189" t="s">
        <v>391</v>
      </c>
      <c r="AB20" s="189" t="str">
        <f>IF(Reinforcements[[#This Row],[Reinforcement]]="","",IF(Reinforcements[[#This Row],[Bottom End Connection Type]]&lt;&gt;"Capacity Input","-",""))</f>
        <v>-</v>
      </c>
      <c r="AC20" s="189" t="str">
        <f>IF(Reinforcements[[#This Row],[Reinforcement]]="","",IF(Reinforcements[[#This Row],[Bottom End Connection Type]]&lt;&gt;"Capacity Input","-",""))</f>
        <v>-</v>
      </c>
      <c r="AD20" s="461" t="str">
        <f>IF(Reinforcements[[#This Row],[Reinforcement]]="","",IF(Reinforcements[[#This Row],[Bottom End Connection Type]]&lt;&gt;"Capacity Input","-",""))</f>
        <v>-</v>
      </c>
      <c r="AE20" s="103" t="s">
        <v>416</v>
      </c>
      <c r="AF20" s="190" t="s">
        <v>296</v>
      </c>
      <c r="AG20" s="190">
        <v>4</v>
      </c>
      <c r="AH20" s="190">
        <v>3</v>
      </c>
      <c r="AI20" s="190">
        <v>3</v>
      </c>
      <c r="AJ20" s="190">
        <f>Reinforcements[[#This Row],[End Connection Edge Distance (in) (B)]]-(Reinforcements[[#This Row],[Bolt Hole Size (in)]]+1/16)/2</f>
        <v>2.375</v>
      </c>
      <c r="AK20" s="190">
        <f>Reinforcements[[#This Row],[End Connection Bolt Spacing (in) (B)]]-(Reinforcements[[#This Row],[Bolt Hole Size (in)]]+1/16)</f>
        <v>1.75</v>
      </c>
      <c r="AL20" s="190">
        <f>Reinforcements[[#This Row],[End Connection Edge Distance (in) (B)]]</f>
        <v>3</v>
      </c>
      <c r="AM20" s="190">
        <f>Reinforcements[[#This Row],[End Connection Bolt Spacing (in) (B)]]</f>
        <v>3</v>
      </c>
      <c r="AN20" s="190" t="str">
        <f>IF(Reinforcements[[#This Row],[Reinforcement]]="","",IF(OR(Reinforcements[[#This Row],[Bottom End Connection Type]]="Bolted",Reinforcements[[#This Row],[Bottom End Connection Type]]=""),"-",""))</f>
        <v>-</v>
      </c>
      <c r="AO20" s="191" t="str">
        <f>IF(Reinforcements[[#This Row],[Reinforcement]]="","",IF(OR(Reinforcements[[#This Row],[Bottom End Connection Type]]="Bolted",Reinforcements[[#This Row],[Bottom End Connection Type]]=""),"-",""))</f>
        <v>-</v>
      </c>
      <c r="AP20" s="191" t="str">
        <f>IF(Reinforcements[[#This Row],[Reinforcement]]="","",IF(OR(Reinforcements[[#This Row],[Bottom End Connection Type]]="Bolted",Reinforcements[[#This Row],[Bottom End Connection Type]]=""),"-",""))</f>
        <v>-</v>
      </c>
      <c r="AQ20" s="191" t="str">
        <f>IF(OR(Reinforcements[[#This Row],[Bottom End Connection Type]]="Bolted",Reinforcements[[#This Row],[Bottom Transverse (Horizontal) Weld]]="none"),"-","")</f>
        <v>-</v>
      </c>
      <c r="AR2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0" s="191" t="str">
        <f>IF(OR(Reinforcements[[#This Row],[Bottom Transverse (Horizontal) Weld]]="none",Reinforcements[[#This Row],[Bottom End Connection Type]]="Bolted"),"-","")</f>
        <v>-</v>
      </c>
      <c r="AU20"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0" s="191" t="str">
        <f>IF(Reinforcements[[#This Row],[Reinforcement]]="","",IF(OR(Reinforcements[[#This Row],[Bottom End Connection Type]]="Bolted",Reinforcements[[#This Row],[Bottom End Connection Type]]=""),"-",""))</f>
        <v>-</v>
      </c>
      <c r="AW20" s="191" t="str">
        <f>IF(Reinforcements[[#This Row],[Reinforcement]]="","",IF(OR(Reinforcements[[#This Row],[Bottom End Connection Type]]&lt;&gt;"Welded",Reinforcements[[#This Row],[Bottom Longitudinal (Vertical) Weld]]="None",Reinforcements[[#This Row],[Bottom Longitudinal (Vertical) Weld]]=""),"-",""))</f>
        <v>-</v>
      </c>
      <c r="AX20" s="191" t="str">
        <f>IF(Reinforcements[[#This Row],[Reinforcement]]="","",IF(OR(Reinforcements[[#This Row],[Bottom End Connection Type]]&lt;&gt;"Welded",Reinforcements[[#This Row],[Bottom Longitudinal (Vertical) Weld]]="None",Reinforcements[[#This Row],[Bottom Longitudinal (Vertical) Weld]]=""),"-",""))</f>
        <v>-</v>
      </c>
      <c r="AY20" s="190" t="str">
        <f>IF(Reinforcements[[#This Row],[Reinforcement]]="","",IF(OR(Reinforcements[[#This Row],[Bottom End Connection Type]]&lt;&gt;"Welded",Reinforcements[[#This Row],[Bottom Longitudinal (Vertical) Weld]]="None"),"-",SQRT(2)/2*Reinforcements[[#This Row],[Bottom Longitudinal Weld Fillet Size (in)]]))</f>
        <v>-</v>
      </c>
      <c r="AZ20" s="190" t="s">
        <v>295</v>
      </c>
      <c r="BA20" s="189" t="str">
        <f>IF(Reinforcements[[#This Row],[Top End Connection Same?]]="Yes",Reinforcements[[#This Row],[Bottom End Connection Type]],"")</f>
        <v>Bolted</v>
      </c>
      <c r="BB20" s="189" t="str">
        <f>IF(Reinforcements[[#This Row],[Reinforcement]]="","",IF(Reinforcements[[#This Row],[Top End Connection Same?]]="Yes",Reinforcements[[#This Row],[Rev. F Bottom Connection Capacity (kips)]],IF(Reinforcements[[#This Row],[Reinforcement]]="","",IF(Reinforcements[[#This Row],[Top End Connection Type]]&lt;&gt;"Capacity Input","-",""))))</f>
        <v>-</v>
      </c>
      <c r="BC20" s="189" t="str">
        <f>IF(Reinforcements[[#This Row],[Reinforcement]]="","",IF(Reinforcements[[#This Row],[Top End Connection Same?]]="Yes",Reinforcements[[#This Row],[Rev. G Bottom Connection Capacity (kips)]],IF(Reinforcements[[#This Row],[Reinforcement]]="","",IF(Reinforcements[[#This Row],[Top End Connection Type]]&lt;&gt;"Capacity Input","-",""))))</f>
        <v>-</v>
      </c>
      <c r="BD20" s="461" t="str">
        <f>IF(Reinforcements[[#This Row],[Reinforcement]]="","",IF(Reinforcements[[#This Row],[Top End Connection Same?]]="Yes",Reinforcements[[#This Row],[Rev. G Bottom Connection Capacity (kips)]],IF(Reinforcements[[#This Row],[Reinforcement]]="","",IF(Reinforcements[[#This Row],[Top End Connection Type]]&lt;&gt;"Capacity Input","-",""))))</f>
        <v>-</v>
      </c>
      <c r="BE20" s="103" t="str">
        <f>IF(Reinforcements[[#This Row],[Top End Connection Same?]]="Yes",Reinforcements[[#This Row],[Bottom End Connection Bolt Type]],IF(Reinforcements[[#This Row],[Top End Connection Type]]="Welded","-",""))</f>
        <v>PC 8.8 - M20 (100)</v>
      </c>
      <c r="BF20" s="190" t="str">
        <f>IF(Reinforcements[[#This Row],[Top End Connection Same?]]="Yes",Reinforcements[[#This Row],[Threads Included (N) or Excluded (X) (Bottom)]],IF(Reinforcements[[#This Row],[Top End Connection Type]]="Welded","-",""))</f>
        <v>N</v>
      </c>
      <c r="BG20" s="190">
        <f>IF(Reinforcements[[#This Row],[Top End Connection Same?]]="Yes",Reinforcements[[#This Row],['# of End Connection Bolts          (Bottom)]],IF(Reinforcements[[#This Row],[Top End Connection Type]]="Welded","-",""))</f>
        <v>4</v>
      </c>
      <c r="BH20" s="190">
        <f>IF(Reinforcements[[#This Row],[Top End Connection Same?]]="Yes",Reinforcements[[#This Row],[End Connection Bolt Spacing (in) (B)]],IF(Reinforcements[[#This Row],[Top End Connection Type]]="Welded","-",""))</f>
        <v>3</v>
      </c>
      <c r="BI20" s="190">
        <f>IF(Reinforcements[[#This Row],[Top End Connection Same?]]="Yes",Reinforcements[[#This Row],[End Connection Edge Distance (in) (B)]],IF(Reinforcements[[#This Row],[Top End Connection Type]]="Welded","-",""))</f>
        <v>3</v>
      </c>
      <c r="BJ20" s="190">
        <f>Reinforcements[[#This Row],[End Connection Edge Distance (in) (T)]]-(Reinforcements[[#This Row],[Bolt Hole Size (in)]]+1/16)/2</f>
        <v>2.375</v>
      </c>
      <c r="BK20" s="190">
        <f>Reinforcements[[#This Row],[End Connection Bolt Spacing (in) (T)]]-(Reinforcements[[#This Row],[Bolt Hole Size (in)]]+1/16)</f>
        <v>1.75</v>
      </c>
      <c r="BL20" s="190">
        <f>Reinforcements[[#This Row],[End Connection Edge Distance (in) (T)]]</f>
        <v>3</v>
      </c>
      <c r="BM20" s="190">
        <f>Reinforcements[[#This Row],[End Connection Bolt Spacing (in) (T)]]</f>
        <v>3</v>
      </c>
      <c r="BN20" s="190" t="str">
        <f>IF(Reinforcements[[#This Row],[Reinforcement]]="","",IF(Reinforcements[[#This Row],[Top End Connection Same?]]="Yes",Reinforcements[[#This Row],[Bottom Connected to Flange/Base Plate?]],IF(Reinforcements[[#This Row],[Top End Connection Type]]="Bolted","-","")))</f>
        <v>-</v>
      </c>
      <c r="BO20" s="190" t="str">
        <f>IF(Reinforcements[[#This Row],[Reinforcement]]="","",IF(Reinforcements[[#This Row],[Top End Connection Same?]]="Yes",Reinforcements[[#This Row],[Bottom Weld Grade (ksi)]],IF(OR(Reinforcements[[#This Row],[Top End Connection Type]]&lt;&gt;"Welded",Reinforcements[[#This Row],[Top End Connection Type]]=""),"-","")))</f>
        <v>-</v>
      </c>
      <c r="BP20" s="190" t="str">
        <f>IF($AZ20="Yes",AP20,IF(Reinforcements[[#This Row],[Reinforcement]]="","",IF(OR(Reinforcements[[#This Row],[Top End Connection Type]]&lt;&gt;"Welded",Reinforcements[[#This Row],[Top End Connection Type]]=""),"-","")))</f>
        <v>-</v>
      </c>
      <c r="BQ20" s="190" t="str">
        <f>IF(Reinforcements[[#This Row],[Reinforcement]]="","",IF($AZ20="Yes",AQ20,IF(OR(Reinforcements[[#This Row],[Top End Connection Type]]&lt;&gt;"Welded",Reinforcements[[#This Row],[Top Transverse (Horizontal) Weld]]="none",Reinforcements[[#This Row],[Top Transverse (Horizontal) Weld]]=""),"-","")))</f>
        <v>-</v>
      </c>
      <c r="BR20" s="190" t="str">
        <f>IF($AZ20="Yes",AR20,IF(Reinforcements[[#This Row],[Reinforcement]]="","",IF(OR(Reinforcements[[#This Row],[Top Transverse (Horizontal) Weld]]="none",Reinforcements[[#This Row],[Top End Connection Type]]&lt;&gt;"Welded",Reinforcements[[#This Row],[Top Transverse (Horizontal) Weld]]="",Reinforcements[[#This Row],[Top Transverse (Horizontal) Weld]]="Fillet"),"-","")))</f>
        <v>-</v>
      </c>
      <c r="BS20" s="190" t="str">
        <f>IF($AZ20="Yes",AS20,IF(Reinforcements[[#This Row],[Reinforcement]]="","",IF(OR(Reinforcements[[#This Row],[Top Transverse (Horizontal) Weld]]="none",Reinforcements[[#This Row],[Top End Connection Type]]&lt;&gt;"Welded",Reinforcements[[#This Row],[Top Transverse (Horizontal) Weld]]="",Reinforcements[[#This Row],[Top Transverse (Horizontal) Weld]]="Fillet"),"-","")))</f>
        <v>-</v>
      </c>
      <c r="BT20" s="190" t="str">
        <f>IF(Reinforcements[[#This Row],[Reinforcement]]="","",IF($AZ20="Yes",AT20,IF(OR(Reinforcements[[#This Row],[Top Transverse (Horizontal) Weld]]="none",Reinforcements[[#This Row],[Top End Connection Type]]&lt;&gt;"Welded",Reinforcements[[#This Row],[Top Transverse (Horizontal) Weld]]=""),"-","")))</f>
        <v>-</v>
      </c>
      <c r="BU20" s="190" t="str">
        <f>IF($AZ20="Yes",AU20,IF(Reinforcements[[#This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0" s="190" t="str">
        <f>IF($AZ20="Yes",AV20,IF(Reinforcements[[#This Row],[Reinforcement]]="","",IF(OR(Reinforcements[[#This Row],[Top End Connection Type]]&lt;&gt;"Welded",Reinforcements[[#This Row],[Top End Connection Type]]=""),"-","")))</f>
        <v>-</v>
      </c>
      <c r="BW20" s="190" t="str">
        <f>IF($AZ20="Yes",AW20,IF(Reinforcements[[#This Row],[Reinforcement]]="","",IF(OR(Reinforcements[[#This Row],[Top End Connection Type]]&lt;&gt;"Welded",Reinforcements[[#This Row],[Top End Connection Type]]="",Reinforcements[[#This Row],[Top Longitudinal (Vertical) Weld]]="",Reinforcements[[#This Row],[Top Longitudinal (Vertical) Weld]]="None"),"-","")))</f>
        <v>-</v>
      </c>
      <c r="BX20" s="190" t="str">
        <f>IF($AZ20="Yes",AX20,IF(Reinforcements[[#This Row],[Reinforcement]]="","",IF(OR(Reinforcements[[#This Row],[Top End Connection Type]]&lt;&gt;"Welded",Reinforcements[[#This Row],[Top End Connection Type]]="",Reinforcements[[#This Row],[Top Longitudinal (Vertical) Weld]]="",Reinforcements[[#This Row],[Top Longitudinal (Vertical) Weld]]="None"),"-","")))</f>
        <v>-</v>
      </c>
      <c r="BY20" s="190" t="str">
        <f>IF($AZ20="Yes",AY20,IF(Reinforcements[[#This Row],[Reinforcement]]="","",IF(OR(Reinforcements[[#This Row],[Top End Connection Type]]&lt;&gt;"Welded",Reinforcements[[#This Row],[Top Longitudinal (Vertical) Weld]]="none"),"-",SQRT(2)/2*Reinforcements[[#This Row],[Top Longitudinal Weld Fillet Size (in)]])))</f>
        <v>-</v>
      </c>
      <c r="BZ20"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0" s="192">
        <f>IF(Reinforcements[[#This Row],[Reinforcement]]="","",IF(Reinforcements[[#This Row],[Bottom End Connection Type]]&lt;&gt;"Bolted","n/a",(Reinforcements[[#This Row],['# of End Connection Bolts          (Bottom)]]-1)*Reinforcements[[#This Row],[End Connection Bolt Spacing (in) (B)]]+Reinforcements[[#This Row],[End Connection Edge Distance (in) (B)]]))</f>
        <v>12</v>
      </c>
      <c r="CB20" s="192">
        <f>IF(Reinforcements[[#This Row],[Reinforcement]]="","",IF(Reinforcements[[#This Row],[Top End Connection Type]]&lt;&gt;"Bolted","n/a",(Reinforcements[[#This Row],['# of End Connection Bolts          (Top)]]-1)*Reinforcements[[#This Row],[End Connection Bolt Spacing (in) (T)]]+Reinforcements[[#This Row],[End Connection Edge Distance (in) (T)]]))</f>
        <v>12</v>
      </c>
      <c r="CC20"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20"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20" s="188">
        <f>IFERROR(IF(Reinforcements[[#This Row],[Type]]="","",Reinforcements[[#This Row],[Effective B (in)]]*Reinforcements[[#This Row],[Effective H (in)]]^3/12),"")</f>
        <v>0.140625</v>
      </c>
      <c r="CF20" s="188">
        <f>IFERROR(IF(Reinforcements[[#This Row],[Type]]="","",Reinforcements[[#This Row],[Effective B (in)]]^3*Reinforcements[[#This Row],[Effective H (in)]]/12),"")</f>
        <v>4</v>
      </c>
      <c r="CG20" s="196">
        <f>SQRT(2*PI()^2*29000/VLOOKUP(Reinforcements[[#This Row],[Material]],Materials[],2,FALSE))</f>
        <v>93.844147005158973</v>
      </c>
      <c r="CH20"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27.836949248856321</v>
      </c>
      <c r="CI20"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37.343267566720399</v>
      </c>
      <c r="CJ20" s="195">
        <f>Reinforcements[[#This Row],[Effective Length Factor Kx]]*Reinforcements[[#This Row],[Lu (in)]]/(Reinforcements[[#This Row],[rx]]*PI())*SQRT(VLOOKUP(Reinforcements[[#This Row],[Material]],Materials[],2,FALSE)/29000)</f>
        <v>0.89093728863455735</v>
      </c>
      <c r="CK20" s="195">
        <f>Reinforcements[[#This Row],[Effective Length Factor Ky]]*Reinforcements[[#This Row],[Lu (in)]]/(Reinforcements[[#This Row],[ry]]*PI())*SQRT(VLOOKUP(Reinforcements[[#This Row],[Material]],Materials[],2,FALSE)/29000)</f>
        <v>0.20881342702372435</v>
      </c>
      <c r="CL20" s="195">
        <f>IF(Reinforcements[[#This Row],[λcx]]&lt;=1.5,0.658^(Reinforcements[[#This Row],[λcx]]^2)*Reinforcements[[#This Row],[F''y]],0.877/(Reinforcements[[#This Row],[λcx]]^2)*Reinforcements[[#This Row],[F''y]])</f>
        <v>46.625839044509597</v>
      </c>
      <c r="CM20" s="195">
        <f>IF(Reinforcements[[#This Row],[λcy]]&lt;=1.5,0.658^(Reinforcements[[#This Row],[λcy]]^2)*Reinforcements[[#This Row],[F''y]],0.877/(Reinforcements[[#This Row],[λcy]]^2)*Reinforcements[[#This Row],[F''y]])</f>
        <v>63.824504474805018</v>
      </c>
      <c r="CN20" s="188">
        <f>VLOOKUP(Reinforcements[[#This Row],[Material]],Materials[],2,FALSE)</f>
        <v>65</v>
      </c>
      <c r="CO20" s="196">
        <f>IF(Reinforcements[[#This Row],[Reinforcement]]="","",Reinforcements[[#This Row],[Fax]]*Reinforcements[[#This Row],[Gross Area (in2)]])</f>
        <v>83.51084774656897</v>
      </c>
      <c r="CP20" s="196">
        <f>IF(Reinforcements[[#This Row],[Reinforcement]]="","",Reinforcements[[#This Row],[Fay]]*Reinforcements[[#This Row],[Gross Area (in2)]])</f>
        <v>112.0298027001612</v>
      </c>
      <c r="CQ20" s="196">
        <f>IF(Reinforcements[[#This Row],[Reinforcement]]="","",0.6*VLOOKUP(Reinforcements[[#This Row],[Material]],Materials[],2,FALSE)*Reinforcements[[#This Row],[Gross Area (in2)]])</f>
        <v>117</v>
      </c>
      <c r="CR20" s="196">
        <f>IF(Reinforcements[[#This Row],[Reinforcement]]="","",0.5*VLOOKUP(Reinforcements[[#This Row],[Material]],Materials[],3,FALSE)*Reinforcements[[#This Row],[Net Area (in2)]]*Reinforcements[[#This Row],[Shear Lag (U)]])</f>
        <v>82.5</v>
      </c>
      <c r="CS20" s="196">
        <f>IF(Reinforcements[[#This Row],[Reinforcement]]="","",0.4*VLOOKUP(Reinforcements[[#This Row],[Material]],Materials[],2,FALSE)*Reinforcements[[#This Row],[Gross Area (in2)]])</f>
        <v>78</v>
      </c>
      <c r="CT20"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93.14252671531986</v>
      </c>
      <c r="CU20"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93.14252671531986</v>
      </c>
      <c r="CV20"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5.4803149606299213</v>
      </c>
      <c r="CW20"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6.21259842519685</v>
      </c>
      <c r="CX20"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5.4803149606299213</v>
      </c>
      <c r="CY20"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6.21259842519685</v>
      </c>
      <c r="CZ20"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328.81889763779532</v>
      </c>
      <c r="DA20"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372.75590551181102</v>
      </c>
      <c r="DB20"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328.81889763779532</v>
      </c>
      <c r="DC20"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372.75590551181102</v>
      </c>
      <c r="DD20"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0"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0" s="190" t="str">
        <f>IF($AZ20="Yes",DD20,IF(Reinforcements[[#This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0" s="190" t="str">
        <f>IF($AZ20="Yes",DE20,IF(Reinforcements[[#This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0" s="196">
        <f>IF(Reinforcements[[#This Row],[Reinforcement]]="","",φ_c*Reinforcements[[#This Row],[Fcr,x]]*Reinforcements[[#This Row],[Gross Area (in2)]])</f>
        <v>125.88976542017591</v>
      </c>
      <c r="DI20" s="196">
        <f>IF(Reinforcements[[#This Row],[Reinforcement]]="","",φ_c*Reinforcements[[#This Row],[Fcr,y]]*Reinforcements[[#This Row],[Gross Area (in2)]])</f>
        <v>172.32616208197356</v>
      </c>
      <c r="DJ20" s="196">
        <f>IF(Reinforcements[[#This Row],[Reinforcement]]="","",φ_t_y*VLOOKUP(Reinforcements[[#This Row],[Material]],Materials[],2,FALSE)*Reinforcements[[#This Row],[Gross Area (in2)]])</f>
        <v>175.5</v>
      </c>
      <c r="DK20" s="197">
        <f>IF(Reinforcements[[#This Row],[Reinforcement]]="","",φ_t_r*VLOOKUP(Reinforcements[[#This Row],[Material]],Materials[],3,FALSE)*Reinforcements[[#This Row],[Net Area (in2)]]*Reinforcements[[#This Row],[Shear Lag (U)]])</f>
        <v>123.75</v>
      </c>
      <c r="DL20" s="197">
        <f>IF(Reinforcements[[#This Row],[Reinforcement]]="","",φ_v*0.5*Reinforcements[[#This Row],[F''y]]*Reinforcements[[#This Row],[Gross Area (in2)]])</f>
        <v>87.75</v>
      </c>
      <c r="DM20"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165.07974842400665</v>
      </c>
      <c r="DN20"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165.07974842400665</v>
      </c>
      <c r="DO20"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8.0541732283464569</v>
      </c>
      <c r="DP20"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10.067716535433071</v>
      </c>
      <c r="DQ20"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8.0541732283464569</v>
      </c>
      <c r="DR20"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10.067716535433071</v>
      </c>
      <c r="DS20"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483.25039370078741</v>
      </c>
      <c r="DT20"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604.06299212598424</v>
      </c>
      <c r="DU20"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483.25039370078741</v>
      </c>
      <c r="DV20"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604.06299212598424</v>
      </c>
      <c r="DW20"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0"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0" s="190" t="str">
        <f>IF($AZ20="Yes",DW20,IF(Reinforcements[[#This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0" s="190" t="str">
        <f>IF($AZ20="Yes",DX20,IF(Reinforcements[[#This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0" s="241" t="str">
        <f>IF(OR(Reinforcements[[#This Row],[Type]]="plate",Reinforcements[[#This Row],[Type]]="solid round"),"N/A",Reinforcements[[#This Row],[B (in)]])</f>
        <v>N/A</v>
      </c>
      <c r="EB20" s="237" t="str">
        <f>IF(OR(Reinforcements[[#This Row],[Type]]="plate",Reinforcements[[#This Row],[Type]]="solid round"),"N/A",Reinforcements[[#This Row],[H (in)]])</f>
        <v>N/A</v>
      </c>
      <c r="EC20" s="237" t="str">
        <f>IF(OR(Reinforcements[[#This Row],[Type]]="plate",Reinforcements[[#This Row],[Type]]="solid round"),"N/A",Reinforcements[[#This Row],[B (in)]]-Reinforcements[[#This Row],['[Channel'] Flange Thickness (in)]])</f>
        <v>N/A</v>
      </c>
      <c r="ED20" s="237" t="str">
        <f>IF(OR(Reinforcements[[#This Row],[Type]]="plate",Reinforcements[[#This Row],[Type]]="solid round"),"N/A",Reinforcements[[#This Row],['[Channel']Web Thickness (in)]])</f>
        <v>N/A</v>
      </c>
      <c r="EE20" s="237" t="str">
        <f>IF(OR(Reinforcements[[#This Row],[Type]]="plate",Reinforcements[[#This Row],[Type]]="solid round"),"N/A",Reinforcements[[#This Row],['[Channel'] Flange Thickness (in)]])</f>
        <v>N/A</v>
      </c>
      <c r="EF20" s="237" t="str">
        <f>IF(Reinforcements[[#This Row],[Type]]="channel",Reinforcements[[#This Row],[Channel Flange Width, b]]/Reinforcements[[#This Row],[Channel flange thickness, tf]],"N/A")</f>
        <v>N/A</v>
      </c>
      <c r="EG20" s="237" t="str">
        <f>IF(Reinforcements[[#This Row],[Type]]="channel",Reinforcements[[#This Row],[Channel inside depth, T]]/Reinforcements[[#This Row],[Channel web thickness, tw]],"N/A")</f>
        <v>N/A</v>
      </c>
      <c r="EH20" s="237">
        <v>29000</v>
      </c>
      <c r="EI20" s="237" t="str">
        <f>IF(Reinforcements[[#This Row],[Type]]="channel",0.56*SQRT(Reinforcements[[#This Row],[E, (ksi)]]/Reinforcements[[#This Row],[Fy, (ksi)]]),"N/A")</f>
        <v>N/A</v>
      </c>
      <c r="EJ20" s="237" t="str">
        <f>IF(Reinforcements[[#This Row],[Type]]="channel",1.49*SQRT(Reinforcements[[#This Row],[E, (ksi)]]/Reinforcements[[#This Row],[Fy, (ksi)]]),"N/A")</f>
        <v>N/A</v>
      </c>
      <c r="EK20" s="237">
        <f>VLOOKUP(Reinforcements[[#This Row],[Material]],Materials!$B$2:$C$30,2,FALSE)</f>
        <v>65</v>
      </c>
      <c r="EL20" s="237">
        <f>Reinforcements[[#This Row],[Lu (in)]]*Reinforcements[[#This Row],[Effective Length Factor Kx]]</f>
        <v>12.8</v>
      </c>
      <c r="EM20" s="237">
        <f>Reinforcements[[#This Row],[Lu (in)]]*Reinforcements[[#This Row],[Effective Length Factor Ky]]</f>
        <v>16</v>
      </c>
      <c r="EN20" s="237">
        <f>Reinforcements[[#This Row],[rx]]</f>
        <v>0.21650635094610965</v>
      </c>
      <c r="EO20" s="237">
        <f>Reinforcements[[#This Row],[ry]]</f>
        <v>1.1547005383792515</v>
      </c>
      <c r="EP20" s="237">
        <f>Reinforcements[[#This Row],[Lcx (in)]]/Reinforcements[[#This Row],[rx (in)]]</f>
        <v>59.120667565017683</v>
      </c>
      <c r="EQ20" s="237">
        <f>Reinforcements[[#This Row],[Lcy (in)]]/Reinforcements[[#This Row],[ry (in)]]</f>
        <v>13.856406460551019</v>
      </c>
      <c r="ER20" s="237">
        <f>((PI()^2)*Reinforcements[[#This Row],[E, (ksi)]])/(Reinforcements[[#This Row],[Lcx/rx]]^2)</f>
        <v>81.887777604558366</v>
      </c>
      <c r="ES20" s="237">
        <f>((PI()^2)*Reinforcements[[#This Row],[E, (ksi)]])/(Reinforcements[[#This Row],[Lcy/ry]]^2)</f>
        <v>1490.7214980812048</v>
      </c>
      <c r="ET20" s="237">
        <f>4.71*(SQRT(Reinforcements[[#This Row],[E, (ksi)]]/Reinforcements[[#This Row],[Fy, (ksi)]]))</f>
        <v>99.486288193205496</v>
      </c>
      <c r="EU20" s="237">
        <f>IF(Reinforcements[[#This Row],[Lcx/rx]]&lt;=Reinforcements[[#This Row],[Fcr Limit]],(0.658^(Reinforcements[[#This Row],[Fy, (ksi)]]/Reinforcements[[#This Row],[Fex, FB (ksi)]]))*Reinforcements[[#This Row],[Fy, (ksi)]],0.877*Reinforcements[[#This Row],[Fex, FB (ksi)]])</f>
        <v>46.625839044509597</v>
      </c>
      <c r="EV20" s="237">
        <f>IF(Reinforcements[[#This Row],[Lcy/ry]]&lt;=Reinforcements[[#This Row],[Fcr Limit]],(0.658^(Reinforcements[[#This Row],[Fy, (ksi)]]/Reinforcements[[#This Row],[Fey, FB (ksi)]]))*Reinforcements[[#This Row],[Fy, (ksi)]],0.877*Reinforcements[[#This Row],[Fey, FB (ksi)]])</f>
        <v>63.824504474805018</v>
      </c>
      <c r="EW20" s="237">
        <f>Reinforcements[[#This Row],[Fcrx (ksi)]]*Reinforcements[[#This Row],[Gross Area (in2)]]</f>
        <v>139.87751713352878</v>
      </c>
      <c r="EX20" s="237">
        <f>Reinforcements[[#This Row],[Fcry (ksi)]]*Reinforcements[[#This Row],[Gross Area (in2)]]</f>
        <v>191.47351342441505</v>
      </c>
      <c r="EY20" s="237" t="str">
        <f>IF(Reinforcements[[#This Row],[Type]]="channel",0,"N/A")</f>
        <v>N/A</v>
      </c>
      <c r="EZ20" s="237" t="str">
        <f>IF(Reinforcements[[#This Row],[Type]]="channel",Reinforcements[[#This Row],[Channel Flange Width, b]]-(0.5*Reinforcements[[#This Row],[Channel web thickness, tw]]),"N/A")</f>
        <v>N/A</v>
      </c>
      <c r="FA20" s="237" t="str">
        <f>IF(Reinforcements[[#This Row],[Type]]="channel",Reinforcements[[#This Row],[Channel Height, h]]-Reinforcements[[#This Row],[Channel flange thickness, tf]],"N/A")</f>
        <v>N/A</v>
      </c>
      <c r="FB20" s="237" t="str">
        <f>IF(Reinforcements[[#This Row],[Type]]="channel",Reinforcements[[#This Row],[Channel web thickness, tw]],"N/A")</f>
        <v>N/A</v>
      </c>
      <c r="FC20" s="237" t="str">
        <f>IF(Reinforcements[[#This Row],[Type]]="channel",((3*Reinforcements[[#This Row],[b]]^2)/(Reinforcements[[#This Row],[h]]+(6*Reinforcements[[#This Row],[b]])))-Reinforcements[[#This Row],[t]]/2,"N/A")</f>
        <v>N/A</v>
      </c>
      <c r="FD20" s="237">
        <f>Reinforcements[[#This Row],[Pole Face to Centroid (in)]]</f>
        <v>0.375</v>
      </c>
      <c r="FE20" s="237" t="str">
        <f>IF(Reinforcements[[#This Row],[Type]]="channel",Reinforcements[[#This Row],[x(bar)]]+Reinforcements[[#This Row],['[Channel'] e0 (in)]],"N/A")</f>
        <v>N/A</v>
      </c>
      <c r="FF20" s="237" t="str">
        <f>IF(Reinforcements[[#This Row],[Type]]="channel",Reinforcements[[#This Row],[Ix]],"N/A")</f>
        <v>N/A</v>
      </c>
      <c r="FG20" s="237" t="str">
        <f>IF(Reinforcements[[#This Row],[Type]]="channel",Reinforcements[[#This Row],[Iy]],"N/A")</f>
        <v>N/A</v>
      </c>
      <c r="FH20" s="237" t="str">
        <f>IF(Reinforcements[[#This Row],[Type]]="channel",Reinforcements[[#This Row],[Gross Area (in2)]],"N/A")</f>
        <v>N/A</v>
      </c>
      <c r="FI20" s="237" t="str">
        <f>IF(Reinforcements[[#This Row],[Type]]="channel",(Reinforcements[[#This Row],[xo]]^2)+((Reinforcements[[#This Row],[Ix (FTB)]]+Reinforcements[[#This Row],[Iy (FTB)]])/Reinforcements[[#This Row],[Ag]]),"N/A")</f>
        <v>N/A</v>
      </c>
      <c r="FJ20" s="237" t="str">
        <f>IF(Reinforcements[[#This Row],[Type]]="channel",Reinforcements[[#This Row],[Lu (in)]],"N/A")</f>
        <v>N/A</v>
      </c>
      <c r="FK20" s="237" t="str">
        <f>IF(Reinforcements[[#This Row],[Type]]="channel",Reinforcements[[#This Row],[Effective Length Factor Kx]],"N/A")</f>
        <v>N/A</v>
      </c>
      <c r="FL20" s="237" t="str">
        <f>IF(Reinforcements[[#This Row],[Type]]="channel",Reinforcements[[#This Row],[Kz]]*Reinforcements[[#This Row],[Lz]],"N/A")</f>
        <v>N/A</v>
      </c>
      <c r="FM20" s="237" t="str">
        <f>IF(Reinforcements[[#This Row],[Type]]="channel",(((Reinforcements[[#This Row],[t]]^3)/3)*(Reinforcements[[#This Row],[h]]+(2*Reinforcements[[#This Row],[b]]))),"N/A")</f>
        <v>N/A</v>
      </c>
      <c r="FN20" s="237" t="str">
        <f>IF(Reinforcements[[#This Row],[Type]]="channel",(1-(((Reinforcements[[#This Row],[xo]]^2)+(Reinforcements[[#This Row],[yo]]^2))/Reinforcements[[#This Row],[ro^2(bar)]])),"N/A")</f>
        <v>N/A</v>
      </c>
      <c r="FO20" s="237">
        <v>11200</v>
      </c>
      <c r="FP20" s="237" t="str">
        <f>IF(Reinforcements[[#This Row],[Type]]="channel",(((Reinforcements[[#This Row],[h]]^2)*(Reinforcements[[#This Row],[b]]^3)*Reinforcements[[#This Row],[t]])/12)*(((2*Reinforcements[[#This Row],[h]])+(3*Reinforcements[[#This Row],[b]]))/(Reinforcements[[#This Row],[h]]+(6*Reinforcements[[#This Row],[b]]))),"N/A")</f>
        <v>N/A</v>
      </c>
      <c r="FQ20" s="237" t="str">
        <f>IF(Reinforcements[[#This Row],[Type]]="Channel",((((PI()^2)*Reinforcements[[#This Row],[E, (ksi)]]*Reinforcements[[#This Row],['[Channel'] CW (in6)]])/(Reinforcements[[#This Row],[Lcz]]^2))+(Reinforcements[[#This Row],[G]]*Reinforcements[[#This Row],['[Channel'] J (in4)]]))*(1/(Reinforcements[[#This Row],[Ag]]*Reinforcements[[#This Row],[ro^2(bar)]])),"N/A")</f>
        <v>N/A</v>
      </c>
      <c r="FR20" s="237" t="str">
        <f>IF(Reinforcements[[#This Row],[Type]]="channel",((PI()^2)*Reinforcements[[#This Row],[E, (ksi)]])/(Reinforcements[[#This Row],[Lcy/ry]]^2),"N/A")</f>
        <v>N/A</v>
      </c>
      <c r="FS20" s="237" t="str">
        <f>IF(Reinforcements[[#This Row],[Type]]="channel",((Reinforcements[[#This Row],[Fey]]+Reinforcements[[#This Row],[Fez]])/(2*Reinforcements[[#This Row],[H2]]))*(1-SQRT(1-((4*Reinforcements[[#This Row],[Fey]]*Reinforcements[[#This Row],[Fez]]*Reinforcements[[#This Row],[H2]])/(Reinforcements[[#This Row],[Fey]]+Reinforcements[[#This Row],[Fez]])^2))),"N/A")</f>
        <v>N/A</v>
      </c>
      <c r="FT20" s="237" t="str">
        <f>IF(Reinforcements[[#This Row],[Type]]="channel",IF(Reinforcements[[#This Row],[Lcx/rx]]&gt;(4.71*SQRT(Reinforcements[[#This Row],[E, (ksi)]]/Reinforcements[[#This Row],[Fy, (ksi)]])),0.877*Reinforcements[[#This Row],[Fe (FTB)]],0.658^(Reinforcements[[#This Row],[Fy, (ksi)]]/Reinforcements[[#This Row],[Fe (FTB)]])*Reinforcements[[#This Row],[Fy, (ksi)]]),"N/A")</f>
        <v>N/A</v>
      </c>
      <c r="FU20" s="237" t="str">
        <f>IF(Reinforcements[[#This Row],[Type]]="channel",MIN(Reinforcements[[#This Row],[Fcr(FTB)]],Reinforcements[[#This Row],[Fcry (ksi)]]),"N/A")</f>
        <v>N/A</v>
      </c>
      <c r="FV20" s="237">
        <v>0.22</v>
      </c>
      <c r="FW20" s="237">
        <v>1.49</v>
      </c>
      <c r="FX20" s="237" t="str">
        <f>IF(Reinforcements[[#This Row],[Type]]="channel",((Reinforcements[[#This Row],[c2]]*(Reinforcements[[#This Row],[λrf]]/Reinforcements[[#This Row],[λf]]))^2)*Reinforcements[[#This Row],[Fy, (ksi)]],"N/A")</f>
        <v>N/A</v>
      </c>
      <c r="FY20" s="237" t="str">
        <f>IF(Reinforcements[[#This Row],[Type]]="channel",((Reinforcements[[#This Row],[c2]]*(Reinforcements[[#This Row],[λrw]]/Reinforcements[[#This Row],[λw]]))^2)*Reinforcements[[#This Row],[Fy, (ksi)]],"N/A")</f>
        <v>N/A</v>
      </c>
      <c r="FZ20"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0"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0"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0" s="237" t="str">
        <f>IF(Reinforcements[[#This Row],[Type]]="channel",Reinforcements[[#This Row],[Fcr]]*Reinforcements[[#This Row],[Ae]],"N/A")</f>
        <v>N/A</v>
      </c>
      <c r="GD20" s="466">
        <f>IF(Reinforcements[[#This Row],[Reinforcement]]="","",φ_c*Reinforcements[[#This Row],[Pnx, FB (kip)]])</f>
        <v>125.88976542017591</v>
      </c>
      <c r="GE20" s="466">
        <f>IF(Reinforcements[[#This Row],[Reinforcement]]="","",IF(Reinforcements[[#This Row],[Type]]="channel",φ_c*Reinforcements[[#This Row],[Pn]],φ_c*Reinforcements[[#This Row],[Pny, FB (kip)]]))</f>
        <v>172.32616208197354</v>
      </c>
      <c r="GF20" s="466">
        <f>Reinforcements[[#This Row],[Rev. G Tension Yield Capacity (kips)]]</f>
        <v>175.5</v>
      </c>
      <c r="GG20" s="466">
        <f>Reinforcements[[#This Row],[Rev. G Tension Rupture Capacity (kips)]]</f>
        <v>123.75</v>
      </c>
      <c r="GH20" s="466">
        <f>Reinforcements[[#This Row],[Rev. G Shear Capacity (kips)]]</f>
        <v>87.75</v>
      </c>
      <c r="GI20" s="466">
        <f>IFERROR((Reinforcements[[#This Row],['# of End Connection Bolts          (Bottom)]]-1)*Reinforcements[[#This Row],[End Connection Bolt Spacing (in) (B)]],"-")</f>
        <v>9</v>
      </c>
      <c r="GJ20" s="466">
        <f>IFERROR(IF(VLOOKUP(Reinforcements[[#This Row],[Bottom End Connection Bolt Type]],Bolts[],COLUMN(Bolts[[#Headers],[Rev. H Apply Connection Length Reduction Factor (Rb)?]])-1,FALSE)="Yes",(IF(Reinforcements[[#This Row],[Lb(bottom)]]&lt;=16,1,IF(Reinforcements[[#This Row],[Lb(bottom)]]&gt;38,0.75,0.9))),1),"-")</f>
        <v>1</v>
      </c>
      <c r="GK20"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185.59856388327174</v>
      </c>
      <c r="GL20" s="466">
        <f>IFERROR(IF(Reinforcements[[#This Row],[Top End Connection Same?]]="Yes",Reinforcements[[#This Row],[Lb(bottom)]],(Reinforcements[[#This Row],['# of End Connection Bolts          (Top)]]-1)*Reinforcements[[#This Row],[End Connection Bolt Spacing (in) (T)]]),"-")</f>
        <v>9</v>
      </c>
      <c r="GM20" s="466">
        <f>IFERROR(IF(VLOOKUP(Reinforcements[[#This Row],[Top End Connection Bolt Type]],Bolts[],COLUMN(Bolts[[#Headers],[Rev. H Apply Connection Length Reduction Factor (Rb)?]])-1,FALSE)="Yes",(IF(Reinforcements[[#This Row],[Lb(top)]]&lt;=16,1,IF(Reinforcements[[#This Row],[Lb(top)]]&gt;38,0.75,0.9))),1),"-")</f>
        <v>1</v>
      </c>
      <c r="GN20"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185.59856388327174</v>
      </c>
      <c r="GO20" s="466">
        <f>Reinforcements[[#This Row],[Rev. G Bolt-Shaft Bearing Capacity (Bottom)                No Deformation          (*t*Fu kips)]]</f>
        <v>8.0541732283464569</v>
      </c>
      <c r="GP20" s="466">
        <f>Reinforcements[[#This Row],[Rev. G Bolt-Shaft Bearing Capacity (Bottom)                   Deformation          (*t*Fu kips)]]</f>
        <v>10.067716535433071</v>
      </c>
      <c r="GQ20" s="466">
        <f>Reinforcements[[#This Row],[Rev. G Bolt-Shaft Bearing Capacity (Top)                    No Deformation          (*t*Fu kips)]]</f>
        <v>8.0541732283464569</v>
      </c>
      <c r="GR20" s="466">
        <f>Reinforcements[[#This Row],[Rev. G Bolt-Shaft Bearing Capacity (Top)                        Deformation          (*t*Fu kips)]]</f>
        <v>10.067716535433071</v>
      </c>
      <c r="GS20" s="466">
        <f>Reinforcements[[#This Row],[Rev. G Bolt-Reinf. Bearing Capacity (Bottom)            No Deformation (kips)]]</f>
        <v>483.25039370078741</v>
      </c>
      <c r="GT20" s="466">
        <f>Reinforcements[[#This Row],[Rev. G Bolt-Reinf. Bearing Capacity (Bottom)               Deformation (kips)]]</f>
        <v>604.06299212598424</v>
      </c>
      <c r="GU20" s="466">
        <f>Reinforcements[[#This Row],[Rev. G Bolt-Reinf. Bearing Capacity (Top)                  No Deformation (kips)]]</f>
        <v>483.25039370078741</v>
      </c>
      <c r="GV20" s="466">
        <f>Reinforcements[[#This Row],[Rev. G Bolt-Reinf. Bearing Capacity (Top)               Deformation (kips)]]</f>
        <v>604.06299212598424</v>
      </c>
      <c r="GW20" s="466" t="str">
        <f>Reinforcements[[#This Row],[Rev. G Bottom Transverse Weld Strength]]</f>
        <v>-</v>
      </c>
      <c r="GX20" s="466" t="str">
        <f>Reinforcements[[#This Row],[Rev. G Bottom Longitudinal Weld Strength]]</f>
        <v>-</v>
      </c>
      <c r="GY20" s="466" t="str">
        <f>Reinforcements[[#This Row],[Rev. G Top Transverse Weld Strength]]</f>
        <v>-</v>
      </c>
      <c r="GZ20" s="466" t="str">
        <f>Reinforcements[[#This Row],[Rev. G Top Longitudinal Weld Strength]]</f>
        <v>-</v>
      </c>
      <c r="HA20" s="552">
        <v>18</v>
      </c>
      <c r="HB20"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1" spans="2:217" s="65" customFormat="1" x14ac:dyDescent="0.2">
      <c r="B21" s="72" t="s">
        <v>864</v>
      </c>
      <c r="C21" s="72" t="s">
        <v>146</v>
      </c>
      <c r="D21" s="185">
        <v>4</v>
      </c>
      <c r="E21" s="185">
        <v>1.25</v>
      </c>
      <c r="F21" s="185" t="str">
        <f>IF(Reinforcements[[#This Row],[Type]]="","",IF(Reinforcements[[#This Row],[Type]]="solid round","","n/a"))</f>
        <v>n/a</v>
      </c>
      <c r="G21" s="185" t="str">
        <f>IF(Reinforcements[[#This Row],[Type]]="","",IF(Reinforcements[[#This Row],[Type]]&lt;&gt;"channel","n/a",""))</f>
        <v>n/a</v>
      </c>
      <c r="H21" s="185" t="str">
        <f>IF(Reinforcements[[#This Row],[Type]]="","",IF(Reinforcements[[#This Row],[Type]]&lt;&gt;"channel","n/a",""))</f>
        <v>n/a</v>
      </c>
      <c r="I21" s="197" t="str">
        <f>IF(Reinforcements[[#This Row],[Type]]="","",IF(Reinforcements[[#This Row],[Type]]&lt;&gt;"channel","n/a",Reinforcements[[#This Row],[eo]]))</f>
        <v>n/a</v>
      </c>
      <c r="J21" s="197" t="str">
        <f>IF(Reinforcements[[#This Row],[Type]]="","",IF(Reinforcements[[#This Row],[Type]]&lt;&gt;"channel","n/a",Reinforcements[[#This Row],[J]]))</f>
        <v>n/a</v>
      </c>
      <c r="K21" s="197" t="str">
        <f>IF(Reinforcements[[#This Row],[Type]]="","",IF(Reinforcements[[#This Row],[Type]]&lt;&gt;"channel","n/a",Reinforcements[[#This Row],[Cw]]))</f>
        <v>n/a</v>
      </c>
      <c r="L21" s="185">
        <f>IFERROR(IF(Reinforcements[[#This Row],[Type]]="","",IF(Reinforcements[[#This Row],[Type]]="plate",Reinforcements[[#This Row],[B (in)]]*Reinforcements[[#This Row],[H (in)]],IF(Reinforcements[[#This Row],[Type]]="solid round",PI()/4*Reinforcements[[#This Row],[Diameter (in)]]^2,""))),"")</f>
        <v>5</v>
      </c>
      <c r="M21" s="185">
        <f>IFERROR(IF(Reinforcements[[#This Row],[Type]]="","",IF(Reinforcements[[#This Row],[Type]]="plate",Reinforcements[[#This Row],[H (in)]]/2,"")),"")</f>
        <v>0.625</v>
      </c>
      <c r="N21" s="199" t="s">
        <v>297</v>
      </c>
      <c r="O21" s="192" t="s">
        <v>60</v>
      </c>
      <c r="P21" s="187">
        <f>IFERROR(IF(Reinforcements[[#This Row],[Type]]="","",IF(Reinforcements[[#This Row],[Type]]="plate",Reinforcements[[#This Row],[B (in)]]*Reinforcements[[#This Row],[H (in)]]^3/12,IF(Reinforcements[[#This Row],[Type]]="solid round",PI()/64*Reinforcements[[#This Row],[Diameter (in)]]^4,""))),"")</f>
        <v>0.65104166666666663</v>
      </c>
      <c r="Q21" s="187">
        <f>IF(Reinforcements[[#This Row],[Reinforcement]]="","",SQRT(Reinforcements[[#This Row],[Ix]]/Reinforcements[[#This Row],[Gross Area (in2)]]))</f>
        <v>0.36084391824351608</v>
      </c>
      <c r="R21" s="187">
        <f>IFERROR(IF(Reinforcements[[#This Row],[Type]]="","",IF(Reinforcements[[#This Row],[Type]]="plate",Reinforcements[[#This Row],[B (in)]]^3*Reinforcements[[#This Row],[H (in)]]/12,IF(Reinforcements[[#This Row],[Type]]="solid round",PI()/64*Reinforcements[[#This Row],[Diameter (in)]]^4,""))),"")</f>
        <v>6.666666666666667</v>
      </c>
      <c r="S21" s="187">
        <f>IF(Reinforcements[[#This Row],[Reinforcement]]="","",SQRT(Reinforcements[[#This Row],[Iy]]/Reinforcements[[#This Row],[Gross Area (in2)]]))</f>
        <v>1.1547005383792517</v>
      </c>
      <c r="T21" s="190">
        <v>27</v>
      </c>
      <c r="U21" s="188">
        <v>0.8</v>
      </c>
      <c r="V21" s="188">
        <v>1</v>
      </c>
      <c r="W21" s="185">
        <v>1.1875</v>
      </c>
      <c r="X21" s="188">
        <f>IF(Reinforcements[[#This Row],[Bolt Hole Size (in)]]="","",IF(Reinforcements[[#This Row],[Bolt Hole Size (in)]]="n/a","n/a",Reinforcements[[#This Row],[Bolt Hole Size (in)]]*25.4))</f>
        <v>30.162499999999998</v>
      </c>
      <c r="Y21"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3.4375</v>
      </c>
      <c r="Z21" s="185">
        <f>IFERROR(IF(Reinforcements[[#This Row],[Reinforcement]]="","",IF(OR(Reinforcements[[#This Row],[Type]]="plate",Reinforcements[[#This Row],[Type]]="solid round"),1,IF(Reinforcements[[#This Row],[Type]]="arbitrary","",1-Reinforcements[[#This Row],[Pole Face to Centroid (in)]]/Reinforcements[[#This Row],[Connection Length (in) '[Channels']]]))),"")</f>
        <v>1</v>
      </c>
      <c r="AA21" s="527" t="s">
        <v>391</v>
      </c>
      <c r="AB21" s="189" t="str">
        <f>IF(Reinforcements[[#This Row],[Reinforcement]]="","",IF(Reinforcements[[#This Row],[Bottom End Connection Type]]&lt;&gt;"Capacity Input","-",""))</f>
        <v>-</v>
      </c>
      <c r="AC21" s="189" t="str">
        <f>IF(Reinforcements[[#This Row],[Reinforcement]]="","",IF(Reinforcements[[#This Row],[Bottom End Connection Type]]&lt;&gt;"Capacity Input","-",""))</f>
        <v>-</v>
      </c>
      <c r="AD21" s="461" t="str">
        <f>IF(Reinforcements[[#This Row],[Reinforcement]]="","",IF(Reinforcements[[#This Row],[Bottom End Connection Type]]&lt;&gt;"Capacity Input","-",""))</f>
        <v>-</v>
      </c>
      <c r="AE21" s="103" t="s">
        <v>416</v>
      </c>
      <c r="AF21" s="190" t="s">
        <v>296</v>
      </c>
      <c r="AG21" s="190">
        <v>6</v>
      </c>
      <c r="AH21" s="190">
        <v>3</v>
      </c>
      <c r="AI21" s="190">
        <v>3</v>
      </c>
      <c r="AJ21" s="190">
        <f>Reinforcements[[#This Row],[End Connection Edge Distance (in) (B)]]-(Reinforcements[[#This Row],[Bolt Hole Size (in)]]+1/16)/2</f>
        <v>2.375</v>
      </c>
      <c r="AK21" s="190">
        <f>Reinforcements[[#This Row],[End Connection Bolt Spacing (in) (B)]]-(Reinforcements[[#This Row],[Bolt Hole Size (in)]]+1/16)</f>
        <v>1.75</v>
      </c>
      <c r="AL21" s="190">
        <f>Reinforcements[[#This Row],[End Connection Edge Distance (in) (B)]]</f>
        <v>3</v>
      </c>
      <c r="AM21" s="190">
        <f>Reinforcements[[#This Row],[End Connection Bolt Spacing (in) (B)]]</f>
        <v>3</v>
      </c>
      <c r="AN21" s="190" t="str">
        <f>IF(Reinforcements[[#This Row],[Reinforcement]]="","",IF(OR(Reinforcements[[#This Row],[Bottom End Connection Type]]="Bolted",Reinforcements[[#This Row],[Bottom End Connection Type]]=""),"-",""))</f>
        <v>-</v>
      </c>
      <c r="AO21" s="191" t="str">
        <f>IF(Reinforcements[[#This Row],[Reinforcement]]="","",IF(OR(Reinforcements[[#This Row],[Bottom End Connection Type]]="Bolted",Reinforcements[[#This Row],[Bottom End Connection Type]]=""),"-",""))</f>
        <v>-</v>
      </c>
      <c r="AP21" s="191" t="str">
        <f>IF(Reinforcements[[#This Row],[Reinforcement]]="","",IF(OR(Reinforcements[[#This Row],[Bottom End Connection Type]]="Bolted",Reinforcements[[#This Row],[Bottom End Connection Type]]=""),"-",""))</f>
        <v>-</v>
      </c>
      <c r="AQ21" s="191" t="str">
        <f>IF(OR(Reinforcements[[#This Row],[Bottom End Connection Type]]="Bolted",Reinforcements[[#This Row],[Bottom Transverse (Horizontal) Weld]]="none"),"-","")</f>
        <v>-</v>
      </c>
      <c r="AR2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1" s="191" t="str">
        <f>IF(OR(Reinforcements[[#This Row],[Bottom Transverse (Horizontal) Weld]]="none",Reinforcements[[#This Row],[Bottom End Connection Type]]="Bolted"),"-","")</f>
        <v>-</v>
      </c>
      <c r="AU21"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1" s="191" t="str">
        <f>IF(Reinforcements[[#This Row],[Reinforcement]]="","",IF(OR(Reinforcements[[#This Row],[Bottom End Connection Type]]="Bolted",Reinforcements[[#This Row],[Bottom End Connection Type]]=""),"-",""))</f>
        <v>-</v>
      </c>
      <c r="AW21" s="191" t="str">
        <f>IF(Reinforcements[[#This Row],[Reinforcement]]="","",IF(OR(Reinforcements[[#This Row],[Bottom End Connection Type]]&lt;&gt;"Welded",Reinforcements[[#This Row],[Bottom Longitudinal (Vertical) Weld]]="None",Reinforcements[[#This Row],[Bottom Longitudinal (Vertical) Weld]]=""),"-",""))</f>
        <v>-</v>
      </c>
      <c r="AX21" s="191" t="str">
        <f>IF(Reinforcements[[#This Row],[Reinforcement]]="","",IF(OR(Reinforcements[[#This Row],[Bottom End Connection Type]]&lt;&gt;"Welded",Reinforcements[[#This Row],[Bottom Longitudinal (Vertical) Weld]]="None",Reinforcements[[#This Row],[Bottom Longitudinal (Vertical) Weld]]=""),"-",""))</f>
        <v>-</v>
      </c>
      <c r="AY21" s="190" t="str">
        <f>IF(Reinforcements[[#This Row],[Reinforcement]]="","",IF(OR(Reinforcements[[#This Row],[Bottom End Connection Type]]&lt;&gt;"Welded",Reinforcements[[#This Row],[Bottom Longitudinal (Vertical) Weld]]="None"),"-",SQRT(2)/2*Reinforcements[[#This Row],[Bottom Longitudinal Weld Fillet Size (in)]]))</f>
        <v>-</v>
      </c>
      <c r="AZ21" s="190" t="s">
        <v>295</v>
      </c>
      <c r="BA21" s="189" t="str">
        <f>IF(Reinforcements[[#This Row],[Top End Connection Same?]]="Yes",Reinforcements[[#This Row],[Bottom End Connection Type]],"")</f>
        <v>Bolted</v>
      </c>
      <c r="BB21" s="189" t="str">
        <f>IF(Reinforcements[[#This Row],[Reinforcement]]="","",IF(Reinforcements[[#This Row],[Top End Connection Same?]]="Yes",Reinforcements[[#This Row],[Rev. F Bottom Connection Capacity (kips)]],IF(Reinforcements[[#This Row],[Reinforcement]]="","",IF(Reinforcements[[#This Row],[Top End Connection Type]]&lt;&gt;"Capacity Input","-",""))))</f>
        <v>-</v>
      </c>
      <c r="BC21" s="189" t="str">
        <f>IF(Reinforcements[[#This Row],[Reinforcement]]="","",IF(Reinforcements[[#This Row],[Top End Connection Same?]]="Yes",Reinforcements[[#This Row],[Rev. G Bottom Connection Capacity (kips)]],IF(Reinforcements[[#This Row],[Reinforcement]]="","",IF(Reinforcements[[#This Row],[Top End Connection Type]]&lt;&gt;"Capacity Input","-",""))))</f>
        <v>-</v>
      </c>
      <c r="BD21" s="461" t="str">
        <f>IF(Reinforcements[[#This Row],[Reinforcement]]="","",IF(Reinforcements[[#This Row],[Top End Connection Same?]]="Yes",Reinforcements[[#This Row],[Rev. G Bottom Connection Capacity (kips)]],IF(Reinforcements[[#This Row],[Reinforcement]]="","",IF(Reinforcements[[#This Row],[Top End Connection Type]]&lt;&gt;"Capacity Input","-",""))))</f>
        <v>-</v>
      </c>
      <c r="BE21" s="103" t="str">
        <f>IF(Reinforcements[[#This Row],[Top End Connection Same?]]="Yes",Reinforcements[[#This Row],[Bottom End Connection Bolt Type]],IF(Reinforcements[[#This Row],[Top End Connection Type]]="Welded","-",""))</f>
        <v>PC 8.8 - M20 (100)</v>
      </c>
      <c r="BF21" s="190" t="str">
        <f>IF(Reinforcements[[#This Row],[Top End Connection Same?]]="Yes",Reinforcements[[#This Row],[Threads Included (N) or Excluded (X) (Bottom)]],IF(Reinforcements[[#This Row],[Top End Connection Type]]="Welded","-",""))</f>
        <v>N</v>
      </c>
      <c r="BG21" s="190">
        <f>IF(Reinforcements[[#This Row],[Top End Connection Same?]]="Yes",Reinforcements[[#This Row],['# of End Connection Bolts          (Bottom)]],IF(Reinforcements[[#This Row],[Top End Connection Type]]="Welded","-",""))</f>
        <v>6</v>
      </c>
      <c r="BH21" s="190">
        <f>IF(Reinforcements[[#This Row],[Top End Connection Same?]]="Yes",Reinforcements[[#This Row],[End Connection Bolt Spacing (in) (B)]],IF(Reinforcements[[#This Row],[Top End Connection Type]]="Welded","-",""))</f>
        <v>3</v>
      </c>
      <c r="BI21" s="190">
        <f>IF(Reinforcements[[#This Row],[Top End Connection Same?]]="Yes",Reinforcements[[#This Row],[End Connection Edge Distance (in) (B)]],IF(Reinforcements[[#This Row],[Top End Connection Type]]="Welded","-",""))</f>
        <v>3</v>
      </c>
      <c r="BJ21" s="190">
        <f>Reinforcements[[#This Row],[End Connection Edge Distance (in) (T)]]-(Reinforcements[[#This Row],[Bolt Hole Size (in)]]+1/16)/2</f>
        <v>2.375</v>
      </c>
      <c r="BK21" s="190">
        <f>Reinforcements[[#This Row],[End Connection Bolt Spacing (in) (T)]]-(Reinforcements[[#This Row],[Bolt Hole Size (in)]]+1/16)</f>
        <v>1.75</v>
      </c>
      <c r="BL21" s="190">
        <f>Reinforcements[[#This Row],[End Connection Edge Distance (in) (T)]]</f>
        <v>3</v>
      </c>
      <c r="BM21" s="190">
        <f>Reinforcements[[#This Row],[End Connection Bolt Spacing (in) (T)]]</f>
        <v>3</v>
      </c>
      <c r="BN21" s="190" t="str">
        <f>IF(Reinforcements[[#This Row],[Reinforcement]]="","",IF(Reinforcements[[#This Row],[Top End Connection Same?]]="Yes",Reinforcements[[#This Row],[Bottom Connected to Flange/Base Plate?]],IF(Reinforcements[[#This Row],[Top End Connection Type]]="Bolted","-","")))</f>
        <v>-</v>
      </c>
      <c r="BO21" s="190" t="str">
        <f>IF(Reinforcements[[#This Row],[Reinforcement]]="","",IF(Reinforcements[[#This Row],[Top End Connection Same?]]="Yes",Reinforcements[[#This Row],[Bottom Weld Grade (ksi)]],IF(OR(Reinforcements[[#This Row],[Top End Connection Type]]&lt;&gt;"Welded",Reinforcements[[#This Row],[Top End Connection Type]]=""),"-","")))</f>
        <v>-</v>
      </c>
      <c r="BP21" s="190" t="str">
        <f>IF($AZ21="Yes",AP21,IF(Reinforcements[[#This Row],[Reinforcement]]="","",IF(OR(Reinforcements[[#This Row],[Top End Connection Type]]&lt;&gt;"Welded",Reinforcements[[#This Row],[Top End Connection Type]]=""),"-","")))</f>
        <v>-</v>
      </c>
      <c r="BQ21" s="190" t="str">
        <f>IF(Reinforcements[[#This Row],[Reinforcement]]="","",IF($AZ21="Yes",AQ21,IF(OR(Reinforcements[[#This Row],[Top End Connection Type]]&lt;&gt;"Welded",Reinforcements[[#This Row],[Top Transverse (Horizontal) Weld]]="none",Reinforcements[[#This Row],[Top Transverse (Horizontal) Weld]]=""),"-","")))</f>
        <v>-</v>
      </c>
      <c r="BR21" s="190" t="str">
        <f>IF($AZ21="Yes",AR21,IF(Reinforcements[[#This Row],[Reinforcement]]="","",IF(OR(Reinforcements[[#This Row],[Top Transverse (Horizontal) Weld]]="none",Reinforcements[[#This Row],[Top End Connection Type]]&lt;&gt;"Welded",Reinforcements[[#This Row],[Top Transverse (Horizontal) Weld]]="",Reinforcements[[#This Row],[Top Transverse (Horizontal) Weld]]="Fillet"),"-","")))</f>
        <v>-</v>
      </c>
      <c r="BS21" s="190" t="str">
        <f>IF($AZ21="Yes",AS21,IF(Reinforcements[[#This Row],[Reinforcement]]="","",IF(OR(Reinforcements[[#This Row],[Top Transverse (Horizontal) Weld]]="none",Reinforcements[[#This Row],[Top End Connection Type]]&lt;&gt;"Welded",Reinforcements[[#This Row],[Top Transverse (Horizontal) Weld]]="",Reinforcements[[#This Row],[Top Transverse (Horizontal) Weld]]="Fillet"),"-","")))</f>
        <v>-</v>
      </c>
      <c r="BT21" s="190" t="str">
        <f>IF(Reinforcements[[#This Row],[Reinforcement]]="","",IF($AZ21="Yes",AT21,IF(OR(Reinforcements[[#This Row],[Top Transverse (Horizontal) Weld]]="none",Reinforcements[[#This Row],[Top End Connection Type]]&lt;&gt;"Welded",Reinforcements[[#This Row],[Top Transverse (Horizontal) Weld]]=""),"-","")))</f>
        <v>-</v>
      </c>
      <c r="BU21" s="190" t="str">
        <f>IF($AZ21="Yes",AU21,IF(Reinforcements[[#This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1" s="190" t="str">
        <f>IF($AZ21="Yes",AV21,IF(Reinforcements[[#This Row],[Reinforcement]]="","",IF(OR(Reinforcements[[#This Row],[Top End Connection Type]]&lt;&gt;"Welded",Reinforcements[[#This Row],[Top End Connection Type]]=""),"-","")))</f>
        <v>-</v>
      </c>
      <c r="BW21" s="190" t="str">
        <f>IF($AZ21="Yes",AW21,IF(Reinforcements[[#This Row],[Reinforcement]]="","",IF(OR(Reinforcements[[#This Row],[Top End Connection Type]]&lt;&gt;"Welded",Reinforcements[[#This Row],[Top End Connection Type]]="",Reinforcements[[#This Row],[Top Longitudinal (Vertical) Weld]]="",Reinforcements[[#This Row],[Top Longitudinal (Vertical) Weld]]="None"),"-","")))</f>
        <v>-</v>
      </c>
      <c r="BX21" s="190" t="str">
        <f>IF($AZ21="Yes",AX21,IF(Reinforcements[[#This Row],[Reinforcement]]="","",IF(OR(Reinforcements[[#This Row],[Top End Connection Type]]&lt;&gt;"Welded",Reinforcements[[#This Row],[Top End Connection Type]]="",Reinforcements[[#This Row],[Top Longitudinal (Vertical) Weld]]="",Reinforcements[[#This Row],[Top Longitudinal (Vertical) Weld]]="None"),"-","")))</f>
        <v>-</v>
      </c>
      <c r="BY21" s="190" t="str">
        <f>IF($AZ21="Yes",AY21,IF(Reinforcements[[#This Row],[Reinforcement]]="","",IF(OR(Reinforcements[[#This Row],[Top End Connection Type]]&lt;&gt;"Welded",Reinforcements[[#This Row],[Top Longitudinal (Vertical) Weld]]="none"),"-",SQRT(2)/2*Reinforcements[[#This Row],[Top Longitudinal Weld Fillet Size (in)]])))</f>
        <v>-</v>
      </c>
      <c r="BZ21"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1" s="192">
        <f>IF(Reinforcements[[#This Row],[Reinforcement]]="","",IF(Reinforcements[[#This Row],[Bottom End Connection Type]]&lt;&gt;"Bolted","n/a",(Reinforcements[[#This Row],['# of End Connection Bolts          (Bottom)]]-1)*Reinforcements[[#This Row],[End Connection Bolt Spacing (in) (B)]]+Reinforcements[[#This Row],[End Connection Edge Distance (in) (B)]]))</f>
        <v>18</v>
      </c>
      <c r="CB21" s="192">
        <f>IF(Reinforcements[[#This Row],[Reinforcement]]="","",IF(Reinforcements[[#This Row],[Top End Connection Type]]&lt;&gt;"Bolted","n/a",(Reinforcements[[#This Row],['# of End Connection Bolts          (Top)]]-1)*Reinforcements[[#This Row],[End Connection Bolt Spacing (in) (T)]]+Reinforcements[[#This Row],[End Connection Edge Distance (in) (T)]]))</f>
        <v>18</v>
      </c>
      <c r="CC21"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21"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1" s="185">
        <f>IFERROR(IF(Reinforcements[[#This Row],[Type]]="","",Reinforcements[[#This Row],[Effective B (in)]]*Reinforcements[[#This Row],[Effective H (in)]]^3/12),"")</f>
        <v>0.65104166666666663</v>
      </c>
      <c r="CF21" s="185">
        <f>IFERROR(IF(Reinforcements[[#This Row],[Type]]="","",Reinforcements[[#This Row],[Effective B (in)]]^3*Reinforcements[[#This Row],[Effective H (in)]]/12),"")</f>
        <v>6.666666666666667</v>
      </c>
      <c r="CG21" s="197">
        <f>SQRT(2*PI()^2*29000/VLOOKUP(Reinforcements[[#This Row],[Material]],Materials[],2,FALSE))</f>
        <v>93.844147005158973</v>
      </c>
      <c r="CH21"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27.637499827371208</v>
      </c>
      <c r="CI21"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35.82264293544381</v>
      </c>
      <c r="CJ21" s="187">
        <f>Reinforcements[[#This Row],[Effective Length Factor Kx]]*Reinforcements[[#This Row],[Lu (in)]]/(Reinforcements[[#This Row],[rx]]*PI())*SQRT(VLOOKUP(Reinforcements[[#This Row],[Material]],Materials[],2,FALSE)/29000)</f>
        <v>0.90207400474248911</v>
      </c>
      <c r="CK21" s="187">
        <f>Reinforcements[[#This Row],[Effective Length Factor Ky]]*Reinforcements[[#This Row],[Lu (in)]]/(Reinforcements[[#This Row],[ry]]*PI())*SQRT(VLOOKUP(Reinforcements[[#This Row],[Material]],Materials[],2,FALSE)/29000)</f>
        <v>0.35237265810253476</v>
      </c>
      <c r="CL21" s="187">
        <f>IF(Reinforcements[[#This Row],[λcx]]&lt;=1.5,0.658^(Reinforcements[[#This Row],[λcx]]^2)*Reinforcements[[#This Row],[F''y]],0.877/(Reinforcements[[#This Row],[λcx]]^2)*Reinforcements[[#This Row],[F''y]])</f>
        <v>46.237777195184954</v>
      </c>
      <c r="CM21" s="187">
        <f>IF(Reinforcements[[#This Row],[λcy]]&lt;=1.5,0.658^(Reinforcements[[#This Row],[λcy]]^2)*Reinforcements[[#This Row],[F''y]],0.877/(Reinforcements[[#This Row],[λcy]]^2)*Reinforcements[[#This Row],[F''y]])</f>
        <v>61.70823202958254</v>
      </c>
      <c r="CN21" s="185">
        <f>VLOOKUP(Reinforcements[[#This Row],[Material]],Materials[],2,FALSE)</f>
        <v>65</v>
      </c>
      <c r="CO21" s="197">
        <f>IF(Reinforcements[[#This Row],[Reinforcement]]="","",Reinforcements[[#This Row],[Fax]]*Reinforcements[[#This Row],[Gross Area (in2)]])</f>
        <v>138.18749913685605</v>
      </c>
      <c r="CP21" s="197">
        <f>IF(Reinforcements[[#This Row],[Reinforcement]]="","",Reinforcements[[#This Row],[Fay]]*Reinforcements[[#This Row],[Gross Area (in2)]])</f>
        <v>179.11321467721905</v>
      </c>
      <c r="CQ21" s="197">
        <f>IF(Reinforcements[[#This Row],[Reinforcement]]="","",0.6*VLOOKUP(Reinforcements[[#This Row],[Material]],Materials[],2,FALSE)*Reinforcements[[#This Row],[Gross Area (in2)]])</f>
        <v>195</v>
      </c>
      <c r="CR21" s="197">
        <f>IF(Reinforcements[[#This Row],[Reinforcement]]="","",0.5*VLOOKUP(Reinforcements[[#This Row],[Material]],Materials[],3,FALSE)*Reinforcements[[#This Row],[Net Area (in2)]]*Reinforcements[[#This Row],[Shear Lag (U)]])</f>
        <v>137.5</v>
      </c>
      <c r="CS21" s="197">
        <f>IF(Reinforcements[[#This Row],[Reinforcement]]="","",0.4*VLOOKUP(Reinforcements[[#This Row],[Material]],Materials[],2,FALSE)*Reinforcements[[#This Row],[Gross Area (in2)]])</f>
        <v>130</v>
      </c>
      <c r="CT21"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21"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21"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21"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21"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21"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21"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822.04724409448818</v>
      </c>
      <c r="DA21"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921.25984251968498</v>
      </c>
      <c r="DB21"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822.04724409448818</v>
      </c>
      <c r="DC21"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921.25984251968498</v>
      </c>
      <c r="DD21"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1"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1" s="190" t="str">
        <f>IF($AZ21="Yes",DD21,IF(Reinforcements[[#This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1" s="190" t="str">
        <f>IF($AZ21="Yes",DE21,IF(Reinforcements[[#This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1" s="197">
        <f>IF(Reinforcements[[#This Row],[Reinforcement]]="","",φ_c*Reinforcements[[#This Row],[Fcr,x]]*Reinforcements[[#This Row],[Gross Area (in2)]])</f>
        <v>208.06999737833229</v>
      </c>
      <c r="DI21" s="197">
        <f>IF(Reinforcements[[#This Row],[Reinforcement]]="","",φ_c*Reinforcements[[#This Row],[Fcr,y]]*Reinforcements[[#This Row],[Gross Area (in2)]])</f>
        <v>277.68704413312145</v>
      </c>
      <c r="DJ21" s="197">
        <f>IF(Reinforcements[[#This Row],[Reinforcement]]="","",φ_t_y*VLOOKUP(Reinforcements[[#This Row],[Material]],Materials[],2,FALSE)*Reinforcements[[#This Row],[Gross Area (in2)]])</f>
        <v>292.5</v>
      </c>
      <c r="DK21" s="197">
        <f>IF(Reinforcements[[#This Row],[Reinforcement]]="","",φ_t_r*VLOOKUP(Reinforcements[[#This Row],[Material]],Materials[],3,FALSE)*Reinforcements[[#This Row],[Net Area (in2)]]*Reinforcements[[#This Row],[Shear Lag (U)]])</f>
        <v>206.25</v>
      </c>
      <c r="DL21" s="197">
        <f>IF(Reinforcements[[#This Row],[Reinforcement]]="","",φ_v*0.5*Reinforcements[[#This Row],[F''y]]*Reinforcements[[#This Row],[Gross Area (in2)]])</f>
        <v>146.25</v>
      </c>
      <c r="DM21"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21"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21"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21"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21"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21"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21"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1196.2204724409448</v>
      </c>
      <c r="DT21"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1495.2755905511813</v>
      </c>
      <c r="DU21"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V21"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1495.2755905511813</v>
      </c>
      <c r="DW21"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1"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1" s="190" t="str">
        <f>IF($AZ21="Yes",DW21,IF(Reinforcements[[#This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1" s="190" t="str">
        <f>IF($AZ21="Yes",DX21,IF(Reinforcements[[#This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1" s="238" t="str">
        <f>IF(OR(Reinforcements[[#This Row],[Type]]="plate",Reinforcements[[#This Row],[Type]]="solid round"),"N/A",Reinforcements[[#This Row],[B (in)]])</f>
        <v>N/A</v>
      </c>
      <c r="EB21" s="236" t="str">
        <f>IF(OR(Reinforcements[[#This Row],[Type]]="plate",Reinforcements[[#This Row],[Type]]="solid round"),"N/A",Reinforcements[[#This Row],[H (in)]])</f>
        <v>N/A</v>
      </c>
      <c r="EC21" s="236" t="str">
        <f>IF(OR(Reinforcements[[#This Row],[Type]]="plate",Reinforcements[[#This Row],[Type]]="solid round"),"N/A",Reinforcements[[#This Row],[B (in)]]-Reinforcements[[#This Row],['[Channel'] Flange Thickness (in)]])</f>
        <v>N/A</v>
      </c>
      <c r="ED21" s="236" t="str">
        <f>IF(OR(Reinforcements[[#This Row],[Type]]="plate",Reinforcements[[#This Row],[Type]]="solid round"),"N/A",Reinforcements[[#This Row],['[Channel']Web Thickness (in)]])</f>
        <v>N/A</v>
      </c>
      <c r="EE21" s="236" t="str">
        <f>IF(OR(Reinforcements[[#This Row],[Type]]="plate",Reinforcements[[#This Row],[Type]]="solid round"),"N/A",Reinforcements[[#This Row],['[Channel'] Flange Thickness (in)]])</f>
        <v>N/A</v>
      </c>
      <c r="EF21" s="236" t="str">
        <f>IF(Reinforcements[[#This Row],[Type]]="channel",Reinforcements[[#This Row],[Channel Flange Width, b]]/Reinforcements[[#This Row],[Channel flange thickness, tf]],"N/A")</f>
        <v>N/A</v>
      </c>
      <c r="EG21" s="236" t="str">
        <f>IF(Reinforcements[[#This Row],[Type]]="channel",Reinforcements[[#This Row],[Channel inside depth, T]]/Reinforcements[[#This Row],[Channel web thickness, tw]],"N/A")</f>
        <v>N/A</v>
      </c>
      <c r="EH21" s="237">
        <v>29000</v>
      </c>
      <c r="EI21" s="237" t="str">
        <f>IF(Reinforcements[[#This Row],[Type]]="channel",0.56*SQRT(Reinforcements[[#This Row],[E, (ksi)]]/Reinforcements[[#This Row],[Fy, (ksi)]]),"N/A")</f>
        <v>N/A</v>
      </c>
      <c r="EJ21" s="237" t="str">
        <f>IF(Reinforcements[[#This Row],[Type]]="channel",1.49*SQRT(Reinforcements[[#This Row],[E, (ksi)]]/Reinforcements[[#This Row],[Fy, (ksi)]]),"N/A")</f>
        <v>N/A</v>
      </c>
      <c r="EK21" s="237">
        <f>VLOOKUP(Reinforcements[[#This Row],[Material]],Materials!$B$2:$C$30,2,FALSE)</f>
        <v>65</v>
      </c>
      <c r="EL21" s="237">
        <f>Reinforcements[[#This Row],[Lu (in)]]*Reinforcements[[#This Row],[Effective Length Factor Kx]]</f>
        <v>21.6</v>
      </c>
      <c r="EM21" s="237">
        <f>Reinforcements[[#This Row],[Lu (in)]]*Reinforcements[[#This Row],[Effective Length Factor Ky]]</f>
        <v>27</v>
      </c>
      <c r="EN21" s="237">
        <f>Reinforcements[[#This Row],[rx]]</f>
        <v>0.36084391824351608</v>
      </c>
      <c r="EO21" s="237">
        <f>Reinforcements[[#This Row],[ry]]</f>
        <v>1.1547005383792517</v>
      </c>
      <c r="EP21" s="237">
        <f>Reinforcements[[#This Row],[Lcx (in)]]/Reinforcements[[#This Row],[rx (in)]]</f>
        <v>59.859675909580403</v>
      </c>
      <c r="EQ21" s="237">
        <f>Reinforcements[[#This Row],[Lcy (in)]]/Reinforcements[[#This Row],[ry (in)]]</f>
        <v>23.382685902179841</v>
      </c>
      <c r="ER21" s="237">
        <f>((PI()^2)*Reinforcements[[#This Row],[E, (ksi)]])/(Reinforcements[[#This Row],[Lcx/rx]]^2)</f>
        <v>79.878338160215449</v>
      </c>
      <c r="ES21" s="237">
        <f>((PI()^2)*Reinforcements[[#This Row],[E, (ksi)]])/(Reinforcements[[#This Row],[Lcy/ry]]^2)</f>
        <v>523.4906769667881</v>
      </c>
      <c r="ET21" s="237">
        <f>4.71*(SQRT(Reinforcements[[#This Row],[E, (ksi)]]/Reinforcements[[#This Row],[Fy, (ksi)]]))</f>
        <v>99.486288193205496</v>
      </c>
      <c r="EU21" s="237">
        <f>IF(Reinforcements[[#This Row],[Lcx/rx]]&lt;=Reinforcements[[#This Row],[Fcr Limit]],(0.658^(Reinforcements[[#This Row],[Fy, (ksi)]]/Reinforcements[[#This Row],[Fex, FB (ksi)]]))*Reinforcements[[#This Row],[Fy, (ksi)]],0.877*Reinforcements[[#This Row],[Fex, FB (ksi)]])</f>
        <v>46.23777719518494</v>
      </c>
      <c r="EV21" s="237">
        <f>IF(Reinforcements[[#This Row],[Lcy/ry]]&lt;=Reinforcements[[#This Row],[Fcr Limit]],(0.658^(Reinforcements[[#This Row],[Fy, (ksi)]]/Reinforcements[[#This Row],[Fey, FB (ksi)]]))*Reinforcements[[#This Row],[Fy, (ksi)]],0.877*Reinforcements[[#This Row],[Fey, FB (ksi)]])</f>
        <v>61.70823202958254</v>
      </c>
      <c r="EW21" s="237">
        <f>Reinforcements[[#This Row],[Fcrx (ksi)]]*Reinforcements[[#This Row],[Gross Area (in2)]]</f>
        <v>231.18888597592471</v>
      </c>
      <c r="EX21" s="237">
        <f>Reinforcements[[#This Row],[Fcry (ksi)]]*Reinforcements[[#This Row],[Gross Area (in2)]]</f>
        <v>308.54116014791271</v>
      </c>
      <c r="EY21" s="237" t="str">
        <f>IF(Reinforcements[[#This Row],[Type]]="channel",0,"N/A")</f>
        <v>N/A</v>
      </c>
      <c r="EZ21" s="237" t="str">
        <f>IF(Reinforcements[[#This Row],[Type]]="channel",Reinforcements[[#This Row],[Channel Flange Width, b]]-(0.5*Reinforcements[[#This Row],[Channel web thickness, tw]]),"N/A")</f>
        <v>N/A</v>
      </c>
      <c r="FA21" s="237" t="str">
        <f>IF(Reinforcements[[#This Row],[Type]]="channel",Reinforcements[[#This Row],[Channel Height, h]]-Reinforcements[[#This Row],[Channel flange thickness, tf]],"N/A")</f>
        <v>N/A</v>
      </c>
      <c r="FB21" s="237" t="str">
        <f>IF(Reinforcements[[#This Row],[Type]]="channel",Reinforcements[[#This Row],[Channel web thickness, tw]],"N/A")</f>
        <v>N/A</v>
      </c>
      <c r="FC21" s="237" t="str">
        <f>IF(Reinforcements[[#This Row],[Type]]="channel",((3*Reinforcements[[#This Row],[b]]^2)/(Reinforcements[[#This Row],[h]]+(6*Reinforcements[[#This Row],[b]])))-Reinforcements[[#This Row],[t]]/2,"N/A")</f>
        <v>N/A</v>
      </c>
      <c r="FD21" s="237">
        <f>Reinforcements[[#This Row],[Pole Face to Centroid (in)]]</f>
        <v>0.625</v>
      </c>
      <c r="FE21" s="236" t="str">
        <f>IF(Reinforcements[[#This Row],[Type]]="channel",Reinforcements[[#This Row],[x(bar)]]+Reinforcements[[#This Row],['[Channel'] e0 (in)]],"N/A")</f>
        <v>N/A</v>
      </c>
      <c r="FF21" s="236" t="str">
        <f>IF(Reinforcements[[#This Row],[Type]]="channel",Reinforcements[[#This Row],[Ix]],"N/A")</f>
        <v>N/A</v>
      </c>
      <c r="FG21" s="236" t="str">
        <f>IF(Reinforcements[[#This Row],[Type]]="channel",Reinforcements[[#This Row],[Iy]],"N/A")</f>
        <v>N/A</v>
      </c>
      <c r="FH21" s="236" t="str">
        <f>IF(Reinforcements[[#This Row],[Type]]="channel",Reinforcements[[#This Row],[Gross Area (in2)]],"N/A")</f>
        <v>N/A</v>
      </c>
      <c r="FI21" s="236" t="str">
        <f>IF(Reinforcements[[#This Row],[Type]]="channel",(Reinforcements[[#This Row],[xo]]^2)+((Reinforcements[[#This Row],[Ix (FTB)]]+Reinforcements[[#This Row],[Iy (FTB)]])/Reinforcements[[#This Row],[Ag]]),"N/A")</f>
        <v>N/A</v>
      </c>
      <c r="FJ21" s="236" t="str">
        <f>IF(Reinforcements[[#This Row],[Type]]="channel",Reinforcements[[#This Row],[Lu (in)]],"N/A")</f>
        <v>N/A</v>
      </c>
      <c r="FK21" s="236" t="str">
        <f>IF(Reinforcements[[#This Row],[Type]]="channel",Reinforcements[[#This Row],[Effective Length Factor Kx]],"N/A")</f>
        <v>N/A</v>
      </c>
      <c r="FL21" s="236" t="str">
        <f>IF(Reinforcements[[#This Row],[Type]]="channel",Reinforcements[[#This Row],[Kz]]*Reinforcements[[#This Row],[Lz]],"N/A")</f>
        <v>N/A</v>
      </c>
      <c r="FM21" s="236" t="str">
        <f>IF(Reinforcements[[#This Row],[Type]]="channel",(((Reinforcements[[#This Row],[t]]^3)/3)*(Reinforcements[[#This Row],[h]]+(2*Reinforcements[[#This Row],[b]]))),"N/A")</f>
        <v>N/A</v>
      </c>
      <c r="FN21" s="236" t="str">
        <f>IF(Reinforcements[[#This Row],[Type]]="channel",(1-(((Reinforcements[[#This Row],[xo]]^2)+(Reinforcements[[#This Row],[yo]]^2))/Reinforcements[[#This Row],[ro^2(bar)]])),"N/A")</f>
        <v>N/A</v>
      </c>
      <c r="FO21" s="237">
        <v>11200</v>
      </c>
      <c r="FP21" s="236" t="str">
        <f>IF(Reinforcements[[#This Row],[Type]]="channel",(((Reinforcements[[#This Row],[h]]^2)*(Reinforcements[[#This Row],[b]]^3)*Reinforcements[[#This Row],[t]])/12)*(((2*Reinforcements[[#This Row],[h]])+(3*Reinforcements[[#This Row],[b]]))/(Reinforcements[[#This Row],[h]]+(6*Reinforcements[[#This Row],[b]]))),"N/A")</f>
        <v>N/A</v>
      </c>
      <c r="FQ21" s="236" t="str">
        <f>IF(Reinforcements[[#This Row],[Type]]="Channel",((((PI()^2)*Reinforcements[[#This Row],[E, (ksi)]]*Reinforcements[[#This Row],['[Channel'] CW (in6)]])/(Reinforcements[[#This Row],[Lcz]]^2))+(Reinforcements[[#This Row],[G]]*Reinforcements[[#This Row],['[Channel'] J (in4)]]))*(1/(Reinforcements[[#This Row],[Ag]]*Reinforcements[[#This Row],[ro^2(bar)]])),"N/A")</f>
        <v>N/A</v>
      </c>
      <c r="FR21" s="236" t="str">
        <f>IF(Reinforcements[[#This Row],[Type]]="channel",((PI()^2)*Reinforcements[[#This Row],[E, (ksi)]])/(Reinforcements[[#This Row],[Lcy/ry]]^2),"N/A")</f>
        <v>N/A</v>
      </c>
      <c r="FS21" s="236" t="str">
        <f>IF(Reinforcements[[#This Row],[Type]]="channel",((Reinforcements[[#This Row],[Fey]]+Reinforcements[[#This Row],[Fez]])/(2*Reinforcements[[#This Row],[H2]]))*(1-SQRT(1-((4*Reinforcements[[#This Row],[Fey]]*Reinforcements[[#This Row],[Fez]]*Reinforcements[[#This Row],[H2]])/(Reinforcements[[#This Row],[Fey]]+Reinforcements[[#This Row],[Fez]])^2))),"N/A")</f>
        <v>N/A</v>
      </c>
      <c r="FT21" s="236" t="str">
        <f>IF(Reinforcements[[#This Row],[Type]]="channel",IF(Reinforcements[[#This Row],[Lcx/rx]]&gt;(4.71*SQRT(Reinforcements[[#This Row],[E, (ksi)]]/Reinforcements[[#This Row],[Fy, (ksi)]])),0.877*Reinforcements[[#This Row],[Fe (FTB)]],0.658^(Reinforcements[[#This Row],[Fy, (ksi)]]/Reinforcements[[#This Row],[Fe (FTB)]])*Reinforcements[[#This Row],[Fy, (ksi)]]),"N/A")</f>
        <v>N/A</v>
      </c>
      <c r="FU21" s="236" t="str">
        <f>IF(Reinforcements[[#This Row],[Type]]="channel",MIN(Reinforcements[[#This Row],[Fcr(FTB)]],Reinforcements[[#This Row],[Fcry (ksi)]]),"N/A")</f>
        <v>N/A</v>
      </c>
      <c r="FV21" s="237">
        <v>0.22</v>
      </c>
      <c r="FW21" s="237">
        <v>1.49</v>
      </c>
      <c r="FX21" s="236" t="str">
        <f>IF(Reinforcements[[#This Row],[Type]]="channel",((Reinforcements[[#This Row],[c2]]*(Reinforcements[[#This Row],[λrf]]/Reinforcements[[#This Row],[λf]]))^2)*Reinforcements[[#This Row],[Fy, (ksi)]],"N/A")</f>
        <v>N/A</v>
      </c>
      <c r="FY21" s="236" t="str">
        <f>IF(Reinforcements[[#This Row],[Type]]="channel",((Reinforcements[[#This Row],[c2]]*(Reinforcements[[#This Row],[λrw]]/Reinforcements[[#This Row],[λw]]))^2)*Reinforcements[[#This Row],[Fy, (ksi)]],"N/A")</f>
        <v>N/A</v>
      </c>
      <c r="FZ21"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1"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1"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1" s="236" t="str">
        <f>IF(Reinforcements[[#This Row],[Type]]="channel",Reinforcements[[#This Row],[Fcr]]*Reinforcements[[#This Row],[Ae]],"N/A")</f>
        <v>N/A</v>
      </c>
      <c r="GD21" s="466">
        <f>IF(Reinforcements[[#This Row],[Reinforcement]]="","",φ_c*Reinforcements[[#This Row],[Pnx, FB (kip)]])</f>
        <v>208.06999737833223</v>
      </c>
      <c r="GE21" s="466">
        <f>IF(Reinforcements[[#This Row],[Reinforcement]]="","",IF(Reinforcements[[#This Row],[Type]]="channel",φ_c*Reinforcements[[#This Row],[Pn]],φ_c*Reinforcements[[#This Row],[Pny, FB (kip)]]))</f>
        <v>277.68704413312145</v>
      </c>
      <c r="GF21" s="466">
        <f>Reinforcements[[#This Row],[Rev. G Tension Yield Capacity (kips)]]</f>
        <v>292.5</v>
      </c>
      <c r="GG21" s="466">
        <f>Reinforcements[[#This Row],[Rev. G Tension Rupture Capacity (kips)]]</f>
        <v>206.25</v>
      </c>
      <c r="GH21" s="466">
        <f>Reinforcements[[#This Row],[Rev. G Shear Capacity (kips)]]</f>
        <v>146.25</v>
      </c>
      <c r="GI21" s="466">
        <f>IFERROR((Reinforcements[[#This Row],['# of End Connection Bolts          (Bottom)]]-1)*Reinforcements[[#This Row],[End Connection Bolt Spacing (in) (B)]],"-")</f>
        <v>15</v>
      </c>
      <c r="GJ21" s="466">
        <f>IFERROR(IF(VLOOKUP(Reinforcements[[#This Row],[Bottom End Connection Bolt Type]],Bolts[],COLUMN(Bolts[[#Headers],[Rev. H Apply Connection Length Reduction Factor (Rb)?]])-1,FALSE)="Yes",(IF(Reinforcements[[#This Row],[Lb(bottom)]]&lt;=16,1,IF(Reinforcements[[#This Row],[Lb(bottom)]]&gt;38,0.75,0.9))),1),"-")</f>
        <v>1</v>
      </c>
      <c r="GK21"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21" s="466">
        <f>IFERROR(IF(Reinforcements[[#This Row],[Top End Connection Same?]]="Yes",Reinforcements[[#This Row],[Lb(bottom)]],(Reinforcements[[#This Row],['# of End Connection Bolts          (Top)]]-1)*Reinforcements[[#This Row],[End Connection Bolt Spacing (in) (T)]]),"-")</f>
        <v>15</v>
      </c>
      <c r="GM21" s="466">
        <f>IFERROR(IF(VLOOKUP(Reinforcements[[#This Row],[Top End Connection Bolt Type]],Bolts[],COLUMN(Bolts[[#Headers],[Rev. H Apply Connection Length Reduction Factor (Rb)?]])-1,FALSE)="Yes",(IF(Reinforcements[[#This Row],[Lb(top)]]&lt;=16,1,IF(Reinforcements[[#This Row],[Lb(top)]]&gt;38,0.75,0.9))),1),"-")</f>
        <v>1</v>
      </c>
      <c r="GN21"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21" s="466">
        <f>Reinforcements[[#This Row],[Rev. G Bolt-Shaft Bearing Capacity (Bottom)                No Deformation          (*t*Fu kips)]]</f>
        <v>11.96220472440945</v>
      </c>
      <c r="GP21" s="466">
        <f>Reinforcements[[#This Row],[Rev. G Bolt-Shaft Bearing Capacity (Bottom)                   Deformation          (*t*Fu kips)]]</f>
        <v>14.952755905511811</v>
      </c>
      <c r="GQ21" s="466">
        <f>Reinforcements[[#This Row],[Rev. G Bolt-Shaft Bearing Capacity (Top)                    No Deformation          (*t*Fu kips)]]</f>
        <v>11.96220472440945</v>
      </c>
      <c r="GR21" s="466">
        <f>Reinforcements[[#This Row],[Rev. G Bolt-Shaft Bearing Capacity (Top)                        Deformation          (*t*Fu kips)]]</f>
        <v>14.952755905511811</v>
      </c>
      <c r="GS21" s="466">
        <f>Reinforcements[[#This Row],[Rev. G Bolt-Reinf. Bearing Capacity (Bottom)            No Deformation (kips)]]</f>
        <v>1196.2204724409448</v>
      </c>
      <c r="GT21" s="466">
        <f>Reinforcements[[#This Row],[Rev. G Bolt-Reinf. Bearing Capacity (Bottom)               Deformation (kips)]]</f>
        <v>1495.2755905511813</v>
      </c>
      <c r="GU21" s="466">
        <f>Reinforcements[[#This Row],[Rev. G Bolt-Reinf. Bearing Capacity (Top)                  No Deformation (kips)]]</f>
        <v>1196.2204724409448</v>
      </c>
      <c r="GV21" s="466">
        <f>Reinforcements[[#This Row],[Rev. G Bolt-Reinf. Bearing Capacity (Top)               Deformation (kips)]]</f>
        <v>1495.2755905511813</v>
      </c>
      <c r="GW21" s="466" t="str">
        <f>Reinforcements[[#This Row],[Rev. G Bottom Transverse Weld Strength]]</f>
        <v>-</v>
      </c>
      <c r="GX21" s="466" t="str">
        <f>Reinforcements[[#This Row],[Rev. G Bottom Longitudinal Weld Strength]]</f>
        <v>-</v>
      </c>
      <c r="GY21" s="466" t="str">
        <f>Reinforcements[[#This Row],[Rev. G Top Transverse Weld Strength]]</f>
        <v>-</v>
      </c>
      <c r="GZ21" s="466" t="str">
        <f>Reinforcements[[#This Row],[Rev. G Top Longitudinal Weld Strength]]</f>
        <v>-</v>
      </c>
      <c r="HA21" s="552">
        <v>19</v>
      </c>
      <c r="HB21"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2" spans="2:217" s="65" customFormat="1" x14ac:dyDescent="0.2">
      <c r="B22" s="72" t="s">
        <v>360</v>
      </c>
      <c r="C22" s="72" t="s">
        <v>146</v>
      </c>
      <c r="D22" s="185">
        <v>4.5</v>
      </c>
      <c r="E22" s="185">
        <v>1</v>
      </c>
      <c r="F22" s="185" t="str">
        <f>IF(Reinforcements[[#This Row],[Type]]="","",IF(Reinforcements[[#This Row],[Type]]="solid round","","n/a"))</f>
        <v>n/a</v>
      </c>
      <c r="G22" s="185" t="str">
        <f>IF(Reinforcements[[#This Row],[Type]]="","",IF(Reinforcements[[#This Row],[Type]]&lt;&gt;"channel","n/a",""))</f>
        <v>n/a</v>
      </c>
      <c r="H22" s="185" t="str">
        <f>IF(Reinforcements[[#This Row],[Type]]="","",IF(Reinforcements[[#This Row],[Type]]&lt;&gt;"channel","n/a",""))</f>
        <v>n/a</v>
      </c>
      <c r="I22" s="197" t="str">
        <f>IF(Reinforcements[[#This Row],[Type]]="","",IF(Reinforcements[[#This Row],[Type]]&lt;&gt;"channel","n/a",Reinforcements[[#This Row],[eo]]))</f>
        <v>n/a</v>
      </c>
      <c r="J22" s="197" t="str">
        <f>IF(Reinforcements[[#This Row],[Type]]="","",IF(Reinforcements[[#This Row],[Type]]&lt;&gt;"channel","n/a",Reinforcements[[#This Row],[J]]))</f>
        <v>n/a</v>
      </c>
      <c r="K22" s="197" t="str">
        <f>IF(Reinforcements[[#This Row],[Type]]="","",IF(Reinforcements[[#This Row],[Type]]&lt;&gt;"channel","n/a",Reinforcements[[#This Row],[Cw]]))</f>
        <v>n/a</v>
      </c>
      <c r="L22" s="185">
        <f>IFERROR(IF(Reinforcements[[#This Row],[Type]]="","",IF(Reinforcements[[#This Row],[Type]]="plate",Reinforcements[[#This Row],[B (in)]]*Reinforcements[[#This Row],[H (in)]],IF(Reinforcements[[#This Row],[Type]]="solid round",PI()/4*Reinforcements[[#This Row],[Diameter (in)]]^2,""))),"")</f>
        <v>4.5</v>
      </c>
      <c r="M22" s="185">
        <f>IFERROR(IF(Reinforcements[[#This Row],[Type]]="","",IF(Reinforcements[[#This Row],[Type]]="plate",Reinforcements[[#This Row],[H (in)]]/2,"")),"")</f>
        <v>0.5</v>
      </c>
      <c r="N22" s="186" t="s">
        <v>297</v>
      </c>
      <c r="O22" s="185" t="s">
        <v>60</v>
      </c>
      <c r="P22" s="187">
        <f>IFERROR(IF(Reinforcements[[#This Row],[Type]]="","",IF(Reinforcements[[#This Row],[Type]]="plate",Reinforcements[[#This Row],[B (in)]]*Reinforcements[[#This Row],[H (in)]]^3/12,IF(Reinforcements[[#This Row],[Type]]="solid round",PI()/64*Reinforcements[[#This Row],[Diameter (in)]]^4,""))),"")</f>
        <v>0.375</v>
      </c>
      <c r="Q22" s="187">
        <f>IF(Reinforcements[[#This Row],[Reinforcement]]="","",SQRT(Reinforcements[[#This Row],[Ix]]/Reinforcements[[#This Row],[Gross Area (in2)]]))</f>
        <v>0.28867513459481287</v>
      </c>
      <c r="R22" s="187">
        <f>IFERROR(IF(Reinforcements[[#This Row],[Type]]="","",IF(Reinforcements[[#This Row],[Type]]="plate",Reinforcements[[#This Row],[B (in)]]^3*Reinforcements[[#This Row],[H (in)]]/12,IF(Reinforcements[[#This Row],[Type]]="solid round",PI()/64*Reinforcements[[#This Row],[Diameter (in)]]^4,""))),"")</f>
        <v>7.59375</v>
      </c>
      <c r="S22" s="187">
        <f>IF(Reinforcements[[#This Row],[Reinforcement]]="","",SQRT(Reinforcements[[#This Row],[Iy]]/Reinforcements[[#This Row],[Gross Area (in2)]]))</f>
        <v>1.299038105676658</v>
      </c>
      <c r="T22" s="190">
        <v>20</v>
      </c>
      <c r="U22" s="188">
        <v>0.8</v>
      </c>
      <c r="V22" s="188">
        <v>1</v>
      </c>
      <c r="W22" s="185">
        <v>1.1875</v>
      </c>
      <c r="X22" s="188">
        <f>IF(Reinforcements[[#This Row],[Bolt Hole Size (in)]]="","",IF(Reinforcements[[#This Row],[Bolt Hole Size (in)]]="n/a","n/a",Reinforcements[[#This Row],[Bolt Hole Size (in)]]*25.4))</f>
        <v>30.162499999999998</v>
      </c>
      <c r="Y22"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22" s="185">
        <f>IFERROR(IF(Reinforcements[[#This Row],[Reinforcement]]="","",IF(OR(Reinforcements[[#This Row],[Type]]="plate",Reinforcements[[#This Row],[Type]]="solid round"),1,IF(Reinforcements[[#This Row],[Type]]="arbitrary","",1-Reinforcements[[#This Row],[Pole Face to Centroid (in)]]/Reinforcements[[#This Row],[Connection Length (in) '[Channels']]]))),"")</f>
        <v>1</v>
      </c>
      <c r="AA22" s="189" t="s">
        <v>391</v>
      </c>
      <c r="AB22" s="189" t="str">
        <f>IF(Reinforcements[[#This Row],[Reinforcement]]="","",IF(Reinforcements[[#This Row],[Bottom End Connection Type]]&lt;&gt;"Capacity Input","-",""))</f>
        <v>-</v>
      </c>
      <c r="AC22" s="189" t="str">
        <f>IF(Reinforcements[[#This Row],[Reinforcement]]="","",IF(Reinforcements[[#This Row],[Bottom End Connection Type]]&lt;&gt;"Capacity Input","-",""))</f>
        <v>-</v>
      </c>
      <c r="AD22" s="461" t="str">
        <f>IF(Reinforcements[[#This Row],[Reinforcement]]="","",IF(Reinforcements[[#This Row],[Bottom End Connection Type]]&lt;&gt;"Capacity Input","-",""))</f>
        <v>-</v>
      </c>
      <c r="AE22" s="103" t="s">
        <v>416</v>
      </c>
      <c r="AF22" s="190" t="s">
        <v>296</v>
      </c>
      <c r="AG22" s="190">
        <v>6</v>
      </c>
      <c r="AH22" s="190">
        <v>3</v>
      </c>
      <c r="AI22" s="190">
        <v>3</v>
      </c>
      <c r="AJ22" s="190">
        <f>Reinforcements[[#This Row],[End Connection Edge Distance (in) (B)]]-(Reinforcements[[#This Row],[Bolt Hole Size (in)]]+1/16)/2</f>
        <v>2.375</v>
      </c>
      <c r="AK22" s="190">
        <f>Reinforcements[[#This Row],[End Connection Bolt Spacing (in) (B)]]-(Reinforcements[[#This Row],[Bolt Hole Size (in)]]+1/16)</f>
        <v>1.75</v>
      </c>
      <c r="AL22" s="190">
        <f>Reinforcements[[#This Row],[End Connection Edge Distance (in) (B)]]</f>
        <v>3</v>
      </c>
      <c r="AM22" s="190">
        <f>Reinforcements[[#This Row],[End Connection Bolt Spacing (in) (B)]]</f>
        <v>3</v>
      </c>
      <c r="AN22" s="190" t="str">
        <f>IF(Reinforcements[[#This Row],[Reinforcement]]="","",IF(OR(Reinforcements[[#This Row],[Bottom End Connection Type]]="Bolted",Reinforcements[[#This Row],[Bottom End Connection Type]]=""),"-",""))</f>
        <v>-</v>
      </c>
      <c r="AO22" s="191" t="str">
        <f>IF(Reinforcements[[#This Row],[Reinforcement]]="","",IF(OR(Reinforcements[[#This Row],[Bottom End Connection Type]]="Bolted",Reinforcements[[#This Row],[Bottom End Connection Type]]=""),"-",""))</f>
        <v>-</v>
      </c>
      <c r="AP22" s="191" t="str">
        <f>IF(Reinforcements[[#This Row],[Reinforcement]]="","",IF(OR(Reinforcements[[#This Row],[Bottom End Connection Type]]="Bolted",Reinforcements[[#This Row],[Bottom End Connection Type]]=""),"-",""))</f>
        <v>-</v>
      </c>
      <c r="AQ22" s="191" t="str">
        <f>IF(OR(Reinforcements[[#This Row],[Bottom End Connection Type]]="Bolted",Reinforcements[[#This Row],[Bottom Transverse (Horizontal) Weld]]="none"),"-","")</f>
        <v>-</v>
      </c>
      <c r="AR2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2" s="191" t="str">
        <f>IF(OR(Reinforcements[[#This Row],[Bottom Transverse (Horizontal) Weld]]="none",Reinforcements[[#This Row],[Bottom End Connection Type]]="Bolted"),"-","")</f>
        <v>-</v>
      </c>
      <c r="AU22"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2" s="191" t="str">
        <f>IF(Reinforcements[[#This Row],[Reinforcement]]="","",IF(OR(Reinforcements[[#This Row],[Bottom End Connection Type]]="Bolted",Reinforcements[[#This Row],[Bottom End Connection Type]]=""),"-",""))</f>
        <v>-</v>
      </c>
      <c r="AW22" s="191" t="str">
        <f>IF(Reinforcements[[#This Row],[Reinforcement]]="","",IF(OR(Reinforcements[[#This Row],[Bottom End Connection Type]]&lt;&gt;"Welded",Reinforcements[[#This Row],[Bottom Longitudinal (Vertical) Weld]]="None",Reinforcements[[#This Row],[Bottom Longitudinal (Vertical) Weld]]=""),"-",""))</f>
        <v>-</v>
      </c>
      <c r="AX22" s="191" t="str">
        <f>IF(Reinforcements[[#This Row],[Reinforcement]]="","",IF(OR(Reinforcements[[#This Row],[Bottom End Connection Type]]&lt;&gt;"Welded",Reinforcements[[#This Row],[Bottom Longitudinal (Vertical) Weld]]="None",Reinforcements[[#This Row],[Bottom Longitudinal (Vertical) Weld]]=""),"-",""))</f>
        <v>-</v>
      </c>
      <c r="AY22" s="190" t="str">
        <f>IF(Reinforcements[[#This Row],[Reinforcement]]="","",IF(OR(Reinforcements[[#This Row],[Bottom End Connection Type]]&lt;&gt;"Welded",Reinforcements[[#This Row],[Bottom Longitudinal (Vertical) Weld]]="None"),"-",SQRT(2)/2*Reinforcements[[#This Row],[Bottom Longitudinal Weld Fillet Size (in)]]))</f>
        <v>-</v>
      </c>
      <c r="AZ22" s="191" t="s">
        <v>295</v>
      </c>
      <c r="BA22" s="189" t="str">
        <f>IF(Reinforcements[[#This Row],[Top End Connection Same?]]="Yes",Reinforcements[[#This Row],[Bottom End Connection Type]],"")</f>
        <v>Bolted</v>
      </c>
      <c r="BB22" s="189" t="str">
        <f>IF(Reinforcements[[#This Row],[Reinforcement]]="","",IF(Reinforcements[[#This Row],[Top End Connection Same?]]="Yes",Reinforcements[[#This Row],[Rev. F Bottom Connection Capacity (kips)]],IF(Reinforcements[[#This Row],[Reinforcement]]="","",IF(Reinforcements[[#This Row],[Top End Connection Type]]&lt;&gt;"Capacity Input","-",""))))</f>
        <v>-</v>
      </c>
      <c r="BC22" s="189" t="str">
        <f>IF(Reinforcements[[#This Row],[Reinforcement]]="","",IF(Reinforcements[[#This Row],[Top End Connection Same?]]="Yes",Reinforcements[[#This Row],[Rev. G Bottom Connection Capacity (kips)]],IF(Reinforcements[[#This Row],[Reinforcement]]="","",IF(Reinforcements[[#This Row],[Top End Connection Type]]&lt;&gt;"Capacity Input","-",""))))</f>
        <v>-</v>
      </c>
      <c r="BD22" s="461" t="str">
        <f>IF(Reinforcements[[#This Row],[Reinforcement]]="","",IF(Reinforcements[[#This Row],[Top End Connection Same?]]="Yes",Reinforcements[[#This Row],[Rev. G Bottom Connection Capacity (kips)]],IF(Reinforcements[[#This Row],[Reinforcement]]="","",IF(Reinforcements[[#This Row],[Top End Connection Type]]&lt;&gt;"Capacity Input","-",""))))</f>
        <v>-</v>
      </c>
      <c r="BE22" s="103" t="str">
        <f>IF(Reinforcements[[#This Row],[Top End Connection Same?]]="Yes",Reinforcements[[#This Row],[Bottom End Connection Bolt Type]],IF(Reinforcements[[#This Row],[Top End Connection Type]]="Welded","-",""))</f>
        <v>PC 8.8 - M20 (100)</v>
      </c>
      <c r="BF22" s="190" t="str">
        <f>IF(Reinforcements[[#This Row],[Top End Connection Same?]]="Yes",Reinforcements[[#This Row],[Threads Included (N) or Excluded (X) (Bottom)]],IF(Reinforcements[[#This Row],[Top End Connection Type]]="Welded","-",""))</f>
        <v>N</v>
      </c>
      <c r="BG22" s="190">
        <f>IF(Reinforcements[[#This Row],[Top End Connection Same?]]="Yes",Reinforcements[[#This Row],['# of End Connection Bolts          (Bottom)]],IF(Reinforcements[[#This Row],[Top End Connection Type]]="Welded","-",""))</f>
        <v>6</v>
      </c>
      <c r="BH22" s="190">
        <f>IF(Reinforcements[[#This Row],[Top End Connection Same?]]="Yes",Reinforcements[[#This Row],[End Connection Bolt Spacing (in) (B)]],IF(Reinforcements[[#This Row],[Top End Connection Type]]="Welded","-",""))</f>
        <v>3</v>
      </c>
      <c r="BI22" s="190">
        <f>IF(Reinforcements[[#This Row],[Top End Connection Same?]]="Yes",Reinforcements[[#This Row],[End Connection Edge Distance (in) (B)]],IF(Reinforcements[[#This Row],[Top End Connection Type]]="Welded","-",""))</f>
        <v>3</v>
      </c>
      <c r="BJ22" s="190">
        <f>Reinforcements[[#This Row],[End Connection Edge Distance (in) (T)]]-(Reinforcements[[#This Row],[Bolt Hole Size (in)]]+1/16)/2</f>
        <v>2.375</v>
      </c>
      <c r="BK22" s="190">
        <f>Reinforcements[[#This Row],[End Connection Bolt Spacing (in) (T)]]-(Reinforcements[[#This Row],[Bolt Hole Size (in)]]+1/16)</f>
        <v>1.75</v>
      </c>
      <c r="BL22" s="190">
        <f>Reinforcements[[#This Row],[End Connection Edge Distance (in) (T)]]</f>
        <v>3</v>
      </c>
      <c r="BM22" s="190">
        <f>Reinforcements[[#This Row],[End Connection Bolt Spacing (in) (T)]]</f>
        <v>3</v>
      </c>
      <c r="BN22" s="190" t="str">
        <f>IF(Reinforcements[[#This Row],[Reinforcement]]="","",IF(Reinforcements[[#This Row],[Top End Connection Same?]]="Yes",Reinforcements[[#This Row],[Bottom Connected to Flange/Base Plate?]],IF(Reinforcements[[#This Row],[Top End Connection Type]]="Bolted","-","")))</f>
        <v>-</v>
      </c>
      <c r="BO22" s="190" t="str">
        <f>IF(Reinforcements[[#This Row],[Reinforcement]]="","",IF(Reinforcements[[#This Row],[Top End Connection Same?]]="Yes",Reinforcements[[#This Row],[Bottom Weld Grade (ksi)]],IF(OR(Reinforcements[[#This Row],[Top End Connection Type]]&lt;&gt;"Welded",Reinforcements[[#This Row],[Top End Connection Type]]=""),"-","")))</f>
        <v>-</v>
      </c>
      <c r="BP22" s="190" t="str">
        <f>IF($AZ22="Yes",AP22,IF(Reinforcements[[#This Row],[Reinforcement]]="","",IF(OR(Reinforcements[[#This Row],[Top End Connection Type]]&lt;&gt;"Welded",Reinforcements[[#This Row],[Top End Connection Type]]=""),"-","")))</f>
        <v>-</v>
      </c>
      <c r="BQ22" s="190" t="str">
        <f>IF(Reinforcements[[#This Row],[Reinforcement]]="","",IF($AZ22="Yes",AQ22,IF(OR(Reinforcements[[#This Row],[Top End Connection Type]]&lt;&gt;"Welded",Reinforcements[[#This Row],[Top Transverse (Horizontal) Weld]]="none",Reinforcements[[#This Row],[Top Transverse (Horizontal) Weld]]=""),"-","")))</f>
        <v>-</v>
      </c>
      <c r="BR22" s="190" t="str">
        <f>IF($AZ22="Yes",AR22,IF(Reinforcements[[#This Row],[Reinforcement]]="","",IF(OR(Reinforcements[[#This Row],[Top Transverse (Horizontal) Weld]]="none",Reinforcements[[#This Row],[Top End Connection Type]]&lt;&gt;"Welded",Reinforcements[[#This Row],[Top Transverse (Horizontal) Weld]]="",Reinforcements[[#This Row],[Top Transverse (Horizontal) Weld]]="Fillet"),"-","")))</f>
        <v>-</v>
      </c>
      <c r="BS22" s="190" t="str">
        <f>IF($AZ22="Yes",AS22,IF(Reinforcements[[#This Row],[Reinforcement]]="","",IF(OR(Reinforcements[[#This Row],[Top Transverse (Horizontal) Weld]]="none",Reinforcements[[#This Row],[Top End Connection Type]]&lt;&gt;"Welded",Reinforcements[[#This Row],[Top Transverse (Horizontal) Weld]]="",Reinforcements[[#This Row],[Top Transverse (Horizontal) Weld]]="Fillet"),"-","")))</f>
        <v>-</v>
      </c>
      <c r="BT22" s="190" t="str">
        <f>IF(Reinforcements[[#This Row],[Reinforcement]]="","",IF($AZ22="Yes",AT22,IF(OR(Reinforcements[[#This Row],[Top Transverse (Horizontal) Weld]]="none",Reinforcements[[#This Row],[Top End Connection Type]]&lt;&gt;"Welded",Reinforcements[[#This Row],[Top Transverse (Horizontal) Weld]]=""),"-","")))</f>
        <v>-</v>
      </c>
      <c r="BU22" s="190" t="str">
        <f>IF($AZ22="Yes",AU22,IF(Reinforcements[[#This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2" s="190" t="str">
        <f>IF($AZ22="Yes",AV22,IF(Reinforcements[[#This Row],[Reinforcement]]="","",IF(OR(Reinforcements[[#This Row],[Top End Connection Type]]&lt;&gt;"Welded",Reinforcements[[#This Row],[Top End Connection Type]]=""),"-","")))</f>
        <v>-</v>
      </c>
      <c r="BW22" s="190" t="str">
        <f>IF($AZ22="Yes",AW22,IF(Reinforcements[[#This Row],[Reinforcement]]="","",IF(OR(Reinforcements[[#This Row],[Top End Connection Type]]&lt;&gt;"Welded",Reinforcements[[#This Row],[Top End Connection Type]]="",Reinforcements[[#This Row],[Top Longitudinal (Vertical) Weld]]="",Reinforcements[[#This Row],[Top Longitudinal (Vertical) Weld]]="None"),"-","")))</f>
        <v>-</v>
      </c>
      <c r="BX22" s="190" t="str">
        <f>IF($AZ22="Yes",AX22,IF(Reinforcements[[#This Row],[Reinforcement]]="","",IF(OR(Reinforcements[[#This Row],[Top End Connection Type]]&lt;&gt;"Welded",Reinforcements[[#This Row],[Top End Connection Type]]="",Reinforcements[[#This Row],[Top Longitudinal (Vertical) Weld]]="",Reinforcements[[#This Row],[Top Longitudinal (Vertical) Weld]]="None"),"-","")))</f>
        <v>-</v>
      </c>
      <c r="BY22" s="190" t="str">
        <f>IF($AZ22="Yes",AY22,IF(Reinforcements[[#This Row],[Reinforcement]]="","",IF(OR(Reinforcements[[#This Row],[Top End Connection Type]]&lt;&gt;"Welded",Reinforcements[[#This Row],[Top Longitudinal (Vertical) Weld]]="none"),"-",SQRT(2)/2*Reinforcements[[#This Row],[Top Longitudinal Weld Fillet Size (in)]])))</f>
        <v>-</v>
      </c>
      <c r="BZ22"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2" s="192">
        <f>IF(Reinforcements[[#This Row],[Reinforcement]]="","",IF(Reinforcements[[#This Row],[Bottom End Connection Type]]&lt;&gt;"Bolted","n/a",(Reinforcements[[#This Row],['# of End Connection Bolts          (Bottom)]]-1)*Reinforcements[[#This Row],[End Connection Bolt Spacing (in) (B)]]+Reinforcements[[#This Row],[End Connection Edge Distance (in) (B)]]))</f>
        <v>18</v>
      </c>
      <c r="CB22" s="192">
        <f>IF(Reinforcements[[#This Row],[Reinforcement]]="","",IF(Reinforcements[[#This Row],[Top End Connection Type]]&lt;&gt;"Bolted","n/a",(Reinforcements[[#This Row],['# of End Connection Bolts          (Top)]]-1)*Reinforcements[[#This Row],[End Connection Bolt Spacing (in) (T)]]+Reinforcements[[#This Row],[End Connection Edge Distance (in) (T)]]))</f>
        <v>18</v>
      </c>
      <c r="CC22"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22"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22" s="185">
        <f>IFERROR(IF(Reinforcements[[#This Row],[Type]]="","",Reinforcements[[#This Row],[Effective B (in)]]*Reinforcements[[#This Row],[Effective H (in)]]^3/12),"")</f>
        <v>0.375</v>
      </c>
      <c r="CF22" s="185">
        <f>IFERROR(IF(Reinforcements[[#This Row],[Type]]="","",Reinforcements[[#This Row],[Effective B (in)]]^3*Reinforcements[[#This Row],[Effective H (in)]]/12),"")</f>
        <v>7.59375</v>
      </c>
      <c r="CG22" s="197">
        <f>SQRT(2*PI()^2*29000/VLOOKUP(Reinforcements[[#This Row],[Material]],Materials[],2,FALSE))</f>
        <v>93.844147005158973</v>
      </c>
      <c r="CH22"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28.814097290290295</v>
      </c>
      <c r="CI22"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37.117316606332658</v>
      </c>
      <c r="CJ22" s="187">
        <f>Reinforcements[[#This Row],[Effective Length Factor Kx]]*Reinforcements[[#This Row],[Lu (in)]]/(Reinforcements[[#This Row],[rx]]*PI())*SQRT(VLOOKUP(Reinforcements[[#This Row],[Material]],Materials[],2,FALSE)/29000)</f>
        <v>0.83525370809489741</v>
      </c>
      <c r="CK22" s="187">
        <f>Reinforcements[[#This Row],[Effective Length Factor Ky]]*Reinforcements[[#This Row],[Lu (in)]]/(Reinforcements[[#This Row],[ry]]*PI())*SQRT(VLOOKUP(Reinforcements[[#This Row],[Material]],Materials[],2,FALSE)/29000)</f>
        <v>0.23201491891524928</v>
      </c>
      <c r="CL22" s="187">
        <f>IF(Reinforcements[[#This Row],[λcx]]&lt;=1.5,0.658^(Reinforcements[[#This Row],[λcx]]^2)*Reinforcements[[#This Row],[F''y]],0.877/(Reinforcements[[#This Row],[λcx]]^2)*Reinforcements[[#This Row],[F''y]])</f>
        <v>48.539900000911423</v>
      </c>
      <c r="CM22" s="187">
        <f>IF(Reinforcements[[#This Row],[λcy]]&lt;=1.5,0.658^(Reinforcements[[#This Row],[λcy]]^2)*Reinforcements[[#This Row],[F''y]],0.877/(Reinforcements[[#This Row],[λcy]]^2)*Reinforcements[[#This Row],[F''y]])</f>
        <v>63.551863369977021</v>
      </c>
      <c r="CN22" s="185">
        <f>VLOOKUP(Reinforcements[[#This Row],[Material]],Materials[],2,FALSE)</f>
        <v>65</v>
      </c>
      <c r="CO22" s="197">
        <f>IF(Reinforcements[[#This Row],[Reinforcement]]="","",Reinforcements[[#This Row],[Fax]]*Reinforcements[[#This Row],[Gross Area (in2)]])</f>
        <v>129.66343780630632</v>
      </c>
      <c r="CP22" s="197">
        <f>IF(Reinforcements[[#This Row],[Reinforcement]]="","",Reinforcements[[#This Row],[Fay]]*Reinforcements[[#This Row],[Gross Area (in2)]])</f>
        <v>167.02792472849697</v>
      </c>
      <c r="CQ22" s="197">
        <f>IF(Reinforcements[[#This Row],[Reinforcement]]="","",0.6*VLOOKUP(Reinforcements[[#This Row],[Material]],Materials[],2,FALSE)*Reinforcements[[#This Row],[Gross Area (in2)]])</f>
        <v>175.5</v>
      </c>
      <c r="CR22" s="197">
        <f>IF(Reinforcements[[#This Row],[Reinforcement]]="","",0.5*VLOOKUP(Reinforcements[[#This Row],[Material]],Materials[],3,FALSE)*Reinforcements[[#This Row],[Net Area (in2)]]*Reinforcements[[#This Row],[Shear Lag (U)]])</f>
        <v>130</v>
      </c>
      <c r="CS22" s="197">
        <f>IF(Reinforcements[[#This Row],[Reinforcement]]="","",0.4*VLOOKUP(Reinforcements[[#This Row],[Material]],Materials[],2,FALSE)*Reinforcements[[#This Row],[Gross Area (in2)]])</f>
        <v>117</v>
      </c>
      <c r="CT22"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22"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22"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22"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22"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22"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22"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657.63779527559052</v>
      </c>
      <c r="DA22"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737.00787401574803</v>
      </c>
      <c r="DB22"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657.63779527559052</v>
      </c>
      <c r="DC22"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737.00787401574803</v>
      </c>
      <c r="DD22"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2"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2" s="190" t="str">
        <f>IF($AZ22="Yes",DD22,IF(Reinforcements[[#This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2" s="190" t="str">
        <f>IF($AZ22="Yes",DE22,IF(Reinforcements[[#This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2" s="197">
        <f>IF(Reinforcements[[#This Row],[Reinforcement]]="","",φ_c*Reinforcements[[#This Row],[Fcr,x]]*Reinforcements[[#This Row],[Gross Area (in2)]])</f>
        <v>196.58659500369126</v>
      </c>
      <c r="DI22" s="197">
        <f>IF(Reinforcements[[#This Row],[Reinforcement]]="","",φ_c*Reinforcements[[#This Row],[Fcr,y]]*Reinforcements[[#This Row],[Gross Area (in2)]])</f>
        <v>257.3850466484069</v>
      </c>
      <c r="DJ22" s="197">
        <f>IF(Reinforcements[[#This Row],[Reinforcement]]="","",φ_t_y*VLOOKUP(Reinforcements[[#This Row],[Material]],Materials[],2,FALSE)*Reinforcements[[#This Row],[Gross Area (in2)]])</f>
        <v>263.25</v>
      </c>
      <c r="DK22" s="197">
        <f>IF(Reinforcements[[#This Row],[Reinforcement]]="","",φ_t_r*VLOOKUP(Reinforcements[[#This Row],[Material]],Materials[],3,FALSE)*Reinforcements[[#This Row],[Net Area (in2)]]*Reinforcements[[#This Row],[Shear Lag (U)]])</f>
        <v>195</v>
      </c>
      <c r="DL22" s="197">
        <f>IF(Reinforcements[[#This Row],[Reinforcement]]="","",φ_v*0.5*Reinforcements[[#This Row],[F''y]]*Reinforcements[[#This Row],[Gross Area (in2)]])</f>
        <v>131.625</v>
      </c>
      <c r="DM22"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22"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22"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22"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22"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22"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22"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956.97637795275591</v>
      </c>
      <c r="DT22"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1196.2204724409448</v>
      </c>
      <c r="DU22"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956.97637795275591</v>
      </c>
      <c r="DV22"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W22"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2"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2" s="190" t="str">
        <f>IF($AZ22="Yes",DW22,IF(Reinforcements[[#This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2" s="190" t="str">
        <f>IF($AZ22="Yes",DX22,IF(Reinforcements[[#This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2" s="241" t="str">
        <f>IF(OR(Reinforcements[[#This Row],[Type]]="plate",Reinforcements[[#This Row],[Type]]="solid round"),"N/A",Reinforcements[[#This Row],[B (in)]])</f>
        <v>N/A</v>
      </c>
      <c r="EB22" s="237" t="str">
        <f>IF(OR(Reinforcements[[#This Row],[Type]]="plate",Reinforcements[[#This Row],[Type]]="solid round"),"N/A",Reinforcements[[#This Row],[H (in)]])</f>
        <v>N/A</v>
      </c>
      <c r="EC22" s="237" t="str">
        <f>IF(OR(Reinforcements[[#This Row],[Type]]="plate",Reinforcements[[#This Row],[Type]]="solid round"),"N/A",Reinforcements[[#This Row],[B (in)]]-Reinforcements[[#This Row],['[Channel'] Flange Thickness (in)]])</f>
        <v>N/A</v>
      </c>
      <c r="ED22" s="237" t="str">
        <f>IF(OR(Reinforcements[[#This Row],[Type]]="plate",Reinforcements[[#This Row],[Type]]="solid round"),"N/A",Reinforcements[[#This Row],['[Channel']Web Thickness (in)]])</f>
        <v>N/A</v>
      </c>
      <c r="EE22" s="237" t="str">
        <f>IF(OR(Reinforcements[[#This Row],[Type]]="plate",Reinforcements[[#This Row],[Type]]="solid round"),"N/A",Reinforcements[[#This Row],['[Channel'] Flange Thickness (in)]])</f>
        <v>N/A</v>
      </c>
      <c r="EF22" s="237" t="str">
        <f>IF(Reinforcements[[#This Row],[Type]]="channel",Reinforcements[[#This Row],[Channel Flange Width, b]]/Reinforcements[[#This Row],[Channel flange thickness, tf]],"N/A")</f>
        <v>N/A</v>
      </c>
      <c r="EG22" s="237" t="str">
        <f>IF(Reinforcements[[#This Row],[Type]]="channel",Reinforcements[[#This Row],[Channel inside depth, T]]/Reinforcements[[#This Row],[Channel web thickness, tw]],"N/A")</f>
        <v>N/A</v>
      </c>
      <c r="EH22" s="237">
        <v>29000</v>
      </c>
      <c r="EI22" s="237" t="str">
        <f>IF(Reinforcements[[#This Row],[Type]]="channel",0.56*SQRT(Reinforcements[[#This Row],[E, (ksi)]]/Reinforcements[[#This Row],[Fy, (ksi)]]),"N/A")</f>
        <v>N/A</v>
      </c>
      <c r="EJ22" s="237" t="str">
        <f>IF(Reinforcements[[#This Row],[Type]]="channel",1.49*SQRT(Reinforcements[[#This Row],[E, (ksi)]]/Reinforcements[[#This Row],[Fy, (ksi)]]),"N/A")</f>
        <v>N/A</v>
      </c>
      <c r="EK22" s="237">
        <f>VLOOKUP(Reinforcements[[#This Row],[Material]],Materials!$B$2:$C$30,2,FALSE)</f>
        <v>65</v>
      </c>
      <c r="EL22" s="237">
        <f>Reinforcements[[#This Row],[Lu (in)]]*Reinforcements[[#This Row],[Effective Length Factor Kx]]</f>
        <v>16</v>
      </c>
      <c r="EM22" s="237">
        <f>Reinforcements[[#This Row],[Lu (in)]]*Reinforcements[[#This Row],[Effective Length Factor Ky]]</f>
        <v>20</v>
      </c>
      <c r="EN22" s="237">
        <f>Reinforcements[[#This Row],[rx]]</f>
        <v>0.28867513459481287</v>
      </c>
      <c r="EO22" s="237">
        <f>Reinforcements[[#This Row],[ry]]</f>
        <v>1.299038105676658</v>
      </c>
      <c r="EP22" s="237">
        <f>Reinforcements[[#This Row],[Lcx (in)]]/Reinforcements[[#This Row],[rx (in)]]</f>
        <v>55.425625842204077</v>
      </c>
      <c r="EQ22" s="237">
        <f>Reinforcements[[#This Row],[Lcy (in)]]/Reinforcements[[#This Row],[ry (in)]]</f>
        <v>15.39600717839002</v>
      </c>
      <c r="ER22" s="237">
        <f>((PI()^2)*Reinforcements[[#This Row],[E, (ksi)]])/(Reinforcements[[#This Row],[Lcx/rx]]^2)</f>
        <v>93.1700936300753</v>
      </c>
      <c r="ES22" s="237">
        <f>((PI()^2)*Reinforcements[[#This Row],[E, (ksi)]])/(Reinforcements[[#This Row],[Lcy/ry]]^2)</f>
        <v>1207.484413445776</v>
      </c>
      <c r="ET22" s="237">
        <f>4.71*(SQRT(Reinforcements[[#This Row],[E, (ksi)]]/Reinforcements[[#This Row],[Fy, (ksi)]]))</f>
        <v>99.486288193205496</v>
      </c>
      <c r="EU22" s="237">
        <f>IF(Reinforcements[[#This Row],[Lcx/rx]]&lt;=Reinforcements[[#This Row],[Fcr Limit]],(0.658^(Reinforcements[[#This Row],[Fy, (ksi)]]/Reinforcements[[#This Row],[Fex, FB (ksi)]]))*Reinforcements[[#This Row],[Fy, (ksi)]],0.877*Reinforcements[[#This Row],[Fex, FB (ksi)]])</f>
        <v>48.539900000911416</v>
      </c>
      <c r="EV22" s="237">
        <f>IF(Reinforcements[[#This Row],[Lcy/ry]]&lt;=Reinforcements[[#This Row],[Fcr Limit]],(0.658^(Reinforcements[[#This Row],[Fy, (ksi)]]/Reinforcements[[#This Row],[Fey, FB (ksi)]]))*Reinforcements[[#This Row],[Fy, (ksi)]],0.877*Reinforcements[[#This Row],[Fey, FB (ksi)]])</f>
        <v>63.551863369977021</v>
      </c>
      <c r="EW22" s="237">
        <f>Reinforcements[[#This Row],[Fcrx (ksi)]]*Reinforcements[[#This Row],[Gross Area (in2)]]</f>
        <v>218.42955000410137</v>
      </c>
      <c r="EX22" s="237">
        <f>Reinforcements[[#This Row],[Fcry (ksi)]]*Reinforcements[[#This Row],[Gross Area (in2)]]</f>
        <v>285.98338516489662</v>
      </c>
      <c r="EY22" s="237" t="str">
        <f>IF(Reinforcements[[#This Row],[Type]]="channel",0,"N/A")</f>
        <v>N/A</v>
      </c>
      <c r="EZ22" s="237" t="str">
        <f>IF(Reinforcements[[#This Row],[Type]]="channel",Reinforcements[[#This Row],[Channel Flange Width, b]]-(0.5*Reinforcements[[#This Row],[Channel web thickness, tw]]),"N/A")</f>
        <v>N/A</v>
      </c>
      <c r="FA22" s="237" t="str">
        <f>IF(Reinforcements[[#This Row],[Type]]="channel",Reinforcements[[#This Row],[Channel Height, h]]-Reinforcements[[#This Row],[Channel flange thickness, tf]],"N/A")</f>
        <v>N/A</v>
      </c>
      <c r="FB22" s="237" t="str">
        <f>IF(Reinforcements[[#This Row],[Type]]="channel",Reinforcements[[#This Row],[Channel web thickness, tw]],"N/A")</f>
        <v>N/A</v>
      </c>
      <c r="FC22" s="237" t="str">
        <f>IF(Reinforcements[[#This Row],[Type]]="channel",((3*Reinforcements[[#This Row],[b]]^2)/(Reinforcements[[#This Row],[h]]+(6*Reinforcements[[#This Row],[b]])))-Reinforcements[[#This Row],[t]]/2,"N/A")</f>
        <v>N/A</v>
      </c>
      <c r="FD22" s="237">
        <f>Reinforcements[[#This Row],[Pole Face to Centroid (in)]]</f>
        <v>0.5</v>
      </c>
      <c r="FE22" s="237" t="str">
        <f>IF(Reinforcements[[#This Row],[Type]]="channel",Reinforcements[[#This Row],[x(bar)]]+Reinforcements[[#This Row],['[Channel'] e0 (in)]],"N/A")</f>
        <v>N/A</v>
      </c>
      <c r="FF22" s="237" t="str">
        <f>IF(Reinforcements[[#This Row],[Type]]="channel",Reinforcements[[#This Row],[Ix]],"N/A")</f>
        <v>N/A</v>
      </c>
      <c r="FG22" s="237" t="str">
        <f>IF(Reinforcements[[#This Row],[Type]]="channel",Reinforcements[[#This Row],[Iy]],"N/A")</f>
        <v>N/A</v>
      </c>
      <c r="FH22" s="237" t="str">
        <f>IF(Reinforcements[[#This Row],[Type]]="channel",Reinforcements[[#This Row],[Gross Area (in2)]],"N/A")</f>
        <v>N/A</v>
      </c>
      <c r="FI22" s="237" t="str">
        <f>IF(Reinforcements[[#This Row],[Type]]="channel",(Reinforcements[[#This Row],[xo]]^2)+((Reinforcements[[#This Row],[Ix (FTB)]]+Reinforcements[[#This Row],[Iy (FTB)]])/Reinforcements[[#This Row],[Ag]]),"N/A")</f>
        <v>N/A</v>
      </c>
      <c r="FJ22" s="237" t="str">
        <f>IF(Reinforcements[[#This Row],[Type]]="channel",Reinforcements[[#This Row],[Lu (in)]],"N/A")</f>
        <v>N/A</v>
      </c>
      <c r="FK22" s="237" t="str">
        <f>IF(Reinforcements[[#This Row],[Type]]="channel",Reinforcements[[#This Row],[Effective Length Factor Kx]],"N/A")</f>
        <v>N/A</v>
      </c>
      <c r="FL22" s="237" t="str">
        <f>IF(Reinforcements[[#This Row],[Type]]="channel",Reinforcements[[#This Row],[Kz]]*Reinforcements[[#This Row],[Lz]],"N/A")</f>
        <v>N/A</v>
      </c>
      <c r="FM22" s="237" t="str">
        <f>IF(Reinforcements[[#This Row],[Type]]="channel",(((Reinforcements[[#This Row],[t]]^3)/3)*(Reinforcements[[#This Row],[h]]+(2*Reinforcements[[#This Row],[b]]))),"N/A")</f>
        <v>N/A</v>
      </c>
      <c r="FN22" s="237" t="str">
        <f>IF(Reinforcements[[#This Row],[Type]]="channel",(1-(((Reinforcements[[#This Row],[xo]]^2)+(Reinforcements[[#This Row],[yo]]^2))/Reinforcements[[#This Row],[ro^2(bar)]])),"N/A")</f>
        <v>N/A</v>
      </c>
      <c r="FO22" s="237">
        <v>11200</v>
      </c>
      <c r="FP22" s="237" t="str">
        <f>IF(Reinforcements[[#This Row],[Type]]="channel",(((Reinforcements[[#This Row],[h]]^2)*(Reinforcements[[#This Row],[b]]^3)*Reinforcements[[#This Row],[t]])/12)*(((2*Reinforcements[[#This Row],[h]])+(3*Reinforcements[[#This Row],[b]]))/(Reinforcements[[#This Row],[h]]+(6*Reinforcements[[#This Row],[b]]))),"N/A")</f>
        <v>N/A</v>
      </c>
      <c r="FQ22" s="237" t="str">
        <f>IF(Reinforcements[[#This Row],[Type]]="Channel",((((PI()^2)*Reinforcements[[#This Row],[E, (ksi)]]*Reinforcements[[#This Row],['[Channel'] CW (in6)]])/(Reinforcements[[#This Row],[Lcz]]^2))+(Reinforcements[[#This Row],[G]]*Reinforcements[[#This Row],['[Channel'] J (in4)]]))*(1/(Reinforcements[[#This Row],[Ag]]*Reinforcements[[#This Row],[ro^2(bar)]])),"N/A")</f>
        <v>N/A</v>
      </c>
      <c r="FR22" s="237" t="str">
        <f>IF(Reinforcements[[#This Row],[Type]]="channel",((PI()^2)*Reinforcements[[#This Row],[E, (ksi)]])/(Reinforcements[[#This Row],[Lcy/ry]]^2),"N/A")</f>
        <v>N/A</v>
      </c>
      <c r="FS22" s="237" t="str">
        <f>IF(Reinforcements[[#This Row],[Type]]="channel",((Reinforcements[[#This Row],[Fey]]+Reinforcements[[#This Row],[Fez]])/(2*Reinforcements[[#This Row],[H2]]))*(1-SQRT(1-((4*Reinforcements[[#This Row],[Fey]]*Reinforcements[[#This Row],[Fez]]*Reinforcements[[#This Row],[H2]])/(Reinforcements[[#This Row],[Fey]]+Reinforcements[[#This Row],[Fez]])^2))),"N/A")</f>
        <v>N/A</v>
      </c>
      <c r="FT22" s="237" t="str">
        <f>IF(Reinforcements[[#This Row],[Type]]="channel",IF(Reinforcements[[#This Row],[Lcx/rx]]&gt;(4.71*SQRT(Reinforcements[[#This Row],[E, (ksi)]]/Reinforcements[[#This Row],[Fy, (ksi)]])),0.877*Reinforcements[[#This Row],[Fe (FTB)]],0.658^(Reinforcements[[#This Row],[Fy, (ksi)]]/Reinforcements[[#This Row],[Fe (FTB)]])*Reinforcements[[#This Row],[Fy, (ksi)]]),"N/A")</f>
        <v>N/A</v>
      </c>
      <c r="FU22" s="237" t="str">
        <f>IF(Reinforcements[[#This Row],[Type]]="channel",MIN(Reinforcements[[#This Row],[Fcr(FTB)]],Reinforcements[[#This Row],[Fcry (ksi)]]),"N/A")</f>
        <v>N/A</v>
      </c>
      <c r="FV22" s="237">
        <v>0.22</v>
      </c>
      <c r="FW22" s="237">
        <v>1.49</v>
      </c>
      <c r="FX22" s="237" t="str">
        <f>IF(Reinforcements[[#This Row],[Type]]="channel",((Reinforcements[[#This Row],[c2]]*(Reinforcements[[#This Row],[λrf]]/Reinforcements[[#This Row],[λf]]))^2)*Reinforcements[[#This Row],[Fy, (ksi)]],"N/A")</f>
        <v>N/A</v>
      </c>
      <c r="FY22" s="237" t="str">
        <f>IF(Reinforcements[[#This Row],[Type]]="channel",((Reinforcements[[#This Row],[c2]]*(Reinforcements[[#This Row],[λrw]]/Reinforcements[[#This Row],[λw]]))^2)*Reinforcements[[#This Row],[Fy, (ksi)]],"N/A")</f>
        <v>N/A</v>
      </c>
      <c r="FZ22"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2"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2"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2" s="237" t="str">
        <f>IF(Reinforcements[[#This Row],[Type]]="channel",Reinforcements[[#This Row],[Fcr]]*Reinforcements[[#This Row],[Ae]],"N/A")</f>
        <v>N/A</v>
      </c>
      <c r="GD22" s="466">
        <f>IF(Reinforcements[[#This Row],[Reinforcement]]="","",φ_c*Reinforcements[[#This Row],[Pnx, FB (kip)]])</f>
        <v>196.58659500369123</v>
      </c>
      <c r="GE22" s="466">
        <f>IF(Reinforcements[[#This Row],[Reinforcement]]="","",IF(Reinforcements[[#This Row],[Type]]="channel",φ_c*Reinforcements[[#This Row],[Pn]],φ_c*Reinforcements[[#This Row],[Pny, FB (kip)]]))</f>
        <v>257.38504664840696</v>
      </c>
      <c r="GF22" s="466">
        <f>Reinforcements[[#This Row],[Rev. G Tension Yield Capacity (kips)]]</f>
        <v>263.25</v>
      </c>
      <c r="GG22" s="466">
        <f>Reinforcements[[#This Row],[Rev. G Tension Rupture Capacity (kips)]]</f>
        <v>195</v>
      </c>
      <c r="GH22" s="466">
        <f>Reinforcements[[#This Row],[Rev. G Shear Capacity (kips)]]</f>
        <v>131.625</v>
      </c>
      <c r="GI22" s="466">
        <f>IFERROR((Reinforcements[[#This Row],['# of End Connection Bolts          (Bottom)]]-1)*Reinforcements[[#This Row],[End Connection Bolt Spacing (in) (B)]],"-")</f>
        <v>15</v>
      </c>
      <c r="GJ22" s="466">
        <f>IFERROR(IF(VLOOKUP(Reinforcements[[#This Row],[Bottom End Connection Bolt Type]],Bolts[],COLUMN(Bolts[[#Headers],[Rev. H Apply Connection Length Reduction Factor (Rb)?]])-1,FALSE)="Yes",(IF(Reinforcements[[#This Row],[Lb(bottom)]]&lt;=16,1,IF(Reinforcements[[#This Row],[Lb(bottom)]]&gt;38,0.75,0.9))),1),"-")</f>
        <v>1</v>
      </c>
      <c r="GK22"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22" s="466">
        <f>IFERROR(IF(Reinforcements[[#This Row],[Top End Connection Same?]]="Yes",Reinforcements[[#This Row],[Lb(bottom)]],(Reinforcements[[#This Row],['# of End Connection Bolts          (Top)]]-1)*Reinforcements[[#This Row],[End Connection Bolt Spacing (in) (T)]]),"-")</f>
        <v>15</v>
      </c>
      <c r="GM22" s="466">
        <f>IFERROR(IF(VLOOKUP(Reinforcements[[#This Row],[Top End Connection Bolt Type]],Bolts[],COLUMN(Bolts[[#Headers],[Rev. H Apply Connection Length Reduction Factor (Rb)?]])-1,FALSE)="Yes",(IF(Reinforcements[[#This Row],[Lb(top)]]&lt;=16,1,IF(Reinforcements[[#This Row],[Lb(top)]]&gt;38,0.75,0.9))),1),"-")</f>
        <v>1</v>
      </c>
      <c r="GN22"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22" s="466">
        <f>Reinforcements[[#This Row],[Rev. G Bolt-Shaft Bearing Capacity (Bottom)                No Deformation          (*t*Fu kips)]]</f>
        <v>11.96220472440945</v>
      </c>
      <c r="GP22" s="466">
        <f>Reinforcements[[#This Row],[Rev. G Bolt-Shaft Bearing Capacity (Bottom)                   Deformation          (*t*Fu kips)]]</f>
        <v>14.952755905511811</v>
      </c>
      <c r="GQ22" s="466">
        <f>Reinforcements[[#This Row],[Rev. G Bolt-Shaft Bearing Capacity (Top)                    No Deformation          (*t*Fu kips)]]</f>
        <v>11.96220472440945</v>
      </c>
      <c r="GR22" s="466">
        <f>Reinforcements[[#This Row],[Rev. G Bolt-Shaft Bearing Capacity (Top)                        Deformation          (*t*Fu kips)]]</f>
        <v>14.952755905511811</v>
      </c>
      <c r="GS22" s="466">
        <f>Reinforcements[[#This Row],[Rev. G Bolt-Reinf. Bearing Capacity (Bottom)            No Deformation (kips)]]</f>
        <v>956.97637795275591</v>
      </c>
      <c r="GT22" s="466">
        <f>Reinforcements[[#This Row],[Rev. G Bolt-Reinf. Bearing Capacity (Bottom)               Deformation (kips)]]</f>
        <v>1196.2204724409448</v>
      </c>
      <c r="GU22" s="466">
        <f>Reinforcements[[#This Row],[Rev. G Bolt-Reinf. Bearing Capacity (Top)                  No Deformation (kips)]]</f>
        <v>956.97637795275591</v>
      </c>
      <c r="GV22" s="466">
        <f>Reinforcements[[#This Row],[Rev. G Bolt-Reinf. Bearing Capacity (Top)               Deformation (kips)]]</f>
        <v>1196.2204724409448</v>
      </c>
      <c r="GW22" s="466" t="str">
        <f>Reinforcements[[#This Row],[Rev. G Bottom Transverse Weld Strength]]</f>
        <v>-</v>
      </c>
      <c r="GX22" s="466" t="str">
        <f>Reinforcements[[#This Row],[Rev. G Bottom Longitudinal Weld Strength]]</f>
        <v>-</v>
      </c>
      <c r="GY22" s="466" t="str">
        <f>Reinforcements[[#This Row],[Rev. G Top Transverse Weld Strength]]</f>
        <v>-</v>
      </c>
      <c r="GZ22" s="466" t="str">
        <f>Reinforcements[[#This Row],[Rev. G Top Longitudinal Weld Strength]]</f>
        <v>-</v>
      </c>
      <c r="HA22" s="552">
        <v>20</v>
      </c>
      <c r="HB22"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3" spans="2:217" s="65" customFormat="1" x14ac:dyDescent="0.2">
      <c r="B23" s="72" t="s">
        <v>865</v>
      </c>
      <c r="C23" s="72" t="s">
        <v>146</v>
      </c>
      <c r="D23" s="185">
        <v>5</v>
      </c>
      <c r="E23" s="185">
        <v>1.25</v>
      </c>
      <c r="F23" s="185" t="str">
        <f>IF(Reinforcements[[#This Row],[Type]]="","",IF(Reinforcements[[#This Row],[Type]]="solid round","","n/a"))</f>
        <v>n/a</v>
      </c>
      <c r="G23" s="185" t="str">
        <f>IF(Reinforcements[[#This Row],[Type]]="","",IF(Reinforcements[[#This Row],[Type]]&lt;&gt;"channel","n/a",""))</f>
        <v>n/a</v>
      </c>
      <c r="H23" s="185" t="str">
        <f>IF(Reinforcements[[#This Row],[Type]]="","",IF(Reinforcements[[#This Row],[Type]]&lt;&gt;"channel","n/a",""))</f>
        <v>n/a</v>
      </c>
      <c r="I23" s="197" t="str">
        <f>IF(Reinforcements[[#This Row],[Type]]="","",IF(Reinforcements[[#This Row],[Type]]&lt;&gt;"channel","n/a",Reinforcements[[#This Row],[eo]]))</f>
        <v>n/a</v>
      </c>
      <c r="J23" s="197" t="str">
        <f>IF(Reinforcements[[#This Row],[Type]]="","",IF(Reinforcements[[#This Row],[Type]]&lt;&gt;"channel","n/a",Reinforcements[[#This Row],[J]]))</f>
        <v>n/a</v>
      </c>
      <c r="K23" s="197" t="str">
        <f>IF(Reinforcements[[#This Row],[Type]]="","",IF(Reinforcements[[#This Row],[Type]]&lt;&gt;"channel","n/a",Reinforcements[[#This Row],[Cw]]))</f>
        <v>n/a</v>
      </c>
      <c r="L23" s="185">
        <f>IFERROR(IF(Reinforcements[[#This Row],[Type]]="","",IF(Reinforcements[[#This Row],[Type]]="plate",Reinforcements[[#This Row],[B (in)]]*Reinforcements[[#This Row],[H (in)]],IF(Reinforcements[[#This Row],[Type]]="solid round",PI()/4*Reinforcements[[#This Row],[Diameter (in)]]^2,""))),"")</f>
        <v>6.25</v>
      </c>
      <c r="M23" s="185">
        <f>IFERROR(IF(Reinforcements[[#This Row],[Type]]="","",IF(Reinforcements[[#This Row],[Type]]="plate",Reinforcements[[#This Row],[H (in)]]/2,"")),"")</f>
        <v>0.625</v>
      </c>
      <c r="N23" s="199" t="s">
        <v>297</v>
      </c>
      <c r="O23" s="192" t="s">
        <v>60</v>
      </c>
      <c r="P23" s="187">
        <f>IFERROR(IF(Reinforcements[[#This Row],[Type]]="","",IF(Reinforcements[[#This Row],[Type]]="plate",Reinforcements[[#This Row],[B (in)]]*Reinforcements[[#This Row],[H (in)]]^3/12,IF(Reinforcements[[#This Row],[Type]]="solid round",PI()/64*Reinforcements[[#This Row],[Diameter (in)]]^4,""))),"")</f>
        <v>0.81380208333333337</v>
      </c>
      <c r="Q23" s="187">
        <f>IF(Reinforcements[[#This Row],[Reinforcement]]="","",SQRT(Reinforcements[[#This Row],[Ix]]/Reinforcements[[#This Row],[Gross Area (in2)]]))</f>
        <v>0.36084391824351614</v>
      </c>
      <c r="R23" s="187">
        <f>IFERROR(IF(Reinforcements[[#This Row],[Type]]="","",IF(Reinforcements[[#This Row],[Type]]="plate",Reinforcements[[#This Row],[B (in)]]^3*Reinforcements[[#This Row],[H (in)]]/12,IF(Reinforcements[[#This Row],[Type]]="solid round",PI()/64*Reinforcements[[#This Row],[Diameter (in)]]^4,""))),"")</f>
        <v>13.020833333333334</v>
      </c>
      <c r="S23" s="187">
        <f>IF(Reinforcements[[#This Row],[Reinforcement]]="","",SQRT(Reinforcements[[#This Row],[Iy]]/Reinforcements[[#This Row],[Gross Area (in2)]]))</f>
        <v>1.4433756729740645</v>
      </c>
      <c r="T23" s="190">
        <v>23</v>
      </c>
      <c r="U23" s="188">
        <v>0.8</v>
      </c>
      <c r="V23" s="188">
        <v>1</v>
      </c>
      <c r="W23" s="185">
        <v>1.1875</v>
      </c>
      <c r="X23" s="188">
        <f>IF(Reinforcements[[#This Row],[Bolt Hole Size (in)]]="","",IF(Reinforcements[[#This Row],[Bolt Hole Size (in)]]="n/a","n/a",Reinforcements[[#This Row],[Bolt Hole Size (in)]]*25.4))</f>
        <v>30.162499999999998</v>
      </c>
      <c r="Y23"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23" s="185">
        <f>IFERROR(IF(Reinforcements[[#This Row],[Reinforcement]]="","",IF(OR(Reinforcements[[#This Row],[Type]]="plate",Reinforcements[[#This Row],[Type]]="solid round"),1,IF(Reinforcements[[#This Row],[Type]]="arbitrary","",1-Reinforcements[[#This Row],[Pole Face to Centroid (in)]]/Reinforcements[[#This Row],[Connection Length (in) '[Channels']]]))),"")</f>
        <v>1</v>
      </c>
      <c r="AA23" s="527" t="s">
        <v>391</v>
      </c>
      <c r="AB23" s="189" t="str">
        <f>IF(Reinforcements[[#This Row],[Reinforcement]]="","",IF(Reinforcements[[#This Row],[Bottom End Connection Type]]&lt;&gt;"Capacity Input","-",""))</f>
        <v>-</v>
      </c>
      <c r="AC23" s="189" t="str">
        <f>IF(Reinforcements[[#This Row],[Reinforcement]]="","",IF(Reinforcements[[#This Row],[Bottom End Connection Type]]&lt;&gt;"Capacity Input","-",""))</f>
        <v>-</v>
      </c>
      <c r="AD23" s="461" t="str">
        <f>IF(Reinforcements[[#This Row],[Reinforcement]]="","",IF(Reinforcements[[#This Row],[Bottom End Connection Type]]&lt;&gt;"Capacity Input","-",""))</f>
        <v>-</v>
      </c>
      <c r="AE23" s="103" t="s">
        <v>416</v>
      </c>
      <c r="AF23" s="190" t="s">
        <v>296</v>
      </c>
      <c r="AG23" s="190">
        <v>8</v>
      </c>
      <c r="AH23" s="190">
        <v>3</v>
      </c>
      <c r="AI23" s="190">
        <v>3</v>
      </c>
      <c r="AJ23" s="190">
        <f>Reinforcements[[#This Row],[End Connection Edge Distance (in) (B)]]-(Reinforcements[[#This Row],[Bolt Hole Size (in)]]+1/16)/2</f>
        <v>2.375</v>
      </c>
      <c r="AK23" s="190">
        <f>Reinforcements[[#This Row],[End Connection Bolt Spacing (in) (B)]]-(Reinforcements[[#This Row],[Bolt Hole Size (in)]]+1/16)</f>
        <v>1.75</v>
      </c>
      <c r="AL23" s="190">
        <f>Reinforcements[[#This Row],[End Connection Edge Distance (in) (B)]]</f>
        <v>3</v>
      </c>
      <c r="AM23" s="190">
        <f>Reinforcements[[#This Row],[End Connection Bolt Spacing (in) (B)]]</f>
        <v>3</v>
      </c>
      <c r="AN23" s="190" t="str">
        <f>IF(Reinforcements[[#This Row],[Reinforcement]]="","",IF(OR(Reinforcements[[#This Row],[Bottom End Connection Type]]="Bolted",Reinforcements[[#This Row],[Bottom End Connection Type]]=""),"-",""))</f>
        <v>-</v>
      </c>
      <c r="AO23" s="191" t="str">
        <f>IF(Reinforcements[[#This Row],[Reinforcement]]="","",IF(OR(Reinforcements[[#This Row],[Bottom End Connection Type]]="Bolted",Reinforcements[[#This Row],[Bottom End Connection Type]]=""),"-",""))</f>
        <v>-</v>
      </c>
      <c r="AP23" s="191" t="str">
        <f>IF(Reinforcements[[#This Row],[Reinforcement]]="","",IF(OR(Reinforcements[[#This Row],[Bottom End Connection Type]]="Bolted",Reinforcements[[#This Row],[Bottom End Connection Type]]=""),"-",""))</f>
        <v>-</v>
      </c>
      <c r="AQ23" s="191" t="str">
        <f>IF(OR(Reinforcements[[#This Row],[Bottom End Connection Type]]="Bolted",Reinforcements[[#This Row],[Bottom Transverse (Horizontal) Weld]]="none"),"-","")</f>
        <v>-</v>
      </c>
      <c r="AR2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3" s="191" t="str">
        <f>IF(OR(Reinforcements[[#This Row],[Bottom Transverse (Horizontal) Weld]]="none",Reinforcements[[#This Row],[Bottom End Connection Type]]="Bolted"),"-","")</f>
        <v>-</v>
      </c>
      <c r="AU23"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3" s="191" t="str">
        <f>IF(Reinforcements[[#This Row],[Reinforcement]]="","",IF(OR(Reinforcements[[#This Row],[Bottom End Connection Type]]="Bolted",Reinforcements[[#This Row],[Bottom End Connection Type]]=""),"-",""))</f>
        <v>-</v>
      </c>
      <c r="AW23" s="191" t="str">
        <f>IF(Reinforcements[[#This Row],[Reinforcement]]="","",IF(OR(Reinforcements[[#This Row],[Bottom End Connection Type]]&lt;&gt;"Welded",Reinforcements[[#This Row],[Bottom Longitudinal (Vertical) Weld]]="None",Reinforcements[[#This Row],[Bottom Longitudinal (Vertical) Weld]]=""),"-",""))</f>
        <v>-</v>
      </c>
      <c r="AX23" s="191" t="str">
        <f>IF(Reinforcements[[#This Row],[Reinforcement]]="","",IF(OR(Reinforcements[[#This Row],[Bottom End Connection Type]]&lt;&gt;"Welded",Reinforcements[[#This Row],[Bottom Longitudinal (Vertical) Weld]]="None",Reinforcements[[#This Row],[Bottom Longitudinal (Vertical) Weld]]=""),"-",""))</f>
        <v>-</v>
      </c>
      <c r="AY23" s="190" t="str">
        <f>IF(Reinforcements[[#This Row],[Reinforcement]]="","",IF(OR(Reinforcements[[#This Row],[Bottom End Connection Type]]&lt;&gt;"Welded",Reinforcements[[#This Row],[Bottom Longitudinal (Vertical) Weld]]="None"),"-",SQRT(2)/2*Reinforcements[[#This Row],[Bottom Longitudinal Weld Fillet Size (in)]]))</f>
        <v>-</v>
      </c>
      <c r="AZ23" s="190" t="s">
        <v>295</v>
      </c>
      <c r="BA23" s="189" t="str">
        <f>IF(Reinforcements[[#This Row],[Top End Connection Same?]]="Yes",Reinforcements[[#This Row],[Bottom End Connection Type]],"")</f>
        <v>Bolted</v>
      </c>
      <c r="BB23" s="189" t="str">
        <f>IF(Reinforcements[[#This Row],[Reinforcement]]="","",IF(Reinforcements[[#This Row],[Top End Connection Same?]]="Yes",Reinforcements[[#This Row],[Rev. F Bottom Connection Capacity (kips)]],IF(Reinforcements[[#This Row],[Reinforcement]]="","",IF(Reinforcements[[#This Row],[Top End Connection Type]]&lt;&gt;"Capacity Input","-",""))))</f>
        <v>-</v>
      </c>
      <c r="BC23" s="189" t="str">
        <f>IF(Reinforcements[[#This Row],[Reinforcement]]="","",IF(Reinforcements[[#This Row],[Top End Connection Same?]]="Yes",Reinforcements[[#This Row],[Rev. G Bottom Connection Capacity (kips)]],IF(Reinforcements[[#This Row],[Reinforcement]]="","",IF(Reinforcements[[#This Row],[Top End Connection Type]]&lt;&gt;"Capacity Input","-",""))))</f>
        <v>-</v>
      </c>
      <c r="BD23" s="461" t="str">
        <f>IF(Reinforcements[[#This Row],[Reinforcement]]="","",IF(Reinforcements[[#This Row],[Top End Connection Same?]]="Yes",Reinforcements[[#This Row],[Rev. G Bottom Connection Capacity (kips)]],IF(Reinforcements[[#This Row],[Reinforcement]]="","",IF(Reinforcements[[#This Row],[Top End Connection Type]]&lt;&gt;"Capacity Input","-",""))))</f>
        <v>-</v>
      </c>
      <c r="BE23" s="103" t="str">
        <f>IF(Reinforcements[[#This Row],[Top End Connection Same?]]="Yes",Reinforcements[[#This Row],[Bottom End Connection Bolt Type]],IF(Reinforcements[[#This Row],[Top End Connection Type]]="Welded","-",""))</f>
        <v>PC 8.8 - M20 (100)</v>
      </c>
      <c r="BF23" s="190" t="str">
        <f>IF(Reinforcements[[#This Row],[Top End Connection Same?]]="Yes",Reinforcements[[#This Row],[Threads Included (N) or Excluded (X) (Bottom)]],IF(Reinforcements[[#This Row],[Top End Connection Type]]="Welded","-",""))</f>
        <v>N</v>
      </c>
      <c r="BG23" s="190">
        <f>IF(Reinforcements[[#This Row],[Top End Connection Same?]]="Yes",Reinforcements[[#This Row],['# of End Connection Bolts          (Bottom)]],IF(Reinforcements[[#This Row],[Top End Connection Type]]="Welded","-",""))</f>
        <v>8</v>
      </c>
      <c r="BH23" s="190">
        <f>IF(Reinforcements[[#This Row],[Top End Connection Same?]]="Yes",Reinforcements[[#This Row],[End Connection Bolt Spacing (in) (B)]],IF(Reinforcements[[#This Row],[Top End Connection Type]]="Welded","-",""))</f>
        <v>3</v>
      </c>
      <c r="BI23" s="190">
        <f>IF(Reinforcements[[#This Row],[Top End Connection Same?]]="Yes",Reinforcements[[#This Row],[End Connection Edge Distance (in) (B)]],IF(Reinforcements[[#This Row],[Top End Connection Type]]="Welded","-",""))</f>
        <v>3</v>
      </c>
      <c r="BJ23" s="190">
        <f>Reinforcements[[#This Row],[End Connection Edge Distance (in) (T)]]-(Reinforcements[[#This Row],[Bolt Hole Size (in)]]+1/16)/2</f>
        <v>2.375</v>
      </c>
      <c r="BK23" s="190">
        <f>Reinforcements[[#This Row],[End Connection Bolt Spacing (in) (T)]]-(Reinforcements[[#This Row],[Bolt Hole Size (in)]]+1/16)</f>
        <v>1.75</v>
      </c>
      <c r="BL23" s="190">
        <f>Reinforcements[[#This Row],[End Connection Edge Distance (in) (T)]]</f>
        <v>3</v>
      </c>
      <c r="BM23" s="190">
        <f>Reinforcements[[#This Row],[End Connection Bolt Spacing (in) (T)]]</f>
        <v>3</v>
      </c>
      <c r="BN23" s="190" t="str">
        <f>IF(Reinforcements[[#This Row],[Reinforcement]]="","",IF(Reinforcements[[#This Row],[Top End Connection Same?]]="Yes",Reinforcements[[#This Row],[Bottom Connected to Flange/Base Plate?]],IF(Reinforcements[[#This Row],[Top End Connection Type]]="Bolted","-","")))</f>
        <v>-</v>
      </c>
      <c r="BO23" s="190" t="str">
        <f>IF(Reinforcements[[#This Row],[Reinforcement]]="","",IF(Reinforcements[[#This Row],[Top End Connection Same?]]="Yes",Reinforcements[[#This Row],[Bottom Weld Grade (ksi)]],IF(OR(Reinforcements[[#This Row],[Top End Connection Type]]&lt;&gt;"Welded",Reinforcements[[#This Row],[Top End Connection Type]]=""),"-","")))</f>
        <v>-</v>
      </c>
      <c r="BP23" s="190" t="str">
        <f>IF($AZ23="Yes",AP23,IF(Reinforcements[[#This Row],[Reinforcement]]="","",IF(OR(Reinforcements[[#This Row],[Top End Connection Type]]&lt;&gt;"Welded",Reinforcements[[#This Row],[Top End Connection Type]]=""),"-","")))</f>
        <v>-</v>
      </c>
      <c r="BQ23" s="190" t="str">
        <f>IF(Reinforcements[[#This Row],[Reinforcement]]="","",IF($AZ23="Yes",AQ23,IF(OR(Reinforcements[[#This Row],[Top End Connection Type]]&lt;&gt;"Welded",Reinforcements[[#This Row],[Top Transverse (Horizontal) Weld]]="none",Reinforcements[[#This Row],[Top Transverse (Horizontal) Weld]]=""),"-","")))</f>
        <v>-</v>
      </c>
      <c r="BR23" s="190" t="str">
        <f>IF($AZ23="Yes",AR23,IF(Reinforcements[[#This Row],[Reinforcement]]="","",IF(OR(Reinforcements[[#This Row],[Top Transverse (Horizontal) Weld]]="none",Reinforcements[[#This Row],[Top End Connection Type]]&lt;&gt;"Welded",Reinforcements[[#This Row],[Top Transverse (Horizontal) Weld]]="",Reinforcements[[#This Row],[Top Transverse (Horizontal) Weld]]="Fillet"),"-","")))</f>
        <v>-</v>
      </c>
      <c r="BS23" s="190" t="str">
        <f>IF($AZ23="Yes",AS23,IF(Reinforcements[[#This Row],[Reinforcement]]="","",IF(OR(Reinforcements[[#This Row],[Top Transverse (Horizontal) Weld]]="none",Reinforcements[[#This Row],[Top End Connection Type]]&lt;&gt;"Welded",Reinforcements[[#This Row],[Top Transverse (Horizontal) Weld]]="",Reinforcements[[#This Row],[Top Transverse (Horizontal) Weld]]="Fillet"),"-","")))</f>
        <v>-</v>
      </c>
      <c r="BT23" s="190" t="str">
        <f>IF(Reinforcements[[#This Row],[Reinforcement]]="","",IF($AZ23="Yes",AT23,IF(OR(Reinforcements[[#This Row],[Top Transverse (Horizontal) Weld]]="none",Reinforcements[[#This Row],[Top End Connection Type]]&lt;&gt;"Welded",Reinforcements[[#This Row],[Top Transverse (Horizontal) Weld]]=""),"-","")))</f>
        <v>-</v>
      </c>
      <c r="BU23" s="190" t="str">
        <f>IF($AZ23="Yes",AU23,IF(Reinforcements[[#This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3" s="190" t="str">
        <f>IF($AZ23="Yes",AV23,IF(Reinforcements[[#This Row],[Reinforcement]]="","",IF(OR(Reinforcements[[#This Row],[Top End Connection Type]]&lt;&gt;"Welded",Reinforcements[[#This Row],[Top End Connection Type]]=""),"-","")))</f>
        <v>-</v>
      </c>
      <c r="BW23" s="190" t="str">
        <f>IF($AZ23="Yes",AW23,IF(Reinforcements[[#This Row],[Reinforcement]]="","",IF(OR(Reinforcements[[#This Row],[Top End Connection Type]]&lt;&gt;"Welded",Reinforcements[[#This Row],[Top End Connection Type]]="",Reinforcements[[#This Row],[Top Longitudinal (Vertical) Weld]]="",Reinforcements[[#This Row],[Top Longitudinal (Vertical) Weld]]="None"),"-","")))</f>
        <v>-</v>
      </c>
      <c r="BX23" s="190" t="str">
        <f>IF($AZ23="Yes",AX23,IF(Reinforcements[[#This Row],[Reinforcement]]="","",IF(OR(Reinforcements[[#This Row],[Top End Connection Type]]&lt;&gt;"Welded",Reinforcements[[#This Row],[Top End Connection Type]]="",Reinforcements[[#This Row],[Top Longitudinal (Vertical) Weld]]="",Reinforcements[[#This Row],[Top Longitudinal (Vertical) Weld]]="None"),"-","")))</f>
        <v>-</v>
      </c>
      <c r="BY23" s="190" t="str">
        <f>IF($AZ23="Yes",AY23,IF(Reinforcements[[#This Row],[Reinforcement]]="","",IF(OR(Reinforcements[[#This Row],[Top End Connection Type]]&lt;&gt;"Welded",Reinforcements[[#This Row],[Top Longitudinal (Vertical) Weld]]="none"),"-",SQRT(2)/2*Reinforcements[[#This Row],[Top Longitudinal Weld Fillet Size (in)]])))</f>
        <v>-</v>
      </c>
      <c r="BZ23"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3" s="192">
        <f>IF(Reinforcements[[#This Row],[Reinforcement]]="","",IF(Reinforcements[[#This Row],[Bottom End Connection Type]]&lt;&gt;"Bolted","n/a",(Reinforcements[[#This Row],['# of End Connection Bolts          (Bottom)]]-1)*Reinforcements[[#This Row],[End Connection Bolt Spacing (in) (B)]]+Reinforcements[[#This Row],[End Connection Edge Distance (in) (B)]]))</f>
        <v>24</v>
      </c>
      <c r="CB23" s="192">
        <f>IF(Reinforcements[[#This Row],[Reinforcement]]="","",IF(Reinforcements[[#This Row],[Top End Connection Type]]&lt;&gt;"Bolted","n/a",(Reinforcements[[#This Row],['# of End Connection Bolts          (Top)]]-1)*Reinforcements[[#This Row],[End Connection Bolt Spacing (in) (T)]]+Reinforcements[[#This Row],[End Connection Edge Distance (in) (T)]]))</f>
        <v>24</v>
      </c>
      <c r="CC23"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23"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3" s="185">
        <f>IFERROR(IF(Reinforcements[[#This Row],[Type]]="","",Reinforcements[[#This Row],[Effective B (in)]]*Reinforcements[[#This Row],[Effective H (in)]]^3/12),"")</f>
        <v>0.81380208333333337</v>
      </c>
      <c r="CF23" s="185">
        <f>IFERROR(IF(Reinforcements[[#This Row],[Type]]="","",Reinforcements[[#This Row],[Effective B (in)]]^3*Reinforcements[[#This Row],[Effective H (in)]]/12),"")</f>
        <v>13.020833333333334</v>
      </c>
      <c r="CG23" s="197">
        <f>SQRT(2*PI()^2*29000/VLOOKUP(Reinforcements[[#This Row],[Material]],Materials[],2,FALSE))</f>
        <v>93.844147005158973</v>
      </c>
      <c r="CH23"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29.942327757095867</v>
      </c>
      <c r="CI23"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37.036378660354636</v>
      </c>
      <c r="CJ23" s="187">
        <f>Reinforcements[[#This Row],[Effective Length Factor Kx]]*Reinforcements[[#This Row],[Lu (in)]]/(Reinforcements[[#This Row],[rx]]*PI())*SQRT(VLOOKUP(Reinforcements[[#This Row],[Material]],Materials[],2,FALSE)/29000)</f>
        <v>0.76843341144730548</v>
      </c>
      <c r="CK23" s="187">
        <f>Reinforcements[[#This Row],[Effective Length Factor Ky]]*Reinforcements[[#This Row],[Lu (in)]]/(Reinforcements[[#This Row],[ry]]*PI())*SQRT(VLOOKUP(Reinforcements[[#This Row],[Material]],Materials[],2,FALSE)/29000)</f>
        <v>0.24013544107728296</v>
      </c>
      <c r="CL23" s="187">
        <f>IF(Reinforcements[[#This Row],[λcx]]&lt;=1.5,0.658^(Reinforcements[[#This Row],[λcx]]^2)*Reinforcements[[#This Row],[F''y]],0.877/(Reinforcements[[#This Row],[λcx]]^2)*Reinforcements[[#This Row],[F''y]])</f>
        <v>50.766541905358231</v>
      </c>
      <c r="CM23" s="187">
        <f>IF(Reinforcements[[#This Row],[λcy]]&lt;=1.5,0.658^(Reinforcements[[#This Row],[λcy]]^2)*Reinforcements[[#This Row],[F''y]],0.877/(Reinforcements[[#This Row],[λcy]]^2)*Reinforcements[[#This Row],[F''y]])</f>
        <v>63.449959224213764</v>
      </c>
      <c r="CN23" s="185">
        <f>VLOOKUP(Reinforcements[[#This Row],[Material]],Materials[],2,FALSE)</f>
        <v>65</v>
      </c>
      <c r="CO23" s="197">
        <f>IF(Reinforcements[[#This Row],[Reinforcement]]="","",Reinforcements[[#This Row],[Fax]]*Reinforcements[[#This Row],[Gross Area (in2)]])</f>
        <v>187.13954848184918</v>
      </c>
      <c r="CP23" s="197">
        <f>IF(Reinforcements[[#This Row],[Reinforcement]]="","",Reinforcements[[#This Row],[Fay]]*Reinforcements[[#This Row],[Gross Area (in2)]])</f>
        <v>231.47736662721647</v>
      </c>
      <c r="CQ23" s="197">
        <f>IF(Reinforcements[[#This Row],[Reinforcement]]="","",0.6*VLOOKUP(Reinforcements[[#This Row],[Material]],Materials[],2,FALSE)*Reinforcements[[#This Row],[Gross Area (in2)]])</f>
        <v>243.75</v>
      </c>
      <c r="CR23" s="197">
        <f>IF(Reinforcements[[#This Row],[Reinforcement]]="","",0.5*VLOOKUP(Reinforcements[[#This Row],[Material]],Materials[],3,FALSE)*Reinforcements[[#This Row],[Net Area (in2)]]*Reinforcements[[#This Row],[Shear Lag (U)]])</f>
        <v>187.5</v>
      </c>
      <c r="CS23" s="197">
        <f>IF(Reinforcements[[#This Row],[Reinforcement]]="","",0.4*VLOOKUP(Reinforcements[[#This Row],[Material]],Materials[],2,FALSE)*Reinforcements[[#This Row],[Gross Area (in2)]])</f>
        <v>162.5</v>
      </c>
      <c r="CT23"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23"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23"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23"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23"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23"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23"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1096.0629921259842</v>
      </c>
      <c r="DA23"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1221.259842519685</v>
      </c>
      <c r="DB23"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23"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1221.259842519685</v>
      </c>
      <c r="DD23"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3"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3" s="190" t="str">
        <f>IF($AZ23="Yes",DD23,IF(Reinforcements[[#This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3" s="190" t="str">
        <f>IF($AZ23="Yes",DE23,IF(Reinforcements[[#This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3" s="197">
        <f>IF(Reinforcements[[#This Row],[Reinforcement]]="","",φ_c*Reinforcements[[#This Row],[Fcr,x]]*Reinforcements[[#This Row],[Gross Area (in2)]])</f>
        <v>285.56179821764005</v>
      </c>
      <c r="DI23" s="197">
        <f>IF(Reinforcements[[#This Row],[Reinforcement]]="","",φ_c*Reinforcements[[#This Row],[Fcr,y]]*Reinforcements[[#This Row],[Gross Area (in2)]])</f>
        <v>356.90602063620241</v>
      </c>
      <c r="DJ23" s="197">
        <f>IF(Reinforcements[[#This Row],[Reinforcement]]="","",φ_t_y*VLOOKUP(Reinforcements[[#This Row],[Material]],Materials[],2,FALSE)*Reinforcements[[#This Row],[Gross Area (in2)]])</f>
        <v>365.625</v>
      </c>
      <c r="DK23" s="197">
        <f>IF(Reinforcements[[#This Row],[Reinforcement]]="","",φ_t_r*VLOOKUP(Reinforcements[[#This Row],[Material]],Materials[],3,FALSE)*Reinforcements[[#This Row],[Net Area (in2)]]*Reinforcements[[#This Row],[Shear Lag (U)]])</f>
        <v>281.25</v>
      </c>
      <c r="DL23" s="197">
        <f>IF(Reinforcements[[#This Row],[Reinforcement]]="","",φ_v*0.5*Reinforcements[[#This Row],[F''y]]*Reinforcements[[#This Row],[Gross Area (in2)]])</f>
        <v>182.8125</v>
      </c>
      <c r="DM23"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23"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23"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23"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23"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23"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23"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T23"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1983.7795275590552</v>
      </c>
      <c r="DU23"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V23"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1983.7795275590552</v>
      </c>
      <c r="DW23"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3"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3" s="190" t="str">
        <f>IF($AZ23="Yes",DW23,IF(Reinforcements[[#This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3" s="190" t="str">
        <f>IF($AZ23="Yes",DX23,IF(Reinforcements[[#This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3" s="238" t="str">
        <f>IF(OR(Reinforcements[[#This Row],[Type]]="plate",Reinforcements[[#This Row],[Type]]="solid round"),"N/A",Reinforcements[[#This Row],[B (in)]])</f>
        <v>N/A</v>
      </c>
      <c r="EB23" s="236" t="str">
        <f>IF(OR(Reinforcements[[#This Row],[Type]]="plate",Reinforcements[[#This Row],[Type]]="solid round"),"N/A",Reinforcements[[#This Row],[H (in)]])</f>
        <v>N/A</v>
      </c>
      <c r="EC23" s="236" t="str">
        <f>IF(OR(Reinforcements[[#This Row],[Type]]="plate",Reinforcements[[#This Row],[Type]]="solid round"),"N/A",Reinforcements[[#This Row],[B (in)]]-Reinforcements[[#This Row],['[Channel'] Flange Thickness (in)]])</f>
        <v>N/A</v>
      </c>
      <c r="ED23" s="236" t="str">
        <f>IF(OR(Reinforcements[[#This Row],[Type]]="plate",Reinforcements[[#This Row],[Type]]="solid round"),"N/A",Reinforcements[[#This Row],['[Channel']Web Thickness (in)]])</f>
        <v>N/A</v>
      </c>
      <c r="EE23" s="236" t="str">
        <f>IF(OR(Reinforcements[[#This Row],[Type]]="plate",Reinforcements[[#This Row],[Type]]="solid round"),"N/A",Reinforcements[[#This Row],['[Channel'] Flange Thickness (in)]])</f>
        <v>N/A</v>
      </c>
      <c r="EF23" s="236" t="str">
        <f>IF(Reinforcements[[#This Row],[Type]]="channel",Reinforcements[[#This Row],[Channel Flange Width, b]]/Reinforcements[[#This Row],[Channel flange thickness, tf]],"N/A")</f>
        <v>N/A</v>
      </c>
      <c r="EG23" s="236" t="str">
        <f>IF(Reinforcements[[#This Row],[Type]]="channel",Reinforcements[[#This Row],[Channel inside depth, T]]/Reinforcements[[#This Row],[Channel web thickness, tw]],"N/A")</f>
        <v>N/A</v>
      </c>
      <c r="EH23" s="237">
        <v>29000</v>
      </c>
      <c r="EI23" s="237" t="str">
        <f>IF(Reinforcements[[#This Row],[Type]]="channel",0.56*SQRT(Reinforcements[[#This Row],[E, (ksi)]]/Reinforcements[[#This Row],[Fy, (ksi)]]),"N/A")</f>
        <v>N/A</v>
      </c>
      <c r="EJ23" s="237" t="str">
        <f>IF(Reinforcements[[#This Row],[Type]]="channel",1.49*SQRT(Reinforcements[[#This Row],[E, (ksi)]]/Reinforcements[[#This Row],[Fy, (ksi)]]),"N/A")</f>
        <v>N/A</v>
      </c>
      <c r="EK23" s="237">
        <f>VLOOKUP(Reinforcements[[#This Row],[Material]],Materials!$B$2:$C$30,2,FALSE)</f>
        <v>65</v>
      </c>
      <c r="EL23" s="237">
        <f>Reinforcements[[#This Row],[Lu (in)]]*Reinforcements[[#This Row],[Effective Length Factor Kx]]</f>
        <v>18.400000000000002</v>
      </c>
      <c r="EM23" s="237">
        <f>Reinforcements[[#This Row],[Lu (in)]]*Reinforcements[[#This Row],[Effective Length Factor Ky]]</f>
        <v>23</v>
      </c>
      <c r="EN23" s="237">
        <f>Reinforcements[[#This Row],[rx]]</f>
        <v>0.36084391824351614</v>
      </c>
      <c r="EO23" s="237">
        <f>Reinforcements[[#This Row],[ry]]</f>
        <v>1.4433756729740645</v>
      </c>
      <c r="EP23" s="237">
        <f>Reinforcements[[#This Row],[Lcx (in)]]/Reinforcements[[#This Row],[rx (in)]]</f>
        <v>50.991575774827751</v>
      </c>
      <c r="EQ23" s="237">
        <f>Reinforcements[[#This Row],[Lcy (in)]]/Reinforcements[[#This Row],[ry (in)]]</f>
        <v>15.93486742963367</v>
      </c>
      <c r="ER23" s="237">
        <f>((PI()^2)*Reinforcements[[#This Row],[E, (ksi)]])/(Reinforcements[[#This Row],[Lcx/rx]]^2)</f>
        <v>110.07808793723451</v>
      </c>
      <c r="ES23" s="237">
        <f>((PI()^2)*Reinforcements[[#This Row],[E, (ksi)]])/(Reinforcements[[#This Row],[Lcy/ry]]^2)</f>
        <v>1127.1996204772818</v>
      </c>
      <c r="ET23" s="237">
        <f>4.71*(SQRT(Reinforcements[[#This Row],[E, (ksi)]]/Reinforcements[[#This Row],[Fy, (ksi)]]))</f>
        <v>99.486288193205496</v>
      </c>
      <c r="EU23" s="237">
        <f>IF(Reinforcements[[#This Row],[Lcx/rx]]&lt;=Reinforcements[[#This Row],[Fcr Limit]],(0.658^(Reinforcements[[#This Row],[Fy, (ksi)]]/Reinforcements[[#This Row],[Fex, FB (ksi)]]))*Reinforcements[[#This Row],[Fy, (ksi)]],0.877*Reinforcements[[#This Row],[Fex, FB (ksi)]])</f>
        <v>50.766541905358217</v>
      </c>
      <c r="EV23" s="237">
        <f>IF(Reinforcements[[#This Row],[Lcy/ry]]&lt;=Reinforcements[[#This Row],[Fcr Limit]],(0.658^(Reinforcements[[#This Row],[Fy, (ksi)]]/Reinforcements[[#This Row],[Fey, FB (ksi)]]))*Reinforcements[[#This Row],[Fy, (ksi)]],0.877*Reinforcements[[#This Row],[Fey, FB (ksi)]])</f>
        <v>63.449959224213764</v>
      </c>
      <c r="EW23" s="237">
        <f>Reinforcements[[#This Row],[Fcrx (ksi)]]*Reinforcements[[#This Row],[Gross Area (in2)]]</f>
        <v>317.29088690848886</v>
      </c>
      <c r="EX23" s="237">
        <f>Reinforcements[[#This Row],[Fcry (ksi)]]*Reinforcements[[#This Row],[Gross Area (in2)]]</f>
        <v>396.56224515133601</v>
      </c>
      <c r="EY23" s="237" t="str">
        <f>IF(Reinforcements[[#This Row],[Type]]="channel",0,"N/A")</f>
        <v>N/A</v>
      </c>
      <c r="EZ23" s="237" t="str">
        <f>IF(Reinforcements[[#This Row],[Type]]="channel",Reinforcements[[#This Row],[Channel Flange Width, b]]-(0.5*Reinforcements[[#This Row],[Channel web thickness, tw]]),"N/A")</f>
        <v>N/A</v>
      </c>
      <c r="FA23" s="237" t="str">
        <f>IF(Reinforcements[[#This Row],[Type]]="channel",Reinforcements[[#This Row],[Channel Height, h]]-Reinforcements[[#This Row],[Channel flange thickness, tf]],"N/A")</f>
        <v>N/A</v>
      </c>
      <c r="FB23" s="237" t="str">
        <f>IF(Reinforcements[[#This Row],[Type]]="channel",Reinforcements[[#This Row],[Channel web thickness, tw]],"N/A")</f>
        <v>N/A</v>
      </c>
      <c r="FC23" s="237" t="str">
        <f>IF(Reinforcements[[#This Row],[Type]]="channel",((3*Reinforcements[[#This Row],[b]]^2)/(Reinforcements[[#This Row],[h]]+(6*Reinforcements[[#This Row],[b]])))-Reinforcements[[#This Row],[t]]/2,"N/A")</f>
        <v>N/A</v>
      </c>
      <c r="FD23" s="237">
        <f>Reinforcements[[#This Row],[Pole Face to Centroid (in)]]</f>
        <v>0.625</v>
      </c>
      <c r="FE23" s="236" t="str">
        <f>IF(Reinforcements[[#This Row],[Type]]="channel",Reinforcements[[#This Row],[x(bar)]]+Reinforcements[[#This Row],['[Channel'] e0 (in)]],"N/A")</f>
        <v>N/A</v>
      </c>
      <c r="FF23" s="236" t="str">
        <f>IF(Reinforcements[[#This Row],[Type]]="channel",Reinforcements[[#This Row],[Ix]],"N/A")</f>
        <v>N/A</v>
      </c>
      <c r="FG23" s="236" t="str">
        <f>IF(Reinforcements[[#This Row],[Type]]="channel",Reinforcements[[#This Row],[Iy]],"N/A")</f>
        <v>N/A</v>
      </c>
      <c r="FH23" s="236" t="str">
        <f>IF(Reinforcements[[#This Row],[Type]]="channel",Reinforcements[[#This Row],[Gross Area (in2)]],"N/A")</f>
        <v>N/A</v>
      </c>
      <c r="FI23" s="236" t="str">
        <f>IF(Reinforcements[[#This Row],[Type]]="channel",(Reinforcements[[#This Row],[xo]]^2)+((Reinforcements[[#This Row],[Ix (FTB)]]+Reinforcements[[#This Row],[Iy (FTB)]])/Reinforcements[[#This Row],[Ag]]),"N/A")</f>
        <v>N/A</v>
      </c>
      <c r="FJ23" s="236" t="str">
        <f>IF(Reinforcements[[#This Row],[Type]]="channel",Reinforcements[[#This Row],[Lu (in)]],"N/A")</f>
        <v>N/A</v>
      </c>
      <c r="FK23" s="236" t="str">
        <f>IF(Reinforcements[[#This Row],[Type]]="channel",Reinforcements[[#This Row],[Effective Length Factor Kx]],"N/A")</f>
        <v>N/A</v>
      </c>
      <c r="FL23" s="236" t="str">
        <f>IF(Reinforcements[[#This Row],[Type]]="channel",Reinforcements[[#This Row],[Kz]]*Reinforcements[[#This Row],[Lz]],"N/A")</f>
        <v>N/A</v>
      </c>
      <c r="FM23" s="236" t="str">
        <f>IF(Reinforcements[[#This Row],[Type]]="channel",(((Reinforcements[[#This Row],[t]]^3)/3)*(Reinforcements[[#This Row],[h]]+(2*Reinforcements[[#This Row],[b]]))),"N/A")</f>
        <v>N/A</v>
      </c>
      <c r="FN23" s="236" t="str">
        <f>IF(Reinforcements[[#This Row],[Type]]="channel",(1-(((Reinforcements[[#This Row],[xo]]^2)+(Reinforcements[[#This Row],[yo]]^2))/Reinforcements[[#This Row],[ro^2(bar)]])),"N/A")</f>
        <v>N/A</v>
      </c>
      <c r="FO23" s="237">
        <v>11200</v>
      </c>
      <c r="FP23" s="236" t="str">
        <f>IF(Reinforcements[[#This Row],[Type]]="channel",(((Reinforcements[[#This Row],[h]]^2)*(Reinforcements[[#This Row],[b]]^3)*Reinforcements[[#This Row],[t]])/12)*(((2*Reinforcements[[#This Row],[h]])+(3*Reinforcements[[#This Row],[b]]))/(Reinforcements[[#This Row],[h]]+(6*Reinforcements[[#This Row],[b]]))),"N/A")</f>
        <v>N/A</v>
      </c>
      <c r="FQ23" s="236" t="str">
        <f>IF(Reinforcements[[#This Row],[Type]]="Channel",((((PI()^2)*Reinforcements[[#This Row],[E, (ksi)]]*Reinforcements[[#This Row],['[Channel'] CW (in6)]])/(Reinforcements[[#This Row],[Lcz]]^2))+(Reinforcements[[#This Row],[G]]*Reinforcements[[#This Row],['[Channel'] J (in4)]]))*(1/(Reinforcements[[#This Row],[Ag]]*Reinforcements[[#This Row],[ro^2(bar)]])),"N/A")</f>
        <v>N/A</v>
      </c>
      <c r="FR23" s="236" t="str">
        <f>IF(Reinforcements[[#This Row],[Type]]="channel",((PI()^2)*Reinforcements[[#This Row],[E, (ksi)]])/(Reinforcements[[#This Row],[Lcy/ry]]^2),"N/A")</f>
        <v>N/A</v>
      </c>
      <c r="FS23" s="236" t="str">
        <f>IF(Reinforcements[[#This Row],[Type]]="channel",((Reinforcements[[#This Row],[Fey]]+Reinforcements[[#This Row],[Fez]])/(2*Reinforcements[[#This Row],[H2]]))*(1-SQRT(1-((4*Reinforcements[[#This Row],[Fey]]*Reinforcements[[#This Row],[Fez]]*Reinforcements[[#This Row],[H2]])/(Reinforcements[[#This Row],[Fey]]+Reinforcements[[#This Row],[Fez]])^2))),"N/A")</f>
        <v>N/A</v>
      </c>
      <c r="FT23" s="236" t="str">
        <f>IF(Reinforcements[[#This Row],[Type]]="channel",IF(Reinforcements[[#This Row],[Lcx/rx]]&gt;(4.71*SQRT(Reinforcements[[#This Row],[E, (ksi)]]/Reinforcements[[#This Row],[Fy, (ksi)]])),0.877*Reinforcements[[#This Row],[Fe (FTB)]],0.658^(Reinforcements[[#This Row],[Fy, (ksi)]]/Reinforcements[[#This Row],[Fe (FTB)]])*Reinforcements[[#This Row],[Fy, (ksi)]]),"N/A")</f>
        <v>N/A</v>
      </c>
      <c r="FU23" s="236" t="str">
        <f>IF(Reinforcements[[#This Row],[Type]]="channel",MIN(Reinforcements[[#This Row],[Fcr(FTB)]],Reinforcements[[#This Row],[Fcry (ksi)]]),"N/A")</f>
        <v>N/A</v>
      </c>
      <c r="FV23" s="237">
        <v>0.22</v>
      </c>
      <c r="FW23" s="237">
        <v>1.49</v>
      </c>
      <c r="FX23" s="236" t="str">
        <f>IF(Reinforcements[[#This Row],[Type]]="channel",((Reinforcements[[#This Row],[c2]]*(Reinforcements[[#This Row],[λrf]]/Reinforcements[[#This Row],[λf]]))^2)*Reinforcements[[#This Row],[Fy, (ksi)]],"N/A")</f>
        <v>N/A</v>
      </c>
      <c r="FY23" s="236" t="str">
        <f>IF(Reinforcements[[#This Row],[Type]]="channel",((Reinforcements[[#This Row],[c2]]*(Reinforcements[[#This Row],[λrw]]/Reinforcements[[#This Row],[λw]]))^2)*Reinforcements[[#This Row],[Fy, (ksi)]],"N/A")</f>
        <v>N/A</v>
      </c>
      <c r="FZ23"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3"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3"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3" s="236" t="str">
        <f>IF(Reinforcements[[#This Row],[Type]]="channel",Reinforcements[[#This Row],[Fcr]]*Reinforcements[[#This Row],[Ae]],"N/A")</f>
        <v>N/A</v>
      </c>
      <c r="GD23" s="466">
        <f>IF(Reinforcements[[#This Row],[Reinforcement]]="","",φ_c*Reinforcements[[#This Row],[Pnx, FB (kip)]])</f>
        <v>285.56179821763999</v>
      </c>
      <c r="GE23" s="466">
        <f>IF(Reinforcements[[#This Row],[Reinforcement]]="","",IF(Reinforcements[[#This Row],[Type]]="channel",φ_c*Reinforcements[[#This Row],[Pn]],φ_c*Reinforcements[[#This Row],[Pny, FB (kip)]]))</f>
        <v>356.90602063620241</v>
      </c>
      <c r="GF23" s="466">
        <f>Reinforcements[[#This Row],[Rev. G Tension Yield Capacity (kips)]]</f>
        <v>365.625</v>
      </c>
      <c r="GG23" s="466">
        <f>Reinforcements[[#This Row],[Rev. G Tension Rupture Capacity (kips)]]</f>
        <v>281.25</v>
      </c>
      <c r="GH23" s="466">
        <f>Reinforcements[[#This Row],[Rev. G Shear Capacity (kips)]]</f>
        <v>182.8125</v>
      </c>
      <c r="GI23" s="466">
        <f>IFERROR((Reinforcements[[#This Row],['# of End Connection Bolts          (Bottom)]]-1)*Reinforcements[[#This Row],[End Connection Bolt Spacing (in) (B)]],"-")</f>
        <v>21</v>
      </c>
      <c r="GJ23" s="466">
        <f>IFERROR(IF(VLOOKUP(Reinforcements[[#This Row],[Bottom End Connection Bolt Type]],Bolts[],COLUMN(Bolts[[#Headers],[Rev. H Apply Connection Length Reduction Factor (Rb)?]])-1,FALSE)="Yes",(IF(Reinforcements[[#This Row],[Lb(bottom)]]&lt;=16,1,IF(Reinforcements[[#This Row],[Lb(bottom)]]&gt;38,0.75,0.9))),1),"-")</f>
        <v>1</v>
      </c>
      <c r="GK23"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23" s="466">
        <f>IFERROR(IF(Reinforcements[[#This Row],[Top End Connection Same?]]="Yes",Reinforcements[[#This Row],[Lb(bottom)]],(Reinforcements[[#This Row],['# of End Connection Bolts          (Top)]]-1)*Reinforcements[[#This Row],[End Connection Bolt Spacing (in) (T)]]),"-")</f>
        <v>21</v>
      </c>
      <c r="GM23" s="466">
        <f>IFERROR(IF(VLOOKUP(Reinforcements[[#This Row],[Top End Connection Bolt Type]],Bolts[],COLUMN(Bolts[[#Headers],[Rev. H Apply Connection Length Reduction Factor (Rb)?]])-1,FALSE)="Yes",(IF(Reinforcements[[#This Row],[Lb(top)]]&lt;=16,1,IF(Reinforcements[[#This Row],[Lb(top)]]&gt;38,0.75,0.9))),1),"-")</f>
        <v>1</v>
      </c>
      <c r="GN23"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371.19712776654347</v>
      </c>
      <c r="GO23" s="466">
        <f>Reinforcements[[#This Row],[Rev. G Bolt-Shaft Bearing Capacity (Bottom)                No Deformation          (*t*Fu kips)]]</f>
        <v>15.870236220472439</v>
      </c>
      <c r="GP23" s="466">
        <f>Reinforcements[[#This Row],[Rev. G Bolt-Shaft Bearing Capacity (Bottom)                   Deformation          (*t*Fu kips)]]</f>
        <v>19.837795275590551</v>
      </c>
      <c r="GQ23" s="466">
        <f>Reinforcements[[#This Row],[Rev. G Bolt-Shaft Bearing Capacity (Top)                    No Deformation          (*t*Fu kips)]]</f>
        <v>15.870236220472439</v>
      </c>
      <c r="GR23" s="466">
        <f>Reinforcements[[#This Row],[Rev. G Bolt-Shaft Bearing Capacity (Top)                        Deformation          (*t*Fu kips)]]</f>
        <v>19.837795275590551</v>
      </c>
      <c r="GS23" s="466">
        <f>Reinforcements[[#This Row],[Rev. G Bolt-Reinf. Bearing Capacity (Bottom)            No Deformation (kips)]]</f>
        <v>1587.0236220472443</v>
      </c>
      <c r="GT23" s="466">
        <f>Reinforcements[[#This Row],[Rev. G Bolt-Reinf. Bearing Capacity (Bottom)               Deformation (kips)]]</f>
        <v>1983.7795275590552</v>
      </c>
      <c r="GU23" s="466">
        <f>Reinforcements[[#This Row],[Rev. G Bolt-Reinf. Bearing Capacity (Top)                  No Deformation (kips)]]</f>
        <v>1587.0236220472443</v>
      </c>
      <c r="GV23" s="466">
        <f>Reinforcements[[#This Row],[Rev. G Bolt-Reinf. Bearing Capacity (Top)               Deformation (kips)]]</f>
        <v>1983.7795275590552</v>
      </c>
      <c r="GW23" s="466" t="str">
        <f>Reinforcements[[#This Row],[Rev. G Bottom Transverse Weld Strength]]</f>
        <v>-</v>
      </c>
      <c r="GX23" s="466" t="str">
        <f>Reinforcements[[#This Row],[Rev. G Bottom Longitudinal Weld Strength]]</f>
        <v>-</v>
      </c>
      <c r="GY23" s="466" t="str">
        <f>Reinforcements[[#This Row],[Rev. G Top Transverse Weld Strength]]</f>
        <v>-</v>
      </c>
      <c r="GZ23" s="466" t="str">
        <f>Reinforcements[[#This Row],[Rev. G Top Longitudinal Weld Strength]]</f>
        <v>-</v>
      </c>
      <c r="HA23" s="552">
        <v>21</v>
      </c>
      <c r="HB23"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4" spans="2:217" s="65" customFormat="1" x14ac:dyDescent="0.2">
      <c r="B24" s="72" t="s">
        <v>361</v>
      </c>
      <c r="C24" s="72" t="s">
        <v>146</v>
      </c>
      <c r="D24" s="185">
        <v>6</v>
      </c>
      <c r="E24" s="185">
        <v>1</v>
      </c>
      <c r="F24" s="185" t="str">
        <f>IF(Reinforcements[[#This Row],[Type]]="","",IF(Reinforcements[[#This Row],[Type]]="solid round","","n/a"))</f>
        <v>n/a</v>
      </c>
      <c r="G24" s="185" t="str">
        <f>IF(Reinforcements[[#This Row],[Type]]="","",IF(Reinforcements[[#This Row],[Type]]&lt;&gt;"channel","n/a",""))</f>
        <v>n/a</v>
      </c>
      <c r="H24" s="185" t="str">
        <f>IF(Reinforcements[[#This Row],[Type]]="","",IF(Reinforcements[[#This Row],[Type]]&lt;&gt;"channel","n/a",""))</f>
        <v>n/a</v>
      </c>
      <c r="I24" s="197" t="str">
        <f>IF(Reinforcements[[#This Row],[Type]]="","",IF(Reinforcements[[#This Row],[Type]]&lt;&gt;"channel","n/a",Reinforcements[[#This Row],[eo]]))</f>
        <v>n/a</v>
      </c>
      <c r="J24" s="197" t="str">
        <f>IF(Reinforcements[[#This Row],[Type]]="","",IF(Reinforcements[[#This Row],[Type]]&lt;&gt;"channel","n/a",Reinforcements[[#This Row],[J]]))</f>
        <v>n/a</v>
      </c>
      <c r="K24" s="197" t="str">
        <f>IF(Reinforcements[[#This Row],[Type]]="","",IF(Reinforcements[[#This Row],[Type]]&lt;&gt;"channel","n/a",Reinforcements[[#This Row],[Cw]]))</f>
        <v>n/a</v>
      </c>
      <c r="L24" s="185">
        <f>IFERROR(IF(Reinforcements[[#This Row],[Type]]="","",IF(Reinforcements[[#This Row],[Type]]="plate",Reinforcements[[#This Row],[B (in)]]*Reinforcements[[#This Row],[H (in)]],IF(Reinforcements[[#This Row],[Type]]="solid round",PI()/4*Reinforcements[[#This Row],[Diameter (in)]]^2,""))),"")</f>
        <v>6</v>
      </c>
      <c r="M24" s="185">
        <f>IFERROR(IF(Reinforcements[[#This Row],[Type]]="","",IF(Reinforcements[[#This Row],[Type]]="plate",Reinforcements[[#This Row],[H (in)]]/2,"")),"")</f>
        <v>0.5</v>
      </c>
      <c r="N24" s="186" t="s">
        <v>297</v>
      </c>
      <c r="O24" s="185" t="s">
        <v>60</v>
      </c>
      <c r="P24" s="187">
        <f>IFERROR(IF(Reinforcements[[#This Row],[Type]]="","",IF(Reinforcements[[#This Row],[Type]]="plate",Reinforcements[[#This Row],[B (in)]]*Reinforcements[[#This Row],[H (in)]]^3/12,IF(Reinforcements[[#This Row],[Type]]="solid round",PI()/64*Reinforcements[[#This Row],[Diameter (in)]]^4,""))),"")</f>
        <v>0.5</v>
      </c>
      <c r="Q24" s="187">
        <f>IF(Reinforcements[[#This Row],[Reinforcement]]="","",SQRT(Reinforcements[[#This Row],[Ix]]/Reinforcements[[#This Row],[Gross Area (in2)]]))</f>
        <v>0.28867513459481287</v>
      </c>
      <c r="R24" s="187">
        <f>IFERROR(IF(Reinforcements[[#This Row],[Type]]="","",IF(Reinforcements[[#This Row],[Type]]="plate",Reinforcements[[#This Row],[B (in)]]^3*Reinforcements[[#This Row],[H (in)]]/12,IF(Reinforcements[[#This Row],[Type]]="solid round",PI()/64*Reinforcements[[#This Row],[Diameter (in)]]^4,""))),"")</f>
        <v>18</v>
      </c>
      <c r="S24" s="187">
        <f>IF(Reinforcements[[#This Row],[Reinforcement]]="","",SQRT(Reinforcements[[#This Row],[Iy]]/Reinforcements[[#This Row],[Gross Area (in2)]]))</f>
        <v>1.7320508075688772</v>
      </c>
      <c r="T24" s="190">
        <v>16</v>
      </c>
      <c r="U24" s="188">
        <v>0.8</v>
      </c>
      <c r="V24" s="188">
        <v>1</v>
      </c>
      <c r="W24" s="185">
        <v>1.1875</v>
      </c>
      <c r="X24" s="188">
        <f>IF(Reinforcements[[#This Row],[Bolt Hole Size (in)]]="","",IF(Reinforcements[[#This Row],[Bolt Hole Size (in)]]="n/a","n/a",Reinforcements[[#This Row],[Bolt Hole Size (in)]]*25.4))</f>
        <v>30.162499999999998</v>
      </c>
      <c r="Y24"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24" s="185">
        <f>IFERROR(IF(Reinforcements[[#This Row],[Reinforcement]]="","",IF(OR(Reinforcements[[#This Row],[Type]]="plate",Reinforcements[[#This Row],[Type]]="solid round"),1,IF(Reinforcements[[#This Row],[Type]]="arbitrary","",1-Reinforcements[[#This Row],[Pole Face to Centroid (in)]]/Reinforcements[[#This Row],[Connection Length (in) '[Channels']]]))),"")</f>
        <v>1</v>
      </c>
      <c r="AA24" s="189" t="s">
        <v>391</v>
      </c>
      <c r="AB24" s="189" t="str">
        <f>IF(Reinforcements[[#This Row],[Reinforcement]]="","",IF(Reinforcements[[#This Row],[Bottom End Connection Type]]&lt;&gt;"Capacity Input","-",""))</f>
        <v>-</v>
      </c>
      <c r="AC24" s="189" t="str">
        <f>IF(Reinforcements[[#This Row],[Reinforcement]]="","",IF(Reinforcements[[#This Row],[Bottom End Connection Type]]&lt;&gt;"Capacity Input","-",""))</f>
        <v>-</v>
      </c>
      <c r="AD24" s="461" t="str">
        <f>IF(Reinforcements[[#This Row],[Reinforcement]]="","",IF(Reinforcements[[#This Row],[Bottom End Connection Type]]&lt;&gt;"Capacity Input","-",""))</f>
        <v>-</v>
      </c>
      <c r="AE24" s="103" t="s">
        <v>416</v>
      </c>
      <c r="AF24" s="190" t="s">
        <v>296</v>
      </c>
      <c r="AG24" s="190">
        <v>8</v>
      </c>
      <c r="AH24" s="190">
        <v>3</v>
      </c>
      <c r="AI24" s="190">
        <v>3</v>
      </c>
      <c r="AJ24" s="190">
        <f>Reinforcements[[#This Row],[End Connection Edge Distance (in) (B)]]-(Reinforcements[[#This Row],[Bolt Hole Size (in)]]+1/16)/2</f>
        <v>2.375</v>
      </c>
      <c r="AK24" s="190">
        <f>Reinforcements[[#This Row],[End Connection Bolt Spacing (in) (B)]]-(Reinforcements[[#This Row],[Bolt Hole Size (in)]]+1/16)</f>
        <v>1.75</v>
      </c>
      <c r="AL24" s="190">
        <f>Reinforcements[[#This Row],[End Connection Edge Distance (in) (B)]]</f>
        <v>3</v>
      </c>
      <c r="AM24" s="190">
        <f>Reinforcements[[#This Row],[End Connection Bolt Spacing (in) (B)]]</f>
        <v>3</v>
      </c>
      <c r="AN24" s="190" t="str">
        <f>IF(Reinforcements[[#This Row],[Reinforcement]]="","",IF(OR(Reinforcements[[#This Row],[Bottom End Connection Type]]="Bolted",Reinforcements[[#This Row],[Bottom End Connection Type]]=""),"-",""))</f>
        <v>-</v>
      </c>
      <c r="AO24" s="191" t="str">
        <f>IF(Reinforcements[[#This Row],[Reinforcement]]="","",IF(OR(Reinforcements[[#This Row],[Bottom End Connection Type]]="Bolted",Reinforcements[[#This Row],[Bottom End Connection Type]]=""),"-",""))</f>
        <v>-</v>
      </c>
      <c r="AP24" s="191" t="str">
        <f>IF(Reinforcements[[#This Row],[Reinforcement]]="","",IF(OR(Reinforcements[[#This Row],[Bottom End Connection Type]]="Bolted",Reinforcements[[#This Row],[Bottom End Connection Type]]=""),"-",""))</f>
        <v>-</v>
      </c>
      <c r="AQ24" s="191" t="str">
        <f>IF(OR(Reinforcements[[#This Row],[Bottom End Connection Type]]="Bolted",Reinforcements[[#This Row],[Bottom Transverse (Horizontal) Weld]]="none"),"-","")</f>
        <v>-</v>
      </c>
      <c r="AR2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4" s="191" t="str">
        <f>IF(OR(Reinforcements[[#This Row],[Bottom Transverse (Horizontal) Weld]]="none",Reinforcements[[#This Row],[Bottom End Connection Type]]="Bolted"),"-","")</f>
        <v>-</v>
      </c>
      <c r="AU24"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4" s="191" t="str">
        <f>IF(Reinforcements[[#This Row],[Reinforcement]]="","",IF(OR(Reinforcements[[#This Row],[Bottom End Connection Type]]="Bolted",Reinforcements[[#This Row],[Bottom End Connection Type]]=""),"-",""))</f>
        <v>-</v>
      </c>
      <c r="AW24" s="191" t="str">
        <f>IF(Reinforcements[[#This Row],[Reinforcement]]="","",IF(OR(Reinforcements[[#This Row],[Bottom End Connection Type]]&lt;&gt;"Welded",Reinforcements[[#This Row],[Bottom Longitudinal (Vertical) Weld]]="None",Reinforcements[[#This Row],[Bottom Longitudinal (Vertical) Weld]]=""),"-",""))</f>
        <v>-</v>
      </c>
      <c r="AX24" s="191" t="str">
        <f>IF(Reinforcements[[#This Row],[Reinforcement]]="","",IF(OR(Reinforcements[[#This Row],[Bottom End Connection Type]]&lt;&gt;"Welded",Reinforcements[[#This Row],[Bottom Longitudinal (Vertical) Weld]]="None",Reinforcements[[#This Row],[Bottom Longitudinal (Vertical) Weld]]=""),"-",""))</f>
        <v>-</v>
      </c>
      <c r="AY24" s="190" t="str">
        <f>IF(Reinforcements[[#This Row],[Reinforcement]]="","",IF(OR(Reinforcements[[#This Row],[Bottom End Connection Type]]&lt;&gt;"Welded",Reinforcements[[#This Row],[Bottom Longitudinal (Vertical) Weld]]="None"),"-",SQRT(2)/2*Reinforcements[[#This Row],[Bottom Longitudinal Weld Fillet Size (in)]]))</f>
        <v>-</v>
      </c>
      <c r="AZ24" s="190" t="s">
        <v>295</v>
      </c>
      <c r="BA24" s="189" t="str">
        <f>IF(Reinforcements[[#This Row],[Top End Connection Same?]]="Yes",Reinforcements[[#This Row],[Bottom End Connection Type]],"")</f>
        <v>Bolted</v>
      </c>
      <c r="BB24" s="189" t="str">
        <f>IF(Reinforcements[[#This Row],[Reinforcement]]="","",IF(Reinforcements[[#This Row],[Top End Connection Same?]]="Yes",Reinforcements[[#This Row],[Rev. F Bottom Connection Capacity (kips)]],IF(Reinforcements[[#This Row],[Reinforcement]]="","",IF(Reinforcements[[#This Row],[Top End Connection Type]]&lt;&gt;"Capacity Input","-",""))))</f>
        <v>-</v>
      </c>
      <c r="BC24" s="189" t="str">
        <f>IF(Reinforcements[[#This Row],[Reinforcement]]="","",IF(Reinforcements[[#This Row],[Top End Connection Same?]]="Yes",Reinforcements[[#This Row],[Rev. G Bottom Connection Capacity (kips)]],IF(Reinforcements[[#This Row],[Reinforcement]]="","",IF(Reinforcements[[#This Row],[Top End Connection Type]]&lt;&gt;"Capacity Input","-",""))))</f>
        <v>-</v>
      </c>
      <c r="BD24" s="461" t="str">
        <f>IF(Reinforcements[[#This Row],[Reinforcement]]="","",IF(Reinforcements[[#This Row],[Top End Connection Same?]]="Yes",Reinforcements[[#This Row],[Rev. G Bottom Connection Capacity (kips)]],IF(Reinforcements[[#This Row],[Reinforcement]]="","",IF(Reinforcements[[#This Row],[Top End Connection Type]]&lt;&gt;"Capacity Input","-",""))))</f>
        <v>-</v>
      </c>
      <c r="BE24" s="103" t="s">
        <v>416</v>
      </c>
      <c r="BF24" s="190" t="str">
        <f>IF(Reinforcements[[#This Row],[Top End Connection Same?]]="Yes",Reinforcements[[#This Row],[Threads Included (N) or Excluded (X) (Bottom)]],IF(Reinforcements[[#This Row],[Top End Connection Type]]="Welded","-",""))</f>
        <v>N</v>
      </c>
      <c r="BG24" s="190">
        <f>IF(Reinforcements[[#This Row],[Top End Connection Same?]]="Yes",Reinforcements[[#This Row],['# of End Connection Bolts          (Bottom)]],IF(Reinforcements[[#This Row],[Top End Connection Type]]="Welded","-",""))</f>
        <v>8</v>
      </c>
      <c r="BH24" s="190">
        <f>IF(Reinforcements[[#This Row],[Top End Connection Same?]]="Yes",Reinforcements[[#This Row],[End Connection Bolt Spacing (in) (B)]],IF(Reinforcements[[#This Row],[Top End Connection Type]]="Welded","-",""))</f>
        <v>3</v>
      </c>
      <c r="BI24" s="190">
        <f>IF(Reinforcements[[#This Row],[Top End Connection Same?]]="Yes",Reinforcements[[#This Row],[End Connection Edge Distance (in) (B)]],IF(Reinforcements[[#This Row],[Top End Connection Type]]="Welded","-",""))</f>
        <v>3</v>
      </c>
      <c r="BJ24" s="190">
        <f>Reinforcements[[#This Row],[End Connection Edge Distance (in) (T)]]-(Reinforcements[[#This Row],[Bolt Hole Size (in)]]+1/16)/2</f>
        <v>2.375</v>
      </c>
      <c r="BK24" s="190">
        <f>Reinforcements[[#This Row],[End Connection Bolt Spacing (in) (T)]]-(Reinforcements[[#This Row],[Bolt Hole Size (in)]]+1/16)</f>
        <v>1.75</v>
      </c>
      <c r="BL24" s="190">
        <f>Reinforcements[[#This Row],[End Connection Edge Distance (in) (T)]]</f>
        <v>3</v>
      </c>
      <c r="BM24" s="190">
        <f>Reinforcements[[#This Row],[End Connection Bolt Spacing (in) (T)]]</f>
        <v>3</v>
      </c>
      <c r="BN24" s="190" t="str">
        <f>IF(Reinforcements[[#This Row],[Reinforcement]]="","",IF(Reinforcements[[#This Row],[Top End Connection Same?]]="Yes",Reinforcements[[#This Row],[Bottom Connected to Flange/Base Plate?]],IF(Reinforcements[[#This Row],[Top End Connection Type]]="Bolted","-","")))</f>
        <v>-</v>
      </c>
      <c r="BO24" s="190" t="str">
        <f>IF(Reinforcements[[#This Row],[Reinforcement]]="","",IF(Reinforcements[[#This Row],[Top End Connection Same?]]="Yes",Reinforcements[[#This Row],[Bottom Weld Grade (ksi)]],IF(OR(Reinforcements[[#This Row],[Top End Connection Type]]&lt;&gt;"Welded",Reinforcements[[#This Row],[Top End Connection Type]]=""),"-","")))</f>
        <v>-</v>
      </c>
      <c r="BP24" s="190" t="str">
        <f>IF($AZ24="Yes",AP24,IF(Reinforcements[[#This Row],[Reinforcement]]="","",IF(OR(Reinforcements[[#This Row],[Top End Connection Type]]&lt;&gt;"Welded",Reinforcements[[#This Row],[Top End Connection Type]]=""),"-","")))</f>
        <v>-</v>
      </c>
      <c r="BQ24" s="190" t="str">
        <f>IF(Reinforcements[[#This Row],[Reinforcement]]="","",IF($AZ24="Yes",AQ24,IF(OR(Reinforcements[[#This Row],[Top End Connection Type]]&lt;&gt;"Welded",Reinforcements[[#This Row],[Top Transverse (Horizontal) Weld]]="none",Reinforcements[[#This Row],[Top Transverse (Horizontal) Weld]]=""),"-","")))</f>
        <v>-</v>
      </c>
      <c r="BR24" s="190" t="str">
        <f>IF($AZ24="Yes",AR24,IF(Reinforcements[[#This Row],[Reinforcement]]="","",IF(OR(Reinforcements[[#This Row],[Top Transverse (Horizontal) Weld]]="none",Reinforcements[[#This Row],[Top End Connection Type]]&lt;&gt;"Welded",Reinforcements[[#This Row],[Top Transverse (Horizontal) Weld]]="",Reinforcements[[#This Row],[Top Transverse (Horizontal) Weld]]="Fillet"),"-","")))</f>
        <v>-</v>
      </c>
      <c r="BS24" s="190" t="str">
        <f>IF($AZ24="Yes",AS24,IF(Reinforcements[[#This Row],[Reinforcement]]="","",IF(OR(Reinforcements[[#This Row],[Top Transverse (Horizontal) Weld]]="none",Reinforcements[[#This Row],[Top End Connection Type]]&lt;&gt;"Welded",Reinforcements[[#This Row],[Top Transverse (Horizontal) Weld]]="",Reinforcements[[#This Row],[Top Transverse (Horizontal) Weld]]="Fillet"),"-","")))</f>
        <v>-</v>
      </c>
      <c r="BT24" s="190" t="str">
        <f>IF(Reinforcements[[#This Row],[Reinforcement]]="","",IF($AZ24="Yes",AT24,IF(OR(Reinforcements[[#This Row],[Top Transverse (Horizontal) Weld]]="none",Reinforcements[[#This Row],[Top End Connection Type]]&lt;&gt;"Welded",Reinforcements[[#This Row],[Top Transverse (Horizontal) Weld]]=""),"-","")))</f>
        <v>-</v>
      </c>
      <c r="BU24" s="190" t="str">
        <f>IF($AZ24="Yes",AU24,IF(Reinforcements[[#This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4" s="190" t="str">
        <f>IF($AZ24="Yes",AV24,IF(Reinforcements[[#This Row],[Reinforcement]]="","",IF(OR(Reinforcements[[#This Row],[Top End Connection Type]]&lt;&gt;"Welded",Reinforcements[[#This Row],[Top End Connection Type]]=""),"-","")))</f>
        <v>-</v>
      </c>
      <c r="BW24" s="190" t="str">
        <f>IF($AZ24="Yes",AW24,IF(Reinforcements[[#This Row],[Reinforcement]]="","",IF(OR(Reinforcements[[#This Row],[Top End Connection Type]]&lt;&gt;"Welded",Reinforcements[[#This Row],[Top End Connection Type]]="",Reinforcements[[#This Row],[Top Longitudinal (Vertical) Weld]]="",Reinforcements[[#This Row],[Top Longitudinal (Vertical) Weld]]="None"),"-","")))</f>
        <v>-</v>
      </c>
      <c r="BX24" s="190" t="str">
        <f>IF($AZ24="Yes",AX24,IF(Reinforcements[[#This Row],[Reinforcement]]="","",IF(OR(Reinforcements[[#This Row],[Top End Connection Type]]&lt;&gt;"Welded",Reinforcements[[#This Row],[Top End Connection Type]]="",Reinforcements[[#This Row],[Top Longitudinal (Vertical) Weld]]="",Reinforcements[[#This Row],[Top Longitudinal (Vertical) Weld]]="None"),"-","")))</f>
        <v>-</v>
      </c>
      <c r="BY24" s="190" t="str">
        <f>IF($AZ24="Yes",AY24,IF(Reinforcements[[#This Row],[Reinforcement]]="","",IF(OR(Reinforcements[[#This Row],[Top End Connection Type]]&lt;&gt;"Welded",Reinforcements[[#This Row],[Top Longitudinal (Vertical) Weld]]="none"),"-",SQRT(2)/2*Reinforcements[[#This Row],[Top Longitudinal Weld Fillet Size (in)]])))</f>
        <v>-</v>
      </c>
      <c r="BZ24"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4" s="192">
        <f>IF(Reinforcements[[#This Row],[Reinforcement]]="","",IF(Reinforcements[[#This Row],[Bottom End Connection Type]]&lt;&gt;"Bolted","n/a",(Reinforcements[[#This Row],['# of End Connection Bolts          (Bottom)]]-1)*Reinforcements[[#This Row],[End Connection Bolt Spacing (in) (B)]]+Reinforcements[[#This Row],[End Connection Edge Distance (in) (B)]]))</f>
        <v>24</v>
      </c>
      <c r="CB24" s="192">
        <f>IF(Reinforcements[[#This Row],[Reinforcement]]="","",IF(Reinforcements[[#This Row],[Top End Connection Type]]&lt;&gt;"Bolted","n/a",(Reinforcements[[#This Row],['# of End Connection Bolts          (Top)]]-1)*Reinforcements[[#This Row],[End Connection Bolt Spacing (in) (T)]]+Reinforcements[[#This Row],[End Connection Edge Distance (in) (T)]]))</f>
        <v>24</v>
      </c>
      <c r="CC24"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24"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24" s="185">
        <f>IFERROR(IF(Reinforcements[[#This Row],[Type]]="","",Reinforcements[[#This Row],[Effective B (in)]]*Reinforcements[[#This Row],[Effective H (in)]]^3/12),"")</f>
        <v>0.5</v>
      </c>
      <c r="CF24" s="185">
        <f>IFERROR(IF(Reinforcements[[#This Row],[Type]]="","",Reinforcements[[#This Row],[Effective B (in)]]^3*Reinforcements[[#This Row],[Effective H (in)]]/12),"")</f>
        <v>18</v>
      </c>
      <c r="CG24" s="197">
        <f>SQRT(2*PI()^2*29000/VLOOKUP(Reinforcements[[#This Row],[Material]],Materials[],2,FALSE))</f>
        <v>93.844147005158973</v>
      </c>
      <c r="CH24"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31.54287616885998</v>
      </c>
      <c r="CI24"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37.972749066590325</v>
      </c>
      <c r="CJ24" s="187">
        <f>Reinforcements[[#This Row],[Effective Length Factor Kx]]*Reinforcements[[#This Row],[Lu (in)]]/(Reinforcements[[#This Row],[rx]]*PI())*SQRT(VLOOKUP(Reinforcements[[#This Row],[Material]],Materials[],2,FALSE)/29000)</f>
        <v>0.66820296647591804</v>
      </c>
      <c r="CK24" s="187">
        <f>Reinforcements[[#This Row],[Effective Length Factor Ky]]*Reinforcements[[#This Row],[Lu (in)]]/(Reinforcements[[#This Row],[ry]]*PI())*SQRT(VLOOKUP(Reinforcements[[#This Row],[Material]],Materials[],2,FALSE)/29000)</f>
        <v>0.13920895134914957</v>
      </c>
      <c r="CL24" s="187">
        <f>IF(Reinforcements[[#This Row],[λcx]]&lt;=1.5,0.658^(Reinforcements[[#This Row],[λcx]]^2)*Reinforcements[[#This Row],[F''y]],0.877/(Reinforcements[[#This Row],[λcx]]^2)*Reinforcements[[#This Row],[F''y]])</f>
        <v>53.9202739283065</v>
      </c>
      <c r="CM24" s="187">
        <f>IF(Reinforcements[[#This Row],[λcy]]&lt;=1.5,0.658^(Reinforcements[[#This Row],[λcy]]^2)*Reinforcements[[#This Row],[F''y]],0.877/(Reinforcements[[#This Row],[λcy]]^2)*Reinforcements[[#This Row],[F''y]])</f>
        <v>64.474908164166294</v>
      </c>
      <c r="CN24" s="185">
        <f>VLOOKUP(Reinforcements[[#This Row],[Material]],Materials[],2,FALSE)</f>
        <v>65</v>
      </c>
      <c r="CO24" s="197">
        <f>IF(Reinforcements[[#This Row],[Reinforcement]]="","",Reinforcements[[#This Row],[Fax]]*Reinforcements[[#This Row],[Gross Area (in2)]])</f>
        <v>189.25725701315989</v>
      </c>
      <c r="CP24" s="197">
        <f>IF(Reinforcements[[#This Row],[Reinforcement]]="","",Reinforcements[[#This Row],[Fay]]*Reinforcements[[#This Row],[Gross Area (in2)]])</f>
        <v>227.83649439954195</v>
      </c>
      <c r="CQ24" s="197">
        <f>IF(Reinforcements[[#This Row],[Reinforcement]]="","",0.6*VLOOKUP(Reinforcements[[#This Row],[Material]],Materials[],2,FALSE)*Reinforcements[[#This Row],[Gross Area (in2)]])</f>
        <v>234</v>
      </c>
      <c r="CR24" s="197">
        <f>IF(Reinforcements[[#This Row],[Reinforcement]]="","",0.5*VLOOKUP(Reinforcements[[#This Row],[Material]],Materials[],3,FALSE)*Reinforcements[[#This Row],[Net Area (in2)]]*Reinforcements[[#This Row],[Shear Lag (U)]])</f>
        <v>190</v>
      </c>
      <c r="CS24" s="197">
        <f>IF(Reinforcements[[#This Row],[Reinforcement]]="","",0.4*VLOOKUP(Reinforcements[[#This Row],[Material]],Materials[],2,FALSE)*Reinforcements[[#This Row],[Gross Area (in2)]])</f>
        <v>156</v>
      </c>
      <c r="CT24"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24"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24"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24"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24"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24"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24"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876.85039370078744</v>
      </c>
      <c r="DA24"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977.00787401574803</v>
      </c>
      <c r="DB24"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24"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24"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4"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4" s="190" t="str">
        <f>IF($AZ24="Yes",DD24,IF(Reinforcements[[#This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4" s="190" t="str">
        <f>IF($AZ24="Yes",DE24,IF(Reinforcements[[#This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4" s="197">
        <f>IF(Reinforcements[[#This Row],[Reinforcement]]="","",φ_c*Reinforcements[[#This Row],[Fcr,x]]*Reinforcements[[#This Row],[Gross Area (in2)]])</f>
        <v>291.16947921285509</v>
      </c>
      <c r="DI24" s="197">
        <f>IF(Reinforcements[[#This Row],[Reinforcement]]="","",φ_c*Reinforcements[[#This Row],[Fcr,y]]*Reinforcements[[#This Row],[Gross Area (in2)]])</f>
        <v>348.16450408649803</v>
      </c>
      <c r="DJ24" s="197">
        <f>IF(Reinforcements[[#This Row],[Reinforcement]]="","",φ_t_y*VLOOKUP(Reinforcements[[#This Row],[Material]],Materials[],2,FALSE)*Reinforcements[[#This Row],[Gross Area (in2)]])</f>
        <v>351</v>
      </c>
      <c r="DK24" s="197">
        <f>IF(Reinforcements[[#This Row],[Reinforcement]]="","",φ_t_r*VLOOKUP(Reinforcements[[#This Row],[Material]],Materials[],3,FALSE)*Reinforcements[[#This Row],[Net Area (in2)]]*Reinforcements[[#This Row],[Shear Lag (U)]])</f>
        <v>285</v>
      </c>
      <c r="DL24" s="197">
        <f>IF(Reinforcements[[#This Row],[Reinforcement]]="","",φ_v*0.5*Reinforcements[[#This Row],[F''y]]*Reinforcements[[#This Row],[Gross Area (in2)]])</f>
        <v>175.5</v>
      </c>
      <c r="DM24"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24"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24"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24"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24"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24"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24"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1269.6188976377953</v>
      </c>
      <c r="DT24"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U24"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24"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24"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4"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4" s="190" t="str">
        <f>IF($AZ24="Yes",DW24,IF(Reinforcements[[#This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4" s="190" t="str">
        <f>IF($AZ24="Yes",DX24,IF(Reinforcements[[#This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4" s="241" t="str">
        <f>IF(OR(Reinforcements[[#This Row],[Type]]="plate",Reinforcements[[#This Row],[Type]]="solid round"),"N/A",Reinforcements[[#This Row],[B (in)]])</f>
        <v>N/A</v>
      </c>
      <c r="EB24" s="237" t="str">
        <f>IF(OR(Reinforcements[[#This Row],[Type]]="plate",Reinforcements[[#This Row],[Type]]="solid round"),"N/A",Reinforcements[[#This Row],[H (in)]])</f>
        <v>N/A</v>
      </c>
      <c r="EC24" s="237" t="str">
        <f>IF(OR(Reinforcements[[#This Row],[Type]]="plate",Reinforcements[[#This Row],[Type]]="solid round"),"N/A",Reinforcements[[#This Row],[B (in)]]-Reinforcements[[#This Row],['[Channel'] Flange Thickness (in)]])</f>
        <v>N/A</v>
      </c>
      <c r="ED24" s="237" t="str">
        <f>IF(OR(Reinforcements[[#This Row],[Type]]="plate",Reinforcements[[#This Row],[Type]]="solid round"),"N/A",Reinforcements[[#This Row],['[Channel']Web Thickness (in)]])</f>
        <v>N/A</v>
      </c>
      <c r="EE24" s="237" t="str">
        <f>IF(OR(Reinforcements[[#This Row],[Type]]="plate",Reinforcements[[#This Row],[Type]]="solid round"),"N/A",Reinforcements[[#This Row],['[Channel'] Flange Thickness (in)]])</f>
        <v>N/A</v>
      </c>
      <c r="EF24" s="237" t="str">
        <f>IF(Reinforcements[[#This Row],[Type]]="channel",Reinforcements[[#This Row],[Channel Flange Width, b]]/Reinforcements[[#This Row],[Channel flange thickness, tf]],"N/A")</f>
        <v>N/A</v>
      </c>
      <c r="EG24" s="237" t="str">
        <f>IF(Reinforcements[[#This Row],[Type]]="channel",Reinforcements[[#This Row],[Channel inside depth, T]]/Reinforcements[[#This Row],[Channel web thickness, tw]],"N/A")</f>
        <v>N/A</v>
      </c>
      <c r="EH24" s="237">
        <v>29000</v>
      </c>
      <c r="EI24" s="237" t="str">
        <f>IF(Reinforcements[[#This Row],[Type]]="channel",0.56*SQRT(Reinforcements[[#This Row],[E, (ksi)]]/Reinforcements[[#This Row],[Fy, (ksi)]]),"N/A")</f>
        <v>N/A</v>
      </c>
      <c r="EJ24" s="237" t="str">
        <f>IF(Reinforcements[[#This Row],[Type]]="channel",1.49*SQRT(Reinforcements[[#This Row],[E, (ksi)]]/Reinforcements[[#This Row],[Fy, (ksi)]]),"N/A")</f>
        <v>N/A</v>
      </c>
      <c r="EK24" s="237">
        <f>VLOOKUP(Reinforcements[[#This Row],[Material]],Materials!$B$2:$C$30,2,FALSE)</f>
        <v>65</v>
      </c>
      <c r="EL24" s="237">
        <f>Reinforcements[[#This Row],[Lu (in)]]*Reinforcements[[#This Row],[Effective Length Factor Kx]]</f>
        <v>12.8</v>
      </c>
      <c r="EM24" s="237">
        <f>Reinforcements[[#This Row],[Lu (in)]]*Reinforcements[[#This Row],[Effective Length Factor Ky]]</f>
        <v>16</v>
      </c>
      <c r="EN24" s="237">
        <f>Reinforcements[[#This Row],[rx]]</f>
        <v>0.28867513459481287</v>
      </c>
      <c r="EO24" s="237">
        <f>Reinforcements[[#This Row],[ry]]</f>
        <v>1.7320508075688772</v>
      </c>
      <c r="EP24" s="237">
        <f>Reinforcements[[#This Row],[Lcx (in)]]/Reinforcements[[#This Row],[rx (in)]]</f>
        <v>44.340500673763266</v>
      </c>
      <c r="EQ24" s="237">
        <f>Reinforcements[[#This Row],[Lcy (in)]]/Reinforcements[[#This Row],[ry (in)]]</f>
        <v>9.2376043070340135</v>
      </c>
      <c r="ER24" s="237">
        <f>((PI()^2)*Reinforcements[[#This Row],[E, (ksi)]])/(Reinforcements[[#This Row],[Lcx/rx]]^2)</f>
        <v>145.57827129699263</v>
      </c>
      <c r="ES24" s="237">
        <f>((PI()^2)*Reinforcements[[#This Row],[E, (ksi)]])/(Reinforcements[[#This Row],[Lcy/ry]]^2)</f>
        <v>3354.1233706827102</v>
      </c>
      <c r="ET24" s="237">
        <f>4.71*(SQRT(Reinforcements[[#This Row],[E, (ksi)]]/Reinforcements[[#This Row],[Fy, (ksi)]]))</f>
        <v>99.486288193205496</v>
      </c>
      <c r="EU24" s="237">
        <f>IF(Reinforcements[[#This Row],[Lcx/rx]]&lt;=Reinforcements[[#This Row],[Fcr Limit]],(0.658^(Reinforcements[[#This Row],[Fy, (ksi)]]/Reinforcements[[#This Row],[Fex, FB (ksi)]]))*Reinforcements[[#This Row],[Fy, (ksi)]],0.877*Reinforcements[[#This Row],[Fex, FB (ksi)]])</f>
        <v>53.9202739283065</v>
      </c>
      <c r="EV24" s="237">
        <f>IF(Reinforcements[[#This Row],[Lcy/ry]]&lt;=Reinforcements[[#This Row],[Fcr Limit]],(0.658^(Reinforcements[[#This Row],[Fy, (ksi)]]/Reinforcements[[#This Row],[Fey, FB (ksi)]]))*Reinforcements[[#This Row],[Fy, (ksi)]],0.877*Reinforcements[[#This Row],[Fey, FB (ksi)]])</f>
        <v>64.474908164166294</v>
      </c>
      <c r="EW24" s="237">
        <f>Reinforcements[[#This Row],[Fcrx (ksi)]]*Reinforcements[[#This Row],[Gross Area (in2)]]</f>
        <v>323.521643569839</v>
      </c>
      <c r="EX24" s="237">
        <f>Reinforcements[[#This Row],[Fcry (ksi)]]*Reinforcements[[#This Row],[Gross Area (in2)]]</f>
        <v>386.84944898499776</v>
      </c>
      <c r="EY24" s="237" t="str">
        <f>IF(Reinforcements[[#This Row],[Type]]="channel",0,"N/A")</f>
        <v>N/A</v>
      </c>
      <c r="EZ24" s="237" t="str">
        <f>IF(Reinforcements[[#This Row],[Type]]="channel",Reinforcements[[#This Row],[Channel Flange Width, b]]-(0.5*Reinforcements[[#This Row],[Channel web thickness, tw]]),"N/A")</f>
        <v>N/A</v>
      </c>
      <c r="FA24" s="237" t="str">
        <f>IF(Reinforcements[[#This Row],[Type]]="channel",Reinforcements[[#This Row],[Channel Height, h]]-Reinforcements[[#This Row],[Channel flange thickness, tf]],"N/A")</f>
        <v>N/A</v>
      </c>
      <c r="FB24" s="237" t="str">
        <f>IF(Reinforcements[[#This Row],[Type]]="channel",Reinforcements[[#This Row],[Channel web thickness, tw]],"N/A")</f>
        <v>N/A</v>
      </c>
      <c r="FC24" s="237" t="str">
        <f>IF(Reinforcements[[#This Row],[Type]]="channel",((3*Reinforcements[[#This Row],[b]]^2)/(Reinforcements[[#This Row],[h]]+(6*Reinforcements[[#This Row],[b]])))-Reinforcements[[#This Row],[t]]/2,"N/A")</f>
        <v>N/A</v>
      </c>
      <c r="FD24" s="237">
        <f>Reinforcements[[#This Row],[Pole Face to Centroid (in)]]</f>
        <v>0.5</v>
      </c>
      <c r="FE24" s="237" t="str">
        <f>IF(Reinforcements[[#This Row],[Type]]="channel",Reinforcements[[#This Row],[x(bar)]]+Reinforcements[[#This Row],['[Channel'] e0 (in)]],"N/A")</f>
        <v>N/A</v>
      </c>
      <c r="FF24" s="237" t="str">
        <f>IF(Reinforcements[[#This Row],[Type]]="channel",Reinforcements[[#This Row],[Ix]],"N/A")</f>
        <v>N/A</v>
      </c>
      <c r="FG24" s="237" t="str">
        <f>IF(Reinforcements[[#This Row],[Type]]="channel",Reinforcements[[#This Row],[Iy]],"N/A")</f>
        <v>N/A</v>
      </c>
      <c r="FH24" s="237" t="str">
        <f>IF(Reinforcements[[#This Row],[Type]]="channel",Reinforcements[[#This Row],[Gross Area (in2)]],"N/A")</f>
        <v>N/A</v>
      </c>
      <c r="FI24" s="237" t="str">
        <f>IF(Reinforcements[[#This Row],[Type]]="channel",(Reinforcements[[#This Row],[xo]]^2)+((Reinforcements[[#This Row],[Ix (FTB)]]+Reinforcements[[#This Row],[Iy (FTB)]])/Reinforcements[[#This Row],[Ag]]),"N/A")</f>
        <v>N/A</v>
      </c>
      <c r="FJ24" s="237" t="str">
        <f>IF(Reinforcements[[#This Row],[Type]]="channel",Reinforcements[[#This Row],[Lu (in)]],"N/A")</f>
        <v>N/A</v>
      </c>
      <c r="FK24" s="237" t="str">
        <f>IF(Reinforcements[[#This Row],[Type]]="channel",Reinforcements[[#This Row],[Effective Length Factor Kx]],"N/A")</f>
        <v>N/A</v>
      </c>
      <c r="FL24" s="237" t="str">
        <f>IF(Reinforcements[[#This Row],[Type]]="channel",Reinforcements[[#This Row],[Kz]]*Reinforcements[[#This Row],[Lz]],"N/A")</f>
        <v>N/A</v>
      </c>
      <c r="FM24" s="237" t="str">
        <f>IF(Reinforcements[[#This Row],[Type]]="channel",(((Reinforcements[[#This Row],[t]]^3)/3)*(Reinforcements[[#This Row],[h]]+(2*Reinforcements[[#This Row],[b]]))),"N/A")</f>
        <v>N/A</v>
      </c>
      <c r="FN24" s="237" t="str">
        <f>IF(Reinforcements[[#This Row],[Type]]="channel",(1-(((Reinforcements[[#This Row],[xo]]^2)+(Reinforcements[[#This Row],[yo]]^2))/Reinforcements[[#This Row],[ro^2(bar)]])),"N/A")</f>
        <v>N/A</v>
      </c>
      <c r="FO24" s="237">
        <v>11200</v>
      </c>
      <c r="FP24" s="237" t="str">
        <f>IF(Reinforcements[[#This Row],[Type]]="channel",(((Reinforcements[[#This Row],[h]]^2)*(Reinforcements[[#This Row],[b]]^3)*Reinforcements[[#This Row],[t]])/12)*(((2*Reinforcements[[#This Row],[h]])+(3*Reinforcements[[#This Row],[b]]))/(Reinforcements[[#This Row],[h]]+(6*Reinforcements[[#This Row],[b]]))),"N/A")</f>
        <v>N/A</v>
      </c>
      <c r="FQ24" s="237" t="str">
        <f>IF(Reinforcements[[#This Row],[Type]]="Channel",((((PI()^2)*Reinforcements[[#This Row],[E, (ksi)]]*Reinforcements[[#This Row],['[Channel'] CW (in6)]])/(Reinforcements[[#This Row],[Lcz]]^2))+(Reinforcements[[#This Row],[G]]*Reinforcements[[#This Row],['[Channel'] J (in4)]]))*(1/(Reinforcements[[#This Row],[Ag]]*Reinforcements[[#This Row],[ro^2(bar)]])),"N/A")</f>
        <v>N/A</v>
      </c>
      <c r="FR24" s="237" t="str">
        <f>IF(Reinforcements[[#This Row],[Type]]="channel",((PI()^2)*Reinforcements[[#This Row],[E, (ksi)]])/(Reinforcements[[#This Row],[Lcy/ry]]^2),"N/A")</f>
        <v>N/A</v>
      </c>
      <c r="FS24" s="237" t="str">
        <f>IF(Reinforcements[[#This Row],[Type]]="channel",((Reinforcements[[#This Row],[Fey]]+Reinforcements[[#This Row],[Fez]])/(2*Reinforcements[[#This Row],[H2]]))*(1-SQRT(1-((4*Reinforcements[[#This Row],[Fey]]*Reinforcements[[#This Row],[Fez]]*Reinforcements[[#This Row],[H2]])/(Reinforcements[[#This Row],[Fey]]+Reinforcements[[#This Row],[Fez]])^2))),"N/A")</f>
        <v>N/A</v>
      </c>
      <c r="FT24" s="237" t="str">
        <f>IF(Reinforcements[[#This Row],[Type]]="channel",IF(Reinforcements[[#This Row],[Lcx/rx]]&gt;(4.71*SQRT(Reinforcements[[#This Row],[E, (ksi)]]/Reinforcements[[#This Row],[Fy, (ksi)]])),0.877*Reinforcements[[#This Row],[Fe (FTB)]],0.658^(Reinforcements[[#This Row],[Fy, (ksi)]]/Reinforcements[[#This Row],[Fe (FTB)]])*Reinforcements[[#This Row],[Fy, (ksi)]]),"N/A")</f>
        <v>N/A</v>
      </c>
      <c r="FU24" s="237" t="str">
        <f>IF(Reinforcements[[#This Row],[Type]]="channel",MIN(Reinforcements[[#This Row],[Fcr(FTB)]],Reinforcements[[#This Row],[Fcry (ksi)]]),"N/A")</f>
        <v>N/A</v>
      </c>
      <c r="FV24" s="237">
        <v>0.22</v>
      </c>
      <c r="FW24" s="237">
        <v>1.49</v>
      </c>
      <c r="FX24" s="237" t="str">
        <f>IF(Reinforcements[[#This Row],[Type]]="channel",((Reinforcements[[#This Row],[c2]]*(Reinforcements[[#This Row],[λrf]]/Reinforcements[[#This Row],[λf]]))^2)*Reinforcements[[#This Row],[Fy, (ksi)]],"N/A")</f>
        <v>N/A</v>
      </c>
      <c r="FY24" s="237" t="str">
        <f>IF(Reinforcements[[#This Row],[Type]]="channel",((Reinforcements[[#This Row],[c2]]*(Reinforcements[[#This Row],[λrw]]/Reinforcements[[#This Row],[λw]]))^2)*Reinforcements[[#This Row],[Fy, (ksi)]],"N/A")</f>
        <v>N/A</v>
      </c>
      <c r="FZ24"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4"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4"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4" s="237" t="str">
        <f>IF(Reinforcements[[#This Row],[Type]]="channel",Reinforcements[[#This Row],[Fcr]]*Reinforcements[[#This Row],[Ae]],"N/A")</f>
        <v>N/A</v>
      </c>
      <c r="GD24" s="466">
        <f>IF(Reinforcements[[#This Row],[Reinforcement]]="","",φ_c*Reinforcements[[#This Row],[Pnx, FB (kip)]])</f>
        <v>291.16947921285509</v>
      </c>
      <c r="GE24" s="466">
        <f>IF(Reinforcements[[#This Row],[Reinforcement]]="","",IF(Reinforcements[[#This Row],[Type]]="channel",φ_c*Reinforcements[[#This Row],[Pn]],φ_c*Reinforcements[[#This Row],[Pny, FB (kip)]]))</f>
        <v>348.16450408649797</v>
      </c>
      <c r="GF24" s="466">
        <f>Reinforcements[[#This Row],[Rev. G Tension Yield Capacity (kips)]]</f>
        <v>351</v>
      </c>
      <c r="GG24" s="466">
        <f>Reinforcements[[#This Row],[Rev. G Tension Rupture Capacity (kips)]]</f>
        <v>285</v>
      </c>
      <c r="GH24" s="466">
        <f>Reinforcements[[#This Row],[Rev. G Shear Capacity (kips)]]</f>
        <v>175.5</v>
      </c>
      <c r="GI24" s="466">
        <f>IFERROR((Reinforcements[[#This Row],['# of End Connection Bolts          (Bottom)]]-1)*Reinforcements[[#This Row],[End Connection Bolt Spacing (in) (B)]],"-")</f>
        <v>21</v>
      </c>
      <c r="GJ24" s="466">
        <f>IFERROR(IF(VLOOKUP(Reinforcements[[#This Row],[Bottom End Connection Bolt Type]],Bolts[],COLUMN(Bolts[[#Headers],[Rev. H Apply Connection Length Reduction Factor (Rb)?]])-1,FALSE)="Yes",(IF(Reinforcements[[#This Row],[Lb(bottom)]]&lt;=16,1,IF(Reinforcements[[#This Row],[Lb(bottom)]]&gt;38,0.75,0.9))),1),"-")</f>
        <v>1</v>
      </c>
      <c r="GK24"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24" s="466">
        <f>IFERROR(IF(Reinforcements[[#This Row],[Top End Connection Same?]]="Yes",Reinforcements[[#This Row],[Lb(bottom)]],(Reinforcements[[#This Row],['# of End Connection Bolts          (Top)]]-1)*Reinforcements[[#This Row],[End Connection Bolt Spacing (in) (T)]]),"-")</f>
        <v>21</v>
      </c>
      <c r="GM24" s="466">
        <f>IFERROR(IF(VLOOKUP(Reinforcements[[#This Row],[Top End Connection Bolt Type]],Bolts[],COLUMN(Bolts[[#Headers],[Rev. H Apply Connection Length Reduction Factor (Rb)?]])-1,FALSE)="Yes",(IF(Reinforcements[[#This Row],[Lb(top)]]&lt;=16,1,IF(Reinforcements[[#This Row],[Lb(top)]]&gt;38,0.75,0.9))),1),"-")</f>
        <v>1</v>
      </c>
      <c r="GN24"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371.19712776654347</v>
      </c>
      <c r="GO24" s="466">
        <f>Reinforcements[[#This Row],[Rev. G Bolt-Shaft Bearing Capacity (Bottom)                No Deformation          (*t*Fu kips)]]</f>
        <v>15.870236220472439</v>
      </c>
      <c r="GP24" s="466">
        <f>Reinforcements[[#This Row],[Rev. G Bolt-Shaft Bearing Capacity (Bottom)                   Deformation          (*t*Fu kips)]]</f>
        <v>19.837795275590551</v>
      </c>
      <c r="GQ24" s="466">
        <f>Reinforcements[[#This Row],[Rev. G Bolt-Shaft Bearing Capacity (Top)                    No Deformation          (*t*Fu kips)]]</f>
        <v>15.870236220472439</v>
      </c>
      <c r="GR24" s="466">
        <f>Reinforcements[[#This Row],[Rev. G Bolt-Shaft Bearing Capacity (Top)                        Deformation          (*t*Fu kips)]]</f>
        <v>19.837795275590551</v>
      </c>
      <c r="GS24" s="466">
        <f>Reinforcements[[#This Row],[Rev. G Bolt-Reinf. Bearing Capacity (Bottom)            No Deformation (kips)]]</f>
        <v>1269.6188976377953</v>
      </c>
      <c r="GT24" s="466">
        <f>Reinforcements[[#This Row],[Rev. G Bolt-Reinf. Bearing Capacity (Bottom)               Deformation (kips)]]</f>
        <v>1587.0236220472443</v>
      </c>
      <c r="GU24" s="466">
        <f>Reinforcements[[#This Row],[Rev. G Bolt-Reinf. Bearing Capacity (Top)                  No Deformation (kips)]]</f>
        <v>1269.6188976377953</v>
      </c>
      <c r="GV24" s="466">
        <f>Reinforcements[[#This Row],[Rev. G Bolt-Reinf. Bearing Capacity (Top)               Deformation (kips)]]</f>
        <v>1587.0236220472443</v>
      </c>
      <c r="GW24" s="466" t="str">
        <f>Reinforcements[[#This Row],[Rev. G Bottom Transverse Weld Strength]]</f>
        <v>-</v>
      </c>
      <c r="GX24" s="466" t="str">
        <f>Reinforcements[[#This Row],[Rev. G Bottom Longitudinal Weld Strength]]</f>
        <v>-</v>
      </c>
      <c r="GY24" s="466" t="str">
        <f>Reinforcements[[#This Row],[Rev. G Top Transverse Weld Strength]]</f>
        <v>-</v>
      </c>
      <c r="GZ24" s="466" t="str">
        <f>Reinforcements[[#This Row],[Rev. G Top Longitudinal Weld Strength]]</f>
        <v>-</v>
      </c>
      <c r="HA24" s="552">
        <v>22</v>
      </c>
      <c r="HB24"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5" spans="2:217" s="65" customFormat="1" x14ac:dyDescent="0.2">
      <c r="B25" s="72" t="s">
        <v>362</v>
      </c>
      <c r="C25" s="72" t="s">
        <v>146</v>
      </c>
      <c r="D25" s="185">
        <v>6.5</v>
      </c>
      <c r="E25" s="185">
        <v>1.25</v>
      </c>
      <c r="F25" s="185" t="str">
        <f>IF(Reinforcements[[#This Row],[Type]]="","",IF(Reinforcements[[#This Row],[Type]]="solid round","","n/a"))</f>
        <v>n/a</v>
      </c>
      <c r="G25" s="185" t="str">
        <f>IF(Reinforcements[[#This Row],[Type]]="","",IF(Reinforcements[[#This Row],[Type]]&lt;&gt;"channel","n/a",""))</f>
        <v>n/a</v>
      </c>
      <c r="H25" s="185" t="str">
        <f>IF(Reinforcements[[#This Row],[Type]]="","",IF(Reinforcements[[#This Row],[Type]]&lt;&gt;"channel","n/a",""))</f>
        <v>n/a</v>
      </c>
      <c r="I25" s="197" t="str">
        <f>IF(Reinforcements[[#This Row],[Type]]="","",IF(Reinforcements[[#This Row],[Type]]&lt;&gt;"channel","n/a",Reinforcements[[#This Row],[eo]]))</f>
        <v>n/a</v>
      </c>
      <c r="J25" s="197" t="str">
        <f>IF(Reinforcements[[#This Row],[Type]]="","",IF(Reinforcements[[#This Row],[Type]]&lt;&gt;"channel","n/a",Reinforcements[[#This Row],[J]]))</f>
        <v>n/a</v>
      </c>
      <c r="K25" s="197" t="str">
        <f>IF(Reinforcements[[#This Row],[Type]]="","",IF(Reinforcements[[#This Row],[Type]]&lt;&gt;"channel","n/a",Reinforcements[[#This Row],[Cw]]))</f>
        <v>n/a</v>
      </c>
      <c r="L25" s="185">
        <f>IFERROR(IF(Reinforcements[[#This Row],[Type]]="","",IF(Reinforcements[[#This Row],[Type]]="plate",Reinforcements[[#This Row],[B (in)]]*Reinforcements[[#This Row],[H (in)]],IF(Reinforcements[[#This Row],[Type]]="solid round",PI()/4*Reinforcements[[#This Row],[Diameter (in)]]^2,""))),"")</f>
        <v>8.125</v>
      </c>
      <c r="M25" s="185">
        <f>IFERROR(IF(Reinforcements[[#This Row],[Type]]="","",IF(Reinforcements[[#This Row],[Type]]="plate",Reinforcements[[#This Row],[H (in)]]/2,"")),"")</f>
        <v>0.625</v>
      </c>
      <c r="N25" s="186" t="s">
        <v>297</v>
      </c>
      <c r="O25" s="185" t="s">
        <v>60</v>
      </c>
      <c r="P25" s="187">
        <f>IFERROR(IF(Reinforcements[[#This Row],[Type]]="","",IF(Reinforcements[[#This Row],[Type]]="plate",Reinforcements[[#This Row],[B (in)]]*Reinforcements[[#This Row],[H (in)]]^3/12,IF(Reinforcements[[#This Row],[Type]]="solid round",PI()/64*Reinforcements[[#This Row],[Diameter (in)]]^4,""))),"")</f>
        <v>1.0579427083333333</v>
      </c>
      <c r="Q25" s="187">
        <f>IF(Reinforcements[[#This Row],[Reinforcement]]="","",SQRT(Reinforcements[[#This Row],[Ix]]/Reinforcements[[#This Row],[Gross Area (in2)]]))</f>
        <v>0.36084391824351608</v>
      </c>
      <c r="R25" s="187">
        <f>IFERROR(IF(Reinforcements[[#This Row],[Type]]="","",IF(Reinforcements[[#This Row],[Type]]="plate",Reinforcements[[#This Row],[B (in)]]^3*Reinforcements[[#This Row],[H (in)]]/12,IF(Reinforcements[[#This Row],[Type]]="solid round",PI()/64*Reinforcements[[#This Row],[Diameter (in)]]^4,""))),"")</f>
        <v>28.606770833333332</v>
      </c>
      <c r="S25" s="187">
        <f>IF(Reinforcements[[#This Row],[Reinforcement]]="","",SQRT(Reinforcements[[#This Row],[Iy]]/Reinforcements[[#This Row],[Gross Area (in2)]]))</f>
        <v>1.8763883748662837</v>
      </c>
      <c r="T25" s="190">
        <v>19</v>
      </c>
      <c r="U25" s="188">
        <v>0.8</v>
      </c>
      <c r="V25" s="188">
        <v>1</v>
      </c>
      <c r="W25" s="185">
        <v>1.1875</v>
      </c>
      <c r="X25" s="188">
        <f>IF(Reinforcements[[#This Row],[Bolt Hole Size (in)]]="","",IF(Reinforcements[[#This Row],[Bolt Hole Size (in)]]="n/a","n/a",Reinforcements[[#This Row],[Bolt Hole Size (in)]]*25.4))</f>
        <v>30.162499999999998</v>
      </c>
      <c r="Y25"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25" s="185">
        <f>IFERROR(IF(Reinforcements[[#This Row],[Reinforcement]]="","",IF(OR(Reinforcements[[#This Row],[Type]]="plate",Reinforcements[[#This Row],[Type]]="solid round"),1,IF(Reinforcements[[#This Row],[Type]]="arbitrary","",1-Reinforcements[[#This Row],[Pole Face to Centroid (in)]]/Reinforcements[[#This Row],[Connection Length (in) '[Channels']]]))),"")</f>
        <v>1</v>
      </c>
      <c r="AA25" s="189" t="s">
        <v>391</v>
      </c>
      <c r="AB25" s="189" t="str">
        <f>IF(Reinforcements[[#This Row],[Reinforcement]]="","",IF(Reinforcements[[#This Row],[Bottom End Connection Type]]&lt;&gt;"Capacity Input","-",""))</f>
        <v>-</v>
      </c>
      <c r="AC25" s="189" t="str">
        <f>IF(Reinforcements[[#This Row],[Reinforcement]]="","",IF(Reinforcements[[#This Row],[Bottom End Connection Type]]&lt;&gt;"Capacity Input","-",""))</f>
        <v>-</v>
      </c>
      <c r="AD25" s="461" t="str">
        <f>IF(Reinforcements[[#This Row],[Reinforcement]]="","",IF(Reinforcements[[#This Row],[Bottom End Connection Type]]&lt;&gt;"Capacity Input","-",""))</f>
        <v>-</v>
      </c>
      <c r="AE25" s="103" t="s">
        <v>416</v>
      </c>
      <c r="AF25" s="190" t="s">
        <v>296</v>
      </c>
      <c r="AG25" s="190">
        <v>11</v>
      </c>
      <c r="AH25" s="190">
        <v>3</v>
      </c>
      <c r="AI25" s="190">
        <v>3</v>
      </c>
      <c r="AJ25" s="190">
        <f>Reinforcements[[#This Row],[End Connection Edge Distance (in) (B)]]-(Reinforcements[[#This Row],[Bolt Hole Size (in)]]+1/16)/2</f>
        <v>2.375</v>
      </c>
      <c r="AK25" s="190">
        <f>Reinforcements[[#This Row],[End Connection Bolt Spacing (in) (B)]]-(Reinforcements[[#This Row],[Bolt Hole Size (in)]]+1/16)</f>
        <v>1.75</v>
      </c>
      <c r="AL25" s="190">
        <f>Reinforcements[[#This Row],[End Connection Edge Distance (in) (B)]]</f>
        <v>3</v>
      </c>
      <c r="AM25" s="190">
        <f>Reinforcements[[#This Row],[End Connection Bolt Spacing (in) (B)]]</f>
        <v>3</v>
      </c>
      <c r="AN25" s="190" t="str">
        <f>IF(Reinforcements[[#This Row],[Reinforcement]]="","",IF(OR(Reinforcements[[#This Row],[Bottom End Connection Type]]="Bolted",Reinforcements[[#This Row],[Bottom End Connection Type]]=""),"-",""))</f>
        <v>-</v>
      </c>
      <c r="AO25" s="191" t="str">
        <f>IF(Reinforcements[[#This Row],[Reinforcement]]="","",IF(OR(Reinforcements[[#This Row],[Bottom End Connection Type]]="Bolted",Reinforcements[[#This Row],[Bottom End Connection Type]]=""),"-",""))</f>
        <v>-</v>
      </c>
      <c r="AP25" s="191" t="str">
        <f>IF(Reinforcements[[#This Row],[Reinforcement]]="","",IF(OR(Reinforcements[[#This Row],[Bottom End Connection Type]]="Bolted",Reinforcements[[#This Row],[Bottom End Connection Type]]=""),"-",""))</f>
        <v>-</v>
      </c>
      <c r="AQ25" s="191" t="str">
        <f>IF(OR(Reinforcements[[#This Row],[Bottom End Connection Type]]="Bolted",Reinforcements[[#This Row],[Bottom Transverse (Horizontal) Weld]]="none"),"-","")</f>
        <v>-</v>
      </c>
      <c r="AR2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5" s="191" t="str">
        <f>IF(OR(Reinforcements[[#This Row],[Bottom Transverse (Horizontal) Weld]]="none",Reinforcements[[#This Row],[Bottom End Connection Type]]="Bolted"),"-","")</f>
        <v>-</v>
      </c>
      <c r="AU25"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5" s="191" t="str">
        <f>IF(Reinforcements[[#This Row],[Reinforcement]]="","",IF(OR(Reinforcements[[#This Row],[Bottom End Connection Type]]="Bolted",Reinforcements[[#This Row],[Bottom End Connection Type]]=""),"-",""))</f>
        <v>-</v>
      </c>
      <c r="AW25" s="191" t="str">
        <f>IF(Reinforcements[[#This Row],[Reinforcement]]="","",IF(OR(Reinforcements[[#This Row],[Bottom End Connection Type]]&lt;&gt;"Welded",Reinforcements[[#This Row],[Bottom Longitudinal (Vertical) Weld]]="None",Reinforcements[[#This Row],[Bottom Longitudinal (Vertical) Weld]]=""),"-",""))</f>
        <v>-</v>
      </c>
      <c r="AX25" s="191" t="str">
        <f>IF(Reinforcements[[#This Row],[Reinforcement]]="","",IF(OR(Reinforcements[[#This Row],[Bottom End Connection Type]]&lt;&gt;"Welded",Reinforcements[[#This Row],[Bottom Longitudinal (Vertical) Weld]]="None",Reinforcements[[#This Row],[Bottom Longitudinal (Vertical) Weld]]=""),"-",""))</f>
        <v>-</v>
      </c>
      <c r="AY25" s="190" t="str">
        <f>IF(Reinforcements[[#This Row],[Reinforcement]]="","",IF(OR(Reinforcements[[#This Row],[Bottom End Connection Type]]&lt;&gt;"Welded",Reinforcements[[#This Row],[Bottom Longitudinal (Vertical) Weld]]="None"),"-",SQRT(2)/2*Reinforcements[[#This Row],[Bottom Longitudinal Weld Fillet Size (in)]]))</f>
        <v>-</v>
      </c>
      <c r="AZ25" s="191" t="s">
        <v>295</v>
      </c>
      <c r="BA25" s="189" t="str">
        <f>IF(Reinforcements[[#This Row],[Top End Connection Same?]]="Yes",Reinforcements[[#This Row],[Bottom End Connection Type]],"")</f>
        <v>Bolted</v>
      </c>
      <c r="BB25" s="189" t="str">
        <f>IF(Reinforcements[[#This Row],[Reinforcement]]="","",IF(Reinforcements[[#This Row],[Top End Connection Same?]]="Yes",Reinforcements[[#This Row],[Rev. F Bottom Connection Capacity (kips)]],IF(Reinforcements[[#This Row],[Reinforcement]]="","",IF(Reinforcements[[#This Row],[Top End Connection Type]]&lt;&gt;"Capacity Input","-",""))))</f>
        <v>-</v>
      </c>
      <c r="BC25" s="189" t="str">
        <f>IF(Reinforcements[[#This Row],[Reinforcement]]="","",IF(Reinforcements[[#This Row],[Top End Connection Same?]]="Yes",Reinforcements[[#This Row],[Rev. G Bottom Connection Capacity (kips)]],IF(Reinforcements[[#This Row],[Reinforcement]]="","",IF(Reinforcements[[#This Row],[Top End Connection Type]]&lt;&gt;"Capacity Input","-",""))))</f>
        <v>-</v>
      </c>
      <c r="BD25" s="461" t="str">
        <f>IF(Reinforcements[[#This Row],[Reinforcement]]="","",IF(Reinforcements[[#This Row],[Top End Connection Same?]]="Yes",Reinforcements[[#This Row],[Rev. G Bottom Connection Capacity (kips)]],IF(Reinforcements[[#This Row],[Reinforcement]]="","",IF(Reinforcements[[#This Row],[Top End Connection Type]]&lt;&gt;"Capacity Input","-",""))))</f>
        <v>-</v>
      </c>
      <c r="BE25" s="103" t="str">
        <f>IF(Reinforcements[[#This Row],[Top End Connection Same?]]="Yes",Reinforcements[[#This Row],[Bottom End Connection Bolt Type]],IF(Reinforcements[[#This Row],[Top End Connection Type]]="Welded","-",""))</f>
        <v>PC 8.8 - M20 (100)</v>
      </c>
      <c r="BF25" s="190" t="str">
        <f>IF(Reinforcements[[#This Row],[Top End Connection Same?]]="Yes",Reinforcements[[#This Row],[Threads Included (N) or Excluded (X) (Bottom)]],IF(Reinforcements[[#This Row],[Top End Connection Type]]="Welded","-",""))</f>
        <v>N</v>
      </c>
      <c r="BG25" s="190">
        <f>IF(Reinforcements[[#This Row],[Top End Connection Same?]]="Yes",Reinforcements[[#This Row],['# of End Connection Bolts          (Bottom)]],IF(Reinforcements[[#This Row],[Top End Connection Type]]="Welded","-",""))</f>
        <v>11</v>
      </c>
      <c r="BH25" s="190">
        <f>IF(Reinforcements[[#This Row],[Top End Connection Same?]]="Yes",Reinforcements[[#This Row],[End Connection Bolt Spacing (in) (B)]],IF(Reinforcements[[#This Row],[Top End Connection Type]]="Welded","-",""))</f>
        <v>3</v>
      </c>
      <c r="BI25" s="190">
        <f>IF(Reinforcements[[#This Row],[Top End Connection Same?]]="Yes",Reinforcements[[#This Row],[End Connection Edge Distance (in) (B)]],IF(Reinforcements[[#This Row],[Top End Connection Type]]="Welded","-",""))</f>
        <v>3</v>
      </c>
      <c r="BJ25" s="190">
        <f>Reinforcements[[#This Row],[End Connection Edge Distance (in) (T)]]-(Reinforcements[[#This Row],[Bolt Hole Size (in)]]+1/16)/2</f>
        <v>2.375</v>
      </c>
      <c r="BK25" s="190">
        <f>Reinforcements[[#This Row],[End Connection Bolt Spacing (in) (T)]]-(Reinforcements[[#This Row],[Bolt Hole Size (in)]]+1/16)</f>
        <v>1.75</v>
      </c>
      <c r="BL25" s="190">
        <f>Reinforcements[[#This Row],[End Connection Edge Distance (in) (T)]]</f>
        <v>3</v>
      </c>
      <c r="BM25" s="190">
        <f>Reinforcements[[#This Row],[End Connection Bolt Spacing (in) (T)]]</f>
        <v>3</v>
      </c>
      <c r="BN25" s="190" t="str">
        <f>IF(Reinforcements[[#This Row],[Reinforcement]]="","",IF(Reinforcements[[#This Row],[Top End Connection Same?]]="Yes",Reinforcements[[#This Row],[Bottom Connected to Flange/Base Plate?]],IF(Reinforcements[[#This Row],[Top End Connection Type]]="Bolted","-","")))</f>
        <v>-</v>
      </c>
      <c r="BO25" s="190" t="str">
        <f>IF(Reinforcements[[#This Row],[Reinforcement]]="","",IF(Reinforcements[[#This Row],[Top End Connection Same?]]="Yes",Reinforcements[[#This Row],[Bottom Weld Grade (ksi)]],IF(OR(Reinforcements[[#This Row],[Top End Connection Type]]&lt;&gt;"Welded",Reinforcements[[#This Row],[Top End Connection Type]]=""),"-","")))</f>
        <v>-</v>
      </c>
      <c r="BP25" s="190" t="str">
        <f>IF($AZ25="Yes",AP25,IF(Reinforcements[[#This Row],[Reinforcement]]="","",IF(OR(Reinforcements[[#This Row],[Top End Connection Type]]&lt;&gt;"Welded",Reinforcements[[#This Row],[Top End Connection Type]]=""),"-","")))</f>
        <v>-</v>
      </c>
      <c r="BQ25" s="190" t="str">
        <f>IF(Reinforcements[[#This Row],[Reinforcement]]="","",IF($AZ25="Yes",AQ25,IF(OR(Reinforcements[[#This Row],[Top End Connection Type]]&lt;&gt;"Welded",Reinforcements[[#This Row],[Top Transverse (Horizontal) Weld]]="none",Reinforcements[[#This Row],[Top Transverse (Horizontal) Weld]]=""),"-","")))</f>
        <v>-</v>
      </c>
      <c r="BR25" s="190" t="str">
        <f>IF($AZ25="Yes",AR25,IF(Reinforcements[[#This Row],[Reinforcement]]="","",IF(OR(Reinforcements[[#This Row],[Top Transverse (Horizontal) Weld]]="none",Reinforcements[[#This Row],[Top End Connection Type]]&lt;&gt;"Welded",Reinforcements[[#This Row],[Top Transverse (Horizontal) Weld]]="",Reinforcements[[#This Row],[Top Transverse (Horizontal) Weld]]="Fillet"),"-","")))</f>
        <v>-</v>
      </c>
      <c r="BS25" s="190" t="str">
        <f>IF($AZ25="Yes",AS25,IF(Reinforcements[[#This Row],[Reinforcement]]="","",IF(OR(Reinforcements[[#This Row],[Top Transverse (Horizontal) Weld]]="none",Reinforcements[[#This Row],[Top End Connection Type]]&lt;&gt;"Welded",Reinforcements[[#This Row],[Top Transverse (Horizontal) Weld]]="",Reinforcements[[#This Row],[Top Transverse (Horizontal) Weld]]="Fillet"),"-","")))</f>
        <v>-</v>
      </c>
      <c r="BT25" s="190" t="str">
        <f>IF(Reinforcements[[#This Row],[Reinforcement]]="","",IF($AZ25="Yes",AT25,IF(OR(Reinforcements[[#This Row],[Top Transverse (Horizontal) Weld]]="none",Reinforcements[[#This Row],[Top End Connection Type]]&lt;&gt;"Welded",Reinforcements[[#This Row],[Top Transverse (Horizontal) Weld]]=""),"-","")))</f>
        <v>-</v>
      </c>
      <c r="BU25" s="190" t="str">
        <f>IF($AZ25="Yes",AU25,IF(Reinforcements[[#This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5" s="190" t="str">
        <f>IF($AZ25="Yes",AV25,IF(Reinforcements[[#This Row],[Reinforcement]]="","",IF(OR(Reinforcements[[#This Row],[Top End Connection Type]]&lt;&gt;"Welded",Reinforcements[[#This Row],[Top End Connection Type]]=""),"-","")))</f>
        <v>-</v>
      </c>
      <c r="BW25" s="190" t="str">
        <f>IF($AZ25="Yes",AW25,IF(Reinforcements[[#This Row],[Reinforcement]]="","",IF(OR(Reinforcements[[#This Row],[Top End Connection Type]]&lt;&gt;"Welded",Reinforcements[[#This Row],[Top End Connection Type]]="",Reinforcements[[#This Row],[Top Longitudinal (Vertical) Weld]]="",Reinforcements[[#This Row],[Top Longitudinal (Vertical) Weld]]="None"),"-","")))</f>
        <v>-</v>
      </c>
      <c r="BX25" s="190" t="str">
        <f>IF($AZ25="Yes",AX25,IF(Reinforcements[[#This Row],[Reinforcement]]="","",IF(OR(Reinforcements[[#This Row],[Top End Connection Type]]&lt;&gt;"Welded",Reinforcements[[#This Row],[Top End Connection Type]]="",Reinforcements[[#This Row],[Top Longitudinal (Vertical) Weld]]="",Reinforcements[[#This Row],[Top Longitudinal (Vertical) Weld]]="None"),"-","")))</f>
        <v>-</v>
      </c>
      <c r="BY25" s="190" t="str">
        <f>IF($AZ25="Yes",AY25,IF(Reinforcements[[#This Row],[Reinforcement]]="","",IF(OR(Reinforcements[[#This Row],[Top End Connection Type]]&lt;&gt;"Welded",Reinforcements[[#This Row],[Top Longitudinal (Vertical) Weld]]="none"),"-",SQRT(2)/2*Reinforcements[[#This Row],[Top Longitudinal Weld Fillet Size (in)]])))</f>
        <v>-</v>
      </c>
      <c r="BZ25"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5" s="192">
        <f>IF(Reinforcements[[#This Row],[Reinforcement]]="","",IF(Reinforcements[[#This Row],[Bottom End Connection Type]]&lt;&gt;"Bolted","n/a",(Reinforcements[[#This Row],['# of End Connection Bolts          (Bottom)]]-1)*Reinforcements[[#This Row],[End Connection Bolt Spacing (in) (B)]]+Reinforcements[[#This Row],[End Connection Edge Distance (in) (B)]]))</f>
        <v>33</v>
      </c>
      <c r="CB25" s="192">
        <f>IF(Reinforcements[[#This Row],[Reinforcement]]="","",IF(Reinforcements[[#This Row],[Top End Connection Type]]&lt;&gt;"Bolted","n/a",(Reinforcements[[#This Row],['# of End Connection Bolts          (Top)]]-1)*Reinforcements[[#This Row],[End Connection Bolt Spacing (in) (T)]]+Reinforcements[[#This Row],[End Connection Edge Distance (in) (T)]]))</f>
        <v>33</v>
      </c>
      <c r="CC25"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25"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5" s="185">
        <f>IFERROR(IF(Reinforcements[[#This Row],[Type]]="","",Reinforcements[[#This Row],[Effective B (in)]]*Reinforcements[[#This Row],[Effective H (in)]]^3/12),"")</f>
        <v>1.0579427083333333</v>
      </c>
      <c r="CF25" s="185">
        <f>IFERROR(IF(Reinforcements[[#This Row],[Type]]="","",Reinforcements[[#This Row],[Effective B (in)]]^3*Reinforcements[[#This Row],[Effective H (in)]]/12),"")</f>
        <v>28.606770833333332</v>
      </c>
      <c r="CG25" s="197">
        <f>SQRT(2*PI()^2*29000/VLOOKUP(Reinforcements[[#This Row],[Material]],Materials[],2,FALSE))</f>
        <v>93.844147005158973</v>
      </c>
      <c r="CH25"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32.051484618003961</v>
      </c>
      <c r="CI25"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37.857448581601105</v>
      </c>
      <c r="CJ25" s="187">
        <f>Reinforcements[[#This Row],[Effective Length Factor Kx]]*Reinforcements[[#This Row],[Lu (in)]]/(Reinforcements[[#This Row],[rx]]*PI())*SQRT(VLOOKUP(Reinforcements[[#This Row],[Material]],Materials[],2,FALSE)/29000)</f>
        <v>0.63479281815212207</v>
      </c>
      <c r="CK25" s="187">
        <f>Reinforcements[[#This Row],[Effective Length Factor Ky]]*Reinforcements[[#This Row],[Lu (in)]]/(Reinforcements[[#This Row],[ry]]*PI())*SQRT(VLOOKUP(Reinforcements[[#This Row],[Material]],Materials[],2,FALSE)/29000)</f>
        <v>0.15259442744041396</v>
      </c>
      <c r="CL25" s="187">
        <f>IF(Reinforcements[[#This Row],[λcx]]&lt;=1.5,0.658^(Reinforcements[[#This Row],[λcx]]^2)*Reinforcements[[#This Row],[F''y]],0.877/(Reinforcements[[#This Row],[λcx]]^2)*Reinforcements[[#This Row],[F''y]])</f>
        <v>54.911753637534716</v>
      </c>
      <c r="CM25" s="187">
        <f>IF(Reinforcements[[#This Row],[λcy]]&lt;=1.5,0.658^(Reinforcements[[#This Row],[λcy]]^2)*Reinforcements[[#This Row],[F''y]],0.877/(Reinforcements[[#This Row],[λcy]]^2)*Reinforcements[[#This Row],[F''y]])</f>
        <v>64.369588945551428</v>
      </c>
      <c r="CN25" s="185">
        <f>VLOOKUP(Reinforcements[[#This Row],[Material]],Materials[],2,FALSE)</f>
        <v>65</v>
      </c>
      <c r="CO25" s="197">
        <f>IF(Reinforcements[[#This Row],[Reinforcement]]="","",Reinforcements[[#This Row],[Fax]]*Reinforcements[[#This Row],[Gross Area (in2)]])</f>
        <v>260.41831252128219</v>
      </c>
      <c r="CP25" s="197">
        <f>IF(Reinforcements[[#This Row],[Reinforcement]]="","",Reinforcements[[#This Row],[Fay]]*Reinforcements[[#This Row],[Gross Area (in2)]])</f>
        <v>307.59176972550898</v>
      </c>
      <c r="CQ25" s="197">
        <f>IF(Reinforcements[[#This Row],[Reinforcement]]="","",0.6*VLOOKUP(Reinforcements[[#This Row],[Material]],Materials[],2,FALSE)*Reinforcements[[#This Row],[Gross Area (in2)]])</f>
        <v>316.875</v>
      </c>
      <c r="CR25" s="197">
        <f>IF(Reinforcements[[#This Row],[Reinforcement]]="","",0.5*VLOOKUP(Reinforcements[[#This Row],[Material]],Materials[],3,FALSE)*Reinforcements[[#This Row],[Net Area (in2)]]*Reinforcements[[#This Row],[Shear Lag (U)]])</f>
        <v>262.5</v>
      </c>
      <c r="CS25" s="197">
        <f>IF(Reinforcements[[#This Row],[Reinforcement]]="","",0.4*VLOOKUP(Reinforcements[[#This Row],[Material]],Materials[],2,FALSE)*Reinforcements[[#This Row],[Gross Area (in2)]])</f>
        <v>211.25</v>
      </c>
      <c r="CT25"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256.14194846712962</v>
      </c>
      <c r="CU25"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256.14194846712962</v>
      </c>
      <c r="CV25"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15.070866141732283</v>
      </c>
      <c r="CW25"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16.712598425196852</v>
      </c>
      <c r="CX25"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15.070866141732283</v>
      </c>
      <c r="CY25"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16.712598425196852</v>
      </c>
      <c r="CZ25"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1507.0866141732283</v>
      </c>
      <c r="DA25"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1671.259842519685</v>
      </c>
      <c r="DB25"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1507.0866141732283</v>
      </c>
      <c r="DC25"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1671.259842519685</v>
      </c>
      <c r="DD25"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5"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5" s="190" t="str">
        <f>IF($AZ25="Yes",DD25,IF(Reinforcements[[#This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5" s="190" t="str">
        <f>IF($AZ25="Yes",DE25,IF(Reinforcements[[#This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5" s="197">
        <f>IF(Reinforcements[[#This Row],[Reinforcement]]="","",φ_c*Reinforcements[[#This Row],[Fcr,x]]*Reinforcements[[#This Row],[Gross Area (in2)]])</f>
        <v>401.54219847447263</v>
      </c>
      <c r="DI25" s="197">
        <f>IF(Reinforcements[[#This Row],[Reinforcement]]="","",φ_c*Reinforcements[[#This Row],[Fcr,y]]*Reinforcements[[#This Row],[Gross Area (in2)]])</f>
        <v>470.70261916434481</v>
      </c>
      <c r="DJ25" s="197">
        <f>IF(Reinforcements[[#This Row],[Reinforcement]]="","",φ_t_y*VLOOKUP(Reinforcements[[#This Row],[Material]],Materials[],2,FALSE)*Reinforcements[[#This Row],[Gross Area (in2)]])</f>
        <v>475.3125</v>
      </c>
      <c r="DK25" s="197">
        <f>IF(Reinforcements[[#This Row],[Reinforcement]]="","",φ_t_r*VLOOKUP(Reinforcements[[#This Row],[Material]],Materials[],3,FALSE)*Reinforcements[[#This Row],[Net Area (in2)]]*Reinforcements[[#This Row],[Shear Lag (U)]])</f>
        <v>393.75</v>
      </c>
      <c r="DL25" s="197">
        <f>IF(Reinforcements[[#This Row],[Reinforcement]]="","",φ_v*0.5*Reinforcements[[#This Row],[F''y]]*Reinforcements[[#This Row],[Gross Area (in2)]])</f>
        <v>237.65625</v>
      </c>
      <c r="DM25"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453.96930816601832</v>
      </c>
      <c r="DN25"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453.96930816601832</v>
      </c>
      <c r="DO25"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21.73228346456693</v>
      </c>
      <c r="DP25"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27.165354330708666</v>
      </c>
      <c r="DQ25"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21.73228346456693</v>
      </c>
      <c r="DR25"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27.165354330708666</v>
      </c>
      <c r="DS25"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2173.2283464566931</v>
      </c>
      <c r="DT25"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2716.535433070866</v>
      </c>
      <c r="DU25"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2173.2283464566931</v>
      </c>
      <c r="DV25"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2716.535433070866</v>
      </c>
      <c r="DW25"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5"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5" s="190" t="str">
        <f>IF($AZ25="Yes",DW25,IF(Reinforcements[[#This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5" s="190" t="str">
        <f>IF($AZ25="Yes",DX25,IF(Reinforcements[[#This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5" s="241" t="str">
        <f>IF(OR(Reinforcements[[#This Row],[Type]]="plate",Reinforcements[[#This Row],[Type]]="solid round"),"N/A",Reinforcements[[#This Row],[B (in)]])</f>
        <v>N/A</v>
      </c>
      <c r="EB25" s="237" t="str">
        <f>IF(OR(Reinforcements[[#This Row],[Type]]="plate",Reinforcements[[#This Row],[Type]]="solid round"),"N/A",Reinforcements[[#This Row],[H (in)]])</f>
        <v>N/A</v>
      </c>
      <c r="EC25" s="237" t="str">
        <f>IF(OR(Reinforcements[[#This Row],[Type]]="plate",Reinforcements[[#This Row],[Type]]="solid round"),"N/A",Reinforcements[[#This Row],[B (in)]]-Reinforcements[[#This Row],['[Channel'] Flange Thickness (in)]])</f>
        <v>N/A</v>
      </c>
      <c r="ED25" s="237" t="str">
        <f>IF(OR(Reinforcements[[#This Row],[Type]]="plate",Reinforcements[[#This Row],[Type]]="solid round"),"N/A",Reinforcements[[#This Row],['[Channel']Web Thickness (in)]])</f>
        <v>N/A</v>
      </c>
      <c r="EE25" s="237" t="str">
        <f>IF(OR(Reinforcements[[#This Row],[Type]]="plate",Reinforcements[[#This Row],[Type]]="solid round"),"N/A",Reinforcements[[#This Row],['[Channel'] Flange Thickness (in)]])</f>
        <v>N/A</v>
      </c>
      <c r="EF25" s="237" t="str">
        <f>IF(Reinforcements[[#This Row],[Type]]="channel",Reinforcements[[#This Row],[Channel Flange Width, b]]/Reinforcements[[#This Row],[Channel flange thickness, tf]],"N/A")</f>
        <v>N/A</v>
      </c>
      <c r="EG25" s="237" t="str">
        <f>IF(Reinforcements[[#This Row],[Type]]="channel",Reinforcements[[#This Row],[Channel inside depth, T]]/Reinforcements[[#This Row],[Channel web thickness, tw]],"N/A")</f>
        <v>N/A</v>
      </c>
      <c r="EH25" s="237">
        <v>29000</v>
      </c>
      <c r="EI25" s="237" t="str">
        <f>IF(Reinforcements[[#This Row],[Type]]="channel",0.56*SQRT(Reinforcements[[#This Row],[E, (ksi)]]/Reinforcements[[#This Row],[Fy, (ksi)]]),"N/A")</f>
        <v>N/A</v>
      </c>
      <c r="EJ25" s="237" t="str">
        <f>IF(Reinforcements[[#This Row],[Type]]="channel",1.49*SQRT(Reinforcements[[#This Row],[E, (ksi)]]/Reinforcements[[#This Row],[Fy, (ksi)]]),"N/A")</f>
        <v>N/A</v>
      </c>
      <c r="EK25" s="237">
        <f>VLOOKUP(Reinforcements[[#This Row],[Material]],Materials!$B$2:$C$30,2,FALSE)</f>
        <v>65</v>
      </c>
      <c r="EL25" s="237">
        <f>Reinforcements[[#This Row],[Lu (in)]]*Reinforcements[[#This Row],[Effective Length Factor Kx]]</f>
        <v>15.200000000000001</v>
      </c>
      <c r="EM25" s="237">
        <f>Reinforcements[[#This Row],[Lu (in)]]*Reinforcements[[#This Row],[Effective Length Factor Ky]]</f>
        <v>19</v>
      </c>
      <c r="EN25" s="237">
        <f>Reinforcements[[#This Row],[rx]]</f>
        <v>0.36084391824351608</v>
      </c>
      <c r="EO25" s="237">
        <f>Reinforcements[[#This Row],[ry]]</f>
        <v>1.8763883748662837</v>
      </c>
      <c r="EP25" s="237">
        <f>Reinforcements[[#This Row],[Lcx (in)]]/Reinforcements[[#This Row],[rx (in)]]</f>
        <v>42.1234756400751</v>
      </c>
      <c r="EQ25" s="237">
        <f>Reinforcements[[#This Row],[Lcy (in)]]/Reinforcements[[#This Row],[ry (in)]]</f>
        <v>10.125835490402666</v>
      </c>
      <c r="ER25" s="237">
        <f>((PI()^2)*Reinforcements[[#This Row],[E, (ksi)]])/(Reinforcements[[#This Row],[Lcx/rx]]^2)</f>
        <v>161.30556376398079</v>
      </c>
      <c r="ES25" s="237">
        <f>((PI()^2)*Reinforcements[[#This Row],[E, (ksi)]])/(Reinforcements[[#This Row],[Lcy/ry]]^2)</f>
        <v>2791.4895642739466</v>
      </c>
      <c r="ET25" s="237">
        <f>4.71*(SQRT(Reinforcements[[#This Row],[E, (ksi)]]/Reinforcements[[#This Row],[Fy, (ksi)]]))</f>
        <v>99.486288193205496</v>
      </c>
      <c r="EU25" s="237">
        <f>IF(Reinforcements[[#This Row],[Lcx/rx]]&lt;=Reinforcements[[#This Row],[Fcr Limit]],(0.658^(Reinforcements[[#This Row],[Fy, (ksi)]]/Reinforcements[[#This Row],[Fex, FB (ksi)]]))*Reinforcements[[#This Row],[Fy, (ksi)]],0.877*Reinforcements[[#This Row],[Fex, FB (ksi)]])</f>
        <v>54.911753637534716</v>
      </c>
      <c r="EV25" s="237">
        <f>IF(Reinforcements[[#This Row],[Lcy/ry]]&lt;=Reinforcements[[#This Row],[Fcr Limit]],(0.658^(Reinforcements[[#This Row],[Fy, (ksi)]]/Reinforcements[[#This Row],[Fey, FB (ksi)]]))*Reinforcements[[#This Row],[Fy, (ksi)]],0.877*Reinforcements[[#This Row],[Fey, FB (ksi)]])</f>
        <v>64.369588945551428</v>
      </c>
      <c r="EW25" s="237">
        <f>Reinforcements[[#This Row],[Fcrx (ksi)]]*Reinforcements[[#This Row],[Gross Area (in2)]]</f>
        <v>446.15799830496957</v>
      </c>
      <c r="EX25" s="237">
        <f>Reinforcements[[#This Row],[Fcry (ksi)]]*Reinforcements[[#This Row],[Gross Area (in2)]]</f>
        <v>523.00291018260532</v>
      </c>
      <c r="EY25" s="237" t="str">
        <f>IF(Reinforcements[[#This Row],[Type]]="channel",0,"N/A")</f>
        <v>N/A</v>
      </c>
      <c r="EZ25" s="237" t="str">
        <f>IF(Reinforcements[[#This Row],[Type]]="channel",Reinforcements[[#This Row],[Channel Flange Width, b]]-(0.5*Reinforcements[[#This Row],[Channel web thickness, tw]]),"N/A")</f>
        <v>N/A</v>
      </c>
      <c r="FA25" s="237" t="str">
        <f>IF(Reinforcements[[#This Row],[Type]]="channel",Reinforcements[[#This Row],[Channel Height, h]]-Reinforcements[[#This Row],[Channel flange thickness, tf]],"N/A")</f>
        <v>N/A</v>
      </c>
      <c r="FB25" s="237" t="str">
        <f>IF(Reinforcements[[#This Row],[Type]]="channel",Reinforcements[[#This Row],[Channel web thickness, tw]],"N/A")</f>
        <v>N/A</v>
      </c>
      <c r="FC25" s="237" t="str">
        <f>IF(Reinforcements[[#This Row],[Type]]="channel",((3*Reinforcements[[#This Row],[b]]^2)/(Reinforcements[[#This Row],[h]]+(6*Reinforcements[[#This Row],[b]])))-Reinforcements[[#This Row],[t]]/2,"N/A")</f>
        <v>N/A</v>
      </c>
      <c r="FD25" s="237">
        <f>Reinforcements[[#This Row],[Pole Face to Centroid (in)]]</f>
        <v>0.625</v>
      </c>
      <c r="FE25" s="237" t="str">
        <f>IF(Reinforcements[[#This Row],[Type]]="channel",Reinforcements[[#This Row],[x(bar)]]+Reinforcements[[#This Row],['[Channel'] e0 (in)]],"N/A")</f>
        <v>N/A</v>
      </c>
      <c r="FF25" s="237" t="str">
        <f>IF(Reinforcements[[#This Row],[Type]]="channel",Reinforcements[[#This Row],[Ix]],"N/A")</f>
        <v>N/A</v>
      </c>
      <c r="FG25" s="237" t="str">
        <f>IF(Reinforcements[[#This Row],[Type]]="channel",Reinforcements[[#This Row],[Iy]],"N/A")</f>
        <v>N/A</v>
      </c>
      <c r="FH25" s="237" t="str">
        <f>IF(Reinforcements[[#This Row],[Type]]="channel",Reinforcements[[#This Row],[Gross Area (in2)]],"N/A")</f>
        <v>N/A</v>
      </c>
      <c r="FI25" s="237" t="str">
        <f>IF(Reinforcements[[#This Row],[Type]]="channel",(Reinforcements[[#This Row],[xo]]^2)+((Reinforcements[[#This Row],[Ix (FTB)]]+Reinforcements[[#This Row],[Iy (FTB)]])/Reinforcements[[#This Row],[Ag]]),"N/A")</f>
        <v>N/A</v>
      </c>
      <c r="FJ25" s="237" t="str">
        <f>IF(Reinforcements[[#This Row],[Type]]="channel",Reinforcements[[#This Row],[Lu (in)]],"N/A")</f>
        <v>N/A</v>
      </c>
      <c r="FK25" s="237" t="str">
        <f>IF(Reinforcements[[#This Row],[Type]]="channel",Reinforcements[[#This Row],[Effective Length Factor Kx]],"N/A")</f>
        <v>N/A</v>
      </c>
      <c r="FL25" s="237" t="str">
        <f>IF(Reinforcements[[#This Row],[Type]]="channel",Reinforcements[[#This Row],[Kz]]*Reinforcements[[#This Row],[Lz]],"N/A")</f>
        <v>N/A</v>
      </c>
      <c r="FM25" s="237" t="str">
        <f>IF(Reinforcements[[#This Row],[Type]]="channel",(((Reinforcements[[#This Row],[t]]^3)/3)*(Reinforcements[[#This Row],[h]]+(2*Reinforcements[[#This Row],[b]]))),"N/A")</f>
        <v>N/A</v>
      </c>
      <c r="FN25" s="237" t="str">
        <f>IF(Reinforcements[[#This Row],[Type]]="channel",(1-(((Reinforcements[[#This Row],[xo]]^2)+(Reinforcements[[#This Row],[yo]]^2))/Reinforcements[[#This Row],[ro^2(bar)]])),"N/A")</f>
        <v>N/A</v>
      </c>
      <c r="FO25" s="237">
        <v>11200</v>
      </c>
      <c r="FP25" s="237" t="str">
        <f>IF(Reinforcements[[#This Row],[Type]]="channel",(((Reinforcements[[#This Row],[h]]^2)*(Reinforcements[[#This Row],[b]]^3)*Reinforcements[[#This Row],[t]])/12)*(((2*Reinforcements[[#This Row],[h]])+(3*Reinforcements[[#This Row],[b]]))/(Reinforcements[[#This Row],[h]]+(6*Reinforcements[[#This Row],[b]]))),"N/A")</f>
        <v>N/A</v>
      </c>
      <c r="FQ25" s="237" t="str">
        <f>IF(Reinforcements[[#This Row],[Type]]="Channel",((((PI()^2)*Reinforcements[[#This Row],[E, (ksi)]]*Reinforcements[[#This Row],['[Channel'] CW (in6)]])/(Reinforcements[[#This Row],[Lcz]]^2))+(Reinforcements[[#This Row],[G]]*Reinforcements[[#This Row],['[Channel'] J (in4)]]))*(1/(Reinforcements[[#This Row],[Ag]]*Reinforcements[[#This Row],[ro^2(bar)]])),"N/A")</f>
        <v>N/A</v>
      </c>
      <c r="FR25" s="237" t="str">
        <f>IF(Reinforcements[[#This Row],[Type]]="channel",((PI()^2)*Reinforcements[[#This Row],[E, (ksi)]])/(Reinforcements[[#This Row],[Lcy/ry]]^2),"N/A")</f>
        <v>N/A</v>
      </c>
      <c r="FS25" s="237" t="str">
        <f>IF(Reinforcements[[#This Row],[Type]]="channel",((Reinforcements[[#This Row],[Fey]]+Reinforcements[[#This Row],[Fez]])/(2*Reinforcements[[#This Row],[H2]]))*(1-SQRT(1-((4*Reinforcements[[#This Row],[Fey]]*Reinforcements[[#This Row],[Fez]]*Reinforcements[[#This Row],[H2]])/(Reinforcements[[#This Row],[Fey]]+Reinforcements[[#This Row],[Fez]])^2))),"N/A")</f>
        <v>N/A</v>
      </c>
      <c r="FT25" s="237" t="str">
        <f>IF(Reinforcements[[#This Row],[Type]]="channel",IF(Reinforcements[[#This Row],[Lcx/rx]]&gt;(4.71*SQRT(Reinforcements[[#This Row],[E, (ksi)]]/Reinforcements[[#This Row],[Fy, (ksi)]])),0.877*Reinforcements[[#This Row],[Fe (FTB)]],0.658^(Reinforcements[[#This Row],[Fy, (ksi)]]/Reinforcements[[#This Row],[Fe (FTB)]])*Reinforcements[[#This Row],[Fy, (ksi)]]),"N/A")</f>
        <v>N/A</v>
      </c>
      <c r="FU25" s="237" t="str">
        <f>IF(Reinforcements[[#This Row],[Type]]="channel",MIN(Reinforcements[[#This Row],[Fcr(FTB)]],Reinforcements[[#This Row],[Fcry (ksi)]]),"N/A")</f>
        <v>N/A</v>
      </c>
      <c r="FV25" s="237">
        <v>0.22</v>
      </c>
      <c r="FW25" s="237">
        <v>1.49</v>
      </c>
      <c r="FX25" s="237" t="str">
        <f>IF(Reinforcements[[#This Row],[Type]]="channel",((Reinforcements[[#This Row],[c2]]*(Reinforcements[[#This Row],[λrf]]/Reinforcements[[#This Row],[λf]]))^2)*Reinforcements[[#This Row],[Fy, (ksi)]],"N/A")</f>
        <v>N/A</v>
      </c>
      <c r="FY25" s="237" t="str">
        <f>IF(Reinforcements[[#This Row],[Type]]="channel",((Reinforcements[[#This Row],[c2]]*(Reinforcements[[#This Row],[λrw]]/Reinforcements[[#This Row],[λw]]))^2)*Reinforcements[[#This Row],[Fy, (ksi)]],"N/A")</f>
        <v>N/A</v>
      </c>
      <c r="FZ25"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5"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5"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5" s="237" t="str">
        <f>IF(Reinforcements[[#This Row],[Type]]="channel",Reinforcements[[#This Row],[Fcr]]*Reinforcements[[#This Row],[Ae]],"N/A")</f>
        <v>N/A</v>
      </c>
      <c r="GD25" s="466">
        <f>IF(Reinforcements[[#This Row],[Reinforcement]]="","",φ_c*Reinforcements[[#This Row],[Pnx, FB (kip)]])</f>
        <v>401.54219847447263</v>
      </c>
      <c r="GE25" s="466">
        <f>IF(Reinforcements[[#This Row],[Reinforcement]]="","",IF(Reinforcements[[#This Row],[Type]]="channel",φ_c*Reinforcements[[#This Row],[Pn]],φ_c*Reinforcements[[#This Row],[Pny, FB (kip)]]))</f>
        <v>470.70261916434481</v>
      </c>
      <c r="GF25" s="466">
        <f>Reinforcements[[#This Row],[Rev. G Tension Yield Capacity (kips)]]</f>
        <v>475.3125</v>
      </c>
      <c r="GG25" s="466">
        <f>Reinforcements[[#This Row],[Rev. G Tension Rupture Capacity (kips)]]</f>
        <v>393.75</v>
      </c>
      <c r="GH25" s="466">
        <f>Reinforcements[[#This Row],[Rev. G Shear Capacity (kips)]]</f>
        <v>237.65625</v>
      </c>
      <c r="GI25" s="466">
        <f>IFERROR((Reinforcements[[#This Row],['# of End Connection Bolts          (Bottom)]]-1)*Reinforcements[[#This Row],[End Connection Bolt Spacing (in) (B)]],"-")</f>
        <v>30</v>
      </c>
      <c r="GJ25" s="466">
        <f>IFERROR(IF(VLOOKUP(Reinforcements[[#This Row],[Bottom End Connection Bolt Type]],Bolts[],COLUMN(Bolts[[#Headers],[Rev. H Apply Connection Length Reduction Factor (Rb)?]])-1,FALSE)="Yes",(IF(Reinforcements[[#This Row],[Lb(bottom)]]&lt;=16,1,IF(Reinforcements[[#This Row],[Lb(bottom)]]&gt;38,0.75,0.9))),1),"-")</f>
        <v>1</v>
      </c>
      <c r="GK25"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510.39605067899726</v>
      </c>
      <c r="GL25" s="466">
        <f>IFERROR(IF(Reinforcements[[#This Row],[Top End Connection Same?]]="Yes",Reinforcements[[#This Row],[Lb(bottom)]],(Reinforcements[[#This Row],['# of End Connection Bolts          (Top)]]-1)*Reinforcements[[#This Row],[End Connection Bolt Spacing (in) (T)]]),"-")</f>
        <v>30</v>
      </c>
      <c r="GM25" s="466">
        <f>IFERROR(IF(VLOOKUP(Reinforcements[[#This Row],[Top End Connection Bolt Type]],Bolts[],COLUMN(Bolts[[#Headers],[Rev. H Apply Connection Length Reduction Factor (Rb)?]])-1,FALSE)="Yes",(IF(Reinforcements[[#This Row],[Lb(top)]]&lt;=16,1,IF(Reinforcements[[#This Row],[Lb(top)]]&gt;38,0.75,0.9))),1),"-")</f>
        <v>1</v>
      </c>
      <c r="GN25"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510.39605067899726</v>
      </c>
      <c r="GO25" s="466">
        <f>Reinforcements[[#This Row],[Rev. G Bolt-Shaft Bearing Capacity (Bottom)                No Deformation          (*t*Fu kips)]]</f>
        <v>21.73228346456693</v>
      </c>
      <c r="GP25" s="466">
        <f>Reinforcements[[#This Row],[Rev. G Bolt-Shaft Bearing Capacity (Bottom)                   Deformation          (*t*Fu kips)]]</f>
        <v>27.165354330708666</v>
      </c>
      <c r="GQ25" s="466">
        <f>Reinforcements[[#This Row],[Rev. G Bolt-Shaft Bearing Capacity (Top)                    No Deformation          (*t*Fu kips)]]</f>
        <v>21.73228346456693</v>
      </c>
      <c r="GR25" s="466">
        <f>Reinforcements[[#This Row],[Rev. G Bolt-Shaft Bearing Capacity (Top)                        Deformation          (*t*Fu kips)]]</f>
        <v>27.165354330708666</v>
      </c>
      <c r="GS25" s="466">
        <f>Reinforcements[[#This Row],[Rev. G Bolt-Reinf. Bearing Capacity (Bottom)            No Deformation (kips)]]</f>
        <v>2173.2283464566931</v>
      </c>
      <c r="GT25" s="466">
        <f>Reinforcements[[#This Row],[Rev. G Bolt-Reinf. Bearing Capacity (Bottom)               Deformation (kips)]]</f>
        <v>2716.535433070866</v>
      </c>
      <c r="GU25" s="466">
        <f>Reinforcements[[#This Row],[Rev. G Bolt-Reinf. Bearing Capacity (Top)                  No Deformation (kips)]]</f>
        <v>2173.2283464566931</v>
      </c>
      <c r="GV25" s="466">
        <f>Reinforcements[[#This Row],[Rev. G Bolt-Reinf. Bearing Capacity (Top)               Deformation (kips)]]</f>
        <v>2716.535433070866</v>
      </c>
      <c r="GW25" s="466" t="str">
        <f>Reinforcements[[#This Row],[Rev. G Bottom Transverse Weld Strength]]</f>
        <v>-</v>
      </c>
      <c r="GX25" s="466" t="str">
        <f>Reinforcements[[#This Row],[Rev. G Bottom Longitudinal Weld Strength]]</f>
        <v>-</v>
      </c>
      <c r="GY25" s="466" t="str">
        <f>Reinforcements[[#This Row],[Rev. G Top Transverse Weld Strength]]</f>
        <v>-</v>
      </c>
      <c r="GZ25" s="466" t="str">
        <f>Reinforcements[[#This Row],[Rev. G Top Longitudinal Weld Strength]]</f>
        <v>-</v>
      </c>
      <c r="HA25" s="552">
        <v>23</v>
      </c>
      <c r="HB25"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6" spans="2:217" s="65" customFormat="1" x14ac:dyDescent="0.2">
      <c r="B26" s="72" t="s">
        <v>363</v>
      </c>
      <c r="C26" s="72" t="s">
        <v>146</v>
      </c>
      <c r="D26" s="185">
        <v>8.5</v>
      </c>
      <c r="E26" s="185">
        <v>1.25</v>
      </c>
      <c r="F26" s="185" t="str">
        <f>IF(Reinforcements[[#This Row],[Type]]="","",IF(Reinforcements[[#This Row],[Type]]="solid round","","n/a"))</f>
        <v>n/a</v>
      </c>
      <c r="G26" s="185" t="str">
        <f>IF(Reinforcements[[#This Row],[Type]]="","",IF(Reinforcements[[#This Row],[Type]]&lt;&gt;"channel","n/a",""))</f>
        <v>n/a</v>
      </c>
      <c r="H26" s="185" t="str">
        <f>IF(Reinforcements[[#This Row],[Type]]="","",IF(Reinforcements[[#This Row],[Type]]&lt;&gt;"channel","n/a",""))</f>
        <v>n/a</v>
      </c>
      <c r="I26" s="197" t="str">
        <f>IF(Reinforcements[[#This Row],[Type]]="","",IF(Reinforcements[[#This Row],[Type]]&lt;&gt;"channel","n/a",Reinforcements[[#This Row],[eo]]))</f>
        <v>n/a</v>
      </c>
      <c r="J26" s="197" t="str">
        <f>IF(Reinforcements[[#This Row],[Type]]="","",IF(Reinforcements[[#This Row],[Type]]&lt;&gt;"channel","n/a",Reinforcements[[#This Row],[J]]))</f>
        <v>n/a</v>
      </c>
      <c r="K26" s="197" t="str">
        <f>IF(Reinforcements[[#This Row],[Type]]="","",IF(Reinforcements[[#This Row],[Type]]&lt;&gt;"channel","n/a",Reinforcements[[#This Row],[Cw]]))</f>
        <v>n/a</v>
      </c>
      <c r="L26" s="185">
        <f>IFERROR(IF(Reinforcements[[#This Row],[Type]]="","",IF(Reinforcements[[#This Row],[Type]]="plate",Reinforcements[[#This Row],[B (in)]]*Reinforcements[[#This Row],[H (in)]],IF(Reinforcements[[#This Row],[Type]]="solid round",PI()/4*Reinforcements[[#This Row],[Diameter (in)]]^2,""))),"")</f>
        <v>10.625</v>
      </c>
      <c r="M26" s="185">
        <f>IFERROR(IF(Reinforcements[[#This Row],[Type]]="","",IF(Reinforcements[[#This Row],[Type]]="plate",Reinforcements[[#This Row],[H (in)]]/2,"")),"")</f>
        <v>0.625</v>
      </c>
      <c r="N26" s="186" t="s">
        <v>297</v>
      </c>
      <c r="O26" s="185" t="s">
        <v>60</v>
      </c>
      <c r="P26" s="187">
        <f>IFERROR(IF(Reinforcements[[#This Row],[Type]]="","",IF(Reinforcements[[#This Row],[Type]]="plate",Reinforcements[[#This Row],[B (in)]]*Reinforcements[[#This Row],[H (in)]]^3/12,IF(Reinforcements[[#This Row],[Type]]="solid round",PI()/64*Reinforcements[[#This Row],[Diameter (in)]]^4,""))),"")</f>
        <v>1.3834635416666667</v>
      </c>
      <c r="Q26" s="187">
        <f>IF(Reinforcements[[#This Row],[Reinforcement]]="","",SQRT(Reinforcements[[#This Row],[Ix]]/Reinforcements[[#This Row],[Gross Area (in2)]]))</f>
        <v>0.36084391824351614</v>
      </c>
      <c r="R26" s="187">
        <f>IFERROR(IF(Reinforcements[[#This Row],[Type]]="","",IF(Reinforcements[[#This Row],[Type]]="plate",Reinforcements[[#This Row],[B (in)]]^3*Reinforcements[[#This Row],[H (in)]]/12,IF(Reinforcements[[#This Row],[Type]]="solid round",PI()/64*Reinforcements[[#This Row],[Diameter (in)]]^4,""))),"")</f>
        <v>63.971354166666664</v>
      </c>
      <c r="S26" s="187">
        <f>IF(Reinforcements[[#This Row],[Reinforcement]]="","",SQRT(Reinforcements[[#This Row],[Iy]]/Reinforcements[[#This Row],[Gross Area (in2)]]))</f>
        <v>2.4537386440559095</v>
      </c>
      <c r="T26" s="190">
        <v>17</v>
      </c>
      <c r="U26" s="188">
        <v>0.8</v>
      </c>
      <c r="V26" s="188">
        <v>1</v>
      </c>
      <c r="W26" s="185">
        <v>1.1875</v>
      </c>
      <c r="X26" s="188">
        <f>IF(Reinforcements[[#This Row],[Bolt Hole Size (in)]]="","",IF(Reinforcements[[#This Row],[Bolt Hole Size (in)]]="n/a","n/a",Reinforcements[[#This Row],[Bolt Hole Size (in)]]*25.4))</f>
        <v>30.162499999999998</v>
      </c>
      <c r="Y26"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26" s="185">
        <f>IFERROR(IF(Reinforcements[[#This Row],[Reinforcement]]="","",IF(OR(Reinforcements[[#This Row],[Type]]="plate",Reinforcements[[#This Row],[Type]]="solid round"),1,IF(Reinforcements[[#This Row],[Type]]="arbitrary","",1-Reinforcements[[#This Row],[Pole Face to Centroid (in)]]/Reinforcements[[#This Row],[Connection Length (in) '[Channels']]]))),"")</f>
        <v>1</v>
      </c>
      <c r="AA26" s="189" t="s">
        <v>391</v>
      </c>
      <c r="AB26" s="189" t="str">
        <f>IF(Reinforcements[[#This Row],[Reinforcement]]="","",IF(Reinforcements[[#This Row],[Bottom End Connection Type]]&lt;&gt;"Capacity Input","-",""))</f>
        <v>-</v>
      </c>
      <c r="AC26" s="189" t="str">
        <f>IF(Reinforcements[[#This Row],[Reinforcement]]="","",IF(Reinforcements[[#This Row],[Bottom End Connection Type]]&lt;&gt;"Capacity Input","-",""))</f>
        <v>-</v>
      </c>
      <c r="AD26" s="461" t="str">
        <f>IF(Reinforcements[[#This Row],[Reinforcement]]="","",IF(Reinforcements[[#This Row],[Bottom End Connection Type]]&lt;&gt;"Capacity Input","-",""))</f>
        <v>-</v>
      </c>
      <c r="AE26" s="103" t="s">
        <v>416</v>
      </c>
      <c r="AF26" s="190" t="s">
        <v>296</v>
      </c>
      <c r="AG26" s="190">
        <v>15</v>
      </c>
      <c r="AH26" s="190">
        <v>3</v>
      </c>
      <c r="AI26" s="190">
        <v>3</v>
      </c>
      <c r="AJ26" s="190">
        <f>Reinforcements[[#This Row],[End Connection Edge Distance (in) (B)]]-(Reinforcements[[#This Row],[Bolt Hole Size (in)]]+1/16)/2</f>
        <v>2.375</v>
      </c>
      <c r="AK26" s="190">
        <f>Reinforcements[[#This Row],[End Connection Bolt Spacing (in) (B)]]-(Reinforcements[[#This Row],[Bolt Hole Size (in)]]+1/16)</f>
        <v>1.75</v>
      </c>
      <c r="AL26" s="190">
        <f>Reinforcements[[#This Row],[End Connection Edge Distance (in) (B)]]</f>
        <v>3</v>
      </c>
      <c r="AM26" s="190">
        <f>Reinforcements[[#This Row],[End Connection Bolt Spacing (in) (B)]]</f>
        <v>3</v>
      </c>
      <c r="AN26" s="190" t="str">
        <f>IF(Reinforcements[[#This Row],[Reinforcement]]="","",IF(OR(Reinforcements[[#This Row],[Bottom End Connection Type]]="Bolted",Reinforcements[[#This Row],[Bottom End Connection Type]]=""),"-",""))</f>
        <v>-</v>
      </c>
      <c r="AO26" s="191" t="str">
        <f>IF(Reinforcements[[#This Row],[Reinforcement]]="","",IF(OR(Reinforcements[[#This Row],[Bottom End Connection Type]]="Bolted",Reinforcements[[#This Row],[Bottom End Connection Type]]=""),"-",""))</f>
        <v>-</v>
      </c>
      <c r="AP26" s="191" t="str">
        <f>IF(Reinforcements[[#This Row],[Reinforcement]]="","",IF(OR(Reinforcements[[#This Row],[Bottom End Connection Type]]="Bolted",Reinforcements[[#This Row],[Bottom End Connection Type]]=""),"-",""))</f>
        <v>-</v>
      </c>
      <c r="AQ26" s="191" t="str">
        <f>IF(OR(Reinforcements[[#This Row],[Bottom End Connection Type]]="Bolted",Reinforcements[[#This Row],[Bottom Transverse (Horizontal) Weld]]="none"),"-","")</f>
        <v>-</v>
      </c>
      <c r="AR2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6" s="191" t="str">
        <f>IF(OR(Reinforcements[[#This Row],[Bottom Transverse (Horizontal) Weld]]="none",Reinforcements[[#This Row],[Bottom End Connection Type]]="Bolted"),"-","")</f>
        <v>-</v>
      </c>
      <c r="AU26"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6" s="191" t="str">
        <f>IF(Reinforcements[[#This Row],[Reinforcement]]="","",IF(OR(Reinforcements[[#This Row],[Bottom End Connection Type]]="Bolted",Reinforcements[[#This Row],[Bottom End Connection Type]]=""),"-",""))</f>
        <v>-</v>
      </c>
      <c r="AW26" s="191" t="str">
        <f>IF(Reinforcements[[#This Row],[Reinforcement]]="","",IF(OR(Reinforcements[[#This Row],[Bottom End Connection Type]]&lt;&gt;"Welded",Reinforcements[[#This Row],[Bottom Longitudinal (Vertical) Weld]]="None",Reinforcements[[#This Row],[Bottom Longitudinal (Vertical) Weld]]=""),"-",""))</f>
        <v>-</v>
      </c>
      <c r="AX26" s="191" t="str">
        <f>IF(Reinforcements[[#This Row],[Reinforcement]]="","",IF(OR(Reinforcements[[#This Row],[Bottom End Connection Type]]&lt;&gt;"Welded",Reinforcements[[#This Row],[Bottom Longitudinal (Vertical) Weld]]="None",Reinforcements[[#This Row],[Bottom Longitudinal (Vertical) Weld]]=""),"-",""))</f>
        <v>-</v>
      </c>
      <c r="AY26" s="190" t="str">
        <f>IF(Reinforcements[[#This Row],[Reinforcement]]="","",IF(OR(Reinforcements[[#This Row],[Bottom End Connection Type]]&lt;&gt;"Welded",Reinforcements[[#This Row],[Bottom Longitudinal (Vertical) Weld]]="None"),"-",SQRT(2)/2*Reinforcements[[#This Row],[Bottom Longitudinal Weld Fillet Size (in)]]))</f>
        <v>-</v>
      </c>
      <c r="AZ26" s="190" t="s">
        <v>295</v>
      </c>
      <c r="BA26" s="189" t="str">
        <f>IF(Reinforcements[[#This Row],[Top End Connection Same?]]="Yes",Reinforcements[[#This Row],[Bottom End Connection Type]],"")</f>
        <v>Bolted</v>
      </c>
      <c r="BB26" s="189" t="str">
        <f>IF(Reinforcements[[#This Row],[Reinforcement]]="","",IF(Reinforcements[[#This Row],[Top End Connection Same?]]="Yes",Reinforcements[[#This Row],[Rev. F Bottom Connection Capacity (kips)]],IF(Reinforcements[[#This Row],[Reinforcement]]="","",IF(Reinforcements[[#This Row],[Top End Connection Type]]&lt;&gt;"Capacity Input","-",""))))</f>
        <v>-</v>
      </c>
      <c r="BC26" s="189" t="str">
        <f>IF(Reinforcements[[#This Row],[Reinforcement]]="","",IF(Reinforcements[[#This Row],[Top End Connection Same?]]="Yes",Reinforcements[[#This Row],[Rev. G Bottom Connection Capacity (kips)]],IF(Reinforcements[[#This Row],[Reinforcement]]="","",IF(Reinforcements[[#This Row],[Top End Connection Type]]&lt;&gt;"Capacity Input","-",""))))</f>
        <v>-</v>
      </c>
      <c r="BD26" s="461" t="str">
        <f>IF(Reinforcements[[#This Row],[Reinforcement]]="","",IF(Reinforcements[[#This Row],[Top End Connection Same?]]="Yes",Reinforcements[[#This Row],[Rev. G Bottom Connection Capacity (kips)]],IF(Reinforcements[[#This Row],[Reinforcement]]="","",IF(Reinforcements[[#This Row],[Top End Connection Type]]&lt;&gt;"Capacity Input","-",""))))</f>
        <v>-</v>
      </c>
      <c r="BE26" s="103" t="str">
        <f>IF(Reinforcements[[#This Row],[Top End Connection Same?]]="Yes",Reinforcements[[#This Row],[Bottom End Connection Bolt Type]],IF(Reinforcements[[#This Row],[Top End Connection Type]]="Welded","-",""))</f>
        <v>PC 8.8 - M20 (100)</v>
      </c>
      <c r="BF26" s="190" t="str">
        <f>IF(Reinforcements[[#This Row],[Top End Connection Same?]]="Yes",Reinforcements[[#This Row],[Threads Included (N) or Excluded (X) (Bottom)]],IF(Reinforcements[[#This Row],[Top End Connection Type]]="Welded","-",""))</f>
        <v>N</v>
      </c>
      <c r="BG26" s="190">
        <f>IF(Reinforcements[[#This Row],[Top End Connection Same?]]="Yes",Reinforcements[[#This Row],['# of End Connection Bolts          (Bottom)]],IF(Reinforcements[[#This Row],[Top End Connection Type]]="Welded","-",""))</f>
        <v>15</v>
      </c>
      <c r="BH26" s="190">
        <f>IF(Reinforcements[[#This Row],[Top End Connection Same?]]="Yes",Reinforcements[[#This Row],[End Connection Bolt Spacing (in) (B)]],IF(Reinforcements[[#This Row],[Top End Connection Type]]="Welded","-",""))</f>
        <v>3</v>
      </c>
      <c r="BI26" s="190">
        <f>IF(Reinforcements[[#This Row],[Top End Connection Same?]]="Yes",Reinforcements[[#This Row],[End Connection Edge Distance (in) (B)]],IF(Reinforcements[[#This Row],[Top End Connection Type]]="Welded","-",""))</f>
        <v>3</v>
      </c>
      <c r="BJ26" s="190">
        <f>Reinforcements[[#This Row],[End Connection Edge Distance (in) (T)]]-(Reinforcements[[#This Row],[Bolt Hole Size (in)]]+1/16)/2</f>
        <v>2.375</v>
      </c>
      <c r="BK26" s="190">
        <f>Reinforcements[[#This Row],[End Connection Bolt Spacing (in) (T)]]-(Reinforcements[[#This Row],[Bolt Hole Size (in)]]+1/16)</f>
        <v>1.75</v>
      </c>
      <c r="BL26" s="190">
        <f>Reinforcements[[#This Row],[End Connection Edge Distance (in) (T)]]</f>
        <v>3</v>
      </c>
      <c r="BM26" s="190">
        <f>Reinforcements[[#This Row],[End Connection Bolt Spacing (in) (T)]]</f>
        <v>3</v>
      </c>
      <c r="BN26" s="190" t="str">
        <f>IF(Reinforcements[[#This Row],[Reinforcement]]="","",IF(Reinforcements[[#This Row],[Top End Connection Same?]]="Yes",Reinforcements[[#This Row],[Bottom Connected to Flange/Base Plate?]],IF(Reinforcements[[#This Row],[Top End Connection Type]]="Bolted","-","")))</f>
        <v>-</v>
      </c>
      <c r="BO26" s="190" t="str">
        <f>IF(Reinforcements[[#This Row],[Reinforcement]]="","",IF(Reinforcements[[#This Row],[Top End Connection Same?]]="Yes",Reinforcements[[#This Row],[Bottom Weld Grade (ksi)]],IF(OR(Reinforcements[[#This Row],[Top End Connection Type]]&lt;&gt;"Welded",Reinforcements[[#This Row],[Top End Connection Type]]=""),"-","")))</f>
        <v>-</v>
      </c>
      <c r="BP26" s="190" t="str">
        <f>IF($AZ26="Yes",AP26,IF(Reinforcements[[#This Row],[Reinforcement]]="","",IF(OR(Reinforcements[[#This Row],[Top End Connection Type]]&lt;&gt;"Welded",Reinforcements[[#This Row],[Top End Connection Type]]=""),"-","")))</f>
        <v>-</v>
      </c>
      <c r="BQ26" s="190" t="str">
        <f>IF(Reinforcements[[#This Row],[Reinforcement]]="","",IF($AZ26="Yes",AQ26,IF(OR(Reinforcements[[#This Row],[Top End Connection Type]]&lt;&gt;"Welded",Reinforcements[[#This Row],[Top Transverse (Horizontal) Weld]]="none",Reinforcements[[#This Row],[Top Transverse (Horizontal) Weld]]=""),"-","")))</f>
        <v>-</v>
      </c>
      <c r="BR26" s="190" t="str">
        <f>IF($AZ26="Yes",AR26,IF(Reinforcements[[#This Row],[Reinforcement]]="","",IF(OR(Reinforcements[[#This Row],[Top Transverse (Horizontal) Weld]]="none",Reinforcements[[#This Row],[Top End Connection Type]]&lt;&gt;"Welded",Reinforcements[[#This Row],[Top Transverse (Horizontal) Weld]]="",Reinforcements[[#This Row],[Top Transverse (Horizontal) Weld]]="Fillet"),"-","")))</f>
        <v>-</v>
      </c>
      <c r="BS26" s="190" t="str">
        <f>IF($AZ26="Yes",AS26,IF(Reinforcements[[#This Row],[Reinforcement]]="","",IF(OR(Reinforcements[[#This Row],[Top Transverse (Horizontal) Weld]]="none",Reinforcements[[#This Row],[Top End Connection Type]]&lt;&gt;"Welded",Reinforcements[[#This Row],[Top Transverse (Horizontal) Weld]]="",Reinforcements[[#This Row],[Top Transverse (Horizontal) Weld]]="Fillet"),"-","")))</f>
        <v>-</v>
      </c>
      <c r="BT26" s="190" t="str">
        <f>IF(Reinforcements[[#This Row],[Reinforcement]]="","",IF($AZ26="Yes",AT26,IF(OR(Reinforcements[[#This Row],[Top Transverse (Horizontal) Weld]]="none",Reinforcements[[#This Row],[Top End Connection Type]]&lt;&gt;"Welded",Reinforcements[[#This Row],[Top Transverse (Horizontal) Weld]]=""),"-","")))</f>
        <v>-</v>
      </c>
      <c r="BU26" s="190" t="str">
        <f>IF($AZ26="Yes",AU26,IF(Reinforcements[[#This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6" s="190" t="str">
        <f>IF($AZ26="Yes",AV26,IF(Reinforcements[[#This Row],[Reinforcement]]="","",IF(OR(Reinforcements[[#This Row],[Top End Connection Type]]&lt;&gt;"Welded",Reinforcements[[#This Row],[Top End Connection Type]]=""),"-","")))</f>
        <v>-</v>
      </c>
      <c r="BW26" s="190" t="str">
        <f>IF($AZ26="Yes",AW26,IF(Reinforcements[[#This Row],[Reinforcement]]="","",IF(OR(Reinforcements[[#This Row],[Top End Connection Type]]&lt;&gt;"Welded",Reinforcements[[#This Row],[Top End Connection Type]]="",Reinforcements[[#This Row],[Top Longitudinal (Vertical) Weld]]="",Reinforcements[[#This Row],[Top Longitudinal (Vertical) Weld]]="None"),"-","")))</f>
        <v>-</v>
      </c>
      <c r="BX26" s="190" t="str">
        <f>IF($AZ26="Yes",AX26,IF(Reinforcements[[#This Row],[Reinforcement]]="","",IF(OR(Reinforcements[[#This Row],[Top End Connection Type]]&lt;&gt;"Welded",Reinforcements[[#This Row],[Top End Connection Type]]="",Reinforcements[[#This Row],[Top Longitudinal (Vertical) Weld]]="",Reinforcements[[#This Row],[Top Longitudinal (Vertical) Weld]]="None"),"-","")))</f>
        <v>-</v>
      </c>
      <c r="BY26" s="190" t="str">
        <f>IF($AZ26="Yes",AY26,IF(Reinforcements[[#This Row],[Reinforcement]]="","",IF(OR(Reinforcements[[#This Row],[Top End Connection Type]]&lt;&gt;"Welded",Reinforcements[[#This Row],[Top Longitudinal (Vertical) Weld]]="none"),"-",SQRT(2)/2*Reinforcements[[#This Row],[Top Longitudinal Weld Fillet Size (in)]])))</f>
        <v>-</v>
      </c>
      <c r="BZ26"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6" s="192">
        <f>IF(Reinforcements[[#This Row],[Reinforcement]]="","",IF(Reinforcements[[#This Row],[Bottom End Connection Type]]&lt;&gt;"Bolted","n/a",(Reinforcements[[#This Row],['# of End Connection Bolts          (Bottom)]]-1)*Reinforcements[[#This Row],[End Connection Bolt Spacing (in) (B)]]+Reinforcements[[#This Row],[End Connection Edge Distance (in) (B)]]))</f>
        <v>45</v>
      </c>
      <c r="CB26" s="192">
        <f>IF(Reinforcements[[#This Row],[Reinforcement]]="","",IF(Reinforcements[[#This Row],[Top End Connection Type]]&lt;&gt;"Bolted","n/a",(Reinforcements[[#This Row],['# of End Connection Bolts          (Top)]]-1)*Reinforcements[[#This Row],[End Connection Bolt Spacing (in) (T)]]+Reinforcements[[#This Row],[End Connection Edge Distance (in) (T)]]))</f>
        <v>45</v>
      </c>
      <c r="CC26"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26"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6" s="185">
        <f>IFERROR(IF(Reinforcements[[#This Row],[Type]]="","",Reinforcements[[#This Row],[Effective B (in)]]*Reinforcements[[#This Row],[Effective H (in)]]^3/12),"")</f>
        <v>1.3834635416666667</v>
      </c>
      <c r="CF26" s="185">
        <f>IFERROR(IF(Reinforcements[[#This Row],[Type]]="","",Reinforcements[[#This Row],[Effective B (in)]]^3*Reinforcements[[#This Row],[Effective H (in)]]/12),"")</f>
        <v>63.971354166666664</v>
      </c>
      <c r="CG26" s="197">
        <f>SQRT(2*PI()^2*29000/VLOOKUP(Reinforcements[[#This Row],[Material]],Materials[],2,FALSE))</f>
        <v>93.844147005158973</v>
      </c>
      <c r="CH26"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33.030438827573469</v>
      </c>
      <c r="CI26"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38.259345951636107</v>
      </c>
      <c r="CJ26" s="187">
        <f>Reinforcements[[#This Row],[Effective Length Factor Kx]]*Reinforcements[[#This Row],[Lu (in)]]/(Reinforcements[[#This Row],[rx]]*PI())*SQRT(VLOOKUP(Reinforcements[[#This Row],[Material]],Materials[],2,FALSE)/29000)</f>
        <v>0.56797252150453015</v>
      </c>
      <c r="CK26" s="187">
        <f>Reinforcements[[#This Row],[Effective Length Factor Ky]]*Reinforcements[[#This Row],[Lu (in)]]/(Reinforcements[[#This Row],[ry]]*PI())*SQRT(VLOOKUP(Reinforcements[[#This Row],[Material]],Materials[],2,FALSE)/29000)</f>
        <v>0.10440671351186218</v>
      </c>
      <c r="CL26" s="187">
        <f>IF(Reinforcements[[#This Row],[λcx]]&lt;=1.5,0.658^(Reinforcements[[#This Row],[λcx]]^2)*Reinforcements[[#This Row],[F''y]],0.877/(Reinforcements[[#This Row],[λcx]]^2)*Reinforcements[[#This Row],[F''y]])</f>
        <v>56.790323341365259</v>
      </c>
      <c r="CM26" s="187">
        <f>IF(Reinforcements[[#This Row],[λcy]]&lt;=1.5,0.658^(Reinforcements[[#This Row],[λcy]]^2)*Reinforcements[[#This Row],[F''y]],0.877/(Reinforcements[[#This Row],[λcy]]^2)*Reinforcements[[#This Row],[F''y]])</f>
        <v>64.704111863315191</v>
      </c>
      <c r="CN26" s="185">
        <f>VLOOKUP(Reinforcements[[#This Row],[Material]],Materials[],2,FALSE)</f>
        <v>65</v>
      </c>
      <c r="CO26" s="197">
        <f>IF(Reinforcements[[#This Row],[Reinforcement]]="","",Reinforcements[[#This Row],[Fax]]*Reinforcements[[#This Row],[Gross Area (in2)]])</f>
        <v>350.94841254296813</v>
      </c>
      <c r="CP26" s="197">
        <f>IF(Reinforcements[[#This Row],[Reinforcement]]="","",Reinforcements[[#This Row],[Fay]]*Reinforcements[[#This Row],[Gross Area (in2)]])</f>
        <v>406.50555073613361</v>
      </c>
      <c r="CQ26" s="197">
        <f>IF(Reinforcements[[#This Row],[Reinforcement]]="","",0.6*VLOOKUP(Reinforcements[[#This Row],[Material]],Materials[],2,FALSE)*Reinforcements[[#This Row],[Gross Area (in2)]])</f>
        <v>414.375</v>
      </c>
      <c r="CR26" s="197">
        <f>IF(Reinforcements[[#This Row],[Reinforcement]]="","",0.5*VLOOKUP(Reinforcements[[#This Row],[Material]],Materials[],3,FALSE)*Reinforcements[[#This Row],[Net Area (in2)]]*Reinforcements[[#This Row],[Shear Lag (U)]])</f>
        <v>362.5</v>
      </c>
      <c r="CS26" s="197">
        <f>IF(Reinforcements[[#This Row],[Reinforcement]]="","",0.4*VLOOKUP(Reinforcements[[#This Row],[Material]],Materials[],2,FALSE)*Reinforcements[[#This Row],[Gross Area (in2)]])</f>
        <v>276.25</v>
      </c>
      <c r="CT26"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349.28447518244946</v>
      </c>
      <c r="CU26"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26"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20.551181102362207</v>
      </c>
      <c r="CW26"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22.712598425196852</v>
      </c>
      <c r="CX26"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26"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26"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2055.1181102362207</v>
      </c>
      <c r="DA26"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2271.2598425196852</v>
      </c>
      <c r="DB26"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2055.1181102362207</v>
      </c>
      <c r="DC26"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2271.2598425196852</v>
      </c>
      <c r="DD26"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6"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6" s="190" t="str">
        <f>IF($AZ26="Yes",DD26,IF(Reinforcements[[#This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6" s="190" t="str">
        <f>IF($AZ26="Yes",DE26,IF(Reinforcements[[#This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6" s="197">
        <f>IF(Reinforcements[[#This Row],[Reinforcement]]="","",φ_c*Reinforcements[[#This Row],[Fcr,x]]*Reinforcements[[#This Row],[Gross Area (in2)]])</f>
        <v>543.05746695180528</v>
      </c>
      <c r="DI26" s="197">
        <f>IF(Reinforcements[[#This Row],[Reinforcement]]="","",φ_c*Reinforcements[[#This Row],[Fcr,y]]*Reinforcements[[#This Row],[Gross Area (in2)]])</f>
        <v>618.73306969295152</v>
      </c>
      <c r="DJ26" s="197">
        <f>IF(Reinforcements[[#This Row],[Reinforcement]]="","",φ_t_y*VLOOKUP(Reinforcements[[#This Row],[Material]],Materials[],2,FALSE)*Reinforcements[[#This Row],[Gross Area (in2)]])</f>
        <v>621.5625</v>
      </c>
      <c r="DK26" s="197">
        <f>IF(Reinforcements[[#This Row],[Reinforcement]]="","",φ_t_r*VLOOKUP(Reinforcements[[#This Row],[Material]],Materials[],3,FALSE)*Reinforcements[[#This Row],[Net Area (in2)]]*Reinforcements[[#This Row],[Shear Lag (U)]])</f>
        <v>543.75</v>
      </c>
      <c r="DL26" s="197">
        <f>IF(Reinforcements[[#This Row],[Reinforcement]]="","",φ_v*0.5*Reinforcements[[#This Row],[F''y]]*Reinforcements[[#This Row],[Gross Area (in2)]])</f>
        <v>310.78125</v>
      </c>
      <c r="DM26"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619.04905659002497</v>
      </c>
      <c r="DN26"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26"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29.548346456692911</v>
      </c>
      <c r="DP26"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36.935433070866146</v>
      </c>
      <c r="DQ26"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29.548346456692911</v>
      </c>
      <c r="DR26"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36.935433070866146</v>
      </c>
      <c r="DS26"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2954.8346456692916</v>
      </c>
      <c r="DT26"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3693.5433070866147</v>
      </c>
      <c r="DU26"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2954.8346456692916</v>
      </c>
      <c r="DV26"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3693.5433070866147</v>
      </c>
      <c r="DW26"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6"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6" s="190" t="str">
        <f>IF($AZ26="Yes",DW26,IF(Reinforcements[[#This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6" s="190" t="str">
        <f>IF($AZ26="Yes",DX26,IF(Reinforcements[[#This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6" s="241" t="str">
        <f>IF(OR(Reinforcements[[#This Row],[Type]]="plate",Reinforcements[[#This Row],[Type]]="solid round"),"N/A",Reinforcements[[#This Row],[B (in)]])</f>
        <v>N/A</v>
      </c>
      <c r="EB26" s="237" t="str">
        <f>IF(OR(Reinforcements[[#This Row],[Type]]="plate",Reinforcements[[#This Row],[Type]]="solid round"),"N/A",Reinforcements[[#This Row],[H (in)]])</f>
        <v>N/A</v>
      </c>
      <c r="EC26" s="237" t="str">
        <f>IF(OR(Reinforcements[[#This Row],[Type]]="plate",Reinforcements[[#This Row],[Type]]="solid round"),"N/A",Reinforcements[[#This Row],[B (in)]]-Reinforcements[[#This Row],['[Channel'] Flange Thickness (in)]])</f>
        <v>N/A</v>
      </c>
      <c r="ED26" s="237" t="str">
        <f>IF(OR(Reinforcements[[#This Row],[Type]]="plate",Reinforcements[[#This Row],[Type]]="solid round"),"N/A",Reinforcements[[#This Row],['[Channel']Web Thickness (in)]])</f>
        <v>N/A</v>
      </c>
      <c r="EE26" s="237" t="str">
        <f>IF(OR(Reinforcements[[#This Row],[Type]]="plate",Reinforcements[[#This Row],[Type]]="solid round"),"N/A",Reinforcements[[#This Row],['[Channel'] Flange Thickness (in)]])</f>
        <v>N/A</v>
      </c>
      <c r="EF26" s="237" t="str">
        <f>IF(Reinforcements[[#This Row],[Type]]="channel",Reinforcements[[#This Row],[Channel Flange Width, b]]/Reinforcements[[#This Row],[Channel flange thickness, tf]],"N/A")</f>
        <v>N/A</v>
      </c>
      <c r="EG26" s="237" t="str">
        <f>IF(Reinforcements[[#This Row],[Type]]="channel",Reinforcements[[#This Row],[Channel inside depth, T]]/Reinforcements[[#This Row],[Channel web thickness, tw]],"N/A")</f>
        <v>N/A</v>
      </c>
      <c r="EH26" s="237">
        <v>29000</v>
      </c>
      <c r="EI26" s="237" t="str">
        <f>IF(Reinforcements[[#This Row],[Type]]="channel",0.56*SQRT(Reinforcements[[#This Row],[E, (ksi)]]/Reinforcements[[#This Row],[Fy, (ksi)]]),"N/A")</f>
        <v>N/A</v>
      </c>
      <c r="EJ26" s="237" t="str">
        <f>IF(Reinforcements[[#This Row],[Type]]="channel",1.49*SQRT(Reinforcements[[#This Row],[E, (ksi)]]/Reinforcements[[#This Row],[Fy, (ksi)]]),"N/A")</f>
        <v>N/A</v>
      </c>
      <c r="EK26" s="237">
        <f>VLOOKUP(Reinforcements[[#This Row],[Material]],Materials!$B$2:$C$30,2,FALSE)</f>
        <v>65</v>
      </c>
      <c r="EL26" s="237">
        <f>Reinforcements[[#This Row],[Lu (in)]]*Reinforcements[[#This Row],[Effective Length Factor Kx]]</f>
        <v>13.600000000000001</v>
      </c>
      <c r="EM26" s="237">
        <f>Reinforcements[[#This Row],[Lu (in)]]*Reinforcements[[#This Row],[Effective Length Factor Ky]]</f>
        <v>17</v>
      </c>
      <c r="EN26" s="237">
        <f>Reinforcements[[#This Row],[rx]]</f>
        <v>0.36084391824351614</v>
      </c>
      <c r="EO26" s="237">
        <f>Reinforcements[[#This Row],[ry]]</f>
        <v>2.4537386440559095</v>
      </c>
      <c r="EP26" s="237">
        <f>Reinforcements[[#This Row],[Lcx (in)]]/Reinforcements[[#This Row],[rx (in)]]</f>
        <v>37.689425572698774</v>
      </c>
      <c r="EQ26" s="237">
        <f>Reinforcements[[#This Row],[Lcy (in)]]/Reinforcements[[#This Row],[ry (in)]]</f>
        <v>6.9282032302755097</v>
      </c>
      <c r="ER26" s="237">
        <f>((PI()^2)*Reinforcements[[#This Row],[E, (ksi)]])/(Reinforcements[[#This Row],[Lcx/rx]]^2)</f>
        <v>201.49241702005904</v>
      </c>
      <c r="ES26" s="237">
        <f>((PI()^2)*Reinforcements[[#This Row],[E, (ksi)]])/(Reinforcements[[#This Row],[Lcy/ry]]^2)</f>
        <v>5962.8859923248192</v>
      </c>
      <c r="ET26" s="237">
        <f>4.71*(SQRT(Reinforcements[[#This Row],[E, (ksi)]]/Reinforcements[[#This Row],[Fy, (ksi)]]))</f>
        <v>99.486288193205496</v>
      </c>
      <c r="EU26" s="237">
        <f>IF(Reinforcements[[#This Row],[Lcx/rx]]&lt;=Reinforcements[[#This Row],[Fcr Limit]],(0.658^(Reinforcements[[#This Row],[Fy, (ksi)]]/Reinforcements[[#This Row],[Fex, FB (ksi)]]))*Reinforcements[[#This Row],[Fy, (ksi)]],0.877*Reinforcements[[#This Row],[Fex, FB (ksi)]])</f>
        <v>56.790323341365259</v>
      </c>
      <c r="EV26" s="237">
        <f>IF(Reinforcements[[#This Row],[Lcy/ry]]&lt;=Reinforcements[[#This Row],[Fcr Limit]],(0.658^(Reinforcements[[#This Row],[Fy, (ksi)]]/Reinforcements[[#This Row],[Fey, FB (ksi)]]))*Reinforcements[[#This Row],[Fy, (ksi)]],0.877*Reinforcements[[#This Row],[Fey, FB (ksi)]])</f>
        <v>64.704111863315191</v>
      </c>
      <c r="EW26" s="237">
        <f>Reinforcements[[#This Row],[Fcrx (ksi)]]*Reinforcements[[#This Row],[Gross Area (in2)]]</f>
        <v>603.39718550200587</v>
      </c>
      <c r="EX26" s="237">
        <f>Reinforcements[[#This Row],[Fcry (ksi)]]*Reinforcements[[#This Row],[Gross Area (in2)]]</f>
        <v>687.48118854772395</v>
      </c>
      <c r="EY26" s="237" t="str">
        <f>IF(Reinforcements[[#This Row],[Type]]="channel",0,"N/A")</f>
        <v>N/A</v>
      </c>
      <c r="EZ26" s="237" t="str">
        <f>IF(Reinforcements[[#This Row],[Type]]="channel",Reinforcements[[#This Row],[Channel Flange Width, b]]-(0.5*Reinforcements[[#This Row],[Channel web thickness, tw]]),"N/A")</f>
        <v>N/A</v>
      </c>
      <c r="FA26" s="237" t="str">
        <f>IF(Reinforcements[[#This Row],[Type]]="channel",Reinforcements[[#This Row],[Channel Height, h]]-Reinforcements[[#This Row],[Channel flange thickness, tf]],"N/A")</f>
        <v>N/A</v>
      </c>
      <c r="FB26" s="237" t="str">
        <f>IF(Reinforcements[[#This Row],[Type]]="channel",Reinforcements[[#This Row],[Channel web thickness, tw]],"N/A")</f>
        <v>N/A</v>
      </c>
      <c r="FC26" s="237" t="str">
        <f>IF(Reinforcements[[#This Row],[Type]]="channel",((3*Reinforcements[[#This Row],[b]]^2)/(Reinforcements[[#This Row],[h]]+(6*Reinforcements[[#This Row],[b]])))-Reinforcements[[#This Row],[t]]/2,"N/A")</f>
        <v>N/A</v>
      </c>
      <c r="FD26" s="237">
        <f>Reinforcements[[#This Row],[Pole Face to Centroid (in)]]</f>
        <v>0.625</v>
      </c>
      <c r="FE26" s="237" t="str">
        <f>IF(Reinforcements[[#This Row],[Type]]="channel",Reinforcements[[#This Row],[x(bar)]]+Reinforcements[[#This Row],['[Channel'] e0 (in)]],"N/A")</f>
        <v>N/A</v>
      </c>
      <c r="FF26" s="237" t="str">
        <f>IF(Reinforcements[[#This Row],[Type]]="channel",Reinforcements[[#This Row],[Ix]],"N/A")</f>
        <v>N/A</v>
      </c>
      <c r="FG26" s="237" t="str">
        <f>IF(Reinforcements[[#This Row],[Type]]="channel",Reinforcements[[#This Row],[Iy]],"N/A")</f>
        <v>N/A</v>
      </c>
      <c r="FH26" s="237" t="str">
        <f>IF(Reinforcements[[#This Row],[Type]]="channel",Reinforcements[[#This Row],[Gross Area (in2)]],"N/A")</f>
        <v>N/A</v>
      </c>
      <c r="FI26" s="237" t="str">
        <f>IF(Reinforcements[[#This Row],[Type]]="channel",(Reinforcements[[#This Row],[xo]]^2)+((Reinforcements[[#This Row],[Ix (FTB)]]+Reinforcements[[#This Row],[Iy (FTB)]])/Reinforcements[[#This Row],[Ag]]),"N/A")</f>
        <v>N/A</v>
      </c>
      <c r="FJ26" s="237" t="str">
        <f>IF(Reinforcements[[#This Row],[Type]]="channel",Reinforcements[[#This Row],[Lu (in)]],"N/A")</f>
        <v>N/A</v>
      </c>
      <c r="FK26" s="237" t="str">
        <f>IF(Reinforcements[[#This Row],[Type]]="channel",Reinforcements[[#This Row],[Effective Length Factor Kx]],"N/A")</f>
        <v>N/A</v>
      </c>
      <c r="FL26" s="237" t="str">
        <f>IF(Reinforcements[[#This Row],[Type]]="channel",Reinforcements[[#This Row],[Kz]]*Reinforcements[[#This Row],[Lz]],"N/A")</f>
        <v>N/A</v>
      </c>
      <c r="FM26" s="237" t="str">
        <f>IF(Reinforcements[[#This Row],[Type]]="channel",(((Reinforcements[[#This Row],[t]]^3)/3)*(Reinforcements[[#This Row],[h]]+(2*Reinforcements[[#This Row],[b]]))),"N/A")</f>
        <v>N/A</v>
      </c>
      <c r="FN26" s="237" t="str">
        <f>IF(Reinforcements[[#This Row],[Type]]="channel",(1-(((Reinforcements[[#This Row],[xo]]^2)+(Reinforcements[[#This Row],[yo]]^2))/Reinforcements[[#This Row],[ro^2(bar)]])),"N/A")</f>
        <v>N/A</v>
      </c>
      <c r="FO26" s="237">
        <v>11200</v>
      </c>
      <c r="FP26" s="237" t="str">
        <f>IF(Reinforcements[[#This Row],[Type]]="channel",(((Reinforcements[[#This Row],[h]]^2)*(Reinforcements[[#This Row],[b]]^3)*Reinforcements[[#This Row],[t]])/12)*(((2*Reinforcements[[#This Row],[h]])+(3*Reinforcements[[#This Row],[b]]))/(Reinforcements[[#This Row],[h]]+(6*Reinforcements[[#This Row],[b]]))),"N/A")</f>
        <v>N/A</v>
      </c>
      <c r="FQ26" s="237" t="str">
        <f>IF(Reinforcements[[#This Row],[Type]]="Channel",((((PI()^2)*Reinforcements[[#This Row],[E, (ksi)]]*Reinforcements[[#This Row],['[Channel'] CW (in6)]])/(Reinforcements[[#This Row],[Lcz]]^2))+(Reinforcements[[#This Row],[G]]*Reinforcements[[#This Row],['[Channel'] J (in4)]]))*(1/(Reinforcements[[#This Row],[Ag]]*Reinforcements[[#This Row],[ro^2(bar)]])),"N/A")</f>
        <v>N/A</v>
      </c>
      <c r="FR26" s="237" t="str">
        <f>IF(Reinforcements[[#This Row],[Type]]="channel",((PI()^2)*Reinforcements[[#This Row],[E, (ksi)]])/(Reinforcements[[#This Row],[Lcy/ry]]^2),"N/A")</f>
        <v>N/A</v>
      </c>
      <c r="FS26" s="237" t="str">
        <f>IF(Reinforcements[[#This Row],[Type]]="channel",((Reinforcements[[#This Row],[Fey]]+Reinforcements[[#This Row],[Fez]])/(2*Reinforcements[[#This Row],[H2]]))*(1-SQRT(1-((4*Reinforcements[[#This Row],[Fey]]*Reinforcements[[#This Row],[Fez]]*Reinforcements[[#This Row],[H2]])/(Reinforcements[[#This Row],[Fey]]+Reinforcements[[#This Row],[Fez]])^2))),"N/A")</f>
        <v>N/A</v>
      </c>
      <c r="FT26" s="237" t="str">
        <f>IF(Reinforcements[[#This Row],[Type]]="channel",IF(Reinforcements[[#This Row],[Lcx/rx]]&gt;(4.71*SQRT(Reinforcements[[#This Row],[E, (ksi)]]/Reinforcements[[#This Row],[Fy, (ksi)]])),0.877*Reinforcements[[#This Row],[Fe (FTB)]],0.658^(Reinforcements[[#This Row],[Fy, (ksi)]]/Reinforcements[[#This Row],[Fe (FTB)]])*Reinforcements[[#This Row],[Fy, (ksi)]]),"N/A")</f>
        <v>N/A</v>
      </c>
      <c r="FU26" s="237" t="str">
        <f>IF(Reinforcements[[#This Row],[Type]]="channel",MIN(Reinforcements[[#This Row],[Fcr(FTB)]],Reinforcements[[#This Row],[Fcry (ksi)]]),"N/A")</f>
        <v>N/A</v>
      </c>
      <c r="FV26" s="237">
        <v>0.22</v>
      </c>
      <c r="FW26" s="237">
        <v>1.49</v>
      </c>
      <c r="FX26" s="237" t="str">
        <f>IF(Reinforcements[[#This Row],[Type]]="channel",((Reinforcements[[#This Row],[c2]]*(Reinforcements[[#This Row],[λrf]]/Reinforcements[[#This Row],[λf]]))^2)*Reinforcements[[#This Row],[Fy, (ksi)]],"N/A")</f>
        <v>N/A</v>
      </c>
      <c r="FY26" s="237" t="str">
        <f>IF(Reinforcements[[#This Row],[Type]]="channel",((Reinforcements[[#This Row],[c2]]*(Reinforcements[[#This Row],[λrw]]/Reinforcements[[#This Row],[λw]]))^2)*Reinforcements[[#This Row],[Fy, (ksi)]],"N/A")</f>
        <v>N/A</v>
      </c>
      <c r="FZ26"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6"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6"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6" s="237" t="str">
        <f>IF(Reinforcements[[#This Row],[Type]]="channel",Reinforcements[[#This Row],[Fcr]]*Reinforcements[[#This Row],[Ae]],"N/A")</f>
        <v>N/A</v>
      </c>
      <c r="GD26" s="466">
        <f>IF(Reinforcements[[#This Row],[Reinforcement]]="","",φ_c*Reinforcements[[#This Row],[Pnx, FB (kip)]])</f>
        <v>543.05746695180528</v>
      </c>
      <c r="GE26" s="466">
        <f>IF(Reinforcements[[#This Row],[Reinforcement]]="","",IF(Reinforcements[[#This Row],[Type]]="channel",φ_c*Reinforcements[[#This Row],[Pn]],φ_c*Reinforcements[[#This Row],[Pny, FB (kip)]]))</f>
        <v>618.73306969295152</v>
      </c>
      <c r="GF26" s="466">
        <f>Reinforcements[[#This Row],[Rev. G Tension Yield Capacity (kips)]]</f>
        <v>621.5625</v>
      </c>
      <c r="GG26" s="466">
        <f>Reinforcements[[#This Row],[Rev. G Tension Rupture Capacity (kips)]]</f>
        <v>543.75</v>
      </c>
      <c r="GH26" s="466">
        <f>Reinforcements[[#This Row],[Rev. G Shear Capacity (kips)]]</f>
        <v>310.78125</v>
      </c>
      <c r="GI26" s="466">
        <f>IFERROR((Reinforcements[[#This Row],['# of End Connection Bolts          (Bottom)]]-1)*Reinforcements[[#This Row],[End Connection Bolt Spacing (in) (B)]],"-")</f>
        <v>42</v>
      </c>
      <c r="GJ26" s="466">
        <f>IFERROR(IF(VLOOKUP(Reinforcements[[#This Row],[Bottom End Connection Bolt Type]],Bolts[],COLUMN(Bolts[[#Headers],[Rev. H Apply Connection Length Reduction Factor (Rb)?]])-1,FALSE)="Yes",(IF(Reinforcements[[#This Row],[Lb(bottom)]]&lt;=16,1,IF(Reinforcements[[#This Row],[Lb(bottom)]]&gt;38,0.75,0.9))),1),"-")</f>
        <v>1</v>
      </c>
      <c r="GK26"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695.99461456226902</v>
      </c>
      <c r="GL26" s="466">
        <f>IFERROR(IF(Reinforcements[[#This Row],[Top End Connection Same?]]="Yes",Reinforcements[[#This Row],[Lb(bottom)]],(Reinforcements[[#This Row],['# of End Connection Bolts          (Top)]]-1)*Reinforcements[[#This Row],[End Connection Bolt Spacing (in) (T)]]),"-")</f>
        <v>42</v>
      </c>
      <c r="GM26" s="466">
        <f>IFERROR(IF(VLOOKUP(Reinforcements[[#This Row],[Top End Connection Bolt Type]],Bolts[],COLUMN(Bolts[[#Headers],[Rev. H Apply Connection Length Reduction Factor (Rb)?]])-1,FALSE)="Yes",(IF(Reinforcements[[#This Row],[Lb(top)]]&lt;=16,1,IF(Reinforcements[[#This Row],[Lb(top)]]&gt;38,0.75,0.9))),1),"-")</f>
        <v>1</v>
      </c>
      <c r="GN26"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695.99461456226902</v>
      </c>
      <c r="GO26" s="466">
        <f>Reinforcements[[#This Row],[Rev. G Bolt-Shaft Bearing Capacity (Bottom)                No Deformation          (*t*Fu kips)]]</f>
        <v>29.548346456692911</v>
      </c>
      <c r="GP26" s="466">
        <f>Reinforcements[[#This Row],[Rev. G Bolt-Shaft Bearing Capacity (Bottom)                   Deformation          (*t*Fu kips)]]</f>
        <v>36.935433070866146</v>
      </c>
      <c r="GQ26" s="466">
        <f>Reinforcements[[#This Row],[Rev. G Bolt-Shaft Bearing Capacity (Top)                    No Deformation          (*t*Fu kips)]]</f>
        <v>29.548346456692911</v>
      </c>
      <c r="GR26" s="466">
        <f>Reinforcements[[#This Row],[Rev. G Bolt-Shaft Bearing Capacity (Top)                        Deformation          (*t*Fu kips)]]</f>
        <v>36.935433070866146</v>
      </c>
      <c r="GS26" s="466">
        <f>Reinforcements[[#This Row],[Rev. G Bolt-Reinf. Bearing Capacity (Bottom)            No Deformation (kips)]]</f>
        <v>2954.8346456692916</v>
      </c>
      <c r="GT26" s="466">
        <f>Reinforcements[[#This Row],[Rev. G Bolt-Reinf. Bearing Capacity (Bottom)               Deformation (kips)]]</f>
        <v>3693.5433070866147</v>
      </c>
      <c r="GU26" s="466">
        <f>Reinforcements[[#This Row],[Rev. G Bolt-Reinf. Bearing Capacity (Top)                  No Deformation (kips)]]</f>
        <v>2954.8346456692916</v>
      </c>
      <c r="GV26" s="466">
        <f>Reinforcements[[#This Row],[Rev. G Bolt-Reinf. Bearing Capacity (Top)               Deformation (kips)]]</f>
        <v>3693.5433070866147</v>
      </c>
      <c r="GW26" s="466" t="str">
        <f>Reinforcements[[#This Row],[Rev. G Bottom Transverse Weld Strength]]</f>
        <v>-</v>
      </c>
      <c r="GX26" s="466" t="str">
        <f>Reinforcements[[#This Row],[Rev. G Bottom Longitudinal Weld Strength]]</f>
        <v>-</v>
      </c>
      <c r="GY26" s="466" t="str">
        <f>Reinforcements[[#This Row],[Rev. G Top Transverse Weld Strength]]</f>
        <v>-</v>
      </c>
      <c r="GZ26" s="466" t="str">
        <f>Reinforcements[[#This Row],[Rev. G Top Longitudinal Weld Strength]]</f>
        <v>-</v>
      </c>
      <c r="HA26" s="552">
        <v>24</v>
      </c>
      <c r="HB26"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7" spans="2:217" s="66" customFormat="1" x14ac:dyDescent="0.2">
      <c r="B27" s="72" t="s">
        <v>588</v>
      </c>
      <c r="C27" s="72" t="s">
        <v>146</v>
      </c>
      <c r="D27" s="185">
        <v>4</v>
      </c>
      <c r="E27" s="185">
        <v>0.75</v>
      </c>
      <c r="F27" s="185" t="str">
        <f>IF(Reinforcements[[#This Row],[Type]]="","",IF(Reinforcements[[#This Row],[Type]]="solid round","","n/a"))</f>
        <v>n/a</v>
      </c>
      <c r="G27" s="185" t="str">
        <f>IF(Reinforcements[[#This Row],[Type]]="","",IF(Reinforcements[[#This Row],[Type]]&lt;&gt;"channel","n/a",""))</f>
        <v>n/a</v>
      </c>
      <c r="H27" s="185" t="str">
        <f>IF(Reinforcements[[#This Row],[Type]]="","",IF(Reinforcements[[#This Row],[Type]]&lt;&gt;"channel","n/a",""))</f>
        <v>n/a</v>
      </c>
      <c r="I27" s="197" t="str">
        <f>IF(Reinforcements[[#This Row],[Type]]="","",IF(Reinforcements[[#This Row],[Type]]&lt;&gt;"channel","n/a",Reinforcements[[#This Row],[eo]]))</f>
        <v>n/a</v>
      </c>
      <c r="J27" s="197" t="str">
        <f>IF(Reinforcements[[#This Row],[Type]]="","",IF(Reinforcements[[#This Row],[Type]]&lt;&gt;"channel","n/a",Reinforcements[[#This Row],[J]]))</f>
        <v>n/a</v>
      </c>
      <c r="K27" s="197" t="str">
        <f>IF(Reinforcements[[#This Row],[Type]]="","",IF(Reinforcements[[#This Row],[Type]]&lt;&gt;"channel","n/a",Reinforcements[[#This Row],[Cw]]))</f>
        <v>n/a</v>
      </c>
      <c r="L27" s="185">
        <f>IFERROR(IF(Reinforcements[[#This Row],[Type]]="","",IF(Reinforcements[[#This Row],[Type]]="plate",Reinforcements[[#This Row],[B (in)]]*Reinforcements[[#This Row],[H (in)]],IF(Reinforcements[[#This Row],[Type]]="solid round",PI()/4*Reinforcements[[#This Row],[Diameter (in)]]^2,""))),"")</f>
        <v>3</v>
      </c>
      <c r="M27" s="185">
        <f>IFERROR(IF(Reinforcements[[#This Row],[Type]]="","",IF(Reinforcements[[#This Row],[Type]]="plate",Reinforcements[[#This Row],[H (in)]]/2,"")),"")</f>
        <v>0.375</v>
      </c>
      <c r="N27" s="199" t="s">
        <v>297</v>
      </c>
      <c r="O27" s="185" t="s">
        <v>60</v>
      </c>
      <c r="P27" s="187">
        <f>IFERROR(IF(Reinforcements[[#This Row],[Type]]="","",IF(Reinforcements[[#This Row],[Type]]="plate",Reinforcements[[#This Row],[B (in)]]*Reinforcements[[#This Row],[H (in)]]^3/12,IF(Reinforcements[[#This Row],[Type]]="solid round",PI()/64*Reinforcements[[#This Row],[Diameter (in)]]^4,""))),"")</f>
        <v>0.140625</v>
      </c>
      <c r="Q27" s="187">
        <f>IF(Reinforcements[[#This Row],[Reinforcement]]="","",SQRT(Reinforcements[[#This Row],[Ix]]/Reinforcements[[#This Row],[Gross Area (in2)]]))</f>
        <v>0.21650635094610965</v>
      </c>
      <c r="R27" s="187">
        <f>IFERROR(IF(Reinforcements[[#This Row],[Type]]="","",IF(Reinforcements[[#This Row],[Type]]="plate",Reinforcements[[#This Row],[B (in)]]^3*Reinforcements[[#This Row],[H (in)]]/12,IF(Reinforcements[[#This Row],[Type]]="solid round",PI()/64*Reinforcements[[#This Row],[Diameter (in)]]^4,""))),"")</f>
        <v>4</v>
      </c>
      <c r="S27" s="187">
        <f>IF(Reinforcements[[#This Row],[Reinforcement]]="","",SQRT(Reinforcements[[#This Row],[Iy]]/Reinforcements[[#This Row],[Gross Area (in2)]]))</f>
        <v>1.1547005383792515</v>
      </c>
      <c r="T27" s="190">
        <v>16</v>
      </c>
      <c r="U27" s="188">
        <v>0.8</v>
      </c>
      <c r="V27" s="188">
        <v>1</v>
      </c>
      <c r="W27" s="185">
        <v>1.1875</v>
      </c>
      <c r="X27" s="188">
        <f>IF(Reinforcements[[#This Row],[Bolt Hole Size (in)]]="","",IF(Reinforcements[[#This Row],[Bolt Hole Size (in)]]="n/a","n/a",Reinforcements[[#This Row],[Bolt Hole Size (in)]]*25.4))</f>
        <v>30.162499999999998</v>
      </c>
      <c r="Y27"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27" s="185">
        <f>IFERROR(IF(Reinforcements[[#This Row],[Reinforcement]]="","",IF(OR(Reinforcements[[#This Row],[Type]]="plate",Reinforcements[[#This Row],[Type]]="solid round"),1,IF(Reinforcements[[#This Row],[Type]]="arbitrary","",1-Reinforcements[[#This Row],[Pole Face to Centroid (in)]]/Reinforcements[[#This Row],[Connection Length (in) '[Channels']]]))),"")</f>
        <v>1</v>
      </c>
      <c r="AA27" s="200" t="s">
        <v>578</v>
      </c>
      <c r="AB27" s="200" t="str">
        <f>IF(Reinforcements[[#This Row],[Reinforcement]]="","",IF(Reinforcements[[#This Row],[Bottom End Connection Type]]&lt;&gt;"Capacity Input","-",""))</f>
        <v>-</v>
      </c>
      <c r="AC27" s="200" t="str">
        <f>IF(Reinforcements[[#This Row],[Reinforcement]]="","",IF(Reinforcements[[#This Row],[Bottom End Connection Type]]&lt;&gt;"Capacity Input","-",""))</f>
        <v>-</v>
      </c>
      <c r="AD27" s="461" t="str">
        <f>IF(Reinforcements[[#This Row],[Reinforcement]]="","",IF(Reinforcements[[#This Row],[Bottom End Connection Type]]&lt;&gt;"Capacity Input","-",""))</f>
        <v>-</v>
      </c>
      <c r="AE27" s="103" t="str">
        <f>IF(Reinforcements[[#This Row],[Reinforcement]]="","",IF(Reinforcements[[#This Row],[Bottom End Connection Type]]="","-",IF(Reinforcements[[#This Row],[Bottom End Connection Type]]&lt;&gt;"Bolted","-","")))</f>
        <v>-</v>
      </c>
      <c r="AF27" s="190" t="str">
        <f>IF(Reinforcements[[#This Row],[Bottom End Connection Type]]="Welded","-","")</f>
        <v>-</v>
      </c>
      <c r="AG27" s="190" t="str">
        <f>IF(Reinforcements[[#This Row],[Bottom End Connection Type]]="Welded","-","")</f>
        <v>-</v>
      </c>
      <c r="AH27" s="190" t="str">
        <f>IF(Reinforcements[[#This Row],[Bottom End Connection Type]]="Welded","-","")</f>
        <v>-</v>
      </c>
      <c r="AI27" s="190" t="str">
        <f>IF(Reinforcements[[#This Row],[Bottom End Connection Type]]="Welded","-","")</f>
        <v>-</v>
      </c>
      <c r="AJ27" s="185" t="e">
        <f>Reinforcements[[#This Row],[End Connection Edge Distance (in) (B)]]-(Reinforcements[[#This Row],[Bolt Hole Size (in)]]+1/16)/2</f>
        <v>#VALUE!</v>
      </c>
      <c r="AK27" s="185" t="e">
        <f>Reinforcements[[#This Row],[End Connection Bolt Spacing (in) (B)]]-(Reinforcements[[#This Row],[Bolt Hole Size (in)]]+1/16)</f>
        <v>#VALUE!</v>
      </c>
      <c r="AL27" s="185" t="str">
        <f>Reinforcements[[#This Row],[End Connection Edge Distance (in) (B)]]</f>
        <v>-</v>
      </c>
      <c r="AM27" s="185" t="str">
        <f>Reinforcements[[#This Row],[End Connection Bolt Spacing (in) (B)]]</f>
        <v>-</v>
      </c>
      <c r="AN27" s="192" t="s">
        <v>295</v>
      </c>
      <c r="AO27" s="192">
        <v>70</v>
      </c>
      <c r="AP27" s="191" t="s">
        <v>577</v>
      </c>
      <c r="AQ27" s="191">
        <v>4</v>
      </c>
      <c r="AR27" s="190">
        <v>0.75</v>
      </c>
      <c r="AS27" s="190">
        <v>45</v>
      </c>
      <c r="AT27" s="191">
        <v>0.25</v>
      </c>
      <c r="AU27"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7" s="191" t="s">
        <v>528</v>
      </c>
      <c r="AW27" s="191" t="str">
        <f>IF(Reinforcements[[#This Row],[Reinforcement]]="","",IF(OR(Reinforcements[[#This Row],[Bottom End Connection Type]]&lt;&gt;"Welded",Reinforcements[[#This Row],[Bottom Longitudinal (Vertical) Weld]]="None",Reinforcements[[#This Row],[Bottom Longitudinal (Vertical) Weld]]=""),"-",""))</f>
        <v>-</v>
      </c>
      <c r="AX27" s="191" t="str">
        <f>IF(Reinforcements[[#This Row],[Reinforcement]]="","",IF(OR(Reinforcements[[#This Row],[Bottom End Connection Type]]&lt;&gt;"Welded",Reinforcements[[#This Row],[Bottom Longitudinal (Vertical) Weld]]="None",Reinforcements[[#This Row],[Bottom Longitudinal (Vertical) Weld]]=""),"-",""))</f>
        <v>-</v>
      </c>
      <c r="AY27" s="190" t="str">
        <f>IF(Reinforcements[[#This Row],[Reinforcement]]="","",IF(OR(Reinforcements[[#This Row],[Bottom End Connection Type]]&lt;&gt;"Welded",Reinforcements[[#This Row],[Bottom Longitudinal (Vertical) Weld]]="None"),"-",SQRT(2)/2*Reinforcements[[#This Row],[Bottom Longitudinal Weld Fillet Size (in)]]))</f>
        <v>-</v>
      </c>
      <c r="AZ27" s="191" t="s">
        <v>297</v>
      </c>
      <c r="BA27" s="200" t="s">
        <v>391</v>
      </c>
      <c r="BB27" s="200" t="str">
        <f>IF(Reinforcements[[#This Row],[Reinforcement]]="","",IF(Reinforcements[[#This Row],[Top End Connection Same?]]="Yes",Reinforcements[[#This Row],[Rev. F Bottom Connection Capacity (kips)]],IF(Reinforcements[[#This Row],[Reinforcement]]="","",IF(Reinforcements[[#This Row],[Top End Connection Type]]&lt;&gt;"Capacity Input","-",""))))</f>
        <v>-</v>
      </c>
      <c r="BC27" s="200" t="str">
        <f>IF(Reinforcements[[#This Row],[Reinforcement]]="","",IF(Reinforcements[[#This Row],[Top End Connection Same?]]="Yes",Reinforcements[[#This Row],[Rev. G Bottom Connection Capacity (kips)]],IF(Reinforcements[[#This Row],[Reinforcement]]="","",IF(Reinforcements[[#This Row],[Top End Connection Type]]&lt;&gt;"Capacity Input","-",""))))</f>
        <v>-</v>
      </c>
      <c r="BD27" s="461" t="str">
        <f>IF(Reinforcements[[#This Row],[Reinforcement]]="","",IF(Reinforcements[[#This Row],[Top End Connection Same?]]="Yes",Reinforcements[[#This Row],[Rev. G Bottom Connection Capacity (kips)]],IF(Reinforcements[[#This Row],[Reinforcement]]="","",IF(Reinforcements[[#This Row],[Top End Connection Type]]&lt;&gt;"Capacity Input","-",""))))</f>
        <v>-</v>
      </c>
      <c r="BE27" s="202" t="s">
        <v>416</v>
      </c>
      <c r="BF27" s="191" t="s">
        <v>296</v>
      </c>
      <c r="BG27" s="190">
        <v>6</v>
      </c>
      <c r="BH27" s="190">
        <v>3</v>
      </c>
      <c r="BI27" s="190">
        <v>3</v>
      </c>
      <c r="BJ27" s="190">
        <f>Reinforcements[[#This Row],[End Connection Edge Distance (in) (T)]]-(Reinforcements[[#This Row],[Bolt Hole Size (in)]]+1/16)/2</f>
        <v>2.375</v>
      </c>
      <c r="BK27" s="190">
        <f>Reinforcements[[#This Row],[End Connection Bolt Spacing (in) (T)]]-(Reinforcements[[#This Row],[Bolt Hole Size (in)]]+1/16)</f>
        <v>1.75</v>
      </c>
      <c r="BL27" s="237">
        <f>Reinforcements[[#This Row],[End Connection Edge Distance (in) (T)]]</f>
        <v>3</v>
      </c>
      <c r="BM27" s="237">
        <f>Reinforcements[[#This Row],[End Connection Bolt Spacing (in) (T)]]</f>
        <v>3</v>
      </c>
      <c r="BN27" s="237" t="str">
        <f>IF(Reinforcements[[#This Row],[Reinforcement]]="","",IF(Reinforcements[[#This Row],[Top End Connection Same?]]="Yes",Reinforcements[[#This Row],[Bottom Connected to Flange/Base Plate?]],IF(Reinforcements[[#This Row],[Top End Connection Type]]="Bolted","-","")))</f>
        <v>-</v>
      </c>
      <c r="BO27" s="237" t="str">
        <f>IF(Reinforcements[[#This Row],[Reinforcement]]="","",IF(Reinforcements[[#This Row],[Top End Connection Same?]]="Yes",Reinforcements[[#This Row],[Bottom Weld Grade (ksi)]],IF(OR(Reinforcements[[#This Row],[Top End Connection Type]]&lt;&gt;"Welded",Reinforcements[[#This Row],[Top End Connection Type]]=""),"-","")))</f>
        <v>-</v>
      </c>
      <c r="BP27" s="237" t="str">
        <f>IF($AZ27="Yes",AP27,IF(Reinforcements[[#This Row],[Reinforcement]]="","",IF(OR(Reinforcements[[#This Row],[Top End Connection Type]]&lt;&gt;"Welded",Reinforcements[[#This Row],[Top End Connection Type]]=""),"-","")))</f>
        <v>-</v>
      </c>
      <c r="BQ27" s="237" t="str">
        <f>IF(Reinforcements[[#This Row],[Reinforcement]]="","",IF($AZ27="Yes",AQ27,IF(OR(Reinforcements[[#This Row],[Top End Connection Type]]&lt;&gt;"Welded",Reinforcements[[#This Row],[Top Transverse (Horizontal) Weld]]="none",Reinforcements[[#This Row],[Top Transverse (Horizontal) Weld]]=""),"-","")))</f>
        <v>-</v>
      </c>
      <c r="BR27" s="237" t="str">
        <f>IF($AZ27="Yes",AR27,IF(Reinforcements[[#This Row],[Reinforcement]]="","",IF(OR(Reinforcements[[#This Row],[Top Transverse (Horizontal) Weld]]="none",Reinforcements[[#This Row],[Top End Connection Type]]&lt;&gt;"Welded",Reinforcements[[#This Row],[Top Transverse (Horizontal) Weld]]="",Reinforcements[[#This Row],[Top Transverse (Horizontal) Weld]]="Fillet"),"-","")))</f>
        <v>-</v>
      </c>
      <c r="BS27" s="237" t="str">
        <f>IF($AZ27="Yes",AS27,IF(Reinforcements[[#This Row],[Reinforcement]]="","",IF(OR(Reinforcements[[#This Row],[Top Transverse (Horizontal) Weld]]="none",Reinforcements[[#This Row],[Top End Connection Type]]&lt;&gt;"Welded",Reinforcements[[#This Row],[Top Transverse (Horizontal) Weld]]="",Reinforcements[[#This Row],[Top Transverse (Horizontal) Weld]]="Fillet"),"-","")))</f>
        <v>-</v>
      </c>
      <c r="BT27" s="237" t="str">
        <f>IF(Reinforcements[[#This Row],[Reinforcement]]="","",IF($AZ27="Yes",AT27,IF(OR(Reinforcements[[#This Row],[Top Transverse (Horizontal) Weld]]="none",Reinforcements[[#This Row],[Top End Connection Type]]&lt;&gt;"Welded",Reinforcements[[#This Row],[Top Transverse (Horizontal) Weld]]=""),"-","")))</f>
        <v>-</v>
      </c>
      <c r="BU27" s="237" t="str">
        <f>IF($AZ27="Yes",AU27,IF(Reinforcements[[#This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7" s="237" t="str">
        <f>IF($AZ27="Yes",AV27,IF(Reinforcements[[#This Row],[Reinforcement]]="","",IF(OR(Reinforcements[[#This Row],[Top End Connection Type]]&lt;&gt;"Welded",Reinforcements[[#This Row],[Top End Connection Type]]=""),"-","")))</f>
        <v>-</v>
      </c>
      <c r="BW27" s="237" t="str">
        <f>IF($AZ27="Yes",AW27,IF(Reinforcements[[#This Row],[Reinforcement]]="","",IF(OR(Reinforcements[[#This Row],[Top End Connection Type]]&lt;&gt;"Welded",Reinforcements[[#This Row],[Top End Connection Type]]="",Reinforcements[[#This Row],[Top Longitudinal (Vertical) Weld]]="",Reinforcements[[#This Row],[Top Longitudinal (Vertical) Weld]]="None"),"-","")))</f>
        <v>-</v>
      </c>
      <c r="BX27" s="237" t="str">
        <f>IF($AZ27="Yes",AX27,IF(Reinforcements[[#This Row],[Reinforcement]]="","",IF(OR(Reinforcements[[#This Row],[Top End Connection Type]]&lt;&gt;"Welded",Reinforcements[[#This Row],[Top End Connection Type]]="",Reinforcements[[#This Row],[Top Longitudinal (Vertical) Weld]]="",Reinforcements[[#This Row],[Top Longitudinal (Vertical) Weld]]="None"),"-","")))</f>
        <v>-</v>
      </c>
      <c r="BY27" s="236" t="str">
        <f>IF($AZ27="Yes",AY27,IF(Reinforcements[[#This Row],[Reinforcement]]="","",IF(OR(Reinforcements[[#This Row],[Top End Connection Type]]&lt;&gt;"Welded",Reinforcements[[#This Row],[Top Longitudinal (Vertical) Weld]]="none"),"-",SQRT(2)/2*Reinforcements[[#This Row],[Top Longitudinal Weld Fillet Size (in)]])))</f>
        <v>-</v>
      </c>
      <c r="BZ27"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7" s="238"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27" s="238">
        <f>IF(Reinforcements[[#This Row],[Reinforcement]]="","",IF(Reinforcements[[#This Row],[Top End Connection Type]]&lt;&gt;"Bolted","n/a",(Reinforcements[[#This Row],['# of End Connection Bolts          (Top)]]-1)*Reinforcements[[#This Row],[End Connection Bolt Spacing (in) (T)]]+Reinforcements[[#This Row],[End Connection Edge Distance (in) (T)]]))</f>
        <v>18</v>
      </c>
      <c r="CC27"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27"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27" s="236">
        <f>IFERROR(IF(Reinforcements[[#This Row],[Type]]="","",Reinforcements[[#This Row],[Effective B (in)]]*Reinforcements[[#This Row],[Effective H (in)]]^3/12),"")</f>
        <v>0.140625</v>
      </c>
      <c r="CF27" s="236">
        <f>IFERROR(IF(Reinforcements[[#This Row],[Type]]="","",Reinforcements[[#This Row],[Effective B (in)]]^3*Reinforcements[[#This Row],[Effective H (in)]]/12),"")</f>
        <v>4</v>
      </c>
      <c r="CG27" s="235">
        <f>SQRT(2*PI()^2*29000/VLOOKUP(Reinforcements[[#This Row],[Material]],Materials[],2,FALSE))</f>
        <v>93.844147005158973</v>
      </c>
      <c r="CH27"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27.836949248856321</v>
      </c>
      <c r="CI27"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37.343267566720399</v>
      </c>
      <c r="CJ27" s="239">
        <f>Reinforcements[[#This Row],[Effective Length Factor Kx]]*Reinforcements[[#This Row],[Lu (in)]]/(Reinforcements[[#This Row],[rx]]*PI())*SQRT(VLOOKUP(Reinforcements[[#This Row],[Material]],Materials[],2,FALSE)/29000)</f>
        <v>0.89093728863455735</v>
      </c>
      <c r="CK27" s="239">
        <f>Reinforcements[[#This Row],[Effective Length Factor Ky]]*Reinforcements[[#This Row],[Lu (in)]]/(Reinforcements[[#This Row],[ry]]*PI())*SQRT(VLOOKUP(Reinforcements[[#This Row],[Material]],Materials[],2,FALSE)/29000)</f>
        <v>0.20881342702372435</v>
      </c>
      <c r="CL27" s="239">
        <f>IF(Reinforcements[[#This Row],[λcx]]&lt;=1.5,0.658^(Reinforcements[[#This Row],[λcx]]^2)*Reinforcements[[#This Row],[F''y]],0.877/(Reinforcements[[#This Row],[λcx]]^2)*Reinforcements[[#This Row],[F''y]])</f>
        <v>46.625839044509597</v>
      </c>
      <c r="CM27" s="239">
        <f>IF(Reinforcements[[#This Row],[λcy]]&lt;=1.5,0.658^(Reinforcements[[#This Row],[λcy]]^2)*Reinforcements[[#This Row],[F''y]],0.877/(Reinforcements[[#This Row],[λcy]]^2)*Reinforcements[[#This Row],[F''y]])</f>
        <v>63.824504474805018</v>
      </c>
      <c r="CN27" s="236">
        <f>VLOOKUP(Reinforcements[[#This Row],[Material]],Materials[],2,FALSE)</f>
        <v>65</v>
      </c>
      <c r="CO27" s="235">
        <f>IF(Reinforcements[[#This Row],[Reinforcement]]="","",Reinforcements[[#This Row],[Fax]]*Reinforcements[[#This Row],[Gross Area (in2)]])</f>
        <v>83.51084774656897</v>
      </c>
      <c r="CP27" s="235">
        <f>IF(Reinforcements[[#This Row],[Reinforcement]]="","",Reinforcements[[#This Row],[Fay]]*Reinforcements[[#This Row],[Gross Area (in2)]])</f>
        <v>112.0298027001612</v>
      </c>
      <c r="CQ27" s="235">
        <f>IF(Reinforcements[[#This Row],[Reinforcement]]="","",0.6*VLOOKUP(Reinforcements[[#This Row],[Material]],Materials[],2,FALSE)*Reinforcements[[#This Row],[Gross Area (in2)]])</f>
        <v>117</v>
      </c>
      <c r="CR27" s="235">
        <f>IF(Reinforcements[[#This Row],[Reinforcement]]="","",0.5*VLOOKUP(Reinforcements[[#This Row],[Material]],Materials[],3,FALSE)*Reinforcements[[#This Row],[Net Area (in2)]]*Reinforcements[[#This Row],[Shear Lag (U)]])</f>
        <v>82.5</v>
      </c>
      <c r="CS27" s="235">
        <f>IF(Reinforcements[[#This Row],[Reinforcement]]="","",0.4*VLOOKUP(Reinforcements[[#This Row],[Material]],Materials[],2,FALSE)*Reinforcements[[#This Row],[Gross Area (in2)]])</f>
        <v>78</v>
      </c>
      <c r="CT27" s="235"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27"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27" s="235"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27" s="235"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27"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27"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27" s="240"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27" s="235"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27"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493.22834645669298</v>
      </c>
      <c r="DC27"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552.75590551181108</v>
      </c>
      <c r="DD27"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7" s="23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7" s="236" t="str">
        <f>IF($AZ27="Yes",DD27,IF(Reinforcements[[#This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7" s="236" t="str">
        <f>IF($AZ27="Yes",DE27,IF(Reinforcements[[#This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7" s="235">
        <f>IF(Reinforcements[[#This Row],[Reinforcement]]="","",φ_c*Reinforcements[[#This Row],[Fcr,x]]*Reinforcements[[#This Row],[Gross Area (in2)]])</f>
        <v>125.88976542017591</v>
      </c>
      <c r="DI27" s="235">
        <f>IF(Reinforcements[[#This Row],[Reinforcement]]="","",φ_c*Reinforcements[[#This Row],[Fcr,y]]*Reinforcements[[#This Row],[Gross Area (in2)]])</f>
        <v>172.32616208197356</v>
      </c>
      <c r="DJ27" s="235">
        <f>IF(Reinforcements[[#This Row],[Reinforcement]]="","",φ_t_y*VLOOKUP(Reinforcements[[#This Row],[Material]],Materials[],2,FALSE)*Reinforcements[[#This Row],[Gross Area (in2)]])</f>
        <v>175.5</v>
      </c>
      <c r="DK27" s="235">
        <f>IF(Reinforcements[[#This Row],[Reinforcement]]="","",φ_t_r*VLOOKUP(Reinforcements[[#This Row],[Material]],Materials[],3,FALSE)*Reinforcements[[#This Row],[Net Area (in2)]]*Reinforcements[[#This Row],[Shear Lag (U)]])</f>
        <v>123.75</v>
      </c>
      <c r="DL27" s="235">
        <f>IF(Reinforcements[[#This Row],[Reinforcement]]="","",φ_v*0.5*Reinforcements[[#This Row],[F''y]]*Reinforcements[[#This Row],[Gross Area (in2)]])</f>
        <v>87.75</v>
      </c>
      <c r="DM27" s="235"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27"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27" s="235"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27" s="235"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27"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27"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27"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27"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27"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717.73228346456699</v>
      </c>
      <c r="DV27"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897.16535433070862</v>
      </c>
      <c r="DW27" s="23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7" s="23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7" s="236" t="str">
        <f>IF($AZ27="Yes",DW27,IF(Reinforcements[[#This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7" s="236" t="str">
        <f>IF($AZ27="Yes",DX27,IF(Reinforcements[[#This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7" s="238" t="str">
        <f>IF(OR(Reinforcements[[#This Row],[Type]]="plate",Reinforcements[[#This Row],[Type]]="solid round"),"N/A",Reinforcements[[#This Row],[B (in)]])</f>
        <v>N/A</v>
      </c>
      <c r="EB27" s="236" t="str">
        <f>IF(OR(Reinforcements[[#This Row],[Type]]="plate",Reinforcements[[#This Row],[Type]]="solid round"),"N/A",Reinforcements[[#This Row],[H (in)]])</f>
        <v>N/A</v>
      </c>
      <c r="EC27" s="236" t="str">
        <f>IF(OR(Reinforcements[[#This Row],[Type]]="plate",Reinforcements[[#This Row],[Type]]="solid round"),"N/A",Reinforcements[[#This Row],[B (in)]]-Reinforcements[[#This Row],['[Channel'] Flange Thickness (in)]])</f>
        <v>N/A</v>
      </c>
      <c r="ED27" s="236" t="str">
        <f>IF(OR(Reinforcements[[#This Row],[Type]]="plate",Reinforcements[[#This Row],[Type]]="solid round"),"N/A",Reinforcements[[#This Row],['[Channel']Web Thickness (in)]])</f>
        <v>N/A</v>
      </c>
      <c r="EE27" s="236" t="str">
        <f>IF(OR(Reinforcements[[#This Row],[Type]]="plate",Reinforcements[[#This Row],[Type]]="solid round"),"N/A",Reinforcements[[#This Row],['[Channel'] Flange Thickness (in)]])</f>
        <v>N/A</v>
      </c>
      <c r="EF27" s="236" t="str">
        <f>IF(Reinforcements[[#This Row],[Type]]="channel",Reinforcements[[#This Row],[Channel Flange Width, b]]/Reinforcements[[#This Row],[Channel flange thickness, tf]],"N/A")</f>
        <v>N/A</v>
      </c>
      <c r="EG27" s="236" t="str">
        <f>IF(Reinforcements[[#This Row],[Type]]="channel",Reinforcements[[#This Row],[Channel inside depth, T]]/Reinforcements[[#This Row],[Channel web thickness, tw]],"N/A")</f>
        <v>N/A</v>
      </c>
      <c r="EH27" s="237">
        <v>29000</v>
      </c>
      <c r="EI27" s="236" t="str">
        <f>IF(Reinforcements[[#This Row],[Type]]="channel",0.56*SQRT(Reinforcements[[#This Row],[E, (ksi)]]/Reinforcements[[#This Row],[Fy, (ksi)]]),"N/A")</f>
        <v>N/A</v>
      </c>
      <c r="EJ27" s="236" t="str">
        <f>IF(Reinforcements[[#This Row],[Type]]="channel",1.49*SQRT(Reinforcements[[#This Row],[E, (ksi)]]/Reinforcements[[#This Row],[Fy, (ksi)]]),"N/A")</f>
        <v>N/A</v>
      </c>
      <c r="EK27" s="236">
        <f>VLOOKUP(Reinforcements[[#This Row],[Material]],Materials!$B$2:$C$30,2,FALSE)</f>
        <v>65</v>
      </c>
      <c r="EL27" s="236">
        <f>Reinforcements[[#This Row],[Lu (in)]]*Reinforcements[[#This Row],[Effective Length Factor Kx]]</f>
        <v>12.8</v>
      </c>
      <c r="EM27" s="236">
        <f>Reinforcements[[#This Row],[Lu (in)]]*Reinforcements[[#This Row],[Effective Length Factor Ky]]</f>
        <v>16</v>
      </c>
      <c r="EN27" s="236">
        <f>Reinforcements[[#This Row],[rx]]</f>
        <v>0.21650635094610965</v>
      </c>
      <c r="EO27" s="236">
        <f>Reinforcements[[#This Row],[ry]]</f>
        <v>1.1547005383792515</v>
      </c>
      <c r="EP27" s="236">
        <f>Reinforcements[[#This Row],[Lcx (in)]]/Reinforcements[[#This Row],[rx (in)]]</f>
        <v>59.120667565017683</v>
      </c>
      <c r="EQ27" s="236">
        <f>Reinforcements[[#This Row],[Lcy (in)]]/Reinforcements[[#This Row],[ry (in)]]</f>
        <v>13.856406460551019</v>
      </c>
      <c r="ER27" s="236">
        <f>((PI()^2)*Reinforcements[[#This Row],[E, (ksi)]])/(Reinforcements[[#This Row],[Lcx/rx]]^2)</f>
        <v>81.887777604558366</v>
      </c>
      <c r="ES27" s="236">
        <f>((PI()^2)*Reinforcements[[#This Row],[E, (ksi)]])/(Reinforcements[[#This Row],[Lcy/ry]]^2)</f>
        <v>1490.7214980812048</v>
      </c>
      <c r="ET27" s="236">
        <f>4.71*(SQRT(Reinforcements[[#This Row],[E, (ksi)]]/Reinforcements[[#This Row],[Fy, (ksi)]]))</f>
        <v>99.486288193205496</v>
      </c>
      <c r="EU27" s="236">
        <f>IF(Reinforcements[[#This Row],[Lcx/rx]]&lt;=Reinforcements[[#This Row],[Fcr Limit]],(0.658^(Reinforcements[[#This Row],[Fy, (ksi)]]/Reinforcements[[#This Row],[Fex, FB (ksi)]]))*Reinforcements[[#This Row],[Fy, (ksi)]],0.877*Reinforcements[[#This Row],[Fex, FB (ksi)]])</f>
        <v>46.625839044509597</v>
      </c>
      <c r="EV27" s="236">
        <f>IF(Reinforcements[[#This Row],[Lcy/ry]]&lt;=Reinforcements[[#This Row],[Fcr Limit]],(0.658^(Reinforcements[[#This Row],[Fy, (ksi)]]/Reinforcements[[#This Row],[Fey, FB (ksi)]]))*Reinforcements[[#This Row],[Fy, (ksi)]],0.877*Reinforcements[[#This Row],[Fey, FB (ksi)]])</f>
        <v>63.824504474805018</v>
      </c>
      <c r="EW27" s="236">
        <f>Reinforcements[[#This Row],[Fcrx (ksi)]]*Reinforcements[[#This Row],[Gross Area (in2)]]</f>
        <v>139.87751713352878</v>
      </c>
      <c r="EX27" s="236">
        <f>Reinforcements[[#This Row],[Fcry (ksi)]]*Reinforcements[[#This Row],[Gross Area (in2)]]</f>
        <v>191.47351342441505</v>
      </c>
      <c r="EY27" s="236" t="str">
        <f>IF(Reinforcements[[#This Row],[Type]]="channel",0,"N/A")</f>
        <v>N/A</v>
      </c>
      <c r="EZ27" s="236" t="str">
        <f>IF(Reinforcements[[#This Row],[Type]]="channel",Reinforcements[[#This Row],[Channel Flange Width, b]]-(0.5*Reinforcements[[#This Row],[Channel web thickness, tw]]),"N/A")</f>
        <v>N/A</v>
      </c>
      <c r="FA27" s="236" t="str">
        <f>IF(Reinforcements[[#This Row],[Type]]="channel",Reinforcements[[#This Row],[Channel Height, h]]-Reinforcements[[#This Row],[Channel flange thickness, tf]],"N/A")</f>
        <v>N/A</v>
      </c>
      <c r="FB27" s="236" t="str">
        <f>IF(Reinforcements[[#This Row],[Type]]="channel",Reinforcements[[#This Row],[Channel web thickness, tw]],"N/A")</f>
        <v>N/A</v>
      </c>
      <c r="FC27" s="236" t="str">
        <f>IF(Reinforcements[[#This Row],[Type]]="channel",((3*Reinforcements[[#This Row],[b]]^2)/(Reinforcements[[#This Row],[h]]+(6*Reinforcements[[#This Row],[b]])))-Reinforcements[[#This Row],[t]]/2,"N/A")</f>
        <v>N/A</v>
      </c>
      <c r="FD27" s="236">
        <f>Reinforcements[[#This Row],[Pole Face to Centroid (in)]]</f>
        <v>0.375</v>
      </c>
      <c r="FE27" s="236" t="str">
        <f>IF(Reinforcements[[#This Row],[Type]]="channel",Reinforcements[[#This Row],[x(bar)]]+Reinforcements[[#This Row],['[Channel'] e0 (in)]],"N/A")</f>
        <v>N/A</v>
      </c>
      <c r="FF27" s="236" t="str">
        <f>IF(Reinforcements[[#This Row],[Type]]="channel",Reinforcements[[#This Row],[Ix]],"N/A")</f>
        <v>N/A</v>
      </c>
      <c r="FG27" s="236" t="str">
        <f>IF(Reinforcements[[#This Row],[Type]]="channel",Reinforcements[[#This Row],[Iy]],"N/A")</f>
        <v>N/A</v>
      </c>
      <c r="FH27" s="236" t="str">
        <f>IF(Reinforcements[[#This Row],[Type]]="channel",Reinforcements[[#This Row],[Gross Area (in2)]],"N/A")</f>
        <v>N/A</v>
      </c>
      <c r="FI27" s="236" t="str">
        <f>IF(Reinforcements[[#This Row],[Type]]="channel",(Reinforcements[[#This Row],[xo]]^2)+((Reinforcements[[#This Row],[Ix (FTB)]]+Reinforcements[[#This Row],[Iy (FTB)]])/Reinforcements[[#This Row],[Ag]]),"N/A")</f>
        <v>N/A</v>
      </c>
      <c r="FJ27" s="236" t="str">
        <f>IF(Reinforcements[[#This Row],[Type]]="channel",Reinforcements[[#This Row],[Lu (in)]],"N/A")</f>
        <v>N/A</v>
      </c>
      <c r="FK27" s="236" t="str">
        <f>IF(Reinforcements[[#This Row],[Type]]="channel",Reinforcements[[#This Row],[Effective Length Factor Kx]],"N/A")</f>
        <v>N/A</v>
      </c>
      <c r="FL27" s="236" t="str">
        <f>IF(Reinforcements[[#This Row],[Type]]="channel",Reinforcements[[#This Row],[Kz]]*Reinforcements[[#This Row],[Lz]],"N/A")</f>
        <v>N/A</v>
      </c>
      <c r="FM27" s="236" t="str">
        <f>IF(Reinforcements[[#This Row],[Type]]="channel",(((Reinforcements[[#This Row],[t]]^3)/3)*(Reinforcements[[#This Row],[h]]+(2*Reinforcements[[#This Row],[b]]))),"N/A")</f>
        <v>N/A</v>
      </c>
      <c r="FN27" s="236" t="str">
        <f>IF(Reinforcements[[#This Row],[Type]]="channel",(1-(((Reinforcements[[#This Row],[xo]]^2)+(Reinforcements[[#This Row],[yo]]^2))/Reinforcements[[#This Row],[ro^2(bar)]])),"N/A")</f>
        <v>N/A</v>
      </c>
      <c r="FO27" s="237">
        <v>11200</v>
      </c>
      <c r="FP27" s="236" t="str">
        <f>IF(Reinforcements[[#This Row],[Type]]="channel",(((Reinforcements[[#This Row],[h]]^2)*(Reinforcements[[#This Row],[b]]^3)*Reinforcements[[#This Row],[t]])/12)*(((2*Reinforcements[[#This Row],[h]])+(3*Reinforcements[[#This Row],[b]]))/(Reinforcements[[#This Row],[h]]+(6*Reinforcements[[#This Row],[b]]))),"N/A")</f>
        <v>N/A</v>
      </c>
      <c r="FQ27" s="236" t="str">
        <f>IF(Reinforcements[[#This Row],[Type]]="Channel",((((PI()^2)*Reinforcements[[#This Row],[E, (ksi)]]*Reinforcements[[#This Row],['[Channel'] CW (in6)]])/(Reinforcements[[#This Row],[Lcz]]^2))+(Reinforcements[[#This Row],[G]]*Reinforcements[[#This Row],['[Channel'] J (in4)]]))*(1/(Reinforcements[[#This Row],[Ag]]*Reinforcements[[#This Row],[ro^2(bar)]])),"N/A")</f>
        <v>N/A</v>
      </c>
      <c r="FR27" s="236" t="str">
        <f>IF(Reinforcements[[#This Row],[Type]]="channel",((PI()^2)*Reinforcements[[#This Row],[E, (ksi)]])/(Reinforcements[[#This Row],[Lcy/ry]]^2),"N/A")</f>
        <v>N/A</v>
      </c>
      <c r="FS27" s="236" t="str">
        <f>IF(Reinforcements[[#This Row],[Type]]="channel",((Reinforcements[[#This Row],[Fey]]+Reinforcements[[#This Row],[Fez]])/(2*Reinforcements[[#This Row],[H2]]))*(1-SQRT(1-((4*Reinforcements[[#This Row],[Fey]]*Reinforcements[[#This Row],[Fez]]*Reinforcements[[#This Row],[H2]])/(Reinforcements[[#This Row],[Fey]]+Reinforcements[[#This Row],[Fez]])^2))),"N/A")</f>
        <v>N/A</v>
      </c>
      <c r="FT27" s="236" t="str">
        <f>IF(Reinforcements[[#This Row],[Type]]="channel",IF(Reinforcements[[#This Row],[Lcx/rx]]&gt;(4.71*SQRT(Reinforcements[[#This Row],[E, (ksi)]]/Reinforcements[[#This Row],[Fy, (ksi)]])),0.877*Reinforcements[[#This Row],[Fe (FTB)]],0.658^(Reinforcements[[#This Row],[Fy, (ksi)]]/Reinforcements[[#This Row],[Fe (FTB)]])*Reinforcements[[#This Row],[Fy, (ksi)]]),"N/A")</f>
        <v>N/A</v>
      </c>
      <c r="FU27" s="236" t="str">
        <f>IF(Reinforcements[[#This Row],[Type]]="channel",MIN(Reinforcements[[#This Row],[Fcr(FTB)]],Reinforcements[[#This Row],[Fcry (ksi)]]),"N/A")</f>
        <v>N/A</v>
      </c>
      <c r="FV27" s="237">
        <v>0.22</v>
      </c>
      <c r="FW27" s="237">
        <v>1.49</v>
      </c>
      <c r="FX27" s="236" t="str">
        <f>IF(Reinforcements[[#This Row],[Type]]="channel",((Reinforcements[[#This Row],[c2]]*(Reinforcements[[#This Row],[λrf]]/Reinforcements[[#This Row],[λf]]))^2)*Reinforcements[[#This Row],[Fy, (ksi)]],"N/A")</f>
        <v>N/A</v>
      </c>
      <c r="FY27" s="236" t="str">
        <f>IF(Reinforcements[[#This Row],[Type]]="channel",((Reinforcements[[#This Row],[c2]]*(Reinforcements[[#This Row],[λrw]]/Reinforcements[[#This Row],[λw]]))^2)*Reinforcements[[#This Row],[Fy, (ksi)]],"N/A")</f>
        <v>N/A</v>
      </c>
      <c r="FZ27"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7"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7"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7" s="236" t="str">
        <f>IF(Reinforcements[[#This Row],[Type]]="channel",Reinforcements[[#This Row],[Fcr]]*Reinforcements[[#This Row],[Ae]],"N/A")</f>
        <v>N/A</v>
      </c>
      <c r="GD27" s="466">
        <f>IF(Reinforcements[[#This Row],[Reinforcement]]="","",φ_c*Reinforcements[[#This Row],[Pnx, FB (kip)]])</f>
        <v>125.88976542017591</v>
      </c>
      <c r="GE27" s="466">
        <f>IF(Reinforcements[[#This Row],[Reinforcement]]="","",IF(Reinforcements[[#This Row],[Type]]="channel",φ_c*Reinforcements[[#This Row],[Pn]],φ_c*Reinforcements[[#This Row],[Pny, FB (kip)]]))</f>
        <v>172.32616208197354</v>
      </c>
      <c r="GF27" s="466">
        <f>Reinforcements[[#This Row],[Rev. G Tension Yield Capacity (kips)]]</f>
        <v>175.5</v>
      </c>
      <c r="GG27" s="466">
        <f>Reinforcements[[#This Row],[Rev. G Tension Rupture Capacity (kips)]]</f>
        <v>123.75</v>
      </c>
      <c r="GH27" s="466">
        <f>Reinforcements[[#This Row],[Rev. G Shear Capacity (kips)]]</f>
        <v>87.75</v>
      </c>
      <c r="GI27" s="466" t="str">
        <f>IFERROR((Reinforcements[[#This Row],['# of End Connection Bolts          (Bottom)]]-1)*Reinforcements[[#This Row],[End Connection Bolt Spacing (in) (B)]],"-")</f>
        <v>-</v>
      </c>
      <c r="GJ27" s="466">
        <f>IFERROR(IF(VLOOKUP(Reinforcements[[#This Row],[Bottom End Connection Bolt Type]],Bolts[],COLUMN(Bolts[[#Headers],[Rev. H Apply Connection Length Reduction Factor (Rb)?]])-1,FALSE)="Yes",(IF(Reinforcements[[#This Row],[Lb(bottom)]]&lt;=16,1,IF(Reinforcements[[#This Row],[Lb(bottom)]]&gt;38,0.75,0.9))),1),"-")</f>
        <v>1</v>
      </c>
      <c r="GK27"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27" s="466">
        <f>IFERROR(IF(Reinforcements[[#This Row],[Top End Connection Same?]]="Yes",Reinforcements[[#This Row],[Lb(bottom)]],(Reinforcements[[#This Row],['# of End Connection Bolts          (Top)]]-1)*Reinforcements[[#This Row],[End Connection Bolt Spacing (in) (T)]]),"-")</f>
        <v>15</v>
      </c>
      <c r="GM27" s="466">
        <f>IFERROR(IF(VLOOKUP(Reinforcements[[#This Row],[Top End Connection Bolt Type]],Bolts[],COLUMN(Bolts[[#Headers],[Rev. H Apply Connection Length Reduction Factor (Rb)?]])-1,FALSE)="Yes",(IF(Reinforcements[[#This Row],[Lb(top)]]&lt;=16,1,IF(Reinforcements[[#This Row],[Lb(top)]]&gt;38,0.75,0.9))),1),"-")</f>
        <v>1</v>
      </c>
      <c r="GN27"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27" s="466" t="str">
        <f>Reinforcements[[#This Row],[Rev. G Bolt-Shaft Bearing Capacity (Bottom)                No Deformation          (*t*Fu kips)]]</f>
        <v>-</v>
      </c>
      <c r="GP27" s="466" t="str">
        <f>Reinforcements[[#This Row],[Rev. G Bolt-Shaft Bearing Capacity (Bottom)                   Deformation          (*t*Fu kips)]]</f>
        <v>-</v>
      </c>
      <c r="GQ27" s="466">
        <f>Reinforcements[[#This Row],[Rev. G Bolt-Shaft Bearing Capacity (Top)                    No Deformation          (*t*Fu kips)]]</f>
        <v>11.96220472440945</v>
      </c>
      <c r="GR27" s="466">
        <f>Reinforcements[[#This Row],[Rev. G Bolt-Shaft Bearing Capacity (Top)                        Deformation          (*t*Fu kips)]]</f>
        <v>14.952755905511811</v>
      </c>
      <c r="GS27" s="466" t="str">
        <f>Reinforcements[[#This Row],[Rev. G Bolt-Reinf. Bearing Capacity (Bottom)            No Deformation (kips)]]</f>
        <v>-</v>
      </c>
      <c r="GT27" s="466" t="str">
        <f>Reinforcements[[#This Row],[Rev. G Bolt-Reinf. Bearing Capacity (Bottom)               Deformation (kips)]]</f>
        <v>-</v>
      </c>
      <c r="GU27" s="466">
        <f>Reinforcements[[#This Row],[Rev. G Bolt-Reinf. Bearing Capacity (Top)                  No Deformation (kips)]]</f>
        <v>717.73228346456699</v>
      </c>
      <c r="GV27" s="466">
        <f>Reinforcements[[#This Row],[Rev. G Bolt-Reinf. Bearing Capacity (Top)               Deformation (kips)]]</f>
        <v>897.16535433070862</v>
      </c>
      <c r="GW27" s="466" t="str">
        <f>Reinforcements[[#This Row],[Rev. G Bottom Transverse Weld Strength]]</f>
        <v>-</v>
      </c>
      <c r="GX27" s="466" t="str">
        <f>Reinforcements[[#This Row],[Rev. G Bottom Longitudinal Weld Strength]]</f>
        <v>-</v>
      </c>
      <c r="GY27" s="466" t="str">
        <f>Reinforcements[[#This Row],[Rev. G Top Transverse Weld Strength]]</f>
        <v>-</v>
      </c>
      <c r="GZ27" s="466" t="str">
        <f>Reinforcements[[#This Row],[Rev. G Top Longitudinal Weld Strength]]</f>
        <v>-</v>
      </c>
      <c r="HA27" s="552">
        <v>25</v>
      </c>
      <c r="HB27" s="558"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c r="HC27" s="251"/>
      <c r="HD27" s="251"/>
      <c r="HE27" s="251"/>
      <c r="HF27" s="251"/>
      <c r="HG27" s="251"/>
      <c r="HH27" s="251"/>
      <c r="HI27" s="251"/>
    </row>
    <row r="28" spans="2:217" s="65" customFormat="1" x14ac:dyDescent="0.2">
      <c r="B28" s="72" t="s">
        <v>870</v>
      </c>
      <c r="C28" s="72" t="s">
        <v>146</v>
      </c>
      <c r="D28" s="185">
        <v>4</v>
      </c>
      <c r="E28" s="185">
        <v>1.25</v>
      </c>
      <c r="F28" s="185" t="str">
        <f>IF(Reinforcements[[#This Row],[Type]]="","",IF(Reinforcements[[#This Row],[Type]]="solid round","","n/a"))</f>
        <v>n/a</v>
      </c>
      <c r="G28" s="185" t="str">
        <f>IF(Reinforcements[[#This Row],[Type]]="","",IF(Reinforcements[[#This Row],[Type]]&lt;&gt;"channel","n/a",""))</f>
        <v>n/a</v>
      </c>
      <c r="H28" s="185" t="str">
        <f>IF(Reinforcements[[#This Row],[Type]]="","",IF(Reinforcements[[#This Row],[Type]]&lt;&gt;"channel","n/a",""))</f>
        <v>n/a</v>
      </c>
      <c r="I28" s="197" t="str">
        <f>IF(Reinforcements[[#This Row],[Type]]="","",IF(Reinforcements[[#This Row],[Type]]&lt;&gt;"channel","n/a",Reinforcements[[#This Row],[eo]]))</f>
        <v>n/a</v>
      </c>
      <c r="J28" s="197" t="str">
        <f>IF(Reinforcements[[#This Row],[Type]]="","",IF(Reinforcements[[#This Row],[Type]]&lt;&gt;"channel","n/a",Reinforcements[[#This Row],[J]]))</f>
        <v>n/a</v>
      </c>
      <c r="K28" s="197" t="str">
        <f>IF(Reinforcements[[#This Row],[Type]]="","",IF(Reinforcements[[#This Row],[Type]]&lt;&gt;"channel","n/a",Reinforcements[[#This Row],[Cw]]))</f>
        <v>n/a</v>
      </c>
      <c r="L28" s="185">
        <f>IFERROR(IF(Reinforcements[[#This Row],[Type]]="","",IF(Reinforcements[[#This Row],[Type]]="plate",Reinforcements[[#This Row],[B (in)]]*Reinforcements[[#This Row],[H (in)]],IF(Reinforcements[[#This Row],[Type]]="solid round",PI()/4*Reinforcements[[#This Row],[Diameter (in)]]^2,""))),"")</f>
        <v>5</v>
      </c>
      <c r="M28" s="185">
        <f>IFERROR(IF(Reinforcements[[#This Row],[Type]]="","",IF(Reinforcements[[#This Row],[Type]]="plate",Reinforcements[[#This Row],[H (in)]]/2,"")),"")</f>
        <v>0.625</v>
      </c>
      <c r="N28" s="199" t="s">
        <v>297</v>
      </c>
      <c r="O28" s="192" t="s">
        <v>60</v>
      </c>
      <c r="P28" s="187">
        <f>IFERROR(IF(Reinforcements[[#This Row],[Type]]="","",IF(Reinforcements[[#This Row],[Type]]="plate",Reinforcements[[#This Row],[B (in)]]*Reinforcements[[#This Row],[H (in)]]^3/12,IF(Reinforcements[[#This Row],[Type]]="solid round",PI()/64*Reinforcements[[#This Row],[Diameter (in)]]^4,""))),"")</f>
        <v>0.65104166666666663</v>
      </c>
      <c r="Q28" s="187">
        <f>IF(Reinforcements[[#This Row],[Reinforcement]]="","",SQRT(Reinforcements[[#This Row],[Ix]]/Reinforcements[[#This Row],[Gross Area (in2)]]))</f>
        <v>0.36084391824351608</v>
      </c>
      <c r="R28" s="187">
        <f>IFERROR(IF(Reinforcements[[#This Row],[Type]]="","",IF(Reinforcements[[#This Row],[Type]]="plate",Reinforcements[[#This Row],[B (in)]]^3*Reinforcements[[#This Row],[H (in)]]/12,IF(Reinforcements[[#This Row],[Type]]="solid round",PI()/64*Reinforcements[[#This Row],[Diameter (in)]]^4,""))),"")</f>
        <v>6.666666666666667</v>
      </c>
      <c r="S28" s="187">
        <f>IF(Reinforcements[[#This Row],[Reinforcement]]="","",SQRT(Reinforcements[[#This Row],[Iy]]/Reinforcements[[#This Row],[Gross Area (in2)]]))</f>
        <v>1.1547005383792517</v>
      </c>
      <c r="T28" s="190">
        <v>27</v>
      </c>
      <c r="U28" s="188">
        <v>0.8</v>
      </c>
      <c r="V28" s="188">
        <v>1</v>
      </c>
      <c r="W28" s="185">
        <v>1.1875</v>
      </c>
      <c r="X28" s="188">
        <f>IF(Reinforcements[[#This Row],[Bolt Hole Size (in)]]="","",IF(Reinforcements[[#This Row],[Bolt Hole Size (in)]]="n/a","n/a",Reinforcements[[#This Row],[Bolt Hole Size (in)]]*25.4))</f>
        <v>30.162499999999998</v>
      </c>
      <c r="Y28"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3.4375</v>
      </c>
      <c r="Z28" s="185">
        <f>IFERROR(IF(Reinforcements[[#This Row],[Reinforcement]]="","",IF(OR(Reinforcements[[#This Row],[Type]]="plate",Reinforcements[[#This Row],[Type]]="solid round"),1,IF(Reinforcements[[#This Row],[Type]]="arbitrary","",1-Reinforcements[[#This Row],[Pole Face to Centroid (in)]]/Reinforcements[[#This Row],[Connection Length (in) '[Channels']]]))),"")</f>
        <v>1</v>
      </c>
      <c r="AA28" s="527" t="s">
        <v>578</v>
      </c>
      <c r="AB28" s="189" t="str">
        <f>IF(Reinforcements[[#This Row],[Reinforcement]]="","",IF(Reinforcements[[#This Row],[Bottom End Connection Type]]&lt;&gt;"Capacity Input","-",""))</f>
        <v>-</v>
      </c>
      <c r="AC28" s="189" t="str">
        <f>IF(Reinforcements[[#This Row],[Reinforcement]]="","",IF(Reinforcements[[#This Row],[Bottom End Connection Type]]&lt;&gt;"Capacity Input","-",""))</f>
        <v>-</v>
      </c>
      <c r="AD28" s="461" t="str">
        <f>IF(Reinforcements[[#This Row],[Reinforcement]]="","",IF(Reinforcements[[#This Row],[Bottom End Connection Type]]&lt;&gt;"Capacity Input","-",""))</f>
        <v>-</v>
      </c>
      <c r="AE28" s="103" t="str">
        <f>IF(Reinforcements[[#This Row],[Reinforcement]]="","",IF(Reinforcements[[#This Row],[Bottom End Connection Type]]="","-",IF(Reinforcements[[#This Row],[Bottom End Connection Type]]&lt;&gt;"Bolted","-","")))</f>
        <v>-</v>
      </c>
      <c r="AF28" s="190" t="str">
        <f>IF(Reinforcements[[#This Row],[Reinforcement]]="","",IF(Reinforcements[[#This Row],[Bottom End Connection Type]]="","-",IF(Reinforcements[[#This Row],[Bottom End Connection Type]]&lt;&gt;"Bolted","-","")))</f>
        <v>-</v>
      </c>
      <c r="AG28" s="190" t="str">
        <f>IF(Reinforcements[[#This Row],[Reinforcement]]="","",IF(Reinforcements[[#This Row],[Bottom End Connection Type]]="","-",IF(Reinforcements[[#This Row],[Bottom End Connection Type]]&lt;&gt;"Bolted","-","")))</f>
        <v>-</v>
      </c>
      <c r="AH28" s="190" t="str">
        <f>IF(Reinforcements[[#This Row],[Reinforcement]]="","",IF(Reinforcements[[#This Row],[Bottom End Connection Type]]="","-",IF(Reinforcements[[#This Row],[Bottom End Connection Type]]&lt;&gt;"Bolted","-","")))</f>
        <v>-</v>
      </c>
      <c r="AI28" s="190" t="str">
        <f>IF(Reinforcements[[#This Row],[Reinforcement]]="","",IF(Reinforcements[[#This Row],[Bottom End Connection Type]]="","-",IF(Reinforcements[[#This Row],[Bottom End Connection Type]]&lt;&gt;"Bolted","-","")))</f>
        <v>-</v>
      </c>
      <c r="AJ28" s="190" t="e">
        <f>Reinforcements[[#This Row],[End Connection Edge Distance (in) (B)]]-(Reinforcements[[#This Row],[Bolt Hole Size (in)]]+1/16)/2</f>
        <v>#VALUE!</v>
      </c>
      <c r="AK28" s="190" t="e">
        <f>Reinforcements[[#This Row],[End Connection Bolt Spacing (in) (B)]]-(Reinforcements[[#This Row],[Bolt Hole Size (in)]]+1/16)</f>
        <v>#VALUE!</v>
      </c>
      <c r="AL28" s="190" t="str">
        <f>Reinforcements[[#This Row],[End Connection Edge Distance (in) (B)]]</f>
        <v>-</v>
      </c>
      <c r="AM28" s="190" t="str">
        <f>Reinforcements[[#This Row],[End Connection Bolt Spacing (in) (B)]]</f>
        <v>-</v>
      </c>
      <c r="AN28" s="191" t="s">
        <v>295</v>
      </c>
      <c r="AO28" s="191">
        <v>70</v>
      </c>
      <c r="AP28" s="191" t="s">
        <v>577</v>
      </c>
      <c r="AQ28" s="191">
        <v>4</v>
      </c>
      <c r="AR28" s="190">
        <v>1.25</v>
      </c>
      <c r="AS28" s="190">
        <v>45</v>
      </c>
      <c r="AT28" s="191">
        <v>0.25</v>
      </c>
      <c r="AU28"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8" s="191" t="s">
        <v>528</v>
      </c>
      <c r="AW28" s="191" t="str">
        <f>IF(Reinforcements[[#This Row],[Reinforcement]]="","",IF(OR(Reinforcements[[#This Row],[Bottom End Connection Type]]&lt;&gt;"Welded",Reinforcements[[#This Row],[Bottom Longitudinal (Vertical) Weld]]="None",Reinforcements[[#This Row],[Bottom Longitudinal (Vertical) Weld]]=""),"-",""))</f>
        <v>-</v>
      </c>
      <c r="AX28" s="191" t="str">
        <f>IF(Reinforcements[[#This Row],[Reinforcement]]="","",IF(OR(Reinforcements[[#This Row],[Bottom End Connection Type]]&lt;&gt;"Welded",Reinforcements[[#This Row],[Bottom Longitudinal (Vertical) Weld]]="None",Reinforcements[[#This Row],[Bottom Longitudinal (Vertical) Weld]]=""),"-",""))</f>
        <v>-</v>
      </c>
      <c r="AY28" s="190" t="str">
        <f>IF(Reinforcements[[#This Row],[Reinforcement]]="","",IF(OR(Reinforcements[[#This Row],[Bottom End Connection Type]]&lt;&gt;"Welded",Reinforcements[[#This Row],[Bottom Longitudinal (Vertical) Weld]]="None"),"-",SQRT(2)/2*Reinforcements[[#This Row],[Bottom Longitudinal Weld Fillet Size (in)]]))</f>
        <v>-</v>
      </c>
      <c r="AZ28" s="191" t="s">
        <v>297</v>
      </c>
      <c r="BA28" s="200" t="s">
        <v>391</v>
      </c>
      <c r="BB28" s="189" t="str">
        <f>IF(Reinforcements[[#This Row],[Reinforcement]]="","",IF(Reinforcements[[#This Row],[Top End Connection Same?]]="Yes",Reinforcements[[#This Row],[Rev. F Bottom Connection Capacity (kips)]],IF(Reinforcements[[#This Row],[Reinforcement]]="","",IF(Reinforcements[[#This Row],[Top End Connection Type]]&lt;&gt;"Capacity Input","-",""))))</f>
        <v>-</v>
      </c>
      <c r="BC28" s="189" t="str">
        <f>IF(Reinforcements[[#This Row],[Reinforcement]]="","",IF(Reinforcements[[#This Row],[Top End Connection Same?]]="Yes",Reinforcements[[#This Row],[Rev. G Bottom Connection Capacity (kips)]],IF(Reinforcements[[#This Row],[Reinforcement]]="","",IF(Reinforcements[[#This Row],[Top End Connection Type]]&lt;&gt;"Capacity Input","-",""))))</f>
        <v>-</v>
      </c>
      <c r="BD28" s="461" t="str">
        <f>IF(Reinforcements[[#This Row],[Reinforcement]]="","",IF(Reinforcements[[#This Row],[Top End Connection Same?]]="Yes",Reinforcements[[#This Row],[Rev. G Bottom Connection Capacity (kips)]],IF(Reinforcements[[#This Row],[Reinforcement]]="","",IF(Reinforcements[[#This Row],[Top End Connection Type]]&lt;&gt;"Capacity Input","-",""))))</f>
        <v>-</v>
      </c>
      <c r="BE28" s="525" t="s">
        <v>416</v>
      </c>
      <c r="BF28" s="191" t="s">
        <v>296</v>
      </c>
      <c r="BG28" s="190">
        <v>8</v>
      </c>
      <c r="BH28" s="190">
        <v>3</v>
      </c>
      <c r="BI28" s="190">
        <v>3</v>
      </c>
      <c r="BJ28" s="190">
        <f>Reinforcements[[#This Row],[End Connection Edge Distance (in) (T)]]-(Reinforcements[[#This Row],[Bolt Hole Size (in)]]+1/16)/2</f>
        <v>2.375</v>
      </c>
      <c r="BK28" s="190">
        <f>Reinforcements[[#This Row],[End Connection Bolt Spacing (in) (T)]]-(Reinforcements[[#This Row],[Bolt Hole Size (in)]]+1/16)</f>
        <v>1.75</v>
      </c>
      <c r="BL28" s="190">
        <f>Reinforcements[[#This Row],[End Connection Edge Distance (in) (T)]]</f>
        <v>3</v>
      </c>
      <c r="BM28" s="190">
        <f>Reinforcements[[#This Row],[End Connection Bolt Spacing (in) (T)]]</f>
        <v>3</v>
      </c>
      <c r="BN28" s="190" t="str">
        <f>IF(Reinforcements[[#This Row],[Reinforcement]]="","",IF(Reinforcements[[#This Row],[Top End Connection Same?]]="Yes",Reinforcements[[#This Row],[Bottom Connected to Flange/Base Plate?]],IF(Reinforcements[[#This Row],[Top End Connection Type]]="Bolted","-","")))</f>
        <v>-</v>
      </c>
      <c r="BO28" s="190" t="str">
        <f>IF(Reinforcements[[#This Row],[Reinforcement]]="","",IF(Reinforcements[[#This Row],[Top End Connection Same?]]="Yes",Reinforcements[[#This Row],[Bottom Weld Grade (ksi)]],IF(OR(Reinforcements[[#This Row],[Top End Connection Type]]&lt;&gt;"Welded",Reinforcements[[#This Row],[Top End Connection Type]]=""),"-","")))</f>
        <v>-</v>
      </c>
      <c r="BP28" s="190" t="str">
        <f>IF($AZ28="Yes",AP28,IF(Reinforcements[[#This Row],[Reinforcement]]="","",IF(OR(Reinforcements[[#This Row],[Top End Connection Type]]&lt;&gt;"Welded",Reinforcements[[#This Row],[Top End Connection Type]]=""),"-","")))</f>
        <v>-</v>
      </c>
      <c r="BQ28" s="190" t="str">
        <f>IF(Reinforcements[[#This Row],[Reinforcement]]="","",IF($AZ28="Yes",AQ28,IF(OR(Reinforcements[[#This Row],[Top End Connection Type]]&lt;&gt;"Welded",Reinforcements[[#This Row],[Top Transverse (Horizontal) Weld]]="none",Reinforcements[[#This Row],[Top Transverse (Horizontal) Weld]]=""),"-","")))</f>
        <v>-</v>
      </c>
      <c r="BR28" s="190" t="str">
        <f>IF($AZ28="Yes",AR28,IF(Reinforcements[[#This Row],[Reinforcement]]="","",IF(OR(Reinforcements[[#This Row],[Top Transverse (Horizontal) Weld]]="none",Reinforcements[[#This Row],[Top End Connection Type]]&lt;&gt;"Welded",Reinforcements[[#This Row],[Top Transverse (Horizontal) Weld]]="",Reinforcements[[#This Row],[Top Transverse (Horizontal) Weld]]="Fillet"),"-","")))</f>
        <v>-</v>
      </c>
      <c r="BS28" s="190" t="str">
        <f>IF($AZ28="Yes",AS28,IF(Reinforcements[[#This Row],[Reinforcement]]="","",IF(OR(Reinforcements[[#This Row],[Top Transverse (Horizontal) Weld]]="none",Reinforcements[[#This Row],[Top End Connection Type]]&lt;&gt;"Welded",Reinforcements[[#This Row],[Top Transverse (Horizontal) Weld]]="",Reinforcements[[#This Row],[Top Transverse (Horizontal) Weld]]="Fillet"),"-","")))</f>
        <v>-</v>
      </c>
      <c r="BT28" s="190" t="str">
        <f>IF(Reinforcements[[#This Row],[Reinforcement]]="","",IF($AZ28="Yes",AT28,IF(OR(Reinforcements[[#This Row],[Top Transverse (Horizontal) Weld]]="none",Reinforcements[[#This Row],[Top End Connection Type]]&lt;&gt;"Welded",Reinforcements[[#This Row],[Top Transverse (Horizontal) Weld]]=""),"-","")))</f>
        <v>-</v>
      </c>
      <c r="BU28" s="190" t="str">
        <f>IF($AZ28="Yes",AU28,IF(Reinforcements[[#This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8" s="190" t="str">
        <f>IF($AZ28="Yes",AV28,IF(Reinforcements[[#This Row],[Reinforcement]]="","",IF(OR(Reinforcements[[#This Row],[Top End Connection Type]]&lt;&gt;"Welded",Reinforcements[[#This Row],[Top End Connection Type]]=""),"-","")))</f>
        <v>-</v>
      </c>
      <c r="BW28" s="190" t="str">
        <f>IF($AZ28="Yes",AW28,IF(Reinforcements[[#This Row],[Reinforcement]]="","",IF(OR(Reinforcements[[#This Row],[Top End Connection Type]]&lt;&gt;"Welded",Reinforcements[[#This Row],[Top End Connection Type]]="",Reinforcements[[#This Row],[Top Longitudinal (Vertical) Weld]]="",Reinforcements[[#This Row],[Top Longitudinal (Vertical) Weld]]="None"),"-","")))</f>
        <v>-</v>
      </c>
      <c r="BX28" s="190" t="str">
        <f>IF($AZ28="Yes",AX28,IF(Reinforcements[[#This Row],[Reinforcement]]="","",IF(OR(Reinforcements[[#This Row],[Top End Connection Type]]&lt;&gt;"Welded",Reinforcements[[#This Row],[Top End Connection Type]]="",Reinforcements[[#This Row],[Top Longitudinal (Vertical) Weld]]="",Reinforcements[[#This Row],[Top Longitudinal (Vertical) Weld]]="None"),"-","")))</f>
        <v>-</v>
      </c>
      <c r="BY28" s="190" t="str">
        <f>IF($AZ28="Yes",AY28,IF(Reinforcements[[#This Row],[Reinforcement]]="","",IF(OR(Reinforcements[[#This Row],[Top End Connection Type]]&lt;&gt;"Welded",Reinforcements[[#This Row],[Top Longitudinal (Vertical) Weld]]="none"),"-",SQRT(2)/2*Reinforcements[[#This Row],[Top Longitudinal Weld Fillet Size (in)]])))</f>
        <v>-</v>
      </c>
      <c r="BZ28"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8"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28" s="192">
        <f>IF(Reinforcements[[#This Row],[Reinforcement]]="","",IF(Reinforcements[[#This Row],[Top End Connection Type]]&lt;&gt;"Bolted","n/a",(Reinforcements[[#This Row],['# of End Connection Bolts          (Top)]]-1)*Reinforcements[[#This Row],[End Connection Bolt Spacing (in) (T)]]+Reinforcements[[#This Row],[End Connection Edge Distance (in) (T)]]))</f>
        <v>24</v>
      </c>
      <c r="CC28"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28"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8" s="185">
        <f>IFERROR(IF(Reinforcements[[#This Row],[Type]]="","",Reinforcements[[#This Row],[Effective B (in)]]*Reinforcements[[#This Row],[Effective H (in)]]^3/12),"")</f>
        <v>0.65104166666666663</v>
      </c>
      <c r="CF28" s="185">
        <f>IFERROR(IF(Reinforcements[[#This Row],[Type]]="","",Reinforcements[[#This Row],[Effective B (in)]]^3*Reinforcements[[#This Row],[Effective H (in)]]/12),"")</f>
        <v>6.666666666666667</v>
      </c>
      <c r="CG28" s="197">
        <f>SQRT(2*PI()^2*29000/VLOOKUP(Reinforcements[[#This Row],[Material]],Materials[],2,FALSE))</f>
        <v>93.844147005158973</v>
      </c>
      <c r="CH28"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27.637499827371208</v>
      </c>
      <c r="CI28"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35.82264293544381</v>
      </c>
      <c r="CJ28" s="187">
        <f>Reinforcements[[#This Row],[Effective Length Factor Kx]]*Reinforcements[[#This Row],[Lu (in)]]/(Reinforcements[[#This Row],[rx]]*PI())*SQRT(VLOOKUP(Reinforcements[[#This Row],[Material]],Materials[],2,FALSE)/29000)</f>
        <v>0.90207400474248911</v>
      </c>
      <c r="CK28" s="187">
        <f>Reinforcements[[#This Row],[Effective Length Factor Ky]]*Reinforcements[[#This Row],[Lu (in)]]/(Reinforcements[[#This Row],[ry]]*PI())*SQRT(VLOOKUP(Reinforcements[[#This Row],[Material]],Materials[],2,FALSE)/29000)</f>
        <v>0.35237265810253476</v>
      </c>
      <c r="CL28" s="187">
        <f>IF(Reinforcements[[#This Row],[λcx]]&lt;=1.5,0.658^(Reinforcements[[#This Row],[λcx]]^2)*Reinforcements[[#This Row],[F''y]],0.877/(Reinforcements[[#This Row],[λcx]]^2)*Reinforcements[[#This Row],[F''y]])</f>
        <v>46.237777195184954</v>
      </c>
      <c r="CM28" s="187">
        <f>IF(Reinforcements[[#This Row],[λcy]]&lt;=1.5,0.658^(Reinforcements[[#This Row],[λcy]]^2)*Reinforcements[[#This Row],[F''y]],0.877/(Reinforcements[[#This Row],[λcy]]^2)*Reinforcements[[#This Row],[F''y]])</f>
        <v>61.70823202958254</v>
      </c>
      <c r="CN28" s="185">
        <f>VLOOKUP(Reinforcements[[#This Row],[Material]],Materials[],2,FALSE)</f>
        <v>65</v>
      </c>
      <c r="CO28" s="197">
        <f>IF(Reinforcements[[#This Row],[Reinforcement]]="","",Reinforcements[[#This Row],[Fax]]*Reinforcements[[#This Row],[Gross Area (in2)]])</f>
        <v>138.18749913685605</v>
      </c>
      <c r="CP28" s="197">
        <f>IF(Reinforcements[[#This Row],[Reinforcement]]="","",Reinforcements[[#This Row],[Fay]]*Reinforcements[[#This Row],[Gross Area (in2)]])</f>
        <v>179.11321467721905</v>
      </c>
      <c r="CQ28" s="197">
        <f>IF(Reinforcements[[#This Row],[Reinforcement]]="","",0.6*VLOOKUP(Reinforcements[[#This Row],[Material]],Materials[],2,FALSE)*Reinforcements[[#This Row],[Gross Area (in2)]])</f>
        <v>195</v>
      </c>
      <c r="CR28" s="197">
        <f>IF(Reinforcements[[#This Row],[Reinforcement]]="","",0.5*VLOOKUP(Reinforcements[[#This Row],[Material]],Materials[],3,FALSE)*Reinforcements[[#This Row],[Net Area (in2)]]*Reinforcements[[#This Row],[Shear Lag (U)]])</f>
        <v>137.5</v>
      </c>
      <c r="CS28" s="197">
        <f>IF(Reinforcements[[#This Row],[Reinforcement]]="","",0.4*VLOOKUP(Reinforcements[[#This Row],[Material]],Materials[],2,FALSE)*Reinforcements[[#This Row],[Gross Area (in2)]])</f>
        <v>130</v>
      </c>
      <c r="CT28"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28"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28"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28"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28"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28"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28"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28"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28"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28"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1221.259842519685</v>
      </c>
      <c r="DD28"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8"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8" s="190" t="str">
        <f>IF($AZ28="Yes",DD28,IF(Reinforcements[[#This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8" s="190" t="str">
        <f>IF($AZ28="Yes",DE28,IF(Reinforcements[[#This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8" s="197">
        <f>IF(Reinforcements[[#This Row],[Reinforcement]]="","",φ_c*Reinforcements[[#This Row],[Fcr,x]]*Reinforcements[[#This Row],[Gross Area (in2)]])</f>
        <v>208.06999737833229</v>
      </c>
      <c r="DI28" s="197">
        <f>IF(Reinforcements[[#This Row],[Reinforcement]]="","",φ_c*Reinforcements[[#This Row],[Fcr,y]]*Reinforcements[[#This Row],[Gross Area (in2)]])</f>
        <v>277.68704413312145</v>
      </c>
      <c r="DJ28" s="197">
        <f>IF(Reinforcements[[#This Row],[Reinforcement]]="","",φ_t_y*VLOOKUP(Reinforcements[[#This Row],[Material]],Materials[],2,FALSE)*Reinforcements[[#This Row],[Gross Area (in2)]])</f>
        <v>292.5</v>
      </c>
      <c r="DK28" s="197">
        <f>IF(Reinforcements[[#This Row],[Reinforcement]]="","",φ_t_r*VLOOKUP(Reinforcements[[#This Row],[Material]],Materials[],3,FALSE)*Reinforcements[[#This Row],[Net Area (in2)]]*Reinforcements[[#This Row],[Shear Lag (U)]])</f>
        <v>206.25</v>
      </c>
      <c r="DL28" s="197">
        <f>IF(Reinforcements[[#This Row],[Reinforcement]]="","",φ_v*0.5*Reinforcements[[#This Row],[F''y]]*Reinforcements[[#This Row],[Gross Area (in2)]])</f>
        <v>146.25</v>
      </c>
      <c r="DM28"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28"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28"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28"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28"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28"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28"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28"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28"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V28"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1983.7795275590552</v>
      </c>
      <c r="DW28"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8"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8" s="190" t="str">
        <f>IF($AZ28="Yes",DW28,IF(Reinforcements[[#This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8" s="190" t="str">
        <f>IF($AZ28="Yes",DX28,IF(Reinforcements[[#This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8" s="238" t="str">
        <f>IF(OR(Reinforcements[[#This Row],[Type]]="plate",Reinforcements[[#This Row],[Type]]="solid round"),"N/A",Reinforcements[[#This Row],[B (in)]])</f>
        <v>N/A</v>
      </c>
      <c r="EB28" s="236" t="str">
        <f>IF(OR(Reinforcements[[#This Row],[Type]]="plate",Reinforcements[[#This Row],[Type]]="solid round"),"N/A",Reinforcements[[#This Row],[H (in)]])</f>
        <v>N/A</v>
      </c>
      <c r="EC28" s="236" t="str">
        <f>IF(OR(Reinforcements[[#This Row],[Type]]="plate",Reinforcements[[#This Row],[Type]]="solid round"),"N/A",Reinforcements[[#This Row],[B (in)]]-Reinforcements[[#This Row],['[Channel'] Flange Thickness (in)]])</f>
        <v>N/A</v>
      </c>
      <c r="ED28" s="236" t="str">
        <f>IF(OR(Reinforcements[[#This Row],[Type]]="plate",Reinforcements[[#This Row],[Type]]="solid round"),"N/A",Reinforcements[[#This Row],['[Channel']Web Thickness (in)]])</f>
        <v>N/A</v>
      </c>
      <c r="EE28" s="236" t="str">
        <f>IF(OR(Reinforcements[[#This Row],[Type]]="plate",Reinforcements[[#This Row],[Type]]="solid round"),"N/A",Reinforcements[[#This Row],['[Channel'] Flange Thickness (in)]])</f>
        <v>N/A</v>
      </c>
      <c r="EF28" s="236" t="str">
        <f>IF(Reinforcements[[#This Row],[Type]]="channel",Reinforcements[[#This Row],[Channel Flange Width, b]]/Reinforcements[[#This Row],[Channel flange thickness, tf]],"N/A")</f>
        <v>N/A</v>
      </c>
      <c r="EG28" s="236" t="str">
        <f>IF(Reinforcements[[#This Row],[Type]]="channel",Reinforcements[[#This Row],[Channel inside depth, T]]/Reinforcements[[#This Row],[Channel web thickness, tw]],"N/A")</f>
        <v>N/A</v>
      </c>
      <c r="EH28" s="237">
        <v>29000</v>
      </c>
      <c r="EI28" s="237" t="str">
        <f>IF(Reinforcements[[#This Row],[Type]]="channel",0.56*SQRT(Reinforcements[[#This Row],[E, (ksi)]]/Reinforcements[[#This Row],[Fy, (ksi)]]),"N/A")</f>
        <v>N/A</v>
      </c>
      <c r="EJ28" s="237" t="str">
        <f>IF(Reinforcements[[#This Row],[Type]]="channel",1.49*SQRT(Reinforcements[[#This Row],[E, (ksi)]]/Reinforcements[[#This Row],[Fy, (ksi)]]),"N/A")</f>
        <v>N/A</v>
      </c>
      <c r="EK28" s="237">
        <f>VLOOKUP(Reinforcements[[#This Row],[Material]],Materials!$B$2:$C$30,2,FALSE)</f>
        <v>65</v>
      </c>
      <c r="EL28" s="237">
        <f>Reinforcements[[#This Row],[Lu (in)]]*Reinforcements[[#This Row],[Effective Length Factor Kx]]</f>
        <v>21.6</v>
      </c>
      <c r="EM28" s="237">
        <f>Reinforcements[[#This Row],[Lu (in)]]*Reinforcements[[#This Row],[Effective Length Factor Ky]]</f>
        <v>27</v>
      </c>
      <c r="EN28" s="237">
        <f>Reinforcements[[#This Row],[rx]]</f>
        <v>0.36084391824351608</v>
      </c>
      <c r="EO28" s="237">
        <f>Reinforcements[[#This Row],[ry]]</f>
        <v>1.1547005383792517</v>
      </c>
      <c r="EP28" s="237">
        <f>Reinforcements[[#This Row],[Lcx (in)]]/Reinforcements[[#This Row],[rx (in)]]</f>
        <v>59.859675909580403</v>
      </c>
      <c r="EQ28" s="237">
        <f>Reinforcements[[#This Row],[Lcy (in)]]/Reinforcements[[#This Row],[ry (in)]]</f>
        <v>23.382685902179841</v>
      </c>
      <c r="ER28" s="237">
        <f>((PI()^2)*Reinforcements[[#This Row],[E, (ksi)]])/(Reinforcements[[#This Row],[Lcx/rx]]^2)</f>
        <v>79.878338160215449</v>
      </c>
      <c r="ES28" s="237">
        <f>((PI()^2)*Reinforcements[[#This Row],[E, (ksi)]])/(Reinforcements[[#This Row],[Lcy/ry]]^2)</f>
        <v>523.4906769667881</v>
      </c>
      <c r="ET28" s="237">
        <f>4.71*(SQRT(Reinforcements[[#This Row],[E, (ksi)]]/Reinforcements[[#This Row],[Fy, (ksi)]]))</f>
        <v>99.486288193205496</v>
      </c>
      <c r="EU28" s="237">
        <f>IF(Reinforcements[[#This Row],[Lcx/rx]]&lt;=Reinforcements[[#This Row],[Fcr Limit]],(0.658^(Reinforcements[[#This Row],[Fy, (ksi)]]/Reinforcements[[#This Row],[Fex, FB (ksi)]]))*Reinforcements[[#This Row],[Fy, (ksi)]],0.877*Reinforcements[[#This Row],[Fex, FB (ksi)]])</f>
        <v>46.23777719518494</v>
      </c>
      <c r="EV28" s="237">
        <f>IF(Reinforcements[[#This Row],[Lcy/ry]]&lt;=Reinforcements[[#This Row],[Fcr Limit]],(0.658^(Reinforcements[[#This Row],[Fy, (ksi)]]/Reinforcements[[#This Row],[Fey, FB (ksi)]]))*Reinforcements[[#This Row],[Fy, (ksi)]],0.877*Reinforcements[[#This Row],[Fey, FB (ksi)]])</f>
        <v>61.70823202958254</v>
      </c>
      <c r="EW28" s="237">
        <f>Reinforcements[[#This Row],[Fcrx (ksi)]]*Reinforcements[[#This Row],[Gross Area (in2)]]</f>
        <v>231.18888597592471</v>
      </c>
      <c r="EX28" s="237">
        <f>Reinforcements[[#This Row],[Fcry (ksi)]]*Reinforcements[[#This Row],[Gross Area (in2)]]</f>
        <v>308.54116014791271</v>
      </c>
      <c r="EY28" s="237" t="str">
        <f>IF(Reinforcements[[#This Row],[Type]]="channel",0,"N/A")</f>
        <v>N/A</v>
      </c>
      <c r="EZ28" s="237" t="str">
        <f>IF(Reinforcements[[#This Row],[Type]]="channel",Reinforcements[[#This Row],[Channel Flange Width, b]]-(0.5*Reinforcements[[#This Row],[Channel web thickness, tw]]),"N/A")</f>
        <v>N/A</v>
      </c>
      <c r="FA28" s="237" t="str">
        <f>IF(Reinforcements[[#This Row],[Type]]="channel",Reinforcements[[#This Row],[Channel Height, h]]-Reinforcements[[#This Row],[Channel flange thickness, tf]],"N/A")</f>
        <v>N/A</v>
      </c>
      <c r="FB28" s="237" t="str">
        <f>IF(Reinforcements[[#This Row],[Type]]="channel",Reinforcements[[#This Row],[Channel web thickness, tw]],"N/A")</f>
        <v>N/A</v>
      </c>
      <c r="FC28" s="237" t="str">
        <f>IF(Reinforcements[[#This Row],[Type]]="channel",((3*Reinforcements[[#This Row],[b]]^2)/(Reinforcements[[#This Row],[h]]+(6*Reinforcements[[#This Row],[b]])))-Reinforcements[[#This Row],[t]]/2,"N/A")</f>
        <v>N/A</v>
      </c>
      <c r="FD28" s="237">
        <f>Reinforcements[[#This Row],[Pole Face to Centroid (in)]]</f>
        <v>0.625</v>
      </c>
      <c r="FE28" s="236" t="str">
        <f>IF(Reinforcements[[#This Row],[Type]]="channel",Reinforcements[[#This Row],[x(bar)]]+Reinforcements[[#This Row],['[Channel'] e0 (in)]],"N/A")</f>
        <v>N/A</v>
      </c>
      <c r="FF28" s="236" t="str">
        <f>IF(Reinforcements[[#This Row],[Type]]="channel",Reinforcements[[#This Row],[Ix]],"N/A")</f>
        <v>N/A</v>
      </c>
      <c r="FG28" s="236" t="str">
        <f>IF(Reinforcements[[#This Row],[Type]]="channel",Reinforcements[[#This Row],[Iy]],"N/A")</f>
        <v>N/A</v>
      </c>
      <c r="FH28" s="236" t="str">
        <f>IF(Reinforcements[[#This Row],[Type]]="channel",Reinforcements[[#This Row],[Gross Area (in2)]],"N/A")</f>
        <v>N/A</v>
      </c>
      <c r="FI28" s="236" t="str">
        <f>IF(Reinforcements[[#This Row],[Type]]="channel",(Reinforcements[[#This Row],[xo]]^2)+((Reinforcements[[#This Row],[Ix (FTB)]]+Reinforcements[[#This Row],[Iy (FTB)]])/Reinforcements[[#This Row],[Ag]]),"N/A")</f>
        <v>N/A</v>
      </c>
      <c r="FJ28" s="236" t="str">
        <f>IF(Reinforcements[[#This Row],[Type]]="channel",Reinforcements[[#This Row],[Lu (in)]],"N/A")</f>
        <v>N/A</v>
      </c>
      <c r="FK28" s="236" t="str">
        <f>IF(Reinforcements[[#This Row],[Type]]="channel",Reinforcements[[#This Row],[Effective Length Factor Kx]],"N/A")</f>
        <v>N/A</v>
      </c>
      <c r="FL28" s="236" t="str">
        <f>IF(Reinforcements[[#This Row],[Type]]="channel",Reinforcements[[#This Row],[Kz]]*Reinforcements[[#This Row],[Lz]],"N/A")</f>
        <v>N/A</v>
      </c>
      <c r="FM28" s="236" t="str">
        <f>IF(Reinforcements[[#This Row],[Type]]="channel",(((Reinforcements[[#This Row],[t]]^3)/3)*(Reinforcements[[#This Row],[h]]+(2*Reinforcements[[#This Row],[b]]))),"N/A")</f>
        <v>N/A</v>
      </c>
      <c r="FN28" s="236" t="str">
        <f>IF(Reinforcements[[#This Row],[Type]]="channel",(1-(((Reinforcements[[#This Row],[xo]]^2)+(Reinforcements[[#This Row],[yo]]^2))/Reinforcements[[#This Row],[ro^2(bar)]])),"N/A")</f>
        <v>N/A</v>
      </c>
      <c r="FO28" s="237">
        <v>11200</v>
      </c>
      <c r="FP28" s="236" t="str">
        <f>IF(Reinforcements[[#This Row],[Type]]="channel",(((Reinforcements[[#This Row],[h]]^2)*(Reinforcements[[#This Row],[b]]^3)*Reinforcements[[#This Row],[t]])/12)*(((2*Reinforcements[[#This Row],[h]])+(3*Reinforcements[[#This Row],[b]]))/(Reinforcements[[#This Row],[h]]+(6*Reinforcements[[#This Row],[b]]))),"N/A")</f>
        <v>N/A</v>
      </c>
      <c r="FQ28" s="236" t="str">
        <f>IF(Reinforcements[[#This Row],[Type]]="Channel",((((PI()^2)*Reinforcements[[#This Row],[E, (ksi)]]*Reinforcements[[#This Row],['[Channel'] CW (in6)]])/(Reinforcements[[#This Row],[Lcz]]^2))+(Reinforcements[[#This Row],[G]]*Reinforcements[[#This Row],['[Channel'] J (in4)]]))*(1/(Reinforcements[[#This Row],[Ag]]*Reinforcements[[#This Row],[ro^2(bar)]])),"N/A")</f>
        <v>N/A</v>
      </c>
      <c r="FR28" s="236" t="str">
        <f>IF(Reinforcements[[#This Row],[Type]]="channel",((PI()^2)*Reinforcements[[#This Row],[E, (ksi)]])/(Reinforcements[[#This Row],[Lcy/ry]]^2),"N/A")</f>
        <v>N/A</v>
      </c>
      <c r="FS28" s="236" t="str">
        <f>IF(Reinforcements[[#This Row],[Type]]="channel",((Reinforcements[[#This Row],[Fey]]+Reinforcements[[#This Row],[Fez]])/(2*Reinforcements[[#This Row],[H2]]))*(1-SQRT(1-((4*Reinforcements[[#This Row],[Fey]]*Reinforcements[[#This Row],[Fez]]*Reinforcements[[#This Row],[H2]])/(Reinforcements[[#This Row],[Fey]]+Reinforcements[[#This Row],[Fez]])^2))),"N/A")</f>
        <v>N/A</v>
      </c>
      <c r="FT28" s="236" t="str">
        <f>IF(Reinforcements[[#This Row],[Type]]="channel",IF(Reinforcements[[#This Row],[Lcx/rx]]&gt;(4.71*SQRT(Reinforcements[[#This Row],[E, (ksi)]]/Reinforcements[[#This Row],[Fy, (ksi)]])),0.877*Reinforcements[[#This Row],[Fe (FTB)]],0.658^(Reinforcements[[#This Row],[Fy, (ksi)]]/Reinforcements[[#This Row],[Fe (FTB)]])*Reinforcements[[#This Row],[Fy, (ksi)]]),"N/A")</f>
        <v>N/A</v>
      </c>
      <c r="FU28" s="236" t="str">
        <f>IF(Reinforcements[[#This Row],[Type]]="channel",MIN(Reinforcements[[#This Row],[Fcr(FTB)]],Reinforcements[[#This Row],[Fcry (ksi)]]),"N/A")</f>
        <v>N/A</v>
      </c>
      <c r="FV28" s="237">
        <v>0.22</v>
      </c>
      <c r="FW28" s="237">
        <v>1.49</v>
      </c>
      <c r="FX28" s="236" t="str">
        <f>IF(Reinforcements[[#This Row],[Type]]="channel",((Reinforcements[[#This Row],[c2]]*(Reinforcements[[#This Row],[λrf]]/Reinforcements[[#This Row],[λf]]))^2)*Reinforcements[[#This Row],[Fy, (ksi)]],"N/A")</f>
        <v>N/A</v>
      </c>
      <c r="FY28" s="236" t="str">
        <f>IF(Reinforcements[[#This Row],[Type]]="channel",((Reinforcements[[#This Row],[c2]]*(Reinforcements[[#This Row],[λrw]]/Reinforcements[[#This Row],[λw]]))^2)*Reinforcements[[#This Row],[Fy, (ksi)]],"N/A")</f>
        <v>N/A</v>
      </c>
      <c r="FZ28"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8"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8"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8" s="236" t="str">
        <f>IF(Reinforcements[[#This Row],[Type]]="channel",Reinforcements[[#This Row],[Fcr]]*Reinforcements[[#This Row],[Ae]],"N/A")</f>
        <v>N/A</v>
      </c>
      <c r="GD28" s="466">
        <f>IF(Reinforcements[[#This Row],[Reinforcement]]="","",φ_c*Reinforcements[[#This Row],[Pnx, FB (kip)]])</f>
        <v>208.06999737833223</v>
      </c>
      <c r="GE28" s="466">
        <f>IF(Reinforcements[[#This Row],[Reinforcement]]="","",IF(Reinforcements[[#This Row],[Type]]="channel",φ_c*Reinforcements[[#This Row],[Pn]],φ_c*Reinforcements[[#This Row],[Pny, FB (kip)]]))</f>
        <v>277.68704413312145</v>
      </c>
      <c r="GF28" s="466">
        <f>Reinforcements[[#This Row],[Rev. G Tension Yield Capacity (kips)]]</f>
        <v>292.5</v>
      </c>
      <c r="GG28" s="466">
        <f>Reinforcements[[#This Row],[Rev. G Tension Rupture Capacity (kips)]]</f>
        <v>206.25</v>
      </c>
      <c r="GH28" s="466">
        <f>Reinforcements[[#This Row],[Rev. G Shear Capacity (kips)]]</f>
        <v>146.25</v>
      </c>
      <c r="GI28" s="466" t="str">
        <f>IFERROR((Reinforcements[[#This Row],['# of End Connection Bolts          (Bottom)]]-1)*Reinforcements[[#This Row],[End Connection Bolt Spacing (in) (B)]],"-")</f>
        <v>-</v>
      </c>
      <c r="GJ28" s="466">
        <f>IFERROR(IF(VLOOKUP(Reinforcements[[#This Row],[Bottom End Connection Bolt Type]],Bolts[],COLUMN(Bolts[[#Headers],[Rev. H Apply Connection Length Reduction Factor (Rb)?]])-1,FALSE)="Yes",(IF(Reinforcements[[#This Row],[Lb(bottom)]]&lt;=16,1,IF(Reinforcements[[#This Row],[Lb(bottom)]]&gt;38,0.75,0.9))),1),"-")</f>
        <v>1</v>
      </c>
      <c r="GK28"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28" s="466">
        <f>IFERROR(IF(Reinforcements[[#This Row],[Top End Connection Same?]]="Yes",Reinforcements[[#This Row],[Lb(bottom)]],(Reinforcements[[#This Row],['# of End Connection Bolts          (Top)]]-1)*Reinforcements[[#This Row],[End Connection Bolt Spacing (in) (T)]]),"-")</f>
        <v>21</v>
      </c>
      <c r="GM28" s="466">
        <f>IFERROR(IF(VLOOKUP(Reinforcements[[#This Row],[Top End Connection Bolt Type]],Bolts[],COLUMN(Bolts[[#Headers],[Rev. H Apply Connection Length Reduction Factor (Rb)?]])-1,FALSE)="Yes",(IF(Reinforcements[[#This Row],[Lb(top)]]&lt;=16,1,IF(Reinforcements[[#This Row],[Lb(top)]]&gt;38,0.75,0.9))),1),"-")</f>
        <v>1</v>
      </c>
      <c r="GN28"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371.19712776654347</v>
      </c>
      <c r="GO28" s="466" t="str">
        <f>Reinforcements[[#This Row],[Rev. G Bolt-Shaft Bearing Capacity (Bottom)                No Deformation          (*t*Fu kips)]]</f>
        <v>-</v>
      </c>
      <c r="GP28" s="466" t="str">
        <f>Reinforcements[[#This Row],[Rev. G Bolt-Shaft Bearing Capacity (Bottom)                   Deformation          (*t*Fu kips)]]</f>
        <v>-</v>
      </c>
      <c r="GQ28" s="466">
        <f>Reinforcements[[#This Row],[Rev. G Bolt-Shaft Bearing Capacity (Top)                    No Deformation          (*t*Fu kips)]]</f>
        <v>15.870236220472439</v>
      </c>
      <c r="GR28" s="466">
        <f>Reinforcements[[#This Row],[Rev. G Bolt-Shaft Bearing Capacity (Top)                        Deformation          (*t*Fu kips)]]</f>
        <v>19.837795275590551</v>
      </c>
      <c r="GS28" s="466" t="str">
        <f>Reinforcements[[#This Row],[Rev. G Bolt-Reinf. Bearing Capacity (Bottom)            No Deformation (kips)]]</f>
        <v>-</v>
      </c>
      <c r="GT28" s="466" t="str">
        <f>Reinforcements[[#This Row],[Rev. G Bolt-Reinf. Bearing Capacity (Bottom)               Deformation (kips)]]</f>
        <v>-</v>
      </c>
      <c r="GU28" s="466">
        <f>Reinforcements[[#This Row],[Rev. G Bolt-Reinf. Bearing Capacity (Top)                  No Deformation (kips)]]</f>
        <v>1587.0236220472443</v>
      </c>
      <c r="GV28" s="466">
        <f>Reinforcements[[#This Row],[Rev. G Bolt-Reinf. Bearing Capacity (Top)               Deformation (kips)]]</f>
        <v>1983.7795275590552</v>
      </c>
      <c r="GW28" s="466" t="str">
        <f>Reinforcements[[#This Row],[Rev. G Bottom Transverse Weld Strength]]</f>
        <v>-</v>
      </c>
      <c r="GX28" s="466" t="str">
        <f>Reinforcements[[#This Row],[Rev. G Bottom Longitudinal Weld Strength]]</f>
        <v>-</v>
      </c>
      <c r="GY28" s="466" t="str">
        <f>Reinforcements[[#This Row],[Rev. G Top Transverse Weld Strength]]</f>
        <v>-</v>
      </c>
      <c r="GZ28" s="466" t="str">
        <f>Reinforcements[[#This Row],[Rev. G Top Longitudinal Weld Strength]]</f>
        <v>-</v>
      </c>
      <c r="HA28" s="552">
        <v>26</v>
      </c>
      <c r="HB28"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9" spans="2:217" s="65" customFormat="1" x14ac:dyDescent="0.2">
      <c r="B29" s="72" t="s">
        <v>589</v>
      </c>
      <c r="C29" s="72" t="s">
        <v>146</v>
      </c>
      <c r="D29" s="185">
        <v>4.5</v>
      </c>
      <c r="E29" s="185">
        <v>1</v>
      </c>
      <c r="F29" s="185" t="str">
        <f>IF(Reinforcements[[#This Row],[Type]]="","",IF(Reinforcements[[#This Row],[Type]]="solid round","","n/a"))</f>
        <v>n/a</v>
      </c>
      <c r="G29" s="185" t="str">
        <f>IF(Reinforcements[[#This Row],[Type]]="","",IF(Reinforcements[[#This Row],[Type]]&lt;&gt;"channel","n/a",""))</f>
        <v>n/a</v>
      </c>
      <c r="H29" s="185" t="str">
        <f>IF(Reinforcements[[#This Row],[Type]]="","",IF(Reinforcements[[#This Row],[Type]]&lt;&gt;"channel","n/a",""))</f>
        <v>n/a</v>
      </c>
      <c r="I29" s="197" t="str">
        <f>IF(Reinforcements[[#This Row],[Type]]="","",IF(Reinforcements[[#This Row],[Type]]&lt;&gt;"channel","n/a",Reinforcements[[#This Row],[eo]]))</f>
        <v>n/a</v>
      </c>
      <c r="J29" s="197" t="str">
        <f>IF(Reinforcements[[#This Row],[Type]]="","",IF(Reinforcements[[#This Row],[Type]]&lt;&gt;"channel","n/a",Reinforcements[[#This Row],[J]]))</f>
        <v>n/a</v>
      </c>
      <c r="K29" s="197" t="str">
        <f>IF(Reinforcements[[#This Row],[Type]]="","",IF(Reinforcements[[#This Row],[Type]]&lt;&gt;"channel","n/a",Reinforcements[[#This Row],[Cw]]))</f>
        <v>n/a</v>
      </c>
      <c r="L29" s="185">
        <f>IFERROR(IF(Reinforcements[[#This Row],[Type]]="","",IF(Reinforcements[[#This Row],[Type]]="plate",Reinforcements[[#This Row],[B (in)]]*Reinforcements[[#This Row],[H (in)]],IF(Reinforcements[[#This Row],[Type]]="solid round",PI()/4*Reinforcements[[#This Row],[Diameter (in)]]^2,""))),"")</f>
        <v>4.5</v>
      </c>
      <c r="M29" s="185">
        <f>IFERROR(IF(Reinforcements[[#This Row],[Type]]="","",IF(Reinforcements[[#This Row],[Type]]="plate",Reinforcements[[#This Row],[H (in)]]/2,"")),"")</f>
        <v>0.5</v>
      </c>
      <c r="N29" s="199" t="s">
        <v>297</v>
      </c>
      <c r="O29" s="185" t="s">
        <v>60</v>
      </c>
      <c r="P29" s="187">
        <f>IFERROR(IF(Reinforcements[[#This Row],[Type]]="","",IF(Reinforcements[[#This Row],[Type]]="plate",Reinforcements[[#This Row],[B (in)]]*Reinforcements[[#This Row],[H (in)]]^3/12,IF(Reinforcements[[#This Row],[Type]]="solid round",PI()/64*Reinforcements[[#This Row],[Diameter (in)]]^4,""))),"")</f>
        <v>0.375</v>
      </c>
      <c r="Q29" s="187">
        <f>IF(Reinforcements[[#This Row],[Reinforcement]]="","",SQRT(Reinforcements[[#This Row],[Ix]]/Reinforcements[[#This Row],[Gross Area (in2)]]))</f>
        <v>0.28867513459481287</v>
      </c>
      <c r="R29" s="187">
        <f>IFERROR(IF(Reinforcements[[#This Row],[Type]]="","",IF(Reinforcements[[#This Row],[Type]]="plate",Reinforcements[[#This Row],[B (in)]]^3*Reinforcements[[#This Row],[H (in)]]/12,IF(Reinforcements[[#This Row],[Type]]="solid round",PI()/64*Reinforcements[[#This Row],[Diameter (in)]]^4,""))),"")</f>
        <v>7.59375</v>
      </c>
      <c r="S29" s="187">
        <f>IF(Reinforcements[[#This Row],[Reinforcement]]="","",SQRT(Reinforcements[[#This Row],[Iy]]/Reinforcements[[#This Row],[Gross Area (in2)]]))</f>
        <v>1.299038105676658</v>
      </c>
      <c r="T29" s="190">
        <v>20</v>
      </c>
      <c r="U29" s="188">
        <v>0.8</v>
      </c>
      <c r="V29" s="188">
        <v>1</v>
      </c>
      <c r="W29" s="185">
        <v>1.1875</v>
      </c>
      <c r="X29" s="188">
        <f>IF(Reinforcements[[#This Row],[Bolt Hole Size (in)]]="","",IF(Reinforcements[[#This Row],[Bolt Hole Size (in)]]="n/a","n/a",Reinforcements[[#This Row],[Bolt Hole Size (in)]]*25.4))</f>
        <v>30.162499999999998</v>
      </c>
      <c r="Y29"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29" s="185">
        <f>IFERROR(IF(Reinforcements[[#This Row],[Reinforcement]]="","",IF(OR(Reinforcements[[#This Row],[Type]]="plate",Reinforcements[[#This Row],[Type]]="solid round"),1,IF(Reinforcements[[#This Row],[Type]]="arbitrary","",1-Reinforcements[[#This Row],[Pole Face to Centroid (in)]]/Reinforcements[[#This Row],[Connection Length (in) '[Channels']]]))),"")</f>
        <v>1</v>
      </c>
      <c r="AA29" s="200" t="s">
        <v>578</v>
      </c>
      <c r="AB29" s="200" t="str">
        <f>IF(Reinforcements[[#This Row],[Reinforcement]]="","",IF(Reinforcements[[#This Row],[Bottom End Connection Type]]&lt;&gt;"Capacity Input","-",""))</f>
        <v>-</v>
      </c>
      <c r="AC29" s="200" t="str">
        <f>IF(Reinforcements[[#This Row],[Reinforcement]]="","",IF(Reinforcements[[#This Row],[Bottom End Connection Type]]&lt;&gt;"Capacity Input","-",""))</f>
        <v>-</v>
      </c>
      <c r="AD29" s="461" t="str">
        <f>IF(Reinforcements[[#This Row],[Reinforcement]]="","",IF(Reinforcements[[#This Row],[Bottom End Connection Type]]&lt;&gt;"Capacity Input","-",""))</f>
        <v>-</v>
      </c>
      <c r="AE29" s="103" t="str">
        <f>IF(Reinforcements[[#This Row],[Reinforcement]]="","",IF(Reinforcements[[#This Row],[Bottom End Connection Type]]="","-",IF(Reinforcements[[#This Row],[Bottom End Connection Type]]&lt;&gt;"Bolted","-","")))</f>
        <v>-</v>
      </c>
      <c r="AF29" s="190" t="str">
        <f>IF(Reinforcements[[#This Row],[Bottom End Connection Type]]="Welded","-","")</f>
        <v>-</v>
      </c>
      <c r="AG29" s="190" t="str">
        <f>IF(Reinforcements[[#This Row],[Bottom End Connection Type]]="Welded","-","")</f>
        <v>-</v>
      </c>
      <c r="AH29" s="190" t="str">
        <f>IF(Reinforcements[[#This Row],[Bottom End Connection Type]]="Welded","-","")</f>
        <v>-</v>
      </c>
      <c r="AI29" s="190" t="str">
        <f>IF(Reinforcements[[#This Row],[Bottom End Connection Type]]="Welded","-","")</f>
        <v>-</v>
      </c>
      <c r="AJ29" s="185" t="e">
        <f>Reinforcements[[#This Row],[End Connection Edge Distance (in) (B)]]-(Reinforcements[[#This Row],[Bolt Hole Size (in)]]+1/16)/2</f>
        <v>#VALUE!</v>
      </c>
      <c r="AK29" s="185" t="e">
        <f>Reinforcements[[#This Row],[End Connection Bolt Spacing (in) (B)]]-(Reinforcements[[#This Row],[Bolt Hole Size (in)]]+1/16)</f>
        <v>#VALUE!</v>
      </c>
      <c r="AL29" s="185" t="str">
        <f>Reinforcements[[#This Row],[End Connection Edge Distance (in) (B)]]</f>
        <v>-</v>
      </c>
      <c r="AM29" s="185" t="str">
        <f>Reinforcements[[#This Row],[End Connection Bolt Spacing (in) (B)]]</f>
        <v>-</v>
      </c>
      <c r="AN29" s="192" t="s">
        <v>295</v>
      </c>
      <c r="AO29" s="192">
        <v>70</v>
      </c>
      <c r="AP29" s="191" t="s">
        <v>577</v>
      </c>
      <c r="AQ29" s="191">
        <v>4.5</v>
      </c>
      <c r="AR29" s="190">
        <v>1</v>
      </c>
      <c r="AS29" s="190">
        <v>45</v>
      </c>
      <c r="AT29" s="191">
        <v>0.25</v>
      </c>
      <c r="AU29"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9" s="191" t="s">
        <v>528</v>
      </c>
      <c r="AW29" s="191" t="str">
        <f>IF(Reinforcements[[#This Row],[Reinforcement]]="","",IF(OR(Reinforcements[[#This Row],[Bottom End Connection Type]]&lt;&gt;"Welded",Reinforcements[[#This Row],[Bottom Longitudinal (Vertical) Weld]]="None",Reinforcements[[#This Row],[Bottom Longitudinal (Vertical) Weld]]=""),"-",""))</f>
        <v>-</v>
      </c>
      <c r="AX29" s="191" t="str">
        <f>IF(Reinforcements[[#This Row],[Reinforcement]]="","",IF(OR(Reinforcements[[#This Row],[Bottom End Connection Type]]&lt;&gt;"Welded",Reinforcements[[#This Row],[Bottom Longitudinal (Vertical) Weld]]="None",Reinforcements[[#This Row],[Bottom Longitudinal (Vertical) Weld]]=""),"-",""))</f>
        <v>-</v>
      </c>
      <c r="AY29" s="190" t="str">
        <f>IF(Reinforcements[[#This Row],[Reinforcement]]="","",IF(OR(Reinforcements[[#This Row],[Bottom End Connection Type]]&lt;&gt;"Welded",Reinforcements[[#This Row],[Bottom Longitudinal (Vertical) Weld]]="None"),"-",SQRT(2)/2*Reinforcements[[#This Row],[Bottom Longitudinal Weld Fillet Size (in)]]))</f>
        <v>-</v>
      </c>
      <c r="AZ29" s="191" t="s">
        <v>297</v>
      </c>
      <c r="BA29" s="200" t="s">
        <v>391</v>
      </c>
      <c r="BB29" s="200" t="str">
        <f>IF(Reinforcements[[#This Row],[Reinforcement]]="","",IF(Reinforcements[[#This Row],[Top End Connection Same?]]="Yes",Reinforcements[[#This Row],[Rev. F Bottom Connection Capacity (kips)]],IF(Reinforcements[[#This Row],[Reinforcement]]="","",IF(Reinforcements[[#This Row],[Top End Connection Type]]&lt;&gt;"Capacity Input","-",""))))</f>
        <v>-</v>
      </c>
      <c r="BC29" s="200" t="str">
        <f>IF(Reinforcements[[#This Row],[Reinforcement]]="","",IF(Reinforcements[[#This Row],[Top End Connection Same?]]="Yes",Reinforcements[[#This Row],[Rev. G Bottom Connection Capacity (kips)]],IF(Reinforcements[[#This Row],[Reinforcement]]="","",IF(Reinforcements[[#This Row],[Top End Connection Type]]&lt;&gt;"Capacity Input","-",""))))</f>
        <v>-</v>
      </c>
      <c r="BD29" s="461" t="str">
        <f>IF(Reinforcements[[#This Row],[Reinforcement]]="","",IF(Reinforcements[[#This Row],[Top End Connection Same?]]="Yes",Reinforcements[[#This Row],[Rev. G Bottom Connection Capacity (kips)]],IF(Reinforcements[[#This Row],[Reinforcement]]="","",IF(Reinforcements[[#This Row],[Top End Connection Type]]&lt;&gt;"Capacity Input","-",""))))</f>
        <v>-</v>
      </c>
      <c r="BE29" s="207" t="s">
        <v>416</v>
      </c>
      <c r="BF29" s="191" t="s">
        <v>296</v>
      </c>
      <c r="BG29" s="190">
        <v>8</v>
      </c>
      <c r="BH29" s="190">
        <v>3</v>
      </c>
      <c r="BI29" s="190">
        <v>3</v>
      </c>
      <c r="BJ29" s="190">
        <f>Reinforcements[[#This Row],[End Connection Edge Distance (in) (T)]]-(Reinforcements[[#This Row],[Bolt Hole Size (in)]]+1/16)/2</f>
        <v>2.375</v>
      </c>
      <c r="BK29" s="190">
        <f>Reinforcements[[#This Row],[End Connection Bolt Spacing (in) (T)]]-(Reinforcements[[#This Row],[Bolt Hole Size (in)]]+1/16)</f>
        <v>1.75</v>
      </c>
      <c r="BL29" s="237">
        <f>Reinforcements[[#This Row],[End Connection Edge Distance (in) (T)]]</f>
        <v>3</v>
      </c>
      <c r="BM29" s="237">
        <f>Reinforcements[[#This Row],[End Connection Bolt Spacing (in) (T)]]</f>
        <v>3</v>
      </c>
      <c r="BN29" s="237" t="str">
        <f>IF(Reinforcements[[#This Row],[Reinforcement]]="","",IF(Reinforcements[[#This Row],[Top End Connection Same?]]="Yes",Reinforcements[[#This Row],[Bottom Connected to Flange/Base Plate?]],IF(Reinforcements[[#This Row],[Top End Connection Type]]="Bolted","-","")))</f>
        <v>-</v>
      </c>
      <c r="BO29" s="237" t="str">
        <f>IF(Reinforcements[[#This Row],[Reinforcement]]="","",IF(Reinforcements[[#This Row],[Top End Connection Same?]]="Yes",Reinforcements[[#This Row],[Bottom Weld Grade (ksi)]],IF(OR(Reinforcements[[#This Row],[Top End Connection Type]]&lt;&gt;"Welded",Reinforcements[[#This Row],[Top End Connection Type]]=""),"-","")))</f>
        <v>-</v>
      </c>
      <c r="BP29" s="237" t="str">
        <f>IF($AZ29="Yes",AP29,IF(Reinforcements[[#This Row],[Reinforcement]]="","",IF(OR(Reinforcements[[#This Row],[Top End Connection Type]]&lt;&gt;"Welded",Reinforcements[[#This Row],[Top End Connection Type]]=""),"-","")))</f>
        <v>-</v>
      </c>
      <c r="BQ29" s="237" t="str">
        <f>IF(Reinforcements[[#This Row],[Reinforcement]]="","",IF($AZ29="Yes",AQ29,IF(OR(Reinforcements[[#This Row],[Top End Connection Type]]&lt;&gt;"Welded",Reinforcements[[#This Row],[Top Transverse (Horizontal) Weld]]="none",Reinforcements[[#This Row],[Top Transverse (Horizontal) Weld]]=""),"-","")))</f>
        <v>-</v>
      </c>
      <c r="BR29" s="237" t="str">
        <f>IF($AZ29="Yes",AR29,IF(Reinforcements[[#This Row],[Reinforcement]]="","",IF(OR(Reinforcements[[#This Row],[Top Transverse (Horizontal) Weld]]="none",Reinforcements[[#This Row],[Top End Connection Type]]&lt;&gt;"Welded",Reinforcements[[#This Row],[Top Transverse (Horizontal) Weld]]="",Reinforcements[[#This Row],[Top Transverse (Horizontal) Weld]]="Fillet"),"-","")))</f>
        <v>-</v>
      </c>
      <c r="BS29" s="237" t="str">
        <f>IF($AZ29="Yes",AS29,IF(Reinforcements[[#This Row],[Reinforcement]]="","",IF(OR(Reinforcements[[#This Row],[Top Transverse (Horizontal) Weld]]="none",Reinforcements[[#This Row],[Top End Connection Type]]&lt;&gt;"Welded",Reinforcements[[#This Row],[Top Transverse (Horizontal) Weld]]="",Reinforcements[[#This Row],[Top Transverse (Horizontal) Weld]]="Fillet"),"-","")))</f>
        <v>-</v>
      </c>
      <c r="BT29" s="237" t="str">
        <f>IF(Reinforcements[[#This Row],[Reinforcement]]="","",IF($AZ29="Yes",AT29,IF(OR(Reinforcements[[#This Row],[Top Transverse (Horizontal) Weld]]="none",Reinforcements[[#This Row],[Top End Connection Type]]&lt;&gt;"Welded",Reinforcements[[#This Row],[Top Transverse (Horizontal) Weld]]=""),"-","")))</f>
        <v>-</v>
      </c>
      <c r="BU29" s="237" t="str">
        <f>IF($AZ29="Yes",AU29,IF(Reinforcements[[#This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9" s="237" t="str">
        <f>IF($AZ29="Yes",AV29,IF(Reinforcements[[#This Row],[Reinforcement]]="","",IF(OR(Reinforcements[[#This Row],[Top End Connection Type]]&lt;&gt;"Welded",Reinforcements[[#This Row],[Top End Connection Type]]=""),"-","")))</f>
        <v>-</v>
      </c>
      <c r="BW29" s="237" t="str">
        <f>IF($AZ29="Yes",AW29,IF(Reinforcements[[#This Row],[Reinforcement]]="","",IF(OR(Reinforcements[[#This Row],[Top End Connection Type]]&lt;&gt;"Welded",Reinforcements[[#This Row],[Top End Connection Type]]="",Reinforcements[[#This Row],[Top Longitudinal (Vertical) Weld]]="",Reinforcements[[#This Row],[Top Longitudinal (Vertical) Weld]]="None"),"-","")))</f>
        <v>-</v>
      </c>
      <c r="BX29" s="237" t="str">
        <f>IF($AZ29="Yes",AX29,IF(Reinforcements[[#This Row],[Reinforcement]]="","",IF(OR(Reinforcements[[#This Row],[Top End Connection Type]]&lt;&gt;"Welded",Reinforcements[[#This Row],[Top End Connection Type]]="",Reinforcements[[#This Row],[Top Longitudinal (Vertical) Weld]]="",Reinforcements[[#This Row],[Top Longitudinal (Vertical) Weld]]="None"),"-","")))</f>
        <v>-</v>
      </c>
      <c r="BY29" s="236" t="str">
        <f>IF($AZ29="Yes",AY29,IF(Reinforcements[[#This Row],[Reinforcement]]="","",IF(OR(Reinforcements[[#This Row],[Top End Connection Type]]&lt;&gt;"Welded",Reinforcements[[#This Row],[Top Longitudinal (Vertical) Weld]]="none"),"-",SQRT(2)/2*Reinforcements[[#This Row],[Top Longitudinal Weld Fillet Size (in)]])))</f>
        <v>-</v>
      </c>
      <c r="BZ29"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9" s="238"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29" s="238">
        <f>IF(Reinforcements[[#This Row],[Reinforcement]]="","",IF(Reinforcements[[#This Row],[Top End Connection Type]]&lt;&gt;"Bolted","n/a",(Reinforcements[[#This Row],['# of End Connection Bolts          (Top)]]-1)*Reinforcements[[#This Row],[End Connection Bolt Spacing (in) (T)]]+Reinforcements[[#This Row],[End Connection Edge Distance (in) (T)]]))</f>
        <v>24</v>
      </c>
      <c r="CC29"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29"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29" s="236">
        <f>IFERROR(IF(Reinforcements[[#This Row],[Type]]="","",Reinforcements[[#This Row],[Effective B (in)]]*Reinforcements[[#This Row],[Effective H (in)]]^3/12),"")</f>
        <v>0.375</v>
      </c>
      <c r="CF29" s="236">
        <f>IFERROR(IF(Reinforcements[[#This Row],[Type]]="","",Reinforcements[[#This Row],[Effective B (in)]]^3*Reinforcements[[#This Row],[Effective H (in)]]/12),"")</f>
        <v>7.59375</v>
      </c>
      <c r="CG29" s="235">
        <f>SQRT(2*PI()^2*29000/VLOOKUP(Reinforcements[[#This Row],[Material]],Materials[],2,FALSE))</f>
        <v>93.844147005158973</v>
      </c>
      <c r="CH29"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28.814097290290295</v>
      </c>
      <c r="CI29"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37.117316606332658</v>
      </c>
      <c r="CJ29" s="239">
        <f>Reinforcements[[#This Row],[Effective Length Factor Kx]]*Reinforcements[[#This Row],[Lu (in)]]/(Reinforcements[[#This Row],[rx]]*PI())*SQRT(VLOOKUP(Reinforcements[[#This Row],[Material]],Materials[],2,FALSE)/29000)</f>
        <v>0.83525370809489741</v>
      </c>
      <c r="CK29" s="239">
        <f>Reinforcements[[#This Row],[Effective Length Factor Ky]]*Reinforcements[[#This Row],[Lu (in)]]/(Reinforcements[[#This Row],[ry]]*PI())*SQRT(VLOOKUP(Reinforcements[[#This Row],[Material]],Materials[],2,FALSE)/29000)</f>
        <v>0.23201491891524928</v>
      </c>
      <c r="CL29" s="239">
        <f>IF(Reinforcements[[#This Row],[λcx]]&lt;=1.5,0.658^(Reinforcements[[#This Row],[λcx]]^2)*Reinforcements[[#This Row],[F''y]],0.877/(Reinforcements[[#This Row],[λcx]]^2)*Reinforcements[[#This Row],[F''y]])</f>
        <v>48.539900000911423</v>
      </c>
      <c r="CM29" s="239">
        <f>IF(Reinforcements[[#This Row],[λcy]]&lt;=1.5,0.658^(Reinforcements[[#This Row],[λcy]]^2)*Reinforcements[[#This Row],[F''y]],0.877/(Reinforcements[[#This Row],[λcy]]^2)*Reinforcements[[#This Row],[F''y]])</f>
        <v>63.551863369977021</v>
      </c>
      <c r="CN29" s="236">
        <f>VLOOKUP(Reinforcements[[#This Row],[Material]],Materials[],2,FALSE)</f>
        <v>65</v>
      </c>
      <c r="CO29" s="235">
        <f>IF(Reinforcements[[#This Row],[Reinforcement]]="","",Reinforcements[[#This Row],[Fax]]*Reinforcements[[#This Row],[Gross Area (in2)]])</f>
        <v>129.66343780630632</v>
      </c>
      <c r="CP29" s="235">
        <f>IF(Reinforcements[[#This Row],[Reinforcement]]="","",Reinforcements[[#This Row],[Fay]]*Reinforcements[[#This Row],[Gross Area (in2)]])</f>
        <v>167.02792472849697</v>
      </c>
      <c r="CQ29" s="235">
        <f>IF(Reinforcements[[#This Row],[Reinforcement]]="","",0.6*VLOOKUP(Reinforcements[[#This Row],[Material]],Materials[],2,FALSE)*Reinforcements[[#This Row],[Gross Area (in2)]])</f>
        <v>175.5</v>
      </c>
      <c r="CR29" s="235">
        <f>IF(Reinforcements[[#This Row],[Reinforcement]]="","",0.5*VLOOKUP(Reinforcements[[#This Row],[Material]],Materials[],3,FALSE)*Reinforcements[[#This Row],[Net Area (in2)]]*Reinforcements[[#This Row],[Shear Lag (U)]])</f>
        <v>130</v>
      </c>
      <c r="CS29" s="235">
        <f>IF(Reinforcements[[#This Row],[Reinforcement]]="","",0.4*VLOOKUP(Reinforcements[[#This Row],[Material]],Materials[],2,FALSE)*Reinforcements[[#This Row],[Gross Area (in2)]])</f>
        <v>117</v>
      </c>
      <c r="CT29" s="235"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29"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29" s="235"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29" s="235"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29"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29"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29" s="240"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29" s="235"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29"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29"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29"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9" s="23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9" s="236" t="str">
        <f>IF($AZ29="Yes",DD29,IF(Reinforcements[[#This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9" s="236" t="str">
        <f>IF($AZ29="Yes",DE29,IF(Reinforcements[[#This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9" s="235">
        <f>IF(Reinforcements[[#This Row],[Reinforcement]]="","",φ_c*Reinforcements[[#This Row],[Fcr,x]]*Reinforcements[[#This Row],[Gross Area (in2)]])</f>
        <v>196.58659500369126</v>
      </c>
      <c r="DI29" s="235">
        <f>IF(Reinforcements[[#This Row],[Reinforcement]]="","",φ_c*Reinforcements[[#This Row],[Fcr,y]]*Reinforcements[[#This Row],[Gross Area (in2)]])</f>
        <v>257.3850466484069</v>
      </c>
      <c r="DJ29" s="235">
        <f>IF(Reinforcements[[#This Row],[Reinforcement]]="","",φ_t_y*VLOOKUP(Reinforcements[[#This Row],[Material]],Materials[],2,FALSE)*Reinforcements[[#This Row],[Gross Area (in2)]])</f>
        <v>263.25</v>
      </c>
      <c r="DK29" s="235">
        <f>IF(Reinforcements[[#This Row],[Reinforcement]]="","",φ_t_r*VLOOKUP(Reinforcements[[#This Row],[Material]],Materials[],3,FALSE)*Reinforcements[[#This Row],[Net Area (in2)]]*Reinforcements[[#This Row],[Shear Lag (U)]])</f>
        <v>195</v>
      </c>
      <c r="DL29" s="235">
        <f>IF(Reinforcements[[#This Row],[Reinforcement]]="","",φ_v*0.5*Reinforcements[[#This Row],[F''y]]*Reinforcements[[#This Row],[Gross Area (in2)]])</f>
        <v>131.625</v>
      </c>
      <c r="DM29" s="235"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29"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29" s="235"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29" s="235"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29"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29"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29"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29"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29"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29"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29" s="23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9" s="23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9" s="236" t="str">
        <f>IF($AZ29="Yes",DW29,IF(Reinforcements[[#This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9" s="236" t="str">
        <f>IF($AZ29="Yes",DX29,IF(Reinforcements[[#This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9" s="238" t="str">
        <f>IF(OR(Reinforcements[[#This Row],[Type]]="plate",Reinforcements[[#This Row],[Type]]="solid round"),"N/A",Reinforcements[[#This Row],[B (in)]])</f>
        <v>N/A</v>
      </c>
      <c r="EB29" s="236" t="str">
        <f>IF(OR(Reinforcements[[#This Row],[Type]]="plate",Reinforcements[[#This Row],[Type]]="solid round"),"N/A",Reinforcements[[#This Row],[H (in)]])</f>
        <v>N/A</v>
      </c>
      <c r="EC29" s="236" t="str">
        <f>IF(OR(Reinforcements[[#This Row],[Type]]="plate",Reinforcements[[#This Row],[Type]]="solid round"),"N/A",Reinforcements[[#This Row],[B (in)]]-Reinforcements[[#This Row],['[Channel'] Flange Thickness (in)]])</f>
        <v>N/A</v>
      </c>
      <c r="ED29" s="236" t="str">
        <f>IF(OR(Reinforcements[[#This Row],[Type]]="plate",Reinforcements[[#This Row],[Type]]="solid round"),"N/A",Reinforcements[[#This Row],['[Channel']Web Thickness (in)]])</f>
        <v>N/A</v>
      </c>
      <c r="EE29" s="236" t="str">
        <f>IF(OR(Reinforcements[[#This Row],[Type]]="plate",Reinforcements[[#This Row],[Type]]="solid round"),"N/A",Reinforcements[[#This Row],['[Channel'] Flange Thickness (in)]])</f>
        <v>N/A</v>
      </c>
      <c r="EF29" s="236" t="str">
        <f>IF(Reinforcements[[#This Row],[Type]]="channel",Reinforcements[[#This Row],[Channel Flange Width, b]]/Reinforcements[[#This Row],[Channel flange thickness, tf]],"N/A")</f>
        <v>N/A</v>
      </c>
      <c r="EG29" s="236" t="str">
        <f>IF(Reinforcements[[#This Row],[Type]]="channel",Reinforcements[[#This Row],[Channel inside depth, T]]/Reinforcements[[#This Row],[Channel web thickness, tw]],"N/A")</f>
        <v>N/A</v>
      </c>
      <c r="EH29" s="237">
        <v>29000</v>
      </c>
      <c r="EI29" s="236" t="str">
        <f>IF(Reinforcements[[#This Row],[Type]]="channel",0.56*SQRT(Reinforcements[[#This Row],[E, (ksi)]]/Reinforcements[[#This Row],[Fy, (ksi)]]),"N/A")</f>
        <v>N/A</v>
      </c>
      <c r="EJ29" s="236" t="str">
        <f>IF(Reinforcements[[#This Row],[Type]]="channel",1.49*SQRT(Reinforcements[[#This Row],[E, (ksi)]]/Reinforcements[[#This Row],[Fy, (ksi)]]),"N/A")</f>
        <v>N/A</v>
      </c>
      <c r="EK29" s="236">
        <f>VLOOKUP(Reinforcements[[#This Row],[Material]],Materials!$B$2:$C$30,2,FALSE)</f>
        <v>65</v>
      </c>
      <c r="EL29" s="236">
        <f>Reinforcements[[#This Row],[Lu (in)]]*Reinforcements[[#This Row],[Effective Length Factor Kx]]</f>
        <v>16</v>
      </c>
      <c r="EM29" s="236">
        <f>Reinforcements[[#This Row],[Lu (in)]]*Reinforcements[[#This Row],[Effective Length Factor Ky]]</f>
        <v>20</v>
      </c>
      <c r="EN29" s="236">
        <f>Reinforcements[[#This Row],[rx]]</f>
        <v>0.28867513459481287</v>
      </c>
      <c r="EO29" s="236">
        <f>Reinforcements[[#This Row],[ry]]</f>
        <v>1.299038105676658</v>
      </c>
      <c r="EP29" s="236">
        <f>Reinforcements[[#This Row],[Lcx (in)]]/Reinforcements[[#This Row],[rx (in)]]</f>
        <v>55.425625842204077</v>
      </c>
      <c r="EQ29" s="236">
        <f>Reinforcements[[#This Row],[Lcy (in)]]/Reinforcements[[#This Row],[ry (in)]]</f>
        <v>15.39600717839002</v>
      </c>
      <c r="ER29" s="236">
        <f>((PI()^2)*Reinforcements[[#This Row],[E, (ksi)]])/(Reinforcements[[#This Row],[Lcx/rx]]^2)</f>
        <v>93.1700936300753</v>
      </c>
      <c r="ES29" s="236">
        <f>((PI()^2)*Reinforcements[[#This Row],[E, (ksi)]])/(Reinforcements[[#This Row],[Lcy/ry]]^2)</f>
        <v>1207.484413445776</v>
      </c>
      <c r="ET29" s="236">
        <f>4.71*(SQRT(Reinforcements[[#This Row],[E, (ksi)]]/Reinforcements[[#This Row],[Fy, (ksi)]]))</f>
        <v>99.486288193205496</v>
      </c>
      <c r="EU29" s="236">
        <f>IF(Reinforcements[[#This Row],[Lcx/rx]]&lt;=Reinforcements[[#This Row],[Fcr Limit]],(0.658^(Reinforcements[[#This Row],[Fy, (ksi)]]/Reinforcements[[#This Row],[Fex, FB (ksi)]]))*Reinforcements[[#This Row],[Fy, (ksi)]],0.877*Reinforcements[[#This Row],[Fex, FB (ksi)]])</f>
        <v>48.539900000911416</v>
      </c>
      <c r="EV29" s="236">
        <f>IF(Reinforcements[[#This Row],[Lcy/ry]]&lt;=Reinforcements[[#This Row],[Fcr Limit]],(0.658^(Reinforcements[[#This Row],[Fy, (ksi)]]/Reinforcements[[#This Row],[Fey, FB (ksi)]]))*Reinforcements[[#This Row],[Fy, (ksi)]],0.877*Reinforcements[[#This Row],[Fey, FB (ksi)]])</f>
        <v>63.551863369977021</v>
      </c>
      <c r="EW29" s="236">
        <f>Reinforcements[[#This Row],[Fcrx (ksi)]]*Reinforcements[[#This Row],[Gross Area (in2)]]</f>
        <v>218.42955000410137</v>
      </c>
      <c r="EX29" s="236">
        <f>Reinforcements[[#This Row],[Fcry (ksi)]]*Reinforcements[[#This Row],[Gross Area (in2)]]</f>
        <v>285.98338516489662</v>
      </c>
      <c r="EY29" s="236" t="str">
        <f>IF(Reinforcements[[#This Row],[Type]]="channel",0,"N/A")</f>
        <v>N/A</v>
      </c>
      <c r="EZ29" s="236" t="str">
        <f>IF(Reinforcements[[#This Row],[Type]]="channel",Reinforcements[[#This Row],[Channel Flange Width, b]]-(0.5*Reinforcements[[#This Row],[Channel web thickness, tw]]),"N/A")</f>
        <v>N/A</v>
      </c>
      <c r="FA29" s="236" t="str">
        <f>IF(Reinforcements[[#This Row],[Type]]="channel",Reinforcements[[#This Row],[Channel Height, h]]-Reinforcements[[#This Row],[Channel flange thickness, tf]],"N/A")</f>
        <v>N/A</v>
      </c>
      <c r="FB29" s="236" t="str">
        <f>IF(Reinforcements[[#This Row],[Type]]="channel",Reinforcements[[#This Row],[Channel web thickness, tw]],"N/A")</f>
        <v>N/A</v>
      </c>
      <c r="FC29" s="236" t="str">
        <f>IF(Reinforcements[[#This Row],[Type]]="channel",((3*Reinforcements[[#This Row],[b]]^2)/(Reinforcements[[#This Row],[h]]+(6*Reinforcements[[#This Row],[b]])))-Reinforcements[[#This Row],[t]]/2,"N/A")</f>
        <v>N/A</v>
      </c>
      <c r="FD29" s="236">
        <f>Reinforcements[[#This Row],[Pole Face to Centroid (in)]]</f>
        <v>0.5</v>
      </c>
      <c r="FE29" s="236" t="str">
        <f>IF(Reinforcements[[#This Row],[Type]]="channel",Reinforcements[[#This Row],[x(bar)]]+Reinforcements[[#This Row],['[Channel'] e0 (in)]],"N/A")</f>
        <v>N/A</v>
      </c>
      <c r="FF29" s="236" t="str">
        <f>IF(Reinforcements[[#This Row],[Type]]="channel",Reinforcements[[#This Row],[Ix]],"N/A")</f>
        <v>N/A</v>
      </c>
      <c r="FG29" s="236" t="str">
        <f>IF(Reinforcements[[#This Row],[Type]]="channel",Reinforcements[[#This Row],[Iy]],"N/A")</f>
        <v>N/A</v>
      </c>
      <c r="FH29" s="236" t="str">
        <f>IF(Reinforcements[[#This Row],[Type]]="channel",Reinforcements[[#This Row],[Gross Area (in2)]],"N/A")</f>
        <v>N/A</v>
      </c>
      <c r="FI29" s="236" t="str">
        <f>IF(Reinforcements[[#This Row],[Type]]="channel",(Reinforcements[[#This Row],[xo]]^2)+((Reinforcements[[#This Row],[Ix (FTB)]]+Reinforcements[[#This Row],[Iy (FTB)]])/Reinforcements[[#This Row],[Ag]]),"N/A")</f>
        <v>N/A</v>
      </c>
      <c r="FJ29" s="236" t="str">
        <f>IF(Reinforcements[[#This Row],[Type]]="channel",Reinforcements[[#This Row],[Lu (in)]],"N/A")</f>
        <v>N/A</v>
      </c>
      <c r="FK29" s="236" t="str">
        <f>IF(Reinforcements[[#This Row],[Type]]="channel",Reinforcements[[#This Row],[Effective Length Factor Kx]],"N/A")</f>
        <v>N/A</v>
      </c>
      <c r="FL29" s="236" t="str">
        <f>IF(Reinforcements[[#This Row],[Type]]="channel",Reinforcements[[#This Row],[Kz]]*Reinforcements[[#This Row],[Lz]],"N/A")</f>
        <v>N/A</v>
      </c>
      <c r="FM29" s="236" t="str">
        <f>IF(Reinforcements[[#This Row],[Type]]="channel",(((Reinforcements[[#This Row],[t]]^3)/3)*(Reinforcements[[#This Row],[h]]+(2*Reinforcements[[#This Row],[b]]))),"N/A")</f>
        <v>N/A</v>
      </c>
      <c r="FN29" s="236" t="str">
        <f>IF(Reinforcements[[#This Row],[Type]]="channel",(1-(((Reinforcements[[#This Row],[xo]]^2)+(Reinforcements[[#This Row],[yo]]^2))/Reinforcements[[#This Row],[ro^2(bar)]])),"N/A")</f>
        <v>N/A</v>
      </c>
      <c r="FO29" s="237">
        <v>11200</v>
      </c>
      <c r="FP29" s="236" t="str">
        <f>IF(Reinforcements[[#This Row],[Type]]="channel",(((Reinforcements[[#This Row],[h]]^2)*(Reinforcements[[#This Row],[b]]^3)*Reinforcements[[#This Row],[t]])/12)*(((2*Reinforcements[[#This Row],[h]])+(3*Reinforcements[[#This Row],[b]]))/(Reinforcements[[#This Row],[h]]+(6*Reinforcements[[#This Row],[b]]))),"N/A")</f>
        <v>N/A</v>
      </c>
      <c r="FQ29" s="236" t="str">
        <f>IF(Reinforcements[[#This Row],[Type]]="Channel",((((PI()^2)*Reinforcements[[#This Row],[E, (ksi)]]*Reinforcements[[#This Row],['[Channel'] CW (in6)]])/(Reinforcements[[#This Row],[Lcz]]^2))+(Reinforcements[[#This Row],[G]]*Reinforcements[[#This Row],['[Channel'] J (in4)]]))*(1/(Reinforcements[[#This Row],[Ag]]*Reinforcements[[#This Row],[ro^2(bar)]])),"N/A")</f>
        <v>N/A</v>
      </c>
      <c r="FR29" s="236" t="str">
        <f>IF(Reinforcements[[#This Row],[Type]]="channel",((PI()^2)*Reinforcements[[#This Row],[E, (ksi)]])/(Reinforcements[[#This Row],[Lcy/ry]]^2),"N/A")</f>
        <v>N/A</v>
      </c>
      <c r="FS29" s="236" t="str">
        <f>IF(Reinforcements[[#This Row],[Type]]="channel",((Reinforcements[[#This Row],[Fey]]+Reinforcements[[#This Row],[Fez]])/(2*Reinforcements[[#This Row],[H2]]))*(1-SQRT(1-((4*Reinforcements[[#This Row],[Fey]]*Reinforcements[[#This Row],[Fez]]*Reinforcements[[#This Row],[H2]])/(Reinforcements[[#This Row],[Fey]]+Reinforcements[[#This Row],[Fez]])^2))),"N/A")</f>
        <v>N/A</v>
      </c>
      <c r="FT29" s="236" t="str">
        <f>IF(Reinforcements[[#This Row],[Type]]="channel",IF(Reinforcements[[#This Row],[Lcx/rx]]&gt;(4.71*SQRT(Reinforcements[[#This Row],[E, (ksi)]]/Reinforcements[[#This Row],[Fy, (ksi)]])),0.877*Reinforcements[[#This Row],[Fe (FTB)]],0.658^(Reinforcements[[#This Row],[Fy, (ksi)]]/Reinforcements[[#This Row],[Fe (FTB)]])*Reinforcements[[#This Row],[Fy, (ksi)]]),"N/A")</f>
        <v>N/A</v>
      </c>
      <c r="FU29" s="236" t="str">
        <f>IF(Reinforcements[[#This Row],[Type]]="channel",MIN(Reinforcements[[#This Row],[Fcr(FTB)]],Reinforcements[[#This Row],[Fcry (ksi)]]),"N/A")</f>
        <v>N/A</v>
      </c>
      <c r="FV29" s="237">
        <v>0.22</v>
      </c>
      <c r="FW29" s="237">
        <v>1.49</v>
      </c>
      <c r="FX29" s="236" t="str">
        <f>IF(Reinforcements[[#This Row],[Type]]="channel",((Reinforcements[[#This Row],[c2]]*(Reinforcements[[#This Row],[λrf]]/Reinforcements[[#This Row],[λf]]))^2)*Reinforcements[[#This Row],[Fy, (ksi)]],"N/A")</f>
        <v>N/A</v>
      </c>
      <c r="FY29" s="236" t="str">
        <f>IF(Reinforcements[[#This Row],[Type]]="channel",((Reinforcements[[#This Row],[c2]]*(Reinforcements[[#This Row],[λrw]]/Reinforcements[[#This Row],[λw]]))^2)*Reinforcements[[#This Row],[Fy, (ksi)]],"N/A")</f>
        <v>N/A</v>
      </c>
      <c r="FZ29"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9"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9"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9" s="236" t="str">
        <f>IF(Reinforcements[[#This Row],[Type]]="channel",Reinforcements[[#This Row],[Fcr]]*Reinforcements[[#This Row],[Ae]],"N/A")</f>
        <v>N/A</v>
      </c>
      <c r="GD29" s="466">
        <f>IF(Reinforcements[[#This Row],[Reinforcement]]="","",φ_c*Reinforcements[[#This Row],[Pnx, FB (kip)]])</f>
        <v>196.58659500369123</v>
      </c>
      <c r="GE29" s="466">
        <f>IF(Reinforcements[[#This Row],[Reinforcement]]="","",IF(Reinforcements[[#This Row],[Type]]="channel",φ_c*Reinforcements[[#This Row],[Pn]],φ_c*Reinforcements[[#This Row],[Pny, FB (kip)]]))</f>
        <v>257.38504664840696</v>
      </c>
      <c r="GF29" s="466">
        <f>Reinforcements[[#This Row],[Rev. G Tension Yield Capacity (kips)]]</f>
        <v>263.25</v>
      </c>
      <c r="GG29" s="466">
        <f>Reinforcements[[#This Row],[Rev. G Tension Rupture Capacity (kips)]]</f>
        <v>195</v>
      </c>
      <c r="GH29" s="466">
        <f>Reinforcements[[#This Row],[Rev. G Shear Capacity (kips)]]</f>
        <v>131.625</v>
      </c>
      <c r="GI29" s="466" t="str">
        <f>IFERROR((Reinforcements[[#This Row],['# of End Connection Bolts          (Bottom)]]-1)*Reinforcements[[#This Row],[End Connection Bolt Spacing (in) (B)]],"-")</f>
        <v>-</v>
      </c>
      <c r="GJ29" s="466">
        <f>IFERROR(IF(VLOOKUP(Reinforcements[[#This Row],[Bottom End Connection Bolt Type]],Bolts[],COLUMN(Bolts[[#Headers],[Rev. H Apply Connection Length Reduction Factor (Rb)?]])-1,FALSE)="Yes",(IF(Reinforcements[[#This Row],[Lb(bottom)]]&lt;=16,1,IF(Reinforcements[[#This Row],[Lb(bottom)]]&gt;38,0.75,0.9))),1),"-")</f>
        <v>1</v>
      </c>
      <c r="GK29"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29" s="466">
        <f>IFERROR(IF(Reinforcements[[#This Row],[Top End Connection Same?]]="Yes",Reinforcements[[#This Row],[Lb(bottom)]],(Reinforcements[[#This Row],['# of End Connection Bolts          (Top)]]-1)*Reinforcements[[#This Row],[End Connection Bolt Spacing (in) (T)]]),"-")</f>
        <v>21</v>
      </c>
      <c r="GM29" s="466">
        <f>IFERROR(IF(VLOOKUP(Reinforcements[[#This Row],[Top End Connection Bolt Type]],Bolts[],COLUMN(Bolts[[#Headers],[Rev. H Apply Connection Length Reduction Factor (Rb)?]])-1,FALSE)="Yes",(IF(Reinforcements[[#This Row],[Lb(top)]]&lt;=16,1,IF(Reinforcements[[#This Row],[Lb(top)]]&gt;38,0.75,0.9))),1),"-")</f>
        <v>1</v>
      </c>
      <c r="GN29"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371.19712776654347</v>
      </c>
      <c r="GO29" s="466" t="str">
        <f>Reinforcements[[#This Row],[Rev. G Bolt-Shaft Bearing Capacity (Bottom)                No Deformation          (*t*Fu kips)]]</f>
        <v>-</v>
      </c>
      <c r="GP29" s="466" t="str">
        <f>Reinforcements[[#This Row],[Rev. G Bolt-Shaft Bearing Capacity (Bottom)                   Deformation          (*t*Fu kips)]]</f>
        <v>-</v>
      </c>
      <c r="GQ29" s="466">
        <f>Reinforcements[[#This Row],[Rev. G Bolt-Shaft Bearing Capacity (Top)                    No Deformation          (*t*Fu kips)]]</f>
        <v>15.870236220472439</v>
      </c>
      <c r="GR29" s="466">
        <f>Reinforcements[[#This Row],[Rev. G Bolt-Shaft Bearing Capacity (Top)                        Deformation          (*t*Fu kips)]]</f>
        <v>19.837795275590551</v>
      </c>
      <c r="GS29" s="466" t="str">
        <f>Reinforcements[[#This Row],[Rev. G Bolt-Reinf. Bearing Capacity (Bottom)            No Deformation (kips)]]</f>
        <v>-</v>
      </c>
      <c r="GT29" s="466" t="str">
        <f>Reinforcements[[#This Row],[Rev. G Bolt-Reinf. Bearing Capacity (Bottom)               Deformation (kips)]]</f>
        <v>-</v>
      </c>
      <c r="GU29" s="466">
        <f>Reinforcements[[#This Row],[Rev. G Bolt-Reinf. Bearing Capacity (Top)                  No Deformation (kips)]]</f>
        <v>1269.6188976377953</v>
      </c>
      <c r="GV29" s="466">
        <f>Reinforcements[[#This Row],[Rev. G Bolt-Reinf. Bearing Capacity (Top)               Deformation (kips)]]</f>
        <v>1587.0236220472443</v>
      </c>
      <c r="GW29" s="466" t="str">
        <f>Reinforcements[[#This Row],[Rev. G Bottom Transverse Weld Strength]]</f>
        <v>-</v>
      </c>
      <c r="GX29" s="466" t="str">
        <f>Reinforcements[[#This Row],[Rev. G Bottom Longitudinal Weld Strength]]</f>
        <v>-</v>
      </c>
      <c r="GY29" s="466" t="str">
        <f>Reinforcements[[#This Row],[Rev. G Top Transverse Weld Strength]]</f>
        <v>-</v>
      </c>
      <c r="GZ29" s="466" t="str">
        <f>Reinforcements[[#This Row],[Rev. G Top Longitudinal Weld Strength]]</f>
        <v>-</v>
      </c>
      <c r="HA29" s="552">
        <v>27</v>
      </c>
      <c r="HB29"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0" spans="2:217" s="65" customFormat="1" x14ac:dyDescent="0.2">
      <c r="B30" s="72" t="s">
        <v>871</v>
      </c>
      <c r="C30" s="72" t="s">
        <v>146</v>
      </c>
      <c r="D30" s="185">
        <v>5</v>
      </c>
      <c r="E30" s="185">
        <v>1.25</v>
      </c>
      <c r="F30" s="185" t="str">
        <f>IF(Reinforcements[[#This Row],[Type]]="","",IF(Reinforcements[[#This Row],[Type]]="solid round","","n/a"))</f>
        <v>n/a</v>
      </c>
      <c r="G30" s="185" t="str">
        <f>IF(Reinforcements[[#This Row],[Type]]="","",IF(Reinforcements[[#This Row],[Type]]&lt;&gt;"channel","n/a",""))</f>
        <v>n/a</v>
      </c>
      <c r="H30" s="185" t="str">
        <f>IF(Reinforcements[[#This Row],[Type]]="","",IF(Reinforcements[[#This Row],[Type]]&lt;&gt;"channel","n/a",""))</f>
        <v>n/a</v>
      </c>
      <c r="I30" s="197" t="str">
        <f>IF(Reinforcements[[#This Row],[Type]]="","",IF(Reinforcements[[#This Row],[Type]]&lt;&gt;"channel","n/a",Reinforcements[[#This Row],[eo]]))</f>
        <v>n/a</v>
      </c>
      <c r="J30" s="197" t="str">
        <f>IF(Reinforcements[[#This Row],[Type]]="","",IF(Reinforcements[[#This Row],[Type]]&lt;&gt;"channel","n/a",Reinforcements[[#This Row],[J]]))</f>
        <v>n/a</v>
      </c>
      <c r="K30" s="197" t="str">
        <f>IF(Reinforcements[[#This Row],[Type]]="","",IF(Reinforcements[[#This Row],[Type]]&lt;&gt;"channel","n/a",Reinforcements[[#This Row],[Cw]]))</f>
        <v>n/a</v>
      </c>
      <c r="L30" s="185">
        <f>IFERROR(IF(Reinforcements[[#This Row],[Type]]="","",IF(Reinforcements[[#This Row],[Type]]="plate",Reinforcements[[#This Row],[B (in)]]*Reinforcements[[#This Row],[H (in)]],IF(Reinforcements[[#This Row],[Type]]="solid round",PI()/4*Reinforcements[[#This Row],[Diameter (in)]]^2,""))),"")</f>
        <v>6.25</v>
      </c>
      <c r="M30" s="185">
        <f>IFERROR(IF(Reinforcements[[#This Row],[Type]]="","",IF(Reinforcements[[#This Row],[Type]]="plate",Reinforcements[[#This Row],[H (in)]]/2,"")),"")</f>
        <v>0.625</v>
      </c>
      <c r="N30" s="199" t="s">
        <v>297</v>
      </c>
      <c r="O30" s="192" t="s">
        <v>60</v>
      </c>
      <c r="P30" s="187">
        <f>IFERROR(IF(Reinforcements[[#This Row],[Type]]="","",IF(Reinforcements[[#This Row],[Type]]="plate",Reinforcements[[#This Row],[B (in)]]*Reinforcements[[#This Row],[H (in)]]^3/12,IF(Reinforcements[[#This Row],[Type]]="solid round",PI()/64*Reinforcements[[#This Row],[Diameter (in)]]^4,""))),"")</f>
        <v>0.81380208333333337</v>
      </c>
      <c r="Q30" s="187">
        <f>IF(Reinforcements[[#This Row],[Reinforcement]]="","",SQRT(Reinforcements[[#This Row],[Ix]]/Reinforcements[[#This Row],[Gross Area (in2)]]))</f>
        <v>0.36084391824351614</v>
      </c>
      <c r="R30" s="187">
        <f>IFERROR(IF(Reinforcements[[#This Row],[Type]]="","",IF(Reinforcements[[#This Row],[Type]]="plate",Reinforcements[[#This Row],[B (in)]]^3*Reinforcements[[#This Row],[H (in)]]/12,IF(Reinforcements[[#This Row],[Type]]="solid round",PI()/64*Reinforcements[[#This Row],[Diameter (in)]]^4,""))),"")</f>
        <v>13.020833333333334</v>
      </c>
      <c r="S30" s="187">
        <f>IF(Reinforcements[[#This Row],[Reinforcement]]="","",SQRT(Reinforcements[[#This Row],[Iy]]/Reinforcements[[#This Row],[Gross Area (in2)]]))</f>
        <v>1.4433756729740645</v>
      </c>
      <c r="T30" s="190">
        <v>23</v>
      </c>
      <c r="U30" s="188">
        <v>0.8</v>
      </c>
      <c r="V30" s="188">
        <v>1</v>
      </c>
      <c r="W30" s="185">
        <v>1.1875</v>
      </c>
      <c r="X30" s="188">
        <f>IF(Reinforcements[[#This Row],[Bolt Hole Size (in)]]="","",IF(Reinforcements[[#This Row],[Bolt Hole Size (in)]]="n/a","n/a",Reinforcements[[#This Row],[Bolt Hole Size (in)]]*25.4))</f>
        <v>30.162499999999998</v>
      </c>
      <c r="Y30"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30" s="185">
        <f>IFERROR(IF(Reinforcements[[#This Row],[Reinforcement]]="","",IF(OR(Reinforcements[[#This Row],[Type]]="plate",Reinforcements[[#This Row],[Type]]="solid round"),1,IF(Reinforcements[[#This Row],[Type]]="arbitrary","",1-Reinforcements[[#This Row],[Pole Face to Centroid (in)]]/Reinforcements[[#This Row],[Connection Length (in) '[Channels']]]))),"")</f>
        <v>1</v>
      </c>
      <c r="AA30" s="528" t="s">
        <v>578</v>
      </c>
      <c r="AB30" s="189" t="str">
        <f>IF(Reinforcements[[#This Row],[Reinforcement]]="","",IF(Reinforcements[[#This Row],[Bottom End Connection Type]]&lt;&gt;"Capacity Input","-",""))</f>
        <v>-</v>
      </c>
      <c r="AC30" s="189" t="str">
        <f>IF(Reinforcements[[#This Row],[Reinforcement]]="","",IF(Reinforcements[[#This Row],[Bottom End Connection Type]]&lt;&gt;"Capacity Input","-",""))</f>
        <v>-</v>
      </c>
      <c r="AD30" s="461" t="str">
        <f>IF(Reinforcements[[#This Row],[Reinforcement]]="","",IF(Reinforcements[[#This Row],[Bottom End Connection Type]]&lt;&gt;"Capacity Input","-",""))</f>
        <v>-</v>
      </c>
      <c r="AE30" s="103" t="str">
        <f>IF(Reinforcements[[#This Row],[Reinforcement]]="","",IF(Reinforcements[[#This Row],[Bottom End Connection Type]]="","-",IF(Reinforcements[[#This Row],[Bottom End Connection Type]]&lt;&gt;"Bolted","-","")))</f>
        <v>-</v>
      </c>
      <c r="AF30" s="190" t="str">
        <f>IF(Reinforcements[[#This Row],[Reinforcement]]="","",IF(Reinforcements[[#This Row],[Bottom End Connection Type]]="","-",IF(Reinforcements[[#This Row],[Bottom End Connection Type]]&lt;&gt;"Bolted","-","")))</f>
        <v>-</v>
      </c>
      <c r="AG30" s="190" t="str">
        <f>IF(Reinforcements[[#This Row],[Reinforcement]]="","",IF(Reinforcements[[#This Row],[Bottom End Connection Type]]="","-",IF(Reinforcements[[#This Row],[Bottom End Connection Type]]&lt;&gt;"Bolted","-","")))</f>
        <v>-</v>
      </c>
      <c r="AH30" s="190" t="str">
        <f>IF(Reinforcements[[#This Row],[Reinforcement]]="","",IF(Reinforcements[[#This Row],[Bottom End Connection Type]]="","-",IF(Reinforcements[[#This Row],[Bottom End Connection Type]]&lt;&gt;"Bolted","-","")))</f>
        <v>-</v>
      </c>
      <c r="AI30" s="190" t="str">
        <f>IF(Reinforcements[[#This Row],[Reinforcement]]="","",IF(Reinforcements[[#This Row],[Bottom End Connection Type]]="","-",IF(Reinforcements[[#This Row],[Bottom End Connection Type]]&lt;&gt;"Bolted","-","")))</f>
        <v>-</v>
      </c>
      <c r="AJ30" s="190" t="e">
        <f>Reinforcements[[#This Row],[End Connection Edge Distance (in) (B)]]-(Reinforcements[[#This Row],[Bolt Hole Size (in)]]+1/16)/2</f>
        <v>#VALUE!</v>
      </c>
      <c r="AK30" s="190" t="e">
        <f>Reinforcements[[#This Row],[End Connection Bolt Spacing (in) (B)]]-(Reinforcements[[#This Row],[Bolt Hole Size (in)]]+1/16)</f>
        <v>#VALUE!</v>
      </c>
      <c r="AL30" s="190" t="str">
        <f>Reinforcements[[#This Row],[End Connection Edge Distance (in) (B)]]</f>
        <v>-</v>
      </c>
      <c r="AM30" s="190" t="str">
        <f>Reinforcements[[#This Row],[End Connection Bolt Spacing (in) (B)]]</f>
        <v>-</v>
      </c>
      <c r="AN30" s="191" t="s">
        <v>295</v>
      </c>
      <c r="AO30" s="191">
        <v>70</v>
      </c>
      <c r="AP30" s="191" t="s">
        <v>577</v>
      </c>
      <c r="AQ30" s="191">
        <v>5</v>
      </c>
      <c r="AR30" s="190">
        <v>1.25</v>
      </c>
      <c r="AS30" s="190">
        <v>45</v>
      </c>
      <c r="AT30" s="191">
        <v>0.3125</v>
      </c>
      <c r="AU30"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0" s="191" t="s">
        <v>528</v>
      </c>
      <c r="AW30" s="191" t="str">
        <f>IF(Reinforcements[[#This Row],[Reinforcement]]="","",IF(OR(Reinforcements[[#This Row],[Bottom End Connection Type]]&lt;&gt;"Welded",Reinforcements[[#This Row],[Bottom Longitudinal (Vertical) Weld]]="None",Reinforcements[[#This Row],[Bottom Longitudinal (Vertical) Weld]]=""),"-",""))</f>
        <v>-</v>
      </c>
      <c r="AX30" s="191" t="str">
        <f>IF(Reinforcements[[#This Row],[Reinforcement]]="","",IF(OR(Reinforcements[[#This Row],[Bottom End Connection Type]]&lt;&gt;"Welded",Reinforcements[[#This Row],[Bottom Longitudinal (Vertical) Weld]]="None",Reinforcements[[#This Row],[Bottom Longitudinal (Vertical) Weld]]=""),"-",""))</f>
        <v>-</v>
      </c>
      <c r="AY30" s="190" t="str">
        <f>IF(Reinforcements[[#This Row],[Reinforcement]]="","",IF(OR(Reinforcements[[#This Row],[Bottom End Connection Type]]&lt;&gt;"Welded",Reinforcements[[#This Row],[Bottom Longitudinal (Vertical) Weld]]="None"),"-",SQRT(2)/2*Reinforcements[[#This Row],[Bottom Longitudinal Weld Fillet Size (in)]]))</f>
        <v>-</v>
      </c>
      <c r="AZ30" s="191" t="s">
        <v>297</v>
      </c>
      <c r="BA30" s="200" t="s">
        <v>391</v>
      </c>
      <c r="BB30" s="189" t="str">
        <f>IF(Reinforcements[[#This Row],[Reinforcement]]="","",IF(Reinforcements[[#This Row],[Top End Connection Same?]]="Yes",Reinforcements[[#This Row],[Rev. F Bottom Connection Capacity (kips)]],IF(Reinforcements[[#This Row],[Reinforcement]]="","",IF(Reinforcements[[#This Row],[Top End Connection Type]]&lt;&gt;"Capacity Input","-",""))))</f>
        <v>-</v>
      </c>
      <c r="BC30" s="189" t="str">
        <f>IF(Reinforcements[[#This Row],[Reinforcement]]="","",IF(Reinforcements[[#This Row],[Top End Connection Same?]]="Yes",Reinforcements[[#This Row],[Rev. G Bottom Connection Capacity (kips)]],IF(Reinforcements[[#This Row],[Reinforcement]]="","",IF(Reinforcements[[#This Row],[Top End Connection Type]]&lt;&gt;"Capacity Input","-",""))))</f>
        <v>-</v>
      </c>
      <c r="BD30" s="461" t="str">
        <f>IF(Reinforcements[[#This Row],[Reinforcement]]="","",IF(Reinforcements[[#This Row],[Top End Connection Same?]]="Yes",Reinforcements[[#This Row],[Rev. G Bottom Connection Capacity (kips)]],IF(Reinforcements[[#This Row],[Reinforcement]]="","",IF(Reinforcements[[#This Row],[Top End Connection Type]]&lt;&gt;"Capacity Input","-",""))))</f>
        <v>-</v>
      </c>
      <c r="BE30" s="525" t="s">
        <v>416</v>
      </c>
      <c r="BF30" s="191" t="s">
        <v>296</v>
      </c>
      <c r="BG30" s="190">
        <v>10</v>
      </c>
      <c r="BH30" s="190">
        <v>3</v>
      </c>
      <c r="BI30" s="190">
        <v>3</v>
      </c>
      <c r="BJ30" s="190">
        <f>Reinforcements[[#This Row],[End Connection Edge Distance (in) (T)]]-(Reinforcements[[#This Row],[Bolt Hole Size (in)]]+1/16)/2</f>
        <v>2.375</v>
      </c>
      <c r="BK30" s="190">
        <f>Reinforcements[[#This Row],[End Connection Bolt Spacing (in) (T)]]-(Reinforcements[[#This Row],[Bolt Hole Size (in)]]+1/16)</f>
        <v>1.75</v>
      </c>
      <c r="BL30" s="190">
        <f>Reinforcements[[#This Row],[End Connection Edge Distance (in) (T)]]</f>
        <v>3</v>
      </c>
      <c r="BM30" s="190">
        <f>Reinforcements[[#This Row],[End Connection Bolt Spacing (in) (T)]]</f>
        <v>3</v>
      </c>
      <c r="BN30" s="190" t="str">
        <f>IF(Reinforcements[[#This Row],[Reinforcement]]="","",IF(Reinforcements[[#This Row],[Top End Connection Same?]]="Yes",Reinforcements[[#This Row],[Bottom Connected to Flange/Base Plate?]],IF(Reinforcements[[#This Row],[Top End Connection Type]]="Bolted","-","")))</f>
        <v>-</v>
      </c>
      <c r="BO30" s="190" t="str">
        <f>IF(Reinforcements[[#This Row],[Reinforcement]]="","",IF(Reinforcements[[#This Row],[Top End Connection Same?]]="Yes",Reinforcements[[#This Row],[Bottom Weld Grade (ksi)]],IF(OR(Reinforcements[[#This Row],[Top End Connection Type]]&lt;&gt;"Welded",Reinforcements[[#This Row],[Top End Connection Type]]=""),"-","")))</f>
        <v>-</v>
      </c>
      <c r="BP30" s="190" t="str">
        <f>IF($AZ30="Yes",AP30,IF(Reinforcements[[#This Row],[Reinforcement]]="","",IF(OR(Reinforcements[[#This Row],[Top End Connection Type]]&lt;&gt;"Welded",Reinforcements[[#This Row],[Top End Connection Type]]=""),"-","")))</f>
        <v>-</v>
      </c>
      <c r="BQ30" s="190" t="str">
        <f>IF(Reinforcements[[#This Row],[Reinforcement]]="","",IF($AZ30="Yes",AQ30,IF(OR(Reinforcements[[#This Row],[Top End Connection Type]]&lt;&gt;"Welded",Reinforcements[[#This Row],[Top Transverse (Horizontal) Weld]]="none",Reinforcements[[#This Row],[Top Transverse (Horizontal) Weld]]=""),"-","")))</f>
        <v>-</v>
      </c>
      <c r="BR30" s="190" t="str">
        <f>IF($AZ30="Yes",AR30,IF(Reinforcements[[#This Row],[Reinforcement]]="","",IF(OR(Reinforcements[[#This Row],[Top Transverse (Horizontal) Weld]]="none",Reinforcements[[#This Row],[Top End Connection Type]]&lt;&gt;"Welded",Reinforcements[[#This Row],[Top Transverse (Horizontal) Weld]]="",Reinforcements[[#This Row],[Top Transverse (Horizontal) Weld]]="Fillet"),"-","")))</f>
        <v>-</v>
      </c>
      <c r="BS30" s="190" t="str">
        <f>IF($AZ30="Yes",AS30,IF(Reinforcements[[#This Row],[Reinforcement]]="","",IF(OR(Reinforcements[[#This Row],[Top Transverse (Horizontal) Weld]]="none",Reinforcements[[#This Row],[Top End Connection Type]]&lt;&gt;"Welded",Reinforcements[[#This Row],[Top Transverse (Horizontal) Weld]]="",Reinforcements[[#This Row],[Top Transverse (Horizontal) Weld]]="Fillet"),"-","")))</f>
        <v>-</v>
      </c>
      <c r="BT30" s="190" t="str">
        <f>IF(Reinforcements[[#This Row],[Reinforcement]]="","",IF($AZ30="Yes",AT30,IF(OR(Reinforcements[[#This Row],[Top Transverse (Horizontal) Weld]]="none",Reinforcements[[#This Row],[Top End Connection Type]]&lt;&gt;"Welded",Reinforcements[[#This Row],[Top Transverse (Horizontal) Weld]]=""),"-","")))</f>
        <v>-</v>
      </c>
      <c r="BU30" s="190" t="str">
        <f>IF($AZ30="Yes",AU30,IF(Reinforcements[[#This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0" s="190" t="str">
        <f>IF($AZ30="Yes",AV30,IF(Reinforcements[[#This Row],[Reinforcement]]="","",IF(OR(Reinforcements[[#This Row],[Top End Connection Type]]&lt;&gt;"Welded",Reinforcements[[#This Row],[Top End Connection Type]]=""),"-","")))</f>
        <v>-</v>
      </c>
      <c r="BW30" s="190" t="str">
        <f>IF($AZ30="Yes",AW30,IF(Reinforcements[[#This Row],[Reinforcement]]="","",IF(OR(Reinforcements[[#This Row],[Top End Connection Type]]&lt;&gt;"Welded",Reinforcements[[#This Row],[Top End Connection Type]]="",Reinforcements[[#This Row],[Top Longitudinal (Vertical) Weld]]="",Reinforcements[[#This Row],[Top Longitudinal (Vertical) Weld]]="None"),"-","")))</f>
        <v>-</v>
      </c>
      <c r="BX30" s="190" t="str">
        <f>IF($AZ30="Yes",AX30,IF(Reinforcements[[#This Row],[Reinforcement]]="","",IF(OR(Reinforcements[[#This Row],[Top End Connection Type]]&lt;&gt;"Welded",Reinforcements[[#This Row],[Top End Connection Type]]="",Reinforcements[[#This Row],[Top Longitudinal (Vertical) Weld]]="",Reinforcements[[#This Row],[Top Longitudinal (Vertical) Weld]]="None"),"-","")))</f>
        <v>-</v>
      </c>
      <c r="BY30" s="190" t="str">
        <f>IF($AZ30="Yes",AY30,IF(Reinforcements[[#This Row],[Reinforcement]]="","",IF(OR(Reinforcements[[#This Row],[Top End Connection Type]]&lt;&gt;"Welded",Reinforcements[[#This Row],[Top Longitudinal (Vertical) Weld]]="none"),"-",SQRT(2)/2*Reinforcements[[#This Row],[Top Longitudinal Weld Fillet Size (in)]])))</f>
        <v>-</v>
      </c>
      <c r="BZ30"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0"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0" s="192">
        <f>IF(Reinforcements[[#This Row],[Reinforcement]]="","",IF(Reinforcements[[#This Row],[Top End Connection Type]]&lt;&gt;"Bolted","n/a",(Reinforcements[[#This Row],['# of End Connection Bolts          (Top)]]-1)*Reinforcements[[#This Row],[End Connection Bolt Spacing (in) (T)]]+Reinforcements[[#This Row],[End Connection Edge Distance (in) (T)]]))</f>
        <v>30</v>
      </c>
      <c r="CC30"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30"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0" s="185">
        <f>IFERROR(IF(Reinforcements[[#This Row],[Type]]="","",Reinforcements[[#This Row],[Effective B (in)]]*Reinforcements[[#This Row],[Effective H (in)]]^3/12),"")</f>
        <v>0.81380208333333337</v>
      </c>
      <c r="CF30" s="185">
        <f>IFERROR(IF(Reinforcements[[#This Row],[Type]]="","",Reinforcements[[#This Row],[Effective B (in)]]^3*Reinforcements[[#This Row],[Effective H (in)]]/12),"")</f>
        <v>13.020833333333334</v>
      </c>
      <c r="CG30" s="197">
        <f>SQRT(2*PI()^2*29000/VLOOKUP(Reinforcements[[#This Row],[Material]],Materials[],2,FALSE))</f>
        <v>93.844147005158973</v>
      </c>
      <c r="CH30"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29.942327757095867</v>
      </c>
      <c r="CI30"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37.036378660354636</v>
      </c>
      <c r="CJ30" s="187">
        <f>Reinforcements[[#This Row],[Effective Length Factor Kx]]*Reinforcements[[#This Row],[Lu (in)]]/(Reinforcements[[#This Row],[rx]]*PI())*SQRT(VLOOKUP(Reinforcements[[#This Row],[Material]],Materials[],2,FALSE)/29000)</f>
        <v>0.76843341144730548</v>
      </c>
      <c r="CK30" s="187">
        <f>Reinforcements[[#This Row],[Effective Length Factor Ky]]*Reinforcements[[#This Row],[Lu (in)]]/(Reinforcements[[#This Row],[ry]]*PI())*SQRT(VLOOKUP(Reinforcements[[#This Row],[Material]],Materials[],2,FALSE)/29000)</f>
        <v>0.24013544107728296</v>
      </c>
      <c r="CL30" s="187">
        <f>IF(Reinforcements[[#This Row],[λcx]]&lt;=1.5,0.658^(Reinforcements[[#This Row],[λcx]]^2)*Reinforcements[[#This Row],[F''y]],0.877/(Reinforcements[[#This Row],[λcx]]^2)*Reinforcements[[#This Row],[F''y]])</f>
        <v>50.766541905358231</v>
      </c>
      <c r="CM30" s="187">
        <f>IF(Reinforcements[[#This Row],[λcy]]&lt;=1.5,0.658^(Reinforcements[[#This Row],[λcy]]^2)*Reinforcements[[#This Row],[F''y]],0.877/(Reinforcements[[#This Row],[λcy]]^2)*Reinforcements[[#This Row],[F''y]])</f>
        <v>63.449959224213764</v>
      </c>
      <c r="CN30" s="185">
        <f>VLOOKUP(Reinforcements[[#This Row],[Material]],Materials[],2,FALSE)</f>
        <v>65</v>
      </c>
      <c r="CO30" s="197">
        <f>IF(Reinforcements[[#This Row],[Reinforcement]]="","",Reinforcements[[#This Row],[Fax]]*Reinforcements[[#This Row],[Gross Area (in2)]])</f>
        <v>187.13954848184918</v>
      </c>
      <c r="CP30" s="197">
        <f>IF(Reinforcements[[#This Row],[Reinforcement]]="","",Reinforcements[[#This Row],[Fay]]*Reinforcements[[#This Row],[Gross Area (in2)]])</f>
        <v>231.47736662721647</v>
      </c>
      <c r="CQ30" s="197">
        <f>IF(Reinforcements[[#This Row],[Reinforcement]]="","",0.6*VLOOKUP(Reinforcements[[#This Row],[Material]],Materials[],2,FALSE)*Reinforcements[[#This Row],[Gross Area (in2)]])</f>
        <v>243.75</v>
      </c>
      <c r="CR30" s="197">
        <f>IF(Reinforcements[[#This Row],[Reinforcement]]="","",0.5*VLOOKUP(Reinforcements[[#This Row],[Material]],Materials[],3,FALSE)*Reinforcements[[#This Row],[Net Area (in2)]]*Reinforcements[[#This Row],[Shear Lag (U)]])</f>
        <v>187.5</v>
      </c>
      <c r="CS30" s="197">
        <f>IF(Reinforcements[[#This Row],[Reinforcement]]="","",0.4*VLOOKUP(Reinforcements[[#This Row],[Material]],Materials[],2,FALSE)*Reinforcements[[#This Row],[Gross Area (in2)]])</f>
        <v>162.5</v>
      </c>
      <c r="CT30"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0"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30"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0"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0"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30"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30"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0"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0"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1370.0787401574803</v>
      </c>
      <c r="DC30"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1521.259842519685</v>
      </c>
      <c r="DD30"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0"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0" s="190" t="str">
        <f>IF($AZ30="Yes",DD30,IF(Reinforcements[[#This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0" s="190" t="str">
        <f>IF($AZ30="Yes",DE30,IF(Reinforcements[[#This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0" s="197">
        <f>IF(Reinforcements[[#This Row],[Reinforcement]]="","",φ_c*Reinforcements[[#This Row],[Fcr,x]]*Reinforcements[[#This Row],[Gross Area (in2)]])</f>
        <v>285.56179821764005</v>
      </c>
      <c r="DI30" s="197">
        <f>IF(Reinforcements[[#This Row],[Reinforcement]]="","",φ_c*Reinforcements[[#This Row],[Fcr,y]]*Reinforcements[[#This Row],[Gross Area (in2)]])</f>
        <v>356.90602063620241</v>
      </c>
      <c r="DJ30" s="197">
        <f>IF(Reinforcements[[#This Row],[Reinforcement]]="","",φ_t_y*VLOOKUP(Reinforcements[[#This Row],[Material]],Materials[],2,FALSE)*Reinforcements[[#This Row],[Gross Area (in2)]])</f>
        <v>365.625</v>
      </c>
      <c r="DK30" s="197">
        <f>IF(Reinforcements[[#This Row],[Reinforcement]]="","",φ_t_r*VLOOKUP(Reinforcements[[#This Row],[Material]],Materials[],3,FALSE)*Reinforcements[[#This Row],[Net Area (in2)]]*Reinforcements[[#This Row],[Shear Lag (U)]])</f>
        <v>281.25</v>
      </c>
      <c r="DL30" s="197">
        <f>IF(Reinforcements[[#This Row],[Reinforcement]]="","",φ_v*0.5*Reinforcements[[#This Row],[F''y]]*Reinforcements[[#This Row],[Gross Area (in2)]])</f>
        <v>182.8125</v>
      </c>
      <c r="DM30"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0"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30"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0"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0"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30"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30"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0"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0"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1977.8267716535433</v>
      </c>
      <c r="DV30"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2472.2834645669291</v>
      </c>
      <c r="DW30"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0"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0" s="190" t="str">
        <f>IF($AZ30="Yes",DW30,IF(Reinforcements[[#This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0" s="190" t="str">
        <f>IF($AZ30="Yes",DX30,IF(Reinforcements[[#This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0" s="238" t="str">
        <f>IF(OR(Reinforcements[[#This Row],[Type]]="plate",Reinforcements[[#This Row],[Type]]="solid round"),"N/A",Reinforcements[[#This Row],[B (in)]])</f>
        <v>N/A</v>
      </c>
      <c r="EB30" s="236" t="str">
        <f>IF(OR(Reinforcements[[#This Row],[Type]]="plate",Reinforcements[[#This Row],[Type]]="solid round"),"N/A",Reinforcements[[#This Row],[H (in)]])</f>
        <v>N/A</v>
      </c>
      <c r="EC30" s="236" t="str">
        <f>IF(OR(Reinforcements[[#This Row],[Type]]="plate",Reinforcements[[#This Row],[Type]]="solid round"),"N/A",Reinforcements[[#This Row],[B (in)]]-Reinforcements[[#This Row],['[Channel'] Flange Thickness (in)]])</f>
        <v>N/A</v>
      </c>
      <c r="ED30" s="236" t="str">
        <f>IF(OR(Reinforcements[[#This Row],[Type]]="plate",Reinforcements[[#This Row],[Type]]="solid round"),"N/A",Reinforcements[[#This Row],['[Channel']Web Thickness (in)]])</f>
        <v>N/A</v>
      </c>
      <c r="EE30" s="236" t="str">
        <f>IF(OR(Reinforcements[[#This Row],[Type]]="plate",Reinforcements[[#This Row],[Type]]="solid round"),"N/A",Reinforcements[[#This Row],['[Channel'] Flange Thickness (in)]])</f>
        <v>N/A</v>
      </c>
      <c r="EF30" s="236" t="str">
        <f>IF(Reinforcements[[#This Row],[Type]]="channel",Reinforcements[[#This Row],[Channel Flange Width, b]]/Reinforcements[[#This Row],[Channel flange thickness, tf]],"N/A")</f>
        <v>N/A</v>
      </c>
      <c r="EG30" s="236" t="str">
        <f>IF(Reinforcements[[#This Row],[Type]]="channel",Reinforcements[[#This Row],[Channel inside depth, T]]/Reinforcements[[#This Row],[Channel web thickness, tw]],"N/A")</f>
        <v>N/A</v>
      </c>
      <c r="EH30" s="237">
        <v>29000</v>
      </c>
      <c r="EI30" s="237" t="str">
        <f>IF(Reinforcements[[#This Row],[Type]]="channel",0.56*SQRT(Reinforcements[[#This Row],[E, (ksi)]]/Reinforcements[[#This Row],[Fy, (ksi)]]),"N/A")</f>
        <v>N/A</v>
      </c>
      <c r="EJ30" s="237" t="str">
        <f>IF(Reinforcements[[#This Row],[Type]]="channel",1.49*SQRT(Reinforcements[[#This Row],[E, (ksi)]]/Reinforcements[[#This Row],[Fy, (ksi)]]),"N/A")</f>
        <v>N/A</v>
      </c>
      <c r="EK30" s="237">
        <f>VLOOKUP(Reinforcements[[#This Row],[Material]],Materials!$B$2:$C$30,2,FALSE)</f>
        <v>65</v>
      </c>
      <c r="EL30" s="237">
        <f>Reinforcements[[#This Row],[Lu (in)]]*Reinforcements[[#This Row],[Effective Length Factor Kx]]</f>
        <v>18.400000000000002</v>
      </c>
      <c r="EM30" s="237">
        <f>Reinforcements[[#This Row],[Lu (in)]]*Reinforcements[[#This Row],[Effective Length Factor Ky]]</f>
        <v>23</v>
      </c>
      <c r="EN30" s="237">
        <f>Reinforcements[[#This Row],[rx]]</f>
        <v>0.36084391824351614</v>
      </c>
      <c r="EO30" s="237">
        <f>Reinforcements[[#This Row],[ry]]</f>
        <v>1.4433756729740645</v>
      </c>
      <c r="EP30" s="237">
        <f>Reinforcements[[#This Row],[Lcx (in)]]/Reinforcements[[#This Row],[rx (in)]]</f>
        <v>50.991575774827751</v>
      </c>
      <c r="EQ30" s="237">
        <f>Reinforcements[[#This Row],[Lcy (in)]]/Reinforcements[[#This Row],[ry (in)]]</f>
        <v>15.93486742963367</v>
      </c>
      <c r="ER30" s="237">
        <f>((PI()^2)*Reinforcements[[#This Row],[E, (ksi)]])/(Reinforcements[[#This Row],[Lcx/rx]]^2)</f>
        <v>110.07808793723451</v>
      </c>
      <c r="ES30" s="237">
        <f>((PI()^2)*Reinforcements[[#This Row],[E, (ksi)]])/(Reinforcements[[#This Row],[Lcy/ry]]^2)</f>
        <v>1127.1996204772818</v>
      </c>
      <c r="ET30" s="237">
        <f>4.71*(SQRT(Reinforcements[[#This Row],[E, (ksi)]]/Reinforcements[[#This Row],[Fy, (ksi)]]))</f>
        <v>99.486288193205496</v>
      </c>
      <c r="EU30" s="237">
        <f>IF(Reinforcements[[#This Row],[Lcx/rx]]&lt;=Reinforcements[[#This Row],[Fcr Limit]],(0.658^(Reinforcements[[#This Row],[Fy, (ksi)]]/Reinforcements[[#This Row],[Fex, FB (ksi)]]))*Reinforcements[[#This Row],[Fy, (ksi)]],0.877*Reinforcements[[#This Row],[Fex, FB (ksi)]])</f>
        <v>50.766541905358217</v>
      </c>
      <c r="EV30" s="237">
        <f>IF(Reinforcements[[#This Row],[Lcy/ry]]&lt;=Reinforcements[[#This Row],[Fcr Limit]],(0.658^(Reinforcements[[#This Row],[Fy, (ksi)]]/Reinforcements[[#This Row],[Fey, FB (ksi)]]))*Reinforcements[[#This Row],[Fy, (ksi)]],0.877*Reinforcements[[#This Row],[Fey, FB (ksi)]])</f>
        <v>63.449959224213764</v>
      </c>
      <c r="EW30" s="237">
        <f>Reinforcements[[#This Row],[Fcrx (ksi)]]*Reinforcements[[#This Row],[Gross Area (in2)]]</f>
        <v>317.29088690848886</v>
      </c>
      <c r="EX30" s="237">
        <f>Reinforcements[[#This Row],[Fcry (ksi)]]*Reinforcements[[#This Row],[Gross Area (in2)]]</f>
        <v>396.56224515133601</v>
      </c>
      <c r="EY30" s="237" t="str">
        <f>IF(Reinforcements[[#This Row],[Type]]="channel",0,"N/A")</f>
        <v>N/A</v>
      </c>
      <c r="EZ30" s="237" t="str">
        <f>IF(Reinforcements[[#This Row],[Type]]="channel",Reinforcements[[#This Row],[Channel Flange Width, b]]-(0.5*Reinforcements[[#This Row],[Channel web thickness, tw]]),"N/A")</f>
        <v>N/A</v>
      </c>
      <c r="FA30" s="237" t="str">
        <f>IF(Reinforcements[[#This Row],[Type]]="channel",Reinforcements[[#This Row],[Channel Height, h]]-Reinforcements[[#This Row],[Channel flange thickness, tf]],"N/A")</f>
        <v>N/A</v>
      </c>
      <c r="FB30" s="237" t="str">
        <f>IF(Reinforcements[[#This Row],[Type]]="channel",Reinforcements[[#This Row],[Channel web thickness, tw]],"N/A")</f>
        <v>N/A</v>
      </c>
      <c r="FC30" s="237" t="str">
        <f>IF(Reinforcements[[#This Row],[Type]]="channel",((3*Reinforcements[[#This Row],[b]]^2)/(Reinforcements[[#This Row],[h]]+(6*Reinforcements[[#This Row],[b]])))-Reinforcements[[#This Row],[t]]/2,"N/A")</f>
        <v>N/A</v>
      </c>
      <c r="FD30" s="237">
        <f>Reinforcements[[#This Row],[Pole Face to Centroid (in)]]</f>
        <v>0.625</v>
      </c>
      <c r="FE30" s="236" t="str">
        <f>IF(Reinforcements[[#This Row],[Type]]="channel",Reinforcements[[#This Row],[x(bar)]]+Reinforcements[[#This Row],['[Channel'] e0 (in)]],"N/A")</f>
        <v>N/A</v>
      </c>
      <c r="FF30" s="236" t="str">
        <f>IF(Reinforcements[[#This Row],[Type]]="channel",Reinforcements[[#This Row],[Ix]],"N/A")</f>
        <v>N/A</v>
      </c>
      <c r="FG30" s="236" t="str">
        <f>IF(Reinforcements[[#This Row],[Type]]="channel",Reinforcements[[#This Row],[Iy]],"N/A")</f>
        <v>N/A</v>
      </c>
      <c r="FH30" s="236" t="str">
        <f>IF(Reinforcements[[#This Row],[Type]]="channel",Reinforcements[[#This Row],[Gross Area (in2)]],"N/A")</f>
        <v>N/A</v>
      </c>
      <c r="FI30" s="236" t="str">
        <f>IF(Reinforcements[[#This Row],[Type]]="channel",(Reinforcements[[#This Row],[xo]]^2)+((Reinforcements[[#This Row],[Ix (FTB)]]+Reinforcements[[#This Row],[Iy (FTB)]])/Reinforcements[[#This Row],[Ag]]),"N/A")</f>
        <v>N/A</v>
      </c>
      <c r="FJ30" s="236" t="str">
        <f>IF(Reinforcements[[#This Row],[Type]]="channel",Reinforcements[[#This Row],[Lu (in)]],"N/A")</f>
        <v>N/A</v>
      </c>
      <c r="FK30" s="236" t="str">
        <f>IF(Reinforcements[[#This Row],[Type]]="channel",Reinforcements[[#This Row],[Effective Length Factor Kx]],"N/A")</f>
        <v>N/A</v>
      </c>
      <c r="FL30" s="236" t="str">
        <f>IF(Reinforcements[[#This Row],[Type]]="channel",Reinforcements[[#This Row],[Kz]]*Reinforcements[[#This Row],[Lz]],"N/A")</f>
        <v>N/A</v>
      </c>
      <c r="FM30" s="236" t="str">
        <f>IF(Reinforcements[[#This Row],[Type]]="channel",(((Reinforcements[[#This Row],[t]]^3)/3)*(Reinforcements[[#This Row],[h]]+(2*Reinforcements[[#This Row],[b]]))),"N/A")</f>
        <v>N/A</v>
      </c>
      <c r="FN30" s="236" t="str">
        <f>IF(Reinforcements[[#This Row],[Type]]="channel",(1-(((Reinforcements[[#This Row],[xo]]^2)+(Reinforcements[[#This Row],[yo]]^2))/Reinforcements[[#This Row],[ro^2(bar)]])),"N/A")</f>
        <v>N/A</v>
      </c>
      <c r="FO30" s="237">
        <v>11200</v>
      </c>
      <c r="FP30" s="236" t="str">
        <f>IF(Reinforcements[[#This Row],[Type]]="channel",(((Reinforcements[[#This Row],[h]]^2)*(Reinforcements[[#This Row],[b]]^3)*Reinforcements[[#This Row],[t]])/12)*(((2*Reinforcements[[#This Row],[h]])+(3*Reinforcements[[#This Row],[b]]))/(Reinforcements[[#This Row],[h]]+(6*Reinforcements[[#This Row],[b]]))),"N/A")</f>
        <v>N/A</v>
      </c>
      <c r="FQ30" s="236" t="str">
        <f>IF(Reinforcements[[#This Row],[Type]]="Channel",((((PI()^2)*Reinforcements[[#This Row],[E, (ksi)]]*Reinforcements[[#This Row],['[Channel'] CW (in6)]])/(Reinforcements[[#This Row],[Lcz]]^2))+(Reinforcements[[#This Row],[G]]*Reinforcements[[#This Row],['[Channel'] J (in4)]]))*(1/(Reinforcements[[#This Row],[Ag]]*Reinforcements[[#This Row],[ro^2(bar)]])),"N/A")</f>
        <v>N/A</v>
      </c>
      <c r="FR30" s="236" t="str">
        <f>IF(Reinforcements[[#This Row],[Type]]="channel",((PI()^2)*Reinforcements[[#This Row],[E, (ksi)]])/(Reinforcements[[#This Row],[Lcy/ry]]^2),"N/A")</f>
        <v>N/A</v>
      </c>
      <c r="FS30" s="236" t="str">
        <f>IF(Reinforcements[[#This Row],[Type]]="channel",((Reinforcements[[#This Row],[Fey]]+Reinforcements[[#This Row],[Fez]])/(2*Reinforcements[[#This Row],[H2]]))*(1-SQRT(1-((4*Reinforcements[[#This Row],[Fey]]*Reinforcements[[#This Row],[Fez]]*Reinforcements[[#This Row],[H2]])/(Reinforcements[[#This Row],[Fey]]+Reinforcements[[#This Row],[Fez]])^2))),"N/A")</f>
        <v>N/A</v>
      </c>
      <c r="FT30" s="236" t="str">
        <f>IF(Reinforcements[[#This Row],[Type]]="channel",IF(Reinforcements[[#This Row],[Lcx/rx]]&gt;(4.71*SQRT(Reinforcements[[#This Row],[E, (ksi)]]/Reinforcements[[#This Row],[Fy, (ksi)]])),0.877*Reinforcements[[#This Row],[Fe (FTB)]],0.658^(Reinforcements[[#This Row],[Fy, (ksi)]]/Reinforcements[[#This Row],[Fe (FTB)]])*Reinforcements[[#This Row],[Fy, (ksi)]]),"N/A")</f>
        <v>N/A</v>
      </c>
      <c r="FU30" s="236" t="str">
        <f>IF(Reinforcements[[#This Row],[Type]]="channel",MIN(Reinforcements[[#This Row],[Fcr(FTB)]],Reinforcements[[#This Row],[Fcry (ksi)]]),"N/A")</f>
        <v>N/A</v>
      </c>
      <c r="FV30" s="237">
        <v>0.22</v>
      </c>
      <c r="FW30" s="237">
        <v>1.49</v>
      </c>
      <c r="FX30" s="236" t="str">
        <f>IF(Reinforcements[[#This Row],[Type]]="channel",((Reinforcements[[#This Row],[c2]]*(Reinforcements[[#This Row],[λrf]]/Reinforcements[[#This Row],[λf]]))^2)*Reinforcements[[#This Row],[Fy, (ksi)]],"N/A")</f>
        <v>N/A</v>
      </c>
      <c r="FY30" s="236" t="str">
        <f>IF(Reinforcements[[#This Row],[Type]]="channel",((Reinforcements[[#This Row],[c2]]*(Reinforcements[[#This Row],[λrw]]/Reinforcements[[#This Row],[λw]]))^2)*Reinforcements[[#This Row],[Fy, (ksi)]],"N/A")</f>
        <v>N/A</v>
      </c>
      <c r="FZ30"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0"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0"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0" s="236" t="str">
        <f>IF(Reinforcements[[#This Row],[Type]]="channel",Reinforcements[[#This Row],[Fcr]]*Reinforcements[[#This Row],[Ae]],"N/A")</f>
        <v>N/A</v>
      </c>
      <c r="GD30" s="466">
        <f>IF(Reinforcements[[#This Row],[Reinforcement]]="","",φ_c*Reinforcements[[#This Row],[Pnx, FB (kip)]])</f>
        <v>285.56179821763999</v>
      </c>
      <c r="GE30" s="466">
        <f>IF(Reinforcements[[#This Row],[Reinforcement]]="","",IF(Reinforcements[[#This Row],[Type]]="channel",φ_c*Reinforcements[[#This Row],[Pn]],φ_c*Reinforcements[[#This Row],[Pny, FB (kip)]]))</f>
        <v>356.90602063620241</v>
      </c>
      <c r="GF30" s="466">
        <f>Reinforcements[[#This Row],[Rev. G Tension Yield Capacity (kips)]]</f>
        <v>365.625</v>
      </c>
      <c r="GG30" s="466">
        <f>Reinforcements[[#This Row],[Rev. G Tension Rupture Capacity (kips)]]</f>
        <v>281.25</v>
      </c>
      <c r="GH30" s="466">
        <f>Reinforcements[[#This Row],[Rev. G Shear Capacity (kips)]]</f>
        <v>182.8125</v>
      </c>
      <c r="GI30" s="466" t="str">
        <f>IFERROR((Reinforcements[[#This Row],['# of End Connection Bolts          (Bottom)]]-1)*Reinforcements[[#This Row],[End Connection Bolt Spacing (in) (B)]],"-")</f>
        <v>-</v>
      </c>
      <c r="GJ30" s="466">
        <f>IFERROR(IF(VLOOKUP(Reinforcements[[#This Row],[Bottom End Connection Bolt Type]],Bolts[],COLUMN(Bolts[[#Headers],[Rev. H Apply Connection Length Reduction Factor (Rb)?]])-1,FALSE)="Yes",(IF(Reinforcements[[#This Row],[Lb(bottom)]]&lt;=16,1,IF(Reinforcements[[#This Row],[Lb(bottom)]]&gt;38,0.75,0.9))),1),"-")</f>
        <v>1</v>
      </c>
      <c r="GK30"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0" s="466">
        <f>IFERROR(IF(Reinforcements[[#This Row],[Top End Connection Same?]]="Yes",Reinforcements[[#This Row],[Lb(bottom)]],(Reinforcements[[#This Row],['# of End Connection Bolts          (Top)]]-1)*Reinforcements[[#This Row],[End Connection Bolt Spacing (in) (T)]]),"-")</f>
        <v>27</v>
      </c>
      <c r="GM30" s="466">
        <f>IFERROR(IF(VLOOKUP(Reinforcements[[#This Row],[Top End Connection Bolt Type]],Bolts[],COLUMN(Bolts[[#Headers],[Rev. H Apply Connection Length Reduction Factor (Rb)?]])-1,FALSE)="Yes",(IF(Reinforcements[[#This Row],[Lb(top)]]&lt;=16,1,IF(Reinforcements[[#This Row],[Lb(top)]]&gt;38,0.75,0.9))),1),"-")</f>
        <v>1</v>
      </c>
      <c r="GN30"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463.99640970817933</v>
      </c>
      <c r="GO30" s="466" t="str">
        <f>Reinforcements[[#This Row],[Rev. G Bolt-Shaft Bearing Capacity (Bottom)                No Deformation          (*t*Fu kips)]]</f>
        <v>-</v>
      </c>
      <c r="GP30" s="466" t="str">
        <f>Reinforcements[[#This Row],[Rev. G Bolt-Shaft Bearing Capacity (Bottom)                   Deformation          (*t*Fu kips)]]</f>
        <v>-</v>
      </c>
      <c r="GQ30" s="466">
        <f>Reinforcements[[#This Row],[Rev. G Bolt-Shaft Bearing Capacity (Top)                    No Deformation          (*t*Fu kips)]]</f>
        <v>19.778267716535435</v>
      </c>
      <c r="GR30" s="466">
        <f>Reinforcements[[#This Row],[Rev. G Bolt-Shaft Bearing Capacity (Top)                        Deformation          (*t*Fu kips)]]</f>
        <v>24.722834645669291</v>
      </c>
      <c r="GS30" s="466" t="str">
        <f>Reinforcements[[#This Row],[Rev. G Bolt-Reinf. Bearing Capacity (Bottom)            No Deformation (kips)]]</f>
        <v>-</v>
      </c>
      <c r="GT30" s="466" t="str">
        <f>Reinforcements[[#This Row],[Rev. G Bolt-Reinf. Bearing Capacity (Bottom)               Deformation (kips)]]</f>
        <v>-</v>
      </c>
      <c r="GU30" s="466">
        <f>Reinforcements[[#This Row],[Rev. G Bolt-Reinf. Bearing Capacity (Top)                  No Deformation (kips)]]</f>
        <v>1977.8267716535433</v>
      </c>
      <c r="GV30" s="466">
        <f>Reinforcements[[#This Row],[Rev. G Bolt-Reinf. Bearing Capacity (Top)               Deformation (kips)]]</f>
        <v>2472.2834645669291</v>
      </c>
      <c r="GW30" s="466" t="str">
        <f>Reinforcements[[#This Row],[Rev. G Bottom Transverse Weld Strength]]</f>
        <v>-</v>
      </c>
      <c r="GX30" s="466" t="str">
        <f>Reinforcements[[#This Row],[Rev. G Bottom Longitudinal Weld Strength]]</f>
        <v>-</v>
      </c>
      <c r="GY30" s="466" t="str">
        <f>Reinforcements[[#This Row],[Rev. G Top Transverse Weld Strength]]</f>
        <v>-</v>
      </c>
      <c r="GZ30" s="466" t="str">
        <f>Reinforcements[[#This Row],[Rev. G Top Longitudinal Weld Strength]]</f>
        <v>-</v>
      </c>
      <c r="HA30" s="552">
        <v>28</v>
      </c>
      <c r="HB30"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1" spans="2:217" s="65" customFormat="1" x14ac:dyDescent="0.2">
      <c r="B31" s="72" t="s">
        <v>590</v>
      </c>
      <c r="C31" s="72" t="s">
        <v>146</v>
      </c>
      <c r="D31" s="185">
        <v>6</v>
      </c>
      <c r="E31" s="185">
        <v>1</v>
      </c>
      <c r="F31" s="185" t="str">
        <f>IF(Reinforcements[[#This Row],[Type]]="","",IF(Reinforcements[[#This Row],[Type]]="solid round","","n/a"))</f>
        <v>n/a</v>
      </c>
      <c r="G31" s="185" t="str">
        <f>IF(Reinforcements[[#This Row],[Type]]="","",IF(Reinforcements[[#This Row],[Type]]&lt;&gt;"channel","n/a",""))</f>
        <v>n/a</v>
      </c>
      <c r="H31" s="185" t="str">
        <f>IF(Reinforcements[[#This Row],[Type]]="","",IF(Reinforcements[[#This Row],[Type]]&lt;&gt;"channel","n/a",""))</f>
        <v>n/a</v>
      </c>
      <c r="I31" s="197" t="str">
        <f>IF(Reinforcements[[#This Row],[Type]]="","",IF(Reinforcements[[#This Row],[Type]]&lt;&gt;"channel","n/a",Reinforcements[[#This Row],[eo]]))</f>
        <v>n/a</v>
      </c>
      <c r="J31" s="197" t="str">
        <f>IF(Reinforcements[[#This Row],[Type]]="","",IF(Reinforcements[[#This Row],[Type]]&lt;&gt;"channel","n/a",Reinforcements[[#This Row],[J]]))</f>
        <v>n/a</v>
      </c>
      <c r="K31" s="197" t="str">
        <f>IF(Reinforcements[[#This Row],[Type]]="","",IF(Reinforcements[[#This Row],[Type]]&lt;&gt;"channel","n/a",Reinforcements[[#This Row],[Cw]]))</f>
        <v>n/a</v>
      </c>
      <c r="L31" s="185">
        <f>IFERROR(IF(Reinforcements[[#This Row],[Type]]="","",IF(Reinforcements[[#This Row],[Type]]="plate",Reinforcements[[#This Row],[B (in)]]*Reinforcements[[#This Row],[H (in)]],IF(Reinforcements[[#This Row],[Type]]="solid round",PI()/4*Reinforcements[[#This Row],[Diameter (in)]]^2,""))),"")</f>
        <v>6</v>
      </c>
      <c r="M31" s="185">
        <f>IFERROR(IF(Reinforcements[[#This Row],[Type]]="","",IF(Reinforcements[[#This Row],[Type]]="plate",Reinforcements[[#This Row],[H (in)]]/2,"")),"")</f>
        <v>0.5</v>
      </c>
      <c r="N31" s="199" t="s">
        <v>297</v>
      </c>
      <c r="O31" s="185" t="s">
        <v>60</v>
      </c>
      <c r="P31" s="187">
        <f>IFERROR(IF(Reinforcements[[#This Row],[Type]]="","",IF(Reinforcements[[#This Row],[Type]]="plate",Reinforcements[[#This Row],[B (in)]]*Reinforcements[[#This Row],[H (in)]]^3/12,IF(Reinforcements[[#This Row],[Type]]="solid round",PI()/64*Reinforcements[[#This Row],[Diameter (in)]]^4,""))),"")</f>
        <v>0.5</v>
      </c>
      <c r="Q31" s="187">
        <f>IF(Reinforcements[[#This Row],[Reinforcement]]="","",SQRT(Reinforcements[[#This Row],[Ix]]/Reinforcements[[#This Row],[Gross Area (in2)]]))</f>
        <v>0.28867513459481287</v>
      </c>
      <c r="R31" s="187">
        <f>IFERROR(IF(Reinforcements[[#This Row],[Type]]="","",IF(Reinforcements[[#This Row],[Type]]="plate",Reinforcements[[#This Row],[B (in)]]^3*Reinforcements[[#This Row],[H (in)]]/12,IF(Reinforcements[[#This Row],[Type]]="solid round",PI()/64*Reinforcements[[#This Row],[Diameter (in)]]^4,""))),"")</f>
        <v>18</v>
      </c>
      <c r="S31" s="187">
        <f>IF(Reinforcements[[#This Row],[Reinforcement]]="","",SQRT(Reinforcements[[#This Row],[Iy]]/Reinforcements[[#This Row],[Gross Area (in2)]]))</f>
        <v>1.7320508075688772</v>
      </c>
      <c r="T31" s="190">
        <v>16</v>
      </c>
      <c r="U31" s="188">
        <v>0.8</v>
      </c>
      <c r="V31" s="188">
        <v>1</v>
      </c>
      <c r="W31" s="185">
        <v>1.1875</v>
      </c>
      <c r="X31" s="188">
        <f>IF(Reinforcements[[#This Row],[Bolt Hole Size (in)]]="","",IF(Reinforcements[[#This Row],[Bolt Hole Size (in)]]="n/a","n/a",Reinforcements[[#This Row],[Bolt Hole Size (in)]]*25.4))</f>
        <v>30.162499999999998</v>
      </c>
      <c r="Y31"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31" s="185">
        <f>IFERROR(IF(Reinforcements[[#This Row],[Reinforcement]]="","",IF(OR(Reinforcements[[#This Row],[Type]]="plate",Reinforcements[[#This Row],[Type]]="solid round"),1,IF(Reinforcements[[#This Row],[Type]]="arbitrary","",1-Reinforcements[[#This Row],[Pole Face to Centroid (in)]]/Reinforcements[[#This Row],[Connection Length (in) '[Channels']]]))),"")</f>
        <v>1</v>
      </c>
      <c r="AA31" s="200" t="s">
        <v>578</v>
      </c>
      <c r="AB31" s="200" t="str">
        <f>IF(Reinforcements[[#This Row],[Reinforcement]]="","",IF(Reinforcements[[#This Row],[Bottom End Connection Type]]&lt;&gt;"Capacity Input","-",""))</f>
        <v>-</v>
      </c>
      <c r="AC31" s="200" t="str">
        <f>IF(Reinforcements[[#This Row],[Reinforcement]]="","",IF(Reinforcements[[#This Row],[Bottom End Connection Type]]&lt;&gt;"Capacity Input","-",""))</f>
        <v>-</v>
      </c>
      <c r="AD31" s="461" t="str">
        <f>IF(Reinforcements[[#This Row],[Reinforcement]]="","",IF(Reinforcements[[#This Row],[Bottom End Connection Type]]&lt;&gt;"Capacity Input","-",""))</f>
        <v>-</v>
      </c>
      <c r="AE31" s="103" t="str">
        <f>IF(Reinforcements[[#This Row],[Reinforcement]]="","",IF(Reinforcements[[#This Row],[Bottom End Connection Type]]="","-",IF(Reinforcements[[#This Row],[Bottom End Connection Type]]&lt;&gt;"Bolted","-","")))</f>
        <v>-</v>
      </c>
      <c r="AF31" s="190" t="str">
        <f>IF(Reinforcements[[#This Row],[Bottom End Connection Type]]="Welded","-","")</f>
        <v>-</v>
      </c>
      <c r="AG31" s="190" t="str">
        <f>IF(Reinforcements[[#This Row],[Bottom End Connection Type]]="Welded","-","")</f>
        <v>-</v>
      </c>
      <c r="AH31" s="190" t="str">
        <f>IF(Reinforcements[[#This Row],[Bottom End Connection Type]]="Welded","-","")</f>
        <v>-</v>
      </c>
      <c r="AI31" s="190" t="str">
        <f>IF(Reinforcements[[#This Row],[Bottom End Connection Type]]="Welded","-","")</f>
        <v>-</v>
      </c>
      <c r="AJ31" s="185" t="e">
        <f>Reinforcements[[#This Row],[End Connection Edge Distance (in) (B)]]-(Reinforcements[[#This Row],[Bolt Hole Size (in)]]+1/16)/2</f>
        <v>#VALUE!</v>
      </c>
      <c r="AK31" s="185" t="e">
        <f>Reinforcements[[#This Row],[End Connection Bolt Spacing (in) (B)]]-(Reinforcements[[#This Row],[Bolt Hole Size (in)]]+1/16)</f>
        <v>#VALUE!</v>
      </c>
      <c r="AL31" s="185" t="str">
        <f>Reinforcements[[#This Row],[End Connection Edge Distance (in) (B)]]</f>
        <v>-</v>
      </c>
      <c r="AM31" s="185" t="str">
        <f>Reinforcements[[#This Row],[End Connection Bolt Spacing (in) (B)]]</f>
        <v>-</v>
      </c>
      <c r="AN31" s="192" t="s">
        <v>295</v>
      </c>
      <c r="AO31" s="192">
        <v>70</v>
      </c>
      <c r="AP31" s="191" t="s">
        <v>577</v>
      </c>
      <c r="AQ31" s="191">
        <v>6</v>
      </c>
      <c r="AR31" s="190">
        <v>1</v>
      </c>
      <c r="AS31" s="190">
        <v>45</v>
      </c>
      <c r="AT31" s="191">
        <v>0.375</v>
      </c>
      <c r="AU31"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1" s="191" t="s">
        <v>528</v>
      </c>
      <c r="AW31" s="191" t="str">
        <f>IF(Reinforcements[[#This Row],[Reinforcement]]="","",IF(OR(Reinforcements[[#This Row],[Bottom End Connection Type]]&lt;&gt;"Welded",Reinforcements[[#This Row],[Bottom Longitudinal (Vertical) Weld]]="None",Reinforcements[[#This Row],[Bottom Longitudinal (Vertical) Weld]]=""),"-",""))</f>
        <v>-</v>
      </c>
      <c r="AX31" s="191" t="str">
        <f>IF(Reinforcements[[#This Row],[Reinforcement]]="","",IF(OR(Reinforcements[[#This Row],[Bottom End Connection Type]]&lt;&gt;"Welded",Reinforcements[[#This Row],[Bottom Longitudinal (Vertical) Weld]]="None",Reinforcements[[#This Row],[Bottom Longitudinal (Vertical) Weld]]=""),"-",""))</f>
        <v>-</v>
      </c>
      <c r="AY31" s="190" t="str">
        <f>IF(Reinforcements[[#This Row],[Reinforcement]]="","",IF(OR(Reinforcements[[#This Row],[Bottom End Connection Type]]&lt;&gt;"Welded",Reinforcements[[#This Row],[Bottom Longitudinal (Vertical) Weld]]="None"),"-",SQRT(2)/2*Reinforcements[[#This Row],[Bottom Longitudinal Weld Fillet Size (in)]]))</f>
        <v>-</v>
      </c>
      <c r="AZ31" s="191" t="s">
        <v>297</v>
      </c>
      <c r="BA31" s="200" t="s">
        <v>391</v>
      </c>
      <c r="BB31" s="200" t="str">
        <f>IF(Reinforcements[[#This Row],[Reinforcement]]="","",IF(Reinforcements[[#This Row],[Top End Connection Same?]]="Yes",Reinforcements[[#This Row],[Rev. F Bottom Connection Capacity (kips)]],IF(Reinforcements[[#This Row],[Reinforcement]]="","",IF(Reinforcements[[#This Row],[Top End Connection Type]]&lt;&gt;"Capacity Input","-",""))))</f>
        <v>-</v>
      </c>
      <c r="BC31" s="200" t="str">
        <f>IF(Reinforcements[[#This Row],[Reinforcement]]="","",IF(Reinforcements[[#This Row],[Top End Connection Same?]]="Yes",Reinforcements[[#This Row],[Rev. G Bottom Connection Capacity (kips)]],IF(Reinforcements[[#This Row],[Reinforcement]]="","",IF(Reinforcements[[#This Row],[Top End Connection Type]]&lt;&gt;"Capacity Input","-",""))))</f>
        <v>-</v>
      </c>
      <c r="BD31" s="461" t="str">
        <f>IF(Reinforcements[[#This Row],[Reinforcement]]="","",IF(Reinforcements[[#This Row],[Top End Connection Same?]]="Yes",Reinforcements[[#This Row],[Rev. G Bottom Connection Capacity (kips)]],IF(Reinforcements[[#This Row],[Reinforcement]]="","",IF(Reinforcements[[#This Row],[Top End Connection Type]]&lt;&gt;"Capacity Input","-",""))))</f>
        <v>-</v>
      </c>
      <c r="BE31" s="207" t="s">
        <v>416</v>
      </c>
      <c r="BF31" s="191" t="s">
        <v>296</v>
      </c>
      <c r="BG31" s="190">
        <v>10</v>
      </c>
      <c r="BH31" s="190">
        <v>3</v>
      </c>
      <c r="BI31" s="190">
        <v>3</v>
      </c>
      <c r="BJ31" s="190">
        <f>Reinforcements[[#This Row],[End Connection Edge Distance (in) (T)]]-(Reinforcements[[#This Row],[Bolt Hole Size (in)]]+1/16)/2</f>
        <v>2.375</v>
      </c>
      <c r="BK31" s="190">
        <f>Reinforcements[[#This Row],[End Connection Bolt Spacing (in) (T)]]-(Reinforcements[[#This Row],[Bolt Hole Size (in)]]+1/16)</f>
        <v>1.75</v>
      </c>
      <c r="BL31" s="237">
        <f>Reinforcements[[#This Row],[End Connection Edge Distance (in) (T)]]</f>
        <v>3</v>
      </c>
      <c r="BM31" s="237">
        <f>Reinforcements[[#This Row],[End Connection Bolt Spacing (in) (T)]]</f>
        <v>3</v>
      </c>
      <c r="BN31" s="237" t="str">
        <f>IF(Reinforcements[[#This Row],[Reinforcement]]="","",IF(Reinforcements[[#This Row],[Top End Connection Same?]]="Yes",Reinforcements[[#This Row],[Bottom Connected to Flange/Base Plate?]],IF(Reinforcements[[#This Row],[Top End Connection Type]]="Bolted","-","")))</f>
        <v>-</v>
      </c>
      <c r="BO31" s="237" t="str">
        <f>IF(Reinforcements[[#This Row],[Reinforcement]]="","",IF(Reinforcements[[#This Row],[Top End Connection Same?]]="Yes",Reinforcements[[#This Row],[Bottom Weld Grade (ksi)]],IF(OR(Reinforcements[[#This Row],[Top End Connection Type]]&lt;&gt;"Welded",Reinforcements[[#This Row],[Top End Connection Type]]=""),"-","")))</f>
        <v>-</v>
      </c>
      <c r="BP31" s="237" t="str">
        <f>IF($AZ31="Yes",AP31,IF(Reinforcements[[#This Row],[Reinforcement]]="","",IF(OR(Reinforcements[[#This Row],[Top End Connection Type]]&lt;&gt;"Welded",Reinforcements[[#This Row],[Top End Connection Type]]=""),"-","")))</f>
        <v>-</v>
      </c>
      <c r="BQ31" s="237" t="str">
        <f>IF(Reinforcements[[#This Row],[Reinforcement]]="","",IF($AZ31="Yes",AQ31,IF(OR(Reinforcements[[#This Row],[Top End Connection Type]]&lt;&gt;"Welded",Reinforcements[[#This Row],[Top Transverse (Horizontal) Weld]]="none",Reinforcements[[#This Row],[Top Transverse (Horizontal) Weld]]=""),"-","")))</f>
        <v>-</v>
      </c>
      <c r="BR31" s="237" t="str">
        <f>IF($AZ31="Yes",AR31,IF(Reinforcements[[#This Row],[Reinforcement]]="","",IF(OR(Reinforcements[[#This Row],[Top Transverse (Horizontal) Weld]]="none",Reinforcements[[#This Row],[Top End Connection Type]]&lt;&gt;"Welded",Reinforcements[[#This Row],[Top Transverse (Horizontal) Weld]]="",Reinforcements[[#This Row],[Top Transverse (Horizontal) Weld]]="Fillet"),"-","")))</f>
        <v>-</v>
      </c>
      <c r="BS31" s="237" t="str">
        <f>IF($AZ31="Yes",AS31,IF(Reinforcements[[#This Row],[Reinforcement]]="","",IF(OR(Reinforcements[[#This Row],[Top Transverse (Horizontal) Weld]]="none",Reinforcements[[#This Row],[Top End Connection Type]]&lt;&gt;"Welded",Reinforcements[[#This Row],[Top Transverse (Horizontal) Weld]]="",Reinforcements[[#This Row],[Top Transverse (Horizontal) Weld]]="Fillet"),"-","")))</f>
        <v>-</v>
      </c>
      <c r="BT31" s="237" t="str">
        <f>IF(Reinforcements[[#This Row],[Reinforcement]]="","",IF($AZ31="Yes",AT31,IF(OR(Reinforcements[[#This Row],[Top Transverse (Horizontal) Weld]]="none",Reinforcements[[#This Row],[Top End Connection Type]]&lt;&gt;"Welded",Reinforcements[[#This Row],[Top Transverse (Horizontal) Weld]]=""),"-","")))</f>
        <v>-</v>
      </c>
      <c r="BU31" s="237" t="str">
        <f>IF($AZ31="Yes",AU31,IF(Reinforcements[[#This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1" s="237" t="str">
        <f>IF($AZ31="Yes",AV31,IF(Reinforcements[[#This Row],[Reinforcement]]="","",IF(OR(Reinforcements[[#This Row],[Top End Connection Type]]&lt;&gt;"Welded",Reinforcements[[#This Row],[Top End Connection Type]]=""),"-","")))</f>
        <v>-</v>
      </c>
      <c r="BW31" s="237" t="str">
        <f>IF($AZ31="Yes",AW31,IF(Reinforcements[[#This Row],[Reinforcement]]="","",IF(OR(Reinforcements[[#This Row],[Top End Connection Type]]&lt;&gt;"Welded",Reinforcements[[#This Row],[Top End Connection Type]]="",Reinforcements[[#This Row],[Top Longitudinal (Vertical) Weld]]="",Reinforcements[[#This Row],[Top Longitudinal (Vertical) Weld]]="None"),"-","")))</f>
        <v>-</v>
      </c>
      <c r="BX31" s="237" t="str">
        <f>IF($AZ31="Yes",AX31,IF(Reinforcements[[#This Row],[Reinforcement]]="","",IF(OR(Reinforcements[[#This Row],[Top End Connection Type]]&lt;&gt;"Welded",Reinforcements[[#This Row],[Top End Connection Type]]="",Reinforcements[[#This Row],[Top Longitudinal (Vertical) Weld]]="",Reinforcements[[#This Row],[Top Longitudinal (Vertical) Weld]]="None"),"-","")))</f>
        <v>-</v>
      </c>
      <c r="BY31" s="236" t="str">
        <f>IF($AZ31="Yes",AY31,IF(Reinforcements[[#This Row],[Reinforcement]]="","",IF(OR(Reinforcements[[#This Row],[Top End Connection Type]]&lt;&gt;"Welded",Reinforcements[[#This Row],[Top Longitudinal (Vertical) Weld]]="none"),"-",SQRT(2)/2*Reinforcements[[#This Row],[Top Longitudinal Weld Fillet Size (in)]])))</f>
        <v>-</v>
      </c>
      <c r="BZ31"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1" s="238"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1" s="238">
        <f>IF(Reinforcements[[#This Row],[Reinforcement]]="","",IF(Reinforcements[[#This Row],[Top End Connection Type]]&lt;&gt;"Bolted","n/a",(Reinforcements[[#This Row],['# of End Connection Bolts          (Top)]]-1)*Reinforcements[[#This Row],[End Connection Bolt Spacing (in) (T)]]+Reinforcements[[#This Row],[End Connection Edge Distance (in) (T)]]))</f>
        <v>30</v>
      </c>
      <c r="CC31"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31"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31" s="236">
        <f>IFERROR(IF(Reinforcements[[#This Row],[Type]]="","",Reinforcements[[#This Row],[Effective B (in)]]*Reinforcements[[#This Row],[Effective H (in)]]^3/12),"")</f>
        <v>0.5</v>
      </c>
      <c r="CF31" s="236">
        <f>IFERROR(IF(Reinforcements[[#This Row],[Type]]="","",Reinforcements[[#This Row],[Effective B (in)]]^3*Reinforcements[[#This Row],[Effective H (in)]]/12),"")</f>
        <v>18</v>
      </c>
      <c r="CG31" s="235">
        <f>SQRT(2*PI()^2*29000/VLOOKUP(Reinforcements[[#This Row],[Material]],Materials[],2,FALSE))</f>
        <v>93.844147005158973</v>
      </c>
      <c r="CH31"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31.54287616885998</v>
      </c>
      <c r="CI31"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37.972749066590325</v>
      </c>
      <c r="CJ31" s="239">
        <f>Reinforcements[[#This Row],[Effective Length Factor Kx]]*Reinforcements[[#This Row],[Lu (in)]]/(Reinforcements[[#This Row],[rx]]*PI())*SQRT(VLOOKUP(Reinforcements[[#This Row],[Material]],Materials[],2,FALSE)/29000)</f>
        <v>0.66820296647591804</v>
      </c>
      <c r="CK31" s="239">
        <f>Reinforcements[[#This Row],[Effective Length Factor Ky]]*Reinforcements[[#This Row],[Lu (in)]]/(Reinforcements[[#This Row],[ry]]*PI())*SQRT(VLOOKUP(Reinforcements[[#This Row],[Material]],Materials[],2,FALSE)/29000)</f>
        <v>0.13920895134914957</v>
      </c>
      <c r="CL31" s="239">
        <f>IF(Reinforcements[[#This Row],[λcx]]&lt;=1.5,0.658^(Reinforcements[[#This Row],[λcx]]^2)*Reinforcements[[#This Row],[F''y]],0.877/(Reinforcements[[#This Row],[λcx]]^2)*Reinforcements[[#This Row],[F''y]])</f>
        <v>53.9202739283065</v>
      </c>
      <c r="CM31" s="239">
        <f>IF(Reinforcements[[#This Row],[λcy]]&lt;=1.5,0.658^(Reinforcements[[#This Row],[λcy]]^2)*Reinforcements[[#This Row],[F''y]],0.877/(Reinforcements[[#This Row],[λcy]]^2)*Reinforcements[[#This Row],[F''y]])</f>
        <v>64.474908164166294</v>
      </c>
      <c r="CN31" s="236">
        <f>VLOOKUP(Reinforcements[[#This Row],[Material]],Materials[],2,FALSE)</f>
        <v>65</v>
      </c>
      <c r="CO31" s="235">
        <f>IF(Reinforcements[[#This Row],[Reinforcement]]="","",Reinforcements[[#This Row],[Fax]]*Reinforcements[[#This Row],[Gross Area (in2)]])</f>
        <v>189.25725701315989</v>
      </c>
      <c r="CP31" s="235">
        <f>IF(Reinforcements[[#This Row],[Reinforcement]]="","",Reinforcements[[#This Row],[Fay]]*Reinforcements[[#This Row],[Gross Area (in2)]])</f>
        <v>227.83649439954195</v>
      </c>
      <c r="CQ31" s="235">
        <f>IF(Reinforcements[[#This Row],[Reinforcement]]="","",0.6*VLOOKUP(Reinforcements[[#This Row],[Material]],Materials[],2,FALSE)*Reinforcements[[#This Row],[Gross Area (in2)]])</f>
        <v>234</v>
      </c>
      <c r="CR31" s="235">
        <f>IF(Reinforcements[[#This Row],[Reinforcement]]="","",0.5*VLOOKUP(Reinforcements[[#This Row],[Material]],Materials[],3,FALSE)*Reinforcements[[#This Row],[Net Area (in2)]]*Reinforcements[[#This Row],[Shear Lag (U)]])</f>
        <v>190</v>
      </c>
      <c r="CS31" s="235">
        <f>IF(Reinforcements[[#This Row],[Reinforcement]]="","",0.4*VLOOKUP(Reinforcements[[#This Row],[Material]],Materials[],2,FALSE)*Reinforcements[[#This Row],[Gross Area (in2)]])</f>
        <v>156</v>
      </c>
      <c r="CT31" s="235"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1"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31" s="235"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1" s="235"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1"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31"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31" s="240"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1" s="235"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1"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31"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1217.007874015748</v>
      </c>
      <c r="DD31"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1" s="23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1" s="236" t="str">
        <f>IF($AZ31="Yes",DD31,IF(Reinforcements[[#This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1" s="236" t="str">
        <f>IF($AZ31="Yes",DE31,IF(Reinforcements[[#This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1" s="235">
        <f>IF(Reinforcements[[#This Row],[Reinforcement]]="","",φ_c*Reinforcements[[#This Row],[Fcr,x]]*Reinforcements[[#This Row],[Gross Area (in2)]])</f>
        <v>291.16947921285509</v>
      </c>
      <c r="DI31" s="235">
        <f>IF(Reinforcements[[#This Row],[Reinforcement]]="","",φ_c*Reinforcements[[#This Row],[Fcr,y]]*Reinforcements[[#This Row],[Gross Area (in2)]])</f>
        <v>348.16450408649803</v>
      </c>
      <c r="DJ31" s="235">
        <f>IF(Reinforcements[[#This Row],[Reinforcement]]="","",φ_t_y*VLOOKUP(Reinforcements[[#This Row],[Material]],Materials[],2,FALSE)*Reinforcements[[#This Row],[Gross Area (in2)]])</f>
        <v>351</v>
      </c>
      <c r="DK31" s="235">
        <f>IF(Reinforcements[[#This Row],[Reinforcement]]="","",φ_t_r*VLOOKUP(Reinforcements[[#This Row],[Material]],Materials[],3,FALSE)*Reinforcements[[#This Row],[Net Area (in2)]]*Reinforcements[[#This Row],[Shear Lag (U)]])</f>
        <v>285</v>
      </c>
      <c r="DL31" s="235">
        <f>IF(Reinforcements[[#This Row],[Reinforcement]]="","",φ_v*0.5*Reinforcements[[#This Row],[F''y]]*Reinforcements[[#This Row],[Gross Area (in2)]])</f>
        <v>175.5</v>
      </c>
      <c r="DM31" s="235"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1"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31" s="235"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1" s="235"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1"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31"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31"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1"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1"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1582.2614173228346</v>
      </c>
      <c r="DV31"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1977.8267716535433</v>
      </c>
      <c r="DW31" s="23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1" s="23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1" s="236" t="str">
        <f>IF($AZ31="Yes",DW31,IF(Reinforcements[[#This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1" s="236" t="str">
        <f>IF($AZ31="Yes",DX31,IF(Reinforcements[[#This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1" s="238" t="str">
        <f>IF(OR(Reinforcements[[#This Row],[Type]]="plate",Reinforcements[[#This Row],[Type]]="solid round"),"N/A",Reinforcements[[#This Row],[B (in)]])</f>
        <v>N/A</v>
      </c>
      <c r="EB31" s="236" t="str">
        <f>IF(OR(Reinforcements[[#This Row],[Type]]="plate",Reinforcements[[#This Row],[Type]]="solid round"),"N/A",Reinforcements[[#This Row],[H (in)]])</f>
        <v>N/A</v>
      </c>
      <c r="EC31" s="236" t="str">
        <f>IF(OR(Reinforcements[[#This Row],[Type]]="plate",Reinforcements[[#This Row],[Type]]="solid round"),"N/A",Reinforcements[[#This Row],[B (in)]]-Reinforcements[[#This Row],['[Channel'] Flange Thickness (in)]])</f>
        <v>N/A</v>
      </c>
      <c r="ED31" s="236" t="str">
        <f>IF(OR(Reinforcements[[#This Row],[Type]]="plate",Reinforcements[[#This Row],[Type]]="solid round"),"N/A",Reinforcements[[#This Row],['[Channel']Web Thickness (in)]])</f>
        <v>N/A</v>
      </c>
      <c r="EE31" s="236" t="str">
        <f>IF(OR(Reinforcements[[#This Row],[Type]]="plate",Reinforcements[[#This Row],[Type]]="solid round"),"N/A",Reinforcements[[#This Row],['[Channel'] Flange Thickness (in)]])</f>
        <v>N/A</v>
      </c>
      <c r="EF31" s="236" t="str">
        <f>IF(Reinforcements[[#This Row],[Type]]="channel",Reinforcements[[#This Row],[Channel Flange Width, b]]/Reinforcements[[#This Row],[Channel flange thickness, tf]],"N/A")</f>
        <v>N/A</v>
      </c>
      <c r="EG31" s="236" t="str">
        <f>IF(Reinforcements[[#This Row],[Type]]="channel",Reinforcements[[#This Row],[Channel inside depth, T]]/Reinforcements[[#This Row],[Channel web thickness, tw]],"N/A")</f>
        <v>N/A</v>
      </c>
      <c r="EH31" s="237">
        <v>29000</v>
      </c>
      <c r="EI31" s="236" t="str">
        <f>IF(Reinforcements[[#This Row],[Type]]="channel",0.56*SQRT(Reinforcements[[#This Row],[E, (ksi)]]/Reinforcements[[#This Row],[Fy, (ksi)]]),"N/A")</f>
        <v>N/A</v>
      </c>
      <c r="EJ31" s="236" t="str">
        <f>IF(Reinforcements[[#This Row],[Type]]="channel",1.49*SQRT(Reinforcements[[#This Row],[E, (ksi)]]/Reinforcements[[#This Row],[Fy, (ksi)]]),"N/A")</f>
        <v>N/A</v>
      </c>
      <c r="EK31" s="236">
        <f>VLOOKUP(Reinforcements[[#This Row],[Material]],Materials!$B$2:$C$30,2,FALSE)</f>
        <v>65</v>
      </c>
      <c r="EL31" s="236">
        <f>Reinforcements[[#This Row],[Lu (in)]]*Reinforcements[[#This Row],[Effective Length Factor Kx]]</f>
        <v>12.8</v>
      </c>
      <c r="EM31" s="236">
        <f>Reinforcements[[#This Row],[Lu (in)]]*Reinforcements[[#This Row],[Effective Length Factor Ky]]</f>
        <v>16</v>
      </c>
      <c r="EN31" s="236">
        <f>Reinforcements[[#This Row],[rx]]</f>
        <v>0.28867513459481287</v>
      </c>
      <c r="EO31" s="236">
        <f>Reinforcements[[#This Row],[ry]]</f>
        <v>1.7320508075688772</v>
      </c>
      <c r="EP31" s="236">
        <f>Reinforcements[[#This Row],[Lcx (in)]]/Reinforcements[[#This Row],[rx (in)]]</f>
        <v>44.340500673763266</v>
      </c>
      <c r="EQ31" s="236">
        <f>Reinforcements[[#This Row],[Lcy (in)]]/Reinforcements[[#This Row],[ry (in)]]</f>
        <v>9.2376043070340135</v>
      </c>
      <c r="ER31" s="236">
        <f>((PI()^2)*Reinforcements[[#This Row],[E, (ksi)]])/(Reinforcements[[#This Row],[Lcx/rx]]^2)</f>
        <v>145.57827129699263</v>
      </c>
      <c r="ES31" s="236">
        <f>((PI()^2)*Reinforcements[[#This Row],[E, (ksi)]])/(Reinforcements[[#This Row],[Lcy/ry]]^2)</f>
        <v>3354.1233706827102</v>
      </c>
      <c r="ET31" s="236">
        <f>4.71*(SQRT(Reinforcements[[#This Row],[E, (ksi)]]/Reinforcements[[#This Row],[Fy, (ksi)]]))</f>
        <v>99.486288193205496</v>
      </c>
      <c r="EU31" s="236">
        <f>IF(Reinforcements[[#This Row],[Lcx/rx]]&lt;=Reinforcements[[#This Row],[Fcr Limit]],(0.658^(Reinforcements[[#This Row],[Fy, (ksi)]]/Reinforcements[[#This Row],[Fex, FB (ksi)]]))*Reinforcements[[#This Row],[Fy, (ksi)]],0.877*Reinforcements[[#This Row],[Fex, FB (ksi)]])</f>
        <v>53.9202739283065</v>
      </c>
      <c r="EV31" s="236">
        <f>IF(Reinforcements[[#This Row],[Lcy/ry]]&lt;=Reinforcements[[#This Row],[Fcr Limit]],(0.658^(Reinforcements[[#This Row],[Fy, (ksi)]]/Reinforcements[[#This Row],[Fey, FB (ksi)]]))*Reinforcements[[#This Row],[Fy, (ksi)]],0.877*Reinforcements[[#This Row],[Fey, FB (ksi)]])</f>
        <v>64.474908164166294</v>
      </c>
      <c r="EW31" s="236">
        <f>Reinforcements[[#This Row],[Fcrx (ksi)]]*Reinforcements[[#This Row],[Gross Area (in2)]]</f>
        <v>323.521643569839</v>
      </c>
      <c r="EX31" s="236">
        <f>Reinforcements[[#This Row],[Fcry (ksi)]]*Reinforcements[[#This Row],[Gross Area (in2)]]</f>
        <v>386.84944898499776</v>
      </c>
      <c r="EY31" s="236" t="str">
        <f>IF(Reinforcements[[#This Row],[Type]]="channel",0,"N/A")</f>
        <v>N/A</v>
      </c>
      <c r="EZ31" s="236" t="str">
        <f>IF(Reinforcements[[#This Row],[Type]]="channel",Reinforcements[[#This Row],[Channel Flange Width, b]]-(0.5*Reinforcements[[#This Row],[Channel web thickness, tw]]),"N/A")</f>
        <v>N/A</v>
      </c>
      <c r="FA31" s="236" t="str">
        <f>IF(Reinforcements[[#This Row],[Type]]="channel",Reinforcements[[#This Row],[Channel Height, h]]-Reinforcements[[#This Row],[Channel flange thickness, tf]],"N/A")</f>
        <v>N/A</v>
      </c>
      <c r="FB31" s="236" t="str">
        <f>IF(Reinforcements[[#This Row],[Type]]="channel",Reinforcements[[#This Row],[Channel web thickness, tw]],"N/A")</f>
        <v>N/A</v>
      </c>
      <c r="FC31" s="236" t="str">
        <f>IF(Reinforcements[[#This Row],[Type]]="channel",((3*Reinforcements[[#This Row],[b]]^2)/(Reinforcements[[#This Row],[h]]+(6*Reinforcements[[#This Row],[b]])))-Reinforcements[[#This Row],[t]]/2,"N/A")</f>
        <v>N/A</v>
      </c>
      <c r="FD31" s="236">
        <f>Reinforcements[[#This Row],[Pole Face to Centroid (in)]]</f>
        <v>0.5</v>
      </c>
      <c r="FE31" s="236" t="str">
        <f>IF(Reinforcements[[#This Row],[Type]]="channel",Reinforcements[[#This Row],[x(bar)]]+Reinforcements[[#This Row],['[Channel'] e0 (in)]],"N/A")</f>
        <v>N/A</v>
      </c>
      <c r="FF31" s="236" t="str">
        <f>IF(Reinforcements[[#This Row],[Type]]="channel",Reinforcements[[#This Row],[Ix]],"N/A")</f>
        <v>N/A</v>
      </c>
      <c r="FG31" s="236" t="str">
        <f>IF(Reinforcements[[#This Row],[Type]]="channel",Reinforcements[[#This Row],[Iy]],"N/A")</f>
        <v>N/A</v>
      </c>
      <c r="FH31" s="236" t="str">
        <f>IF(Reinforcements[[#This Row],[Type]]="channel",Reinforcements[[#This Row],[Gross Area (in2)]],"N/A")</f>
        <v>N/A</v>
      </c>
      <c r="FI31" s="236" t="str">
        <f>IF(Reinforcements[[#This Row],[Type]]="channel",(Reinforcements[[#This Row],[xo]]^2)+((Reinforcements[[#This Row],[Ix (FTB)]]+Reinforcements[[#This Row],[Iy (FTB)]])/Reinforcements[[#This Row],[Ag]]),"N/A")</f>
        <v>N/A</v>
      </c>
      <c r="FJ31" s="236" t="str">
        <f>IF(Reinforcements[[#This Row],[Type]]="channel",Reinforcements[[#This Row],[Lu (in)]],"N/A")</f>
        <v>N/A</v>
      </c>
      <c r="FK31" s="236" t="str">
        <f>IF(Reinforcements[[#This Row],[Type]]="channel",Reinforcements[[#This Row],[Effective Length Factor Kx]],"N/A")</f>
        <v>N/A</v>
      </c>
      <c r="FL31" s="236" t="str">
        <f>IF(Reinforcements[[#This Row],[Type]]="channel",Reinforcements[[#This Row],[Kz]]*Reinforcements[[#This Row],[Lz]],"N/A")</f>
        <v>N/A</v>
      </c>
      <c r="FM31" s="236" t="str">
        <f>IF(Reinforcements[[#This Row],[Type]]="channel",(((Reinforcements[[#This Row],[t]]^3)/3)*(Reinforcements[[#This Row],[h]]+(2*Reinforcements[[#This Row],[b]]))),"N/A")</f>
        <v>N/A</v>
      </c>
      <c r="FN31" s="236" t="str">
        <f>IF(Reinforcements[[#This Row],[Type]]="channel",(1-(((Reinforcements[[#This Row],[xo]]^2)+(Reinforcements[[#This Row],[yo]]^2))/Reinforcements[[#This Row],[ro^2(bar)]])),"N/A")</f>
        <v>N/A</v>
      </c>
      <c r="FO31" s="237">
        <v>11200</v>
      </c>
      <c r="FP31" s="236" t="str">
        <f>IF(Reinforcements[[#This Row],[Type]]="channel",(((Reinforcements[[#This Row],[h]]^2)*(Reinforcements[[#This Row],[b]]^3)*Reinforcements[[#This Row],[t]])/12)*(((2*Reinforcements[[#This Row],[h]])+(3*Reinforcements[[#This Row],[b]]))/(Reinforcements[[#This Row],[h]]+(6*Reinforcements[[#This Row],[b]]))),"N/A")</f>
        <v>N/A</v>
      </c>
      <c r="FQ31" s="236" t="str">
        <f>IF(Reinforcements[[#This Row],[Type]]="Channel",((((PI()^2)*Reinforcements[[#This Row],[E, (ksi)]]*Reinforcements[[#This Row],['[Channel'] CW (in6)]])/(Reinforcements[[#This Row],[Lcz]]^2))+(Reinforcements[[#This Row],[G]]*Reinforcements[[#This Row],['[Channel'] J (in4)]]))*(1/(Reinforcements[[#This Row],[Ag]]*Reinforcements[[#This Row],[ro^2(bar)]])),"N/A")</f>
        <v>N/A</v>
      </c>
      <c r="FR31" s="236" t="str">
        <f>IF(Reinforcements[[#This Row],[Type]]="channel",((PI()^2)*Reinforcements[[#This Row],[E, (ksi)]])/(Reinforcements[[#This Row],[Lcy/ry]]^2),"N/A")</f>
        <v>N/A</v>
      </c>
      <c r="FS31" s="236" t="str">
        <f>IF(Reinforcements[[#This Row],[Type]]="channel",((Reinforcements[[#This Row],[Fey]]+Reinforcements[[#This Row],[Fez]])/(2*Reinforcements[[#This Row],[H2]]))*(1-SQRT(1-((4*Reinforcements[[#This Row],[Fey]]*Reinforcements[[#This Row],[Fez]]*Reinforcements[[#This Row],[H2]])/(Reinforcements[[#This Row],[Fey]]+Reinforcements[[#This Row],[Fez]])^2))),"N/A")</f>
        <v>N/A</v>
      </c>
      <c r="FT31" s="236" t="str">
        <f>IF(Reinforcements[[#This Row],[Type]]="channel",IF(Reinforcements[[#This Row],[Lcx/rx]]&gt;(4.71*SQRT(Reinforcements[[#This Row],[E, (ksi)]]/Reinforcements[[#This Row],[Fy, (ksi)]])),0.877*Reinforcements[[#This Row],[Fe (FTB)]],0.658^(Reinforcements[[#This Row],[Fy, (ksi)]]/Reinforcements[[#This Row],[Fe (FTB)]])*Reinforcements[[#This Row],[Fy, (ksi)]]),"N/A")</f>
        <v>N/A</v>
      </c>
      <c r="FU31" s="236" t="str">
        <f>IF(Reinforcements[[#This Row],[Type]]="channel",MIN(Reinforcements[[#This Row],[Fcr(FTB)]],Reinforcements[[#This Row],[Fcry (ksi)]]),"N/A")</f>
        <v>N/A</v>
      </c>
      <c r="FV31" s="237">
        <v>0.22</v>
      </c>
      <c r="FW31" s="237">
        <v>1.49</v>
      </c>
      <c r="FX31" s="236" t="str">
        <f>IF(Reinforcements[[#This Row],[Type]]="channel",((Reinforcements[[#This Row],[c2]]*(Reinforcements[[#This Row],[λrf]]/Reinforcements[[#This Row],[λf]]))^2)*Reinforcements[[#This Row],[Fy, (ksi)]],"N/A")</f>
        <v>N/A</v>
      </c>
      <c r="FY31" s="236" t="str">
        <f>IF(Reinforcements[[#This Row],[Type]]="channel",((Reinforcements[[#This Row],[c2]]*(Reinforcements[[#This Row],[λrw]]/Reinforcements[[#This Row],[λw]]))^2)*Reinforcements[[#This Row],[Fy, (ksi)]],"N/A")</f>
        <v>N/A</v>
      </c>
      <c r="FZ31"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1"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1"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1" s="236" t="str">
        <f>IF(Reinforcements[[#This Row],[Type]]="channel",Reinforcements[[#This Row],[Fcr]]*Reinforcements[[#This Row],[Ae]],"N/A")</f>
        <v>N/A</v>
      </c>
      <c r="GD31" s="466">
        <f>IF(Reinforcements[[#This Row],[Reinforcement]]="","",φ_c*Reinforcements[[#This Row],[Pnx, FB (kip)]])</f>
        <v>291.16947921285509</v>
      </c>
      <c r="GE31" s="466">
        <f>IF(Reinforcements[[#This Row],[Reinforcement]]="","",IF(Reinforcements[[#This Row],[Type]]="channel",φ_c*Reinforcements[[#This Row],[Pn]],φ_c*Reinforcements[[#This Row],[Pny, FB (kip)]]))</f>
        <v>348.16450408649797</v>
      </c>
      <c r="GF31" s="466">
        <f>Reinforcements[[#This Row],[Rev. G Tension Yield Capacity (kips)]]</f>
        <v>351</v>
      </c>
      <c r="GG31" s="466">
        <f>Reinforcements[[#This Row],[Rev. G Tension Rupture Capacity (kips)]]</f>
        <v>285</v>
      </c>
      <c r="GH31" s="466">
        <f>Reinforcements[[#This Row],[Rev. G Shear Capacity (kips)]]</f>
        <v>175.5</v>
      </c>
      <c r="GI31" s="466" t="str">
        <f>IFERROR((Reinforcements[[#This Row],['# of End Connection Bolts          (Bottom)]]-1)*Reinforcements[[#This Row],[End Connection Bolt Spacing (in) (B)]],"-")</f>
        <v>-</v>
      </c>
      <c r="GJ31" s="466">
        <f>IFERROR(IF(VLOOKUP(Reinforcements[[#This Row],[Bottom End Connection Bolt Type]],Bolts[],COLUMN(Bolts[[#Headers],[Rev. H Apply Connection Length Reduction Factor (Rb)?]])-1,FALSE)="Yes",(IF(Reinforcements[[#This Row],[Lb(bottom)]]&lt;=16,1,IF(Reinforcements[[#This Row],[Lb(bottom)]]&gt;38,0.75,0.9))),1),"-")</f>
        <v>1</v>
      </c>
      <c r="GK31"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1" s="466">
        <f>IFERROR(IF(Reinforcements[[#This Row],[Top End Connection Same?]]="Yes",Reinforcements[[#This Row],[Lb(bottom)]],(Reinforcements[[#This Row],['# of End Connection Bolts          (Top)]]-1)*Reinforcements[[#This Row],[End Connection Bolt Spacing (in) (T)]]),"-")</f>
        <v>27</v>
      </c>
      <c r="GM31" s="466">
        <f>IFERROR(IF(VLOOKUP(Reinforcements[[#This Row],[Top End Connection Bolt Type]],Bolts[],COLUMN(Bolts[[#Headers],[Rev. H Apply Connection Length Reduction Factor (Rb)?]])-1,FALSE)="Yes",(IF(Reinforcements[[#This Row],[Lb(top)]]&lt;=16,1,IF(Reinforcements[[#This Row],[Lb(top)]]&gt;38,0.75,0.9))),1),"-")</f>
        <v>1</v>
      </c>
      <c r="GN31"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463.99640970817933</v>
      </c>
      <c r="GO31" s="466" t="str">
        <f>Reinforcements[[#This Row],[Rev. G Bolt-Shaft Bearing Capacity (Bottom)                No Deformation          (*t*Fu kips)]]</f>
        <v>-</v>
      </c>
      <c r="GP31" s="466" t="str">
        <f>Reinforcements[[#This Row],[Rev. G Bolt-Shaft Bearing Capacity (Bottom)                   Deformation          (*t*Fu kips)]]</f>
        <v>-</v>
      </c>
      <c r="GQ31" s="466">
        <f>Reinforcements[[#This Row],[Rev. G Bolt-Shaft Bearing Capacity (Top)                    No Deformation          (*t*Fu kips)]]</f>
        <v>19.778267716535435</v>
      </c>
      <c r="GR31" s="466">
        <f>Reinforcements[[#This Row],[Rev. G Bolt-Shaft Bearing Capacity (Top)                        Deformation          (*t*Fu kips)]]</f>
        <v>24.722834645669291</v>
      </c>
      <c r="GS31" s="466" t="str">
        <f>Reinforcements[[#This Row],[Rev. G Bolt-Reinf. Bearing Capacity (Bottom)            No Deformation (kips)]]</f>
        <v>-</v>
      </c>
      <c r="GT31" s="466" t="str">
        <f>Reinforcements[[#This Row],[Rev. G Bolt-Reinf. Bearing Capacity (Bottom)               Deformation (kips)]]</f>
        <v>-</v>
      </c>
      <c r="GU31" s="466">
        <f>Reinforcements[[#This Row],[Rev. G Bolt-Reinf. Bearing Capacity (Top)                  No Deformation (kips)]]</f>
        <v>1582.2614173228346</v>
      </c>
      <c r="GV31" s="466">
        <f>Reinforcements[[#This Row],[Rev. G Bolt-Reinf. Bearing Capacity (Top)               Deformation (kips)]]</f>
        <v>1977.8267716535433</v>
      </c>
      <c r="GW31" s="466" t="str">
        <f>Reinforcements[[#This Row],[Rev. G Bottom Transverse Weld Strength]]</f>
        <v>-</v>
      </c>
      <c r="GX31" s="466" t="str">
        <f>Reinforcements[[#This Row],[Rev. G Bottom Longitudinal Weld Strength]]</f>
        <v>-</v>
      </c>
      <c r="GY31" s="466" t="str">
        <f>Reinforcements[[#This Row],[Rev. G Top Transverse Weld Strength]]</f>
        <v>-</v>
      </c>
      <c r="GZ31" s="466" t="str">
        <f>Reinforcements[[#This Row],[Rev. G Top Longitudinal Weld Strength]]</f>
        <v>-</v>
      </c>
      <c r="HA31" s="552">
        <v>29</v>
      </c>
      <c r="HB31"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2" spans="2:217" s="65" customFormat="1" x14ac:dyDescent="0.2">
      <c r="B32" s="72" t="s">
        <v>591</v>
      </c>
      <c r="C32" s="72" t="s">
        <v>146</v>
      </c>
      <c r="D32" s="185">
        <v>6.5</v>
      </c>
      <c r="E32" s="185">
        <v>1.25</v>
      </c>
      <c r="F32" s="185" t="str">
        <f>IF(Reinforcements[[#This Row],[Type]]="","",IF(Reinforcements[[#This Row],[Type]]="solid round","","n/a"))</f>
        <v>n/a</v>
      </c>
      <c r="G32" s="185" t="str">
        <f>IF(Reinforcements[[#This Row],[Type]]="","",IF(Reinforcements[[#This Row],[Type]]&lt;&gt;"channel","n/a",""))</f>
        <v>n/a</v>
      </c>
      <c r="H32" s="185" t="str">
        <f>IF(Reinforcements[[#This Row],[Type]]="","",IF(Reinforcements[[#This Row],[Type]]&lt;&gt;"channel","n/a",""))</f>
        <v>n/a</v>
      </c>
      <c r="I32" s="197" t="str">
        <f>IF(Reinforcements[[#This Row],[Type]]="","",IF(Reinforcements[[#This Row],[Type]]&lt;&gt;"channel","n/a",Reinforcements[[#This Row],[eo]]))</f>
        <v>n/a</v>
      </c>
      <c r="J32" s="197" t="str">
        <f>IF(Reinforcements[[#This Row],[Type]]="","",IF(Reinforcements[[#This Row],[Type]]&lt;&gt;"channel","n/a",Reinforcements[[#This Row],[J]]))</f>
        <v>n/a</v>
      </c>
      <c r="K32" s="197" t="str">
        <f>IF(Reinforcements[[#This Row],[Type]]="","",IF(Reinforcements[[#This Row],[Type]]&lt;&gt;"channel","n/a",Reinforcements[[#This Row],[Cw]]))</f>
        <v>n/a</v>
      </c>
      <c r="L32" s="185">
        <f>IFERROR(IF(Reinforcements[[#This Row],[Type]]="","",IF(Reinforcements[[#This Row],[Type]]="plate",Reinforcements[[#This Row],[B (in)]]*Reinforcements[[#This Row],[H (in)]],IF(Reinforcements[[#This Row],[Type]]="solid round",PI()/4*Reinforcements[[#This Row],[Diameter (in)]]^2,""))),"")</f>
        <v>8.125</v>
      </c>
      <c r="M32" s="185">
        <f>IFERROR(IF(Reinforcements[[#This Row],[Type]]="","",IF(Reinforcements[[#This Row],[Type]]="plate",Reinforcements[[#This Row],[H (in)]]/2,"")),"")</f>
        <v>0.625</v>
      </c>
      <c r="N32" s="199" t="s">
        <v>297</v>
      </c>
      <c r="O32" s="185" t="s">
        <v>60</v>
      </c>
      <c r="P32" s="187">
        <f>IFERROR(IF(Reinforcements[[#This Row],[Type]]="","",IF(Reinforcements[[#This Row],[Type]]="plate",Reinforcements[[#This Row],[B (in)]]*Reinforcements[[#This Row],[H (in)]]^3/12,IF(Reinforcements[[#This Row],[Type]]="solid round",PI()/64*Reinforcements[[#This Row],[Diameter (in)]]^4,""))),"")</f>
        <v>1.0579427083333333</v>
      </c>
      <c r="Q32" s="187">
        <f>IF(Reinforcements[[#This Row],[Reinforcement]]="","",SQRT(Reinforcements[[#This Row],[Ix]]/Reinforcements[[#This Row],[Gross Area (in2)]]))</f>
        <v>0.36084391824351608</v>
      </c>
      <c r="R32" s="187">
        <f>IFERROR(IF(Reinforcements[[#This Row],[Type]]="","",IF(Reinforcements[[#This Row],[Type]]="plate",Reinforcements[[#This Row],[B (in)]]^3*Reinforcements[[#This Row],[H (in)]]/12,IF(Reinforcements[[#This Row],[Type]]="solid round",PI()/64*Reinforcements[[#This Row],[Diameter (in)]]^4,""))),"")</f>
        <v>28.606770833333332</v>
      </c>
      <c r="S32" s="187">
        <f>IF(Reinforcements[[#This Row],[Reinforcement]]="","",SQRT(Reinforcements[[#This Row],[Iy]]/Reinforcements[[#This Row],[Gross Area (in2)]]))</f>
        <v>1.8763883748662837</v>
      </c>
      <c r="T32" s="190">
        <v>19</v>
      </c>
      <c r="U32" s="188">
        <v>0.8</v>
      </c>
      <c r="V32" s="188">
        <v>1</v>
      </c>
      <c r="W32" s="185">
        <v>1.1875</v>
      </c>
      <c r="X32" s="188">
        <f>IF(Reinforcements[[#This Row],[Bolt Hole Size (in)]]="","",IF(Reinforcements[[#This Row],[Bolt Hole Size (in)]]="n/a","n/a",Reinforcements[[#This Row],[Bolt Hole Size (in)]]*25.4))</f>
        <v>30.162499999999998</v>
      </c>
      <c r="Y32"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32" s="185">
        <f>IFERROR(IF(Reinforcements[[#This Row],[Reinforcement]]="","",IF(OR(Reinforcements[[#This Row],[Type]]="plate",Reinforcements[[#This Row],[Type]]="solid round"),1,IF(Reinforcements[[#This Row],[Type]]="arbitrary","",1-Reinforcements[[#This Row],[Pole Face to Centroid (in)]]/Reinforcements[[#This Row],[Connection Length (in) '[Channels']]]))),"")</f>
        <v>1</v>
      </c>
      <c r="AA32" s="200" t="s">
        <v>578</v>
      </c>
      <c r="AB32" s="200" t="str">
        <f>IF(Reinforcements[[#This Row],[Reinforcement]]="","",IF(Reinforcements[[#This Row],[Bottom End Connection Type]]&lt;&gt;"Capacity Input","-",""))</f>
        <v>-</v>
      </c>
      <c r="AC32" s="200" t="str">
        <f>IF(Reinforcements[[#This Row],[Reinforcement]]="","",IF(Reinforcements[[#This Row],[Bottom End Connection Type]]&lt;&gt;"Capacity Input","-",""))</f>
        <v>-</v>
      </c>
      <c r="AD32" s="461" t="str">
        <f>IF(Reinforcements[[#This Row],[Reinforcement]]="","",IF(Reinforcements[[#This Row],[Bottom End Connection Type]]&lt;&gt;"Capacity Input","-",""))</f>
        <v>-</v>
      </c>
      <c r="AE32" s="103" t="str">
        <f>IF(Reinforcements[[#This Row],[Reinforcement]]="","",IF(Reinforcements[[#This Row],[Bottom End Connection Type]]="","-",IF(Reinforcements[[#This Row],[Bottom End Connection Type]]&lt;&gt;"Bolted","-","")))</f>
        <v>-</v>
      </c>
      <c r="AF32" s="190" t="str">
        <f>IF(Reinforcements[[#This Row],[Bottom End Connection Type]]="Welded","-","")</f>
        <v>-</v>
      </c>
      <c r="AG32" s="190" t="str">
        <f>IF(Reinforcements[[#This Row],[Bottom End Connection Type]]="Welded","-","")</f>
        <v>-</v>
      </c>
      <c r="AH32" s="190" t="str">
        <f>IF(Reinforcements[[#This Row],[Bottom End Connection Type]]="Welded","-","")</f>
        <v>-</v>
      </c>
      <c r="AI32" s="190" t="str">
        <f>IF(Reinforcements[[#This Row],[Bottom End Connection Type]]="Welded","-","")</f>
        <v>-</v>
      </c>
      <c r="AJ32" s="185" t="e">
        <f>Reinforcements[[#This Row],[End Connection Edge Distance (in) (B)]]-(Reinforcements[[#This Row],[Bolt Hole Size (in)]]+1/16)/2</f>
        <v>#VALUE!</v>
      </c>
      <c r="AK32" s="185" t="e">
        <f>Reinforcements[[#This Row],[End Connection Bolt Spacing (in) (B)]]-(Reinforcements[[#This Row],[Bolt Hole Size (in)]]+1/16)</f>
        <v>#VALUE!</v>
      </c>
      <c r="AL32" s="185" t="str">
        <f>Reinforcements[[#This Row],[End Connection Edge Distance (in) (B)]]</f>
        <v>-</v>
      </c>
      <c r="AM32" s="185" t="str">
        <f>Reinforcements[[#This Row],[End Connection Bolt Spacing (in) (B)]]</f>
        <v>-</v>
      </c>
      <c r="AN32" s="192" t="s">
        <v>295</v>
      </c>
      <c r="AO32" s="192">
        <v>70</v>
      </c>
      <c r="AP32" s="191" t="s">
        <v>577</v>
      </c>
      <c r="AQ32" s="191">
        <v>6.5</v>
      </c>
      <c r="AR32" s="190">
        <v>1.25</v>
      </c>
      <c r="AS32" s="190">
        <v>45</v>
      </c>
      <c r="AT32" s="191">
        <v>0.5</v>
      </c>
      <c r="AU32"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2" s="191" t="s">
        <v>528</v>
      </c>
      <c r="AW32" s="191" t="str">
        <f>IF(Reinforcements[[#This Row],[Reinforcement]]="","",IF(OR(Reinforcements[[#This Row],[Bottom End Connection Type]]&lt;&gt;"Welded",Reinforcements[[#This Row],[Bottom Longitudinal (Vertical) Weld]]="None",Reinforcements[[#This Row],[Bottom Longitudinal (Vertical) Weld]]=""),"-",""))</f>
        <v>-</v>
      </c>
      <c r="AX32" s="191" t="str">
        <f>IF(Reinforcements[[#This Row],[Reinforcement]]="","",IF(OR(Reinforcements[[#This Row],[Bottom End Connection Type]]&lt;&gt;"Welded",Reinforcements[[#This Row],[Bottom Longitudinal (Vertical) Weld]]="None",Reinforcements[[#This Row],[Bottom Longitudinal (Vertical) Weld]]=""),"-",""))</f>
        <v>-</v>
      </c>
      <c r="AY32" s="190" t="str">
        <f>IF(Reinforcements[[#This Row],[Reinforcement]]="","",IF(OR(Reinforcements[[#This Row],[Bottom End Connection Type]]&lt;&gt;"Welded",Reinforcements[[#This Row],[Bottom Longitudinal (Vertical) Weld]]="None"),"-",SQRT(2)/2*Reinforcements[[#This Row],[Bottom Longitudinal Weld Fillet Size (in)]]))</f>
        <v>-</v>
      </c>
      <c r="AZ32" s="191" t="s">
        <v>297</v>
      </c>
      <c r="BA32" s="200" t="s">
        <v>391</v>
      </c>
      <c r="BB32" s="200" t="str">
        <f>IF(Reinforcements[[#This Row],[Reinforcement]]="","",IF(Reinforcements[[#This Row],[Top End Connection Same?]]="Yes",Reinforcements[[#This Row],[Rev. F Bottom Connection Capacity (kips)]],IF(Reinforcements[[#This Row],[Reinforcement]]="","",IF(Reinforcements[[#This Row],[Top End Connection Type]]&lt;&gt;"Capacity Input","-",""))))</f>
        <v>-</v>
      </c>
      <c r="BC32" s="200" t="str">
        <f>IF(Reinforcements[[#This Row],[Reinforcement]]="","",IF(Reinforcements[[#This Row],[Top End Connection Same?]]="Yes",Reinforcements[[#This Row],[Rev. G Bottom Connection Capacity (kips)]],IF(Reinforcements[[#This Row],[Reinforcement]]="","",IF(Reinforcements[[#This Row],[Top End Connection Type]]&lt;&gt;"Capacity Input","-",""))))</f>
        <v>-</v>
      </c>
      <c r="BD32" s="461" t="str">
        <f>IF(Reinforcements[[#This Row],[Reinforcement]]="","",IF(Reinforcements[[#This Row],[Top End Connection Same?]]="Yes",Reinforcements[[#This Row],[Rev. G Bottom Connection Capacity (kips)]],IF(Reinforcements[[#This Row],[Reinforcement]]="","",IF(Reinforcements[[#This Row],[Top End Connection Type]]&lt;&gt;"Capacity Input","-",""))))</f>
        <v>-</v>
      </c>
      <c r="BE32" s="207" t="s">
        <v>416</v>
      </c>
      <c r="BF32" s="191" t="s">
        <v>296</v>
      </c>
      <c r="BG32" s="190">
        <v>14</v>
      </c>
      <c r="BH32" s="190">
        <v>3</v>
      </c>
      <c r="BI32" s="190">
        <v>3</v>
      </c>
      <c r="BJ32" s="190">
        <f>Reinforcements[[#This Row],[End Connection Edge Distance (in) (T)]]-(Reinforcements[[#This Row],[Bolt Hole Size (in)]]+1/16)/2</f>
        <v>2.375</v>
      </c>
      <c r="BK32" s="190">
        <f>Reinforcements[[#This Row],[End Connection Bolt Spacing (in) (T)]]-(Reinforcements[[#This Row],[Bolt Hole Size (in)]]+1/16)</f>
        <v>1.75</v>
      </c>
      <c r="BL32" s="237">
        <f>Reinforcements[[#This Row],[End Connection Edge Distance (in) (T)]]</f>
        <v>3</v>
      </c>
      <c r="BM32" s="237">
        <f>Reinforcements[[#This Row],[End Connection Bolt Spacing (in) (T)]]</f>
        <v>3</v>
      </c>
      <c r="BN32" s="237" t="str">
        <f>IF(Reinforcements[[#This Row],[Reinforcement]]="","",IF(Reinforcements[[#This Row],[Top End Connection Same?]]="Yes",Reinforcements[[#This Row],[Bottom Connected to Flange/Base Plate?]],IF(Reinforcements[[#This Row],[Top End Connection Type]]="Bolted","-","")))</f>
        <v>-</v>
      </c>
      <c r="BO32" s="237" t="str">
        <f>IF(Reinforcements[[#This Row],[Reinforcement]]="","",IF(Reinforcements[[#This Row],[Top End Connection Same?]]="Yes",Reinforcements[[#This Row],[Bottom Weld Grade (ksi)]],IF(OR(Reinforcements[[#This Row],[Top End Connection Type]]&lt;&gt;"Welded",Reinforcements[[#This Row],[Top End Connection Type]]=""),"-","")))</f>
        <v>-</v>
      </c>
      <c r="BP32" s="237" t="str">
        <f>IF($AZ32="Yes",AP32,IF(Reinforcements[[#This Row],[Reinforcement]]="","",IF(OR(Reinforcements[[#This Row],[Top End Connection Type]]&lt;&gt;"Welded",Reinforcements[[#This Row],[Top End Connection Type]]=""),"-","")))</f>
        <v>-</v>
      </c>
      <c r="BQ32" s="237" t="str">
        <f>IF(Reinforcements[[#This Row],[Reinforcement]]="","",IF($AZ32="Yes",AQ32,IF(OR(Reinforcements[[#This Row],[Top End Connection Type]]&lt;&gt;"Welded",Reinforcements[[#This Row],[Top Transverse (Horizontal) Weld]]="none",Reinforcements[[#This Row],[Top Transverse (Horizontal) Weld]]=""),"-","")))</f>
        <v>-</v>
      </c>
      <c r="BR32" s="237" t="str">
        <f>IF($AZ32="Yes",AR32,IF(Reinforcements[[#This Row],[Reinforcement]]="","",IF(OR(Reinforcements[[#This Row],[Top Transverse (Horizontal) Weld]]="none",Reinforcements[[#This Row],[Top End Connection Type]]&lt;&gt;"Welded",Reinforcements[[#This Row],[Top Transverse (Horizontal) Weld]]="",Reinforcements[[#This Row],[Top Transverse (Horizontal) Weld]]="Fillet"),"-","")))</f>
        <v>-</v>
      </c>
      <c r="BS32" s="237" t="str">
        <f>IF($AZ32="Yes",AS32,IF(Reinforcements[[#This Row],[Reinforcement]]="","",IF(OR(Reinforcements[[#This Row],[Top Transverse (Horizontal) Weld]]="none",Reinforcements[[#This Row],[Top End Connection Type]]&lt;&gt;"Welded",Reinforcements[[#This Row],[Top Transverse (Horizontal) Weld]]="",Reinforcements[[#This Row],[Top Transverse (Horizontal) Weld]]="Fillet"),"-","")))</f>
        <v>-</v>
      </c>
      <c r="BT32" s="237" t="str">
        <f>IF(Reinforcements[[#This Row],[Reinforcement]]="","",IF($AZ32="Yes",AT32,IF(OR(Reinforcements[[#This Row],[Top Transverse (Horizontal) Weld]]="none",Reinforcements[[#This Row],[Top End Connection Type]]&lt;&gt;"Welded",Reinforcements[[#This Row],[Top Transverse (Horizontal) Weld]]=""),"-","")))</f>
        <v>-</v>
      </c>
      <c r="BU32" s="237" t="str">
        <f>IF($AZ32="Yes",AU32,IF(Reinforcements[[#This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2" s="237" t="str">
        <f>IF($AZ32="Yes",AV32,IF(Reinforcements[[#This Row],[Reinforcement]]="","",IF(OR(Reinforcements[[#This Row],[Top End Connection Type]]&lt;&gt;"Welded",Reinforcements[[#This Row],[Top End Connection Type]]=""),"-","")))</f>
        <v>-</v>
      </c>
      <c r="BW32" s="237" t="str">
        <f>IF($AZ32="Yes",AW32,IF(Reinforcements[[#This Row],[Reinforcement]]="","",IF(OR(Reinforcements[[#This Row],[Top End Connection Type]]&lt;&gt;"Welded",Reinforcements[[#This Row],[Top End Connection Type]]="",Reinforcements[[#This Row],[Top Longitudinal (Vertical) Weld]]="",Reinforcements[[#This Row],[Top Longitudinal (Vertical) Weld]]="None"),"-","")))</f>
        <v>-</v>
      </c>
      <c r="BX32" s="237" t="str">
        <f>IF($AZ32="Yes",AX32,IF(Reinforcements[[#This Row],[Reinforcement]]="","",IF(OR(Reinforcements[[#This Row],[Top End Connection Type]]&lt;&gt;"Welded",Reinforcements[[#This Row],[Top End Connection Type]]="",Reinforcements[[#This Row],[Top Longitudinal (Vertical) Weld]]="",Reinforcements[[#This Row],[Top Longitudinal (Vertical) Weld]]="None"),"-","")))</f>
        <v>-</v>
      </c>
      <c r="BY32" s="236" t="str">
        <f>IF($AZ32="Yes",AY32,IF(Reinforcements[[#This Row],[Reinforcement]]="","",IF(OR(Reinforcements[[#This Row],[Top End Connection Type]]&lt;&gt;"Welded",Reinforcements[[#This Row],[Top Longitudinal (Vertical) Weld]]="none"),"-",SQRT(2)/2*Reinforcements[[#This Row],[Top Longitudinal Weld Fillet Size (in)]])))</f>
        <v>-</v>
      </c>
      <c r="BZ32"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2" s="238"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2" s="238">
        <f>IF(Reinforcements[[#This Row],[Reinforcement]]="","",IF(Reinforcements[[#This Row],[Top End Connection Type]]&lt;&gt;"Bolted","n/a",(Reinforcements[[#This Row],['# of End Connection Bolts          (Top)]]-1)*Reinforcements[[#This Row],[End Connection Bolt Spacing (in) (T)]]+Reinforcements[[#This Row],[End Connection Edge Distance (in) (T)]]))</f>
        <v>42</v>
      </c>
      <c r="CC32"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32"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2" s="236">
        <f>IFERROR(IF(Reinforcements[[#This Row],[Type]]="","",Reinforcements[[#This Row],[Effective B (in)]]*Reinforcements[[#This Row],[Effective H (in)]]^3/12),"")</f>
        <v>1.0579427083333333</v>
      </c>
      <c r="CF32" s="236">
        <f>IFERROR(IF(Reinforcements[[#This Row],[Type]]="","",Reinforcements[[#This Row],[Effective B (in)]]^3*Reinforcements[[#This Row],[Effective H (in)]]/12),"")</f>
        <v>28.606770833333332</v>
      </c>
      <c r="CG32" s="235">
        <f>SQRT(2*PI()^2*29000/VLOOKUP(Reinforcements[[#This Row],[Material]],Materials[],2,FALSE))</f>
        <v>93.844147005158973</v>
      </c>
      <c r="CH32"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32.051484618003961</v>
      </c>
      <c r="CI32"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37.857448581601105</v>
      </c>
      <c r="CJ32" s="239">
        <f>Reinforcements[[#This Row],[Effective Length Factor Kx]]*Reinforcements[[#This Row],[Lu (in)]]/(Reinforcements[[#This Row],[rx]]*PI())*SQRT(VLOOKUP(Reinforcements[[#This Row],[Material]],Materials[],2,FALSE)/29000)</f>
        <v>0.63479281815212207</v>
      </c>
      <c r="CK32" s="239">
        <f>Reinforcements[[#This Row],[Effective Length Factor Ky]]*Reinforcements[[#This Row],[Lu (in)]]/(Reinforcements[[#This Row],[ry]]*PI())*SQRT(VLOOKUP(Reinforcements[[#This Row],[Material]],Materials[],2,FALSE)/29000)</f>
        <v>0.15259442744041396</v>
      </c>
      <c r="CL32" s="239">
        <f>IF(Reinforcements[[#This Row],[λcx]]&lt;=1.5,0.658^(Reinforcements[[#This Row],[λcx]]^2)*Reinforcements[[#This Row],[F''y]],0.877/(Reinforcements[[#This Row],[λcx]]^2)*Reinforcements[[#This Row],[F''y]])</f>
        <v>54.911753637534716</v>
      </c>
      <c r="CM32" s="239">
        <f>IF(Reinforcements[[#This Row],[λcy]]&lt;=1.5,0.658^(Reinforcements[[#This Row],[λcy]]^2)*Reinforcements[[#This Row],[F''y]],0.877/(Reinforcements[[#This Row],[λcy]]^2)*Reinforcements[[#This Row],[F''y]])</f>
        <v>64.369588945551428</v>
      </c>
      <c r="CN32" s="236">
        <f>VLOOKUP(Reinforcements[[#This Row],[Material]],Materials[],2,FALSE)</f>
        <v>65</v>
      </c>
      <c r="CO32" s="235">
        <f>IF(Reinforcements[[#This Row],[Reinforcement]]="","",Reinforcements[[#This Row],[Fax]]*Reinforcements[[#This Row],[Gross Area (in2)]])</f>
        <v>260.41831252128219</v>
      </c>
      <c r="CP32" s="235">
        <f>IF(Reinforcements[[#This Row],[Reinforcement]]="","",Reinforcements[[#This Row],[Fay]]*Reinforcements[[#This Row],[Gross Area (in2)]])</f>
        <v>307.59176972550898</v>
      </c>
      <c r="CQ32" s="235">
        <f>IF(Reinforcements[[#This Row],[Reinforcement]]="","",0.6*VLOOKUP(Reinforcements[[#This Row],[Material]],Materials[],2,FALSE)*Reinforcements[[#This Row],[Gross Area (in2)]])</f>
        <v>316.875</v>
      </c>
      <c r="CR32" s="235">
        <f>IF(Reinforcements[[#This Row],[Reinforcement]]="","",0.5*VLOOKUP(Reinforcements[[#This Row],[Material]],Materials[],3,FALSE)*Reinforcements[[#This Row],[Net Area (in2)]]*Reinforcements[[#This Row],[Shear Lag (U)]])</f>
        <v>262.5</v>
      </c>
      <c r="CS32" s="235">
        <f>IF(Reinforcements[[#This Row],[Reinforcement]]="","",0.4*VLOOKUP(Reinforcements[[#This Row],[Material]],Materials[],2,FALSE)*Reinforcements[[#This Row],[Gross Area (in2)]])</f>
        <v>211.25</v>
      </c>
      <c r="CT32" s="235"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2"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32" s="235"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2" s="235"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2"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32"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32" s="240"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2" s="235"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2"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1918.1102362204724</v>
      </c>
      <c r="DC32"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2121.2598425196852</v>
      </c>
      <c r="DD32"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2" s="23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2" s="236" t="str">
        <f>IF($AZ32="Yes",DD32,IF(Reinforcements[[#This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2" s="236" t="str">
        <f>IF($AZ32="Yes",DE32,IF(Reinforcements[[#This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2" s="235">
        <f>IF(Reinforcements[[#This Row],[Reinforcement]]="","",φ_c*Reinforcements[[#This Row],[Fcr,x]]*Reinforcements[[#This Row],[Gross Area (in2)]])</f>
        <v>401.54219847447263</v>
      </c>
      <c r="DI32" s="235">
        <f>IF(Reinforcements[[#This Row],[Reinforcement]]="","",φ_c*Reinforcements[[#This Row],[Fcr,y]]*Reinforcements[[#This Row],[Gross Area (in2)]])</f>
        <v>470.70261916434481</v>
      </c>
      <c r="DJ32" s="235">
        <f>IF(Reinforcements[[#This Row],[Reinforcement]]="","",φ_t_y*VLOOKUP(Reinforcements[[#This Row],[Material]],Materials[],2,FALSE)*Reinforcements[[#This Row],[Gross Area (in2)]])</f>
        <v>475.3125</v>
      </c>
      <c r="DK32" s="235">
        <f>IF(Reinforcements[[#This Row],[Reinforcement]]="","",φ_t_r*VLOOKUP(Reinforcements[[#This Row],[Material]],Materials[],3,FALSE)*Reinforcements[[#This Row],[Net Area (in2)]]*Reinforcements[[#This Row],[Shear Lag (U)]])</f>
        <v>393.75</v>
      </c>
      <c r="DL32" s="235">
        <f>IF(Reinforcements[[#This Row],[Reinforcement]]="","",φ_v*0.5*Reinforcements[[#This Row],[F''y]]*Reinforcements[[#This Row],[Gross Area (in2)]])</f>
        <v>237.65625</v>
      </c>
      <c r="DM32" s="235"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2"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32" s="235"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2" s="235"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2"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32"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32"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2"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2"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2759.4330708661419</v>
      </c>
      <c r="DV32"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3449.2913385826778</v>
      </c>
      <c r="DW32" s="23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2" s="23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2" s="236" t="str">
        <f>IF($AZ32="Yes",DW32,IF(Reinforcements[[#This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2" s="236" t="str">
        <f>IF($AZ32="Yes",DX32,IF(Reinforcements[[#This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2" s="238" t="str">
        <f>IF(OR(Reinforcements[[#This Row],[Type]]="plate",Reinforcements[[#This Row],[Type]]="solid round"),"N/A",Reinforcements[[#This Row],[B (in)]])</f>
        <v>N/A</v>
      </c>
      <c r="EB32" s="236" t="str">
        <f>IF(OR(Reinforcements[[#This Row],[Type]]="plate",Reinforcements[[#This Row],[Type]]="solid round"),"N/A",Reinforcements[[#This Row],[H (in)]])</f>
        <v>N/A</v>
      </c>
      <c r="EC32" s="236" t="str">
        <f>IF(OR(Reinforcements[[#This Row],[Type]]="plate",Reinforcements[[#This Row],[Type]]="solid round"),"N/A",Reinforcements[[#This Row],[B (in)]]-Reinforcements[[#This Row],['[Channel'] Flange Thickness (in)]])</f>
        <v>N/A</v>
      </c>
      <c r="ED32" s="236" t="str">
        <f>IF(OR(Reinforcements[[#This Row],[Type]]="plate",Reinforcements[[#This Row],[Type]]="solid round"),"N/A",Reinforcements[[#This Row],['[Channel']Web Thickness (in)]])</f>
        <v>N/A</v>
      </c>
      <c r="EE32" s="236" t="str">
        <f>IF(OR(Reinforcements[[#This Row],[Type]]="plate",Reinforcements[[#This Row],[Type]]="solid round"),"N/A",Reinforcements[[#This Row],['[Channel'] Flange Thickness (in)]])</f>
        <v>N/A</v>
      </c>
      <c r="EF32" s="236" t="str">
        <f>IF(Reinforcements[[#This Row],[Type]]="channel",Reinforcements[[#This Row],[Channel Flange Width, b]]/Reinforcements[[#This Row],[Channel flange thickness, tf]],"N/A")</f>
        <v>N/A</v>
      </c>
      <c r="EG32" s="236" t="str">
        <f>IF(Reinforcements[[#This Row],[Type]]="channel",Reinforcements[[#This Row],[Channel inside depth, T]]/Reinforcements[[#This Row],[Channel web thickness, tw]],"N/A")</f>
        <v>N/A</v>
      </c>
      <c r="EH32" s="237">
        <v>29000</v>
      </c>
      <c r="EI32" s="236" t="str">
        <f>IF(Reinforcements[[#This Row],[Type]]="channel",0.56*SQRT(Reinforcements[[#This Row],[E, (ksi)]]/Reinforcements[[#This Row],[Fy, (ksi)]]),"N/A")</f>
        <v>N/A</v>
      </c>
      <c r="EJ32" s="236" t="str">
        <f>IF(Reinforcements[[#This Row],[Type]]="channel",1.49*SQRT(Reinforcements[[#This Row],[E, (ksi)]]/Reinforcements[[#This Row],[Fy, (ksi)]]),"N/A")</f>
        <v>N/A</v>
      </c>
      <c r="EK32" s="236">
        <f>VLOOKUP(Reinforcements[[#This Row],[Material]],Materials!$B$2:$C$30,2,FALSE)</f>
        <v>65</v>
      </c>
      <c r="EL32" s="236">
        <f>Reinforcements[[#This Row],[Lu (in)]]*Reinforcements[[#This Row],[Effective Length Factor Kx]]</f>
        <v>15.200000000000001</v>
      </c>
      <c r="EM32" s="236">
        <f>Reinforcements[[#This Row],[Lu (in)]]*Reinforcements[[#This Row],[Effective Length Factor Ky]]</f>
        <v>19</v>
      </c>
      <c r="EN32" s="236">
        <f>Reinforcements[[#This Row],[rx]]</f>
        <v>0.36084391824351608</v>
      </c>
      <c r="EO32" s="236">
        <f>Reinforcements[[#This Row],[ry]]</f>
        <v>1.8763883748662837</v>
      </c>
      <c r="EP32" s="236">
        <f>Reinforcements[[#This Row],[Lcx (in)]]/Reinforcements[[#This Row],[rx (in)]]</f>
        <v>42.1234756400751</v>
      </c>
      <c r="EQ32" s="236">
        <f>Reinforcements[[#This Row],[Lcy (in)]]/Reinforcements[[#This Row],[ry (in)]]</f>
        <v>10.125835490402666</v>
      </c>
      <c r="ER32" s="236">
        <f>((PI()^2)*Reinforcements[[#This Row],[E, (ksi)]])/(Reinforcements[[#This Row],[Lcx/rx]]^2)</f>
        <v>161.30556376398079</v>
      </c>
      <c r="ES32" s="236">
        <f>((PI()^2)*Reinforcements[[#This Row],[E, (ksi)]])/(Reinforcements[[#This Row],[Lcy/ry]]^2)</f>
        <v>2791.4895642739466</v>
      </c>
      <c r="ET32" s="236">
        <f>4.71*(SQRT(Reinforcements[[#This Row],[E, (ksi)]]/Reinforcements[[#This Row],[Fy, (ksi)]]))</f>
        <v>99.486288193205496</v>
      </c>
      <c r="EU32" s="236">
        <f>IF(Reinforcements[[#This Row],[Lcx/rx]]&lt;=Reinforcements[[#This Row],[Fcr Limit]],(0.658^(Reinforcements[[#This Row],[Fy, (ksi)]]/Reinforcements[[#This Row],[Fex, FB (ksi)]]))*Reinforcements[[#This Row],[Fy, (ksi)]],0.877*Reinforcements[[#This Row],[Fex, FB (ksi)]])</f>
        <v>54.911753637534716</v>
      </c>
      <c r="EV32" s="236">
        <f>IF(Reinforcements[[#This Row],[Lcy/ry]]&lt;=Reinforcements[[#This Row],[Fcr Limit]],(0.658^(Reinforcements[[#This Row],[Fy, (ksi)]]/Reinforcements[[#This Row],[Fey, FB (ksi)]]))*Reinforcements[[#This Row],[Fy, (ksi)]],0.877*Reinforcements[[#This Row],[Fey, FB (ksi)]])</f>
        <v>64.369588945551428</v>
      </c>
      <c r="EW32" s="236">
        <f>Reinforcements[[#This Row],[Fcrx (ksi)]]*Reinforcements[[#This Row],[Gross Area (in2)]]</f>
        <v>446.15799830496957</v>
      </c>
      <c r="EX32" s="236">
        <f>Reinforcements[[#This Row],[Fcry (ksi)]]*Reinforcements[[#This Row],[Gross Area (in2)]]</f>
        <v>523.00291018260532</v>
      </c>
      <c r="EY32" s="236" t="str">
        <f>IF(Reinforcements[[#This Row],[Type]]="channel",0,"N/A")</f>
        <v>N/A</v>
      </c>
      <c r="EZ32" s="236" t="str">
        <f>IF(Reinforcements[[#This Row],[Type]]="channel",Reinforcements[[#This Row],[Channel Flange Width, b]]-(0.5*Reinforcements[[#This Row],[Channel web thickness, tw]]),"N/A")</f>
        <v>N/A</v>
      </c>
      <c r="FA32" s="236" t="str">
        <f>IF(Reinforcements[[#This Row],[Type]]="channel",Reinforcements[[#This Row],[Channel Height, h]]-Reinforcements[[#This Row],[Channel flange thickness, tf]],"N/A")</f>
        <v>N/A</v>
      </c>
      <c r="FB32" s="236" t="str">
        <f>IF(Reinforcements[[#This Row],[Type]]="channel",Reinforcements[[#This Row],[Channel web thickness, tw]],"N/A")</f>
        <v>N/A</v>
      </c>
      <c r="FC32" s="236" t="str">
        <f>IF(Reinforcements[[#This Row],[Type]]="channel",((3*Reinforcements[[#This Row],[b]]^2)/(Reinforcements[[#This Row],[h]]+(6*Reinforcements[[#This Row],[b]])))-Reinforcements[[#This Row],[t]]/2,"N/A")</f>
        <v>N/A</v>
      </c>
      <c r="FD32" s="236">
        <f>Reinforcements[[#This Row],[Pole Face to Centroid (in)]]</f>
        <v>0.625</v>
      </c>
      <c r="FE32" s="236" t="str">
        <f>IF(Reinforcements[[#This Row],[Type]]="channel",Reinforcements[[#This Row],[x(bar)]]+Reinforcements[[#This Row],['[Channel'] e0 (in)]],"N/A")</f>
        <v>N/A</v>
      </c>
      <c r="FF32" s="236" t="str">
        <f>IF(Reinforcements[[#This Row],[Type]]="channel",Reinforcements[[#This Row],[Ix]],"N/A")</f>
        <v>N/A</v>
      </c>
      <c r="FG32" s="236" t="str">
        <f>IF(Reinforcements[[#This Row],[Type]]="channel",Reinforcements[[#This Row],[Iy]],"N/A")</f>
        <v>N/A</v>
      </c>
      <c r="FH32" s="236" t="str">
        <f>IF(Reinforcements[[#This Row],[Type]]="channel",Reinforcements[[#This Row],[Gross Area (in2)]],"N/A")</f>
        <v>N/A</v>
      </c>
      <c r="FI32" s="236" t="str">
        <f>IF(Reinforcements[[#This Row],[Type]]="channel",(Reinforcements[[#This Row],[xo]]^2)+((Reinforcements[[#This Row],[Ix (FTB)]]+Reinforcements[[#This Row],[Iy (FTB)]])/Reinforcements[[#This Row],[Ag]]),"N/A")</f>
        <v>N/A</v>
      </c>
      <c r="FJ32" s="236" t="str">
        <f>IF(Reinforcements[[#This Row],[Type]]="channel",Reinforcements[[#This Row],[Lu (in)]],"N/A")</f>
        <v>N/A</v>
      </c>
      <c r="FK32" s="236" t="str">
        <f>IF(Reinforcements[[#This Row],[Type]]="channel",Reinforcements[[#This Row],[Effective Length Factor Kx]],"N/A")</f>
        <v>N/A</v>
      </c>
      <c r="FL32" s="236" t="str">
        <f>IF(Reinforcements[[#This Row],[Type]]="channel",Reinforcements[[#This Row],[Kz]]*Reinforcements[[#This Row],[Lz]],"N/A")</f>
        <v>N/A</v>
      </c>
      <c r="FM32" s="236" t="str">
        <f>IF(Reinforcements[[#This Row],[Type]]="channel",(((Reinforcements[[#This Row],[t]]^3)/3)*(Reinforcements[[#This Row],[h]]+(2*Reinforcements[[#This Row],[b]]))),"N/A")</f>
        <v>N/A</v>
      </c>
      <c r="FN32" s="236" t="str">
        <f>IF(Reinforcements[[#This Row],[Type]]="channel",(1-(((Reinforcements[[#This Row],[xo]]^2)+(Reinforcements[[#This Row],[yo]]^2))/Reinforcements[[#This Row],[ro^2(bar)]])),"N/A")</f>
        <v>N/A</v>
      </c>
      <c r="FO32" s="237">
        <v>11200</v>
      </c>
      <c r="FP32" s="236" t="str">
        <f>IF(Reinforcements[[#This Row],[Type]]="channel",(((Reinforcements[[#This Row],[h]]^2)*(Reinforcements[[#This Row],[b]]^3)*Reinforcements[[#This Row],[t]])/12)*(((2*Reinforcements[[#This Row],[h]])+(3*Reinforcements[[#This Row],[b]]))/(Reinforcements[[#This Row],[h]]+(6*Reinforcements[[#This Row],[b]]))),"N/A")</f>
        <v>N/A</v>
      </c>
      <c r="FQ32" s="236" t="str">
        <f>IF(Reinforcements[[#This Row],[Type]]="Channel",((((PI()^2)*Reinforcements[[#This Row],[E, (ksi)]]*Reinforcements[[#This Row],['[Channel'] CW (in6)]])/(Reinforcements[[#This Row],[Lcz]]^2))+(Reinforcements[[#This Row],[G]]*Reinforcements[[#This Row],['[Channel'] J (in4)]]))*(1/(Reinforcements[[#This Row],[Ag]]*Reinforcements[[#This Row],[ro^2(bar)]])),"N/A")</f>
        <v>N/A</v>
      </c>
      <c r="FR32" s="236" t="str">
        <f>IF(Reinforcements[[#This Row],[Type]]="channel",((PI()^2)*Reinforcements[[#This Row],[E, (ksi)]])/(Reinforcements[[#This Row],[Lcy/ry]]^2),"N/A")</f>
        <v>N/A</v>
      </c>
      <c r="FS32" s="236" t="str">
        <f>IF(Reinforcements[[#This Row],[Type]]="channel",((Reinforcements[[#This Row],[Fey]]+Reinforcements[[#This Row],[Fez]])/(2*Reinforcements[[#This Row],[H2]]))*(1-SQRT(1-((4*Reinforcements[[#This Row],[Fey]]*Reinforcements[[#This Row],[Fez]]*Reinforcements[[#This Row],[H2]])/(Reinforcements[[#This Row],[Fey]]+Reinforcements[[#This Row],[Fez]])^2))),"N/A")</f>
        <v>N/A</v>
      </c>
      <c r="FT32" s="236" t="str">
        <f>IF(Reinforcements[[#This Row],[Type]]="channel",IF(Reinforcements[[#This Row],[Lcx/rx]]&gt;(4.71*SQRT(Reinforcements[[#This Row],[E, (ksi)]]/Reinforcements[[#This Row],[Fy, (ksi)]])),0.877*Reinforcements[[#This Row],[Fe (FTB)]],0.658^(Reinforcements[[#This Row],[Fy, (ksi)]]/Reinforcements[[#This Row],[Fe (FTB)]])*Reinforcements[[#This Row],[Fy, (ksi)]]),"N/A")</f>
        <v>N/A</v>
      </c>
      <c r="FU32" s="236" t="str">
        <f>IF(Reinforcements[[#This Row],[Type]]="channel",MIN(Reinforcements[[#This Row],[Fcr(FTB)]],Reinforcements[[#This Row],[Fcry (ksi)]]),"N/A")</f>
        <v>N/A</v>
      </c>
      <c r="FV32" s="237">
        <v>0.22</v>
      </c>
      <c r="FW32" s="237">
        <v>1.49</v>
      </c>
      <c r="FX32" s="236" t="str">
        <f>IF(Reinforcements[[#This Row],[Type]]="channel",((Reinforcements[[#This Row],[c2]]*(Reinforcements[[#This Row],[λrf]]/Reinforcements[[#This Row],[λf]]))^2)*Reinforcements[[#This Row],[Fy, (ksi)]],"N/A")</f>
        <v>N/A</v>
      </c>
      <c r="FY32" s="236" t="str">
        <f>IF(Reinforcements[[#This Row],[Type]]="channel",((Reinforcements[[#This Row],[c2]]*(Reinforcements[[#This Row],[λrw]]/Reinforcements[[#This Row],[λw]]))^2)*Reinforcements[[#This Row],[Fy, (ksi)]],"N/A")</f>
        <v>N/A</v>
      </c>
      <c r="FZ32"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2"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2"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2" s="236" t="str">
        <f>IF(Reinforcements[[#This Row],[Type]]="channel",Reinforcements[[#This Row],[Fcr]]*Reinforcements[[#This Row],[Ae]],"N/A")</f>
        <v>N/A</v>
      </c>
      <c r="GD32" s="466">
        <f>IF(Reinforcements[[#This Row],[Reinforcement]]="","",φ_c*Reinforcements[[#This Row],[Pnx, FB (kip)]])</f>
        <v>401.54219847447263</v>
      </c>
      <c r="GE32" s="466">
        <f>IF(Reinforcements[[#This Row],[Reinforcement]]="","",IF(Reinforcements[[#This Row],[Type]]="channel",φ_c*Reinforcements[[#This Row],[Pn]],φ_c*Reinforcements[[#This Row],[Pny, FB (kip)]]))</f>
        <v>470.70261916434481</v>
      </c>
      <c r="GF32" s="466">
        <f>Reinforcements[[#This Row],[Rev. G Tension Yield Capacity (kips)]]</f>
        <v>475.3125</v>
      </c>
      <c r="GG32" s="466">
        <f>Reinforcements[[#This Row],[Rev. G Tension Rupture Capacity (kips)]]</f>
        <v>393.75</v>
      </c>
      <c r="GH32" s="466">
        <f>Reinforcements[[#This Row],[Rev. G Shear Capacity (kips)]]</f>
        <v>237.65625</v>
      </c>
      <c r="GI32" s="466" t="str">
        <f>IFERROR((Reinforcements[[#This Row],['# of End Connection Bolts          (Bottom)]]-1)*Reinforcements[[#This Row],[End Connection Bolt Spacing (in) (B)]],"-")</f>
        <v>-</v>
      </c>
      <c r="GJ32" s="466">
        <f>IFERROR(IF(VLOOKUP(Reinforcements[[#This Row],[Bottom End Connection Bolt Type]],Bolts[],COLUMN(Bolts[[#Headers],[Rev. H Apply Connection Length Reduction Factor (Rb)?]])-1,FALSE)="Yes",(IF(Reinforcements[[#This Row],[Lb(bottom)]]&lt;=16,1,IF(Reinforcements[[#This Row],[Lb(bottom)]]&gt;38,0.75,0.9))),1),"-")</f>
        <v>1</v>
      </c>
      <c r="GK32"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2" s="466">
        <f>IFERROR(IF(Reinforcements[[#This Row],[Top End Connection Same?]]="Yes",Reinforcements[[#This Row],[Lb(bottom)]],(Reinforcements[[#This Row],['# of End Connection Bolts          (Top)]]-1)*Reinforcements[[#This Row],[End Connection Bolt Spacing (in) (T)]]),"-")</f>
        <v>39</v>
      </c>
      <c r="GM32" s="466">
        <f>IFERROR(IF(VLOOKUP(Reinforcements[[#This Row],[Top End Connection Bolt Type]],Bolts[],COLUMN(Bolts[[#Headers],[Rev. H Apply Connection Length Reduction Factor (Rb)?]])-1,FALSE)="Yes",(IF(Reinforcements[[#This Row],[Lb(top)]]&lt;=16,1,IF(Reinforcements[[#This Row],[Lb(top)]]&gt;38,0.75,0.9))),1),"-")</f>
        <v>1</v>
      </c>
      <c r="GN32"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649.59497359145109</v>
      </c>
      <c r="GO32" s="466" t="str">
        <f>Reinforcements[[#This Row],[Rev. G Bolt-Shaft Bearing Capacity (Bottom)                No Deformation          (*t*Fu kips)]]</f>
        <v>-</v>
      </c>
      <c r="GP32" s="466" t="str">
        <f>Reinforcements[[#This Row],[Rev. G Bolt-Shaft Bearing Capacity (Bottom)                   Deformation          (*t*Fu kips)]]</f>
        <v>-</v>
      </c>
      <c r="GQ32" s="466">
        <f>Reinforcements[[#This Row],[Rev. G Bolt-Shaft Bearing Capacity (Top)                    No Deformation          (*t*Fu kips)]]</f>
        <v>27.59433070866142</v>
      </c>
      <c r="GR32" s="466">
        <f>Reinforcements[[#This Row],[Rev. G Bolt-Shaft Bearing Capacity (Top)                        Deformation          (*t*Fu kips)]]</f>
        <v>34.492913385826775</v>
      </c>
      <c r="GS32" s="466" t="str">
        <f>Reinforcements[[#This Row],[Rev. G Bolt-Reinf. Bearing Capacity (Bottom)            No Deformation (kips)]]</f>
        <v>-</v>
      </c>
      <c r="GT32" s="466" t="str">
        <f>Reinforcements[[#This Row],[Rev. G Bolt-Reinf. Bearing Capacity (Bottom)               Deformation (kips)]]</f>
        <v>-</v>
      </c>
      <c r="GU32" s="466">
        <f>Reinforcements[[#This Row],[Rev. G Bolt-Reinf. Bearing Capacity (Top)                  No Deformation (kips)]]</f>
        <v>2759.4330708661419</v>
      </c>
      <c r="GV32" s="466">
        <f>Reinforcements[[#This Row],[Rev. G Bolt-Reinf. Bearing Capacity (Top)               Deformation (kips)]]</f>
        <v>3449.2913385826778</v>
      </c>
      <c r="GW32" s="466" t="str">
        <f>Reinforcements[[#This Row],[Rev. G Bottom Transverse Weld Strength]]</f>
        <v>-</v>
      </c>
      <c r="GX32" s="466" t="str">
        <f>Reinforcements[[#This Row],[Rev. G Bottom Longitudinal Weld Strength]]</f>
        <v>-</v>
      </c>
      <c r="GY32" s="466" t="str">
        <f>Reinforcements[[#This Row],[Rev. G Top Transverse Weld Strength]]</f>
        <v>-</v>
      </c>
      <c r="GZ32" s="466" t="str">
        <f>Reinforcements[[#This Row],[Rev. G Top Longitudinal Weld Strength]]</f>
        <v>-</v>
      </c>
      <c r="HA32" s="552">
        <v>30</v>
      </c>
      <c r="HB32"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3" spans="2:210" x14ac:dyDescent="0.2">
      <c r="B33" s="72" t="s">
        <v>592</v>
      </c>
      <c r="C33" s="72" t="s">
        <v>146</v>
      </c>
      <c r="D33" s="185">
        <v>8.5</v>
      </c>
      <c r="E33" s="185">
        <v>1.25</v>
      </c>
      <c r="F33" s="185" t="str">
        <f>IF(Reinforcements[[#This Row],[Type]]="","",IF(Reinforcements[[#This Row],[Type]]="solid round","","n/a"))</f>
        <v>n/a</v>
      </c>
      <c r="G33" s="185" t="str">
        <f>IF(Reinforcements[[#This Row],[Type]]="","",IF(Reinforcements[[#This Row],[Type]]&lt;&gt;"channel","n/a",""))</f>
        <v>n/a</v>
      </c>
      <c r="H33" s="185" t="str">
        <f>IF(Reinforcements[[#This Row],[Type]]="","",IF(Reinforcements[[#This Row],[Type]]&lt;&gt;"channel","n/a",""))</f>
        <v>n/a</v>
      </c>
      <c r="I33" s="197" t="str">
        <f>IF(Reinforcements[[#This Row],[Type]]="","",IF(Reinforcements[[#This Row],[Type]]&lt;&gt;"channel","n/a",Reinforcements[[#This Row],[eo]]))</f>
        <v>n/a</v>
      </c>
      <c r="J33" s="197" t="str">
        <f>IF(Reinforcements[[#This Row],[Type]]="","",IF(Reinforcements[[#This Row],[Type]]&lt;&gt;"channel","n/a",Reinforcements[[#This Row],[J]]))</f>
        <v>n/a</v>
      </c>
      <c r="K33" s="197" t="str">
        <f>IF(Reinforcements[[#This Row],[Type]]="","",IF(Reinforcements[[#This Row],[Type]]&lt;&gt;"channel","n/a",Reinforcements[[#This Row],[Cw]]))</f>
        <v>n/a</v>
      </c>
      <c r="L33" s="185">
        <f>IFERROR(IF(Reinforcements[[#This Row],[Type]]="","",IF(Reinforcements[[#This Row],[Type]]="plate",Reinforcements[[#This Row],[B (in)]]*Reinforcements[[#This Row],[H (in)]],IF(Reinforcements[[#This Row],[Type]]="solid round",PI()/4*Reinforcements[[#This Row],[Diameter (in)]]^2,""))),"")</f>
        <v>10.625</v>
      </c>
      <c r="M33" s="185">
        <f>IFERROR(IF(Reinforcements[[#This Row],[Type]]="","",IF(Reinforcements[[#This Row],[Type]]="plate",Reinforcements[[#This Row],[H (in)]]/2,"")),"")</f>
        <v>0.625</v>
      </c>
      <c r="N33" s="199" t="s">
        <v>297</v>
      </c>
      <c r="O33" s="185" t="s">
        <v>60</v>
      </c>
      <c r="P33" s="187">
        <f>IFERROR(IF(Reinforcements[[#This Row],[Type]]="","",IF(Reinforcements[[#This Row],[Type]]="plate",Reinforcements[[#This Row],[B (in)]]*Reinforcements[[#This Row],[H (in)]]^3/12,IF(Reinforcements[[#This Row],[Type]]="solid round",PI()/64*Reinforcements[[#This Row],[Diameter (in)]]^4,""))),"")</f>
        <v>1.3834635416666667</v>
      </c>
      <c r="Q33" s="187">
        <f>IF(Reinforcements[[#This Row],[Reinforcement]]="","",SQRT(Reinforcements[[#This Row],[Ix]]/Reinforcements[[#This Row],[Gross Area (in2)]]))</f>
        <v>0.36084391824351614</v>
      </c>
      <c r="R33" s="187">
        <f>IFERROR(IF(Reinforcements[[#This Row],[Type]]="","",IF(Reinforcements[[#This Row],[Type]]="plate",Reinforcements[[#This Row],[B (in)]]^3*Reinforcements[[#This Row],[H (in)]]/12,IF(Reinforcements[[#This Row],[Type]]="solid round",PI()/64*Reinforcements[[#This Row],[Diameter (in)]]^4,""))),"")</f>
        <v>63.971354166666664</v>
      </c>
      <c r="S33" s="187">
        <f>IF(Reinforcements[[#This Row],[Reinforcement]]="","",SQRT(Reinforcements[[#This Row],[Iy]]/Reinforcements[[#This Row],[Gross Area (in2)]]))</f>
        <v>2.4537386440559095</v>
      </c>
      <c r="T33" s="190">
        <v>17</v>
      </c>
      <c r="U33" s="188">
        <v>0.8</v>
      </c>
      <c r="V33" s="188">
        <v>1</v>
      </c>
      <c r="W33" s="185">
        <v>1.1875</v>
      </c>
      <c r="X33" s="188">
        <f>IF(Reinforcements[[#This Row],[Bolt Hole Size (in)]]="","",IF(Reinforcements[[#This Row],[Bolt Hole Size (in)]]="n/a","n/a",Reinforcements[[#This Row],[Bolt Hole Size (in)]]*25.4))</f>
        <v>30.162499999999998</v>
      </c>
      <c r="Y33"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33" s="185">
        <f>IFERROR(IF(Reinforcements[[#This Row],[Reinforcement]]="","",IF(OR(Reinforcements[[#This Row],[Type]]="plate",Reinforcements[[#This Row],[Type]]="solid round"),1,IF(Reinforcements[[#This Row],[Type]]="arbitrary","",1-Reinforcements[[#This Row],[Pole Face to Centroid (in)]]/Reinforcements[[#This Row],[Connection Length (in) '[Channels']]]))),"")</f>
        <v>1</v>
      </c>
      <c r="AA33" s="200" t="s">
        <v>578</v>
      </c>
      <c r="AB33" s="200" t="str">
        <f>IF(Reinforcements[[#This Row],[Reinforcement]]="","",IF(Reinforcements[[#This Row],[Bottom End Connection Type]]&lt;&gt;"Capacity Input","-",""))</f>
        <v>-</v>
      </c>
      <c r="AC33" s="200" t="str">
        <f>IF(Reinforcements[[#This Row],[Reinforcement]]="","",IF(Reinforcements[[#This Row],[Bottom End Connection Type]]&lt;&gt;"Capacity Input","-",""))</f>
        <v>-</v>
      </c>
      <c r="AD33" s="461" t="str">
        <f>IF(Reinforcements[[#This Row],[Reinforcement]]="","",IF(Reinforcements[[#This Row],[Bottom End Connection Type]]&lt;&gt;"Capacity Input","-",""))</f>
        <v>-</v>
      </c>
      <c r="AE33" s="103" t="str">
        <f>IF(Reinforcements[[#This Row],[Reinforcement]]="","",IF(Reinforcements[[#This Row],[Bottom End Connection Type]]="","-",IF(Reinforcements[[#This Row],[Bottom End Connection Type]]&lt;&gt;"Bolted","-","")))</f>
        <v>-</v>
      </c>
      <c r="AF33" s="190" t="str">
        <f>IF(Reinforcements[[#This Row],[Bottom End Connection Type]]="Welded","-","")</f>
        <v>-</v>
      </c>
      <c r="AG33" s="190" t="str">
        <f>IF(Reinforcements[[#This Row],[Bottom End Connection Type]]="Welded","-","")</f>
        <v>-</v>
      </c>
      <c r="AH33" s="190" t="str">
        <f>IF(Reinforcements[[#This Row],[Bottom End Connection Type]]="Welded","-","")</f>
        <v>-</v>
      </c>
      <c r="AI33" s="190" t="str">
        <f>IF(Reinforcements[[#This Row],[Bottom End Connection Type]]="Welded","-","")</f>
        <v>-</v>
      </c>
      <c r="AJ33" s="185" t="e">
        <f>Reinforcements[[#This Row],[End Connection Edge Distance (in) (B)]]-(Reinforcements[[#This Row],[Bolt Hole Size (in)]]+1/16)/2</f>
        <v>#VALUE!</v>
      </c>
      <c r="AK33" s="185" t="e">
        <f>Reinforcements[[#This Row],[End Connection Bolt Spacing (in) (B)]]-(Reinforcements[[#This Row],[Bolt Hole Size (in)]]+1/16)</f>
        <v>#VALUE!</v>
      </c>
      <c r="AL33" s="185" t="str">
        <f>Reinforcements[[#This Row],[End Connection Edge Distance (in) (B)]]</f>
        <v>-</v>
      </c>
      <c r="AM33" s="185" t="str">
        <f>Reinforcements[[#This Row],[End Connection Bolt Spacing (in) (B)]]</f>
        <v>-</v>
      </c>
      <c r="AN33" s="192" t="s">
        <v>295</v>
      </c>
      <c r="AO33" s="192">
        <v>70</v>
      </c>
      <c r="AP33" s="191" t="s">
        <v>577</v>
      </c>
      <c r="AQ33" s="191">
        <v>8.5</v>
      </c>
      <c r="AR33" s="190">
        <v>1.25</v>
      </c>
      <c r="AS33" s="190">
        <v>45</v>
      </c>
      <c r="AT33" s="191">
        <v>0.625</v>
      </c>
      <c r="AU33"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3" s="191" t="s">
        <v>528</v>
      </c>
      <c r="AW33" s="191" t="str">
        <f>IF(Reinforcements[[#This Row],[Reinforcement]]="","",IF(OR(Reinforcements[[#This Row],[Bottom End Connection Type]]&lt;&gt;"Welded",Reinforcements[[#This Row],[Bottom Longitudinal (Vertical) Weld]]="None",Reinforcements[[#This Row],[Bottom Longitudinal (Vertical) Weld]]=""),"-",""))</f>
        <v>-</v>
      </c>
      <c r="AX33" s="191" t="str">
        <f>IF(Reinforcements[[#This Row],[Reinforcement]]="","",IF(OR(Reinforcements[[#This Row],[Bottom End Connection Type]]&lt;&gt;"Welded",Reinforcements[[#This Row],[Bottom Longitudinal (Vertical) Weld]]="None",Reinforcements[[#This Row],[Bottom Longitudinal (Vertical) Weld]]=""),"-",""))</f>
        <v>-</v>
      </c>
      <c r="AY33" s="190" t="str">
        <f>IF(Reinforcements[[#This Row],[Reinforcement]]="","",IF(OR(Reinforcements[[#This Row],[Bottom End Connection Type]]&lt;&gt;"Welded",Reinforcements[[#This Row],[Bottom Longitudinal (Vertical) Weld]]="None"),"-",SQRT(2)/2*Reinforcements[[#This Row],[Bottom Longitudinal Weld Fillet Size (in)]]))</f>
        <v>-</v>
      </c>
      <c r="AZ33" s="191" t="s">
        <v>297</v>
      </c>
      <c r="BA33" s="200" t="s">
        <v>391</v>
      </c>
      <c r="BB33" s="200" t="str">
        <f>IF(Reinforcements[[#This Row],[Reinforcement]]="","",IF(Reinforcements[[#This Row],[Top End Connection Same?]]="Yes",Reinforcements[[#This Row],[Rev. F Bottom Connection Capacity (kips)]],IF(Reinforcements[[#This Row],[Reinforcement]]="","",IF(Reinforcements[[#This Row],[Top End Connection Type]]&lt;&gt;"Capacity Input","-",""))))</f>
        <v>-</v>
      </c>
      <c r="BC33" s="200" t="str">
        <f>IF(Reinforcements[[#This Row],[Reinforcement]]="","",IF(Reinforcements[[#This Row],[Top End Connection Same?]]="Yes",Reinforcements[[#This Row],[Rev. G Bottom Connection Capacity (kips)]],IF(Reinforcements[[#This Row],[Reinforcement]]="","",IF(Reinforcements[[#This Row],[Top End Connection Type]]&lt;&gt;"Capacity Input","-",""))))</f>
        <v>-</v>
      </c>
      <c r="BD33" s="461" t="str">
        <f>IF(Reinforcements[[#This Row],[Reinforcement]]="","",IF(Reinforcements[[#This Row],[Top End Connection Same?]]="Yes",Reinforcements[[#This Row],[Rev. G Bottom Connection Capacity (kips)]],IF(Reinforcements[[#This Row],[Reinforcement]]="","",IF(Reinforcements[[#This Row],[Top End Connection Type]]&lt;&gt;"Capacity Input","-",""))))</f>
        <v>-</v>
      </c>
      <c r="BE33" s="207" t="s">
        <v>416</v>
      </c>
      <c r="BF33" s="191" t="s">
        <v>296</v>
      </c>
      <c r="BG33" s="190">
        <v>17</v>
      </c>
      <c r="BH33" s="190">
        <v>3</v>
      </c>
      <c r="BI33" s="190">
        <v>3</v>
      </c>
      <c r="BJ33" s="190">
        <f>Reinforcements[[#This Row],[End Connection Edge Distance (in) (T)]]-(Reinforcements[[#This Row],[Bolt Hole Size (in)]]+1/16)/2</f>
        <v>2.375</v>
      </c>
      <c r="BK33" s="190">
        <f>Reinforcements[[#This Row],[End Connection Bolt Spacing (in) (T)]]-(Reinforcements[[#This Row],[Bolt Hole Size (in)]]+1/16)</f>
        <v>1.75</v>
      </c>
      <c r="BL33" s="237">
        <f>Reinforcements[[#This Row],[End Connection Edge Distance (in) (T)]]</f>
        <v>3</v>
      </c>
      <c r="BM33" s="237">
        <f>Reinforcements[[#This Row],[End Connection Bolt Spacing (in) (T)]]</f>
        <v>3</v>
      </c>
      <c r="BN33" s="237" t="str">
        <f>IF(Reinforcements[[#This Row],[Reinforcement]]="","",IF(Reinforcements[[#This Row],[Top End Connection Same?]]="Yes",Reinforcements[[#This Row],[Bottom Connected to Flange/Base Plate?]],IF(Reinforcements[[#This Row],[Top End Connection Type]]="Bolted","-","")))</f>
        <v>-</v>
      </c>
      <c r="BO33" s="237" t="str">
        <f>IF(Reinforcements[[#This Row],[Reinforcement]]="","",IF(Reinforcements[[#This Row],[Top End Connection Same?]]="Yes",Reinforcements[[#This Row],[Bottom Weld Grade (ksi)]],IF(OR(Reinforcements[[#This Row],[Top End Connection Type]]&lt;&gt;"Welded",Reinforcements[[#This Row],[Top End Connection Type]]=""),"-","")))</f>
        <v>-</v>
      </c>
      <c r="BP33" s="237" t="str">
        <f>IF($AZ33="Yes",AP33,IF(Reinforcements[[#This Row],[Reinforcement]]="","",IF(OR(Reinforcements[[#This Row],[Top End Connection Type]]&lt;&gt;"Welded",Reinforcements[[#This Row],[Top End Connection Type]]=""),"-","")))</f>
        <v>-</v>
      </c>
      <c r="BQ33" s="237" t="str">
        <f>IF(Reinforcements[[#This Row],[Reinforcement]]="","",IF($AZ33="Yes",AQ33,IF(OR(Reinforcements[[#This Row],[Top End Connection Type]]&lt;&gt;"Welded",Reinforcements[[#This Row],[Top Transverse (Horizontal) Weld]]="none",Reinforcements[[#This Row],[Top Transverse (Horizontal) Weld]]=""),"-","")))</f>
        <v>-</v>
      </c>
      <c r="BR33" s="237" t="str">
        <f>IF($AZ33="Yes",AR33,IF(Reinforcements[[#This Row],[Reinforcement]]="","",IF(OR(Reinforcements[[#This Row],[Top Transverse (Horizontal) Weld]]="none",Reinforcements[[#This Row],[Top End Connection Type]]&lt;&gt;"Welded",Reinforcements[[#This Row],[Top Transverse (Horizontal) Weld]]="",Reinforcements[[#This Row],[Top Transverse (Horizontal) Weld]]="Fillet"),"-","")))</f>
        <v>-</v>
      </c>
      <c r="BS33" s="237" t="str">
        <f>IF($AZ33="Yes",AS33,IF(Reinforcements[[#This Row],[Reinforcement]]="","",IF(OR(Reinforcements[[#This Row],[Top Transverse (Horizontal) Weld]]="none",Reinforcements[[#This Row],[Top End Connection Type]]&lt;&gt;"Welded",Reinforcements[[#This Row],[Top Transverse (Horizontal) Weld]]="",Reinforcements[[#This Row],[Top Transverse (Horizontal) Weld]]="Fillet"),"-","")))</f>
        <v>-</v>
      </c>
      <c r="BT33" s="237" t="str">
        <f>IF(Reinforcements[[#This Row],[Reinforcement]]="","",IF($AZ33="Yes",AT33,IF(OR(Reinforcements[[#This Row],[Top Transverse (Horizontal) Weld]]="none",Reinforcements[[#This Row],[Top End Connection Type]]&lt;&gt;"Welded",Reinforcements[[#This Row],[Top Transverse (Horizontal) Weld]]=""),"-","")))</f>
        <v>-</v>
      </c>
      <c r="BU33" s="237" t="str">
        <f>IF($AZ33="Yes",AU33,IF(Reinforcements[[#This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3" s="237" t="str">
        <f>IF($AZ33="Yes",AV33,IF(Reinforcements[[#This Row],[Reinforcement]]="","",IF(OR(Reinforcements[[#This Row],[Top End Connection Type]]&lt;&gt;"Welded",Reinforcements[[#This Row],[Top End Connection Type]]=""),"-","")))</f>
        <v>-</v>
      </c>
      <c r="BW33" s="237" t="str">
        <f>IF($AZ33="Yes",AW33,IF(Reinforcements[[#This Row],[Reinforcement]]="","",IF(OR(Reinforcements[[#This Row],[Top End Connection Type]]&lt;&gt;"Welded",Reinforcements[[#This Row],[Top End Connection Type]]="",Reinforcements[[#This Row],[Top Longitudinal (Vertical) Weld]]="",Reinforcements[[#This Row],[Top Longitudinal (Vertical) Weld]]="None"),"-","")))</f>
        <v>-</v>
      </c>
      <c r="BX33" s="237" t="str">
        <f>IF($AZ33="Yes",AX33,IF(Reinforcements[[#This Row],[Reinforcement]]="","",IF(OR(Reinforcements[[#This Row],[Top End Connection Type]]&lt;&gt;"Welded",Reinforcements[[#This Row],[Top End Connection Type]]="",Reinforcements[[#This Row],[Top Longitudinal (Vertical) Weld]]="",Reinforcements[[#This Row],[Top Longitudinal (Vertical) Weld]]="None"),"-","")))</f>
        <v>-</v>
      </c>
      <c r="BY33" s="236" t="str">
        <f>IF($AZ33="Yes",AY33,IF(Reinforcements[[#This Row],[Reinforcement]]="","",IF(OR(Reinforcements[[#This Row],[Top End Connection Type]]&lt;&gt;"Welded",Reinforcements[[#This Row],[Top Longitudinal (Vertical) Weld]]="none"),"-",SQRT(2)/2*Reinforcements[[#This Row],[Top Longitudinal Weld Fillet Size (in)]])))</f>
        <v>-</v>
      </c>
      <c r="BZ33"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3" s="238"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3" s="238">
        <f>IF(Reinforcements[[#This Row],[Reinforcement]]="","",IF(Reinforcements[[#This Row],[Top End Connection Type]]&lt;&gt;"Bolted","n/a",(Reinforcements[[#This Row],['# of End Connection Bolts          (Top)]]-1)*Reinforcements[[#This Row],[End Connection Bolt Spacing (in) (T)]]+Reinforcements[[#This Row],[End Connection Edge Distance (in) (T)]]))</f>
        <v>51</v>
      </c>
      <c r="CC33"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33"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3" s="236">
        <f>IFERROR(IF(Reinforcements[[#This Row],[Type]]="","",Reinforcements[[#This Row],[Effective B (in)]]*Reinforcements[[#This Row],[Effective H (in)]]^3/12),"")</f>
        <v>1.3834635416666667</v>
      </c>
      <c r="CF33" s="236">
        <f>IFERROR(IF(Reinforcements[[#This Row],[Type]]="","",Reinforcements[[#This Row],[Effective B (in)]]^3*Reinforcements[[#This Row],[Effective H (in)]]/12),"")</f>
        <v>63.971354166666664</v>
      </c>
      <c r="CG33" s="235">
        <f>SQRT(2*PI()^2*29000/VLOOKUP(Reinforcements[[#This Row],[Material]],Materials[],2,FALSE))</f>
        <v>93.844147005158973</v>
      </c>
      <c r="CH33"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33.030438827573469</v>
      </c>
      <c r="CI33"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38.259345951636107</v>
      </c>
      <c r="CJ33" s="239">
        <f>Reinforcements[[#This Row],[Effective Length Factor Kx]]*Reinforcements[[#This Row],[Lu (in)]]/(Reinforcements[[#This Row],[rx]]*PI())*SQRT(VLOOKUP(Reinforcements[[#This Row],[Material]],Materials[],2,FALSE)/29000)</f>
        <v>0.56797252150453015</v>
      </c>
      <c r="CK33" s="239">
        <f>Reinforcements[[#This Row],[Effective Length Factor Ky]]*Reinforcements[[#This Row],[Lu (in)]]/(Reinforcements[[#This Row],[ry]]*PI())*SQRT(VLOOKUP(Reinforcements[[#This Row],[Material]],Materials[],2,FALSE)/29000)</f>
        <v>0.10440671351186218</v>
      </c>
      <c r="CL33" s="239">
        <f>IF(Reinforcements[[#This Row],[λcx]]&lt;=1.5,0.658^(Reinforcements[[#This Row],[λcx]]^2)*Reinforcements[[#This Row],[F''y]],0.877/(Reinforcements[[#This Row],[λcx]]^2)*Reinforcements[[#This Row],[F''y]])</f>
        <v>56.790323341365259</v>
      </c>
      <c r="CM33" s="239">
        <f>IF(Reinforcements[[#This Row],[λcy]]&lt;=1.5,0.658^(Reinforcements[[#This Row],[λcy]]^2)*Reinforcements[[#This Row],[F''y]],0.877/(Reinforcements[[#This Row],[λcy]]^2)*Reinforcements[[#This Row],[F''y]])</f>
        <v>64.704111863315191</v>
      </c>
      <c r="CN33" s="236">
        <f>VLOOKUP(Reinforcements[[#This Row],[Material]],Materials[],2,FALSE)</f>
        <v>65</v>
      </c>
      <c r="CO33" s="235">
        <f>IF(Reinforcements[[#This Row],[Reinforcement]]="","",Reinforcements[[#This Row],[Fax]]*Reinforcements[[#This Row],[Gross Area (in2)]])</f>
        <v>350.94841254296813</v>
      </c>
      <c r="CP33" s="235">
        <f>IF(Reinforcements[[#This Row],[Reinforcement]]="","",Reinforcements[[#This Row],[Fay]]*Reinforcements[[#This Row],[Gross Area (in2)]])</f>
        <v>406.50555073613361</v>
      </c>
      <c r="CQ33" s="235">
        <f>IF(Reinforcements[[#This Row],[Reinforcement]]="","",0.6*VLOOKUP(Reinforcements[[#This Row],[Material]],Materials[],2,FALSE)*Reinforcements[[#This Row],[Gross Area (in2)]])</f>
        <v>414.375</v>
      </c>
      <c r="CR33" s="235">
        <f>IF(Reinforcements[[#This Row],[Reinforcement]]="","",0.5*VLOOKUP(Reinforcements[[#This Row],[Material]],Materials[],3,FALSE)*Reinforcements[[#This Row],[Net Area (in2)]]*Reinforcements[[#This Row],[Shear Lag (U)]])</f>
        <v>362.5</v>
      </c>
      <c r="CS33" s="235">
        <f>IF(Reinforcements[[#This Row],[Reinforcement]]="","",0.4*VLOOKUP(Reinforcements[[#This Row],[Material]],Materials[],2,FALSE)*Reinforcements[[#This Row],[Gross Area (in2)]])</f>
        <v>276.25</v>
      </c>
      <c r="CT33" s="235"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3"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395.85573854010943</v>
      </c>
      <c r="CV33" s="235"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3" s="235"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3"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23.291338582677167</v>
      </c>
      <c r="CY33"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25.712598425196852</v>
      </c>
      <c r="CZ33" s="240"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3" s="235"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3"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2329.1338582677163</v>
      </c>
      <c r="DC33"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2571.2598425196852</v>
      </c>
      <c r="DD33"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3" s="23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3" s="236" t="str">
        <f>IF($AZ33="Yes",DD33,IF(Reinforcements[[#This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3" s="236" t="str">
        <f>IF($AZ33="Yes",DE33,IF(Reinforcements[[#This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3" s="235">
        <f>IF(Reinforcements[[#This Row],[Reinforcement]]="","",φ_c*Reinforcements[[#This Row],[Fcr,x]]*Reinforcements[[#This Row],[Gross Area (in2)]])</f>
        <v>543.05746695180528</v>
      </c>
      <c r="DI33" s="235">
        <f>IF(Reinforcements[[#This Row],[Reinforcement]]="","",φ_c*Reinforcements[[#This Row],[Fcr,y]]*Reinforcements[[#This Row],[Gross Area (in2)]])</f>
        <v>618.73306969295152</v>
      </c>
      <c r="DJ33" s="235">
        <f>IF(Reinforcements[[#This Row],[Reinforcement]]="","",φ_t_y*VLOOKUP(Reinforcements[[#This Row],[Material]],Materials[],2,FALSE)*Reinforcements[[#This Row],[Gross Area (in2)]])</f>
        <v>621.5625</v>
      </c>
      <c r="DK33" s="235">
        <f>IF(Reinforcements[[#This Row],[Reinforcement]]="","",φ_t_r*VLOOKUP(Reinforcements[[#This Row],[Material]],Materials[],3,FALSE)*Reinforcements[[#This Row],[Net Area (in2)]]*Reinforcements[[#This Row],[Shear Lag (U)]])</f>
        <v>543.75</v>
      </c>
      <c r="DL33" s="235">
        <f>IF(Reinforcements[[#This Row],[Reinforcement]]="","",φ_v*0.5*Reinforcements[[#This Row],[F''y]]*Reinforcements[[#This Row],[Gross Area (in2)]])</f>
        <v>310.78125</v>
      </c>
      <c r="DM33" s="235"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3"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701.58893080202824</v>
      </c>
      <c r="DO33" s="235"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3" s="235"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3"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33.456377952755908</v>
      </c>
      <c r="DR33"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41.820472440944883</v>
      </c>
      <c r="DS33"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3"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3"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3345.6377952755911</v>
      </c>
      <c r="DV33"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4182.0472440944886</v>
      </c>
      <c r="DW33" s="23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3" s="23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3" s="236" t="str">
        <f>IF($AZ33="Yes",DW33,IF(Reinforcements[[#This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3" s="236" t="str">
        <f>IF($AZ33="Yes",DX33,IF(Reinforcements[[#This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3" s="238" t="str">
        <f>IF(OR(Reinforcements[[#This Row],[Type]]="plate",Reinforcements[[#This Row],[Type]]="solid round"),"N/A",Reinforcements[[#This Row],[B (in)]])</f>
        <v>N/A</v>
      </c>
      <c r="EB33" s="236" t="str">
        <f>IF(OR(Reinforcements[[#This Row],[Type]]="plate",Reinforcements[[#This Row],[Type]]="solid round"),"N/A",Reinforcements[[#This Row],[H (in)]])</f>
        <v>N/A</v>
      </c>
      <c r="EC33" s="236" t="str">
        <f>IF(OR(Reinforcements[[#This Row],[Type]]="plate",Reinforcements[[#This Row],[Type]]="solid round"),"N/A",Reinforcements[[#This Row],[B (in)]]-Reinforcements[[#This Row],['[Channel'] Flange Thickness (in)]])</f>
        <v>N/A</v>
      </c>
      <c r="ED33" s="236" t="str">
        <f>IF(OR(Reinforcements[[#This Row],[Type]]="plate",Reinforcements[[#This Row],[Type]]="solid round"),"N/A",Reinforcements[[#This Row],['[Channel']Web Thickness (in)]])</f>
        <v>N/A</v>
      </c>
      <c r="EE33" s="236" t="str">
        <f>IF(OR(Reinforcements[[#This Row],[Type]]="plate",Reinforcements[[#This Row],[Type]]="solid round"),"N/A",Reinforcements[[#This Row],['[Channel'] Flange Thickness (in)]])</f>
        <v>N/A</v>
      </c>
      <c r="EF33" s="236" t="str">
        <f>IF(Reinforcements[[#This Row],[Type]]="channel",Reinforcements[[#This Row],[Channel Flange Width, b]]/Reinforcements[[#This Row],[Channel flange thickness, tf]],"N/A")</f>
        <v>N/A</v>
      </c>
      <c r="EG33" s="236" t="str">
        <f>IF(Reinforcements[[#This Row],[Type]]="channel",Reinforcements[[#This Row],[Channel inside depth, T]]/Reinforcements[[#This Row],[Channel web thickness, tw]],"N/A")</f>
        <v>N/A</v>
      </c>
      <c r="EH33" s="237">
        <v>29000</v>
      </c>
      <c r="EI33" s="236" t="str">
        <f>IF(Reinforcements[[#This Row],[Type]]="channel",0.56*SQRT(Reinforcements[[#This Row],[E, (ksi)]]/Reinforcements[[#This Row],[Fy, (ksi)]]),"N/A")</f>
        <v>N/A</v>
      </c>
      <c r="EJ33" s="236" t="str">
        <f>IF(Reinforcements[[#This Row],[Type]]="channel",1.49*SQRT(Reinforcements[[#This Row],[E, (ksi)]]/Reinforcements[[#This Row],[Fy, (ksi)]]),"N/A")</f>
        <v>N/A</v>
      </c>
      <c r="EK33" s="236">
        <f>VLOOKUP(Reinforcements[[#This Row],[Material]],Materials!$B$2:$C$30,2,FALSE)</f>
        <v>65</v>
      </c>
      <c r="EL33" s="236">
        <f>Reinforcements[[#This Row],[Lu (in)]]*Reinforcements[[#This Row],[Effective Length Factor Kx]]</f>
        <v>13.600000000000001</v>
      </c>
      <c r="EM33" s="236">
        <f>Reinforcements[[#This Row],[Lu (in)]]*Reinforcements[[#This Row],[Effective Length Factor Ky]]</f>
        <v>17</v>
      </c>
      <c r="EN33" s="236">
        <f>Reinforcements[[#This Row],[rx]]</f>
        <v>0.36084391824351614</v>
      </c>
      <c r="EO33" s="236">
        <f>Reinforcements[[#This Row],[ry]]</f>
        <v>2.4537386440559095</v>
      </c>
      <c r="EP33" s="236">
        <f>Reinforcements[[#This Row],[Lcx (in)]]/Reinforcements[[#This Row],[rx (in)]]</f>
        <v>37.689425572698774</v>
      </c>
      <c r="EQ33" s="236">
        <f>Reinforcements[[#This Row],[Lcy (in)]]/Reinforcements[[#This Row],[ry (in)]]</f>
        <v>6.9282032302755097</v>
      </c>
      <c r="ER33" s="236">
        <f>((PI()^2)*Reinforcements[[#This Row],[E, (ksi)]])/(Reinforcements[[#This Row],[Lcx/rx]]^2)</f>
        <v>201.49241702005904</v>
      </c>
      <c r="ES33" s="236">
        <f>((PI()^2)*Reinforcements[[#This Row],[E, (ksi)]])/(Reinforcements[[#This Row],[Lcy/ry]]^2)</f>
        <v>5962.8859923248192</v>
      </c>
      <c r="ET33" s="236">
        <f>4.71*(SQRT(Reinforcements[[#This Row],[E, (ksi)]]/Reinforcements[[#This Row],[Fy, (ksi)]]))</f>
        <v>99.486288193205496</v>
      </c>
      <c r="EU33" s="236">
        <f>IF(Reinforcements[[#This Row],[Lcx/rx]]&lt;=Reinforcements[[#This Row],[Fcr Limit]],(0.658^(Reinforcements[[#This Row],[Fy, (ksi)]]/Reinforcements[[#This Row],[Fex, FB (ksi)]]))*Reinforcements[[#This Row],[Fy, (ksi)]],0.877*Reinforcements[[#This Row],[Fex, FB (ksi)]])</f>
        <v>56.790323341365259</v>
      </c>
      <c r="EV33" s="236">
        <f>IF(Reinforcements[[#This Row],[Lcy/ry]]&lt;=Reinforcements[[#This Row],[Fcr Limit]],(0.658^(Reinforcements[[#This Row],[Fy, (ksi)]]/Reinforcements[[#This Row],[Fey, FB (ksi)]]))*Reinforcements[[#This Row],[Fy, (ksi)]],0.877*Reinforcements[[#This Row],[Fey, FB (ksi)]])</f>
        <v>64.704111863315191</v>
      </c>
      <c r="EW33" s="236">
        <f>Reinforcements[[#This Row],[Fcrx (ksi)]]*Reinforcements[[#This Row],[Gross Area (in2)]]</f>
        <v>603.39718550200587</v>
      </c>
      <c r="EX33" s="236">
        <f>Reinforcements[[#This Row],[Fcry (ksi)]]*Reinforcements[[#This Row],[Gross Area (in2)]]</f>
        <v>687.48118854772395</v>
      </c>
      <c r="EY33" s="236" t="str">
        <f>IF(Reinforcements[[#This Row],[Type]]="channel",0,"N/A")</f>
        <v>N/A</v>
      </c>
      <c r="EZ33" s="236" t="str">
        <f>IF(Reinforcements[[#This Row],[Type]]="channel",Reinforcements[[#This Row],[Channel Flange Width, b]]-(0.5*Reinforcements[[#This Row],[Channel web thickness, tw]]),"N/A")</f>
        <v>N/A</v>
      </c>
      <c r="FA33" s="236" t="str">
        <f>IF(Reinforcements[[#This Row],[Type]]="channel",Reinforcements[[#This Row],[Channel Height, h]]-Reinforcements[[#This Row],[Channel flange thickness, tf]],"N/A")</f>
        <v>N/A</v>
      </c>
      <c r="FB33" s="236" t="str">
        <f>IF(Reinforcements[[#This Row],[Type]]="channel",Reinforcements[[#This Row],[Channel web thickness, tw]],"N/A")</f>
        <v>N/A</v>
      </c>
      <c r="FC33" s="236" t="str">
        <f>IF(Reinforcements[[#This Row],[Type]]="channel",((3*Reinforcements[[#This Row],[b]]^2)/(Reinforcements[[#This Row],[h]]+(6*Reinforcements[[#This Row],[b]])))-Reinforcements[[#This Row],[t]]/2,"N/A")</f>
        <v>N/A</v>
      </c>
      <c r="FD33" s="236">
        <f>Reinforcements[[#This Row],[Pole Face to Centroid (in)]]</f>
        <v>0.625</v>
      </c>
      <c r="FE33" s="236" t="str">
        <f>IF(Reinforcements[[#This Row],[Type]]="channel",Reinforcements[[#This Row],[x(bar)]]+Reinforcements[[#This Row],['[Channel'] e0 (in)]],"N/A")</f>
        <v>N/A</v>
      </c>
      <c r="FF33" s="236" t="str">
        <f>IF(Reinforcements[[#This Row],[Type]]="channel",Reinforcements[[#This Row],[Ix]],"N/A")</f>
        <v>N/A</v>
      </c>
      <c r="FG33" s="236" t="str">
        <f>IF(Reinforcements[[#This Row],[Type]]="channel",Reinforcements[[#This Row],[Iy]],"N/A")</f>
        <v>N/A</v>
      </c>
      <c r="FH33" s="236" t="str">
        <f>IF(Reinforcements[[#This Row],[Type]]="channel",Reinforcements[[#This Row],[Gross Area (in2)]],"N/A")</f>
        <v>N/A</v>
      </c>
      <c r="FI33" s="236" t="str">
        <f>IF(Reinforcements[[#This Row],[Type]]="channel",(Reinforcements[[#This Row],[xo]]^2)+((Reinforcements[[#This Row],[Ix (FTB)]]+Reinforcements[[#This Row],[Iy (FTB)]])/Reinforcements[[#This Row],[Ag]]),"N/A")</f>
        <v>N/A</v>
      </c>
      <c r="FJ33" s="236" t="str">
        <f>IF(Reinforcements[[#This Row],[Type]]="channel",Reinforcements[[#This Row],[Lu (in)]],"N/A")</f>
        <v>N/A</v>
      </c>
      <c r="FK33" s="236" t="str">
        <f>IF(Reinforcements[[#This Row],[Type]]="channel",Reinforcements[[#This Row],[Effective Length Factor Kx]],"N/A")</f>
        <v>N/A</v>
      </c>
      <c r="FL33" s="236" t="str">
        <f>IF(Reinforcements[[#This Row],[Type]]="channel",Reinforcements[[#This Row],[Kz]]*Reinforcements[[#This Row],[Lz]],"N/A")</f>
        <v>N/A</v>
      </c>
      <c r="FM33" s="236" t="str">
        <f>IF(Reinforcements[[#This Row],[Type]]="channel",(((Reinforcements[[#This Row],[t]]^3)/3)*(Reinforcements[[#This Row],[h]]+(2*Reinforcements[[#This Row],[b]]))),"N/A")</f>
        <v>N/A</v>
      </c>
      <c r="FN33" s="236" t="str">
        <f>IF(Reinforcements[[#This Row],[Type]]="channel",(1-(((Reinforcements[[#This Row],[xo]]^2)+(Reinforcements[[#This Row],[yo]]^2))/Reinforcements[[#This Row],[ro^2(bar)]])),"N/A")</f>
        <v>N/A</v>
      </c>
      <c r="FO33" s="237">
        <v>11200</v>
      </c>
      <c r="FP33" s="236" t="str">
        <f>IF(Reinforcements[[#This Row],[Type]]="channel",(((Reinforcements[[#This Row],[h]]^2)*(Reinforcements[[#This Row],[b]]^3)*Reinforcements[[#This Row],[t]])/12)*(((2*Reinforcements[[#This Row],[h]])+(3*Reinforcements[[#This Row],[b]]))/(Reinforcements[[#This Row],[h]]+(6*Reinforcements[[#This Row],[b]]))),"N/A")</f>
        <v>N/A</v>
      </c>
      <c r="FQ33" s="236" t="str">
        <f>IF(Reinforcements[[#This Row],[Type]]="Channel",((((PI()^2)*Reinforcements[[#This Row],[E, (ksi)]]*Reinforcements[[#This Row],['[Channel'] CW (in6)]])/(Reinforcements[[#This Row],[Lcz]]^2))+(Reinforcements[[#This Row],[G]]*Reinforcements[[#This Row],['[Channel'] J (in4)]]))*(1/(Reinforcements[[#This Row],[Ag]]*Reinforcements[[#This Row],[ro^2(bar)]])),"N/A")</f>
        <v>N/A</v>
      </c>
      <c r="FR33" s="236" t="str">
        <f>IF(Reinforcements[[#This Row],[Type]]="channel",((PI()^2)*Reinforcements[[#This Row],[E, (ksi)]])/(Reinforcements[[#This Row],[Lcy/ry]]^2),"N/A")</f>
        <v>N/A</v>
      </c>
      <c r="FS33" s="236" t="str">
        <f>IF(Reinforcements[[#This Row],[Type]]="channel",((Reinforcements[[#This Row],[Fey]]+Reinforcements[[#This Row],[Fez]])/(2*Reinforcements[[#This Row],[H2]]))*(1-SQRT(1-((4*Reinforcements[[#This Row],[Fey]]*Reinforcements[[#This Row],[Fez]]*Reinforcements[[#This Row],[H2]])/(Reinforcements[[#This Row],[Fey]]+Reinforcements[[#This Row],[Fez]])^2))),"N/A")</f>
        <v>N/A</v>
      </c>
      <c r="FT33" s="236" t="str">
        <f>IF(Reinforcements[[#This Row],[Type]]="channel",IF(Reinforcements[[#This Row],[Lcx/rx]]&gt;(4.71*SQRT(Reinforcements[[#This Row],[E, (ksi)]]/Reinforcements[[#This Row],[Fy, (ksi)]])),0.877*Reinforcements[[#This Row],[Fe (FTB)]],0.658^(Reinforcements[[#This Row],[Fy, (ksi)]]/Reinforcements[[#This Row],[Fe (FTB)]])*Reinforcements[[#This Row],[Fy, (ksi)]]),"N/A")</f>
        <v>N/A</v>
      </c>
      <c r="FU33" s="236" t="str">
        <f>IF(Reinforcements[[#This Row],[Type]]="channel",MIN(Reinforcements[[#This Row],[Fcr(FTB)]],Reinforcements[[#This Row],[Fcry (ksi)]]),"N/A")</f>
        <v>N/A</v>
      </c>
      <c r="FV33" s="237">
        <v>0.22</v>
      </c>
      <c r="FW33" s="237">
        <v>1.49</v>
      </c>
      <c r="FX33" s="236" t="str">
        <f>IF(Reinforcements[[#This Row],[Type]]="channel",((Reinforcements[[#This Row],[c2]]*(Reinforcements[[#This Row],[λrf]]/Reinforcements[[#This Row],[λf]]))^2)*Reinforcements[[#This Row],[Fy, (ksi)]],"N/A")</f>
        <v>N/A</v>
      </c>
      <c r="FY33" s="236" t="str">
        <f>IF(Reinforcements[[#This Row],[Type]]="channel",((Reinforcements[[#This Row],[c2]]*(Reinforcements[[#This Row],[λrw]]/Reinforcements[[#This Row],[λw]]))^2)*Reinforcements[[#This Row],[Fy, (ksi)]],"N/A")</f>
        <v>N/A</v>
      </c>
      <c r="FZ33"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3"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3"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3" s="236" t="str">
        <f>IF(Reinforcements[[#This Row],[Type]]="channel",Reinforcements[[#This Row],[Fcr]]*Reinforcements[[#This Row],[Ae]],"N/A")</f>
        <v>N/A</v>
      </c>
      <c r="GD33" s="466">
        <f>IF(Reinforcements[[#This Row],[Reinforcement]]="","",φ_c*Reinforcements[[#This Row],[Pnx, FB (kip)]])</f>
        <v>543.05746695180528</v>
      </c>
      <c r="GE33" s="466">
        <f>IF(Reinforcements[[#This Row],[Reinforcement]]="","",IF(Reinforcements[[#This Row],[Type]]="channel",φ_c*Reinforcements[[#This Row],[Pn]],φ_c*Reinforcements[[#This Row],[Pny, FB (kip)]]))</f>
        <v>618.73306969295152</v>
      </c>
      <c r="GF33" s="466">
        <f>Reinforcements[[#This Row],[Rev. G Tension Yield Capacity (kips)]]</f>
        <v>621.5625</v>
      </c>
      <c r="GG33" s="466">
        <f>Reinforcements[[#This Row],[Rev. G Tension Rupture Capacity (kips)]]</f>
        <v>543.75</v>
      </c>
      <c r="GH33" s="466">
        <f>Reinforcements[[#This Row],[Rev. G Shear Capacity (kips)]]</f>
        <v>310.78125</v>
      </c>
      <c r="GI33" s="466" t="str">
        <f>IFERROR((Reinforcements[[#This Row],['# of End Connection Bolts          (Bottom)]]-1)*Reinforcements[[#This Row],[End Connection Bolt Spacing (in) (B)]],"-")</f>
        <v>-</v>
      </c>
      <c r="GJ33" s="466">
        <f>IFERROR(IF(VLOOKUP(Reinforcements[[#This Row],[Bottom End Connection Bolt Type]],Bolts[],COLUMN(Bolts[[#Headers],[Rev. H Apply Connection Length Reduction Factor (Rb)?]])-1,FALSE)="Yes",(IF(Reinforcements[[#This Row],[Lb(bottom)]]&lt;=16,1,IF(Reinforcements[[#This Row],[Lb(bottom)]]&gt;38,0.75,0.9))),1),"-")</f>
        <v>1</v>
      </c>
      <c r="GK33"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3" s="466">
        <f>IFERROR(IF(Reinforcements[[#This Row],[Top End Connection Same?]]="Yes",Reinforcements[[#This Row],[Lb(bottom)]],(Reinforcements[[#This Row],['# of End Connection Bolts          (Top)]]-1)*Reinforcements[[#This Row],[End Connection Bolt Spacing (in) (T)]]),"-")</f>
        <v>48</v>
      </c>
      <c r="GM33" s="466">
        <f>IFERROR(IF(VLOOKUP(Reinforcements[[#This Row],[Top End Connection Bolt Type]],Bolts[],COLUMN(Bolts[[#Headers],[Rev. H Apply Connection Length Reduction Factor (Rb)?]])-1,FALSE)="Yes",(IF(Reinforcements[[#This Row],[Lb(top)]]&lt;=16,1,IF(Reinforcements[[#This Row],[Lb(top)]]&gt;38,0.75,0.9))),1),"-")</f>
        <v>1</v>
      </c>
      <c r="GN33"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788.79389650390488</v>
      </c>
      <c r="GO33" s="466" t="str">
        <f>Reinforcements[[#This Row],[Rev. G Bolt-Shaft Bearing Capacity (Bottom)                No Deformation          (*t*Fu kips)]]</f>
        <v>-</v>
      </c>
      <c r="GP33" s="466" t="str">
        <f>Reinforcements[[#This Row],[Rev. G Bolt-Shaft Bearing Capacity (Bottom)                   Deformation          (*t*Fu kips)]]</f>
        <v>-</v>
      </c>
      <c r="GQ33" s="466">
        <f>Reinforcements[[#This Row],[Rev. G Bolt-Shaft Bearing Capacity (Top)                    No Deformation          (*t*Fu kips)]]</f>
        <v>33.456377952755908</v>
      </c>
      <c r="GR33" s="466">
        <f>Reinforcements[[#This Row],[Rev. G Bolt-Shaft Bearing Capacity (Top)                        Deformation          (*t*Fu kips)]]</f>
        <v>41.820472440944883</v>
      </c>
      <c r="GS33" s="466" t="str">
        <f>Reinforcements[[#This Row],[Rev. G Bolt-Reinf. Bearing Capacity (Bottom)            No Deformation (kips)]]</f>
        <v>-</v>
      </c>
      <c r="GT33" s="466" t="str">
        <f>Reinforcements[[#This Row],[Rev. G Bolt-Reinf. Bearing Capacity (Bottom)               Deformation (kips)]]</f>
        <v>-</v>
      </c>
      <c r="GU33" s="466">
        <f>Reinforcements[[#This Row],[Rev. G Bolt-Reinf. Bearing Capacity (Top)                  No Deformation (kips)]]</f>
        <v>3345.6377952755911</v>
      </c>
      <c r="GV33" s="466">
        <f>Reinforcements[[#This Row],[Rev. G Bolt-Reinf. Bearing Capacity (Top)               Deformation (kips)]]</f>
        <v>4182.0472440944886</v>
      </c>
      <c r="GW33" s="466" t="str">
        <f>Reinforcements[[#This Row],[Rev. G Bottom Transverse Weld Strength]]</f>
        <v>-</v>
      </c>
      <c r="GX33" s="466" t="str">
        <f>Reinforcements[[#This Row],[Rev. G Bottom Longitudinal Weld Strength]]</f>
        <v>-</v>
      </c>
      <c r="GY33" s="466" t="str">
        <f>Reinforcements[[#This Row],[Rev. G Top Transverse Weld Strength]]</f>
        <v>-</v>
      </c>
      <c r="GZ33" s="466" t="str">
        <f>Reinforcements[[#This Row],[Rev. G Top Longitudinal Weld Strength]]</f>
        <v>-</v>
      </c>
      <c r="HA33" s="552">
        <v>31</v>
      </c>
      <c r="HB33"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4" spans="2:210" x14ac:dyDescent="0.2">
      <c r="B34" s="72" t="s">
        <v>583</v>
      </c>
      <c r="C34" s="72" t="s">
        <v>146</v>
      </c>
      <c r="D34" s="185">
        <v>4</v>
      </c>
      <c r="E34" s="185">
        <v>0.75</v>
      </c>
      <c r="F34" s="185" t="str">
        <f>IF(Reinforcements[[#This Row],[Type]]="","",IF(Reinforcements[[#This Row],[Type]]="solid round","","n/a"))</f>
        <v>n/a</v>
      </c>
      <c r="G34" s="185" t="str">
        <f>IF(Reinforcements[[#This Row],[Type]]="","",IF(Reinforcements[[#This Row],[Type]]&lt;&gt;"channel","n/a",""))</f>
        <v>n/a</v>
      </c>
      <c r="H34" s="185" t="str">
        <f>IF(Reinforcements[[#This Row],[Type]]="","",IF(Reinforcements[[#This Row],[Type]]&lt;&gt;"channel","n/a",""))</f>
        <v>n/a</v>
      </c>
      <c r="I34" s="197" t="str">
        <f>IF(Reinforcements[[#This Row],[Type]]="","",IF(Reinforcements[[#This Row],[Type]]&lt;&gt;"channel","n/a",Reinforcements[[#This Row],[eo]]))</f>
        <v>n/a</v>
      </c>
      <c r="J34" s="197" t="str">
        <f>IF(Reinforcements[[#This Row],[Type]]="","",IF(Reinforcements[[#This Row],[Type]]&lt;&gt;"channel","n/a",Reinforcements[[#This Row],[J]]))</f>
        <v>n/a</v>
      </c>
      <c r="K34" s="197" t="str">
        <f>IF(Reinforcements[[#This Row],[Type]]="","",IF(Reinforcements[[#This Row],[Type]]&lt;&gt;"channel","n/a",Reinforcements[[#This Row],[Cw]]))</f>
        <v>n/a</v>
      </c>
      <c r="L34" s="185">
        <f>IFERROR(IF(Reinforcements[[#This Row],[Type]]="","",IF(Reinforcements[[#This Row],[Type]]="plate",Reinforcements[[#This Row],[B (in)]]*Reinforcements[[#This Row],[H (in)]],IF(Reinforcements[[#This Row],[Type]]="solid round",PI()/4*Reinforcements[[#This Row],[Diameter (in)]]^2,""))),"")</f>
        <v>3</v>
      </c>
      <c r="M34" s="185">
        <f>IFERROR(IF(Reinforcements[[#This Row],[Type]]="","",IF(Reinforcements[[#This Row],[Type]]="plate",Reinforcements[[#This Row],[H (in)]]/2,"")),"")</f>
        <v>0.375</v>
      </c>
      <c r="N34" s="199" t="s">
        <v>297</v>
      </c>
      <c r="O34" s="185" t="s">
        <v>60</v>
      </c>
      <c r="P34" s="187">
        <f>IFERROR(IF(Reinforcements[[#This Row],[Type]]="","",IF(Reinforcements[[#This Row],[Type]]="plate",Reinforcements[[#This Row],[B (in)]]*Reinforcements[[#This Row],[H (in)]]^3/12,IF(Reinforcements[[#This Row],[Type]]="solid round",PI()/64*Reinforcements[[#This Row],[Diameter (in)]]^4,""))),"")</f>
        <v>0.140625</v>
      </c>
      <c r="Q34" s="187">
        <f>IF(Reinforcements[[#This Row],[Reinforcement]]="","",SQRT(Reinforcements[[#This Row],[Ix]]/Reinforcements[[#This Row],[Gross Area (in2)]]))</f>
        <v>0.21650635094610965</v>
      </c>
      <c r="R34" s="187">
        <f>IFERROR(IF(Reinforcements[[#This Row],[Type]]="","",IF(Reinforcements[[#This Row],[Type]]="plate",Reinforcements[[#This Row],[B (in)]]^3*Reinforcements[[#This Row],[H (in)]]/12,IF(Reinforcements[[#This Row],[Type]]="solid round",PI()/64*Reinforcements[[#This Row],[Diameter (in)]]^4,""))),"")</f>
        <v>4</v>
      </c>
      <c r="S34" s="187">
        <f>IF(Reinforcements[[#This Row],[Reinforcement]]="","",SQRT(Reinforcements[[#This Row],[Iy]]/Reinforcements[[#This Row],[Gross Area (in2)]]))</f>
        <v>1.1547005383792515</v>
      </c>
      <c r="T34" s="190">
        <v>16</v>
      </c>
      <c r="U34" s="188">
        <v>0.8</v>
      </c>
      <c r="V34" s="188">
        <v>1</v>
      </c>
      <c r="W34" s="185">
        <v>1.1875</v>
      </c>
      <c r="X34" s="188">
        <f>IF(Reinforcements[[#This Row],[Bolt Hole Size (in)]]="","",IF(Reinforcements[[#This Row],[Bolt Hole Size (in)]]="n/a","n/a",Reinforcements[[#This Row],[Bolt Hole Size (in)]]*25.4))</f>
        <v>30.162499999999998</v>
      </c>
      <c r="Y34"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34" s="185">
        <f>IFERROR(IF(Reinforcements[[#This Row],[Reinforcement]]="","",IF(OR(Reinforcements[[#This Row],[Type]]="plate",Reinforcements[[#This Row],[Type]]="solid round"),1,IF(Reinforcements[[#This Row],[Type]]="arbitrary","",1-Reinforcements[[#This Row],[Pole Face to Centroid (in)]]/Reinforcements[[#This Row],[Connection Length (in) '[Channels']]]))),"")</f>
        <v>1</v>
      </c>
      <c r="AA34" s="189" t="s">
        <v>578</v>
      </c>
      <c r="AB34" s="189" t="str">
        <f>IF(Reinforcements[[#This Row],[Reinforcement]]="","",IF(Reinforcements[[#This Row],[Bottom End Connection Type]]&lt;&gt;"Capacity Input","-",""))</f>
        <v>-</v>
      </c>
      <c r="AC34" s="189" t="str">
        <f>IF(Reinforcements[[#This Row],[Reinforcement]]="","",IF(Reinforcements[[#This Row],[Bottom End Connection Type]]&lt;&gt;"Capacity Input","-",""))</f>
        <v>-</v>
      </c>
      <c r="AD34" s="461" t="str">
        <f>IF(Reinforcements[[#This Row],[Reinforcement]]="","",IF(Reinforcements[[#This Row],[Bottom End Connection Type]]&lt;&gt;"Capacity Input","-",""))</f>
        <v>-</v>
      </c>
      <c r="AE34" s="103" t="str">
        <f>IF(Reinforcements[[#This Row],[Reinforcement]]="","",IF(Reinforcements[[#This Row],[Bottom End Connection Type]]="","-",IF(Reinforcements[[#This Row],[Bottom End Connection Type]]&lt;&gt;"Bolted","-","")))</f>
        <v>-</v>
      </c>
      <c r="AF34" s="190" t="str">
        <f>IF(Reinforcements[[#This Row],[Bottom End Connection Type]]="Welded","-","")</f>
        <v>-</v>
      </c>
      <c r="AG34" s="190" t="str">
        <f>IF(Reinforcements[[#This Row],[Bottom End Connection Type]]="Welded","-","")</f>
        <v>-</v>
      </c>
      <c r="AH34" s="190" t="str">
        <f>IF(Reinforcements[[#This Row],[Bottom End Connection Type]]="Welded","-","")</f>
        <v>-</v>
      </c>
      <c r="AI34" s="190" t="str">
        <f>IF(Reinforcements[[#This Row],[Bottom End Connection Type]]="Welded","-","")</f>
        <v>-</v>
      </c>
      <c r="AJ34" s="185" t="e">
        <f>Reinforcements[[#This Row],[End Connection Edge Distance (in) (B)]]-(Reinforcements[[#This Row],[Bolt Hole Size (in)]]+1/16)/2</f>
        <v>#VALUE!</v>
      </c>
      <c r="AK34" s="185" t="e">
        <f>Reinforcements[[#This Row],[End Connection Bolt Spacing (in) (B)]]-(Reinforcements[[#This Row],[Bolt Hole Size (in)]]+1/16)</f>
        <v>#VALUE!</v>
      </c>
      <c r="AL34" s="185" t="str">
        <f>Reinforcements[[#This Row],[End Connection Edge Distance (in) (B)]]</f>
        <v>-</v>
      </c>
      <c r="AM34" s="185" t="str">
        <f>Reinforcements[[#This Row],[End Connection Bolt Spacing (in) (B)]]</f>
        <v>-</v>
      </c>
      <c r="AN34" s="190" t="s">
        <v>295</v>
      </c>
      <c r="AO34" s="191">
        <v>70</v>
      </c>
      <c r="AP34" s="191" t="s">
        <v>577</v>
      </c>
      <c r="AQ34" s="191">
        <v>4</v>
      </c>
      <c r="AR34" s="185">
        <v>0.75</v>
      </c>
      <c r="AS34" s="185">
        <v>45</v>
      </c>
      <c r="AT34" s="192">
        <v>0.25</v>
      </c>
      <c r="AU34" s="185"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4" s="191" t="s">
        <v>528</v>
      </c>
      <c r="AW34" s="191" t="str">
        <f>IF(Reinforcements[[#This Row],[Reinforcement]]="","",IF(OR(Reinforcements[[#This Row],[Bottom End Connection Type]]&lt;&gt;"Welded",Reinforcements[[#This Row],[Bottom Longitudinal (Vertical) Weld]]="None",Reinforcements[[#This Row],[Bottom Longitudinal (Vertical) Weld]]=""),"-",""))</f>
        <v>-</v>
      </c>
      <c r="AX34" s="191" t="str">
        <f>IF(Reinforcements[[#This Row],[Reinforcement]]="","",IF(OR(Reinforcements[[#This Row],[Bottom End Connection Type]]&lt;&gt;"Welded",Reinforcements[[#This Row],[Bottom Longitudinal (Vertical) Weld]]="None",Reinforcements[[#This Row],[Bottom Longitudinal (Vertical) Weld]]=""),"-",""))</f>
        <v>-</v>
      </c>
      <c r="AY34" s="185" t="str">
        <f>IF(Reinforcements[[#This Row],[Reinforcement]]="","",IF(OR(Reinforcements[[#This Row],[Bottom End Connection Type]]&lt;&gt;"Welded",Reinforcements[[#This Row],[Bottom Longitudinal (Vertical) Weld]]="None"),"-",SQRT(2)/2*Reinforcements[[#This Row],[Bottom Longitudinal Weld Fillet Size (in)]]))</f>
        <v>-</v>
      </c>
      <c r="AZ34" s="191" t="s">
        <v>297</v>
      </c>
      <c r="BA34" s="186" t="s">
        <v>391</v>
      </c>
      <c r="BB34" s="186" t="str">
        <f>IF(Reinforcements[[#This Row],[Reinforcement]]="","",IF(Reinforcements[[#This Row],[Top End Connection Same?]]="Yes",Reinforcements[[#This Row],[Rev. F Bottom Connection Capacity (kips)]],IF(Reinforcements[[#This Row],[Reinforcement]]="","",IF(Reinforcements[[#This Row],[Top End Connection Type]]&lt;&gt;"Capacity Input","-",""))))</f>
        <v>-</v>
      </c>
      <c r="BC34" s="186" t="str">
        <f>IF(Reinforcements[[#This Row],[Reinforcement]]="","",IF(Reinforcements[[#This Row],[Top End Connection Same?]]="Yes",Reinforcements[[#This Row],[Rev. G Bottom Connection Capacity (kips)]],IF(Reinforcements[[#This Row],[Reinforcement]]="","",IF(Reinforcements[[#This Row],[Top End Connection Type]]&lt;&gt;"Capacity Input","-",""))))</f>
        <v>-</v>
      </c>
      <c r="BD34" s="461" t="str">
        <f>IF(Reinforcements[[#This Row],[Reinforcement]]="","",IF(Reinforcements[[#This Row],[Top End Connection Same?]]="Yes",Reinforcements[[#This Row],[Rev. G Bottom Connection Capacity (kips)]],IF(Reinforcements[[#This Row],[Reinforcement]]="","",IF(Reinforcements[[#This Row],[Top End Connection Type]]&lt;&gt;"Capacity Input","-",""))))</f>
        <v>-</v>
      </c>
      <c r="BE34" s="207" t="s">
        <v>416</v>
      </c>
      <c r="BF34" s="190" t="s">
        <v>296</v>
      </c>
      <c r="BG34" s="185">
        <v>4</v>
      </c>
      <c r="BH34" s="185">
        <v>3</v>
      </c>
      <c r="BI34" s="185">
        <v>3</v>
      </c>
      <c r="BJ34" s="185">
        <f>Reinforcements[[#This Row],[End Connection Edge Distance (in) (T)]]-(Reinforcements[[#This Row],[Bolt Hole Size (in)]]+1/16)/2</f>
        <v>2.375</v>
      </c>
      <c r="BK34" s="185">
        <f>Reinforcements[[#This Row],[End Connection Bolt Spacing (in) (T)]]-(Reinforcements[[#This Row],[Bolt Hole Size (in)]]+1/16)</f>
        <v>1.75</v>
      </c>
      <c r="BL34" s="185">
        <f>Reinforcements[[#This Row],[End Connection Edge Distance (in) (T)]]</f>
        <v>3</v>
      </c>
      <c r="BM34" s="185">
        <f>Reinforcements[[#This Row],[End Connection Bolt Spacing (in) (T)]]</f>
        <v>3</v>
      </c>
      <c r="BN34" s="185" t="str">
        <f>IF(Reinforcements[[#This Row],[Reinforcement]]="","",IF(Reinforcements[[#This Row],[Top End Connection Same?]]="Yes",Reinforcements[[#This Row],[Bottom Connected to Flange/Base Plate?]],IF(Reinforcements[[#This Row],[Top End Connection Type]]="Bolted","-","")))</f>
        <v>-</v>
      </c>
      <c r="BO34" s="185" t="str">
        <f>IF(Reinforcements[[#This Row],[Reinforcement]]="","",IF(Reinforcements[[#This Row],[Top End Connection Same?]]="Yes",Reinforcements[[#This Row],[Bottom Weld Grade (ksi)]],IF(OR(Reinforcements[[#This Row],[Top End Connection Type]]&lt;&gt;"Welded",Reinforcements[[#This Row],[Top End Connection Type]]=""),"-","")))</f>
        <v>-</v>
      </c>
      <c r="BP34" s="185" t="str">
        <f>IF($AZ34="Yes",AP34,IF(Reinforcements[[#This Row],[Reinforcement]]="","",IF(OR(Reinforcements[[#This Row],[Top End Connection Type]]&lt;&gt;"Welded",Reinforcements[[#This Row],[Top End Connection Type]]=""),"-","")))</f>
        <v>-</v>
      </c>
      <c r="BQ34" s="185" t="str">
        <f>IF(Reinforcements[[#This Row],[Reinforcement]]="","",IF($AZ34="Yes",AQ34,IF(OR(Reinforcements[[#This Row],[Top End Connection Type]]&lt;&gt;"Welded",Reinforcements[[#This Row],[Top Transverse (Horizontal) Weld]]="none",Reinforcements[[#This Row],[Top Transverse (Horizontal) Weld]]=""),"-","")))</f>
        <v>-</v>
      </c>
      <c r="BR34" s="185" t="str">
        <f>IF($AZ34="Yes",AR34,IF(Reinforcements[[#This Row],[Reinforcement]]="","",IF(OR(Reinforcements[[#This Row],[Top Transverse (Horizontal) Weld]]="none",Reinforcements[[#This Row],[Top End Connection Type]]&lt;&gt;"Welded",Reinforcements[[#This Row],[Top Transverse (Horizontal) Weld]]="",Reinforcements[[#This Row],[Top Transverse (Horizontal) Weld]]="Fillet"),"-","")))</f>
        <v>-</v>
      </c>
      <c r="BS34" s="185" t="str">
        <f>IF($AZ34="Yes",AS34,IF(Reinforcements[[#This Row],[Reinforcement]]="","",IF(OR(Reinforcements[[#This Row],[Top Transverse (Horizontal) Weld]]="none",Reinforcements[[#This Row],[Top End Connection Type]]&lt;&gt;"Welded",Reinforcements[[#This Row],[Top Transverse (Horizontal) Weld]]="",Reinforcements[[#This Row],[Top Transverse (Horizontal) Weld]]="Fillet"),"-","")))</f>
        <v>-</v>
      </c>
      <c r="BT34" s="185" t="str">
        <f>IF(Reinforcements[[#This Row],[Reinforcement]]="","",IF($AZ34="Yes",AT34,IF(OR(Reinforcements[[#This Row],[Top Transverse (Horizontal) Weld]]="none",Reinforcements[[#This Row],[Top End Connection Type]]&lt;&gt;"Welded",Reinforcements[[#This Row],[Top Transverse (Horizontal) Weld]]=""),"-","")))</f>
        <v>-</v>
      </c>
      <c r="BU34" s="185" t="str">
        <f>IF($AZ34="Yes",AU34,IF(Reinforcements[[#This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4" s="185" t="str">
        <f>IF($AZ34="Yes",AV34,IF(Reinforcements[[#This Row],[Reinforcement]]="","",IF(OR(Reinforcements[[#This Row],[Top End Connection Type]]&lt;&gt;"Welded",Reinforcements[[#This Row],[Top End Connection Type]]=""),"-","")))</f>
        <v>-</v>
      </c>
      <c r="BW34" s="185" t="str">
        <f>IF($AZ34="Yes",AW34,IF(Reinforcements[[#This Row],[Reinforcement]]="","",IF(OR(Reinforcements[[#This Row],[Top End Connection Type]]&lt;&gt;"Welded",Reinforcements[[#This Row],[Top End Connection Type]]="",Reinforcements[[#This Row],[Top Longitudinal (Vertical) Weld]]="",Reinforcements[[#This Row],[Top Longitudinal (Vertical) Weld]]="None"),"-","")))</f>
        <v>-</v>
      </c>
      <c r="BX34" s="185" t="str">
        <f>IF($AZ34="Yes",AX34,IF(Reinforcements[[#This Row],[Reinforcement]]="","",IF(OR(Reinforcements[[#This Row],[Top End Connection Type]]&lt;&gt;"Welded",Reinforcements[[#This Row],[Top End Connection Type]]="",Reinforcements[[#This Row],[Top Longitudinal (Vertical) Weld]]="",Reinforcements[[#This Row],[Top Longitudinal (Vertical) Weld]]="None"),"-","")))</f>
        <v>-</v>
      </c>
      <c r="BY34" s="185" t="str">
        <f>IF($AZ34="Yes",AY34,IF(Reinforcements[[#This Row],[Reinforcement]]="","",IF(OR(Reinforcements[[#This Row],[Top End Connection Type]]&lt;&gt;"Welded",Reinforcements[[#This Row],[Top Longitudinal (Vertical) Weld]]="none"),"-",SQRT(2)/2*Reinforcements[[#This Row],[Top Longitudinal Weld Fillet Size (in)]])))</f>
        <v>-</v>
      </c>
      <c r="BZ34"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4"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4" s="192">
        <f>IF(Reinforcements[[#This Row],[Reinforcement]]="","",IF(Reinforcements[[#This Row],[Top End Connection Type]]&lt;&gt;"Bolted","n/a",(Reinforcements[[#This Row],['# of End Connection Bolts          (Top)]]-1)*Reinforcements[[#This Row],[End Connection Bolt Spacing (in) (T)]]+Reinforcements[[#This Row],[End Connection Edge Distance (in) (T)]]))</f>
        <v>12</v>
      </c>
      <c r="CC34"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34"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34" s="185">
        <f>IFERROR(IF(Reinforcements[[#This Row],[Type]]="","",Reinforcements[[#This Row],[Effective B (in)]]*Reinforcements[[#This Row],[Effective H (in)]]^3/12),"")</f>
        <v>0.140625</v>
      </c>
      <c r="CF34" s="185">
        <f>IFERROR(IF(Reinforcements[[#This Row],[Type]]="","",Reinforcements[[#This Row],[Effective B (in)]]^3*Reinforcements[[#This Row],[Effective H (in)]]/12),"")</f>
        <v>4</v>
      </c>
      <c r="CG34" s="197">
        <f>SQRT(2*PI()^2*29000/VLOOKUP(Reinforcements[[#This Row],[Material]],Materials[],2,FALSE))</f>
        <v>93.844147005158973</v>
      </c>
      <c r="CH34"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27.836949248856321</v>
      </c>
      <c r="CI34"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37.343267566720399</v>
      </c>
      <c r="CJ34" s="187">
        <f>Reinforcements[[#This Row],[Effective Length Factor Kx]]*Reinforcements[[#This Row],[Lu (in)]]/(Reinforcements[[#This Row],[rx]]*PI())*SQRT(VLOOKUP(Reinforcements[[#This Row],[Material]],Materials[],2,FALSE)/29000)</f>
        <v>0.89093728863455735</v>
      </c>
      <c r="CK34" s="187">
        <f>Reinforcements[[#This Row],[Effective Length Factor Ky]]*Reinforcements[[#This Row],[Lu (in)]]/(Reinforcements[[#This Row],[ry]]*PI())*SQRT(VLOOKUP(Reinforcements[[#This Row],[Material]],Materials[],2,FALSE)/29000)</f>
        <v>0.20881342702372435</v>
      </c>
      <c r="CL34" s="187">
        <f>IF(Reinforcements[[#This Row],[λcx]]&lt;=1.5,0.658^(Reinforcements[[#This Row],[λcx]]^2)*Reinforcements[[#This Row],[F''y]],0.877/(Reinforcements[[#This Row],[λcx]]^2)*Reinforcements[[#This Row],[F''y]])</f>
        <v>46.625839044509597</v>
      </c>
      <c r="CM34" s="187">
        <f>IF(Reinforcements[[#This Row],[λcy]]&lt;=1.5,0.658^(Reinforcements[[#This Row],[λcy]]^2)*Reinforcements[[#This Row],[F''y]],0.877/(Reinforcements[[#This Row],[λcy]]^2)*Reinforcements[[#This Row],[F''y]])</f>
        <v>63.824504474805018</v>
      </c>
      <c r="CN34" s="185">
        <f>VLOOKUP(Reinforcements[[#This Row],[Material]],Materials[],2,FALSE)</f>
        <v>65</v>
      </c>
      <c r="CO34" s="197">
        <f>IF(Reinforcements[[#This Row],[Reinforcement]]="","",Reinforcements[[#This Row],[Fax]]*Reinforcements[[#This Row],[Gross Area (in2)]])</f>
        <v>83.51084774656897</v>
      </c>
      <c r="CP34" s="197">
        <f>IF(Reinforcements[[#This Row],[Reinforcement]]="","",Reinforcements[[#This Row],[Fay]]*Reinforcements[[#This Row],[Gross Area (in2)]])</f>
        <v>112.0298027001612</v>
      </c>
      <c r="CQ34" s="197">
        <f>IF(Reinforcements[[#This Row],[Reinforcement]]="","",0.6*VLOOKUP(Reinforcements[[#This Row],[Material]],Materials[],2,FALSE)*Reinforcements[[#This Row],[Gross Area (in2)]])</f>
        <v>117</v>
      </c>
      <c r="CR34" s="197">
        <f>IF(Reinforcements[[#This Row],[Reinforcement]]="","",0.5*VLOOKUP(Reinforcements[[#This Row],[Material]],Materials[],3,FALSE)*Reinforcements[[#This Row],[Net Area (in2)]]*Reinforcements[[#This Row],[Shear Lag (U)]])</f>
        <v>82.5</v>
      </c>
      <c r="CS34" s="197">
        <f>IF(Reinforcements[[#This Row],[Reinforcement]]="","",0.4*VLOOKUP(Reinforcements[[#This Row],[Material]],Materials[],2,FALSE)*Reinforcements[[#This Row],[Gross Area (in2)]])</f>
        <v>78</v>
      </c>
      <c r="CT34"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4"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93.14252671531986</v>
      </c>
      <c r="CV34"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4"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4"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5.4803149606299213</v>
      </c>
      <c r="CY34"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6.21259842519685</v>
      </c>
      <c r="CZ34"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4"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4"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328.81889763779532</v>
      </c>
      <c r="DC34"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372.75590551181102</v>
      </c>
      <c r="DD34"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4" s="185"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4" s="185" t="str">
        <f>IF($AZ34="Yes",DD34,IF(Reinforcements[[#This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4" s="185" t="str">
        <f>IF($AZ34="Yes",DE34,IF(Reinforcements[[#This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4" s="197">
        <f>IF(Reinforcements[[#This Row],[Reinforcement]]="","",φ_c*Reinforcements[[#This Row],[Fcr,x]]*Reinforcements[[#This Row],[Gross Area (in2)]])</f>
        <v>125.88976542017591</v>
      </c>
      <c r="DI34" s="197">
        <f>IF(Reinforcements[[#This Row],[Reinforcement]]="","",φ_c*Reinforcements[[#This Row],[Fcr,y]]*Reinforcements[[#This Row],[Gross Area (in2)]])</f>
        <v>172.32616208197356</v>
      </c>
      <c r="DJ34" s="197">
        <f>IF(Reinforcements[[#This Row],[Reinforcement]]="","",φ_t_y*VLOOKUP(Reinforcements[[#This Row],[Material]],Materials[],2,FALSE)*Reinforcements[[#This Row],[Gross Area (in2)]])</f>
        <v>175.5</v>
      </c>
      <c r="DK34" s="197">
        <f>IF(Reinforcements[[#This Row],[Reinforcement]]="","",φ_t_r*VLOOKUP(Reinforcements[[#This Row],[Material]],Materials[],3,FALSE)*Reinforcements[[#This Row],[Net Area (in2)]]*Reinforcements[[#This Row],[Shear Lag (U)]])</f>
        <v>123.75</v>
      </c>
      <c r="DL34" s="197">
        <f>IF(Reinforcements[[#This Row],[Reinforcement]]="","",φ_v*0.5*Reinforcements[[#This Row],[F''y]]*Reinforcements[[#This Row],[Gross Area (in2)]])</f>
        <v>87.75</v>
      </c>
      <c r="DM34"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4"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165.07974842400665</v>
      </c>
      <c r="DO34"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4"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4"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8.0541732283464569</v>
      </c>
      <c r="DR34"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10.067716535433071</v>
      </c>
      <c r="DS34"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4"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4"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483.25039370078741</v>
      </c>
      <c r="DV34"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604.06299212598424</v>
      </c>
      <c r="DW34" s="18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4" s="185"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4" s="185" t="str">
        <f>IF($AZ34="Yes",DW34,IF(Reinforcements[[#This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4" s="185" t="str">
        <f>IF($AZ34="Yes",DX34,IF(Reinforcements[[#This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4" s="238" t="str">
        <f>IF(OR(Reinforcements[[#This Row],[Type]]="plate",Reinforcements[[#This Row],[Type]]="solid round"),"N/A",Reinforcements[[#This Row],[B (in)]])</f>
        <v>N/A</v>
      </c>
      <c r="EB34" s="236" t="str">
        <f>IF(OR(Reinforcements[[#This Row],[Type]]="plate",Reinforcements[[#This Row],[Type]]="solid round"),"N/A",Reinforcements[[#This Row],[H (in)]])</f>
        <v>N/A</v>
      </c>
      <c r="EC34" s="236" t="str">
        <f>IF(OR(Reinforcements[[#This Row],[Type]]="plate",Reinforcements[[#This Row],[Type]]="solid round"),"N/A",Reinforcements[[#This Row],[B (in)]]-Reinforcements[[#This Row],['[Channel'] Flange Thickness (in)]])</f>
        <v>N/A</v>
      </c>
      <c r="ED34" s="236" t="str">
        <f>IF(OR(Reinforcements[[#This Row],[Type]]="plate",Reinforcements[[#This Row],[Type]]="solid round"),"N/A",Reinforcements[[#This Row],['[Channel']Web Thickness (in)]])</f>
        <v>N/A</v>
      </c>
      <c r="EE34" s="236" t="str">
        <f>IF(OR(Reinforcements[[#This Row],[Type]]="plate",Reinforcements[[#This Row],[Type]]="solid round"),"N/A",Reinforcements[[#This Row],['[Channel'] Flange Thickness (in)]])</f>
        <v>N/A</v>
      </c>
      <c r="EF34" s="236" t="str">
        <f>IF(Reinforcements[[#This Row],[Type]]="channel",Reinforcements[[#This Row],[Channel Flange Width, b]]/Reinforcements[[#This Row],[Channel flange thickness, tf]],"N/A")</f>
        <v>N/A</v>
      </c>
      <c r="EG34" s="236" t="str">
        <f>IF(Reinforcements[[#This Row],[Type]]="channel",Reinforcements[[#This Row],[Channel inside depth, T]]/Reinforcements[[#This Row],[Channel web thickness, tw]],"N/A")</f>
        <v>N/A</v>
      </c>
      <c r="EH34" s="237">
        <v>29000</v>
      </c>
      <c r="EI34" s="236" t="str">
        <f>IF(Reinforcements[[#This Row],[Type]]="channel",0.56*SQRT(Reinforcements[[#This Row],[E, (ksi)]]/Reinforcements[[#This Row],[Fy, (ksi)]]),"N/A")</f>
        <v>N/A</v>
      </c>
      <c r="EJ34" s="236" t="str">
        <f>IF(Reinforcements[[#This Row],[Type]]="channel",1.49*SQRT(Reinforcements[[#This Row],[E, (ksi)]]/Reinforcements[[#This Row],[Fy, (ksi)]]),"N/A")</f>
        <v>N/A</v>
      </c>
      <c r="EK34" s="236">
        <f>VLOOKUP(Reinforcements[[#This Row],[Material]],Materials!$B$2:$C$30,2,FALSE)</f>
        <v>65</v>
      </c>
      <c r="EL34" s="236">
        <f>Reinforcements[[#This Row],[Lu (in)]]*Reinforcements[[#This Row],[Effective Length Factor Kx]]</f>
        <v>12.8</v>
      </c>
      <c r="EM34" s="236">
        <f>Reinforcements[[#This Row],[Lu (in)]]*Reinforcements[[#This Row],[Effective Length Factor Ky]]</f>
        <v>16</v>
      </c>
      <c r="EN34" s="236">
        <f>Reinforcements[[#This Row],[rx]]</f>
        <v>0.21650635094610965</v>
      </c>
      <c r="EO34" s="236">
        <f>Reinforcements[[#This Row],[ry]]</f>
        <v>1.1547005383792515</v>
      </c>
      <c r="EP34" s="236">
        <f>Reinforcements[[#This Row],[Lcx (in)]]/Reinforcements[[#This Row],[rx (in)]]</f>
        <v>59.120667565017683</v>
      </c>
      <c r="EQ34" s="236">
        <f>Reinforcements[[#This Row],[Lcy (in)]]/Reinforcements[[#This Row],[ry (in)]]</f>
        <v>13.856406460551019</v>
      </c>
      <c r="ER34" s="236">
        <f>((PI()^2)*Reinforcements[[#This Row],[E, (ksi)]])/(Reinforcements[[#This Row],[Lcx/rx]]^2)</f>
        <v>81.887777604558366</v>
      </c>
      <c r="ES34" s="236">
        <f>((PI()^2)*Reinforcements[[#This Row],[E, (ksi)]])/(Reinforcements[[#This Row],[Lcy/ry]]^2)</f>
        <v>1490.7214980812048</v>
      </c>
      <c r="ET34" s="236">
        <f>4.71*(SQRT(Reinforcements[[#This Row],[E, (ksi)]]/Reinforcements[[#This Row],[Fy, (ksi)]]))</f>
        <v>99.486288193205496</v>
      </c>
      <c r="EU34" s="236">
        <f>IF(Reinforcements[[#This Row],[Lcx/rx]]&lt;=Reinforcements[[#This Row],[Fcr Limit]],(0.658^(Reinforcements[[#This Row],[Fy, (ksi)]]/Reinforcements[[#This Row],[Fex, FB (ksi)]]))*Reinforcements[[#This Row],[Fy, (ksi)]],0.877*Reinforcements[[#This Row],[Fex, FB (ksi)]])</f>
        <v>46.625839044509597</v>
      </c>
      <c r="EV34" s="236">
        <f>IF(Reinforcements[[#This Row],[Lcy/ry]]&lt;=Reinforcements[[#This Row],[Fcr Limit]],(0.658^(Reinforcements[[#This Row],[Fy, (ksi)]]/Reinforcements[[#This Row],[Fey, FB (ksi)]]))*Reinforcements[[#This Row],[Fy, (ksi)]],0.877*Reinforcements[[#This Row],[Fey, FB (ksi)]])</f>
        <v>63.824504474805018</v>
      </c>
      <c r="EW34" s="236">
        <f>Reinforcements[[#This Row],[Fcrx (ksi)]]*Reinforcements[[#This Row],[Gross Area (in2)]]</f>
        <v>139.87751713352878</v>
      </c>
      <c r="EX34" s="236">
        <f>Reinforcements[[#This Row],[Fcry (ksi)]]*Reinforcements[[#This Row],[Gross Area (in2)]]</f>
        <v>191.47351342441505</v>
      </c>
      <c r="EY34" s="236" t="str">
        <f>IF(Reinforcements[[#This Row],[Type]]="channel",0,"N/A")</f>
        <v>N/A</v>
      </c>
      <c r="EZ34" s="236" t="str">
        <f>IF(Reinforcements[[#This Row],[Type]]="channel",Reinforcements[[#This Row],[Channel Flange Width, b]]-(0.5*Reinforcements[[#This Row],[Channel web thickness, tw]]),"N/A")</f>
        <v>N/A</v>
      </c>
      <c r="FA34" s="236" t="str">
        <f>IF(Reinforcements[[#This Row],[Type]]="channel",Reinforcements[[#This Row],[Channel Height, h]]-Reinforcements[[#This Row],[Channel flange thickness, tf]],"N/A")</f>
        <v>N/A</v>
      </c>
      <c r="FB34" s="236" t="str">
        <f>IF(Reinforcements[[#This Row],[Type]]="channel",Reinforcements[[#This Row],[Channel web thickness, tw]],"N/A")</f>
        <v>N/A</v>
      </c>
      <c r="FC34" s="236" t="str">
        <f>IF(Reinforcements[[#This Row],[Type]]="channel",((3*Reinforcements[[#This Row],[b]]^2)/(Reinforcements[[#This Row],[h]]+(6*Reinforcements[[#This Row],[b]])))-Reinforcements[[#This Row],[t]]/2,"N/A")</f>
        <v>N/A</v>
      </c>
      <c r="FD34" s="236">
        <f>Reinforcements[[#This Row],[Pole Face to Centroid (in)]]</f>
        <v>0.375</v>
      </c>
      <c r="FE34" s="236" t="str">
        <f>IF(Reinforcements[[#This Row],[Type]]="channel",Reinforcements[[#This Row],[x(bar)]]+Reinforcements[[#This Row],['[Channel'] e0 (in)]],"N/A")</f>
        <v>N/A</v>
      </c>
      <c r="FF34" s="236" t="str">
        <f>IF(Reinforcements[[#This Row],[Type]]="channel",Reinforcements[[#This Row],[Ix]],"N/A")</f>
        <v>N/A</v>
      </c>
      <c r="FG34" s="236" t="str">
        <f>IF(Reinforcements[[#This Row],[Type]]="channel",Reinforcements[[#This Row],[Iy]],"N/A")</f>
        <v>N/A</v>
      </c>
      <c r="FH34" s="236" t="str">
        <f>IF(Reinforcements[[#This Row],[Type]]="channel",Reinforcements[[#This Row],[Gross Area (in2)]],"N/A")</f>
        <v>N/A</v>
      </c>
      <c r="FI34" s="236" t="str">
        <f>IF(Reinforcements[[#This Row],[Type]]="channel",(Reinforcements[[#This Row],[xo]]^2)+((Reinforcements[[#This Row],[Ix (FTB)]]+Reinforcements[[#This Row],[Iy (FTB)]])/Reinforcements[[#This Row],[Ag]]),"N/A")</f>
        <v>N/A</v>
      </c>
      <c r="FJ34" s="236" t="str">
        <f>IF(Reinforcements[[#This Row],[Type]]="channel",Reinforcements[[#This Row],[Lu (in)]],"N/A")</f>
        <v>N/A</v>
      </c>
      <c r="FK34" s="236" t="str">
        <f>IF(Reinforcements[[#This Row],[Type]]="channel",Reinforcements[[#This Row],[Effective Length Factor Kx]],"N/A")</f>
        <v>N/A</v>
      </c>
      <c r="FL34" s="236" t="str">
        <f>IF(Reinforcements[[#This Row],[Type]]="channel",Reinforcements[[#This Row],[Kz]]*Reinforcements[[#This Row],[Lz]],"N/A")</f>
        <v>N/A</v>
      </c>
      <c r="FM34" s="236" t="str">
        <f>IF(Reinforcements[[#This Row],[Type]]="channel",(((Reinforcements[[#This Row],[t]]^3)/3)*(Reinforcements[[#This Row],[h]]+(2*Reinforcements[[#This Row],[b]]))),"N/A")</f>
        <v>N/A</v>
      </c>
      <c r="FN34" s="236" t="str">
        <f>IF(Reinforcements[[#This Row],[Type]]="channel",(1-(((Reinforcements[[#This Row],[xo]]^2)+(Reinforcements[[#This Row],[yo]]^2))/Reinforcements[[#This Row],[ro^2(bar)]])),"N/A")</f>
        <v>N/A</v>
      </c>
      <c r="FO34" s="237">
        <v>11200</v>
      </c>
      <c r="FP34" s="236" t="str">
        <f>IF(Reinforcements[[#This Row],[Type]]="channel",(((Reinforcements[[#This Row],[h]]^2)*(Reinforcements[[#This Row],[b]]^3)*Reinforcements[[#This Row],[t]])/12)*(((2*Reinforcements[[#This Row],[h]])+(3*Reinforcements[[#This Row],[b]]))/(Reinforcements[[#This Row],[h]]+(6*Reinforcements[[#This Row],[b]]))),"N/A")</f>
        <v>N/A</v>
      </c>
      <c r="FQ34" s="236" t="str">
        <f>IF(Reinforcements[[#This Row],[Type]]="Channel",((((PI()^2)*Reinforcements[[#This Row],[E, (ksi)]]*Reinforcements[[#This Row],['[Channel'] CW (in6)]])/(Reinforcements[[#This Row],[Lcz]]^2))+(Reinforcements[[#This Row],[G]]*Reinforcements[[#This Row],['[Channel'] J (in4)]]))*(1/(Reinforcements[[#This Row],[Ag]]*Reinforcements[[#This Row],[ro^2(bar)]])),"N/A")</f>
        <v>N/A</v>
      </c>
      <c r="FR34" s="236" t="str">
        <f>IF(Reinforcements[[#This Row],[Type]]="channel",((PI()^2)*Reinforcements[[#This Row],[E, (ksi)]])/(Reinforcements[[#This Row],[Lcy/ry]]^2),"N/A")</f>
        <v>N/A</v>
      </c>
      <c r="FS34" s="236" t="str">
        <f>IF(Reinforcements[[#This Row],[Type]]="channel",((Reinforcements[[#This Row],[Fey]]+Reinforcements[[#This Row],[Fez]])/(2*Reinforcements[[#This Row],[H2]]))*(1-SQRT(1-((4*Reinforcements[[#This Row],[Fey]]*Reinforcements[[#This Row],[Fez]]*Reinforcements[[#This Row],[H2]])/(Reinforcements[[#This Row],[Fey]]+Reinforcements[[#This Row],[Fez]])^2))),"N/A")</f>
        <v>N/A</v>
      </c>
      <c r="FT34" s="236" t="str">
        <f>IF(Reinforcements[[#This Row],[Type]]="channel",IF(Reinforcements[[#This Row],[Lcx/rx]]&gt;(4.71*SQRT(Reinforcements[[#This Row],[E, (ksi)]]/Reinforcements[[#This Row],[Fy, (ksi)]])),0.877*Reinforcements[[#This Row],[Fe (FTB)]],0.658^(Reinforcements[[#This Row],[Fy, (ksi)]]/Reinforcements[[#This Row],[Fe (FTB)]])*Reinforcements[[#This Row],[Fy, (ksi)]]),"N/A")</f>
        <v>N/A</v>
      </c>
      <c r="FU34" s="236" t="str">
        <f>IF(Reinforcements[[#This Row],[Type]]="channel",MIN(Reinforcements[[#This Row],[Fcr(FTB)]],Reinforcements[[#This Row],[Fcry (ksi)]]),"N/A")</f>
        <v>N/A</v>
      </c>
      <c r="FV34" s="237">
        <v>0.22</v>
      </c>
      <c r="FW34" s="237">
        <v>1.49</v>
      </c>
      <c r="FX34" s="236" t="str">
        <f>IF(Reinforcements[[#This Row],[Type]]="channel",((Reinforcements[[#This Row],[c2]]*(Reinforcements[[#This Row],[λrf]]/Reinforcements[[#This Row],[λf]]))^2)*Reinforcements[[#This Row],[Fy, (ksi)]],"N/A")</f>
        <v>N/A</v>
      </c>
      <c r="FY34" s="236" t="str">
        <f>IF(Reinforcements[[#This Row],[Type]]="channel",((Reinforcements[[#This Row],[c2]]*(Reinforcements[[#This Row],[λrw]]/Reinforcements[[#This Row],[λw]]))^2)*Reinforcements[[#This Row],[Fy, (ksi)]],"N/A")</f>
        <v>N/A</v>
      </c>
      <c r="FZ34"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4"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4"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4" s="236" t="str">
        <f>IF(Reinforcements[[#This Row],[Type]]="channel",Reinforcements[[#This Row],[Fcr]]*Reinforcements[[#This Row],[Ae]],"N/A")</f>
        <v>N/A</v>
      </c>
      <c r="GD34" s="466">
        <f>IF(Reinforcements[[#This Row],[Reinforcement]]="","",φ_c*Reinforcements[[#This Row],[Pnx, FB (kip)]])</f>
        <v>125.88976542017591</v>
      </c>
      <c r="GE34" s="466">
        <f>IF(Reinforcements[[#This Row],[Reinforcement]]="","",IF(Reinforcements[[#This Row],[Type]]="channel",φ_c*Reinforcements[[#This Row],[Pn]],φ_c*Reinforcements[[#This Row],[Pny, FB (kip)]]))</f>
        <v>172.32616208197354</v>
      </c>
      <c r="GF34" s="466">
        <f>Reinforcements[[#This Row],[Rev. G Tension Yield Capacity (kips)]]</f>
        <v>175.5</v>
      </c>
      <c r="GG34" s="466">
        <f>Reinforcements[[#This Row],[Rev. G Tension Rupture Capacity (kips)]]</f>
        <v>123.75</v>
      </c>
      <c r="GH34" s="466">
        <f>Reinforcements[[#This Row],[Rev. G Shear Capacity (kips)]]</f>
        <v>87.75</v>
      </c>
      <c r="GI34" s="466" t="str">
        <f>IFERROR((Reinforcements[[#This Row],['# of End Connection Bolts          (Bottom)]]-1)*Reinforcements[[#This Row],[End Connection Bolt Spacing (in) (B)]],"-")</f>
        <v>-</v>
      </c>
      <c r="GJ34" s="466">
        <f>IFERROR(IF(VLOOKUP(Reinforcements[[#This Row],[Bottom End Connection Bolt Type]],Bolts[],COLUMN(Bolts[[#Headers],[Rev. H Apply Connection Length Reduction Factor (Rb)?]])-1,FALSE)="Yes",(IF(Reinforcements[[#This Row],[Lb(bottom)]]&lt;=16,1,IF(Reinforcements[[#This Row],[Lb(bottom)]]&gt;38,0.75,0.9))),1),"-")</f>
        <v>1</v>
      </c>
      <c r="GK34"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4" s="466">
        <f>IFERROR(IF(Reinforcements[[#This Row],[Top End Connection Same?]]="Yes",Reinforcements[[#This Row],[Lb(bottom)]],(Reinforcements[[#This Row],['# of End Connection Bolts          (Top)]]-1)*Reinforcements[[#This Row],[End Connection Bolt Spacing (in) (T)]]),"-")</f>
        <v>9</v>
      </c>
      <c r="GM34" s="466">
        <f>IFERROR(IF(VLOOKUP(Reinforcements[[#This Row],[Top End Connection Bolt Type]],Bolts[],COLUMN(Bolts[[#Headers],[Rev. H Apply Connection Length Reduction Factor (Rb)?]])-1,FALSE)="Yes",(IF(Reinforcements[[#This Row],[Lb(top)]]&lt;=16,1,IF(Reinforcements[[#This Row],[Lb(top)]]&gt;38,0.75,0.9))),1),"-")</f>
        <v>1</v>
      </c>
      <c r="GN34"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185.59856388327174</v>
      </c>
      <c r="GO34" s="466" t="str">
        <f>Reinforcements[[#This Row],[Rev. G Bolt-Shaft Bearing Capacity (Bottom)                No Deformation          (*t*Fu kips)]]</f>
        <v>-</v>
      </c>
      <c r="GP34" s="466" t="str">
        <f>Reinforcements[[#This Row],[Rev. G Bolt-Shaft Bearing Capacity (Bottom)                   Deformation          (*t*Fu kips)]]</f>
        <v>-</v>
      </c>
      <c r="GQ34" s="466">
        <f>Reinforcements[[#This Row],[Rev. G Bolt-Shaft Bearing Capacity (Top)                    No Deformation          (*t*Fu kips)]]</f>
        <v>8.0541732283464569</v>
      </c>
      <c r="GR34" s="466">
        <f>Reinforcements[[#This Row],[Rev. G Bolt-Shaft Bearing Capacity (Top)                        Deformation          (*t*Fu kips)]]</f>
        <v>10.067716535433071</v>
      </c>
      <c r="GS34" s="466" t="str">
        <f>Reinforcements[[#This Row],[Rev. G Bolt-Reinf. Bearing Capacity (Bottom)            No Deformation (kips)]]</f>
        <v>-</v>
      </c>
      <c r="GT34" s="466" t="str">
        <f>Reinforcements[[#This Row],[Rev. G Bolt-Reinf. Bearing Capacity (Bottom)               Deformation (kips)]]</f>
        <v>-</v>
      </c>
      <c r="GU34" s="466">
        <f>Reinforcements[[#This Row],[Rev. G Bolt-Reinf. Bearing Capacity (Top)                  No Deformation (kips)]]</f>
        <v>483.25039370078741</v>
      </c>
      <c r="GV34" s="466">
        <f>Reinforcements[[#This Row],[Rev. G Bolt-Reinf. Bearing Capacity (Top)               Deformation (kips)]]</f>
        <v>604.06299212598424</v>
      </c>
      <c r="GW34" s="466" t="str">
        <f>Reinforcements[[#This Row],[Rev. G Bottom Transverse Weld Strength]]</f>
        <v>-</v>
      </c>
      <c r="GX34" s="466" t="str">
        <f>Reinforcements[[#This Row],[Rev. G Bottom Longitudinal Weld Strength]]</f>
        <v>-</v>
      </c>
      <c r="GY34" s="466" t="str">
        <f>Reinforcements[[#This Row],[Rev. G Top Transverse Weld Strength]]</f>
        <v>-</v>
      </c>
      <c r="GZ34" s="466" t="str">
        <f>Reinforcements[[#This Row],[Rev. G Top Longitudinal Weld Strength]]</f>
        <v>-</v>
      </c>
      <c r="HA34" s="552">
        <v>32</v>
      </c>
      <c r="HB34"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5" spans="2:210" x14ac:dyDescent="0.2">
      <c r="B35" s="72" t="s">
        <v>868</v>
      </c>
      <c r="C35" s="72" t="s">
        <v>146</v>
      </c>
      <c r="D35" s="185">
        <v>4</v>
      </c>
      <c r="E35" s="185">
        <v>1.25</v>
      </c>
      <c r="F35" s="185" t="str">
        <f>IF(Reinforcements[[#This Row],[Type]]="","",IF(Reinforcements[[#This Row],[Type]]="solid round","","n/a"))</f>
        <v>n/a</v>
      </c>
      <c r="G35" s="185" t="str">
        <f>IF(Reinforcements[[#This Row],[Type]]="","",IF(Reinforcements[[#This Row],[Type]]&lt;&gt;"channel","n/a",""))</f>
        <v>n/a</v>
      </c>
      <c r="H35" s="185" t="str">
        <f>IF(Reinforcements[[#This Row],[Type]]="","",IF(Reinforcements[[#This Row],[Type]]&lt;&gt;"channel","n/a",""))</f>
        <v>n/a</v>
      </c>
      <c r="I35" s="197" t="str">
        <f>IF(Reinforcements[[#This Row],[Type]]="","",IF(Reinforcements[[#This Row],[Type]]&lt;&gt;"channel","n/a",Reinforcements[[#This Row],[eo]]))</f>
        <v>n/a</v>
      </c>
      <c r="J35" s="197" t="str">
        <f>IF(Reinforcements[[#This Row],[Type]]="","",IF(Reinforcements[[#This Row],[Type]]&lt;&gt;"channel","n/a",Reinforcements[[#This Row],[J]]))</f>
        <v>n/a</v>
      </c>
      <c r="K35" s="197" t="str">
        <f>IF(Reinforcements[[#This Row],[Type]]="","",IF(Reinforcements[[#This Row],[Type]]&lt;&gt;"channel","n/a",Reinforcements[[#This Row],[Cw]]))</f>
        <v>n/a</v>
      </c>
      <c r="L35" s="185">
        <f>IFERROR(IF(Reinforcements[[#This Row],[Type]]="","",IF(Reinforcements[[#This Row],[Type]]="plate",Reinforcements[[#This Row],[B (in)]]*Reinforcements[[#This Row],[H (in)]],IF(Reinforcements[[#This Row],[Type]]="solid round",PI()/4*Reinforcements[[#This Row],[Diameter (in)]]^2,""))),"")</f>
        <v>5</v>
      </c>
      <c r="M35" s="185">
        <f>IFERROR(IF(Reinforcements[[#This Row],[Type]]="","",IF(Reinforcements[[#This Row],[Type]]="plate",Reinforcements[[#This Row],[H (in)]]/2,"")),"")</f>
        <v>0.625</v>
      </c>
      <c r="N35" s="199" t="s">
        <v>297</v>
      </c>
      <c r="O35" s="192" t="s">
        <v>60</v>
      </c>
      <c r="P35" s="187">
        <f>IFERROR(IF(Reinforcements[[#This Row],[Type]]="","",IF(Reinforcements[[#This Row],[Type]]="plate",Reinforcements[[#This Row],[B (in)]]*Reinforcements[[#This Row],[H (in)]]^3/12,IF(Reinforcements[[#This Row],[Type]]="solid round",PI()/64*Reinforcements[[#This Row],[Diameter (in)]]^4,""))),"")</f>
        <v>0.65104166666666663</v>
      </c>
      <c r="Q35" s="187">
        <f>IF(Reinforcements[[#This Row],[Reinforcement]]="","",SQRT(Reinforcements[[#This Row],[Ix]]/Reinforcements[[#This Row],[Gross Area (in2)]]))</f>
        <v>0.36084391824351608</v>
      </c>
      <c r="R35" s="187">
        <f>IFERROR(IF(Reinforcements[[#This Row],[Type]]="","",IF(Reinforcements[[#This Row],[Type]]="plate",Reinforcements[[#This Row],[B (in)]]^3*Reinforcements[[#This Row],[H (in)]]/12,IF(Reinforcements[[#This Row],[Type]]="solid round",PI()/64*Reinforcements[[#This Row],[Diameter (in)]]^4,""))),"")</f>
        <v>6.666666666666667</v>
      </c>
      <c r="S35" s="187">
        <f>IF(Reinforcements[[#This Row],[Reinforcement]]="","",SQRT(Reinforcements[[#This Row],[Iy]]/Reinforcements[[#This Row],[Gross Area (in2)]]))</f>
        <v>1.1547005383792517</v>
      </c>
      <c r="T35" s="190">
        <v>27</v>
      </c>
      <c r="U35" s="188">
        <v>0.8</v>
      </c>
      <c r="V35" s="188">
        <v>1</v>
      </c>
      <c r="W35" s="185">
        <v>1.1875</v>
      </c>
      <c r="X35" s="188">
        <f>IF(Reinforcements[[#This Row],[Bolt Hole Size (in)]]="","",IF(Reinforcements[[#This Row],[Bolt Hole Size (in)]]="n/a","n/a",Reinforcements[[#This Row],[Bolt Hole Size (in)]]*25.4))</f>
        <v>30.162499999999998</v>
      </c>
      <c r="Y35"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3.4375</v>
      </c>
      <c r="Z35" s="185">
        <f>IFERROR(IF(Reinforcements[[#This Row],[Reinforcement]]="","",IF(OR(Reinforcements[[#This Row],[Type]]="plate",Reinforcements[[#This Row],[Type]]="solid round"),1,IF(Reinforcements[[#This Row],[Type]]="arbitrary","",1-Reinforcements[[#This Row],[Pole Face to Centroid (in)]]/Reinforcements[[#This Row],[Connection Length (in) '[Channels']]]))),"")</f>
        <v>1</v>
      </c>
      <c r="AA35" s="527" t="s">
        <v>578</v>
      </c>
      <c r="AB35" s="189" t="str">
        <f>IF(Reinforcements[[#This Row],[Reinforcement]]="","",IF(Reinforcements[[#This Row],[Bottom End Connection Type]]&lt;&gt;"Capacity Input","-",""))</f>
        <v>-</v>
      </c>
      <c r="AC35" s="189" t="str">
        <f>IF(Reinforcements[[#This Row],[Reinforcement]]="","",IF(Reinforcements[[#This Row],[Bottom End Connection Type]]&lt;&gt;"Capacity Input","-",""))</f>
        <v>-</v>
      </c>
      <c r="AD35" s="461" t="str">
        <f>IF(Reinforcements[[#This Row],[Reinforcement]]="","",IF(Reinforcements[[#This Row],[Bottom End Connection Type]]&lt;&gt;"Capacity Input","-",""))</f>
        <v>-</v>
      </c>
      <c r="AE35" s="103" t="str">
        <f>IF(Reinforcements[[#This Row],[Reinforcement]]="","",IF(Reinforcements[[#This Row],[Bottom End Connection Type]]="","-",IF(Reinforcements[[#This Row],[Bottom End Connection Type]]&lt;&gt;"Bolted","-","")))</f>
        <v>-</v>
      </c>
      <c r="AF35" s="190" t="str">
        <f>IF(Reinforcements[[#This Row],[Reinforcement]]="","",IF(Reinforcements[[#This Row],[Bottom End Connection Type]]="","-",IF(Reinforcements[[#This Row],[Bottom End Connection Type]]&lt;&gt;"Bolted","-","")))</f>
        <v>-</v>
      </c>
      <c r="AG35" s="190" t="str">
        <f>IF(Reinforcements[[#This Row],[Reinforcement]]="","",IF(Reinforcements[[#This Row],[Bottom End Connection Type]]="","-",IF(Reinforcements[[#This Row],[Bottom End Connection Type]]&lt;&gt;"Bolted","-","")))</f>
        <v>-</v>
      </c>
      <c r="AH35" s="190" t="str">
        <f>IF(Reinforcements[[#This Row],[Reinforcement]]="","",IF(Reinforcements[[#This Row],[Bottom End Connection Type]]="","-",IF(Reinforcements[[#This Row],[Bottom End Connection Type]]&lt;&gt;"Bolted","-","")))</f>
        <v>-</v>
      </c>
      <c r="AI35" s="190" t="str">
        <f>IF(Reinforcements[[#This Row],[Reinforcement]]="","",IF(Reinforcements[[#This Row],[Bottom End Connection Type]]="","-",IF(Reinforcements[[#This Row],[Bottom End Connection Type]]&lt;&gt;"Bolted","-","")))</f>
        <v>-</v>
      </c>
      <c r="AJ35" s="190" t="e">
        <f>Reinforcements[[#This Row],[End Connection Edge Distance (in) (B)]]-(Reinforcements[[#This Row],[Bolt Hole Size (in)]]+1/16)/2</f>
        <v>#VALUE!</v>
      </c>
      <c r="AK35" s="190" t="e">
        <f>Reinforcements[[#This Row],[End Connection Bolt Spacing (in) (B)]]-(Reinforcements[[#This Row],[Bolt Hole Size (in)]]+1/16)</f>
        <v>#VALUE!</v>
      </c>
      <c r="AL35" s="190" t="str">
        <f>Reinforcements[[#This Row],[End Connection Edge Distance (in) (B)]]</f>
        <v>-</v>
      </c>
      <c r="AM35" s="190" t="str">
        <f>Reinforcements[[#This Row],[End Connection Bolt Spacing (in) (B)]]</f>
        <v>-</v>
      </c>
      <c r="AN35" s="190" t="s">
        <v>295</v>
      </c>
      <c r="AO35" s="191">
        <v>70</v>
      </c>
      <c r="AP35" s="191" t="s">
        <v>577</v>
      </c>
      <c r="AQ35" s="191">
        <v>4</v>
      </c>
      <c r="AR35" s="190">
        <v>1.25</v>
      </c>
      <c r="AS35" s="190">
        <v>45</v>
      </c>
      <c r="AT35" s="191">
        <v>0.25</v>
      </c>
      <c r="AU35"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5" s="191" t="s">
        <v>528</v>
      </c>
      <c r="AW35" s="191" t="str">
        <f>IF(Reinforcements[[#This Row],[Reinforcement]]="","",IF(OR(Reinforcements[[#This Row],[Bottom End Connection Type]]&lt;&gt;"Welded",Reinforcements[[#This Row],[Bottom Longitudinal (Vertical) Weld]]="None",Reinforcements[[#This Row],[Bottom Longitudinal (Vertical) Weld]]=""),"-",""))</f>
        <v>-</v>
      </c>
      <c r="AX35" s="191" t="str">
        <f>IF(Reinforcements[[#This Row],[Reinforcement]]="","",IF(OR(Reinforcements[[#This Row],[Bottom End Connection Type]]&lt;&gt;"Welded",Reinforcements[[#This Row],[Bottom Longitudinal (Vertical) Weld]]="None",Reinforcements[[#This Row],[Bottom Longitudinal (Vertical) Weld]]=""),"-",""))</f>
        <v>-</v>
      </c>
      <c r="AY35" s="190" t="str">
        <f>IF(Reinforcements[[#This Row],[Reinforcement]]="","",IF(OR(Reinforcements[[#This Row],[Bottom End Connection Type]]&lt;&gt;"Welded",Reinforcements[[#This Row],[Bottom Longitudinal (Vertical) Weld]]="None"),"-",SQRT(2)/2*Reinforcements[[#This Row],[Bottom Longitudinal Weld Fillet Size (in)]]))</f>
        <v>-</v>
      </c>
      <c r="AZ35" s="190" t="s">
        <v>297</v>
      </c>
      <c r="BA35" s="189" t="s">
        <v>391</v>
      </c>
      <c r="BB35" s="189" t="str">
        <f>IF(Reinforcements[[#This Row],[Reinforcement]]="","",IF(Reinforcements[[#This Row],[Top End Connection Same?]]="Yes",Reinforcements[[#This Row],[Rev. F Bottom Connection Capacity (kips)]],IF(Reinforcements[[#This Row],[Reinforcement]]="","",IF(Reinforcements[[#This Row],[Top End Connection Type]]&lt;&gt;"Capacity Input","-",""))))</f>
        <v>-</v>
      </c>
      <c r="BC35" s="189" t="str">
        <f>IF(Reinforcements[[#This Row],[Reinforcement]]="","",IF(Reinforcements[[#This Row],[Top End Connection Same?]]="Yes",Reinforcements[[#This Row],[Rev. G Bottom Connection Capacity (kips)]],IF(Reinforcements[[#This Row],[Reinforcement]]="","",IF(Reinforcements[[#This Row],[Top End Connection Type]]&lt;&gt;"Capacity Input","-",""))))</f>
        <v>-</v>
      </c>
      <c r="BD35" s="461" t="str">
        <f>IF(Reinforcements[[#This Row],[Reinforcement]]="","",IF(Reinforcements[[#This Row],[Top End Connection Same?]]="Yes",Reinforcements[[#This Row],[Rev. G Bottom Connection Capacity (kips)]],IF(Reinforcements[[#This Row],[Reinforcement]]="","",IF(Reinforcements[[#This Row],[Top End Connection Type]]&lt;&gt;"Capacity Input","-",""))))</f>
        <v>-</v>
      </c>
      <c r="BE35" s="103" t="s">
        <v>416</v>
      </c>
      <c r="BF35" s="190" t="s">
        <v>296</v>
      </c>
      <c r="BG35" s="190">
        <v>6</v>
      </c>
      <c r="BH35" s="190">
        <v>3</v>
      </c>
      <c r="BI35" s="190">
        <v>3</v>
      </c>
      <c r="BJ35" s="190">
        <f>Reinforcements[[#This Row],[End Connection Edge Distance (in) (T)]]-(Reinforcements[[#This Row],[Bolt Hole Size (in)]]+1/16)/2</f>
        <v>2.375</v>
      </c>
      <c r="BK35" s="190">
        <f>Reinforcements[[#This Row],[End Connection Bolt Spacing (in) (T)]]-(Reinforcements[[#This Row],[Bolt Hole Size (in)]]+1/16)</f>
        <v>1.75</v>
      </c>
      <c r="BL35" s="190">
        <f>Reinforcements[[#This Row],[End Connection Edge Distance (in) (T)]]</f>
        <v>3</v>
      </c>
      <c r="BM35" s="190">
        <f>Reinforcements[[#This Row],[End Connection Bolt Spacing (in) (T)]]</f>
        <v>3</v>
      </c>
      <c r="BN35" s="190" t="str">
        <f>IF(Reinforcements[[#This Row],[Reinforcement]]="","",IF(Reinforcements[[#This Row],[Top End Connection Same?]]="Yes",Reinforcements[[#This Row],[Bottom Connected to Flange/Base Plate?]],IF(Reinforcements[[#This Row],[Top End Connection Type]]="Bolted","-","")))</f>
        <v>-</v>
      </c>
      <c r="BO35" s="190" t="str">
        <f>IF(Reinforcements[[#This Row],[Reinforcement]]="","",IF(Reinforcements[[#This Row],[Top End Connection Same?]]="Yes",Reinforcements[[#This Row],[Bottom Weld Grade (ksi)]],IF(OR(Reinforcements[[#This Row],[Top End Connection Type]]&lt;&gt;"Welded",Reinforcements[[#This Row],[Top End Connection Type]]=""),"-","")))</f>
        <v>-</v>
      </c>
      <c r="BP35" s="190" t="str">
        <f>IF($AZ35="Yes",AP35,IF(Reinforcements[[#This Row],[Reinforcement]]="","",IF(OR(Reinforcements[[#This Row],[Top End Connection Type]]&lt;&gt;"Welded",Reinforcements[[#This Row],[Top End Connection Type]]=""),"-","")))</f>
        <v>-</v>
      </c>
      <c r="BQ35" s="190" t="str">
        <f>IF(Reinforcements[[#This Row],[Reinforcement]]="","",IF($AZ35="Yes",AQ35,IF(OR(Reinforcements[[#This Row],[Top End Connection Type]]&lt;&gt;"Welded",Reinforcements[[#This Row],[Top Transverse (Horizontal) Weld]]="none",Reinforcements[[#This Row],[Top Transverse (Horizontal) Weld]]=""),"-","")))</f>
        <v>-</v>
      </c>
      <c r="BR35" s="190" t="str">
        <f>IF($AZ35="Yes",AR35,IF(Reinforcements[[#This Row],[Reinforcement]]="","",IF(OR(Reinforcements[[#This Row],[Top Transverse (Horizontal) Weld]]="none",Reinforcements[[#This Row],[Top End Connection Type]]&lt;&gt;"Welded",Reinforcements[[#This Row],[Top Transverse (Horizontal) Weld]]="",Reinforcements[[#This Row],[Top Transverse (Horizontal) Weld]]="Fillet"),"-","")))</f>
        <v>-</v>
      </c>
      <c r="BS35" s="190" t="str">
        <f>IF($AZ35="Yes",AS35,IF(Reinforcements[[#This Row],[Reinforcement]]="","",IF(OR(Reinforcements[[#This Row],[Top Transverse (Horizontal) Weld]]="none",Reinforcements[[#This Row],[Top End Connection Type]]&lt;&gt;"Welded",Reinforcements[[#This Row],[Top Transverse (Horizontal) Weld]]="",Reinforcements[[#This Row],[Top Transverse (Horizontal) Weld]]="Fillet"),"-","")))</f>
        <v>-</v>
      </c>
      <c r="BT35" s="190" t="str">
        <f>IF(Reinforcements[[#This Row],[Reinforcement]]="","",IF($AZ35="Yes",AT35,IF(OR(Reinforcements[[#This Row],[Top Transverse (Horizontal) Weld]]="none",Reinforcements[[#This Row],[Top End Connection Type]]&lt;&gt;"Welded",Reinforcements[[#This Row],[Top Transverse (Horizontal) Weld]]=""),"-","")))</f>
        <v>-</v>
      </c>
      <c r="BU35" s="190" t="str">
        <f>IF($AZ35="Yes",AU35,IF(Reinforcements[[#This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5" s="190" t="str">
        <f>IF($AZ35="Yes",AV35,IF(Reinforcements[[#This Row],[Reinforcement]]="","",IF(OR(Reinforcements[[#This Row],[Top End Connection Type]]&lt;&gt;"Welded",Reinforcements[[#This Row],[Top End Connection Type]]=""),"-","")))</f>
        <v>-</v>
      </c>
      <c r="BW35" s="190" t="str">
        <f>IF($AZ35="Yes",AW35,IF(Reinforcements[[#This Row],[Reinforcement]]="","",IF(OR(Reinforcements[[#This Row],[Top End Connection Type]]&lt;&gt;"Welded",Reinforcements[[#This Row],[Top End Connection Type]]="",Reinforcements[[#This Row],[Top Longitudinal (Vertical) Weld]]="",Reinforcements[[#This Row],[Top Longitudinal (Vertical) Weld]]="None"),"-","")))</f>
        <v>-</v>
      </c>
      <c r="BX35" s="190" t="str">
        <f>IF($AZ35="Yes",AX35,IF(Reinforcements[[#This Row],[Reinforcement]]="","",IF(OR(Reinforcements[[#This Row],[Top End Connection Type]]&lt;&gt;"Welded",Reinforcements[[#This Row],[Top End Connection Type]]="",Reinforcements[[#This Row],[Top Longitudinal (Vertical) Weld]]="",Reinforcements[[#This Row],[Top Longitudinal (Vertical) Weld]]="None"),"-","")))</f>
        <v>-</v>
      </c>
      <c r="BY35" s="190" t="str">
        <f>IF($AZ35="Yes",AY35,IF(Reinforcements[[#This Row],[Reinforcement]]="","",IF(OR(Reinforcements[[#This Row],[Top End Connection Type]]&lt;&gt;"Welded",Reinforcements[[#This Row],[Top Longitudinal (Vertical) Weld]]="none"),"-",SQRT(2)/2*Reinforcements[[#This Row],[Top Longitudinal Weld Fillet Size (in)]])))</f>
        <v>-</v>
      </c>
      <c r="BZ35"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5"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5" s="192">
        <f>IF(Reinforcements[[#This Row],[Reinforcement]]="","",IF(Reinforcements[[#This Row],[Top End Connection Type]]&lt;&gt;"Bolted","n/a",(Reinforcements[[#This Row],['# of End Connection Bolts          (Top)]]-1)*Reinforcements[[#This Row],[End Connection Bolt Spacing (in) (T)]]+Reinforcements[[#This Row],[End Connection Edge Distance (in) (T)]]))</f>
        <v>18</v>
      </c>
      <c r="CC35"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35"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5" s="185">
        <f>IFERROR(IF(Reinforcements[[#This Row],[Type]]="","",Reinforcements[[#This Row],[Effective B (in)]]*Reinforcements[[#This Row],[Effective H (in)]]^3/12),"")</f>
        <v>0.65104166666666663</v>
      </c>
      <c r="CF35" s="185">
        <f>IFERROR(IF(Reinforcements[[#This Row],[Type]]="","",Reinforcements[[#This Row],[Effective B (in)]]^3*Reinforcements[[#This Row],[Effective H (in)]]/12),"")</f>
        <v>6.666666666666667</v>
      </c>
      <c r="CG35" s="197">
        <f>SQRT(2*PI()^2*29000/VLOOKUP(Reinforcements[[#This Row],[Material]],Materials[],2,FALSE))</f>
        <v>93.844147005158973</v>
      </c>
      <c r="CH35"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27.637499827371208</v>
      </c>
      <c r="CI35"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35.82264293544381</v>
      </c>
      <c r="CJ35" s="187">
        <f>Reinforcements[[#This Row],[Effective Length Factor Kx]]*Reinforcements[[#This Row],[Lu (in)]]/(Reinforcements[[#This Row],[rx]]*PI())*SQRT(VLOOKUP(Reinforcements[[#This Row],[Material]],Materials[],2,FALSE)/29000)</f>
        <v>0.90207400474248911</v>
      </c>
      <c r="CK35" s="187">
        <f>Reinforcements[[#This Row],[Effective Length Factor Ky]]*Reinforcements[[#This Row],[Lu (in)]]/(Reinforcements[[#This Row],[ry]]*PI())*SQRT(VLOOKUP(Reinforcements[[#This Row],[Material]],Materials[],2,FALSE)/29000)</f>
        <v>0.35237265810253476</v>
      </c>
      <c r="CL35" s="187">
        <f>IF(Reinforcements[[#This Row],[λcx]]&lt;=1.5,0.658^(Reinforcements[[#This Row],[λcx]]^2)*Reinforcements[[#This Row],[F''y]],0.877/(Reinforcements[[#This Row],[λcx]]^2)*Reinforcements[[#This Row],[F''y]])</f>
        <v>46.237777195184954</v>
      </c>
      <c r="CM35" s="187">
        <f>IF(Reinforcements[[#This Row],[λcy]]&lt;=1.5,0.658^(Reinforcements[[#This Row],[λcy]]^2)*Reinforcements[[#This Row],[F''y]],0.877/(Reinforcements[[#This Row],[λcy]]^2)*Reinforcements[[#This Row],[F''y]])</f>
        <v>61.70823202958254</v>
      </c>
      <c r="CN35" s="185">
        <f>VLOOKUP(Reinforcements[[#This Row],[Material]],Materials[],2,FALSE)</f>
        <v>65</v>
      </c>
      <c r="CO35" s="197">
        <f>IF(Reinforcements[[#This Row],[Reinforcement]]="","",Reinforcements[[#This Row],[Fax]]*Reinforcements[[#This Row],[Gross Area (in2)]])</f>
        <v>138.18749913685605</v>
      </c>
      <c r="CP35" s="197">
        <f>IF(Reinforcements[[#This Row],[Reinforcement]]="","",Reinforcements[[#This Row],[Fay]]*Reinforcements[[#This Row],[Gross Area (in2)]])</f>
        <v>179.11321467721905</v>
      </c>
      <c r="CQ35" s="197">
        <f>IF(Reinforcements[[#This Row],[Reinforcement]]="","",0.6*VLOOKUP(Reinforcements[[#This Row],[Material]],Materials[],2,FALSE)*Reinforcements[[#This Row],[Gross Area (in2)]])</f>
        <v>195</v>
      </c>
      <c r="CR35" s="197">
        <f>IF(Reinforcements[[#This Row],[Reinforcement]]="","",0.5*VLOOKUP(Reinforcements[[#This Row],[Material]],Materials[],3,FALSE)*Reinforcements[[#This Row],[Net Area (in2)]]*Reinforcements[[#This Row],[Shear Lag (U)]])</f>
        <v>137.5</v>
      </c>
      <c r="CS35" s="197">
        <f>IF(Reinforcements[[#This Row],[Reinforcement]]="","",0.4*VLOOKUP(Reinforcements[[#This Row],[Material]],Materials[],2,FALSE)*Reinforcements[[#This Row],[Gross Area (in2)]])</f>
        <v>130</v>
      </c>
      <c r="CT35"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5"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35"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5"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5"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35"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35"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5"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5"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822.04724409448818</v>
      </c>
      <c r="DC35"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921.25984251968498</v>
      </c>
      <c r="DD35"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5"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5" s="190" t="str">
        <f>IF($AZ35="Yes",DD35,IF(Reinforcements[[#This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5" s="190" t="str">
        <f>IF($AZ35="Yes",DE35,IF(Reinforcements[[#This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5" s="197">
        <f>IF(Reinforcements[[#This Row],[Reinforcement]]="","",φ_c*Reinforcements[[#This Row],[Fcr,x]]*Reinforcements[[#This Row],[Gross Area (in2)]])</f>
        <v>208.06999737833229</v>
      </c>
      <c r="DI35" s="197">
        <f>IF(Reinforcements[[#This Row],[Reinforcement]]="","",φ_c*Reinforcements[[#This Row],[Fcr,y]]*Reinforcements[[#This Row],[Gross Area (in2)]])</f>
        <v>277.68704413312145</v>
      </c>
      <c r="DJ35" s="197">
        <f>IF(Reinforcements[[#This Row],[Reinforcement]]="","",φ_t_y*VLOOKUP(Reinforcements[[#This Row],[Material]],Materials[],2,FALSE)*Reinforcements[[#This Row],[Gross Area (in2)]])</f>
        <v>292.5</v>
      </c>
      <c r="DK35" s="197">
        <f>IF(Reinforcements[[#This Row],[Reinforcement]]="","",φ_t_r*VLOOKUP(Reinforcements[[#This Row],[Material]],Materials[],3,FALSE)*Reinforcements[[#This Row],[Net Area (in2)]]*Reinforcements[[#This Row],[Shear Lag (U)]])</f>
        <v>206.25</v>
      </c>
      <c r="DL35" s="197">
        <f>IF(Reinforcements[[#This Row],[Reinforcement]]="","",φ_v*0.5*Reinforcements[[#This Row],[F''y]]*Reinforcements[[#This Row],[Gross Area (in2)]])</f>
        <v>146.25</v>
      </c>
      <c r="DM35"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5"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35"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5"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5"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35"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35"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5"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5"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V35"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1495.2755905511813</v>
      </c>
      <c r="DW35"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5"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5" s="190" t="str">
        <f>IF($AZ35="Yes",DW35,IF(Reinforcements[[#This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5" s="190" t="str">
        <f>IF($AZ35="Yes",DX35,IF(Reinforcements[[#This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5" s="238" t="str">
        <f>IF(OR(Reinforcements[[#This Row],[Type]]="plate",Reinforcements[[#This Row],[Type]]="solid round"),"N/A",Reinforcements[[#This Row],[B (in)]])</f>
        <v>N/A</v>
      </c>
      <c r="EB35" s="236" t="str">
        <f>IF(OR(Reinforcements[[#This Row],[Type]]="plate",Reinforcements[[#This Row],[Type]]="solid round"),"N/A",Reinforcements[[#This Row],[H (in)]])</f>
        <v>N/A</v>
      </c>
      <c r="EC35" s="236" t="str">
        <f>IF(OR(Reinforcements[[#This Row],[Type]]="plate",Reinforcements[[#This Row],[Type]]="solid round"),"N/A",Reinforcements[[#This Row],[B (in)]]-Reinforcements[[#This Row],['[Channel'] Flange Thickness (in)]])</f>
        <v>N/A</v>
      </c>
      <c r="ED35" s="236" t="str">
        <f>IF(OR(Reinforcements[[#This Row],[Type]]="plate",Reinforcements[[#This Row],[Type]]="solid round"),"N/A",Reinforcements[[#This Row],['[Channel']Web Thickness (in)]])</f>
        <v>N/A</v>
      </c>
      <c r="EE35" s="236" t="str">
        <f>IF(OR(Reinforcements[[#This Row],[Type]]="plate",Reinforcements[[#This Row],[Type]]="solid round"),"N/A",Reinforcements[[#This Row],['[Channel'] Flange Thickness (in)]])</f>
        <v>N/A</v>
      </c>
      <c r="EF35" s="236" t="str">
        <f>IF(Reinforcements[[#This Row],[Type]]="channel",Reinforcements[[#This Row],[Channel Flange Width, b]]/Reinforcements[[#This Row],[Channel flange thickness, tf]],"N/A")</f>
        <v>N/A</v>
      </c>
      <c r="EG35" s="236" t="str">
        <f>IF(Reinforcements[[#This Row],[Type]]="channel",Reinforcements[[#This Row],[Channel inside depth, T]]/Reinforcements[[#This Row],[Channel web thickness, tw]],"N/A")</f>
        <v>N/A</v>
      </c>
      <c r="EH35" s="237">
        <v>29000</v>
      </c>
      <c r="EI35" s="237" t="str">
        <f>IF(Reinforcements[[#This Row],[Type]]="channel",0.56*SQRT(Reinforcements[[#This Row],[E, (ksi)]]/Reinforcements[[#This Row],[Fy, (ksi)]]),"N/A")</f>
        <v>N/A</v>
      </c>
      <c r="EJ35" s="237" t="str">
        <f>IF(Reinforcements[[#This Row],[Type]]="channel",1.49*SQRT(Reinforcements[[#This Row],[E, (ksi)]]/Reinforcements[[#This Row],[Fy, (ksi)]]),"N/A")</f>
        <v>N/A</v>
      </c>
      <c r="EK35" s="237">
        <f>VLOOKUP(Reinforcements[[#This Row],[Material]],Materials!$B$2:$C$30,2,FALSE)</f>
        <v>65</v>
      </c>
      <c r="EL35" s="237">
        <f>Reinforcements[[#This Row],[Lu (in)]]*Reinforcements[[#This Row],[Effective Length Factor Kx]]</f>
        <v>21.6</v>
      </c>
      <c r="EM35" s="237">
        <f>Reinforcements[[#This Row],[Lu (in)]]*Reinforcements[[#This Row],[Effective Length Factor Ky]]</f>
        <v>27</v>
      </c>
      <c r="EN35" s="237">
        <f>Reinforcements[[#This Row],[rx]]</f>
        <v>0.36084391824351608</v>
      </c>
      <c r="EO35" s="237">
        <f>Reinforcements[[#This Row],[ry]]</f>
        <v>1.1547005383792517</v>
      </c>
      <c r="EP35" s="237">
        <f>Reinforcements[[#This Row],[Lcx (in)]]/Reinforcements[[#This Row],[rx (in)]]</f>
        <v>59.859675909580403</v>
      </c>
      <c r="EQ35" s="237">
        <f>Reinforcements[[#This Row],[Lcy (in)]]/Reinforcements[[#This Row],[ry (in)]]</f>
        <v>23.382685902179841</v>
      </c>
      <c r="ER35" s="237">
        <f>((PI()^2)*Reinforcements[[#This Row],[E, (ksi)]])/(Reinforcements[[#This Row],[Lcx/rx]]^2)</f>
        <v>79.878338160215449</v>
      </c>
      <c r="ES35" s="237">
        <f>((PI()^2)*Reinforcements[[#This Row],[E, (ksi)]])/(Reinforcements[[#This Row],[Lcy/ry]]^2)</f>
        <v>523.4906769667881</v>
      </c>
      <c r="ET35" s="237">
        <f>4.71*(SQRT(Reinforcements[[#This Row],[E, (ksi)]]/Reinforcements[[#This Row],[Fy, (ksi)]]))</f>
        <v>99.486288193205496</v>
      </c>
      <c r="EU35" s="237">
        <f>IF(Reinforcements[[#This Row],[Lcx/rx]]&lt;=Reinforcements[[#This Row],[Fcr Limit]],(0.658^(Reinforcements[[#This Row],[Fy, (ksi)]]/Reinforcements[[#This Row],[Fex, FB (ksi)]]))*Reinforcements[[#This Row],[Fy, (ksi)]],0.877*Reinforcements[[#This Row],[Fex, FB (ksi)]])</f>
        <v>46.23777719518494</v>
      </c>
      <c r="EV35" s="237">
        <f>IF(Reinforcements[[#This Row],[Lcy/ry]]&lt;=Reinforcements[[#This Row],[Fcr Limit]],(0.658^(Reinforcements[[#This Row],[Fy, (ksi)]]/Reinforcements[[#This Row],[Fey, FB (ksi)]]))*Reinforcements[[#This Row],[Fy, (ksi)]],0.877*Reinforcements[[#This Row],[Fey, FB (ksi)]])</f>
        <v>61.70823202958254</v>
      </c>
      <c r="EW35" s="237">
        <f>Reinforcements[[#This Row],[Fcrx (ksi)]]*Reinforcements[[#This Row],[Gross Area (in2)]]</f>
        <v>231.18888597592471</v>
      </c>
      <c r="EX35" s="237">
        <f>Reinforcements[[#This Row],[Fcry (ksi)]]*Reinforcements[[#This Row],[Gross Area (in2)]]</f>
        <v>308.54116014791271</v>
      </c>
      <c r="EY35" s="237" t="str">
        <f>IF(Reinforcements[[#This Row],[Type]]="channel",0,"N/A")</f>
        <v>N/A</v>
      </c>
      <c r="EZ35" s="237" t="str">
        <f>IF(Reinforcements[[#This Row],[Type]]="channel",Reinforcements[[#This Row],[Channel Flange Width, b]]-(0.5*Reinforcements[[#This Row],[Channel web thickness, tw]]),"N/A")</f>
        <v>N/A</v>
      </c>
      <c r="FA35" s="237" t="str">
        <f>IF(Reinforcements[[#This Row],[Type]]="channel",Reinforcements[[#This Row],[Channel Height, h]]-Reinforcements[[#This Row],[Channel flange thickness, tf]],"N/A")</f>
        <v>N/A</v>
      </c>
      <c r="FB35" s="237" t="str">
        <f>IF(Reinforcements[[#This Row],[Type]]="channel",Reinforcements[[#This Row],[Channel web thickness, tw]],"N/A")</f>
        <v>N/A</v>
      </c>
      <c r="FC35" s="237" t="str">
        <f>IF(Reinforcements[[#This Row],[Type]]="channel",((3*Reinforcements[[#This Row],[b]]^2)/(Reinforcements[[#This Row],[h]]+(6*Reinforcements[[#This Row],[b]])))-Reinforcements[[#This Row],[t]]/2,"N/A")</f>
        <v>N/A</v>
      </c>
      <c r="FD35" s="237">
        <f>Reinforcements[[#This Row],[Pole Face to Centroid (in)]]</f>
        <v>0.625</v>
      </c>
      <c r="FE35" s="236" t="str">
        <f>IF(Reinforcements[[#This Row],[Type]]="channel",Reinforcements[[#This Row],[x(bar)]]+Reinforcements[[#This Row],['[Channel'] e0 (in)]],"N/A")</f>
        <v>N/A</v>
      </c>
      <c r="FF35" s="236" t="str">
        <f>IF(Reinforcements[[#This Row],[Type]]="channel",Reinforcements[[#This Row],[Ix]],"N/A")</f>
        <v>N/A</v>
      </c>
      <c r="FG35" s="236" t="str">
        <f>IF(Reinforcements[[#This Row],[Type]]="channel",Reinforcements[[#This Row],[Iy]],"N/A")</f>
        <v>N/A</v>
      </c>
      <c r="FH35" s="236" t="str">
        <f>IF(Reinforcements[[#This Row],[Type]]="channel",Reinforcements[[#This Row],[Gross Area (in2)]],"N/A")</f>
        <v>N/A</v>
      </c>
      <c r="FI35" s="236" t="str">
        <f>IF(Reinforcements[[#This Row],[Type]]="channel",(Reinforcements[[#This Row],[xo]]^2)+((Reinforcements[[#This Row],[Ix (FTB)]]+Reinforcements[[#This Row],[Iy (FTB)]])/Reinforcements[[#This Row],[Ag]]),"N/A")</f>
        <v>N/A</v>
      </c>
      <c r="FJ35" s="236" t="str">
        <f>IF(Reinforcements[[#This Row],[Type]]="channel",Reinforcements[[#This Row],[Lu (in)]],"N/A")</f>
        <v>N/A</v>
      </c>
      <c r="FK35" s="236" t="str">
        <f>IF(Reinforcements[[#This Row],[Type]]="channel",Reinforcements[[#This Row],[Effective Length Factor Kx]],"N/A")</f>
        <v>N/A</v>
      </c>
      <c r="FL35" s="236" t="str">
        <f>IF(Reinforcements[[#This Row],[Type]]="channel",Reinforcements[[#This Row],[Kz]]*Reinforcements[[#This Row],[Lz]],"N/A")</f>
        <v>N/A</v>
      </c>
      <c r="FM35" s="236" t="str">
        <f>IF(Reinforcements[[#This Row],[Type]]="channel",(((Reinforcements[[#This Row],[t]]^3)/3)*(Reinforcements[[#This Row],[h]]+(2*Reinforcements[[#This Row],[b]]))),"N/A")</f>
        <v>N/A</v>
      </c>
      <c r="FN35" s="236" t="str">
        <f>IF(Reinforcements[[#This Row],[Type]]="channel",(1-(((Reinforcements[[#This Row],[xo]]^2)+(Reinforcements[[#This Row],[yo]]^2))/Reinforcements[[#This Row],[ro^2(bar)]])),"N/A")</f>
        <v>N/A</v>
      </c>
      <c r="FO35" s="237">
        <v>11200</v>
      </c>
      <c r="FP35" s="236" t="str">
        <f>IF(Reinforcements[[#This Row],[Type]]="channel",(((Reinforcements[[#This Row],[h]]^2)*(Reinforcements[[#This Row],[b]]^3)*Reinforcements[[#This Row],[t]])/12)*(((2*Reinforcements[[#This Row],[h]])+(3*Reinforcements[[#This Row],[b]]))/(Reinforcements[[#This Row],[h]]+(6*Reinforcements[[#This Row],[b]]))),"N/A")</f>
        <v>N/A</v>
      </c>
      <c r="FQ35" s="236" t="str">
        <f>IF(Reinforcements[[#This Row],[Type]]="Channel",((((PI()^2)*Reinforcements[[#This Row],[E, (ksi)]]*Reinforcements[[#This Row],['[Channel'] CW (in6)]])/(Reinforcements[[#This Row],[Lcz]]^2))+(Reinforcements[[#This Row],[G]]*Reinforcements[[#This Row],['[Channel'] J (in4)]]))*(1/(Reinforcements[[#This Row],[Ag]]*Reinforcements[[#This Row],[ro^2(bar)]])),"N/A")</f>
        <v>N/A</v>
      </c>
      <c r="FR35" s="236" t="str">
        <f>IF(Reinforcements[[#This Row],[Type]]="channel",((PI()^2)*Reinforcements[[#This Row],[E, (ksi)]])/(Reinforcements[[#This Row],[Lcy/ry]]^2),"N/A")</f>
        <v>N/A</v>
      </c>
      <c r="FS35" s="236" t="str">
        <f>IF(Reinforcements[[#This Row],[Type]]="channel",((Reinforcements[[#This Row],[Fey]]+Reinforcements[[#This Row],[Fez]])/(2*Reinforcements[[#This Row],[H2]]))*(1-SQRT(1-((4*Reinforcements[[#This Row],[Fey]]*Reinforcements[[#This Row],[Fez]]*Reinforcements[[#This Row],[H2]])/(Reinforcements[[#This Row],[Fey]]+Reinforcements[[#This Row],[Fez]])^2))),"N/A")</f>
        <v>N/A</v>
      </c>
      <c r="FT35" s="236" t="str">
        <f>IF(Reinforcements[[#This Row],[Type]]="channel",IF(Reinforcements[[#This Row],[Lcx/rx]]&gt;(4.71*SQRT(Reinforcements[[#This Row],[E, (ksi)]]/Reinforcements[[#This Row],[Fy, (ksi)]])),0.877*Reinforcements[[#This Row],[Fe (FTB)]],0.658^(Reinforcements[[#This Row],[Fy, (ksi)]]/Reinforcements[[#This Row],[Fe (FTB)]])*Reinforcements[[#This Row],[Fy, (ksi)]]),"N/A")</f>
        <v>N/A</v>
      </c>
      <c r="FU35" s="236" t="str">
        <f>IF(Reinforcements[[#This Row],[Type]]="channel",MIN(Reinforcements[[#This Row],[Fcr(FTB)]],Reinforcements[[#This Row],[Fcry (ksi)]]),"N/A")</f>
        <v>N/A</v>
      </c>
      <c r="FV35" s="237">
        <v>0.22</v>
      </c>
      <c r="FW35" s="237">
        <v>1.49</v>
      </c>
      <c r="FX35" s="236" t="str">
        <f>IF(Reinforcements[[#This Row],[Type]]="channel",((Reinforcements[[#This Row],[c2]]*(Reinforcements[[#This Row],[λrf]]/Reinforcements[[#This Row],[λf]]))^2)*Reinforcements[[#This Row],[Fy, (ksi)]],"N/A")</f>
        <v>N/A</v>
      </c>
      <c r="FY35" s="236" t="str">
        <f>IF(Reinforcements[[#This Row],[Type]]="channel",((Reinforcements[[#This Row],[c2]]*(Reinforcements[[#This Row],[λrw]]/Reinforcements[[#This Row],[λw]]))^2)*Reinforcements[[#This Row],[Fy, (ksi)]],"N/A")</f>
        <v>N/A</v>
      </c>
      <c r="FZ35"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5"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5"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5" s="236" t="str">
        <f>IF(Reinforcements[[#This Row],[Type]]="channel",Reinforcements[[#This Row],[Fcr]]*Reinforcements[[#This Row],[Ae]],"N/A")</f>
        <v>N/A</v>
      </c>
      <c r="GD35" s="466">
        <f>IF(Reinforcements[[#This Row],[Reinforcement]]="","",φ_c*Reinforcements[[#This Row],[Pnx, FB (kip)]])</f>
        <v>208.06999737833223</v>
      </c>
      <c r="GE35" s="466">
        <f>IF(Reinforcements[[#This Row],[Reinforcement]]="","",IF(Reinforcements[[#This Row],[Type]]="channel",φ_c*Reinforcements[[#This Row],[Pn]],φ_c*Reinforcements[[#This Row],[Pny, FB (kip)]]))</f>
        <v>277.68704413312145</v>
      </c>
      <c r="GF35" s="466">
        <f>Reinforcements[[#This Row],[Rev. G Tension Yield Capacity (kips)]]</f>
        <v>292.5</v>
      </c>
      <c r="GG35" s="466">
        <f>Reinforcements[[#This Row],[Rev. G Tension Rupture Capacity (kips)]]</f>
        <v>206.25</v>
      </c>
      <c r="GH35" s="466">
        <f>Reinforcements[[#This Row],[Rev. G Shear Capacity (kips)]]</f>
        <v>146.25</v>
      </c>
      <c r="GI35" s="466" t="str">
        <f>IFERROR((Reinforcements[[#This Row],['# of End Connection Bolts          (Bottom)]]-1)*Reinforcements[[#This Row],[End Connection Bolt Spacing (in) (B)]],"-")</f>
        <v>-</v>
      </c>
      <c r="GJ35" s="466">
        <f>IFERROR(IF(VLOOKUP(Reinforcements[[#This Row],[Bottom End Connection Bolt Type]],Bolts[],COLUMN(Bolts[[#Headers],[Rev. H Apply Connection Length Reduction Factor (Rb)?]])-1,FALSE)="Yes",(IF(Reinforcements[[#This Row],[Lb(bottom)]]&lt;=16,1,IF(Reinforcements[[#This Row],[Lb(bottom)]]&gt;38,0.75,0.9))),1),"-")</f>
        <v>1</v>
      </c>
      <c r="GK35"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5" s="466">
        <f>IFERROR(IF(Reinforcements[[#This Row],[Top End Connection Same?]]="Yes",Reinforcements[[#This Row],[Lb(bottom)]],(Reinforcements[[#This Row],['# of End Connection Bolts          (Top)]]-1)*Reinforcements[[#This Row],[End Connection Bolt Spacing (in) (T)]]),"-")</f>
        <v>15</v>
      </c>
      <c r="GM35" s="466">
        <f>IFERROR(IF(VLOOKUP(Reinforcements[[#This Row],[Top End Connection Bolt Type]],Bolts[],COLUMN(Bolts[[#Headers],[Rev. H Apply Connection Length Reduction Factor (Rb)?]])-1,FALSE)="Yes",(IF(Reinforcements[[#This Row],[Lb(top)]]&lt;=16,1,IF(Reinforcements[[#This Row],[Lb(top)]]&gt;38,0.75,0.9))),1),"-")</f>
        <v>1</v>
      </c>
      <c r="GN35"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35" s="466" t="str">
        <f>Reinforcements[[#This Row],[Rev. G Bolt-Shaft Bearing Capacity (Bottom)                No Deformation          (*t*Fu kips)]]</f>
        <v>-</v>
      </c>
      <c r="GP35" s="466" t="str">
        <f>Reinforcements[[#This Row],[Rev. G Bolt-Shaft Bearing Capacity (Bottom)                   Deformation          (*t*Fu kips)]]</f>
        <v>-</v>
      </c>
      <c r="GQ35" s="466">
        <f>Reinforcements[[#This Row],[Rev. G Bolt-Shaft Bearing Capacity (Top)                    No Deformation          (*t*Fu kips)]]</f>
        <v>11.96220472440945</v>
      </c>
      <c r="GR35" s="466">
        <f>Reinforcements[[#This Row],[Rev. G Bolt-Shaft Bearing Capacity (Top)                        Deformation          (*t*Fu kips)]]</f>
        <v>14.952755905511811</v>
      </c>
      <c r="GS35" s="466" t="str">
        <f>Reinforcements[[#This Row],[Rev. G Bolt-Reinf. Bearing Capacity (Bottom)            No Deformation (kips)]]</f>
        <v>-</v>
      </c>
      <c r="GT35" s="466" t="str">
        <f>Reinforcements[[#This Row],[Rev. G Bolt-Reinf. Bearing Capacity (Bottom)               Deformation (kips)]]</f>
        <v>-</v>
      </c>
      <c r="GU35" s="466">
        <f>Reinforcements[[#This Row],[Rev. G Bolt-Reinf. Bearing Capacity (Top)                  No Deformation (kips)]]</f>
        <v>1196.2204724409448</v>
      </c>
      <c r="GV35" s="466">
        <f>Reinforcements[[#This Row],[Rev. G Bolt-Reinf. Bearing Capacity (Top)               Deformation (kips)]]</f>
        <v>1495.2755905511813</v>
      </c>
      <c r="GW35" s="466" t="str">
        <f>Reinforcements[[#This Row],[Rev. G Bottom Transverse Weld Strength]]</f>
        <v>-</v>
      </c>
      <c r="GX35" s="466" t="str">
        <f>Reinforcements[[#This Row],[Rev. G Bottom Longitudinal Weld Strength]]</f>
        <v>-</v>
      </c>
      <c r="GY35" s="466" t="str">
        <f>Reinforcements[[#This Row],[Rev. G Top Transverse Weld Strength]]</f>
        <v>-</v>
      </c>
      <c r="GZ35" s="466" t="str">
        <f>Reinforcements[[#This Row],[Rev. G Top Longitudinal Weld Strength]]</f>
        <v>-</v>
      </c>
      <c r="HA35" s="552">
        <v>33</v>
      </c>
      <c r="HB35"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6" spans="2:210" x14ac:dyDescent="0.2">
      <c r="B36" s="72" t="s">
        <v>584</v>
      </c>
      <c r="C36" s="72" t="s">
        <v>146</v>
      </c>
      <c r="D36" s="185">
        <v>4.5</v>
      </c>
      <c r="E36" s="185">
        <v>1</v>
      </c>
      <c r="F36" s="185" t="str">
        <f>IF(Reinforcements[[#This Row],[Type]]="","",IF(Reinforcements[[#This Row],[Type]]="solid round","","n/a"))</f>
        <v>n/a</v>
      </c>
      <c r="G36" s="185" t="str">
        <f>IF(Reinforcements[[#This Row],[Type]]="","",IF(Reinforcements[[#This Row],[Type]]&lt;&gt;"channel","n/a",""))</f>
        <v>n/a</v>
      </c>
      <c r="H36" s="185" t="str">
        <f>IF(Reinforcements[[#This Row],[Type]]="","",IF(Reinforcements[[#This Row],[Type]]&lt;&gt;"channel","n/a",""))</f>
        <v>n/a</v>
      </c>
      <c r="I36" s="197" t="str">
        <f>IF(Reinforcements[[#This Row],[Type]]="","",IF(Reinforcements[[#This Row],[Type]]&lt;&gt;"channel","n/a",Reinforcements[[#This Row],[eo]]))</f>
        <v>n/a</v>
      </c>
      <c r="J36" s="197" t="str">
        <f>IF(Reinforcements[[#This Row],[Type]]="","",IF(Reinforcements[[#This Row],[Type]]&lt;&gt;"channel","n/a",Reinforcements[[#This Row],[J]]))</f>
        <v>n/a</v>
      </c>
      <c r="K36" s="197" t="str">
        <f>IF(Reinforcements[[#This Row],[Type]]="","",IF(Reinforcements[[#This Row],[Type]]&lt;&gt;"channel","n/a",Reinforcements[[#This Row],[Cw]]))</f>
        <v>n/a</v>
      </c>
      <c r="L36" s="185">
        <f>IFERROR(IF(Reinforcements[[#This Row],[Type]]="","",IF(Reinforcements[[#This Row],[Type]]="plate",Reinforcements[[#This Row],[B (in)]]*Reinforcements[[#This Row],[H (in)]],IF(Reinforcements[[#This Row],[Type]]="solid round",PI()/4*Reinforcements[[#This Row],[Diameter (in)]]^2,""))),"")</f>
        <v>4.5</v>
      </c>
      <c r="M36" s="185">
        <f>IFERROR(IF(Reinforcements[[#This Row],[Type]]="","",IF(Reinforcements[[#This Row],[Type]]="plate",Reinforcements[[#This Row],[H (in)]]/2,"")),"")</f>
        <v>0.5</v>
      </c>
      <c r="N36" s="199" t="s">
        <v>297</v>
      </c>
      <c r="O36" s="185" t="s">
        <v>60</v>
      </c>
      <c r="P36" s="187">
        <f>IFERROR(IF(Reinforcements[[#This Row],[Type]]="","",IF(Reinforcements[[#This Row],[Type]]="plate",Reinforcements[[#This Row],[B (in)]]*Reinforcements[[#This Row],[H (in)]]^3/12,IF(Reinforcements[[#This Row],[Type]]="solid round",PI()/64*Reinforcements[[#This Row],[Diameter (in)]]^4,""))),"")</f>
        <v>0.375</v>
      </c>
      <c r="Q36" s="187">
        <f>IF(Reinforcements[[#This Row],[Reinforcement]]="","",SQRT(Reinforcements[[#This Row],[Ix]]/Reinforcements[[#This Row],[Gross Area (in2)]]))</f>
        <v>0.28867513459481287</v>
      </c>
      <c r="R36" s="187">
        <f>IFERROR(IF(Reinforcements[[#This Row],[Type]]="","",IF(Reinforcements[[#This Row],[Type]]="plate",Reinforcements[[#This Row],[B (in)]]^3*Reinforcements[[#This Row],[H (in)]]/12,IF(Reinforcements[[#This Row],[Type]]="solid round",PI()/64*Reinforcements[[#This Row],[Diameter (in)]]^4,""))),"")</f>
        <v>7.59375</v>
      </c>
      <c r="S36" s="187">
        <f>IF(Reinforcements[[#This Row],[Reinforcement]]="","",SQRT(Reinforcements[[#This Row],[Iy]]/Reinforcements[[#This Row],[Gross Area (in2)]]))</f>
        <v>1.299038105676658</v>
      </c>
      <c r="T36" s="190">
        <v>20</v>
      </c>
      <c r="U36" s="188">
        <v>0.8</v>
      </c>
      <c r="V36" s="188">
        <v>1</v>
      </c>
      <c r="W36" s="185">
        <v>1.1875</v>
      </c>
      <c r="X36" s="188">
        <f>IF(Reinforcements[[#This Row],[Bolt Hole Size (in)]]="","",IF(Reinforcements[[#This Row],[Bolt Hole Size (in)]]="n/a","n/a",Reinforcements[[#This Row],[Bolt Hole Size (in)]]*25.4))</f>
        <v>30.162499999999998</v>
      </c>
      <c r="Y36"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36" s="185">
        <f>IFERROR(IF(Reinforcements[[#This Row],[Reinforcement]]="","",IF(OR(Reinforcements[[#This Row],[Type]]="plate",Reinforcements[[#This Row],[Type]]="solid round"),1,IF(Reinforcements[[#This Row],[Type]]="arbitrary","",1-Reinforcements[[#This Row],[Pole Face to Centroid (in)]]/Reinforcements[[#This Row],[Connection Length (in) '[Channels']]]))),"")</f>
        <v>1</v>
      </c>
      <c r="AA36" s="189" t="s">
        <v>578</v>
      </c>
      <c r="AB36" s="189" t="str">
        <f>IF(Reinforcements[[#This Row],[Reinforcement]]="","",IF(Reinforcements[[#This Row],[Bottom End Connection Type]]&lt;&gt;"Capacity Input","-",""))</f>
        <v>-</v>
      </c>
      <c r="AC36" s="189" t="str">
        <f>IF(Reinforcements[[#This Row],[Reinforcement]]="","",IF(Reinforcements[[#This Row],[Bottom End Connection Type]]&lt;&gt;"Capacity Input","-",""))</f>
        <v>-</v>
      </c>
      <c r="AD36" s="461" t="str">
        <f>IF(Reinforcements[[#This Row],[Reinforcement]]="","",IF(Reinforcements[[#This Row],[Bottom End Connection Type]]&lt;&gt;"Capacity Input","-",""))</f>
        <v>-</v>
      </c>
      <c r="AE36" s="103" t="str">
        <f>IF(Reinforcements[[#This Row],[Reinforcement]]="","",IF(Reinforcements[[#This Row],[Bottom End Connection Type]]="","-",IF(Reinforcements[[#This Row],[Bottom End Connection Type]]&lt;&gt;"Bolted","-","")))</f>
        <v>-</v>
      </c>
      <c r="AF36" s="190" t="str">
        <f>IF(Reinforcements[[#This Row],[Bottom End Connection Type]]="Welded","-","")</f>
        <v>-</v>
      </c>
      <c r="AG36" s="190" t="str">
        <f>IF(Reinforcements[[#This Row],[Bottom End Connection Type]]="Welded","-","")</f>
        <v>-</v>
      </c>
      <c r="AH36" s="190" t="str">
        <f>IF(Reinforcements[[#This Row],[Bottom End Connection Type]]="Welded","-","")</f>
        <v>-</v>
      </c>
      <c r="AI36" s="190" t="str">
        <f>IF(Reinforcements[[#This Row],[Bottom End Connection Type]]="Welded","-","")</f>
        <v>-</v>
      </c>
      <c r="AJ36" s="185" t="e">
        <f>Reinforcements[[#This Row],[End Connection Edge Distance (in) (B)]]-(Reinforcements[[#This Row],[Bolt Hole Size (in)]]+1/16)/2</f>
        <v>#VALUE!</v>
      </c>
      <c r="AK36" s="185" t="e">
        <f>Reinforcements[[#This Row],[End Connection Bolt Spacing (in) (B)]]-(Reinforcements[[#This Row],[Bolt Hole Size (in)]]+1/16)</f>
        <v>#VALUE!</v>
      </c>
      <c r="AL36" s="185" t="str">
        <f>Reinforcements[[#This Row],[End Connection Edge Distance (in) (B)]]</f>
        <v>-</v>
      </c>
      <c r="AM36" s="185" t="str">
        <f>Reinforcements[[#This Row],[End Connection Bolt Spacing (in) (B)]]</f>
        <v>-</v>
      </c>
      <c r="AN36" s="190" t="s">
        <v>295</v>
      </c>
      <c r="AO36" s="191">
        <v>70</v>
      </c>
      <c r="AP36" s="191" t="s">
        <v>577</v>
      </c>
      <c r="AQ36" s="191">
        <v>4.5</v>
      </c>
      <c r="AR36" s="185">
        <v>1</v>
      </c>
      <c r="AS36" s="185">
        <v>45</v>
      </c>
      <c r="AT36" s="192">
        <v>0.25</v>
      </c>
      <c r="AU36" s="185"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6" s="191" t="s">
        <v>528</v>
      </c>
      <c r="AW36" s="191" t="str">
        <f>IF(Reinforcements[[#This Row],[Reinforcement]]="","",IF(OR(Reinforcements[[#This Row],[Bottom End Connection Type]]&lt;&gt;"Welded",Reinforcements[[#This Row],[Bottom Longitudinal (Vertical) Weld]]="None",Reinforcements[[#This Row],[Bottom Longitudinal (Vertical) Weld]]=""),"-",""))</f>
        <v>-</v>
      </c>
      <c r="AX36" s="191" t="str">
        <f>IF(Reinforcements[[#This Row],[Reinforcement]]="","",IF(OR(Reinforcements[[#This Row],[Bottom End Connection Type]]&lt;&gt;"Welded",Reinforcements[[#This Row],[Bottom Longitudinal (Vertical) Weld]]="None",Reinforcements[[#This Row],[Bottom Longitudinal (Vertical) Weld]]=""),"-",""))</f>
        <v>-</v>
      </c>
      <c r="AY36" s="185" t="str">
        <f>IF(Reinforcements[[#This Row],[Reinforcement]]="","",IF(OR(Reinforcements[[#This Row],[Bottom End Connection Type]]&lt;&gt;"Welded",Reinforcements[[#This Row],[Bottom Longitudinal (Vertical) Weld]]="None"),"-",SQRT(2)/2*Reinforcements[[#This Row],[Bottom Longitudinal Weld Fillet Size (in)]]))</f>
        <v>-</v>
      </c>
      <c r="AZ36" s="191" t="s">
        <v>297</v>
      </c>
      <c r="BA36" s="186" t="s">
        <v>391</v>
      </c>
      <c r="BB36" s="186" t="str">
        <f>IF(Reinforcements[[#This Row],[Reinforcement]]="","",IF(Reinforcements[[#This Row],[Top End Connection Same?]]="Yes",Reinforcements[[#This Row],[Rev. F Bottom Connection Capacity (kips)]],IF(Reinforcements[[#This Row],[Reinforcement]]="","",IF(Reinforcements[[#This Row],[Top End Connection Type]]&lt;&gt;"Capacity Input","-",""))))</f>
        <v>-</v>
      </c>
      <c r="BC36" s="186" t="str">
        <f>IF(Reinforcements[[#This Row],[Reinforcement]]="","",IF(Reinforcements[[#This Row],[Top End Connection Same?]]="Yes",Reinforcements[[#This Row],[Rev. G Bottom Connection Capacity (kips)]],IF(Reinforcements[[#This Row],[Reinforcement]]="","",IF(Reinforcements[[#This Row],[Top End Connection Type]]&lt;&gt;"Capacity Input","-",""))))</f>
        <v>-</v>
      </c>
      <c r="BD36" s="461" t="str">
        <f>IF(Reinforcements[[#This Row],[Reinforcement]]="","",IF(Reinforcements[[#This Row],[Top End Connection Same?]]="Yes",Reinforcements[[#This Row],[Rev. G Bottom Connection Capacity (kips)]],IF(Reinforcements[[#This Row],[Reinforcement]]="","",IF(Reinforcements[[#This Row],[Top End Connection Type]]&lt;&gt;"Capacity Input","-",""))))</f>
        <v>-</v>
      </c>
      <c r="BE36" s="207" t="s">
        <v>416</v>
      </c>
      <c r="BF36" s="190" t="s">
        <v>296</v>
      </c>
      <c r="BG36" s="185">
        <v>6</v>
      </c>
      <c r="BH36" s="185">
        <v>3</v>
      </c>
      <c r="BI36" s="185">
        <v>3</v>
      </c>
      <c r="BJ36" s="185">
        <f>Reinforcements[[#This Row],[End Connection Edge Distance (in) (T)]]-(Reinforcements[[#This Row],[Bolt Hole Size (in)]]+1/16)/2</f>
        <v>2.375</v>
      </c>
      <c r="BK36" s="185">
        <f>Reinforcements[[#This Row],[End Connection Bolt Spacing (in) (T)]]-(Reinforcements[[#This Row],[Bolt Hole Size (in)]]+1/16)</f>
        <v>1.75</v>
      </c>
      <c r="BL36" s="185">
        <f>Reinforcements[[#This Row],[End Connection Edge Distance (in) (T)]]</f>
        <v>3</v>
      </c>
      <c r="BM36" s="185">
        <f>Reinforcements[[#This Row],[End Connection Bolt Spacing (in) (T)]]</f>
        <v>3</v>
      </c>
      <c r="BN36" s="185" t="str">
        <f>IF(Reinforcements[[#This Row],[Reinforcement]]="","",IF(Reinforcements[[#This Row],[Top End Connection Same?]]="Yes",Reinforcements[[#This Row],[Bottom Connected to Flange/Base Plate?]],IF(Reinforcements[[#This Row],[Top End Connection Type]]="Bolted","-","")))</f>
        <v>-</v>
      </c>
      <c r="BO36" s="185" t="str">
        <f>IF(Reinforcements[[#This Row],[Reinforcement]]="","",IF(Reinforcements[[#This Row],[Top End Connection Same?]]="Yes",Reinforcements[[#This Row],[Bottom Weld Grade (ksi)]],IF(OR(Reinforcements[[#This Row],[Top End Connection Type]]&lt;&gt;"Welded",Reinforcements[[#This Row],[Top End Connection Type]]=""),"-","")))</f>
        <v>-</v>
      </c>
      <c r="BP36" s="185" t="str">
        <f>IF($AZ36="Yes",AP36,IF(Reinforcements[[#This Row],[Reinforcement]]="","",IF(OR(Reinforcements[[#This Row],[Top End Connection Type]]&lt;&gt;"Welded",Reinforcements[[#This Row],[Top End Connection Type]]=""),"-","")))</f>
        <v>-</v>
      </c>
      <c r="BQ36" s="185" t="str">
        <f>IF(Reinforcements[[#This Row],[Reinforcement]]="","",IF($AZ36="Yes",AQ36,IF(OR(Reinforcements[[#This Row],[Top End Connection Type]]&lt;&gt;"Welded",Reinforcements[[#This Row],[Top Transverse (Horizontal) Weld]]="none",Reinforcements[[#This Row],[Top Transverse (Horizontal) Weld]]=""),"-","")))</f>
        <v>-</v>
      </c>
      <c r="BR36" s="185" t="str">
        <f>IF($AZ36="Yes",AR36,IF(Reinforcements[[#This Row],[Reinforcement]]="","",IF(OR(Reinforcements[[#This Row],[Top Transverse (Horizontal) Weld]]="none",Reinforcements[[#This Row],[Top End Connection Type]]&lt;&gt;"Welded",Reinforcements[[#This Row],[Top Transverse (Horizontal) Weld]]="",Reinforcements[[#This Row],[Top Transverse (Horizontal) Weld]]="Fillet"),"-","")))</f>
        <v>-</v>
      </c>
      <c r="BS36" s="185" t="str">
        <f>IF($AZ36="Yes",AS36,IF(Reinforcements[[#This Row],[Reinforcement]]="","",IF(OR(Reinforcements[[#This Row],[Top Transverse (Horizontal) Weld]]="none",Reinforcements[[#This Row],[Top End Connection Type]]&lt;&gt;"Welded",Reinforcements[[#This Row],[Top Transverse (Horizontal) Weld]]="",Reinforcements[[#This Row],[Top Transverse (Horizontal) Weld]]="Fillet"),"-","")))</f>
        <v>-</v>
      </c>
      <c r="BT36" s="185" t="str">
        <f>IF(Reinforcements[[#This Row],[Reinforcement]]="","",IF($AZ36="Yes",AT36,IF(OR(Reinforcements[[#This Row],[Top Transverse (Horizontal) Weld]]="none",Reinforcements[[#This Row],[Top End Connection Type]]&lt;&gt;"Welded",Reinforcements[[#This Row],[Top Transverse (Horizontal) Weld]]=""),"-","")))</f>
        <v>-</v>
      </c>
      <c r="BU36" s="185" t="str">
        <f>IF($AZ36="Yes",AU36,IF(Reinforcements[[#This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6" s="185" t="str">
        <f>IF($AZ36="Yes",AV36,IF(Reinforcements[[#This Row],[Reinforcement]]="","",IF(OR(Reinforcements[[#This Row],[Top End Connection Type]]&lt;&gt;"Welded",Reinforcements[[#This Row],[Top End Connection Type]]=""),"-","")))</f>
        <v>-</v>
      </c>
      <c r="BW36" s="185" t="str">
        <f>IF($AZ36="Yes",AW36,IF(Reinforcements[[#This Row],[Reinforcement]]="","",IF(OR(Reinforcements[[#This Row],[Top End Connection Type]]&lt;&gt;"Welded",Reinforcements[[#This Row],[Top End Connection Type]]="",Reinforcements[[#This Row],[Top Longitudinal (Vertical) Weld]]="",Reinforcements[[#This Row],[Top Longitudinal (Vertical) Weld]]="None"),"-","")))</f>
        <v>-</v>
      </c>
      <c r="BX36" s="185" t="str">
        <f>IF($AZ36="Yes",AX36,IF(Reinforcements[[#This Row],[Reinforcement]]="","",IF(OR(Reinforcements[[#This Row],[Top End Connection Type]]&lt;&gt;"Welded",Reinforcements[[#This Row],[Top End Connection Type]]="",Reinforcements[[#This Row],[Top Longitudinal (Vertical) Weld]]="",Reinforcements[[#This Row],[Top Longitudinal (Vertical) Weld]]="None"),"-","")))</f>
        <v>-</v>
      </c>
      <c r="BY36" s="185" t="str">
        <f>IF($AZ36="Yes",AY36,IF(Reinforcements[[#This Row],[Reinforcement]]="","",IF(OR(Reinforcements[[#This Row],[Top End Connection Type]]&lt;&gt;"Welded",Reinforcements[[#This Row],[Top Longitudinal (Vertical) Weld]]="none"),"-",SQRT(2)/2*Reinforcements[[#This Row],[Top Longitudinal Weld Fillet Size (in)]])))</f>
        <v>-</v>
      </c>
      <c r="BZ36"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6"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6" s="192">
        <f>IF(Reinforcements[[#This Row],[Reinforcement]]="","",IF(Reinforcements[[#This Row],[Top End Connection Type]]&lt;&gt;"Bolted","n/a",(Reinforcements[[#This Row],['# of End Connection Bolts          (Top)]]-1)*Reinforcements[[#This Row],[End Connection Bolt Spacing (in) (T)]]+Reinforcements[[#This Row],[End Connection Edge Distance (in) (T)]]))</f>
        <v>18</v>
      </c>
      <c r="CC36"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36"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36" s="185">
        <f>IFERROR(IF(Reinforcements[[#This Row],[Type]]="","",Reinforcements[[#This Row],[Effective B (in)]]*Reinforcements[[#This Row],[Effective H (in)]]^3/12),"")</f>
        <v>0.375</v>
      </c>
      <c r="CF36" s="185">
        <f>IFERROR(IF(Reinforcements[[#This Row],[Type]]="","",Reinforcements[[#This Row],[Effective B (in)]]^3*Reinforcements[[#This Row],[Effective H (in)]]/12),"")</f>
        <v>7.59375</v>
      </c>
      <c r="CG36" s="197">
        <f>SQRT(2*PI()^2*29000/VLOOKUP(Reinforcements[[#This Row],[Material]],Materials[],2,FALSE))</f>
        <v>93.844147005158973</v>
      </c>
      <c r="CH36"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28.814097290290295</v>
      </c>
      <c r="CI36"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37.117316606332658</v>
      </c>
      <c r="CJ36" s="187">
        <f>Reinforcements[[#This Row],[Effective Length Factor Kx]]*Reinforcements[[#This Row],[Lu (in)]]/(Reinforcements[[#This Row],[rx]]*PI())*SQRT(VLOOKUP(Reinforcements[[#This Row],[Material]],Materials[],2,FALSE)/29000)</f>
        <v>0.83525370809489741</v>
      </c>
      <c r="CK36" s="187">
        <f>Reinforcements[[#This Row],[Effective Length Factor Ky]]*Reinforcements[[#This Row],[Lu (in)]]/(Reinforcements[[#This Row],[ry]]*PI())*SQRT(VLOOKUP(Reinforcements[[#This Row],[Material]],Materials[],2,FALSE)/29000)</f>
        <v>0.23201491891524928</v>
      </c>
      <c r="CL36" s="187">
        <f>IF(Reinforcements[[#This Row],[λcx]]&lt;=1.5,0.658^(Reinforcements[[#This Row],[λcx]]^2)*Reinforcements[[#This Row],[F''y]],0.877/(Reinforcements[[#This Row],[λcx]]^2)*Reinforcements[[#This Row],[F''y]])</f>
        <v>48.539900000911423</v>
      </c>
      <c r="CM36" s="187">
        <f>IF(Reinforcements[[#This Row],[λcy]]&lt;=1.5,0.658^(Reinforcements[[#This Row],[λcy]]^2)*Reinforcements[[#This Row],[F''y]],0.877/(Reinforcements[[#This Row],[λcy]]^2)*Reinforcements[[#This Row],[F''y]])</f>
        <v>63.551863369977021</v>
      </c>
      <c r="CN36" s="185">
        <f>VLOOKUP(Reinforcements[[#This Row],[Material]],Materials[],2,FALSE)</f>
        <v>65</v>
      </c>
      <c r="CO36" s="197">
        <f>IF(Reinforcements[[#This Row],[Reinforcement]]="","",Reinforcements[[#This Row],[Fax]]*Reinforcements[[#This Row],[Gross Area (in2)]])</f>
        <v>129.66343780630632</v>
      </c>
      <c r="CP36" s="197">
        <f>IF(Reinforcements[[#This Row],[Reinforcement]]="","",Reinforcements[[#This Row],[Fay]]*Reinforcements[[#This Row],[Gross Area (in2)]])</f>
        <v>167.02792472849697</v>
      </c>
      <c r="CQ36" s="197">
        <f>IF(Reinforcements[[#This Row],[Reinforcement]]="","",0.6*VLOOKUP(Reinforcements[[#This Row],[Material]],Materials[],2,FALSE)*Reinforcements[[#This Row],[Gross Area (in2)]])</f>
        <v>175.5</v>
      </c>
      <c r="CR36" s="197">
        <f>IF(Reinforcements[[#This Row],[Reinforcement]]="","",0.5*VLOOKUP(Reinforcements[[#This Row],[Material]],Materials[],3,FALSE)*Reinforcements[[#This Row],[Net Area (in2)]]*Reinforcements[[#This Row],[Shear Lag (U)]])</f>
        <v>130</v>
      </c>
      <c r="CS36" s="197">
        <f>IF(Reinforcements[[#This Row],[Reinforcement]]="","",0.4*VLOOKUP(Reinforcements[[#This Row],[Material]],Materials[],2,FALSE)*Reinforcements[[#This Row],[Gross Area (in2)]])</f>
        <v>117</v>
      </c>
      <c r="CT36"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6"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36"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6"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6"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36"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36"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6"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6"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657.63779527559052</v>
      </c>
      <c r="DC36"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737.00787401574803</v>
      </c>
      <c r="DD36"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6" s="185"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6" s="185" t="str">
        <f>IF($AZ36="Yes",DD36,IF(Reinforcements[[#This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6" s="185" t="str">
        <f>IF($AZ36="Yes",DE36,IF(Reinforcements[[#This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6" s="197">
        <f>IF(Reinforcements[[#This Row],[Reinforcement]]="","",φ_c*Reinforcements[[#This Row],[Fcr,x]]*Reinforcements[[#This Row],[Gross Area (in2)]])</f>
        <v>196.58659500369126</v>
      </c>
      <c r="DI36" s="197">
        <f>IF(Reinforcements[[#This Row],[Reinforcement]]="","",φ_c*Reinforcements[[#This Row],[Fcr,y]]*Reinforcements[[#This Row],[Gross Area (in2)]])</f>
        <v>257.3850466484069</v>
      </c>
      <c r="DJ36" s="197">
        <f>IF(Reinforcements[[#This Row],[Reinforcement]]="","",φ_t_y*VLOOKUP(Reinforcements[[#This Row],[Material]],Materials[],2,FALSE)*Reinforcements[[#This Row],[Gross Area (in2)]])</f>
        <v>263.25</v>
      </c>
      <c r="DK36" s="197">
        <f>IF(Reinforcements[[#This Row],[Reinforcement]]="","",φ_t_r*VLOOKUP(Reinforcements[[#This Row],[Material]],Materials[],3,FALSE)*Reinforcements[[#This Row],[Net Area (in2)]]*Reinforcements[[#This Row],[Shear Lag (U)]])</f>
        <v>195</v>
      </c>
      <c r="DL36" s="197">
        <f>IF(Reinforcements[[#This Row],[Reinforcement]]="","",φ_v*0.5*Reinforcements[[#This Row],[F''y]]*Reinforcements[[#This Row],[Gross Area (in2)]])</f>
        <v>131.625</v>
      </c>
      <c r="DM36"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6"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36"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6"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6"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36"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36"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6"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6"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956.97637795275591</v>
      </c>
      <c r="DV36"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W36" s="18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6" s="185"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6" s="185" t="str">
        <f>IF($AZ36="Yes",DW36,IF(Reinforcements[[#This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6" s="185" t="str">
        <f>IF($AZ36="Yes",DX36,IF(Reinforcements[[#This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6" s="238" t="str">
        <f>IF(OR(Reinforcements[[#This Row],[Type]]="plate",Reinforcements[[#This Row],[Type]]="solid round"),"N/A",Reinforcements[[#This Row],[B (in)]])</f>
        <v>N/A</v>
      </c>
      <c r="EB36" s="236" t="str">
        <f>IF(OR(Reinforcements[[#This Row],[Type]]="plate",Reinforcements[[#This Row],[Type]]="solid round"),"N/A",Reinforcements[[#This Row],[H (in)]])</f>
        <v>N/A</v>
      </c>
      <c r="EC36" s="236" t="str">
        <f>IF(OR(Reinforcements[[#This Row],[Type]]="plate",Reinforcements[[#This Row],[Type]]="solid round"),"N/A",Reinforcements[[#This Row],[B (in)]]-Reinforcements[[#This Row],['[Channel'] Flange Thickness (in)]])</f>
        <v>N/A</v>
      </c>
      <c r="ED36" s="236" t="str">
        <f>IF(OR(Reinforcements[[#This Row],[Type]]="plate",Reinforcements[[#This Row],[Type]]="solid round"),"N/A",Reinforcements[[#This Row],['[Channel']Web Thickness (in)]])</f>
        <v>N/A</v>
      </c>
      <c r="EE36" s="236" t="str">
        <f>IF(OR(Reinforcements[[#This Row],[Type]]="plate",Reinforcements[[#This Row],[Type]]="solid round"),"N/A",Reinforcements[[#This Row],['[Channel'] Flange Thickness (in)]])</f>
        <v>N/A</v>
      </c>
      <c r="EF36" s="236" t="str">
        <f>IF(Reinforcements[[#This Row],[Type]]="channel",Reinforcements[[#This Row],[Channel Flange Width, b]]/Reinforcements[[#This Row],[Channel flange thickness, tf]],"N/A")</f>
        <v>N/A</v>
      </c>
      <c r="EG36" s="236" t="str">
        <f>IF(Reinforcements[[#This Row],[Type]]="channel",Reinforcements[[#This Row],[Channel inside depth, T]]/Reinforcements[[#This Row],[Channel web thickness, tw]],"N/A")</f>
        <v>N/A</v>
      </c>
      <c r="EH36" s="237">
        <v>29000</v>
      </c>
      <c r="EI36" s="236" t="str">
        <f>IF(Reinforcements[[#This Row],[Type]]="channel",0.56*SQRT(Reinforcements[[#This Row],[E, (ksi)]]/Reinforcements[[#This Row],[Fy, (ksi)]]),"N/A")</f>
        <v>N/A</v>
      </c>
      <c r="EJ36" s="236" t="str">
        <f>IF(Reinforcements[[#This Row],[Type]]="channel",1.49*SQRT(Reinforcements[[#This Row],[E, (ksi)]]/Reinforcements[[#This Row],[Fy, (ksi)]]),"N/A")</f>
        <v>N/A</v>
      </c>
      <c r="EK36" s="236">
        <f>VLOOKUP(Reinforcements[[#This Row],[Material]],Materials!$B$2:$C$30,2,FALSE)</f>
        <v>65</v>
      </c>
      <c r="EL36" s="236">
        <f>Reinforcements[[#This Row],[Lu (in)]]*Reinforcements[[#This Row],[Effective Length Factor Kx]]</f>
        <v>16</v>
      </c>
      <c r="EM36" s="236">
        <f>Reinforcements[[#This Row],[Lu (in)]]*Reinforcements[[#This Row],[Effective Length Factor Ky]]</f>
        <v>20</v>
      </c>
      <c r="EN36" s="236">
        <f>Reinforcements[[#This Row],[rx]]</f>
        <v>0.28867513459481287</v>
      </c>
      <c r="EO36" s="236">
        <f>Reinforcements[[#This Row],[ry]]</f>
        <v>1.299038105676658</v>
      </c>
      <c r="EP36" s="236">
        <f>Reinforcements[[#This Row],[Lcx (in)]]/Reinforcements[[#This Row],[rx (in)]]</f>
        <v>55.425625842204077</v>
      </c>
      <c r="EQ36" s="236">
        <f>Reinforcements[[#This Row],[Lcy (in)]]/Reinforcements[[#This Row],[ry (in)]]</f>
        <v>15.39600717839002</v>
      </c>
      <c r="ER36" s="236">
        <f>((PI()^2)*Reinforcements[[#This Row],[E, (ksi)]])/(Reinforcements[[#This Row],[Lcx/rx]]^2)</f>
        <v>93.1700936300753</v>
      </c>
      <c r="ES36" s="236">
        <f>((PI()^2)*Reinforcements[[#This Row],[E, (ksi)]])/(Reinforcements[[#This Row],[Lcy/ry]]^2)</f>
        <v>1207.484413445776</v>
      </c>
      <c r="ET36" s="236">
        <f>4.71*(SQRT(Reinforcements[[#This Row],[E, (ksi)]]/Reinforcements[[#This Row],[Fy, (ksi)]]))</f>
        <v>99.486288193205496</v>
      </c>
      <c r="EU36" s="236">
        <f>IF(Reinforcements[[#This Row],[Lcx/rx]]&lt;=Reinforcements[[#This Row],[Fcr Limit]],(0.658^(Reinforcements[[#This Row],[Fy, (ksi)]]/Reinforcements[[#This Row],[Fex, FB (ksi)]]))*Reinforcements[[#This Row],[Fy, (ksi)]],0.877*Reinforcements[[#This Row],[Fex, FB (ksi)]])</f>
        <v>48.539900000911416</v>
      </c>
      <c r="EV36" s="236">
        <f>IF(Reinforcements[[#This Row],[Lcy/ry]]&lt;=Reinforcements[[#This Row],[Fcr Limit]],(0.658^(Reinforcements[[#This Row],[Fy, (ksi)]]/Reinforcements[[#This Row],[Fey, FB (ksi)]]))*Reinforcements[[#This Row],[Fy, (ksi)]],0.877*Reinforcements[[#This Row],[Fey, FB (ksi)]])</f>
        <v>63.551863369977021</v>
      </c>
      <c r="EW36" s="236">
        <f>Reinforcements[[#This Row],[Fcrx (ksi)]]*Reinforcements[[#This Row],[Gross Area (in2)]]</f>
        <v>218.42955000410137</v>
      </c>
      <c r="EX36" s="236">
        <f>Reinforcements[[#This Row],[Fcry (ksi)]]*Reinforcements[[#This Row],[Gross Area (in2)]]</f>
        <v>285.98338516489662</v>
      </c>
      <c r="EY36" s="236" t="str">
        <f>IF(Reinforcements[[#This Row],[Type]]="channel",0,"N/A")</f>
        <v>N/A</v>
      </c>
      <c r="EZ36" s="236" t="str">
        <f>IF(Reinforcements[[#This Row],[Type]]="channel",Reinforcements[[#This Row],[Channel Flange Width, b]]-(0.5*Reinforcements[[#This Row],[Channel web thickness, tw]]),"N/A")</f>
        <v>N/A</v>
      </c>
      <c r="FA36" s="236" t="str">
        <f>IF(Reinforcements[[#This Row],[Type]]="channel",Reinforcements[[#This Row],[Channel Height, h]]-Reinforcements[[#This Row],[Channel flange thickness, tf]],"N/A")</f>
        <v>N/A</v>
      </c>
      <c r="FB36" s="236" t="str">
        <f>IF(Reinforcements[[#This Row],[Type]]="channel",Reinforcements[[#This Row],[Channel web thickness, tw]],"N/A")</f>
        <v>N/A</v>
      </c>
      <c r="FC36" s="236" t="str">
        <f>IF(Reinforcements[[#This Row],[Type]]="channel",((3*Reinforcements[[#This Row],[b]]^2)/(Reinforcements[[#This Row],[h]]+(6*Reinforcements[[#This Row],[b]])))-Reinforcements[[#This Row],[t]]/2,"N/A")</f>
        <v>N/A</v>
      </c>
      <c r="FD36" s="236">
        <f>Reinforcements[[#This Row],[Pole Face to Centroid (in)]]</f>
        <v>0.5</v>
      </c>
      <c r="FE36" s="236" t="str">
        <f>IF(Reinforcements[[#This Row],[Type]]="channel",Reinforcements[[#This Row],[x(bar)]]+Reinforcements[[#This Row],['[Channel'] e0 (in)]],"N/A")</f>
        <v>N/A</v>
      </c>
      <c r="FF36" s="236" t="str">
        <f>IF(Reinforcements[[#This Row],[Type]]="channel",Reinforcements[[#This Row],[Ix]],"N/A")</f>
        <v>N/A</v>
      </c>
      <c r="FG36" s="236" t="str">
        <f>IF(Reinforcements[[#This Row],[Type]]="channel",Reinforcements[[#This Row],[Iy]],"N/A")</f>
        <v>N/A</v>
      </c>
      <c r="FH36" s="236" t="str">
        <f>IF(Reinforcements[[#This Row],[Type]]="channel",Reinforcements[[#This Row],[Gross Area (in2)]],"N/A")</f>
        <v>N/A</v>
      </c>
      <c r="FI36" s="236" t="str">
        <f>IF(Reinforcements[[#This Row],[Type]]="channel",(Reinforcements[[#This Row],[xo]]^2)+((Reinforcements[[#This Row],[Ix (FTB)]]+Reinforcements[[#This Row],[Iy (FTB)]])/Reinforcements[[#This Row],[Ag]]),"N/A")</f>
        <v>N/A</v>
      </c>
      <c r="FJ36" s="236" t="str">
        <f>IF(Reinforcements[[#This Row],[Type]]="channel",Reinforcements[[#This Row],[Lu (in)]],"N/A")</f>
        <v>N/A</v>
      </c>
      <c r="FK36" s="236" t="str">
        <f>IF(Reinforcements[[#This Row],[Type]]="channel",Reinforcements[[#This Row],[Effective Length Factor Kx]],"N/A")</f>
        <v>N/A</v>
      </c>
      <c r="FL36" s="236" t="str">
        <f>IF(Reinforcements[[#This Row],[Type]]="channel",Reinforcements[[#This Row],[Kz]]*Reinforcements[[#This Row],[Lz]],"N/A")</f>
        <v>N/A</v>
      </c>
      <c r="FM36" s="236" t="str">
        <f>IF(Reinforcements[[#This Row],[Type]]="channel",(((Reinforcements[[#This Row],[t]]^3)/3)*(Reinforcements[[#This Row],[h]]+(2*Reinforcements[[#This Row],[b]]))),"N/A")</f>
        <v>N/A</v>
      </c>
      <c r="FN36" s="236" t="str">
        <f>IF(Reinforcements[[#This Row],[Type]]="channel",(1-(((Reinforcements[[#This Row],[xo]]^2)+(Reinforcements[[#This Row],[yo]]^2))/Reinforcements[[#This Row],[ro^2(bar)]])),"N/A")</f>
        <v>N/A</v>
      </c>
      <c r="FO36" s="237">
        <v>11200</v>
      </c>
      <c r="FP36" s="236" t="str">
        <f>IF(Reinforcements[[#This Row],[Type]]="channel",(((Reinforcements[[#This Row],[h]]^2)*(Reinforcements[[#This Row],[b]]^3)*Reinforcements[[#This Row],[t]])/12)*(((2*Reinforcements[[#This Row],[h]])+(3*Reinforcements[[#This Row],[b]]))/(Reinforcements[[#This Row],[h]]+(6*Reinforcements[[#This Row],[b]]))),"N/A")</f>
        <v>N/A</v>
      </c>
      <c r="FQ36" s="236" t="str">
        <f>IF(Reinforcements[[#This Row],[Type]]="Channel",((((PI()^2)*Reinforcements[[#This Row],[E, (ksi)]]*Reinforcements[[#This Row],['[Channel'] CW (in6)]])/(Reinforcements[[#This Row],[Lcz]]^2))+(Reinforcements[[#This Row],[G]]*Reinforcements[[#This Row],['[Channel'] J (in4)]]))*(1/(Reinforcements[[#This Row],[Ag]]*Reinforcements[[#This Row],[ro^2(bar)]])),"N/A")</f>
        <v>N/A</v>
      </c>
      <c r="FR36" s="236" t="str">
        <f>IF(Reinforcements[[#This Row],[Type]]="channel",((PI()^2)*Reinforcements[[#This Row],[E, (ksi)]])/(Reinforcements[[#This Row],[Lcy/ry]]^2),"N/A")</f>
        <v>N/A</v>
      </c>
      <c r="FS36" s="236" t="str">
        <f>IF(Reinforcements[[#This Row],[Type]]="channel",((Reinforcements[[#This Row],[Fey]]+Reinforcements[[#This Row],[Fez]])/(2*Reinforcements[[#This Row],[H2]]))*(1-SQRT(1-((4*Reinforcements[[#This Row],[Fey]]*Reinforcements[[#This Row],[Fez]]*Reinforcements[[#This Row],[H2]])/(Reinforcements[[#This Row],[Fey]]+Reinforcements[[#This Row],[Fez]])^2))),"N/A")</f>
        <v>N/A</v>
      </c>
      <c r="FT36" s="236" t="str">
        <f>IF(Reinforcements[[#This Row],[Type]]="channel",IF(Reinforcements[[#This Row],[Lcx/rx]]&gt;(4.71*SQRT(Reinforcements[[#This Row],[E, (ksi)]]/Reinforcements[[#This Row],[Fy, (ksi)]])),0.877*Reinforcements[[#This Row],[Fe (FTB)]],0.658^(Reinforcements[[#This Row],[Fy, (ksi)]]/Reinforcements[[#This Row],[Fe (FTB)]])*Reinforcements[[#This Row],[Fy, (ksi)]]),"N/A")</f>
        <v>N/A</v>
      </c>
      <c r="FU36" s="236" t="str">
        <f>IF(Reinforcements[[#This Row],[Type]]="channel",MIN(Reinforcements[[#This Row],[Fcr(FTB)]],Reinforcements[[#This Row],[Fcry (ksi)]]),"N/A")</f>
        <v>N/A</v>
      </c>
      <c r="FV36" s="237">
        <v>0.22</v>
      </c>
      <c r="FW36" s="237">
        <v>1.49</v>
      </c>
      <c r="FX36" s="236" t="str">
        <f>IF(Reinforcements[[#This Row],[Type]]="channel",((Reinforcements[[#This Row],[c2]]*(Reinforcements[[#This Row],[λrf]]/Reinforcements[[#This Row],[λf]]))^2)*Reinforcements[[#This Row],[Fy, (ksi)]],"N/A")</f>
        <v>N/A</v>
      </c>
      <c r="FY36" s="236" t="str">
        <f>IF(Reinforcements[[#This Row],[Type]]="channel",((Reinforcements[[#This Row],[c2]]*(Reinforcements[[#This Row],[λrw]]/Reinforcements[[#This Row],[λw]]))^2)*Reinforcements[[#This Row],[Fy, (ksi)]],"N/A")</f>
        <v>N/A</v>
      </c>
      <c r="FZ36"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6"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6"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6" s="236" t="str">
        <f>IF(Reinforcements[[#This Row],[Type]]="channel",Reinforcements[[#This Row],[Fcr]]*Reinforcements[[#This Row],[Ae]],"N/A")</f>
        <v>N/A</v>
      </c>
      <c r="GD36" s="466">
        <f>IF(Reinforcements[[#This Row],[Reinforcement]]="","",φ_c*Reinforcements[[#This Row],[Pnx, FB (kip)]])</f>
        <v>196.58659500369123</v>
      </c>
      <c r="GE36" s="466">
        <f>IF(Reinforcements[[#This Row],[Reinforcement]]="","",IF(Reinforcements[[#This Row],[Type]]="channel",φ_c*Reinforcements[[#This Row],[Pn]],φ_c*Reinforcements[[#This Row],[Pny, FB (kip)]]))</f>
        <v>257.38504664840696</v>
      </c>
      <c r="GF36" s="466">
        <f>Reinforcements[[#This Row],[Rev. G Tension Yield Capacity (kips)]]</f>
        <v>263.25</v>
      </c>
      <c r="GG36" s="466">
        <f>Reinforcements[[#This Row],[Rev. G Tension Rupture Capacity (kips)]]</f>
        <v>195</v>
      </c>
      <c r="GH36" s="466">
        <f>Reinforcements[[#This Row],[Rev. G Shear Capacity (kips)]]</f>
        <v>131.625</v>
      </c>
      <c r="GI36" s="466" t="str">
        <f>IFERROR((Reinforcements[[#This Row],['# of End Connection Bolts          (Bottom)]]-1)*Reinforcements[[#This Row],[End Connection Bolt Spacing (in) (B)]],"-")</f>
        <v>-</v>
      </c>
      <c r="GJ36" s="466">
        <f>IFERROR(IF(VLOOKUP(Reinforcements[[#This Row],[Bottom End Connection Bolt Type]],Bolts[],COLUMN(Bolts[[#Headers],[Rev. H Apply Connection Length Reduction Factor (Rb)?]])-1,FALSE)="Yes",(IF(Reinforcements[[#This Row],[Lb(bottom)]]&lt;=16,1,IF(Reinforcements[[#This Row],[Lb(bottom)]]&gt;38,0.75,0.9))),1),"-")</f>
        <v>1</v>
      </c>
      <c r="GK36"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6" s="466">
        <f>IFERROR(IF(Reinforcements[[#This Row],[Top End Connection Same?]]="Yes",Reinforcements[[#This Row],[Lb(bottom)]],(Reinforcements[[#This Row],['# of End Connection Bolts          (Top)]]-1)*Reinforcements[[#This Row],[End Connection Bolt Spacing (in) (T)]]),"-")</f>
        <v>15</v>
      </c>
      <c r="GM36" s="466">
        <f>IFERROR(IF(VLOOKUP(Reinforcements[[#This Row],[Top End Connection Bolt Type]],Bolts[],COLUMN(Bolts[[#Headers],[Rev. H Apply Connection Length Reduction Factor (Rb)?]])-1,FALSE)="Yes",(IF(Reinforcements[[#This Row],[Lb(top)]]&lt;=16,1,IF(Reinforcements[[#This Row],[Lb(top)]]&gt;38,0.75,0.9))),1),"-")</f>
        <v>1</v>
      </c>
      <c r="GN36"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36" s="466" t="str">
        <f>Reinforcements[[#This Row],[Rev. G Bolt-Shaft Bearing Capacity (Bottom)                No Deformation          (*t*Fu kips)]]</f>
        <v>-</v>
      </c>
      <c r="GP36" s="466" t="str">
        <f>Reinforcements[[#This Row],[Rev. G Bolt-Shaft Bearing Capacity (Bottom)                   Deformation          (*t*Fu kips)]]</f>
        <v>-</v>
      </c>
      <c r="GQ36" s="466">
        <f>Reinforcements[[#This Row],[Rev. G Bolt-Shaft Bearing Capacity (Top)                    No Deformation          (*t*Fu kips)]]</f>
        <v>11.96220472440945</v>
      </c>
      <c r="GR36" s="466">
        <f>Reinforcements[[#This Row],[Rev. G Bolt-Shaft Bearing Capacity (Top)                        Deformation          (*t*Fu kips)]]</f>
        <v>14.952755905511811</v>
      </c>
      <c r="GS36" s="466" t="str">
        <f>Reinforcements[[#This Row],[Rev. G Bolt-Reinf. Bearing Capacity (Bottom)            No Deformation (kips)]]</f>
        <v>-</v>
      </c>
      <c r="GT36" s="466" t="str">
        <f>Reinforcements[[#This Row],[Rev. G Bolt-Reinf. Bearing Capacity (Bottom)               Deformation (kips)]]</f>
        <v>-</v>
      </c>
      <c r="GU36" s="466">
        <f>Reinforcements[[#This Row],[Rev. G Bolt-Reinf. Bearing Capacity (Top)                  No Deformation (kips)]]</f>
        <v>956.97637795275591</v>
      </c>
      <c r="GV36" s="466">
        <f>Reinforcements[[#This Row],[Rev. G Bolt-Reinf. Bearing Capacity (Top)               Deformation (kips)]]</f>
        <v>1196.2204724409448</v>
      </c>
      <c r="GW36" s="466" t="str">
        <f>Reinforcements[[#This Row],[Rev. G Bottom Transverse Weld Strength]]</f>
        <v>-</v>
      </c>
      <c r="GX36" s="466" t="str">
        <f>Reinforcements[[#This Row],[Rev. G Bottom Longitudinal Weld Strength]]</f>
        <v>-</v>
      </c>
      <c r="GY36" s="466" t="str">
        <f>Reinforcements[[#This Row],[Rev. G Top Transverse Weld Strength]]</f>
        <v>-</v>
      </c>
      <c r="GZ36" s="466" t="str">
        <f>Reinforcements[[#This Row],[Rev. G Top Longitudinal Weld Strength]]</f>
        <v>-</v>
      </c>
      <c r="HA36" s="552">
        <v>34</v>
      </c>
      <c r="HB36"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7" spans="2:210" x14ac:dyDescent="0.2">
      <c r="B37" s="72" t="s">
        <v>869</v>
      </c>
      <c r="C37" s="72" t="s">
        <v>146</v>
      </c>
      <c r="D37" s="185">
        <v>5</v>
      </c>
      <c r="E37" s="185">
        <v>1.25</v>
      </c>
      <c r="F37" s="185" t="str">
        <f>IF(Reinforcements[[#This Row],[Type]]="","",IF(Reinforcements[[#This Row],[Type]]="solid round","","n/a"))</f>
        <v>n/a</v>
      </c>
      <c r="G37" s="185" t="str">
        <f>IF(Reinforcements[[#This Row],[Type]]="","",IF(Reinforcements[[#This Row],[Type]]&lt;&gt;"channel","n/a",""))</f>
        <v>n/a</v>
      </c>
      <c r="H37" s="185" t="str">
        <f>IF(Reinforcements[[#This Row],[Type]]="","",IF(Reinforcements[[#This Row],[Type]]&lt;&gt;"channel","n/a",""))</f>
        <v>n/a</v>
      </c>
      <c r="I37" s="197" t="str">
        <f>IF(Reinforcements[[#This Row],[Type]]="","",IF(Reinforcements[[#This Row],[Type]]&lt;&gt;"channel","n/a",Reinforcements[[#This Row],[eo]]))</f>
        <v>n/a</v>
      </c>
      <c r="J37" s="197" t="str">
        <f>IF(Reinforcements[[#This Row],[Type]]="","",IF(Reinforcements[[#This Row],[Type]]&lt;&gt;"channel","n/a",Reinforcements[[#This Row],[J]]))</f>
        <v>n/a</v>
      </c>
      <c r="K37" s="197" t="str">
        <f>IF(Reinforcements[[#This Row],[Type]]="","",IF(Reinforcements[[#This Row],[Type]]&lt;&gt;"channel","n/a",Reinforcements[[#This Row],[Cw]]))</f>
        <v>n/a</v>
      </c>
      <c r="L37" s="185">
        <f>IFERROR(IF(Reinforcements[[#This Row],[Type]]="","",IF(Reinforcements[[#This Row],[Type]]="plate",Reinforcements[[#This Row],[B (in)]]*Reinforcements[[#This Row],[H (in)]],IF(Reinforcements[[#This Row],[Type]]="solid round",PI()/4*Reinforcements[[#This Row],[Diameter (in)]]^2,""))),"")</f>
        <v>6.25</v>
      </c>
      <c r="M37" s="185">
        <f>IFERROR(IF(Reinforcements[[#This Row],[Type]]="","",IF(Reinforcements[[#This Row],[Type]]="plate",Reinforcements[[#This Row],[H (in)]]/2,"")),"")</f>
        <v>0.625</v>
      </c>
      <c r="N37" s="199" t="s">
        <v>297</v>
      </c>
      <c r="O37" s="192" t="s">
        <v>60</v>
      </c>
      <c r="P37" s="187">
        <f>IFERROR(IF(Reinforcements[[#This Row],[Type]]="","",IF(Reinforcements[[#This Row],[Type]]="plate",Reinforcements[[#This Row],[B (in)]]*Reinforcements[[#This Row],[H (in)]]^3/12,IF(Reinforcements[[#This Row],[Type]]="solid round",PI()/64*Reinforcements[[#This Row],[Diameter (in)]]^4,""))),"")</f>
        <v>0.81380208333333337</v>
      </c>
      <c r="Q37" s="187">
        <f>IF(Reinforcements[[#This Row],[Reinforcement]]="","",SQRT(Reinforcements[[#This Row],[Ix]]/Reinforcements[[#This Row],[Gross Area (in2)]]))</f>
        <v>0.36084391824351614</v>
      </c>
      <c r="R37" s="187">
        <f>IFERROR(IF(Reinforcements[[#This Row],[Type]]="","",IF(Reinforcements[[#This Row],[Type]]="plate",Reinforcements[[#This Row],[B (in)]]^3*Reinforcements[[#This Row],[H (in)]]/12,IF(Reinforcements[[#This Row],[Type]]="solid round",PI()/64*Reinforcements[[#This Row],[Diameter (in)]]^4,""))),"")</f>
        <v>13.020833333333334</v>
      </c>
      <c r="S37" s="187">
        <f>IF(Reinforcements[[#This Row],[Reinforcement]]="","",SQRT(Reinforcements[[#This Row],[Iy]]/Reinforcements[[#This Row],[Gross Area (in2)]]))</f>
        <v>1.4433756729740645</v>
      </c>
      <c r="T37" s="190">
        <v>23</v>
      </c>
      <c r="U37" s="188">
        <v>0.8</v>
      </c>
      <c r="V37" s="188">
        <v>1</v>
      </c>
      <c r="W37" s="185">
        <v>1.1875</v>
      </c>
      <c r="X37" s="188">
        <f>IF(Reinforcements[[#This Row],[Bolt Hole Size (in)]]="","",IF(Reinforcements[[#This Row],[Bolt Hole Size (in)]]="n/a","n/a",Reinforcements[[#This Row],[Bolt Hole Size (in)]]*25.4))</f>
        <v>30.162499999999998</v>
      </c>
      <c r="Y37"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37" s="185">
        <f>IFERROR(IF(Reinforcements[[#This Row],[Reinforcement]]="","",IF(OR(Reinforcements[[#This Row],[Type]]="plate",Reinforcements[[#This Row],[Type]]="solid round"),1,IF(Reinforcements[[#This Row],[Type]]="arbitrary","",1-Reinforcements[[#This Row],[Pole Face to Centroid (in)]]/Reinforcements[[#This Row],[Connection Length (in) '[Channels']]]))),"")</f>
        <v>1</v>
      </c>
      <c r="AA37" s="528" t="s">
        <v>578</v>
      </c>
      <c r="AB37" s="189" t="str">
        <f>IF(Reinforcements[[#This Row],[Reinforcement]]="","",IF(Reinforcements[[#This Row],[Bottom End Connection Type]]&lt;&gt;"Capacity Input","-",""))</f>
        <v>-</v>
      </c>
      <c r="AC37" s="189" t="str">
        <f>IF(Reinforcements[[#This Row],[Reinforcement]]="","",IF(Reinforcements[[#This Row],[Bottom End Connection Type]]&lt;&gt;"Capacity Input","-",""))</f>
        <v>-</v>
      </c>
      <c r="AD37" s="461" t="str">
        <f>IF(Reinforcements[[#This Row],[Reinforcement]]="","",IF(Reinforcements[[#This Row],[Bottom End Connection Type]]&lt;&gt;"Capacity Input","-",""))</f>
        <v>-</v>
      </c>
      <c r="AE37" s="103" t="str">
        <f>IF(Reinforcements[[#This Row],[Reinforcement]]="","",IF(Reinforcements[[#This Row],[Bottom End Connection Type]]="","-",IF(Reinforcements[[#This Row],[Bottom End Connection Type]]&lt;&gt;"Bolted","-","")))</f>
        <v>-</v>
      </c>
      <c r="AF37" s="190" t="str">
        <f>IF(Reinforcements[[#This Row],[Reinforcement]]="","",IF(Reinforcements[[#This Row],[Bottom End Connection Type]]="","-",IF(Reinforcements[[#This Row],[Bottom End Connection Type]]&lt;&gt;"Bolted","-","")))</f>
        <v>-</v>
      </c>
      <c r="AG37" s="190" t="str">
        <f>IF(Reinforcements[[#This Row],[Reinforcement]]="","",IF(Reinforcements[[#This Row],[Bottom End Connection Type]]="","-",IF(Reinforcements[[#This Row],[Bottom End Connection Type]]&lt;&gt;"Bolted","-","")))</f>
        <v>-</v>
      </c>
      <c r="AH37" s="190" t="str">
        <f>IF(Reinforcements[[#This Row],[Reinforcement]]="","",IF(Reinforcements[[#This Row],[Bottom End Connection Type]]="","-",IF(Reinforcements[[#This Row],[Bottom End Connection Type]]&lt;&gt;"Bolted","-","")))</f>
        <v>-</v>
      </c>
      <c r="AI37" s="190" t="str">
        <f>IF(Reinforcements[[#This Row],[Reinforcement]]="","",IF(Reinforcements[[#This Row],[Bottom End Connection Type]]="","-",IF(Reinforcements[[#This Row],[Bottom End Connection Type]]&lt;&gt;"Bolted","-","")))</f>
        <v>-</v>
      </c>
      <c r="AJ37" s="190" t="e">
        <f>Reinforcements[[#This Row],[End Connection Edge Distance (in) (B)]]-(Reinforcements[[#This Row],[Bolt Hole Size (in)]]+1/16)/2</f>
        <v>#VALUE!</v>
      </c>
      <c r="AK37" s="190" t="e">
        <f>Reinforcements[[#This Row],[End Connection Bolt Spacing (in) (B)]]-(Reinforcements[[#This Row],[Bolt Hole Size (in)]]+1/16)</f>
        <v>#VALUE!</v>
      </c>
      <c r="AL37" s="190" t="str">
        <f>Reinforcements[[#This Row],[End Connection Edge Distance (in) (B)]]</f>
        <v>-</v>
      </c>
      <c r="AM37" s="190" t="str">
        <f>Reinforcements[[#This Row],[End Connection Bolt Spacing (in) (B)]]</f>
        <v>-</v>
      </c>
      <c r="AN37" s="191" t="s">
        <v>295</v>
      </c>
      <c r="AO37" s="191">
        <v>70</v>
      </c>
      <c r="AP37" s="191" t="s">
        <v>577</v>
      </c>
      <c r="AQ37" s="191">
        <v>5</v>
      </c>
      <c r="AR37" s="190">
        <v>1.25</v>
      </c>
      <c r="AS37" s="190">
        <v>45</v>
      </c>
      <c r="AT37" s="191">
        <v>0.3125</v>
      </c>
      <c r="AU37"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7" s="191" t="s">
        <v>528</v>
      </c>
      <c r="AW37" s="191" t="str">
        <f>IF(Reinforcements[[#This Row],[Reinforcement]]="","",IF(OR(Reinforcements[[#This Row],[Bottom End Connection Type]]&lt;&gt;"Welded",Reinforcements[[#This Row],[Bottom Longitudinal (Vertical) Weld]]="None",Reinforcements[[#This Row],[Bottom Longitudinal (Vertical) Weld]]=""),"-",""))</f>
        <v>-</v>
      </c>
      <c r="AX37" s="191" t="str">
        <f>IF(Reinforcements[[#This Row],[Reinforcement]]="","",IF(OR(Reinforcements[[#This Row],[Bottom End Connection Type]]&lt;&gt;"Welded",Reinforcements[[#This Row],[Bottom Longitudinal (Vertical) Weld]]="None",Reinforcements[[#This Row],[Bottom Longitudinal (Vertical) Weld]]=""),"-",""))</f>
        <v>-</v>
      </c>
      <c r="AY37" s="190" t="str">
        <f>IF(Reinforcements[[#This Row],[Reinforcement]]="","",IF(OR(Reinforcements[[#This Row],[Bottom End Connection Type]]&lt;&gt;"Welded",Reinforcements[[#This Row],[Bottom Longitudinal (Vertical) Weld]]="None"),"-",SQRT(2)/2*Reinforcements[[#This Row],[Bottom Longitudinal Weld Fillet Size (in)]]))</f>
        <v>-</v>
      </c>
      <c r="AZ37" s="191" t="s">
        <v>297</v>
      </c>
      <c r="BA37" s="200" t="s">
        <v>391</v>
      </c>
      <c r="BB37" s="189" t="str">
        <f>IF(Reinforcements[[#This Row],[Reinforcement]]="","",IF(Reinforcements[[#This Row],[Top End Connection Same?]]="Yes",Reinforcements[[#This Row],[Rev. F Bottom Connection Capacity (kips)]],IF(Reinforcements[[#This Row],[Reinforcement]]="","",IF(Reinforcements[[#This Row],[Top End Connection Type]]&lt;&gt;"Capacity Input","-",""))))</f>
        <v>-</v>
      </c>
      <c r="BC37" s="189" t="str">
        <f>IF(Reinforcements[[#This Row],[Reinforcement]]="","",IF(Reinforcements[[#This Row],[Top End Connection Same?]]="Yes",Reinforcements[[#This Row],[Rev. G Bottom Connection Capacity (kips)]],IF(Reinforcements[[#This Row],[Reinforcement]]="","",IF(Reinforcements[[#This Row],[Top End Connection Type]]&lt;&gt;"Capacity Input","-",""))))</f>
        <v>-</v>
      </c>
      <c r="BD37" s="461" t="str">
        <f>IF(Reinforcements[[#This Row],[Reinforcement]]="","",IF(Reinforcements[[#This Row],[Top End Connection Same?]]="Yes",Reinforcements[[#This Row],[Rev. G Bottom Connection Capacity (kips)]],IF(Reinforcements[[#This Row],[Reinforcement]]="","",IF(Reinforcements[[#This Row],[Top End Connection Type]]&lt;&gt;"Capacity Input","-",""))))</f>
        <v>-</v>
      </c>
      <c r="BE37" s="525" t="s">
        <v>416</v>
      </c>
      <c r="BF37" s="191" t="s">
        <v>296</v>
      </c>
      <c r="BG37" s="190">
        <v>8</v>
      </c>
      <c r="BH37" s="190">
        <v>3</v>
      </c>
      <c r="BI37" s="190">
        <v>3</v>
      </c>
      <c r="BJ37" s="190">
        <f>Reinforcements[[#This Row],[End Connection Edge Distance (in) (T)]]-(Reinforcements[[#This Row],[Bolt Hole Size (in)]]+1/16)/2</f>
        <v>2.375</v>
      </c>
      <c r="BK37" s="190">
        <f>Reinforcements[[#This Row],[End Connection Bolt Spacing (in) (T)]]-(Reinforcements[[#This Row],[Bolt Hole Size (in)]]+1/16)</f>
        <v>1.75</v>
      </c>
      <c r="BL37" s="190">
        <f>Reinforcements[[#This Row],[End Connection Edge Distance (in) (T)]]</f>
        <v>3</v>
      </c>
      <c r="BM37" s="190">
        <f>Reinforcements[[#This Row],[End Connection Bolt Spacing (in) (T)]]</f>
        <v>3</v>
      </c>
      <c r="BN37" s="190" t="str">
        <f>IF(Reinforcements[[#This Row],[Reinforcement]]="","",IF(Reinforcements[[#This Row],[Top End Connection Same?]]="Yes",Reinforcements[[#This Row],[Bottom Connected to Flange/Base Plate?]],IF(Reinforcements[[#This Row],[Top End Connection Type]]="Bolted","-","")))</f>
        <v>-</v>
      </c>
      <c r="BO37" s="190" t="str">
        <f>IF(Reinforcements[[#This Row],[Reinforcement]]="","",IF(Reinforcements[[#This Row],[Top End Connection Same?]]="Yes",Reinforcements[[#This Row],[Bottom Weld Grade (ksi)]],IF(OR(Reinforcements[[#This Row],[Top End Connection Type]]&lt;&gt;"Welded",Reinforcements[[#This Row],[Top End Connection Type]]=""),"-","")))</f>
        <v>-</v>
      </c>
      <c r="BP37" s="190" t="str">
        <f>IF($AZ37="Yes",AP37,IF(Reinforcements[[#This Row],[Reinforcement]]="","",IF(OR(Reinforcements[[#This Row],[Top End Connection Type]]&lt;&gt;"Welded",Reinforcements[[#This Row],[Top End Connection Type]]=""),"-","")))</f>
        <v>-</v>
      </c>
      <c r="BQ37" s="190" t="str">
        <f>IF(Reinforcements[[#This Row],[Reinforcement]]="","",IF($AZ37="Yes",AQ37,IF(OR(Reinforcements[[#This Row],[Top End Connection Type]]&lt;&gt;"Welded",Reinforcements[[#This Row],[Top Transverse (Horizontal) Weld]]="none",Reinforcements[[#This Row],[Top Transverse (Horizontal) Weld]]=""),"-","")))</f>
        <v>-</v>
      </c>
      <c r="BR37" s="190" t="str">
        <f>IF($AZ37="Yes",AR37,IF(Reinforcements[[#This Row],[Reinforcement]]="","",IF(OR(Reinforcements[[#This Row],[Top Transverse (Horizontal) Weld]]="none",Reinforcements[[#This Row],[Top End Connection Type]]&lt;&gt;"Welded",Reinforcements[[#This Row],[Top Transverse (Horizontal) Weld]]="",Reinforcements[[#This Row],[Top Transverse (Horizontal) Weld]]="Fillet"),"-","")))</f>
        <v>-</v>
      </c>
      <c r="BS37" s="190" t="str">
        <f>IF($AZ37="Yes",AS37,IF(Reinforcements[[#This Row],[Reinforcement]]="","",IF(OR(Reinforcements[[#This Row],[Top Transverse (Horizontal) Weld]]="none",Reinforcements[[#This Row],[Top End Connection Type]]&lt;&gt;"Welded",Reinforcements[[#This Row],[Top Transverse (Horizontal) Weld]]="",Reinforcements[[#This Row],[Top Transverse (Horizontal) Weld]]="Fillet"),"-","")))</f>
        <v>-</v>
      </c>
      <c r="BT37" s="190" t="str">
        <f>IF(Reinforcements[[#This Row],[Reinforcement]]="","",IF($AZ37="Yes",AT37,IF(OR(Reinforcements[[#This Row],[Top Transverse (Horizontal) Weld]]="none",Reinforcements[[#This Row],[Top End Connection Type]]&lt;&gt;"Welded",Reinforcements[[#This Row],[Top Transverse (Horizontal) Weld]]=""),"-","")))</f>
        <v>-</v>
      </c>
      <c r="BU37" s="190" t="str">
        <f>IF($AZ37="Yes",AU37,IF(Reinforcements[[#This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7" s="190" t="str">
        <f>IF($AZ37="Yes",AV37,IF(Reinforcements[[#This Row],[Reinforcement]]="","",IF(OR(Reinforcements[[#This Row],[Top End Connection Type]]&lt;&gt;"Welded",Reinforcements[[#This Row],[Top End Connection Type]]=""),"-","")))</f>
        <v>-</v>
      </c>
      <c r="BW37" s="190" t="str">
        <f>IF($AZ37="Yes",AW37,IF(Reinforcements[[#This Row],[Reinforcement]]="","",IF(OR(Reinforcements[[#This Row],[Top End Connection Type]]&lt;&gt;"Welded",Reinforcements[[#This Row],[Top End Connection Type]]="",Reinforcements[[#This Row],[Top Longitudinal (Vertical) Weld]]="",Reinforcements[[#This Row],[Top Longitudinal (Vertical) Weld]]="None"),"-","")))</f>
        <v>-</v>
      </c>
      <c r="BX37" s="190" t="str">
        <f>IF($AZ37="Yes",AX37,IF(Reinforcements[[#This Row],[Reinforcement]]="","",IF(OR(Reinforcements[[#This Row],[Top End Connection Type]]&lt;&gt;"Welded",Reinforcements[[#This Row],[Top End Connection Type]]="",Reinforcements[[#This Row],[Top Longitudinal (Vertical) Weld]]="",Reinforcements[[#This Row],[Top Longitudinal (Vertical) Weld]]="None"),"-","")))</f>
        <v>-</v>
      </c>
      <c r="BY37" s="190" t="str">
        <f>IF($AZ37="Yes",AY37,IF(Reinforcements[[#This Row],[Reinforcement]]="","",IF(OR(Reinforcements[[#This Row],[Top End Connection Type]]&lt;&gt;"Welded",Reinforcements[[#This Row],[Top Longitudinal (Vertical) Weld]]="none"),"-",SQRT(2)/2*Reinforcements[[#This Row],[Top Longitudinal Weld Fillet Size (in)]])))</f>
        <v>-</v>
      </c>
      <c r="BZ37"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7"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7" s="192">
        <f>IF(Reinforcements[[#This Row],[Reinforcement]]="","",IF(Reinforcements[[#This Row],[Top End Connection Type]]&lt;&gt;"Bolted","n/a",(Reinforcements[[#This Row],['# of End Connection Bolts          (Top)]]-1)*Reinforcements[[#This Row],[End Connection Bolt Spacing (in) (T)]]+Reinforcements[[#This Row],[End Connection Edge Distance (in) (T)]]))</f>
        <v>24</v>
      </c>
      <c r="CC37"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37"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7" s="185">
        <f>IFERROR(IF(Reinforcements[[#This Row],[Type]]="","",Reinforcements[[#This Row],[Effective B (in)]]*Reinforcements[[#This Row],[Effective H (in)]]^3/12),"")</f>
        <v>0.81380208333333337</v>
      </c>
      <c r="CF37" s="185">
        <f>IFERROR(IF(Reinforcements[[#This Row],[Type]]="","",Reinforcements[[#This Row],[Effective B (in)]]^3*Reinforcements[[#This Row],[Effective H (in)]]/12),"")</f>
        <v>13.020833333333334</v>
      </c>
      <c r="CG37" s="197">
        <f>SQRT(2*PI()^2*29000/VLOOKUP(Reinforcements[[#This Row],[Material]],Materials[],2,FALSE))</f>
        <v>93.844147005158973</v>
      </c>
      <c r="CH37"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29.942327757095867</v>
      </c>
      <c r="CI37"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37.036378660354636</v>
      </c>
      <c r="CJ37" s="187">
        <f>Reinforcements[[#This Row],[Effective Length Factor Kx]]*Reinforcements[[#This Row],[Lu (in)]]/(Reinforcements[[#This Row],[rx]]*PI())*SQRT(VLOOKUP(Reinforcements[[#This Row],[Material]],Materials[],2,FALSE)/29000)</f>
        <v>0.76843341144730548</v>
      </c>
      <c r="CK37" s="187">
        <f>Reinforcements[[#This Row],[Effective Length Factor Ky]]*Reinforcements[[#This Row],[Lu (in)]]/(Reinforcements[[#This Row],[ry]]*PI())*SQRT(VLOOKUP(Reinforcements[[#This Row],[Material]],Materials[],2,FALSE)/29000)</f>
        <v>0.24013544107728296</v>
      </c>
      <c r="CL37" s="187">
        <f>IF(Reinforcements[[#This Row],[λcx]]&lt;=1.5,0.658^(Reinforcements[[#This Row],[λcx]]^2)*Reinforcements[[#This Row],[F''y]],0.877/(Reinforcements[[#This Row],[λcx]]^2)*Reinforcements[[#This Row],[F''y]])</f>
        <v>50.766541905358231</v>
      </c>
      <c r="CM37" s="187">
        <f>IF(Reinforcements[[#This Row],[λcy]]&lt;=1.5,0.658^(Reinforcements[[#This Row],[λcy]]^2)*Reinforcements[[#This Row],[F''y]],0.877/(Reinforcements[[#This Row],[λcy]]^2)*Reinforcements[[#This Row],[F''y]])</f>
        <v>63.449959224213764</v>
      </c>
      <c r="CN37" s="185">
        <f>VLOOKUP(Reinforcements[[#This Row],[Material]],Materials[],2,FALSE)</f>
        <v>65</v>
      </c>
      <c r="CO37" s="197">
        <f>IF(Reinforcements[[#This Row],[Reinforcement]]="","",Reinforcements[[#This Row],[Fax]]*Reinforcements[[#This Row],[Gross Area (in2)]])</f>
        <v>187.13954848184918</v>
      </c>
      <c r="CP37" s="197">
        <f>IF(Reinforcements[[#This Row],[Reinforcement]]="","",Reinforcements[[#This Row],[Fay]]*Reinforcements[[#This Row],[Gross Area (in2)]])</f>
        <v>231.47736662721647</v>
      </c>
      <c r="CQ37" s="197">
        <f>IF(Reinforcements[[#This Row],[Reinforcement]]="","",0.6*VLOOKUP(Reinforcements[[#This Row],[Material]],Materials[],2,FALSE)*Reinforcements[[#This Row],[Gross Area (in2)]])</f>
        <v>243.75</v>
      </c>
      <c r="CR37" s="197">
        <f>IF(Reinforcements[[#This Row],[Reinforcement]]="","",0.5*VLOOKUP(Reinforcements[[#This Row],[Material]],Materials[],3,FALSE)*Reinforcements[[#This Row],[Net Area (in2)]]*Reinforcements[[#This Row],[Shear Lag (U)]])</f>
        <v>187.5</v>
      </c>
      <c r="CS37" s="197">
        <f>IF(Reinforcements[[#This Row],[Reinforcement]]="","",0.4*VLOOKUP(Reinforcements[[#This Row],[Material]],Materials[],2,FALSE)*Reinforcements[[#This Row],[Gross Area (in2)]])</f>
        <v>162.5</v>
      </c>
      <c r="CT37"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7"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37"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7"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7"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37"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37"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7"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7"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37"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1221.259842519685</v>
      </c>
      <c r="DD37"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7"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7" s="190" t="str">
        <f>IF($AZ37="Yes",DD37,IF(Reinforcements[[#This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7" s="190" t="str">
        <f>IF($AZ37="Yes",DE37,IF(Reinforcements[[#This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7" s="197">
        <f>IF(Reinforcements[[#This Row],[Reinforcement]]="","",φ_c*Reinforcements[[#This Row],[Fcr,x]]*Reinforcements[[#This Row],[Gross Area (in2)]])</f>
        <v>285.56179821764005</v>
      </c>
      <c r="DI37" s="197">
        <f>IF(Reinforcements[[#This Row],[Reinforcement]]="","",φ_c*Reinforcements[[#This Row],[Fcr,y]]*Reinforcements[[#This Row],[Gross Area (in2)]])</f>
        <v>356.90602063620241</v>
      </c>
      <c r="DJ37" s="197">
        <f>IF(Reinforcements[[#This Row],[Reinforcement]]="","",φ_t_y*VLOOKUP(Reinforcements[[#This Row],[Material]],Materials[],2,FALSE)*Reinforcements[[#This Row],[Gross Area (in2)]])</f>
        <v>365.625</v>
      </c>
      <c r="DK37" s="197">
        <f>IF(Reinforcements[[#This Row],[Reinforcement]]="","",φ_t_r*VLOOKUP(Reinforcements[[#This Row],[Material]],Materials[],3,FALSE)*Reinforcements[[#This Row],[Net Area (in2)]]*Reinforcements[[#This Row],[Shear Lag (U)]])</f>
        <v>281.25</v>
      </c>
      <c r="DL37" s="197">
        <f>IF(Reinforcements[[#This Row],[Reinforcement]]="","",φ_v*0.5*Reinforcements[[#This Row],[F''y]]*Reinforcements[[#This Row],[Gross Area (in2)]])</f>
        <v>182.8125</v>
      </c>
      <c r="DM37"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7"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37"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7"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7"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37"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37"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7"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7"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V37"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1983.7795275590552</v>
      </c>
      <c r="DW37"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7"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7" s="190" t="str">
        <f>IF($AZ37="Yes",DW37,IF(Reinforcements[[#This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7" s="190" t="str">
        <f>IF($AZ37="Yes",DX37,IF(Reinforcements[[#This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7" s="238" t="str">
        <f>IF(OR(Reinforcements[[#This Row],[Type]]="plate",Reinforcements[[#This Row],[Type]]="solid round"),"N/A",Reinforcements[[#This Row],[B (in)]])</f>
        <v>N/A</v>
      </c>
      <c r="EB37" s="236" t="str">
        <f>IF(OR(Reinforcements[[#This Row],[Type]]="plate",Reinforcements[[#This Row],[Type]]="solid round"),"N/A",Reinforcements[[#This Row],[H (in)]])</f>
        <v>N/A</v>
      </c>
      <c r="EC37" s="236" t="str">
        <f>IF(OR(Reinforcements[[#This Row],[Type]]="plate",Reinforcements[[#This Row],[Type]]="solid round"),"N/A",Reinforcements[[#This Row],[B (in)]]-Reinforcements[[#This Row],['[Channel'] Flange Thickness (in)]])</f>
        <v>N/A</v>
      </c>
      <c r="ED37" s="236" t="str">
        <f>IF(OR(Reinforcements[[#This Row],[Type]]="plate",Reinforcements[[#This Row],[Type]]="solid round"),"N/A",Reinforcements[[#This Row],['[Channel']Web Thickness (in)]])</f>
        <v>N/A</v>
      </c>
      <c r="EE37" s="236" t="str">
        <f>IF(OR(Reinforcements[[#This Row],[Type]]="plate",Reinforcements[[#This Row],[Type]]="solid round"),"N/A",Reinforcements[[#This Row],['[Channel'] Flange Thickness (in)]])</f>
        <v>N/A</v>
      </c>
      <c r="EF37" s="236" t="str">
        <f>IF(Reinforcements[[#This Row],[Type]]="channel",Reinforcements[[#This Row],[Channel Flange Width, b]]/Reinforcements[[#This Row],[Channel flange thickness, tf]],"N/A")</f>
        <v>N/A</v>
      </c>
      <c r="EG37" s="236" t="str">
        <f>IF(Reinforcements[[#This Row],[Type]]="channel",Reinforcements[[#This Row],[Channel inside depth, T]]/Reinforcements[[#This Row],[Channel web thickness, tw]],"N/A")</f>
        <v>N/A</v>
      </c>
      <c r="EH37" s="237">
        <v>29000</v>
      </c>
      <c r="EI37" s="237" t="str">
        <f>IF(Reinforcements[[#This Row],[Type]]="channel",0.56*SQRT(Reinforcements[[#This Row],[E, (ksi)]]/Reinforcements[[#This Row],[Fy, (ksi)]]),"N/A")</f>
        <v>N/A</v>
      </c>
      <c r="EJ37" s="237" t="str">
        <f>IF(Reinforcements[[#This Row],[Type]]="channel",1.49*SQRT(Reinforcements[[#This Row],[E, (ksi)]]/Reinforcements[[#This Row],[Fy, (ksi)]]),"N/A")</f>
        <v>N/A</v>
      </c>
      <c r="EK37" s="237">
        <f>VLOOKUP(Reinforcements[[#This Row],[Material]],Materials!$B$2:$C$30,2,FALSE)</f>
        <v>65</v>
      </c>
      <c r="EL37" s="237">
        <f>Reinforcements[[#This Row],[Lu (in)]]*Reinforcements[[#This Row],[Effective Length Factor Kx]]</f>
        <v>18.400000000000002</v>
      </c>
      <c r="EM37" s="237">
        <f>Reinforcements[[#This Row],[Lu (in)]]*Reinforcements[[#This Row],[Effective Length Factor Ky]]</f>
        <v>23</v>
      </c>
      <c r="EN37" s="237">
        <f>Reinforcements[[#This Row],[rx]]</f>
        <v>0.36084391824351614</v>
      </c>
      <c r="EO37" s="237">
        <f>Reinforcements[[#This Row],[ry]]</f>
        <v>1.4433756729740645</v>
      </c>
      <c r="EP37" s="237">
        <f>Reinforcements[[#This Row],[Lcx (in)]]/Reinforcements[[#This Row],[rx (in)]]</f>
        <v>50.991575774827751</v>
      </c>
      <c r="EQ37" s="237">
        <f>Reinforcements[[#This Row],[Lcy (in)]]/Reinforcements[[#This Row],[ry (in)]]</f>
        <v>15.93486742963367</v>
      </c>
      <c r="ER37" s="237">
        <f>((PI()^2)*Reinforcements[[#This Row],[E, (ksi)]])/(Reinforcements[[#This Row],[Lcx/rx]]^2)</f>
        <v>110.07808793723451</v>
      </c>
      <c r="ES37" s="237">
        <f>((PI()^2)*Reinforcements[[#This Row],[E, (ksi)]])/(Reinforcements[[#This Row],[Lcy/ry]]^2)</f>
        <v>1127.1996204772818</v>
      </c>
      <c r="ET37" s="237">
        <f>4.71*(SQRT(Reinforcements[[#This Row],[E, (ksi)]]/Reinforcements[[#This Row],[Fy, (ksi)]]))</f>
        <v>99.486288193205496</v>
      </c>
      <c r="EU37" s="237">
        <f>IF(Reinforcements[[#This Row],[Lcx/rx]]&lt;=Reinforcements[[#This Row],[Fcr Limit]],(0.658^(Reinforcements[[#This Row],[Fy, (ksi)]]/Reinforcements[[#This Row],[Fex, FB (ksi)]]))*Reinforcements[[#This Row],[Fy, (ksi)]],0.877*Reinforcements[[#This Row],[Fex, FB (ksi)]])</f>
        <v>50.766541905358217</v>
      </c>
      <c r="EV37" s="237">
        <f>IF(Reinforcements[[#This Row],[Lcy/ry]]&lt;=Reinforcements[[#This Row],[Fcr Limit]],(0.658^(Reinforcements[[#This Row],[Fy, (ksi)]]/Reinforcements[[#This Row],[Fey, FB (ksi)]]))*Reinforcements[[#This Row],[Fy, (ksi)]],0.877*Reinforcements[[#This Row],[Fey, FB (ksi)]])</f>
        <v>63.449959224213764</v>
      </c>
      <c r="EW37" s="237">
        <f>Reinforcements[[#This Row],[Fcrx (ksi)]]*Reinforcements[[#This Row],[Gross Area (in2)]]</f>
        <v>317.29088690848886</v>
      </c>
      <c r="EX37" s="237">
        <f>Reinforcements[[#This Row],[Fcry (ksi)]]*Reinforcements[[#This Row],[Gross Area (in2)]]</f>
        <v>396.56224515133601</v>
      </c>
      <c r="EY37" s="237" t="str">
        <f>IF(Reinforcements[[#This Row],[Type]]="channel",0,"N/A")</f>
        <v>N/A</v>
      </c>
      <c r="EZ37" s="237" t="str">
        <f>IF(Reinforcements[[#This Row],[Type]]="channel",Reinforcements[[#This Row],[Channel Flange Width, b]]-(0.5*Reinforcements[[#This Row],[Channel web thickness, tw]]),"N/A")</f>
        <v>N/A</v>
      </c>
      <c r="FA37" s="237" t="str">
        <f>IF(Reinforcements[[#This Row],[Type]]="channel",Reinforcements[[#This Row],[Channel Height, h]]-Reinforcements[[#This Row],[Channel flange thickness, tf]],"N/A")</f>
        <v>N/A</v>
      </c>
      <c r="FB37" s="237" t="str">
        <f>IF(Reinforcements[[#This Row],[Type]]="channel",Reinforcements[[#This Row],[Channel web thickness, tw]],"N/A")</f>
        <v>N/A</v>
      </c>
      <c r="FC37" s="237" t="str">
        <f>IF(Reinforcements[[#This Row],[Type]]="channel",((3*Reinforcements[[#This Row],[b]]^2)/(Reinforcements[[#This Row],[h]]+(6*Reinforcements[[#This Row],[b]])))-Reinforcements[[#This Row],[t]]/2,"N/A")</f>
        <v>N/A</v>
      </c>
      <c r="FD37" s="237">
        <f>Reinforcements[[#This Row],[Pole Face to Centroid (in)]]</f>
        <v>0.625</v>
      </c>
      <c r="FE37" s="236" t="str">
        <f>IF(Reinforcements[[#This Row],[Type]]="channel",Reinforcements[[#This Row],[x(bar)]]+Reinforcements[[#This Row],['[Channel'] e0 (in)]],"N/A")</f>
        <v>N/A</v>
      </c>
      <c r="FF37" s="236" t="str">
        <f>IF(Reinforcements[[#This Row],[Type]]="channel",Reinforcements[[#This Row],[Ix]],"N/A")</f>
        <v>N/A</v>
      </c>
      <c r="FG37" s="236" t="str">
        <f>IF(Reinforcements[[#This Row],[Type]]="channel",Reinforcements[[#This Row],[Iy]],"N/A")</f>
        <v>N/A</v>
      </c>
      <c r="FH37" s="236" t="str">
        <f>IF(Reinforcements[[#This Row],[Type]]="channel",Reinforcements[[#This Row],[Gross Area (in2)]],"N/A")</f>
        <v>N/A</v>
      </c>
      <c r="FI37" s="236" t="str">
        <f>IF(Reinforcements[[#This Row],[Type]]="channel",(Reinforcements[[#This Row],[xo]]^2)+((Reinforcements[[#This Row],[Ix (FTB)]]+Reinforcements[[#This Row],[Iy (FTB)]])/Reinforcements[[#This Row],[Ag]]),"N/A")</f>
        <v>N/A</v>
      </c>
      <c r="FJ37" s="236" t="str">
        <f>IF(Reinforcements[[#This Row],[Type]]="channel",Reinforcements[[#This Row],[Lu (in)]],"N/A")</f>
        <v>N/A</v>
      </c>
      <c r="FK37" s="236" t="str">
        <f>IF(Reinforcements[[#This Row],[Type]]="channel",Reinforcements[[#This Row],[Effective Length Factor Kx]],"N/A")</f>
        <v>N/A</v>
      </c>
      <c r="FL37" s="236" t="str">
        <f>IF(Reinforcements[[#This Row],[Type]]="channel",Reinforcements[[#This Row],[Kz]]*Reinforcements[[#This Row],[Lz]],"N/A")</f>
        <v>N/A</v>
      </c>
      <c r="FM37" s="236" t="str">
        <f>IF(Reinforcements[[#This Row],[Type]]="channel",(((Reinforcements[[#This Row],[t]]^3)/3)*(Reinforcements[[#This Row],[h]]+(2*Reinforcements[[#This Row],[b]]))),"N/A")</f>
        <v>N/A</v>
      </c>
      <c r="FN37" s="236" t="str">
        <f>IF(Reinforcements[[#This Row],[Type]]="channel",(1-(((Reinforcements[[#This Row],[xo]]^2)+(Reinforcements[[#This Row],[yo]]^2))/Reinforcements[[#This Row],[ro^2(bar)]])),"N/A")</f>
        <v>N/A</v>
      </c>
      <c r="FO37" s="237">
        <v>11200</v>
      </c>
      <c r="FP37" s="236" t="str">
        <f>IF(Reinforcements[[#This Row],[Type]]="channel",(((Reinforcements[[#This Row],[h]]^2)*(Reinforcements[[#This Row],[b]]^3)*Reinforcements[[#This Row],[t]])/12)*(((2*Reinforcements[[#This Row],[h]])+(3*Reinforcements[[#This Row],[b]]))/(Reinforcements[[#This Row],[h]]+(6*Reinforcements[[#This Row],[b]]))),"N/A")</f>
        <v>N/A</v>
      </c>
      <c r="FQ37" s="236" t="str">
        <f>IF(Reinforcements[[#This Row],[Type]]="Channel",((((PI()^2)*Reinforcements[[#This Row],[E, (ksi)]]*Reinforcements[[#This Row],['[Channel'] CW (in6)]])/(Reinforcements[[#This Row],[Lcz]]^2))+(Reinforcements[[#This Row],[G]]*Reinforcements[[#This Row],['[Channel'] J (in4)]]))*(1/(Reinforcements[[#This Row],[Ag]]*Reinforcements[[#This Row],[ro^2(bar)]])),"N/A")</f>
        <v>N/A</v>
      </c>
      <c r="FR37" s="236" t="str">
        <f>IF(Reinforcements[[#This Row],[Type]]="channel",((PI()^2)*Reinforcements[[#This Row],[E, (ksi)]])/(Reinforcements[[#This Row],[Lcy/ry]]^2),"N/A")</f>
        <v>N/A</v>
      </c>
      <c r="FS37" s="236" t="str">
        <f>IF(Reinforcements[[#This Row],[Type]]="channel",((Reinforcements[[#This Row],[Fey]]+Reinforcements[[#This Row],[Fez]])/(2*Reinforcements[[#This Row],[H2]]))*(1-SQRT(1-((4*Reinforcements[[#This Row],[Fey]]*Reinforcements[[#This Row],[Fez]]*Reinforcements[[#This Row],[H2]])/(Reinforcements[[#This Row],[Fey]]+Reinforcements[[#This Row],[Fez]])^2))),"N/A")</f>
        <v>N/A</v>
      </c>
      <c r="FT37" s="236" t="str">
        <f>IF(Reinforcements[[#This Row],[Type]]="channel",IF(Reinforcements[[#This Row],[Lcx/rx]]&gt;(4.71*SQRT(Reinforcements[[#This Row],[E, (ksi)]]/Reinforcements[[#This Row],[Fy, (ksi)]])),0.877*Reinforcements[[#This Row],[Fe (FTB)]],0.658^(Reinforcements[[#This Row],[Fy, (ksi)]]/Reinforcements[[#This Row],[Fe (FTB)]])*Reinforcements[[#This Row],[Fy, (ksi)]]),"N/A")</f>
        <v>N/A</v>
      </c>
      <c r="FU37" s="236" t="str">
        <f>IF(Reinforcements[[#This Row],[Type]]="channel",MIN(Reinforcements[[#This Row],[Fcr(FTB)]],Reinforcements[[#This Row],[Fcry (ksi)]]),"N/A")</f>
        <v>N/A</v>
      </c>
      <c r="FV37" s="237">
        <v>0.22</v>
      </c>
      <c r="FW37" s="237">
        <v>1.49</v>
      </c>
      <c r="FX37" s="236" t="str">
        <f>IF(Reinforcements[[#This Row],[Type]]="channel",((Reinforcements[[#This Row],[c2]]*(Reinforcements[[#This Row],[λrf]]/Reinforcements[[#This Row],[λf]]))^2)*Reinforcements[[#This Row],[Fy, (ksi)]],"N/A")</f>
        <v>N/A</v>
      </c>
      <c r="FY37" s="236" t="str">
        <f>IF(Reinforcements[[#This Row],[Type]]="channel",((Reinforcements[[#This Row],[c2]]*(Reinforcements[[#This Row],[λrw]]/Reinforcements[[#This Row],[λw]]))^2)*Reinforcements[[#This Row],[Fy, (ksi)]],"N/A")</f>
        <v>N/A</v>
      </c>
      <c r="FZ37"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7"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7"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7" s="236" t="str">
        <f>IF(Reinforcements[[#This Row],[Type]]="channel",Reinforcements[[#This Row],[Fcr]]*Reinforcements[[#This Row],[Ae]],"N/A")</f>
        <v>N/A</v>
      </c>
      <c r="GD37" s="466">
        <f>IF(Reinforcements[[#This Row],[Reinforcement]]="","",φ_c*Reinforcements[[#This Row],[Pnx, FB (kip)]])</f>
        <v>285.56179821763999</v>
      </c>
      <c r="GE37" s="466">
        <f>IF(Reinforcements[[#This Row],[Reinforcement]]="","",IF(Reinforcements[[#This Row],[Type]]="channel",φ_c*Reinforcements[[#This Row],[Pn]],φ_c*Reinforcements[[#This Row],[Pny, FB (kip)]]))</f>
        <v>356.90602063620241</v>
      </c>
      <c r="GF37" s="466">
        <f>Reinforcements[[#This Row],[Rev. G Tension Yield Capacity (kips)]]</f>
        <v>365.625</v>
      </c>
      <c r="GG37" s="466">
        <f>Reinforcements[[#This Row],[Rev. G Tension Rupture Capacity (kips)]]</f>
        <v>281.25</v>
      </c>
      <c r="GH37" s="466">
        <f>Reinforcements[[#This Row],[Rev. G Shear Capacity (kips)]]</f>
        <v>182.8125</v>
      </c>
      <c r="GI37" s="466" t="str">
        <f>IFERROR((Reinforcements[[#This Row],['# of End Connection Bolts          (Bottom)]]-1)*Reinforcements[[#This Row],[End Connection Bolt Spacing (in) (B)]],"-")</f>
        <v>-</v>
      </c>
      <c r="GJ37" s="466">
        <f>IFERROR(IF(VLOOKUP(Reinforcements[[#This Row],[Bottom End Connection Bolt Type]],Bolts[],COLUMN(Bolts[[#Headers],[Rev. H Apply Connection Length Reduction Factor (Rb)?]])-1,FALSE)="Yes",(IF(Reinforcements[[#This Row],[Lb(bottom)]]&lt;=16,1,IF(Reinforcements[[#This Row],[Lb(bottom)]]&gt;38,0.75,0.9))),1),"-")</f>
        <v>1</v>
      </c>
      <c r="GK37"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7" s="466">
        <f>IFERROR(IF(Reinforcements[[#This Row],[Top End Connection Same?]]="Yes",Reinforcements[[#This Row],[Lb(bottom)]],(Reinforcements[[#This Row],['# of End Connection Bolts          (Top)]]-1)*Reinforcements[[#This Row],[End Connection Bolt Spacing (in) (T)]]),"-")</f>
        <v>21</v>
      </c>
      <c r="GM37" s="466">
        <f>IFERROR(IF(VLOOKUP(Reinforcements[[#This Row],[Top End Connection Bolt Type]],Bolts[],COLUMN(Bolts[[#Headers],[Rev. H Apply Connection Length Reduction Factor (Rb)?]])-1,FALSE)="Yes",(IF(Reinforcements[[#This Row],[Lb(top)]]&lt;=16,1,IF(Reinforcements[[#This Row],[Lb(top)]]&gt;38,0.75,0.9))),1),"-")</f>
        <v>1</v>
      </c>
      <c r="GN37"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371.19712776654347</v>
      </c>
      <c r="GO37" s="466" t="str">
        <f>Reinforcements[[#This Row],[Rev. G Bolt-Shaft Bearing Capacity (Bottom)                No Deformation          (*t*Fu kips)]]</f>
        <v>-</v>
      </c>
      <c r="GP37" s="466" t="str">
        <f>Reinforcements[[#This Row],[Rev. G Bolt-Shaft Bearing Capacity (Bottom)                   Deformation          (*t*Fu kips)]]</f>
        <v>-</v>
      </c>
      <c r="GQ37" s="466">
        <f>Reinforcements[[#This Row],[Rev. G Bolt-Shaft Bearing Capacity (Top)                    No Deformation          (*t*Fu kips)]]</f>
        <v>15.870236220472439</v>
      </c>
      <c r="GR37" s="466">
        <f>Reinforcements[[#This Row],[Rev. G Bolt-Shaft Bearing Capacity (Top)                        Deformation          (*t*Fu kips)]]</f>
        <v>19.837795275590551</v>
      </c>
      <c r="GS37" s="466" t="str">
        <f>Reinforcements[[#This Row],[Rev. G Bolt-Reinf. Bearing Capacity (Bottom)            No Deformation (kips)]]</f>
        <v>-</v>
      </c>
      <c r="GT37" s="466" t="str">
        <f>Reinforcements[[#This Row],[Rev. G Bolt-Reinf. Bearing Capacity (Bottom)               Deformation (kips)]]</f>
        <v>-</v>
      </c>
      <c r="GU37" s="466">
        <f>Reinforcements[[#This Row],[Rev. G Bolt-Reinf. Bearing Capacity (Top)                  No Deformation (kips)]]</f>
        <v>1587.0236220472443</v>
      </c>
      <c r="GV37" s="466">
        <f>Reinforcements[[#This Row],[Rev. G Bolt-Reinf. Bearing Capacity (Top)               Deformation (kips)]]</f>
        <v>1983.7795275590552</v>
      </c>
      <c r="GW37" s="466" t="str">
        <f>Reinforcements[[#This Row],[Rev. G Bottom Transverse Weld Strength]]</f>
        <v>-</v>
      </c>
      <c r="GX37" s="466" t="str">
        <f>Reinforcements[[#This Row],[Rev. G Bottom Longitudinal Weld Strength]]</f>
        <v>-</v>
      </c>
      <c r="GY37" s="466" t="str">
        <f>Reinforcements[[#This Row],[Rev. G Top Transverse Weld Strength]]</f>
        <v>-</v>
      </c>
      <c r="GZ37" s="466" t="str">
        <f>Reinforcements[[#This Row],[Rev. G Top Longitudinal Weld Strength]]</f>
        <v>-</v>
      </c>
      <c r="HA37" s="552">
        <v>35</v>
      </c>
      <c r="HB37"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8" spans="2:210" x14ac:dyDescent="0.2">
      <c r="B38" s="72" t="s">
        <v>585</v>
      </c>
      <c r="C38" s="72" t="s">
        <v>146</v>
      </c>
      <c r="D38" s="185">
        <v>6</v>
      </c>
      <c r="E38" s="185">
        <v>1</v>
      </c>
      <c r="F38" s="185" t="str">
        <f>IF(Reinforcements[[#This Row],[Type]]="","",IF(Reinforcements[[#This Row],[Type]]="solid round","","n/a"))</f>
        <v>n/a</v>
      </c>
      <c r="G38" s="185" t="str">
        <f>IF(Reinforcements[[#This Row],[Type]]="","",IF(Reinforcements[[#This Row],[Type]]&lt;&gt;"channel","n/a",""))</f>
        <v>n/a</v>
      </c>
      <c r="H38" s="185" t="str">
        <f>IF(Reinforcements[[#This Row],[Type]]="","",IF(Reinforcements[[#This Row],[Type]]&lt;&gt;"channel","n/a",""))</f>
        <v>n/a</v>
      </c>
      <c r="I38" s="197" t="str">
        <f>IF(Reinforcements[[#This Row],[Type]]="","",IF(Reinforcements[[#This Row],[Type]]&lt;&gt;"channel","n/a",Reinforcements[[#This Row],[eo]]))</f>
        <v>n/a</v>
      </c>
      <c r="J38" s="197" t="str">
        <f>IF(Reinforcements[[#This Row],[Type]]="","",IF(Reinforcements[[#This Row],[Type]]&lt;&gt;"channel","n/a",Reinforcements[[#This Row],[J]]))</f>
        <v>n/a</v>
      </c>
      <c r="K38" s="197" t="str">
        <f>IF(Reinforcements[[#This Row],[Type]]="","",IF(Reinforcements[[#This Row],[Type]]&lt;&gt;"channel","n/a",Reinforcements[[#This Row],[Cw]]))</f>
        <v>n/a</v>
      </c>
      <c r="L38" s="185">
        <f>IFERROR(IF(Reinforcements[[#This Row],[Type]]="","",IF(Reinforcements[[#This Row],[Type]]="plate",Reinforcements[[#This Row],[B (in)]]*Reinforcements[[#This Row],[H (in)]],IF(Reinforcements[[#This Row],[Type]]="solid round",PI()/4*Reinforcements[[#This Row],[Diameter (in)]]^2,""))),"")</f>
        <v>6</v>
      </c>
      <c r="M38" s="185">
        <f>IFERROR(IF(Reinforcements[[#This Row],[Type]]="","",IF(Reinforcements[[#This Row],[Type]]="plate",Reinforcements[[#This Row],[H (in)]]/2,"")),"")</f>
        <v>0.5</v>
      </c>
      <c r="N38" s="199" t="s">
        <v>297</v>
      </c>
      <c r="O38" s="185" t="s">
        <v>60</v>
      </c>
      <c r="P38" s="187">
        <f>IFERROR(IF(Reinforcements[[#This Row],[Type]]="","",IF(Reinforcements[[#This Row],[Type]]="plate",Reinforcements[[#This Row],[B (in)]]*Reinforcements[[#This Row],[H (in)]]^3/12,IF(Reinforcements[[#This Row],[Type]]="solid round",PI()/64*Reinforcements[[#This Row],[Diameter (in)]]^4,""))),"")</f>
        <v>0.5</v>
      </c>
      <c r="Q38" s="187">
        <f>IF(Reinforcements[[#This Row],[Reinforcement]]="","",SQRT(Reinforcements[[#This Row],[Ix]]/Reinforcements[[#This Row],[Gross Area (in2)]]))</f>
        <v>0.28867513459481287</v>
      </c>
      <c r="R38" s="187">
        <f>IFERROR(IF(Reinforcements[[#This Row],[Type]]="","",IF(Reinforcements[[#This Row],[Type]]="plate",Reinforcements[[#This Row],[B (in)]]^3*Reinforcements[[#This Row],[H (in)]]/12,IF(Reinforcements[[#This Row],[Type]]="solid round",PI()/64*Reinforcements[[#This Row],[Diameter (in)]]^4,""))),"")</f>
        <v>18</v>
      </c>
      <c r="S38" s="187">
        <f>IF(Reinforcements[[#This Row],[Reinforcement]]="","",SQRT(Reinforcements[[#This Row],[Iy]]/Reinforcements[[#This Row],[Gross Area (in2)]]))</f>
        <v>1.7320508075688772</v>
      </c>
      <c r="T38" s="190">
        <v>16</v>
      </c>
      <c r="U38" s="188">
        <v>0.8</v>
      </c>
      <c r="V38" s="188">
        <v>1</v>
      </c>
      <c r="W38" s="185">
        <v>1.1875</v>
      </c>
      <c r="X38" s="188">
        <f>IF(Reinforcements[[#This Row],[Bolt Hole Size (in)]]="","",IF(Reinforcements[[#This Row],[Bolt Hole Size (in)]]="n/a","n/a",Reinforcements[[#This Row],[Bolt Hole Size (in)]]*25.4))</f>
        <v>30.162499999999998</v>
      </c>
      <c r="Y38"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38" s="185">
        <f>IFERROR(IF(Reinforcements[[#This Row],[Reinforcement]]="","",IF(OR(Reinforcements[[#This Row],[Type]]="plate",Reinforcements[[#This Row],[Type]]="solid round"),1,IF(Reinforcements[[#This Row],[Type]]="arbitrary","",1-Reinforcements[[#This Row],[Pole Face to Centroid (in)]]/Reinforcements[[#This Row],[Connection Length (in) '[Channels']]]))),"")</f>
        <v>1</v>
      </c>
      <c r="AA38" s="189" t="s">
        <v>578</v>
      </c>
      <c r="AB38" s="189" t="str">
        <f>IF(Reinforcements[[#This Row],[Reinforcement]]="","",IF(Reinforcements[[#This Row],[Bottom End Connection Type]]&lt;&gt;"Capacity Input","-",""))</f>
        <v>-</v>
      </c>
      <c r="AC38" s="189" t="str">
        <f>IF(Reinforcements[[#This Row],[Reinforcement]]="","",IF(Reinforcements[[#This Row],[Bottom End Connection Type]]&lt;&gt;"Capacity Input","-",""))</f>
        <v>-</v>
      </c>
      <c r="AD38" s="461" t="str">
        <f>IF(Reinforcements[[#This Row],[Reinforcement]]="","",IF(Reinforcements[[#This Row],[Bottom End Connection Type]]&lt;&gt;"Capacity Input","-",""))</f>
        <v>-</v>
      </c>
      <c r="AE38" s="103" t="str">
        <f>IF(Reinforcements[[#This Row],[Reinforcement]]="","",IF(Reinforcements[[#This Row],[Bottom End Connection Type]]="","-",IF(Reinforcements[[#This Row],[Bottom End Connection Type]]&lt;&gt;"Bolted","-","")))</f>
        <v>-</v>
      </c>
      <c r="AF38" s="190" t="str">
        <f>IF(Reinforcements[[#This Row],[Bottom End Connection Type]]="Welded","-","")</f>
        <v>-</v>
      </c>
      <c r="AG38" s="190" t="str">
        <f>IF(Reinforcements[[#This Row],[Bottom End Connection Type]]="Welded","-","")</f>
        <v>-</v>
      </c>
      <c r="AH38" s="190" t="str">
        <f>IF(Reinforcements[[#This Row],[Bottom End Connection Type]]="Welded","-","")</f>
        <v>-</v>
      </c>
      <c r="AI38" s="190" t="str">
        <f>IF(Reinforcements[[#This Row],[Bottom End Connection Type]]="Welded","-","")</f>
        <v>-</v>
      </c>
      <c r="AJ38" s="185" t="e">
        <f>Reinforcements[[#This Row],[End Connection Edge Distance (in) (B)]]-(Reinforcements[[#This Row],[Bolt Hole Size (in)]]+1/16)/2</f>
        <v>#VALUE!</v>
      </c>
      <c r="AK38" s="185" t="e">
        <f>Reinforcements[[#This Row],[End Connection Bolt Spacing (in) (B)]]-(Reinforcements[[#This Row],[Bolt Hole Size (in)]]+1/16)</f>
        <v>#VALUE!</v>
      </c>
      <c r="AL38" s="185" t="str">
        <f>Reinforcements[[#This Row],[End Connection Edge Distance (in) (B)]]</f>
        <v>-</v>
      </c>
      <c r="AM38" s="185" t="str">
        <f>Reinforcements[[#This Row],[End Connection Bolt Spacing (in) (B)]]</f>
        <v>-</v>
      </c>
      <c r="AN38" s="190" t="s">
        <v>295</v>
      </c>
      <c r="AO38" s="191">
        <v>70</v>
      </c>
      <c r="AP38" s="191" t="s">
        <v>577</v>
      </c>
      <c r="AQ38" s="191">
        <v>6</v>
      </c>
      <c r="AR38" s="185">
        <v>1</v>
      </c>
      <c r="AS38" s="185">
        <v>45</v>
      </c>
      <c r="AT38" s="192">
        <v>0.375</v>
      </c>
      <c r="AU38" s="185"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8" s="191" t="s">
        <v>528</v>
      </c>
      <c r="AW38" s="191" t="str">
        <f>IF(Reinforcements[[#This Row],[Reinforcement]]="","",IF(OR(Reinforcements[[#This Row],[Bottom End Connection Type]]&lt;&gt;"Welded",Reinforcements[[#This Row],[Bottom Longitudinal (Vertical) Weld]]="None",Reinforcements[[#This Row],[Bottom Longitudinal (Vertical) Weld]]=""),"-",""))</f>
        <v>-</v>
      </c>
      <c r="AX38" s="191" t="str">
        <f>IF(Reinforcements[[#This Row],[Reinforcement]]="","",IF(OR(Reinforcements[[#This Row],[Bottom End Connection Type]]&lt;&gt;"Welded",Reinforcements[[#This Row],[Bottom Longitudinal (Vertical) Weld]]="None",Reinforcements[[#This Row],[Bottom Longitudinal (Vertical) Weld]]=""),"-",""))</f>
        <v>-</v>
      </c>
      <c r="AY38" s="185" t="str">
        <f>IF(Reinforcements[[#This Row],[Reinforcement]]="","",IF(OR(Reinforcements[[#This Row],[Bottom End Connection Type]]&lt;&gt;"Welded",Reinforcements[[#This Row],[Bottom Longitudinal (Vertical) Weld]]="None"),"-",SQRT(2)/2*Reinforcements[[#This Row],[Bottom Longitudinal Weld Fillet Size (in)]]))</f>
        <v>-</v>
      </c>
      <c r="AZ38" s="191" t="s">
        <v>297</v>
      </c>
      <c r="BA38" s="186" t="s">
        <v>391</v>
      </c>
      <c r="BB38" s="186" t="str">
        <f>IF(Reinforcements[[#This Row],[Reinforcement]]="","",IF(Reinforcements[[#This Row],[Top End Connection Same?]]="Yes",Reinforcements[[#This Row],[Rev. F Bottom Connection Capacity (kips)]],IF(Reinforcements[[#This Row],[Reinforcement]]="","",IF(Reinforcements[[#This Row],[Top End Connection Type]]&lt;&gt;"Capacity Input","-",""))))</f>
        <v>-</v>
      </c>
      <c r="BC38" s="186" t="str">
        <f>IF(Reinforcements[[#This Row],[Reinforcement]]="","",IF(Reinforcements[[#This Row],[Top End Connection Same?]]="Yes",Reinforcements[[#This Row],[Rev. G Bottom Connection Capacity (kips)]],IF(Reinforcements[[#This Row],[Reinforcement]]="","",IF(Reinforcements[[#This Row],[Top End Connection Type]]&lt;&gt;"Capacity Input","-",""))))</f>
        <v>-</v>
      </c>
      <c r="BD38" s="461" t="str">
        <f>IF(Reinforcements[[#This Row],[Reinforcement]]="","",IF(Reinforcements[[#This Row],[Top End Connection Same?]]="Yes",Reinforcements[[#This Row],[Rev. G Bottom Connection Capacity (kips)]],IF(Reinforcements[[#This Row],[Reinforcement]]="","",IF(Reinforcements[[#This Row],[Top End Connection Type]]&lt;&gt;"Capacity Input","-",""))))</f>
        <v>-</v>
      </c>
      <c r="BE38" s="207" t="s">
        <v>416</v>
      </c>
      <c r="BF38" s="190" t="s">
        <v>296</v>
      </c>
      <c r="BG38" s="185">
        <v>8</v>
      </c>
      <c r="BH38" s="185">
        <v>3</v>
      </c>
      <c r="BI38" s="185">
        <v>3</v>
      </c>
      <c r="BJ38" s="185">
        <f>Reinforcements[[#This Row],[End Connection Edge Distance (in) (T)]]-(Reinforcements[[#This Row],[Bolt Hole Size (in)]]+1/16)/2</f>
        <v>2.375</v>
      </c>
      <c r="BK38" s="185">
        <f>Reinforcements[[#This Row],[End Connection Bolt Spacing (in) (T)]]-(Reinforcements[[#This Row],[Bolt Hole Size (in)]]+1/16)</f>
        <v>1.75</v>
      </c>
      <c r="BL38" s="185">
        <f>Reinforcements[[#This Row],[End Connection Edge Distance (in) (T)]]</f>
        <v>3</v>
      </c>
      <c r="BM38" s="185">
        <f>Reinforcements[[#This Row],[End Connection Bolt Spacing (in) (T)]]</f>
        <v>3</v>
      </c>
      <c r="BN38" s="185" t="str">
        <f>IF(Reinforcements[[#This Row],[Reinforcement]]="","",IF(Reinforcements[[#This Row],[Top End Connection Same?]]="Yes",Reinforcements[[#This Row],[Bottom Connected to Flange/Base Plate?]],IF(Reinforcements[[#This Row],[Top End Connection Type]]="Bolted","-","")))</f>
        <v>-</v>
      </c>
      <c r="BO38" s="185" t="str">
        <f>IF(Reinforcements[[#This Row],[Reinforcement]]="","",IF(Reinforcements[[#This Row],[Top End Connection Same?]]="Yes",Reinforcements[[#This Row],[Bottom Weld Grade (ksi)]],IF(OR(Reinforcements[[#This Row],[Top End Connection Type]]&lt;&gt;"Welded",Reinforcements[[#This Row],[Top End Connection Type]]=""),"-","")))</f>
        <v>-</v>
      </c>
      <c r="BP38" s="185" t="str">
        <f>IF($AZ38="Yes",AP38,IF(Reinforcements[[#This Row],[Reinforcement]]="","",IF(OR(Reinforcements[[#This Row],[Top End Connection Type]]&lt;&gt;"Welded",Reinforcements[[#This Row],[Top End Connection Type]]=""),"-","")))</f>
        <v>-</v>
      </c>
      <c r="BQ38" s="185" t="str">
        <f>IF(Reinforcements[[#This Row],[Reinforcement]]="","",IF($AZ38="Yes",AQ38,IF(OR(Reinforcements[[#This Row],[Top End Connection Type]]&lt;&gt;"Welded",Reinforcements[[#This Row],[Top Transverse (Horizontal) Weld]]="none",Reinforcements[[#This Row],[Top Transverse (Horizontal) Weld]]=""),"-","")))</f>
        <v>-</v>
      </c>
      <c r="BR38" s="185" t="str">
        <f>IF($AZ38="Yes",AR38,IF(Reinforcements[[#This Row],[Reinforcement]]="","",IF(OR(Reinforcements[[#This Row],[Top Transverse (Horizontal) Weld]]="none",Reinforcements[[#This Row],[Top End Connection Type]]&lt;&gt;"Welded",Reinforcements[[#This Row],[Top Transverse (Horizontal) Weld]]="",Reinforcements[[#This Row],[Top Transverse (Horizontal) Weld]]="Fillet"),"-","")))</f>
        <v>-</v>
      </c>
      <c r="BS38" s="185" t="str">
        <f>IF($AZ38="Yes",AS38,IF(Reinforcements[[#This Row],[Reinforcement]]="","",IF(OR(Reinforcements[[#This Row],[Top Transverse (Horizontal) Weld]]="none",Reinforcements[[#This Row],[Top End Connection Type]]&lt;&gt;"Welded",Reinforcements[[#This Row],[Top Transverse (Horizontal) Weld]]="",Reinforcements[[#This Row],[Top Transverse (Horizontal) Weld]]="Fillet"),"-","")))</f>
        <v>-</v>
      </c>
      <c r="BT38" s="185" t="str">
        <f>IF(Reinforcements[[#This Row],[Reinforcement]]="","",IF($AZ38="Yes",AT38,IF(OR(Reinforcements[[#This Row],[Top Transverse (Horizontal) Weld]]="none",Reinforcements[[#This Row],[Top End Connection Type]]&lt;&gt;"Welded",Reinforcements[[#This Row],[Top Transverse (Horizontal) Weld]]=""),"-","")))</f>
        <v>-</v>
      </c>
      <c r="BU38" s="185" t="str">
        <f>IF($AZ38="Yes",AU38,IF(Reinforcements[[#This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8" s="185" t="str">
        <f>IF($AZ38="Yes",AV38,IF(Reinforcements[[#This Row],[Reinforcement]]="","",IF(OR(Reinforcements[[#This Row],[Top End Connection Type]]&lt;&gt;"Welded",Reinforcements[[#This Row],[Top End Connection Type]]=""),"-","")))</f>
        <v>-</v>
      </c>
      <c r="BW38" s="185" t="str">
        <f>IF($AZ38="Yes",AW38,IF(Reinforcements[[#This Row],[Reinforcement]]="","",IF(OR(Reinforcements[[#This Row],[Top End Connection Type]]&lt;&gt;"Welded",Reinforcements[[#This Row],[Top End Connection Type]]="",Reinforcements[[#This Row],[Top Longitudinal (Vertical) Weld]]="",Reinforcements[[#This Row],[Top Longitudinal (Vertical) Weld]]="None"),"-","")))</f>
        <v>-</v>
      </c>
      <c r="BX38" s="185" t="str">
        <f>IF($AZ38="Yes",AX38,IF(Reinforcements[[#This Row],[Reinforcement]]="","",IF(OR(Reinforcements[[#This Row],[Top End Connection Type]]&lt;&gt;"Welded",Reinforcements[[#This Row],[Top End Connection Type]]="",Reinforcements[[#This Row],[Top Longitudinal (Vertical) Weld]]="",Reinforcements[[#This Row],[Top Longitudinal (Vertical) Weld]]="None"),"-","")))</f>
        <v>-</v>
      </c>
      <c r="BY38" s="185" t="str">
        <f>IF($AZ38="Yes",AY38,IF(Reinforcements[[#This Row],[Reinforcement]]="","",IF(OR(Reinforcements[[#This Row],[Top End Connection Type]]&lt;&gt;"Welded",Reinforcements[[#This Row],[Top Longitudinal (Vertical) Weld]]="none"),"-",SQRT(2)/2*Reinforcements[[#This Row],[Top Longitudinal Weld Fillet Size (in)]])))</f>
        <v>-</v>
      </c>
      <c r="BZ38"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8"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8" s="192">
        <f>IF(Reinforcements[[#This Row],[Reinforcement]]="","",IF(Reinforcements[[#This Row],[Top End Connection Type]]&lt;&gt;"Bolted","n/a",(Reinforcements[[#This Row],['# of End Connection Bolts          (Top)]]-1)*Reinforcements[[#This Row],[End Connection Bolt Spacing (in) (T)]]+Reinforcements[[#This Row],[End Connection Edge Distance (in) (T)]]))</f>
        <v>24</v>
      </c>
      <c r="CC38"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38"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38" s="185">
        <f>IFERROR(IF(Reinforcements[[#This Row],[Type]]="","",Reinforcements[[#This Row],[Effective B (in)]]*Reinforcements[[#This Row],[Effective H (in)]]^3/12),"")</f>
        <v>0.5</v>
      </c>
      <c r="CF38" s="185">
        <f>IFERROR(IF(Reinforcements[[#This Row],[Type]]="","",Reinforcements[[#This Row],[Effective B (in)]]^3*Reinforcements[[#This Row],[Effective H (in)]]/12),"")</f>
        <v>18</v>
      </c>
      <c r="CG38" s="197">
        <f>SQRT(2*PI()^2*29000/VLOOKUP(Reinforcements[[#This Row],[Material]],Materials[],2,FALSE))</f>
        <v>93.844147005158973</v>
      </c>
      <c r="CH38"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31.54287616885998</v>
      </c>
      <c r="CI38"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37.972749066590325</v>
      </c>
      <c r="CJ38" s="187">
        <f>Reinforcements[[#This Row],[Effective Length Factor Kx]]*Reinforcements[[#This Row],[Lu (in)]]/(Reinforcements[[#This Row],[rx]]*PI())*SQRT(VLOOKUP(Reinforcements[[#This Row],[Material]],Materials[],2,FALSE)/29000)</f>
        <v>0.66820296647591804</v>
      </c>
      <c r="CK38" s="187">
        <f>Reinforcements[[#This Row],[Effective Length Factor Ky]]*Reinforcements[[#This Row],[Lu (in)]]/(Reinforcements[[#This Row],[ry]]*PI())*SQRT(VLOOKUP(Reinforcements[[#This Row],[Material]],Materials[],2,FALSE)/29000)</f>
        <v>0.13920895134914957</v>
      </c>
      <c r="CL38" s="187">
        <f>IF(Reinforcements[[#This Row],[λcx]]&lt;=1.5,0.658^(Reinforcements[[#This Row],[λcx]]^2)*Reinforcements[[#This Row],[F''y]],0.877/(Reinforcements[[#This Row],[λcx]]^2)*Reinforcements[[#This Row],[F''y]])</f>
        <v>53.9202739283065</v>
      </c>
      <c r="CM38" s="187">
        <f>IF(Reinforcements[[#This Row],[λcy]]&lt;=1.5,0.658^(Reinforcements[[#This Row],[λcy]]^2)*Reinforcements[[#This Row],[F''y]],0.877/(Reinforcements[[#This Row],[λcy]]^2)*Reinforcements[[#This Row],[F''y]])</f>
        <v>64.474908164166294</v>
      </c>
      <c r="CN38" s="185">
        <f>VLOOKUP(Reinforcements[[#This Row],[Material]],Materials[],2,FALSE)</f>
        <v>65</v>
      </c>
      <c r="CO38" s="197">
        <f>IF(Reinforcements[[#This Row],[Reinforcement]]="","",Reinforcements[[#This Row],[Fax]]*Reinforcements[[#This Row],[Gross Area (in2)]])</f>
        <v>189.25725701315989</v>
      </c>
      <c r="CP38" s="197">
        <f>IF(Reinforcements[[#This Row],[Reinforcement]]="","",Reinforcements[[#This Row],[Fay]]*Reinforcements[[#This Row],[Gross Area (in2)]])</f>
        <v>227.83649439954195</v>
      </c>
      <c r="CQ38" s="197">
        <f>IF(Reinforcements[[#This Row],[Reinforcement]]="","",0.6*VLOOKUP(Reinforcements[[#This Row],[Material]],Materials[],2,FALSE)*Reinforcements[[#This Row],[Gross Area (in2)]])</f>
        <v>234</v>
      </c>
      <c r="CR38" s="197">
        <f>IF(Reinforcements[[#This Row],[Reinforcement]]="","",0.5*VLOOKUP(Reinforcements[[#This Row],[Material]],Materials[],3,FALSE)*Reinforcements[[#This Row],[Net Area (in2)]]*Reinforcements[[#This Row],[Shear Lag (U)]])</f>
        <v>190</v>
      </c>
      <c r="CS38" s="197">
        <f>IF(Reinforcements[[#This Row],[Reinforcement]]="","",0.4*VLOOKUP(Reinforcements[[#This Row],[Material]],Materials[],2,FALSE)*Reinforcements[[#This Row],[Gross Area (in2)]])</f>
        <v>156</v>
      </c>
      <c r="CT38"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8"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38"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8"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8"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38"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38"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8"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8"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38"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38"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8" s="185"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8" s="185" t="str">
        <f>IF($AZ38="Yes",DD38,IF(Reinforcements[[#This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8" s="185" t="str">
        <f>IF($AZ38="Yes",DE38,IF(Reinforcements[[#This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8" s="197">
        <f>IF(Reinforcements[[#This Row],[Reinforcement]]="","",φ_c*Reinforcements[[#This Row],[Fcr,x]]*Reinforcements[[#This Row],[Gross Area (in2)]])</f>
        <v>291.16947921285509</v>
      </c>
      <c r="DI38" s="197">
        <f>IF(Reinforcements[[#This Row],[Reinforcement]]="","",φ_c*Reinforcements[[#This Row],[Fcr,y]]*Reinforcements[[#This Row],[Gross Area (in2)]])</f>
        <v>348.16450408649803</v>
      </c>
      <c r="DJ38" s="197">
        <f>IF(Reinforcements[[#This Row],[Reinforcement]]="","",φ_t_y*VLOOKUP(Reinforcements[[#This Row],[Material]],Materials[],2,FALSE)*Reinforcements[[#This Row],[Gross Area (in2)]])</f>
        <v>351</v>
      </c>
      <c r="DK38" s="197">
        <f>IF(Reinforcements[[#This Row],[Reinforcement]]="","",φ_t_r*VLOOKUP(Reinforcements[[#This Row],[Material]],Materials[],3,FALSE)*Reinforcements[[#This Row],[Net Area (in2)]]*Reinforcements[[#This Row],[Shear Lag (U)]])</f>
        <v>285</v>
      </c>
      <c r="DL38" s="197">
        <f>IF(Reinforcements[[#This Row],[Reinforcement]]="","",φ_v*0.5*Reinforcements[[#This Row],[F''y]]*Reinforcements[[#This Row],[Gross Area (in2)]])</f>
        <v>175.5</v>
      </c>
      <c r="DM38"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8"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38"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8"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8"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38"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38"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8"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8"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38"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38" s="18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8" s="185"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8" s="185" t="str">
        <f>IF($AZ38="Yes",DW38,IF(Reinforcements[[#This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8" s="185" t="str">
        <f>IF($AZ38="Yes",DX38,IF(Reinforcements[[#This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8" s="238" t="str">
        <f>IF(OR(Reinforcements[[#This Row],[Type]]="plate",Reinforcements[[#This Row],[Type]]="solid round"),"N/A",Reinforcements[[#This Row],[B (in)]])</f>
        <v>N/A</v>
      </c>
      <c r="EB38" s="236" t="str">
        <f>IF(OR(Reinforcements[[#This Row],[Type]]="plate",Reinforcements[[#This Row],[Type]]="solid round"),"N/A",Reinforcements[[#This Row],[H (in)]])</f>
        <v>N/A</v>
      </c>
      <c r="EC38" s="236" t="str">
        <f>IF(OR(Reinforcements[[#This Row],[Type]]="plate",Reinforcements[[#This Row],[Type]]="solid round"),"N/A",Reinforcements[[#This Row],[B (in)]]-Reinforcements[[#This Row],['[Channel'] Flange Thickness (in)]])</f>
        <v>N/A</v>
      </c>
      <c r="ED38" s="236" t="str">
        <f>IF(OR(Reinforcements[[#This Row],[Type]]="plate",Reinforcements[[#This Row],[Type]]="solid round"),"N/A",Reinforcements[[#This Row],['[Channel']Web Thickness (in)]])</f>
        <v>N/A</v>
      </c>
      <c r="EE38" s="236" t="str">
        <f>IF(OR(Reinforcements[[#This Row],[Type]]="plate",Reinforcements[[#This Row],[Type]]="solid round"),"N/A",Reinforcements[[#This Row],['[Channel'] Flange Thickness (in)]])</f>
        <v>N/A</v>
      </c>
      <c r="EF38" s="236" t="str">
        <f>IF(Reinforcements[[#This Row],[Type]]="channel",Reinforcements[[#This Row],[Channel Flange Width, b]]/Reinforcements[[#This Row],[Channel flange thickness, tf]],"N/A")</f>
        <v>N/A</v>
      </c>
      <c r="EG38" s="236" t="str">
        <f>IF(Reinforcements[[#This Row],[Type]]="channel",Reinforcements[[#This Row],[Channel inside depth, T]]/Reinforcements[[#This Row],[Channel web thickness, tw]],"N/A")</f>
        <v>N/A</v>
      </c>
      <c r="EH38" s="237">
        <v>29000</v>
      </c>
      <c r="EI38" s="236" t="str">
        <f>IF(Reinforcements[[#This Row],[Type]]="channel",0.56*SQRT(Reinforcements[[#This Row],[E, (ksi)]]/Reinforcements[[#This Row],[Fy, (ksi)]]),"N/A")</f>
        <v>N/A</v>
      </c>
      <c r="EJ38" s="236" t="str">
        <f>IF(Reinforcements[[#This Row],[Type]]="channel",1.49*SQRT(Reinforcements[[#This Row],[E, (ksi)]]/Reinforcements[[#This Row],[Fy, (ksi)]]),"N/A")</f>
        <v>N/A</v>
      </c>
      <c r="EK38" s="236">
        <f>VLOOKUP(Reinforcements[[#This Row],[Material]],Materials!$B$2:$C$30,2,FALSE)</f>
        <v>65</v>
      </c>
      <c r="EL38" s="236">
        <f>Reinforcements[[#This Row],[Lu (in)]]*Reinforcements[[#This Row],[Effective Length Factor Kx]]</f>
        <v>12.8</v>
      </c>
      <c r="EM38" s="236">
        <f>Reinforcements[[#This Row],[Lu (in)]]*Reinforcements[[#This Row],[Effective Length Factor Ky]]</f>
        <v>16</v>
      </c>
      <c r="EN38" s="236">
        <f>Reinforcements[[#This Row],[rx]]</f>
        <v>0.28867513459481287</v>
      </c>
      <c r="EO38" s="236">
        <f>Reinforcements[[#This Row],[ry]]</f>
        <v>1.7320508075688772</v>
      </c>
      <c r="EP38" s="236">
        <f>Reinforcements[[#This Row],[Lcx (in)]]/Reinforcements[[#This Row],[rx (in)]]</f>
        <v>44.340500673763266</v>
      </c>
      <c r="EQ38" s="236">
        <f>Reinforcements[[#This Row],[Lcy (in)]]/Reinforcements[[#This Row],[ry (in)]]</f>
        <v>9.2376043070340135</v>
      </c>
      <c r="ER38" s="236">
        <f>((PI()^2)*Reinforcements[[#This Row],[E, (ksi)]])/(Reinforcements[[#This Row],[Lcx/rx]]^2)</f>
        <v>145.57827129699263</v>
      </c>
      <c r="ES38" s="236">
        <f>((PI()^2)*Reinforcements[[#This Row],[E, (ksi)]])/(Reinforcements[[#This Row],[Lcy/ry]]^2)</f>
        <v>3354.1233706827102</v>
      </c>
      <c r="ET38" s="236">
        <f>4.71*(SQRT(Reinforcements[[#This Row],[E, (ksi)]]/Reinforcements[[#This Row],[Fy, (ksi)]]))</f>
        <v>99.486288193205496</v>
      </c>
      <c r="EU38" s="236">
        <f>IF(Reinforcements[[#This Row],[Lcx/rx]]&lt;=Reinforcements[[#This Row],[Fcr Limit]],(0.658^(Reinforcements[[#This Row],[Fy, (ksi)]]/Reinforcements[[#This Row],[Fex, FB (ksi)]]))*Reinforcements[[#This Row],[Fy, (ksi)]],0.877*Reinforcements[[#This Row],[Fex, FB (ksi)]])</f>
        <v>53.9202739283065</v>
      </c>
      <c r="EV38" s="236">
        <f>IF(Reinforcements[[#This Row],[Lcy/ry]]&lt;=Reinforcements[[#This Row],[Fcr Limit]],(0.658^(Reinforcements[[#This Row],[Fy, (ksi)]]/Reinforcements[[#This Row],[Fey, FB (ksi)]]))*Reinforcements[[#This Row],[Fy, (ksi)]],0.877*Reinforcements[[#This Row],[Fey, FB (ksi)]])</f>
        <v>64.474908164166294</v>
      </c>
      <c r="EW38" s="236">
        <f>Reinforcements[[#This Row],[Fcrx (ksi)]]*Reinforcements[[#This Row],[Gross Area (in2)]]</f>
        <v>323.521643569839</v>
      </c>
      <c r="EX38" s="236">
        <f>Reinforcements[[#This Row],[Fcry (ksi)]]*Reinforcements[[#This Row],[Gross Area (in2)]]</f>
        <v>386.84944898499776</v>
      </c>
      <c r="EY38" s="236" t="str">
        <f>IF(Reinforcements[[#This Row],[Type]]="channel",0,"N/A")</f>
        <v>N/A</v>
      </c>
      <c r="EZ38" s="236" t="str">
        <f>IF(Reinforcements[[#This Row],[Type]]="channel",Reinforcements[[#This Row],[Channel Flange Width, b]]-(0.5*Reinforcements[[#This Row],[Channel web thickness, tw]]),"N/A")</f>
        <v>N/A</v>
      </c>
      <c r="FA38" s="236" t="str">
        <f>IF(Reinforcements[[#This Row],[Type]]="channel",Reinforcements[[#This Row],[Channel Height, h]]-Reinforcements[[#This Row],[Channel flange thickness, tf]],"N/A")</f>
        <v>N/A</v>
      </c>
      <c r="FB38" s="236" t="str">
        <f>IF(Reinforcements[[#This Row],[Type]]="channel",Reinforcements[[#This Row],[Channel web thickness, tw]],"N/A")</f>
        <v>N/A</v>
      </c>
      <c r="FC38" s="236" t="str">
        <f>IF(Reinforcements[[#This Row],[Type]]="channel",((3*Reinforcements[[#This Row],[b]]^2)/(Reinforcements[[#This Row],[h]]+(6*Reinforcements[[#This Row],[b]])))-Reinforcements[[#This Row],[t]]/2,"N/A")</f>
        <v>N/A</v>
      </c>
      <c r="FD38" s="236">
        <f>Reinforcements[[#This Row],[Pole Face to Centroid (in)]]</f>
        <v>0.5</v>
      </c>
      <c r="FE38" s="236" t="str">
        <f>IF(Reinforcements[[#This Row],[Type]]="channel",Reinforcements[[#This Row],[x(bar)]]+Reinforcements[[#This Row],['[Channel'] e0 (in)]],"N/A")</f>
        <v>N/A</v>
      </c>
      <c r="FF38" s="236" t="str">
        <f>IF(Reinforcements[[#This Row],[Type]]="channel",Reinforcements[[#This Row],[Ix]],"N/A")</f>
        <v>N/A</v>
      </c>
      <c r="FG38" s="236" t="str">
        <f>IF(Reinforcements[[#This Row],[Type]]="channel",Reinforcements[[#This Row],[Iy]],"N/A")</f>
        <v>N/A</v>
      </c>
      <c r="FH38" s="236" t="str">
        <f>IF(Reinforcements[[#This Row],[Type]]="channel",Reinforcements[[#This Row],[Gross Area (in2)]],"N/A")</f>
        <v>N/A</v>
      </c>
      <c r="FI38" s="236" t="str">
        <f>IF(Reinforcements[[#This Row],[Type]]="channel",(Reinforcements[[#This Row],[xo]]^2)+((Reinforcements[[#This Row],[Ix (FTB)]]+Reinforcements[[#This Row],[Iy (FTB)]])/Reinforcements[[#This Row],[Ag]]),"N/A")</f>
        <v>N/A</v>
      </c>
      <c r="FJ38" s="236" t="str">
        <f>IF(Reinforcements[[#This Row],[Type]]="channel",Reinforcements[[#This Row],[Lu (in)]],"N/A")</f>
        <v>N/A</v>
      </c>
      <c r="FK38" s="236" t="str">
        <f>IF(Reinforcements[[#This Row],[Type]]="channel",Reinforcements[[#This Row],[Effective Length Factor Kx]],"N/A")</f>
        <v>N/A</v>
      </c>
      <c r="FL38" s="236" t="str">
        <f>IF(Reinforcements[[#This Row],[Type]]="channel",Reinforcements[[#This Row],[Kz]]*Reinforcements[[#This Row],[Lz]],"N/A")</f>
        <v>N/A</v>
      </c>
      <c r="FM38" s="236" t="str">
        <f>IF(Reinforcements[[#This Row],[Type]]="channel",(((Reinforcements[[#This Row],[t]]^3)/3)*(Reinforcements[[#This Row],[h]]+(2*Reinforcements[[#This Row],[b]]))),"N/A")</f>
        <v>N/A</v>
      </c>
      <c r="FN38" s="236" t="str">
        <f>IF(Reinforcements[[#This Row],[Type]]="channel",(1-(((Reinforcements[[#This Row],[xo]]^2)+(Reinforcements[[#This Row],[yo]]^2))/Reinforcements[[#This Row],[ro^2(bar)]])),"N/A")</f>
        <v>N/A</v>
      </c>
      <c r="FO38" s="237">
        <v>11200</v>
      </c>
      <c r="FP38" s="236" t="str">
        <f>IF(Reinforcements[[#This Row],[Type]]="channel",(((Reinforcements[[#This Row],[h]]^2)*(Reinforcements[[#This Row],[b]]^3)*Reinforcements[[#This Row],[t]])/12)*(((2*Reinforcements[[#This Row],[h]])+(3*Reinforcements[[#This Row],[b]]))/(Reinforcements[[#This Row],[h]]+(6*Reinforcements[[#This Row],[b]]))),"N/A")</f>
        <v>N/A</v>
      </c>
      <c r="FQ38" s="236" t="str">
        <f>IF(Reinforcements[[#This Row],[Type]]="Channel",((((PI()^2)*Reinforcements[[#This Row],[E, (ksi)]]*Reinforcements[[#This Row],['[Channel'] CW (in6)]])/(Reinforcements[[#This Row],[Lcz]]^2))+(Reinforcements[[#This Row],[G]]*Reinforcements[[#This Row],['[Channel'] J (in4)]]))*(1/(Reinforcements[[#This Row],[Ag]]*Reinforcements[[#This Row],[ro^2(bar)]])),"N/A")</f>
        <v>N/A</v>
      </c>
      <c r="FR38" s="236" t="str">
        <f>IF(Reinforcements[[#This Row],[Type]]="channel",((PI()^2)*Reinforcements[[#This Row],[E, (ksi)]])/(Reinforcements[[#This Row],[Lcy/ry]]^2),"N/A")</f>
        <v>N/A</v>
      </c>
      <c r="FS38" s="236" t="str">
        <f>IF(Reinforcements[[#This Row],[Type]]="channel",((Reinforcements[[#This Row],[Fey]]+Reinforcements[[#This Row],[Fez]])/(2*Reinforcements[[#This Row],[H2]]))*(1-SQRT(1-((4*Reinforcements[[#This Row],[Fey]]*Reinforcements[[#This Row],[Fez]]*Reinforcements[[#This Row],[H2]])/(Reinforcements[[#This Row],[Fey]]+Reinforcements[[#This Row],[Fez]])^2))),"N/A")</f>
        <v>N/A</v>
      </c>
      <c r="FT38" s="236" t="str">
        <f>IF(Reinforcements[[#This Row],[Type]]="channel",IF(Reinforcements[[#This Row],[Lcx/rx]]&gt;(4.71*SQRT(Reinforcements[[#This Row],[E, (ksi)]]/Reinforcements[[#This Row],[Fy, (ksi)]])),0.877*Reinforcements[[#This Row],[Fe (FTB)]],0.658^(Reinforcements[[#This Row],[Fy, (ksi)]]/Reinforcements[[#This Row],[Fe (FTB)]])*Reinforcements[[#This Row],[Fy, (ksi)]]),"N/A")</f>
        <v>N/A</v>
      </c>
      <c r="FU38" s="236" t="str">
        <f>IF(Reinforcements[[#This Row],[Type]]="channel",MIN(Reinforcements[[#This Row],[Fcr(FTB)]],Reinforcements[[#This Row],[Fcry (ksi)]]),"N/A")</f>
        <v>N/A</v>
      </c>
      <c r="FV38" s="237">
        <v>0.22</v>
      </c>
      <c r="FW38" s="237">
        <v>1.49</v>
      </c>
      <c r="FX38" s="236" t="str">
        <f>IF(Reinforcements[[#This Row],[Type]]="channel",((Reinforcements[[#This Row],[c2]]*(Reinforcements[[#This Row],[λrf]]/Reinforcements[[#This Row],[λf]]))^2)*Reinforcements[[#This Row],[Fy, (ksi)]],"N/A")</f>
        <v>N/A</v>
      </c>
      <c r="FY38" s="236" t="str">
        <f>IF(Reinforcements[[#This Row],[Type]]="channel",((Reinforcements[[#This Row],[c2]]*(Reinforcements[[#This Row],[λrw]]/Reinforcements[[#This Row],[λw]]))^2)*Reinforcements[[#This Row],[Fy, (ksi)]],"N/A")</f>
        <v>N/A</v>
      </c>
      <c r="FZ38"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8"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8"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8" s="236" t="str">
        <f>IF(Reinforcements[[#This Row],[Type]]="channel",Reinforcements[[#This Row],[Fcr]]*Reinforcements[[#This Row],[Ae]],"N/A")</f>
        <v>N/A</v>
      </c>
      <c r="GD38" s="466">
        <f>IF(Reinforcements[[#This Row],[Reinforcement]]="","",φ_c*Reinforcements[[#This Row],[Pnx, FB (kip)]])</f>
        <v>291.16947921285509</v>
      </c>
      <c r="GE38" s="466">
        <f>IF(Reinforcements[[#This Row],[Reinforcement]]="","",IF(Reinforcements[[#This Row],[Type]]="channel",φ_c*Reinforcements[[#This Row],[Pn]],φ_c*Reinforcements[[#This Row],[Pny, FB (kip)]]))</f>
        <v>348.16450408649797</v>
      </c>
      <c r="GF38" s="466">
        <f>Reinforcements[[#This Row],[Rev. G Tension Yield Capacity (kips)]]</f>
        <v>351</v>
      </c>
      <c r="GG38" s="466">
        <f>Reinforcements[[#This Row],[Rev. G Tension Rupture Capacity (kips)]]</f>
        <v>285</v>
      </c>
      <c r="GH38" s="466">
        <f>Reinforcements[[#This Row],[Rev. G Shear Capacity (kips)]]</f>
        <v>175.5</v>
      </c>
      <c r="GI38" s="466" t="str">
        <f>IFERROR((Reinforcements[[#This Row],['# of End Connection Bolts          (Bottom)]]-1)*Reinforcements[[#This Row],[End Connection Bolt Spacing (in) (B)]],"-")</f>
        <v>-</v>
      </c>
      <c r="GJ38" s="466">
        <f>IFERROR(IF(VLOOKUP(Reinforcements[[#This Row],[Bottom End Connection Bolt Type]],Bolts[],COLUMN(Bolts[[#Headers],[Rev. H Apply Connection Length Reduction Factor (Rb)?]])-1,FALSE)="Yes",(IF(Reinforcements[[#This Row],[Lb(bottom)]]&lt;=16,1,IF(Reinforcements[[#This Row],[Lb(bottom)]]&gt;38,0.75,0.9))),1),"-")</f>
        <v>1</v>
      </c>
      <c r="GK38"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8" s="466">
        <f>IFERROR(IF(Reinforcements[[#This Row],[Top End Connection Same?]]="Yes",Reinforcements[[#This Row],[Lb(bottom)]],(Reinforcements[[#This Row],['# of End Connection Bolts          (Top)]]-1)*Reinforcements[[#This Row],[End Connection Bolt Spacing (in) (T)]]),"-")</f>
        <v>21</v>
      </c>
      <c r="GM38" s="466">
        <f>IFERROR(IF(VLOOKUP(Reinforcements[[#This Row],[Top End Connection Bolt Type]],Bolts[],COLUMN(Bolts[[#Headers],[Rev. H Apply Connection Length Reduction Factor (Rb)?]])-1,FALSE)="Yes",(IF(Reinforcements[[#This Row],[Lb(top)]]&lt;=16,1,IF(Reinforcements[[#This Row],[Lb(top)]]&gt;38,0.75,0.9))),1),"-")</f>
        <v>1</v>
      </c>
      <c r="GN38"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371.19712776654347</v>
      </c>
      <c r="GO38" s="466" t="str">
        <f>Reinforcements[[#This Row],[Rev. G Bolt-Shaft Bearing Capacity (Bottom)                No Deformation          (*t*Fu kips)]]</f>
        <v>-</v>
      </c>
      <c r="GP38" s="466" t="str">
        <f>Reinforcements[[#This Row],[Rev. G Bolt-Shaft Bearing Capacity (Bottom)                   Deformation          (*t*Fu kips)]]</f>
        <v>-</v>
      </c>
      <c r="GQ38" s="466">
        <f>Reinforcements[[#This Row],[Rev. G Bolt-Shaft Bearing Capacity (Top)                    No Deformation          (*t*Fu kips)]]</f>
        <v>15.870236220472439</v>
      </c>
      <c r="GR38" s="466">
        <f>Reinforcements[[#This Row],[Rev. G Bolt-Shaft Bearing Capacity (Top)                        Deformation          (*t*Fu kips)]]</f>
        <v>19.837795275590551</v>
      </c>
      <c r="GS38" s="466" t="str">
        <f>Reinforcements[[#This Row],[Rev. G Bolt-Reinf. Bearing Capacity (Bottom)            No Deformation (kips)]]</f>
        <v>-</v>
      </c>
      <c r="GT38" s="466" t="str">
        <f>Reinforcements[[#This Row],[Rev. G Bolt-Reinf. Bearing Capacity (Bottom)               Deformation (kips)]]</f>
        <v>-</v>
      </c>
      <c r="GU38" s="466">
        <f>Reinforcements[[#This Row],[Rev. G Bolt-Reinf. Bearing Capacity (Top)                  No Deformation (kips)]]</f>
        <v>1269.6188976377953</v>
      </c>
      <c r="GV38" s="466">
        <f>Reinforcements[[#This Row],[Rev. G Bolt-Reinf. Bearing Capacity (Top)               Deformation (kips)]]</f>
        <v>1587.0236220472443</v>
      </c>
      <c r="GW38" s="466" t="str">
        <f>Reinforcements[[#This Row],[Rev. G Bottom Transverse Weld Strength]]</f>
        <v>-</v>
      </c>
      <c r="GX38" s="466" t="str">
        <f>Reinforcements[[#This Row],[Rev. G Bottom Longitudinal Weld Strength]]</f>
        <v>-</v>
      </c>
      <c r="GY38" s="466" t="str">
        <f>Reinforcements[[#This Row],[Rev. G Top Transverse Weld Strength]]</f>
        <v>-</v>
      </c>
      <c r="GZ38" s="466" t="str">
        <f>Reinforcements[[#This Row],[Rev. G Top Longitudinal Weld Strength]]</f>
        <v>-</v>
      </c>
      <c r="HA38" s="552">
        <v>36</v>
      </c>
      <c r="HB38"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9" spans="2:210" x14ac:dyDescent="0.2">
      <c r="B39" s="72" t="s">
        <v>586</v>
      </c>
      <c r="C39" s="72" t="s">
        <v>146</v>
      </c>
      <c r="D39" s="185">
        <v>6.5</v>
      </c>
      <c r="E39" s="185">
        <v>1.25</v>
      </c>
      <c r="F39" s="185" t="str">
        <f>IF(Reinforcements[[#This Row],[Type]]="","",IF(Reinforcements[[#This Row],[Type]]="solid round","","n/a"))</f>
        <v>n/a</v>
      </c>
      <c r="G39" s="185" t="str">
        <f>IF(Reinforcements[[#This Row],[Type]]="","",IF(Reinforcements[[#This Row],[Type]]&lt;&gt;"channel","n/a",""))</f>
        <v>n/a</v>
      </c>
      <c r="H39" s="185" t="str">
        <f>IF(Reinforcements[[#This Row],[Type]]="","",IF(Reinforcements[[#This Row],[Type]]&lt;&gt;"channel","n/a",""))</f>
        <v>n/a</v>
      </c>
      <c r="I39" s="197" t="str">
        <f>IF(Reinforcements[[#This Row],[Type]]="","",IF(Reinforcements[[#This Row],[Type]]&lt;&gt;"channel","n/a",Reinforcements[[#This Row],[eo]]))</f>
        <v>n/a</v>
      </c>
      <c r="J39" s="197" t="str">
        <f>IF(Reinforcements[[#This Row],[Type]]="","",IF(Reinforcements[[#This Row],[Type]]&lt;&gt;"channel","n/a",Reinforcements[[#This Row],[J]]))</f>
        <v>n/a</v>
      </c>
      <c r="K39" s="197" t="str">
        <f>IF(Reinforcements[[#This Row],[Type]]="","",IF(Reinforcements[[#This Row],[Type]]&lt;&gt;"channel","n/a",Reinforcements[[#This Row],[Cw]]))</f>
        <v>n/a</v>
      </c>
      <c r="L39" s="185">
        <f>IFERROR(IF(Reinforcements[[#This Row],[Type]]="","",IF(Reinforcements[[#This Row],[Type]]="plate",Reinforcements[[#This Row],[B (in)]]*Reinforcements[[#This Row],[H (in)]],IF(Reinforcements[[#This Row],[Type]]="solid round",PI()/4*Reinforcements[[#This Row],[Diameter (in)]]^2,""))),"")</f>
        <v>8.125</v>
      </c>
      <c r="M39" s="185">
        <f>IFERROR(IF(Reinforcements[[#This Row],[Type]]="","",IF(Reinforcements[[#This Row],[Type]]="plate",Reinforcements[[#This Row],[H (in)]]/2,"")),"")</f>
        <v>0.625</v>
      </c>
      <c r="N39" s="199" t="s">
        <v>297</v>
      </c>
      <c r="O39" s="185" t="s">
        <v>60</v>
      </c>
      <c r="P39" s="187">
        <f>IFERROR(IF(Reinforcements[[#This Row],[Type]]="","",IF(Reinforcements[[#This Row],[Type]]="plate",Reinforcements[[#This Row],[B (in)]]*Reinforcements[[#This Row],[H (in)]]^3/12,IF(Reinforcements[[#This Row],[Type]]="solid round",PI()/64*Reinforcements[[#This Row],[Diameter (in)]]^4,""))),"")</f>
        <v>1.0579427083333333</v>
      </c>
      <c r="Q39" s="187">
        <f>IF(Reinforcements[[#This Row],[Reinforcement]]="","",SQRT(Reinforcements[[#This Row],[Ix]]/Reinforcements[[#This Row],[Gross Area (in2)]]))</f>
        <v>0.36084391824351608</v>
      </c>
      <c r="R39" s="187">
        <f>IFERROR(IF(Reinforcements[[#This Row],[Type]]="","",IF(Reinforcements[[#This Row],[Type]]="plate",Reinforcements[[#This Row],[B (in)]]^3*Reinforcements[[#This Row],[H (in)]]/12,IF(Reinforcements[[#This Row],[Type]]="solid round",PI()/64*Reinforcements[[#This Row],[Diameter (in)]]^4,""))),"")</f>
        <v>28.606770833333332</v>
      </c>
      <c r="S39" s="187">
        <f>IF(Reinforcements[[#This Row],[Reinforcement]]="","",SQRT(Reinforcements[[#This Row],[Iy]]/Reinforcements[[#This Row],[Gross Area (in2)]]))</f>
        <v>1.8763883748662837</v>
      </c>
      <c r="T39" s="190">
        <v>19</v>
      </c>
      <c r="U39" s="188">
        <v>0.8</v>
      </c>
      <c r="V39" s="188">
        <v>1</v>
      </c>
      <c r="W39" s="185">
        <v>1.1875</v>
      </c>
      <c r="X39" s="188">
        <f>IF(Reinforcements[[#This Row],[Bolt Hole Size (in)]]="","",IF(Reinforcements[[#This Row],[Bolt Hole Size (in)]]="n/a","n/a",Reinforcements[[#This Row],[Bolt Hole Size (in)]]*25.4))</f>
        <v>30.162499999999998</v>
      </c>
      <c r="Y39"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39" s="185">
        <f>IFERROR(IF(Reinforcements[[#This Row],[Reinforcement]]="","",IF(OR(Reinforcements[[#This Row],[Type]]="plate",Reinforcements[[#This Row],[Type]]="solid round"),1,IF(Reinforcements[[#This Row],[Type]]="arbitrary","",1-Reinforcements[[#This Row],[Pole Face to Centroid (in)]]/Reinforcements[[#This Row],[Connection Length (in) '[Channels']]]))),"")</f>
        <v>1</v>
      </c>
      <c r="AA39" s="189" t="s">
        <v>578</v>
      </c>
      <c r="AB39" s="189" t="str">
        <f>IF(Reinforcements[[#This Row],[Reinforcement]]="","",IF(Reinforcements[[#This Row],[Bottom End Connection Type]]&lt;&gt;"Capacity Input","-",""))</f>
        <v>-</v>
      </c>
      <c r="AC39" s="189" t="str">
        <f>IF(Reinforcements[[#This Row],[Reinforcement]]="","",IF(Reinforcements[[#This Row],[Bottom End Connection Type]]&lt;&gt;"Capacity Input","-",""))</f>
        <v>-</v>
      </c>
      <c r="AD39" s="461" t="str">
        <f>IF(Reinforcements[[#This Row],[Reinforcement]]="","",IF(Reinforcements[[#This Row],[Bottom End Connection Type]]&lt;&gt;"Capacity Input","-",""))</f>
        <v>-</v>
      </c>
      <c r="AE39" s="103" t="str">
        <f>IF(Reinforcements[[#This Row],[Reinforcement]]="","",IF(Reinforcements[[#This Row],[Bottom End Connection Type]]="","-",IF(Reinforcements[[#This Row],[Bottom End Connection Type]]&lt;&gt;"Bolted","-","")))</f>
        <v>-</v>
      </c>
      <c r="AF39" s="190" t="str">
        <f>IF(Reinforcements[[#This Row],[Bottom End Connection Type]]="Welded","-","")</f>
        <v>-</v>
      </c>
      <c r="AG39" s="190" t="str">
        <f>IF(Reinforcements[[#This Row],[Bottom End Connection Type]]="Welded","-","")</f>
        <v>-</v>
      </c>
      <c r="AH39" s="190" t="str">
        <f>IF(Reinforcements[[#This Row],[Bottom End Connection Type]]="Welded","-","")</f>
        <v>-</v>
      </c>
      <c r="AI39" s="190" t="str">
        <f>IF(Reinforcements[[#This Row],[Bottom End Connection Type]]="Welded","-","")</f>
        <v>-</v>
      </c>
      <c r="AJ39" s="185" t="e">
        <f>Reinforcements[[#This Row],[End Connection Edge Distance (in) (B)]]-(Reinforcements[[#This Row],[Bolt Hole Size (in)]]+1/16)/2</f>
        <v>#VALUE!</v>
      </c>
      <c r="AK39" s="185" t="e">
        <f>Reinforcements[[#This Row],[End Connection Bolt Spacing (in) (B)]]-(Reinforcements[[#This Row],[Bolt Hole Size (in)]]+1/16)</f>
        <v>#VALUE!</v>
      </c>
      <c r="AL39" s="185" t="str">
        <f>Reinforcements[[#This Row],[End Connection Edge Distance (in) (B)]]</f>
        <v>-</v>
      </c>
      <c r="AM39" s="185" t="str">
        <f>Reinforcements[[#This Row],[End Connection Bolt Spacing (in) (B)]]</f>
        <v>-</v>
      </c>
      <c r="AN39" s="190" t="s">
        <v>295</v>
      </c>
      <c r="AO39" s="191">
        <v>70</v>
      </c>
      <c r="AP39" s="191" t="s">
        <v>577</v>
      </c>
      <c r="AQ39" s="191">
        <v>6.5</v>
      </c>
      <c r="AR39" s="185">
        <v>1.25</v>
      </c>
      <c r="AS39" s="185">
        <v>45</v>
      </c>
      <c r="AT39" s="192">
        <v>0.5</v>
      </c>
      <c r="AU39" s="185"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9" s="191" t="s">
        <v>528</v>
      </c>
      <c r="AW39" s="191" t="str">
        <f>IF(Reinforcements[[#This Row],[Reinforcement]]="","",IF(OR(Reinforcements[[#This Row],[Bottom End Connection Type]]&lt;&gt;"Welded",Reinforcements[[#This Row],[Bottom Longitudinal (Vertical) Weld]]="None",Reinforcements[[#This Row],[Bottom Longitudinal (Vertical) Weld]]=""),"-",""))</f>
        <v>-</v>
      </c>
      <c r="AX39" s="191" t="str">
        <f>IF(Reinforcements[[#This Row],[Reinforcement]]="","",IF(OR(Reinforcements[[#This Row],[Bottom End Connection Type]]&lt;&gt;"Welded",Reinforcements[[#This Row],[Bottom Longitudinal (Vertical) Weld]]="None",Reinforcements[[#This Row],[Bottom Longitudinal (Vertical) Weld]]=""),"-",""))</f>
        <v>-</v>
      </c>
      <c r="AY39" s="185" t="str">
        <f>IF(Reinforcements[[#This Row],[Reinforcement]]="","",IF(OR(Reinforcements[[#This Row],[Bottom End Connection Type]]&lt;&gt;"Welded",Reinforcements[[#This Row],[Bottom Longitudinal (Vertical) Weld]]="None"),"-",SQRT(2)/2*Reinforcements[[#This Row],[Bottom Longitudinal Weld Fillet Size (in)]]))</f>
        <v>-</v>
      </c>
      <c r="AZ39" s="191" t="s">
        <v>297</v>
      </c>
      <c r="BA39" s="186" t="s">
        <v>391</v>
      </c>
      <c r="BB39" s="186" t="str">
        <f>IF(Reinforcements[[#This Row],[Reinforcement]]="","",IF(Reinforcements[[#This Row],[Top End Connection Same?]]="Yes",Reinforcements[[#This Row],[Rev. F Bottom Connection Capacity (kips)]],IF(Reinforcements[[#This Row],[Reinforcement]]="","",IF(Reinforcements[[#This Row],[Top End Connection Type]]&lt;&gt;"Capacity Input","-",""))))</f>
        <v>-</v>
      </c>
      <c r="BC39" s="186" t="str">
        <f>IF(Reinforcements[[#This Row],[Reinforcement]]="","",IF(Reinforcements[[#This Row],[Top End Connection Same?]]="Yes",Reinforcements[[#This Row],[Rev. G Bottom Connection Capacity (kips)]],IF(Reinforcements[[#This Row],[Reinforcement]]="","",IF(Reinforcements[[#This Row],[Top End Connection Type]]&lt;&gt;"Capacity Input","-",""))))</f>
        <v>-</v>
      </c>
      <c r="BD39" s="461" t="str">
        <f>IF(Reinforcements[[#This Row],[Reinforcement]]="","",IF(Reinforcements[[#This Row],[Top End Connection Same?]]="Yes",Reinforcements[[#This Row],[Rev. G Bottom Connection Capacity (kips)]],IF(Reinforcements[[#This Row],[Reinforcement]]="","",IF(Reinforcements[[#This Row],[Top End Connection Type]]&lt;&gt;"Capacity Input","-",""))))</f>
        <v>-</v>
      </c>
      <c r="BE39" s="207" t="s">
        <v>416</v>
      </c>
      <c r="BF39" s="190" t="s">
        <v>296</v>
      </c>
      <c r="BG39" s="185">
        <v>11</v>
      </c>
      <c r="BH39" s="185">
        <v>3</v>
      </c>
      <c r="BI39" s="185">
        <v>3</v>
      </c>
      <c r="BJ39" s="185">
        <f>Reinforcements[[#This Row],[End Connection Edge Distance (in) (T)]]-(Reinforcements[[#This Row],[Bolt Hole Size (in)]]+1/16)/2</f>
        <v>2.375</v>
      </c>
      <c r="BK39" s="185">
        <f>Reinforcements[[#This Row],[End Connection Bolt Spacing (in) (T)]]-(Reinforcements[[#This Row],[Bolt Hole Size (in)]]+1/16)</f>
        <v>1.75</v>
      </c>
      <c r="BL39" s="185">
        <f>Reinforcements[[#This Row],[End Connection Edge Distance (in) (T)]]</f>
        <v>3</v>
      </c>
      <c r="BM39" s="185">
        <f>Reinforcements[[#This Row],[End Connection Bolt Spacing (in) (T)]]</f>
        <v>3</v>
      </c>
      <c r="BN39" s="185" t="str">
        <f>IF(Reinforcements[[#This Row],[Reinforcement]]="","",IF(Reinforcements[[#This Row],[Top End Connection Same?]]="Yes",Reinforcements[[#This Row],[Bottom Connected to Flange/Base Plate?]],IF(Reinforcements[[#This Row],[Top End Connection Type]]="Bolted","-","")))</f>
        <v>-</v>
      </c>
      <c r="BO39" s="185" t="str">
        <f>IF(Reinforcements[[#This Row],[Reinforcement]]="","",IF(Reinforcements[[#This Row],[Top End Connection Same?]]="Yes",Reinforcements[[#This Row],[Bottom Weld Grade (ksi)]],IF(OR(Reinforcements[[#This Row],[Top End Connection Type]]&lt;&gt;"Welded",Reinforcements[[#This Row],[Top End Connection Type]]=""),"-","")))</f>
        <v>-</v>
      </c>
      <c r="BP39" s="185" t="str">
        <f>IF($AZ39="Yes",AP39,IF(Reinforcements[[#This Row],[Reinforcement]]="","",IF(OR(Reinforcements[[#This Row],[Top End Connection Type]]&lt;&gt;"Welded",Reinforcements[[#This Row],[Top End Connection Type]]=""),"-","")))</f>
        <v>-</v>
      </c>
      <c r="BQ39" s="185" t="str">
        <f>IF(Reinforcements[[#This Row],[Reinforcement]]="","",IF($AZ39="Yes",AQ39,IF(OR(Reinforcements[[#This Row],[Top End Connection Type]]&lt;&gt;"Welded",Reinforcements[[#This Row],[Top Transverse (Horizontal) Weld]]="none",Reinforcements[[#This Row],[Top Transverse (Horizontal) Weld]]=""),"-","")))</f>
        <v>-</v>
      </c>
      <c r="BR39" s="185" t="str">
        <f>IF($AZ39="Yes",AR39,IF(Reinforcements[[#This Row],[Reinforcement]]="","",IF(OR(Reinforcements[[#This Row],[Top Transverse (Horizontal) Weld]]="none",Reinforcements[[#This Row],[Top End Connection Type]]&lt;&gt;"Welded",Reinforcements[[#This Row],[Top Transverse (Horizontal) Weld]]="",Reinforcements[[#This Row],[Top Transverse (Horizontal) Weld]]="Fillet"),"-","")))</f>
        <v>-</v>
      </c>
      <c r="BS39" s="185" t="str">
        <f>IF($AZ39="Yes",AS39,IF(Reinforcements[[#This Row],[Reinforcement]]="","",IF(OR(Reinforcements[[#This Row],[Top Transverse (Horizontal) Weld]]="none",Reinforcements[[#This Row],[Top End Connection Type]]&lt;&gt;"Welded",Reinforcements[[#This Row],[Top Transverse (Horizontal) Weld]]="",Reinforcements[[#This Row],[Top Transverse (Horizontal) Weld]]="Fillet"),"-","")))</f>
        <v>-</v>
      </c>
      <c r="BT39" s="185" t="str">
        <f>IF(Reinforcements[[#This Row],[Reinforcement]]="","",IF($AZ39="Yes",AT39,IF(OR(Reinforcements[[#This Row],[Top Transverse (Horizontal) Weld]]="none",Reinforcements[[#This Row],[Top End Connection Type]]&lt;&gt;"Welded",Reinforcements[[#This Row],[Top Transverse (Horizontal) Weld]]=""),"-","")))</f>
        <v>-</v>
      </c>
      <c r="BU39" s="185" t="str">
        <f>IF($AZ39="Yes",AU39,IF(Reinforcements[[#This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9" s="185" t="str">
        <f>IF($AZ39="Yes",AV39,IF(Reinforcements[[#This Row],[Reinforcement]]="","",IF(OR(Reinforcements[[#This Row],[Top End Connection Type]]&lt;&gt;"Welded",Reinforcements[[#This Row],[Top End Connection Type]]=""),"-","")))</f>
        <v>-</v>
      </c>
      <c r="BW39" s="185" t="str">
        <f>IF($AZ39="Yes",AW39,IF(Reinforcements[[#This Row],[Reinforcement]]="","",IF(OR(Reinforcements[[#This Row],[Top End Connection Type]]&lt;&gt;"Welded",Reinforcements[[#This Row],[Top End Connection Type]]="",Reinforcements[[#This Row],[Top Longitudinal (Vertical) Weld]]="",Reinforcements[[#This Row],[Top Longitudinal (Vertical) Weld]]="None"),"-","")))</f>
        <v>-</v>
      </c>
      <c r="BX39" s="185" t="str">
        <f>IF($AZ39="Yes",AX39,IF(Reinforcements[[#This Row],[Reinforcement]]="","",IF(OR(Reinforcements[[#This Row],[Top End Connection Type]]&lt;&gt;"Welded",Reinforcements[[#This Row],[Top End Connection Type]]="",Reinforcements[[#This Row],[Top Longitudinal (Vertical) Weld]]="",Reinforcements[[#This Row],[Top Longitudinal (Vertical) Weld]]="None"),"-","")))</f>
        <v>-</v>
      </c>
      <c r="BY39" s="185" t="str">
        <f>IF($AZ39="Yes",AY39,IF(Reinforcements[[#This Row],[Reinforcement]]="","",IF(OR(Reinforcements[[#This Row],[Top End Connection Type]]&lt;&gt;"Welded",Reinforcements[[#This Row],[Top Longitudinal (Vertical) Weld]]="none"),"-",SQRT(2)/2*Reinforcements[[#This Row],[Top Longitudinal Weld Fillet Size (in)]])))</f>
        <v>-</v>
      </c>
      <c r="BZ39"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9"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9" s="192">
        <f>IF(Reinforcements[[#This Row],[Reinforcement]]="","",IF(Reinforcements[[#This Row],[Top End Connection Type]]&lt;&gt;"Bolted","n/a",(Reinforcements[[#This Row],['# of End Connection Bolts          (Top)]]-1)*Reinforcements[[#This Row],[End Connection Bolt Spacing (in) (T)]]+Reinforcements[[#This Row],[End Connection Edge Distance (in) (T)]]))</f>
        <v>33</v>
      </c>
      <c r="CC39"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39"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9" s="185">
        <f>IFERROR(IF(Reinforcements[[#This Row],[Type]]="","",Reinforcements[[#This Row],[Effective B (in)]]*Reinforcements[[#This Row],[Effective H (in)]]^3/12),"")</f>
        <v>1.0579427083333333</v>
      </c>
      <c r="CF39" s="185">
        <f>IFERROR(IF(Reinforcements[[#This Row],[Type]]="","",Reinforcements[[#This Row],[Effective B (in)]]^3*Reinforcements[[#This Row],[Effective H (in)]]/12),"")</f>
        <v>28.606770833333332</v>
      </c>
      <c r="CG39" s="197">
        <f>SQRT(2*PI()^2*29000/VLOOKUP(Reinforcements[[#This Row],[Material]],Materials[],2,FALSE))</f>
        <v>93.844147005158973</v>
      </c>
      <c r="CH39"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32.051484618003961</v>
      </c>
      <c r="CI39"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37.857448581601105</v>
      </c>
      <c r="CJ39" s="187">
        <f>Reinforcements[[#This Row],[Effective Length Factor Kx]]*Reinforcements[[#This Row],[Lu (in)]]/(Reinforcements[[#This Row],[rx]]*PI())*SQRT(VLOOKUP(Reinforcements[[#This Row],[Material]],Materials[],2,FALSE)/29000)</f>
        <v>0.63479281815212207</v>
      </c>
      <c r="CK39" s="187">
        <f>Reinforcements[[#This Row],[Effective Length Factor Ky]]*Reinforcements[[#This Row],[Lu (in)]]/(Reinforcements[[#This Row],[ry]]*PI())*SQRT(VLOOKUP(Reinforcements[[#This Row],[Material]],Materials[],2,FALSE)/29000)</f>
        <v>0.15259442744041396</v>
      </c>
      <c r="CL39" s="187">
        <f>IF(Reinforcements[[#This Row],[λcx]]&lt;=1.5,0.658^(Reinforcements[[#This Row],[λcx]]^2)*Reinforcements[[#This Row],[F''y]],0.877/(Reinforcements[[#This Row],[λcx]]^2)*Reinforcements[[#This Row],[F''y]])</f>
        <v>54.911753637534716</v>
      </c>
      <c r="CM39" s="187">
        <f>IF(Reinforcements[[#This Row],[λcy]]&lt;=1.5,0.658^(Reinforcements[[#This Row],[λcy]]^2)*Reinforcements[[#This Row],[F''y]],0.877/(Reinforcements[[#This Row],[λcy]]^2)*Reinforcements[[#This Row],[F''y]])</f>
        <v>64.369588945551428</v>
      </c>
      <c r="CN39" s="185">
        <f>VLOOKUP(Reinforcements[[#This Row],[Material]],Materials[],2,FALSE)</f>
        <v>65</v>
      </c>
      <c r="CO39" s="197">
        <f>IF(Reinforcements[[#This Row],[Reinforcement]]="","",Reinforcements[[#This Row],[Fax]]*Reinforcements[[#This Row],[Gross Area (in2)]])</f>
        <v>260.41831252128219</v>
      </c>
      <c r="CP39" s="197">
        <f>IF(Reinforcements[[#This Row],[Reinforcement]]="","",Reinforcements[[#This Row],[Fay]]*Reinforcements[[#This Row],[Gross Area (in2)]])</f>
        <v>307.59176972550898</v>
      </c>
      <c r="CQ39" s="197">
        <f>IF(Reinforcements[[#This Row],[Reinforcement]]="","",0.6*VLOOKUP(Reinforcements[[#This Row],[Material]],Materials[],2,FALSE)*Reinforcements[[#This Row],[Gross Area (in2)]])</f>
        <v>316.875</v>
      </c>
      <c r="CR39" s="197">
        <f>IF(Reinforcements[[#This Row],[Reinforcement]]="","",0.5*VLOOKUP(Reinforcements[[#This Row],[Material]],Materials[],3,FALSE)*Reinforcements[[#This Row],[Net Area (in2)]]*Reinforcements[[#This Row],[Shear Lag (U)]])</f>
        <v>262.5</v>
      </c>
      <c r="CS39" s="197">
        <f>IF(Reinforcements[[#This Row],[Reinforcement]]="","",0.4*VLOOKUP(Reinforcements[[#This Row],[Material]],Materials[],2,FALSE)*Reinforcements[[#This Row],[Gross Area (in2)]])</f>
        <v>211.25</v>
      </c>
      <c r="CT39"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9"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256.14194846712962</v>
      </c>
      <c r="CV39"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9"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9"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15.070866141732283</v>
      </c>
      <c r="CY39"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16.712598425196852</v>
      </c>
      <c r="CZ39"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9"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9"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1507.0866141732283</v>
      </c>
      <c r="DC39"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1671.259842519685</v>
      </c>
      <c r="DD39"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9" s="185"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9" s="185" t="str">
        <f>IF($AZ39="Yes",DD39,IF(Reinforcements[[#This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9" s="185" t="str">
        <f>IF($AZ39="Yes",DE39,IF(Reinforcements[[#This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9" s="197">
        <f>IF(Reinforcements[[#This Row],[Reinforcement]]="","",φ_c*Reinforcements[[#This Row],[Fcr,x]]*Reinforcements[[#This Row],[Gross Area (in2)]])</f>
        <v>401.54219847447263</v>
      </c>
      <c r="DI39" s="197">
        <f>IF(Reinforcements[[#This Row],[Reinforcement]]="","",φ_c*Reinforcements[[#This Row],[Fcr,y]]*Reinforcements[[#This Row],[Gross Area (in2)]])</f>
        <v>470.70261916434481</v>
      </c>
      <c r="DJ39" s="197">
        <f>IF(Reinforcements[[#This Row],[Reinforcement]]="","",φ_t_y*VLOOKUP(Reinforcements[[#This Row],[Material]],Materials[],2,FALSE)*Reinforcements[[#This Row],[Gross Area (in2)]])</f>
        <v>475.3125</v>
      </c>
      <c r="DK39" s="197">
        <f>IF(Reinforcements[[#This Row],[Reinforcement]]="","",φ_t_r*VLOOKUP(Reinforcements[[#This Row],[Material]],Materials[],3,FALSE)*Reinforcements[[#This Row],[Net Area (in2)]]*Reinforcements[[#This Row],[Shear Lag (U)]])</f>
        <v>393.75</v>
      </c>
      <c r="DL39" s="197">
        <f>IF(Reinforcements[[#This Row],[Reinforcement]]="","",φ_v*0.5*Reinforcements[[#This Row],[F''y]]*Reinforcements[[#This Row],[Gross Area (in2)]])</f>
        <v>237.65625</v>
      </c>
      <c r="DM39"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9"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453.96930816601832</v>
      </c>
      <c r="DO39"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9"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9"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21.73228346456693</v>
      </c>
      <c r="DR39"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27.165354330708666</v>
      </c>
      <c r="DS39"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9"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9"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2173.2283464566931</v>
      </c>
      <c r="DV39"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2716.535433070866</v>
      </c>
      <c r="DW39" s="18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9" s="185"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9" s="185" t="str">
        <f>IF($AZ39="Yes",DW39,IF(Reinforcements[[#This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9" s="185" t="str">
        <f>IF($AZ39="Yes",DX39,IF(Reinforcements[[#This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9" s="238" t="str">
        <f>IF(OR(Reinforcements[[#This Row],[Type]]="plate",Reinforcements[[#This Row],[Type]]="solid round"),"N/A",Reinforcements[[#This Row],[B (in)]])</f>
        <v>N/A</v>
      </c>
      <c r="EB39" s="236" t="str">
        <f>IF(OR(Reinforcements[[#This Row],[Type]]="plate",Reinforcements[[#This Row],[Type]]="solid round"),"N/A",Reinforcements[[#This Row],[H (in)]])</f>
        <v>N/A</v>
      </c>
      <c r="EC39" s="236" t="str">
        <f>IF(OR(Reinforcements[[#This Row],[Type]]="plate",Reinforcements[[#This Row],[Type]]="solid round"),"N/A",Reinforcements[[#This Row],[B (in)]]-Reinforcements[[#This Row],['[Channel'] Flange Thickness (in)]])</f>
        <v>N/A</v>
      </c>
      <c r="ED39" s="236" t="str">
        <f>IF(OR(Reinforcements[[#This Row],[Type]]="plate",Reinforcements[[#This Row],[Type]]="solid round"),"N/A",Reinforcements[[#This Row],['[Channel']Web Thickness (in)]])</f>
        <v>N/A</v>
      </c>
      <c r="EE39" s="236" t="str">
        <f>IF(OR(Reinforcements[[#This Row],[Type]]="plate",Reinforcements[[#This Row],[Type]]="solid round"),"N/A",Reinforcements[[#This Row],['[Channel'] Flange Thickness (in)]])</f>
        <v>N/A</v>
      </c>
      <c r="EF39" s="236" t="str">
        <f>IF(Reinforcements[[#This Row],[Type]]="channel",Reinforcements[[#This Row],[Channel Flange Width, b]]/Reinforcements[[#This Row],[Channel flange thickness, tf]],"N/A")</f>
        <v>N/A</v>
      </c>
      <c r="EG39" s="236" t="str">
        <f>IF(Reinforcements[[#This Row],[Type]]="channel",Reinforcements[[#This Row],[Channel inside depth, T]]/Reinforcements[[#This Row],[Channel web thickness, tw]],"N/A")</f>
        <v>N/A</v>
      </c>
      <c r="EH39" s="237">
        <v>29000</v>
      </c>
      <c r="EI39" s="236" t="str">
        <f>IF(Reinforcements[[#This Row],[Type]]="channel",0.56*SQRT(Reinforcements[[#This Row],[E, (ksi)]]/Reinforcements[[#This Row],[Fy, (ksi)]]),"N/A")</f>
        <v>N/A</v>
      </c>
      <c r="EJ39" s="236" t="str">
        <f>IF(Reinforcements[[#This Row],[Type]]="channel",1.49*SQRT(Reinforcements[[#This Row],[E, (ksi)]]/Reinforcements[[#This Row],[Fy, (ksi)]]),"N/A")</f>
        <v>N/A</v>
      </c>
      <c r="EK39" s="236">
        <f>VLOOKUP(Reinforcements[[#This Row],[Material]],Materials!$B$2:$C$30,2,FALSE)</f>
        <v>65</v>
      </c>
      <c r="EL39" s="236">
        <f>Reinforcements[[#This Row],[Lu (in)]]*Reinforcements[[#This Row],[Effective Length Factor Kx]]</f>
        <v>15.200000000000001</v>
      </c>
      <c r="EM39" s="236">
        <f>Reinforcements[[#This Row],[Lu (in)]]*Reinforcements[[#This Row],[Effective Length Factor Ky]]</f>
        <v>19</v>
      </c>
      <c r="EN39" s="236">
        <f>Reinforcements[[#This Row],[rx]]</f>
        <v>0.36084391824351608</v>
      </c>
      <c r="EO39" s="236">
        <f>Reinforcements[[#This Row],[ry]]</f>
        <v>1.8763883748662837</v>
      </c>
      <c r="EP39" s="236">
        <f>Reinforcements[[#This Row],[Lcx (in)]]/Reinforcements[[#This Row],[rx (in)]]</f>
        <v>42.1234756400751</v>
      </c>
      <c r="EQ39" s="236">
        <f>Reinforcements[[#This Row],[Lcy (in)]]/Reinforcements[[#This Row],[ry (in)]]</f>
        <v>10.125835490402666</v>
      </c>
      <c r="ER39" s="236">
        <f>((PI()^2)*Reinforcements[[#This Row],[E, (ksi)]])/(Reinforcements[[#This Row],[Lcx/rx]]^2)</f>
        <v>161.30556376398079</v>
      </c>
      <c r="ES39" s="236">
        <f>((PI()^2)*Reinforcements[[#This Row],[E, (ksi)]])/(Reinforcements[[#This Row],[Lcy/ry]]^2)</f>
        <v>2791.4895642739466</v>
      </c>
      <c r="ET39" s="236">
        <f>4.71*(SQRT(Reinforcements[[#This Row],[E, (ksi)]]/Reinforcements[[#This Row],[Fy, (ksi)]]))</f>
        <v>99.486288193205496</v>
      </c>
      <c r="EU39" s="236">
        <f>IF(Reinforcements[[#This Row],[Lcx/rx]]&lt;=Reinforcements[[#This Row],[Fcr Limit]],(0.658^(Reinforcements[[#This Row],[Fy, (ksi)]]/Reinforcements[[#This Row],[Fex, FB (ksi)]]))*Reinforcements[[#This Row],[Fy, (ksi)]],0.877*Reinforcements[[#This Row],[Fex, FB (ksi)]])</f>
        <v>54.911753637534716</v>
      </c>
      <c r="EV39" s="236">
        <f>IF(Reinforcements[[#This Row],[Lcy/ry]]&lt;=Reinforcements[[#This Row],[Fcr Limit]],(0.658^(Reinforcements[[#This Row],[Fy, (ksi)]]/Reinforcements[[#This Row],[Fey, FB (ksi)]]))*Reinforcements[[#This Row],[Fy, (ksi)]],0.877*Reinforcements[[#This Row],[Fey, FB (ksi)]])</f>
        <v>64.369588945551428</v>
      </c>
      <c r="EW39" s="236">
        <f>Reinforcements[[#This Row],[Fcrx (ksi)]]*Reinforcements[[#This Row],[Gross Area (in2)]]</f>
        <v>446.15799830496957</v>
      </c>
      <c r="EX39" s="236">
        <f>Reinforcements[[#This Row],[Fcry (ksi)]]*Reinforcements[[#This Row],[Gross Area (in2)]]</f>
        <v>523.00291018260532</v>
      </c>
      <c r="EY39" s="236" t="str">
        <f>IF(Reinforcements[[#This Row],[Type]]="channel",0,"N/A")</f>
        <v>N/A</v>
      </c>
      <c r="EZ39" s="236" t="str">
        <f>IF(Reinforcements[[#This Row],[Type]]="channel",Reinforcements[[#This Row],[Channel Flange Width, b]]-(0.5*Reinforcements[[#This Row],[Channel web thickness, tw]]),"N/A")</f>
        <v>N/A</v>
      </c>
      <c r="FA39" s="236" t="str">
        <f>IF(Reinforcements[[#This Row],[Type]]="channel",Reinforcements[[#This Row],[Channel Height, h]]-Reinforcements[[#This Row],[Channel flange thickness, tf]],"N/A")</f>
        <v>N/A</v>
      </c>
      <c r="FB39" s="236" t="str">
        <f>IF(Reinforcements[[#This Row],[Type]]="channel",Reinforcements[[#This Row],[Channel web thickness, tw]],"N/A")</f>
        <v>N/A</v>
      </c>
      <c r="FC39" s="236" t="str">
        <f>IF(Reinforcements[[#This Row],[Type]]="channel",((3*Reinforcements[[#This Row],[b]]^2)/(Reinforcements[[#This Row],[h]]+(6*Reinforcements[[#This Row],[b]])))-Reinforcements[[#This Row],[t]]/2,"N/A")</f>
        <v>N/A</v>
      </c>
      <c r="FD39" s="236">
        <f>Reinforcements[[#This Row],[Pole Face to Centroid (in)]]</f>
        <v>0.625</v>
      </c>
      <c r="FE39" s="236" t="str">
        <f>IF(Reinforcements[[#This Row],[Type]]="channel",Reinforcements[[#This Row],[x(bar)]]+Reinforcements[[#This Row],['[Channel'] e0 (in)]],"N/A")</f>
        <v>N/A</v>
      </c>
      <c r="FF39" s="236" t="str">
        <f>IF(Reinforcements[[#This Row],[Type]]="channel",Reinforcements[[#This Row],[Ix]],"N/A")</f>
        <v>N/A</v>
      </c>
      <c r="FG39" s="236" t="str">
        <f>IF(Reinforcements[[#This Row],[Type]]="channel",Reinforcements[[#This Row],[Iy]],"N/A")</f>
        <v>N/A</v>
      </c>
      <c r="FH39" s="236" t="str">
        <f>IF(Reinforcements[[#This Row],[Type]]="channel",Reinforcements[[#This Row],[Gross Area (in2)]],"N/A")</f>
        <v>N/A</v>
      </c>
      <c r="FI39" s="236" t="str">
        <f>IF(Reinforcements[[#This Row],[Type]]="channel",(Reinforcements[[#This Row],[xo]]^2)+((Reinforcements[[#This Row],[Ix (FTB)]]+Reinforcements[[#This Row],[Iy (FTB)]])/Reinforcements[[#This Row],[Ag]]),"N/A")</f>
        <v>N/A</v>
      </c>
      <c r="FJ39" s="236" t="str">
        <f>IF(Reinforcements[[#This Row],[Type]]="channel",Reinforcements[[#This Row],[Lu (in)]],"N/A")</f>
        <v>N/A</v>
      </c>
      <c r="FK39" s="236" t="str">
        <f>IF(Reinforcements[[#This Row],[Type]]="channel",Reinforcements[[#This Row],[Effective Length Factor Kx]],"N/A")</f>
        <v>N/A</v>
      </c>
      <c r="FL39" s="236" t="str">
        <f>IF(Reinforcements[[#This Row],[Type]]="channel",Reinforcements[[#This Row],[Kz]]*Reinforcements[[#This Row],[Lz]],"N/A")</f>
        <v>N/A</v>
      </c>
      <c r="FM39" s="236" t="str">
        <f>IF(Reinforcements[[#This Row],[Type]]="channel",(((Reinforcements[[#This Row],[t]]^3)/3)*(Reinforcements[[#This Row],[h]]+(2*Reinforcements[[#This Row],[b]]))),"N/A")</f>
        <v>N/A</v>
      </c>
      <c r="FN39" s="236" t="str">
        <f>IF(Reinforcements[[#This Row],[Type]]="channel",(1-(((Reinforcements[[#This Row],[xo]]^2)+(Reinforcements[[#This Row],[yo]]^2))/Reinforcements[[#This Row],[ro^2(bar)]])),"N/A")</f>
        <v>N/A</v>
      </c>
      <c r="FO39" s="237">
        <v>11200</v>
      </c>
      <c r="FP39" s="236" t="str">
        <f>IF(Reinforcements[[#This Row],[Type]]="channel",(((Reinforcements[[#This Row],[h]]^2)*(Reinforcements[[#This Row],[b]]^3)*Reinforcements[[#This Row],[t]])/12)*(((2*Reinforcements[[#This Row],[h]])+(3*Reinforcements[[#This Row],[b]]))/(Reinforcements[[#This Row],[h]]+(6*Reinforcements[[#This Row],[b]]))),"N/A")</f>
        <v>N/A</v>
      </c>
      <c r="FQ39" s="236" t="str">
        <f>IF(Reinforcements[[#This Row],[Type]]="Channel",((((PI()^2)*Reinforcements[[#This Row],[E, (ksi)]]*Reinforcements[[#This Row],['[Channel'] CW (in6)]])/(Reinforcements[[#This Row],[Lcz]]^2))+(Reinforcements[[#This Row],[G]]*Reinforcements[[#This Row],['[Channel'] J (in4)]]))*(1/(Reinforcements[[#This Row],[Ag]]*Reinforcements[[#This Row],[ro^2(bar)]])),"N/A")</f>
        <v>N/A</v>
      </c>
      <c r="FR39" s="236" t="str">
        <f>IF(Reinforcements[[#This Row],[Type]]="channel",((PI()^2)*Reinforcements[[#This Row],[E, (ksi)]])/(Reinforcements[[#This Row],[Lcy/ry]]^2),"N/A")</f>
        <v>N/A</v>
      </c>
      <c r="FS39" s="236" t="str">
        <f>IF(Reinforcements[[#This Row],[Type]]="channel",((Reinforcements[[#This Row],[Fey]]+Reinforcements[[#This Row],[Fez]])/(2*Reinforcements[[#This Row],[H2]]))*(1-SQRT(1-((4*Reinforcements[[#This Row],[Fey]]*Reinforcements[[#This Row],[Fez]]*Reinforcements[[#This Row],[H2]])/(Reinforcements[[#This Row],[Fey]]+Reinforcements[[#This Row],[Fez]])^2))),"N/A")</f>
        <v>N/A</v>
      </c>
      <c r="FT39" s="236" t="str">
        <f>IF(Reinforcements[[#This Row],[Type]]="channel",IF(Reinforcements[[#This Row],[Lcx/rx]]&gt;(4.71*SQRT(Reinforcements[[#This Row],[E, (ksi)]]/Reinforcements[[#This Row],[Fy, (ksi)]])),0.877*Reinforcements[[#This Row],[Fe (FTB)]],0.658^(Reinforcements[[#This Row],[Fy, (ksi)]]/Reinforcements[[#This Row],[Fe (FTB)]])*Reinforcements[[#This Row],[Fy, (ksi)]]),"N/A")</f>
        <v>N/A</v>
      </c>
      <c r="FU39" s="236" t="str">
        <f>IF(Reinforcements[[#This Row],[Type]]="channel",MIN(Reinforcements[[#This Row],[Fcr(FTB)]],Reinforcements[[#This Row],[Fcry (ksi)]]),"N/A")</f>
        <v>N/A</v>
      </c>
      <c r="FV39" s="237">
        <v>0.22</v>
      </c>
      <c r="FW39" s="237">
        <v>1.49</v>
      </c>
      <c r="FX39" s="236" t="str">
        <f>IF(Reinforcements[[#This Row],[Type]]="channel",((Reinforcements[[#This Row],[c2]]*(Reinforcements[[#This Row],[λrf]]/Reinforcements[[#This Row],[λf]]))^2)*Reinforcements[[#This Row],[Fy, (ksi)]],"N/A")</f>
        <v>N/A</v>
      </c>
      <c r="FY39" s="236" t="str">
        <f>IF(Reinforcements[[#This Row],[Type]]="channel",((Reinforcements[[#This Row],[c2]]*(Reinforcements[[#This Row],[λrw]]/Reinforcements[[#This Row],[λw]]))^2)*Reinforcements[[#This Row],[Fy, (ksi)]],"N/A")</f>
        <v>N/A</v>
      </c>
      <c r="FZ39"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9"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9"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9" s="236" t="str">
        <f>IF(Reinforcements[[#This Row],[Type]]="channel",Reinforcements[[#This Row],[Fcr]]*Reinforcements[[#This Row],[Ae]],"N/A")</f>
        <v>N/A</v>
      </c>
      <c r="GD39" s="466">
        <f>IF(Reinforcements[[#This Row],[Reinforcement]]="","",φ_c*Reinforcements[[#This Row],[Pnx, FB (kip)]])</f>
        <v>401.54219847447263</v>
      </c>
      <c r="GE39" s="466">
        <f>IF(Reinforcements[[#This Row],[Reinforcement]]="","",IF(Reinforcements[[#This Row],[Type]]="channel",φ_c*Reinforcements[[#This Row],[Pn]],φ_c*Reinforcements[[#This Row],[Pny, FB (kip)]]))</f>
        <v>470.70261916434481</v>
      </c>
      <c r="GF39" s="466">
        <f>Reinforcements[[#This Row],[Rev. G Tension Yield Capacity (kips)]]</f>
        <v>475.3125</v>
      </c>
      <c r="GG39" s="466">
        <f>Reinforcements[[#This Row],[Rev. G Tension Rupture Capacity (kips)]]</f>
        <v>393.75</v>
      </c>
      <c r="GH39" s="466">
        <f>Reinforcements[[#This Row],[Rev. G Shear Capacity (kips)]]</f>
        <v>237.65625</v>
      </c>
      <c r="GI39" s="466" t="str">
        <f>IFERROR((Reinforcements[[#This Row],['# of End Connection Bolts          (Bottom)]]-1)*Reinforcements[[#This Row],[End Connection Bolt Spacing (in) (B)]],"-")</f>
        <v>-</v>
      </c>
      <c r="GJ39" s="466">
        <f>IFERROR(IF(VLOOKUP(Reinforcements[[#This Row],[Bottom End Connection Bolt Type]],Bolts[],COLUMN(Bolts[[#Headers],[Rev. H Apply Connection Length Reduction Factor (Rb)?]])-1,FALSE)="Yes",(IF(Reinforcements[[#This Row],[Lb(bottom)]]&lt;=16,1,IF(Reinforcements[[#This Row],[Lb(bottom)]]&gt;38,0.75,0.9))),1),"-")</f>
        <v>1</v>
      </c>
      <c r="GK39"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9" s="466">
        <f>IFERROR(IF(Reinforcements[[#This Row],[Top End Connection Same?]]="Yes",Reinforcements[[#This Row],[Lb(bottom)]],(Reinforcements[[#This Row],['# of End Connection Bolts          (Top)]]-1)*Reinforcements[[#This Row],[End Connection Bolt Spacing (in) (T)]]),"-")</f>
        <v>30</v>
      </c>
      <c r="GM39" s="466">
        <f>IFERROR(IF(VLOOKUP(Reinforcements[[#This Row],[Top End Connection Bolt Type]],Bolts[],COLUMN(Bolts[[#Headers],[Rev. H Apply Connection Length Reduction Factor (Rb)?]])-1,FALSE)="Yes",(IF(Reinforcements[[#This Row],[Lb(top)]]&lt;=16,1,IF(Reinforcements[[#This Row],[Lb(top)]]&gt;38,0.75,0.9))),1),"-")</f>
        <v>1</v>
      </c>
      <c r="GN39"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510.39605067899726</v>
      </c>
      <c r="GO39" s="466" t="str">
        <f>Reinforcements[[#This Row],[Rev. G Bolt-Shaft Bearing Capacity (Bottom)                No Deformation          (*t*Fu kips)]]</f>
        <v>-</v>
      </c>
      <c r="GP39" s="466" t="str">
        <f>Reinforcements[[#This Row],[Rev. G Bolt-Shaft Bearing Capacity (Bottom)                   Deformation          (*t*Fu kips)]]</f>
        <v>-</v>
      </c>
      <c r="GQ39" s="466">
        <f>Reinforcements[[#This Row],[Rev. G Bolt-Shaft Bearing Capacity (Top)                    No Deformation          (*t*Fu kips)]]</f>
        <v>21.73228346456693</v>
      </c>
      <c r="GR39" s="466">
        <f>Reinforcements[[#This Row],[Rev. G Bolt-Shaft Bearing Capacity (Top)                        Deformation          (*t*Fu kips)]]</f>
        <v>27.165354330708666</v>
      </c>
      <c r="GS39" s="466" t="str">
        <f>Reinforcements[[#This Row],[Rev. G Bolt-Reinf. Bearing Capacity (Bottom)            No Deformation (kips)]]</f>
        <v>-</v>
      </c>
      <c r="GT39" s="466" t="str">
        <f>Reinforcements[[#This Row],[Rev. G Bolt-Reinf. Bearing Capacity (Bottom)               Deformation (kips)]]</f>
        <v>-</v>
      </c>
      <c r="GU39" s="466">
        <f>Reinforcements[[#This Row],[Rev. G Bolt-Reinf. Bearing Capacity (Top)                  No Deformation (kips)]]</f>
        <v>2173.2283464566931</v>
      </c>
      <c r="GV39" s="466">
        <f>Reinforcements[[#This Row],[Rev. G Bolt-Reinf. Bearing Capacity (Top)               Deformation (kips)]]</f>
        <v>2716.535433070866</v>
      </c>
      <c r="GW39" s="466" t="str">
        <f>Reinforcements[[#This Row],[Rev. G Bottom Transverse Weld Strength]]</f>
        <v>-</v>
      </c>
      <c r="GX39" s="466" t="str">
        <f>Reinforcements[[#This Row],[Rev. G Bottom Longitudinal Weld Strength]]</f>
        <v>-</v>
      </c>
      <c r="GY39" s="466" t="str">
        <f>Reinforcements[[#This Row],[Rev. G Top Transverse Weld Strength]]</f>
        <v>-</v>
      </c>
      <c r="GZ39" s="466" t="str">
        <f>Reinforcements[[#This Row],[Rev. G Top Longitudinal Weld Strength]]</f>
        <v>-</v>
      </c>
      <c r="HA39" s="552">
        <v>37</v>
      </c>
      <c r="HB39"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0" spans="2:210" x14ac:dyDescent="0.2">
      <c r="B40" s="72" t="s">
        <v>587</v>
      </c>
      <c r="C40" s="243" t="s">
        <v>146</v>
      </c>
      <c r="D40" s="238">
        <v>8.5</v>
      </c>
      <c r="E40" s="238">
        <v>1.25</v>
      </c>
      <c r="F40" s="238" t="str">
        <f>IF(Reinforcements[[#This Row],[Type]]="","",IF(Reinforcements[[#This Row],[Type]]="solid round","","n/a"))</f>
        <v>n/a</v>
      </c>
      <c r="G40" s="238" t="str">
        <f>IF(Reinforcements[[#This Row],[Type]]="","",IF(Reinforcements[[#This Row],[Type]]&lt;&gt;"channel","n/a",""))</f>
        <v>n/a</v>
      </c>
      <c r="H40" s="238" t="str">
        <f>IF(Reinforcements[[#This Row],[Type]]="","",IF(Reinforcements[[#This Row],[Type]]&lt;&gt;"channel","n/a",""))</f>
        <v>n/a</v>
      </c>
      <c r="I40" s="250" t="str">
        <f>IF(Reinforcements[[#This Row],[Type]]="","",IF(Reinforcements[[#This Row],[Type]]&lt;&gt;"channel","n/a",Reinforcements[[#This Row],[eo]]))</f>
        <v>n/a</v>
      </c>
      <c r="J40" s="250" t="str">
        <f>IF(Reinforcements[[#This Row],[Type]]="","",IF(Reinforcements[[#This Row],[Type]]&lt;&gt;"channel","n/a",Reinforcements[[#This Row],[J]]))</f>
        <v>n/a</v>
      </c>
      <c r="K40" s="250" t="str">
        <f>IF(Reinforcements[[#This Row],[Type]]="","",IF(Reinforcements[[#This Row],[Type]]&lt;&gt;"channel","n/a",Reinforcements[[#This Row],[Cw]]))</f>
        <v>n/a</v>
      </c>
      <c r="L40" s="238">
        <f>IFERROR(IF(Reinforcements[[#This Row],[Type]]="","",IF(Reinforcements[[#This Row],[Type]]="plate",Reinforcements[[#This Row],[B (in)]]*Reinforcements[[#This Row],[H (in)]],IF(Reinforcements[[#This Row],[Type]]="solid round",PI()/4*Reinforcements[[#This Row],[Diameter (in)]]^2,""))),"")</f>
        <v>10.625</v>
      </c>
      <c r="M40" s="238">
        <f>IFERROR(IF(Reinforcements[[#This Row],[Type]]="","",IF(Reinforcements[[#This Row],[Type]]="plate",Reinforcements[[#This Row],[H (in)]]/2,"")),"")</f>
        <v>0.625</v>
      </c>
      <c r="N40" s="244" t="s">
        <v>297</v>
      </c>
      <c r="O40" s="238" t="s">
        <v>60</v>
      </c>
      <c r="P40" s="245">
        <f>IFERROR(IF(Reinforcements[[#This Row],[Type]]="","",IF(Reinforcements[[#This Row],[Type]]="plate",Reinforcements[[#This Row],[B (in)]]*Reinforcements[[#This Row],[H (in)]]^3/12,IF(Reinforcements[[#This Row],[Type]]="solid round",PI()/64*Reinforcements[[#This Row],[Diameter (in)]]^4,""))),"")</f>
        <v>1.3834635416666667</v>
      </c>
      <c r="Q40" s="245">
        <f>IF(Reinforcements[[#This Row],[Reinforcement]]="","",SQRT(Reinforcements[[#This Row],[Ix]]/Reinforcements[[#This Row],[Gross Area (in2)]]))</f>
        <v>0.36084391824351614</v>
      </c>
      <c r="R40" s="245">
        <f>IFERROR(IF(Reinforcements[[#This Row],[Type]]="","",IF(Reinforcements[[#This Row],[Type]]="plate",Reinforcements[[#This Row],[B (in)]]^3*Reinforcements[[#This Row],[H (in)]]/12,IF(Reinforcements[[#This Row],[Type]]="solid round",PI()/64*Reinforcements[[#This Row],[Diameter (in)]]^4,""))),"")</f>
        <v>63.971354166666664</v>
      </c>
      <c r="S40" s="245">
        <f>IF(Reinforcements[[#This Row],[Reinforcement]]="","",SQRT(Reinforcements[[#This Row],[Iy]]/Reinforcements[[#This Row],[Gross Area (in2)]]))</f>
        <v>2.4537386440559095</v>
      </c>
      <c r="T40" s="241">
        <v>17</v>
      </c>
      <c r="U40" s="246">
        <v>0.8</v>
      </c>
      <c r="V40" s="246">
        <v>1</v>
      </c>
      <c r="W40" s="238">
        <v>1.1875</v>
      </c>
      <c r="X40" s="246">
        <f>IF(Reinforcements[[#This Row],[Bolt Hole Size (in)]]="","",IF(Reinforcements[[#This Row],[Bolt Hole Size (in)]]="n/a","n/a",Reinforcements[[#This Row],[Bolt Hole Size (in)]]*25.4))</f>
        <v>30.162499999999998</v>
      </c>
      <c r="Y40" s="238">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40" s="238">
        <f>IFERROR(IF(Reinforcements[[#This Row],[Reinforcement]]="","",IF(OR(Reinforcements[[#This Row],[Type]]="plate",Reinforcements[[#This Row],[Type]]="solid round"),1,IF(Reinforcements[[#This Row],[Type]]="arbitrary","",1-Reinforcements[[#This Row],[Pole Face to Centroid (in)]]/Reinforcements[[#This Row],[Connection Length (in) '[Channels']]]))),"")</f>
        <v>1</v>
      </c>
      <c r="AA40" s="247" t="s">
        <v>578</v>
      </c>
      <c r="AB40" s="247" t="str">
        <f>IF(Reinforcements[[#This Row],[Reinforcement]]="","",IF(Reinforcements[[#This Row],[Bottom End Connection Type]]&lt;&gt;"Capacity Input","-",""))</f>
        <v>-</v>
      </c>
      <c r="AC40" s="247" t="str">
        <f>IF(Reinforcements[[#This Row],[Reinforcement]]="","",IF(Reinforcements[[#This Row],[Bottom End Connection Type]]&lt;&gt;"Capacity Input","-",""))</f>
        <v>-</v>
      </c>
      <c r="AD40" s="461" t="str">
        <f>IF(Reinforcements[[#This Row],[Reinforcement]]="","",IF(Reinforcements[[#This Row],[Bottom End Connection Type]]&lt;&gt;"Capacity Input","-",""))</f>
        <v>-</v>
      </c>
      <c r="AE40" s="103" t="str">
        <f>IF(Reinforcements[[#This Row],[Reinforcement]]="","",IF(Reinforcements[[#This Row],[Bottom End Connection Type]]="","-",IF(Reinforcements[[#This Row],[Bottom End Connection Type]]&lt;&gt;"Bolted","-","")))</f>
        <v>-</v>
      </c>
      <c r="AF40" s="241" t="str">
        <f>IF(Reinforcements[[#This Row],[Bottom End Connection Type]]="Welded","-","")</f>
        <v>-</v>
      </c>
      <c r="AG40" s="241" t="str">
        <f>IF(Reinforcements[[#This Row],[Bottom End Connection Type]]="Welded","-","")</f>
        <v>-</v>
      </c>
      <c r="AH40" s="241" t="str">
        <f>IF(Reinforcements[[#This Row],[Bottom End Connection Type]]="Welded","-","")</f>
        <v>-</v>
      </c>
      <c r="AI40" s="241" t="str">
        <f>IF(Reinforcements[[#This Row],[Bottom End Connection Type]]="Welded","-","")</f>
        <v>-</v>
      </c>
      <c r="AJ40" s="238" t="e">
        <f>Reinforcements[[#This Row],[End Connection Edge Distance (in) (B)]]-(Reinforcements[[#This Row],[Bolt Hole Size (in)]]+1/16)/2</f>
        <v>#VALUE!</v>
      </c>
      <c r="AK40" s="238" t="e">
        <f>Reinforcements[[#This Row],[End Connection Bolt Spacing (in) (B)]]-(Reinforcements[[#This Row],[Bolt Hole Size (in)]]+1/16)</f>
        <v>#VALUE!</v>
      </c>
      <c r="AL40" s="238" t="str">
        <f>Reinforcements[[#This Row],[End Connection Edge Distance (in) (B)]]</f>
        <v>-</v>
      </c>
      <c r="AM40" s="238" t="str">
        <f>Reinforcements[[#This Row],[End Connection Bolt Spacing (in) (B)]]</f>
        <v>-</v>
      </c>
      <c r="AN40" s="241" t="s">
        <v>295</v>
      </c>
      <c r="AO40" s="241">
        <v>70</v>
      </c>
      <c r="AP40" s="241" t="s">
        <v>577</v>
      </c>
      <c r="AQ40" s="241">
        <v>8.5</v>
      </c>
      <c r="AR40" s="238">
        <v>1.25</v>
      </c>
      <c r="AS40" s="238">
        <v>45</v>
      </c>
      <c r="AT40" s="238">
        <v>0.625</v>
      </c>
      <c r="AU40" s="238"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0" s="241" t="s">
        <v>528</v>
      </c>
      <c r="AW40" s="241" t="str">
        <f>IF(Reinforcements[[#This Row],[Reinforcement]]="","",IF(OR(Reinforcements[[#This Row],[Bottom End Connection Type]]&lt;&gt;"Welded",Reinforcements[[#This Row],[Bottom Longitudinal (Vertical) Weld]]="None",Reinforcements[[#This Row],[Bottom Longitudinal (Vertical) Weld]]=""),"-",""))</f>
        <v>-</v>
      </c>
      <c r="AX40" s="241" t="str">
        <f>IF(Reinforcements[[#This Row],[Reinforcement]]="","",IF(OR(Reinforcements[[#This Row],[Bottom End Connection Type]]&lt;&gt;"Welded",Reinforcements[[#This Row],[Bottom Longitudinal (Vertical) Weld]]="None",Reinforcements[[#This Row],[Bottom Longitudinal (Vertical) Weld]]=""),"-",""))</f>
        <v>-</v>
      </c>
      <c r="AY40" s="238" t="str">
        <f>IF(Reinforcements[[#This Row],[Reinforcement]]="","",IF(OR(Reinforcements[[#This Row],[Bottom End Connection Type]]&lt;&gt;"Welded",Reinforcements[[#This Row],[Bottom Longitudinal (Vertical) Weld]]="None"),"-",SQRT(2)/2*Reinforcements[[#This Row],[Bottom Longitudinal Weld Fillet Size (in)]]))</f>
        <v>-</v>
      </c>
      <c r="AZ40" s="241" t="s">
        <v>297</v>
      </c>
      <c r="BA40" s="244" t="s">
        <v>391</v>
      </c>
      <c r="BB40" s="244" t="str">
        <f>IF(Reinforcements[[#This Row],[Reinforcement]]="","",IF(Reinforcements[[#This Row],[Top End Connection Same?]]="Yes",Reinforcements[[#This Row],[Rev. F Bottom Connection Capacity (kips)]],IF(Reinforcements[[#This Row],[Reinforcement]]="","",IF(Reinforcements[[#This Row],[Top End Connection Type]]&lt;&gt;"Capacity Input","-",""))))</f>
        <v>-</v>
      </c>
      <c r="BC40" s="244" t="str">
        <f>IF(Reinforcements[[#This Row],[Reinforcement]]="","",IF(Reinforcements[[#This Row],[Top End Connection Same?]]="Yes",Reinforcements[[#This Row],[Rev. G Bottom Connection Capacity (kips)]],IF(Reinforcements[[#This Row],[Reinforcement]]="","",IF(Reinforcements[[#This Row],[Top End Connection Type]]&lt;&gt;"Capacity Input","-",""))))</f>
        <v>-</v>
      </c>
      <c r="BD40" s="461" t="str">
        <f>IF(Reinforcements[[#This Row],[Reinforcement]]="","",IF(Reinforcements[[#This Row],[Top End Connection Same?]]="Yes",Reinforcements[[#This Row],[Rev. G Bottom Connection Capacity (kips)]],IF(Reinforcements[[#This Row],[Reinforcement]]="","",IF(Reinforcements[[#This Row],[Top End Connection Type]]&lt;&gt;"Capacity Input","-",""))))</f>
        <v>-</v>
      </c>
      <c r="BE40" s="249" t="s">
        <v>416</v>
      </c>
      <c r="BF40" s="241" t="s">
        <v>296</v>
      </c>
      <c r="BG40" s="238">
        <v>15</v>
      </c>
      <c r="BH40" s="238">
        <v>3</v>
      </c>
      <c r="BI40" s="238">
        <v>3</v>
      </c>
      <c r="BJ40" s="238">
        <f>Reinforcements[[#This Row],[End Connection Edge Distance (in) (T)]]-(Reinforcements[[#This Row],[Bolt Hole Size (in)]]+1/16)/2</f>
        <v>2.375</v>
      </c>
      <c r="BK40" s="238">
        <f>Reinforcements[[#This Row],[End Connection Bolt Spacing (in) (T)]]-(Reinforcements[[#This Row],[Bolt Hole Size (in)]]+1/16)</f>
        <v>1.75</v>
      </c>
      <c r="BL40" s="238">
        <f>Reinforcements[[#This Row],[End Connection Edge Distance (in) (T)]]</f>
        <v>3</v>
      </c>
      <c r="BM40" s="238">
        <f>Reinforcements[[#This Row],[End Connection Bolt Spacing (in) (T)]]</f>
        <v>3</v>
      </c>
      <c r="BN40" s="238" t="str">
        <f>IF(Reinforcements[[#This Row],[Reinforcement]]="","",IF(Reinforcements[[#This Row],[Top End Connection Same?]]="Yes",Reinforcements[[#This Row],[Bottom Connected to Flange/Base Plate?]],IF(Reinforcements[[#This Row],[Top End Connection Type]]="Bolted","-","")))</f>
        <v>-</v>
      </c>
      <c r="BO40" s="238" t="str">
        <f>IF(Reinforcements[[#This Row],[Reinforcement]]="","",IF(Reinforcements[[#This Row],[Top End Connection Same?]]="Yes",Reinforcements[[#This Row],[Bottom Weld Grade (ksi)]],IF(OR(Reinforcements[[#This Row],[Top End Connection Type]]&lt;&gt;"Welded",Reinforcements[[#This Row],[Top End Connection Type]]=""),"-","")))</f>
        <v>-</v>
      </c>
      <c r="BP40" s="238" t="str">
        <f>IF($AZ40="Yes",AP40,IF(Reinforcements[[#This Row],[Reinforcement]]="","",IF(OR(Reinforcements[[#This Row],[Top End Connection Type]]&lt;&gt;"Welded",Reinforcements[[#This Row],[Top End Connection Type]]=""),"-","")))</f>
        <v>-</v>
      </c>
      <c r="BQ40" s="238" t="str">
        <f>IF(Reinforcements[[#This Row],[Reinforcement]]="","",IF($AZ40="Yes",AQ40,IF(OR(Reinforcements[[#This Row],[Top End Connection Type]]&lt;&gt;"Welded",Reinforcements[[#This Row],[Top Transverse (Horizontal) Weld]]="none",Reinforcements[[#This Row],[Top Transverse (Horizontal) Weld]]=""),"-","")))</f>
        <v>-</v>
      </c>
      <c r="BR40" s="238" t="str">
        <f>IF($AZ40="Yes",AR40,IF(Reinforcements[[#This Row],[Reinforcement]]="","",IF(OR(Reinforcements[[#This Row],[Top Transverse (Horizontal) Weld]]="none",Reinforcements[[#This Row],[Top End Connection Type]]&lt;&gt;"Welded",Reinforcements[[#This Row],[Top Transverse (Horizontal) Weld]]="",Reinforcements[[#This Row],[Top Transverse (Horizontal) Weld]]="Fillet"),"-","")))</f>
        <v>-</v>
      </c>
      <c r="BS40" s="238" t="str">
        <f>IF($AZ40="Yes",AS40,IF(Reinforcements[[#This Row],[Reinforcement]]="","",IF(OR(Reinforcements[[#This Row],[Top Transverse (Horizontal) Weld]]="none",Reinforcements[[#This Row],[Top End Connection Type]]&lt;&gt;"Welded",Reinforcements[[#This Row],[Top Transverse (Horizontal) Weld]]="",Reinforcements[[#This Row],[Top Transverse (Horizontal) Weld]]="Fillet"),"-","")))</f>
        <v>-</v>
      </c>
      <c r="BT40" s="238" t="str">
        <f>IF(Reinforcements[[#This Row],[Reinforcement]]="","",IF($AZ40="Yes",AT40,IF(OR(Reinforcements[[#This Row],[Top Transverse (Horizontal) Weld]]="none",Reinforcements[[#This Row],[Top End Connection Type]]&lt;&gt;"Welded",Reinforcements[[#This Row],[Top Transverse (Horizontal) Weld]]=""),"-","")))</f>
        <v>-</v>
      </c>
      <c r="BU40" s="238" t="str">
        <f>IF($AZ40="Yes",AU40,IF(Reinforcements[[#This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0" s="238" t="str">
        <f>IF($AZ40="Yes",AV40,IF(Reinforcements[[#This Row],[Reinforcement]]="","",IF(OR(Reinforcements[[#This Row],[Top End Connection Type]]&lt;&gt;"Welded",Reinforcements[[#This Row],[Top End Connection Type]]=""),"-","")))</f>
        <v>-</v>
      </c>
      <c r="BW40" s="238" t="str">
        <f>IF($AZ40="Yes",AW40,IF(Reinforcements[[#This Row],[Reinforcement]]="","",IF(OR(Reinforcements[[#This Row],[Top End Connection Type]]&lt;&gt;"Welded",Reinforcements[[#This Row],[Top End Connection Type]]="",Reinforcements[[#This Row],[Top Longitudinal (Vertical) Weld]]="",Reinforcements[[#This Row],[Top Longitudinal (Vertical) Weld]]="None"),"-","")))</f>
        <v>-</v>
      </c>
      <c r="BX40" s="238" t="str">
        <f>IF($AZ40="Yes",AX40,IF(Reinforcements[[#This Row],[Reinforcement]]="","",IF(OR(Reinforcements[[#This Row],[Top End Connection Type]]&lt;&gt;"Welded",Reinforcements[[#This Row],[Top End Connection Type]]="",Reinforcements[[#This Row],[Top Longitudinal (Vertical) Weld]]="",Reinforcements[[#This Row],[Top Longitudinal (Vertical) Weld]]="None"),"-","")))</f>
        <v>-</v>
      </c>
      <c r="BY40" s="238" t="str">
        <f>IF($AZ40="Yes",AY40,IF(Reinforcements[[#This Row],[Reinforcement]]="","",IF(OR(Reinforcements[[#This Row],[Top End Connection Type]]&lt;&gt;"Welded",Reinforcements[[#This Row],[Top Longitudinal (Vertical) Weld]]="none"),"-",SQRT(2)/2*Reinforcements[[#This Row],[Top Longitudinal Weld Fillet Size (in)]])))</f>
        <v>-</v>
      </c>
      <c r="BZ40"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40" s="238"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40" s="238">
        <f>IF(Reinforcements[[#This Row],[Reinforcement]]="","",IF(Reinforcements[[#This Row],[Top End Connection Type]]&lt;&gt;"Bolted","n/a",(Reinforcements[[#This Row],['# of End Connection Bolts          (Top)]]-1)*Reinforcements[[#This Row],[End Connection Bolt Spacing (in) (T)]]+Reinforcements[[#This Row],[End Connection Edge Distance (in) (T)]]))</f>
        <v>45</v>
      </c>
      <c r="CC40" s="23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40" s="23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40" s="238">
        <f>IFERROR(IF(Reinforcements[[#This Row],[Type]]="","",Reinforcements[[#This Row],[Effective B (in)]]*Reinforcements[[#This Row],[Effective H (in)]]^3/12),"")</f>
        <v>1.3834635416666667</v>
      </c>
      <c r="CF40" s="238">
        <f>IFERROR(IF(Reinforcements[[#This Row],[Type]]="","",Reinforcements[[#This Row],[Effective B (in)]]^3*Reinforcements[[#This Row],[Effective H (in)]]/12),"")</f>
        <v>63.971354166666664</v>
      </c>
      <c r="CG40" s="250">
        <f>SQRT(2*PI()^2*29000/VLOOKUP(Reinforcements[[#This Row],[Material]],Materials[],2,FALSE))</f>
        <v>93.844147005158973</v>
      </c>
      <c r="CH40" s="24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33.030438827573469</v>
      </c>
      <c r="CI40" s="24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38.259345951636107</v>
      </c>
      <c r="CJ40" s="245">
        <f>Reinforcements[[#This Row],[Effective Length Factor Kx]]*Reinforcements[[#This Row],[Lu (in)]]/(Reinforcements[[#This Row],[rx]]*PI())*SQRT(VLOOKUP(Reinforcements[[#This Row],[Material]],Materials[],2,FALSE)/29000)</f>
        <v>0.56797252150453015</v>
      </c>
      <c r="CK40" s="245">
        <f>Reinforcements[[#This Row],[Effective Length Factor Ky]]*Reinforcements[[#This Row],[Lu (in)]]/(Reinforcements[[#This Row],[ry]]*PI())*SQRT(VLOOKUP(Reinforcements[[#This Row],[Material]],Materials[],2,FALSE)/29000)</f>
        <v>0.10440671351186218</v>
      </c>
      <c r="CL40" s="245">
        <f>IF(Reinforcements[[#This Row],[λcx]]&lt;=1.5,0.658^(Reinforcements[[#This Row],[λcx]]^2)*Reinforcements[[#This Row],[F''y]],0.877/(Reinforcements[[#This Row],[λcx]]^2)*Reinforcements[[#This Row],[F''y]])</f>
        <v>56.790323341365259</v>
      </c>
      <c r="CM40" s="245">
        <f>IF(Reinforcements[[#This Row],[λcy]]&lt;=1.5,0.658^(Reinforcements[[#This Row],[λcy]]^2)*Reinforcements[[#This Row],[F''y]],0.877/(Reinforcements[[#This Row],[λcy]]^2)*Reinforcements[[#This Row],[F''y]])</f>
        <v>64.704111863315191</v>
      </c>
      <c r="CN40" s="238">
        <f>VLOOKUP(Reinforcements[[#This Row],[Material]],Materials[],2,FALSE)</f>
        <v>65</v>
      </c>
      <c r="CO40" s="250">
        <f>IF(Reinforcements[[#This Row],[Reinforcement]]="","",Reinforcements[[#This Row],[Fax]]*Reinforcements[[#This Row],[Gross Area (in2)]])</f>
        <v>350.94841254296813</v>
      </c>
      <c r="CP40" s="250">
        <f>IF(Reinforcements[[#This Row],[Reinforcement]]="","",Reinforcements[[#This Row],[Fay]]*Reinforcements[[#This Row],[Gross Area (in2)]])</f>
        <v>406.50555073613361</v>
      </c>
      <c r="CQ40" s="250">
        <f>IF(Reinforcements[[#This Row],[Reinforcement]]="","",0.6*VLOOKUP(Reinforcements[[#This Row],[Material]],Materials[],2,FALSE)*Reinforcements[[#This Row],[Gross Area (in2)]])</f>
        <v>414.375</v>
      </c>
      <c r="CR40" s="250">
        <f>IF(Reinforcements[[#This Row],[Reinforcement]]="","",0.5*VLOOKUP(Reinforcements[[#This Row],[Material]],Materials[],3,FALSE)*Reinforcements[[#This Row],[Net Area (in2)]]*Reinforcements[[#This Row],[Shear Lag (U)]])</f>
        <v>362.5</v>
      </c>
      <c r="CS40" s="250">
        <f>IF(Reinforcements[[#This Row],[Reinforcement]]="","",0.4*VLOOKUP(Reinforcements[[#This Row],[Material]],Materials[],2,FALSE)*Reinforcements[[#This Row],[Gross Area (in2)]])</f>
        <v>276.25</v>
      </c>
      <c r="CT40" s="250"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40" s="250">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40" s="250"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40" s="250"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40" s="250">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40" s="250">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40" s="240"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40" s="250"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40" s="250">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2055.1181102362207</v>
      </c>
      <c r="DC40" s="250">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2271.2598425196852</v>
      </c>
      <c r="DD40"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0" s="238"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0" s="238" t="str">
        <f>IF($AZ40="Yes",DD40,IF(Reinforcements[[#This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0" s="238" t="str">
        <f>IF($AZ40="Yes",DE40,IF(Reinforcements[[#This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0" s="250">
        <f>IF(Reinforcements[[#This Row],[Reinforcement]]="","",φ_c*Reinforcements[[#This Row],[Fcr,x]]*Reinforcements[[#This Row],[Gross Area (in2)]])</f>
        <v>543.05746695180528</v>
      </c>
      <c r="DI40" s="250">
        <f>IF(Reinforcements[[#This Row],[Reinforcement]]="","",φ_c*Reinforcements[[#This Row],[Fcr,y]]*Reinforcements[[#This Row],[Gross Area (in2)]])</f>
        <v>618.73306969295152</v>
      </c>
      <c r="DJ40" s="250">
        <f>IF(Reinforcements[[#This Row],[Reinforcement]]="","",φ_t_y*VLOOKUP(Reinforcements[[#This Row],[Material]],Materials[],2,FALSE)*Reinforcements[[#This Row],[Gross Area (in2)]])</f>
        <v>621.5625</v>
      </c>
      <c r="DK40" s="250">
        <f>IF(Reinforcements[[#This Row],[Reinforcement]]="","",φ_t_r*VLOOKUP(Reinforcements[[#This Row],[Material]],Materials[],3,FALSE)*Reinforcements[[#This Row],[Net Area (in2)]]*Reinforcements[[#This Row],[Shear Lag (U)]])</f>
        <v>543.75</v>
      </c>
      <c r="DL40" s="250">
        <f>IF(Reinforcements[[#This Row],[Reinforcement]]="","",φ_v*0.5*Reinforcements[[#This Row],[F''y]]*Reinforcements[[#This Row],[Gross Area (in2)]])</f>
        <v>310.78125</v>
      </c>
      <c r="DM40" s="250"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40" s="250">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40" s="250"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40" s="250"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40" s="250">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29.548346456692911</v>
      </c>
      <c r="DR40" s="250">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36.935433070866146</v>
      </c>
      <c r="DS40" s="250"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40" s="250"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40" s="250">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2954.8346456692916</v>
      </c>
      <c r="DV40" s="250">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3693.5433070866147</v>
      </c>
      <c r="DW40" s="238"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0" s="238"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0" s="238" t="str">
        <f>IF($AZ40="Yes",DW40,IF(Reinforcements[[#This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0" s="238" t="str">
        <f>IF($AZ40="Yes",DX40,IF(Reinforcements[[#This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0" s="238" t="str">
        <f>IF(OR(Reinforcements[[#This Row],[Type]]="plate",Reinforcements[[#This Row],[Type]]="solid round"),"N/A",Reinforcements[[#This Row],[B (in)]])</f>
        <v>N/A</v>
      </c>
      <c r="EB40" s="236" t="str">
        <f>IF(OR(Reinforcements[[#This Row],[Type]]="plate",Reinforcements[[#This Row],[Type]]="solid round"),"N/A",Reinforcements[[#This Row],[H (in)]])</f>
        <v>N/A</v>
      </c>
      <c r="EC40" s="236" t="str">
        <f>IF(OR(Reinforcements[[#This Row],[Type]]="plate",Reinforcements[[#This Row],[Type]]="solid round"),"N/A",Reinforcements[[#This Row],[B (in)]]-Reinforcements[[#This Row],['[Channel'] Flange Thickness (in)]])</f>
        <v>N/A</v>
      </c>
      <c r="ED40" s="236" t="str">
        <f>IF(OR(Reinforcements[[#This Row],[Type]]="plate",Reinforcements[[#This Row],[Type]]="solid round"),"N/A",Reinforcements[[#This Row],['[Channel']Web Thickness (in)]])</f>
        <v>N/A</v>
      </c>
      <c r="EE40" s="236" t="str">
        <f>IF(OR(Reinforcements[[#This Row],[Type]]="plate",Reinforcements[[#This Row],[Type]]="solid round"),"N/A",Reinforcements[[#This Row],['[Channel'] Flange Thickness (in)]])</f>
        <v>N/A</v>
      </c>
      <c r="EF40" s="236" t="str">
        <f>IF(Reinforcements[[#This Row],[Type]]="channel",Reinforcements[[#This Row],[Channel Flange Width, b]]/Reinforcements[[#This Row],[Channel flange thickness, tf]],"N/A")</f>
        <v>N/A</v>
      </c>
      <c r="EG40" s="236" t="str">
        <f>IF(Reinforcements[[#This Row],[Type]]="channel",Reinforcements[[#This Row],[Channel inside depth, T]]/Reinforcements[[#This Row],[Channel web thickness, tw]],"N/A")</f>
        <v>N/A</v>
      </c>
      <c r="EH40" s="237">
        <v>29000</v>
      </c>
      <c r="EI40" s="236" t="str">
        <f>IF(Reinforcements[[#This Row],[Type]]="channel",0.56*SQRT(Reinforcements[[#This Row],[E, (ksi)]]/Reinforcements[[#This Row],[Fy, (ksi)]]),"N/A")</f>
        <v>N/A</v>
      </c>
      <c r="EJ40" s="236" t="str">
        <f>IF(Reinforcements[[#This Row],[Type]]="channel",1.49*SQRT(Reinforcements[[#This Row],[E, (ksi)]]/Reinforcements[[#This Row],[Fy, (ksi)]]),"N/A")</f>
        <v>N/A</v>
      </c>
      <c r="EK40" s="236">
        <f>VLOOKUP(Reinforcements[[#This Row],[Material]],Materials!$B$2:$C$30,2,FALSE)</f>
        <v>65</v>
      </c>
      <c r="EL40" s="236">
        <f>Reinforcements[[#This Row],[Lu (in)]]*Reinforcements[[#This Row],[Effective Length Factor Kx]]</f>
        <v>13.600000000000001</v>
      </c>
      <c r="EM40" s="236">
        <f>Reinforcements[[#This Row],[Lu (in)]]*Reinforcements[[#This Row],[Effective Length Factor Ky]]</f>
        <v>17</v>
      </c>
      <c r="EN40" s="236">
        <f>Reinforcements[[#This Row],[rx]]</f>
        <v>0.36084391824351614</v>
      </c>
      <c r="EO40" s="236">
        <f>Reinforcements[[#This Row],[ry]]</f>
        <v>2.4537386440559095</v>
      </c>
      <c r="EP40" s="236">
        <f>Reinforcements[[#This Row],[Lcx (in)]]/Reinforcements[[#This Row],[rx (in)]]</f>
        <v>37.689425572698774</v>
      </c>
      <c r="EQ40" s="236">
        <f>Reinforcements[[#This Row],[Lcy (in)]]/Reinforcements[[#This Row],[ry (in)]]</f>
        <v>6.9282032302755097</v>
      </c>
      <c r="ER40" s="236">
        <f>((PI()^2)*Reinforcements[[#This Row],[E, (ksi)]])/(Reinforcements[[#This Row],[Lcx/rx]]^2)</f>
        <v>201.49241702005904</v>
      </c>
      <c r="ES40" s="236">
        <f>((PI()^2)*Reinforcements[[#This Row],[E, (ksi)]])/(Reinforcements[[#This Row],[Lcy/ry]]^2)</f>
        <v>5962.8859923248192</v>
      </c>
      <c r="ET40" s="236">
        <f>4.71*(SQRT(Reinforcements[[#This Row],[E, (ksi)]]/Reinforcements[[#This Row],[Fy, (ksi)]]))</f>
        <v>99.486288193205496</v>
      </c>
      <c r="EU40" s="236">
        <f>IF(Reinforcements[[#This Row],[Lcx/rx]]&lt;=Reinforcements[[#This Row],[Fcr Limit]],(0.658^(Reinforcements[[#This Row],[Fy, (ksi)]]/Reinforcements[[#This Row],[Fex, FB (ksi)]]))*Reinforcements[[#This Row],[Fy, (ksi)]],0.877*Reinforcements[[#This Row],[Fex, FB (ksi)]])</f>
        <v>56.790323341365259</v>
      </c>
      <c r="EV40" s="236">
        <f>IF(Reinforcements[[#This Row],[Lcy/ry]]&lt;=Reinforcements[[#This Row],[Fcr Limit]],(0.658^(Reinforcements[[#This Row],[Fy, (ksi)]]/Reinforcements[[#This Row],[Fey, FB (ksi)]]))*Reinforcements[[#This Row],[Fy, (ksi)]],0.877*Reinforcements[[#This Row],[Fey, FB (ksi)]])</f>
        <v>64.704111863315191</v>
      </c>
      <c r="EW40" s="236">
        <f>Reinforcements[[#This Row],[Fcrx (ksi)]]*Reinforcements[[#This Row],[Gross Area (in2)]]</f>
        <v>603.39718550200587</v>
      </c>
      <c r="EX40" s="236">
        <f>Reinforcements[[#This Row],[Fcry (ksi)]]*Reinforcements[[#This Row],[Gross Area (in2)]]</f>
        <v>687.48118854772395</v>
      </c>
      <c r="EY40" s="236" t="str">
        <f>IF(Reinforcements[[#This Row],[Type]]="channel",0,"N/A")</f>
        <v>N/A</v>
      </c>
      <c r="EZ40" s="236" t="str">
        <f>IF(Reinforcements[[#This Row],[Type]]="channel",Reinforcements[[#This Row],[Channel Flange Width, b]]-(0.5*Reinforcements[[#This Row],[Channel web thickness, tw]]),"N/A")</f>
        <v>N/A</v>
      </c>
      <c r="FA40" s="236" t="str">
        <f>IF(Reinforcements[[#This Row],[Type]]="channel",Reinforcements[[#This Row],[Channel Height, h]]-Reinforcements[[#This Row],[Channel flange thickness, tf]],"N/A")</f>
        <v>N/A</v>
      </c>
      <c r="FB40" s="236" t="str">
        <f>IF(Reinforcements[[#This Row],[Type]]="channel",Reinforcements[[#This Row],[Channel web thickness, tw]],"N/A")</f>
        <v>N/A</v>
      </c>
      <c r="FC40" s="236" t="str">
        <f>IF(Reinforcements[[#This Row],[Type]]="channel",((3*Reinforcements[[#This Row],[b]]^2)/(Reinforcements[[#This Row],[h]]+(6*Reinforcements[[#This Row],[b]])))-Reinforcements[[#This Row],[t]]/2,"N/A")</f>
        <v>N/A</v>
      </c>
      <c r="FD40" s="236">
        <f>Reinforcements[[#This Row],[Pole Face to Centroid (in)]]</f>
        <v>0.625</v>
      </c>
      <c r="FE40" s="236" t="str">
        <f>IF(Reinforcements[[#This Row],[Type]]="channel",Reinforcements[[#This Row],[x(bar)]]+Reinforcements[[#This Row],['[Channel'] e0 (in)]],"N/A")</f>
        <v>N/A</v>
      </c>
      <c r="FF40" s="236" t="str">
        <f>IF(Reinforcements[[#This Row],[Type]]="channel",Reinforcements[[#This Row],[Ix]],"N/A")</f>
        <v>N/A</v>
      </c>
      <c r="FG40" s="236" t="str">
        <f>IF(Reinforcements[[#This Row],[Type]]="channel",Reinforcements[[#This Row],[Iy]],"N/A")</f>
        <v>N/A</v>
      </c>
      <c r="FH40" s="236" t="str">
        <f>IF(Reinforcements[[#This Row],[Type]]="channel",Reinforcements[[#This Row],[Gross Area (in2)]],"N/A")</f>
        <v>N/A</v>
      </c>
      <c r="FI40" s="236" t="str">
        <f>IF(Reinforcements[[#This Row],[Type]]="channel",(Reinforcements[[#This Row],[xo]]^2)+((Reinforcements[[#This Row],[Ix (FTB)]]+Reinforcements[[#This Row],[Iy (FTB)]])/Reinforcements[[#This Row],[Ag]]),"N/A")</f>
        <v>N/A</v>
      </c>
      <c r="FJ40" s="236" t="str">
        <f>IF(Reinforcements[[#This Row],[Type]]="channel",Reinforcements[[#This Row],[Lu (in)]],"N/A")</f>
        <v>N/A</v>
      </c>
      <c r="FK40" s="236" t="str">
        <f>IF(Reinforcements[[#This Row],[Type]]="channel",Reinforcements[[#This Row],[Effective Length Factor Kx]],"N/A")</f>
        <v>N/A</v>
      </c>
      <c r="FL40" s="236" t="str">
        <f>IF(Reinforcements[[#This Row],[Type]]="channel",Reinforcements[[#This Row],[Kz]]*Reinforcements[[#This Row],[Lz]],"N/A")</f>
        <v>N/A</v>
      </c>
      <c r="FM40" s="236" t="str">
        <f>IF(Reinforcements[[#This Row],[Type]]="channel",(((Reinforcements[[#This Row],[t]]^3)/3)*(Reinforcements[[#This Row],[h]]+(2*Reinforcements[[#This Row],[b]]))),"N/A")</f>
        <v>N/A</v>
      </c>
      <c r="FN40" s="236" t="str">
        <f>IF(Reinforcements[[#This Row],[Type]]="channel",(1-(((Reinforcements[[#This Row],[xo]]^2)+(Reinforcements[[#This Row],[yo]]^2))/Reinforcements[[#This Row],[ro^2(bar)]])),"N/A")</f>
        <v>N/A</v>
      </c>
      <c r="FO40" s="237">
        <v>11200</v>
      </c>
      <c r="FP40" s="236" t="str">
        <f>IF(Reinforcements[[#This Row],[Type]]="channel",(((Reinforcements[[#This Row],[h]]^2)*(Reinforcements[[#This Row],[b]]^3)*Reinforcements[[#This Row],[t]])/12)*(((2*Reinforcements[[#This Row],[h]])+(3*Reinforcements[[#This Row],[b]]))/(Reinforcements[[#This Row],[h]]+(6*Reinforcements[[#This Row],[b]]))),"N/A")</f>
        <v>N/A</v>
      </c>
      <c r="FQ40" s="236" t="str">
        <f>IF(Reinforcements[[#This Row],[Type]]="Channel",((((PI()^2)*Reinforcements[[#This Row],[E, (ksi)]]*Reinforcements[[#This Row],['[Channel'] CW (in6)]])/(Reinforcements[[#This Row],[Lcz]]^2))+(Reinforcements[[#This Row],[G]]*Reinforcements[[#This Row],['[Channel'] J (in4)]]))*(1/(Reinforcements[[#This Row],[Ag]]*Reinforcements[[#This Row],[ro^2(bar)]])),"N/A")</f>
        <v>N/A</v>
      </c>
      <c r="FR40" s="236" t="str">
        <f>IF(Reinforcements[[#This Row],[Type]]="channel",((PI()^2)*Reinforcements[[#This Row],[E, (ksi)]])/(Reinforcements[[#This Row],[Lcy/ry]]^2),"N/A")</f>
        <v>N/A</v>
      </c>
      <c r="FS40" s="236" t="str">
        <f>IF(Reinforcements[[#This Row],[Type]]="channel",((Reinforcements[[#This Row],[Fey]]+Reinforcements[[#This Row],[Fez]])/(2*Reinforcements[[#This Row],[H2]]))*(1-SQRT(1-((4*Reinforcements[[#This Row],[Fey]]*Reinforcements[[#This Row],[Fez]]*Reinforcements[[#This Row],[H2]])/(Reinforcements[[#This Row],[Fey]]+Reinforcements[[#This Row],[Fez]])^2))),"N/A")</f>
        <v>N/A</v>
      </c>
      <c r="FT40" s="236" t="str">
        <f>IF(Reinforcements[[#This Row],[Type]]="channel",IF(Reinforcements[[#This Row],[Lcx/rx]]&gt;(4.71*SQRT(Reinforcements[[#This Row],[E, (ksi)]]/Reinforcements[[#This Row],[Fy, (ksi)]])),0.877*Reinforcements[[#This Row],[Fe (FTB)]],0.658^(Reinforcements[[#This Row],[Fy, (ksi)]]/Reinforcements[[#This Row],[Fe (FTB)]])*Reinforcements[[#This Row],[Fy, (ksi)]]),"N/A")</f>
        <v>N/A</v>
      </c>
      <c r="FU40" s="236" t="str">
        <f>IF(Reinforcements[[#This Row],[Type]]="channel",MIN(Reinforcements[[#This Row],[Fcr(FTB)]],Reinforcements[[#This Row],[Fcry (ksi)]]),"N/A")</f>
        <v>N/A</v>
      </c>
      <c r="FV40" s="237">
        <v>0.22</v>
      </c>
      <c r="FW40" s="237">
        <v>1.49</v>
      </c>
      <c r="FX40" s="236" t="str">
        <f>IF(Reinforcements[[#This Row],[Type]]="channel",((Reinforcements[[#This Row],[c2]]*(Reinforcements[[#This Row],[λrf]]/Reinforcements[[#This Row],[λf]]))^2)*Reinforcements[[#This Row],[Fy, (ksi)]],"N/A")</f>
        <v>N/A</v>
      </c>
      <c r="FY40" s="236" t="str">
        <f>IF(Reinforcements[[#This Row],[Type]]="channel",((Reinforcements[[#This Row],[c2]]*(Reinforcements[[#This Row],[λrw]]/Reinforcements[[#This Row],[λw]]))^2)*Reinforcements[[#This Row],[Fy, (ksi)]],"N/A")</f>
        <v>N/A</v>
      </c>
      <c r="FZ40"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40"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40"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40" s="236" t="str">
        <f>IF(Reinforcements[[#This Row],[Type]]="channel",Reinforcements[[#This Row],[Fcr]]*Reinforcements[[#This Row],[Ae]],"N/A")</f>
        <v>N/A</v>
      </c>
      <c r="GD40" s="466">
        <f>IF(Reinforcements[[#This Row],[Reinforcement]]="","",φ_c*Reinforcements[[#This Row],[Pnx, FB (kip)]])</f>
        <v>543.05746695180528</v>
      </c>
      <c r="GE40" s="466">
        <f>IF(Reinforcements[[#This Row],[Reinforcement]]="","",IF(Reinforcements[[#This Row],[Type]]="channel",φ_c*Reinforcements[[#This Row],[Pn]],φ_c*Reinforcements[[#This Row],[Pny, FB (kip)]]))</f>
        <v>618.73306969295152</v>
      </c>
      <c r="GF40" s="466">
        <f>Reinforcements[[#This Row],[Rev. G Tension Yield Capacity (kips)]]</f>
        <v>621.5625</v>
      </c>
      <c r="GG40" s="466">
        <f>Reinforcements[[#This Row],[Rev. G Tension Rupture Capacity (kips)]]</f>
        <v>543.75</v>
      </c>
      <c r="GH40" s="466">
        <f>Reinforcements[[#This Row],[Rev. G Shear Capacity (kips)]]</f>
        <v>310.78125</v>
      </c>
      <c r="GI40" s="466" t="str">
        <f>IFERROR((Reinforcements[[#This Row],['# of End Connection Bolts          (Bottom)]]-1)*Reinforcements[[#This Row],[End Connection Bolt Spacing (in) (B)]],"-")</f>
        <v>-</v>
      </c>
      <c r="GJ40" s="466">
        <f>IFERROR(IF(VLOOKUP(Reinforcements[[#This Row],[Bottom End Connection Bolt Type]],Bolts[],COLUMN(Bolts[[#Headers],[Rev. H Apply Connection Length Reduction Factor (Rb)?]])-1,FALSE)="Yes",(IF(Reinforcements[[#This Row],[Lb(bottom)]]&lt;=16,1,IF(Reinforcements[[#This Row],[Lb(bottom)]]&gt;38,0.75,0.9))),1),"-")</f>
        <v>1</v>
      </c>
      <c r="GK40"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40" s="466">
        <f>IFERROR(IF(Reinforcements[[#This Row],[Top End Connection Same?]]="Yes",Reinforcements[[#This Row],[Lb(bottom)]],(Reinforcements[[#This Row],['# of End Connection Bolts          (Top)]]-1)*Reinforcements[[#This Row],[End Connection Bolt Spacing (in) (T)]]),"-")</f>
        <v>42</v>
      </c>
      <c r="GM40" s="466">
        <f>IFERROR(IF(VLOOKUP(Reinforcements[[#This Row],[Top End Connection Bolt Type]],Bolts[],COLUMN(Bolts[[#Headers],[Rev. H Apply Connection Length Reduction Factor (Rb)?]])-1,FALSE)="Yes",(IF(Reinforcements[[#This Row],[Lb(top)]]&lt;=16,1,IF(Reinforcements[[#This Row],[Lb(top)]]&gt;38,0.75,0.9))),1),"-")</f>
        <v>1</v>
      </c>
      <c r="GN40"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695.99461456226902</v>
      </c>
      <c r="GO40" s="466" t="str">
        <f>Reinforcements[[#This Row],[Rev. G Bolt-Shaft Bearing Capacity (Bottom)                No Deformation          (*t*Fu kips)]]</f>
        <v>-</v>
      </c>
      <c r="GP40" s="466" t="str">
        <f>Reinforcements[[#This Row],[Rev. G Bolt-Shaft Bearing Capacity (Bottom)                   Deformation          (*t*Fu kips)]]</f>
        <v>-</v>
      </c>
      <c r="GQ40" s="466">
        <f>Reinforcements[[#This Row],[Rev. G Bolt-Shaft Bearing Capacity (Top)                    No Deformation          (*t*Fu kips)]]</f>
        <v>29.548346456692911</v>
      </c>
      <c r="GR40" s="466">
        <f>Reinforcements[[#This Row],[Rev. G Bolt-Shaft Bearing Capacity (Top)                        Deformation          (*t*Fu kips)]]</f>
        <v>36.935433070866146</v>
      </c>
      <c r="GS40" s="466" t="str">
        <f>Reinforcements[[#This Row],[Rev. G Bolt-Reinf. Bearing Capacity (Bottom)            No Deformation (kips)]]</f>
        <v>-</v>
      </c>
      <c r="GT40" s="466" t="str">
        <f>Reinforcements[[#This Row],[Rev. G Bolt-Reinf. Bearing Capacity (Bottom)               Deformation (kips)]]</f>
        <v>-</v>
      </c>
      <c r="GU40" s="466">
        <f>Reinforcements[[#This Row],[Rev. G Bolt-Reinf. Bearing Capacity (Top)                  No Deformation (kips)]]</f>
        <v>2954.8346456692916</v>
      </c>
      <c r="GV40" s="466">
        <f>Reinforcements[[#This Row],[Rev. G Bolt-Reinf. Bearing Capacity (Top)               Deformation (kips)]]</f>
        <v>3693.5433070866147</v>
      </c>
      <c r="GW40" s="466" t="str">
        <f>Reinforcements[[#This Row],[Rev. G Bottom Transverse Weld Strength]]</f>
        <v>-</v>
      </c>
      <c r="GX40" s="466" t="str">
        <f>Reinforcements[[#This Row],[Rev. G Bottom Longitudinal Weld Strength]]</f>
        <v>-</v>
      </c>
      <c r="GY40" s="466" t="str">
        <f>Reinforcements[[#This Row],[Rev. G Top Transverse Weld Strength]]</f>
        <v>-</v>
      </c>
      <c r="GZ40" s="466" t="str">
        <f>Reinforcements[[#This Row],[Rev. G Top Longitudinal Weld Strength]]</f>
        <v>-</v>
      </c>
      <c r="HA40" s="552">
        <v>38</v>
      </c>
      <c r="HB40"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1" spans="2:210" s="251" customFormat="1" x14ac:dyDescent="0.2">
      <c r="B41" s="72" t="s">
        <v>761</v>
      </c>
      <c r="C41" s="72" t="s">
        <v>147</v>
      </c>
      <c r="D41" s="185">
        <v>4.0599999999999996</v>
      </c>
      <c r="E41" s="185">
        <v>1.57</v>
      </c>
      <c r="F41" s="185" t="str">
        <f>IF(Reinforcements[[#This Row],[Type]]="","",IF(Reinforcements[[#This Row],[Type]]="solid round","","n/a"))</f>
        <v>n/a</v>
      </c>
      <c r="G41" s="185">
        <v>0.3</v>
      </c>
      <c r="H41" s="185">
        <v>0.64</v>
      </c>
      <c r="I41" s="197">
        <f>IF(Reinforcements[[#This Row],[Type]]="","",IF(Reinforcements[[#This Row],[Type]]&lt;&gt;"channel","n/a",Reinforcements[[#This Row],[eo]]))</f>
        <v>0.35663316582914573</v>
      </c>
      <c r="J41" s="197">
        <f>IF(Reinforcements[[#This Row],[Type]]="","",IF(Reinforcements[[#This Row],[Type]]&lt;&gt;"channel","n/a",Reinforcements[[#This Row],[J]]))</f>
        <v>5.6339999999999994E-2</v>
      </c>
      <c r="K41" s="197">
        <f>IF(Reinforcements[[#This Row],[Type]]="","",IF(Reinforcements[[#This Row],[Type]]&lt;&gt;"channel","n/a",Reinforcements[[#This Row],[Cw]]))</f>
        <v>0.77835174952160791</v>
      </c>
      <c r="L41" s="185">
        <v>2.92</v>
      </c>
      <c r="M41" s="185">
        <v>0.59</v>
      </c>
      <c r="N41" s="186" t="s">
        <v>297</v>
      </c>
      <c r="O41" s="185" t="s">
        <v>60</v>
      </c>
      <c r="P41" s="187">
        <v>0.66</v>
      </c>
      <c r="Q41" s="187">
        <f>IF(Reinforcements[[#This Row],[Reinforcement]]="","",SQRT(Reinforcements[[#This Row],[Ix]]/Reinforcements[[#This Row],[Gross Area (in2)]]))</f>
        <v>0.47542338737200757</v>
      </c>
      <c r="R41" s="187">
        <v>6.57</v>
      </c>
      <c r="S41" s="187">
        <f>IF(Reinforcements[[#This Row],[Reinforcement]]="","",SQRT(Reinforcements[[#This Row],[Iy]]/Reinforcements[[#This Row],[Gross Area (in2)]]))</f>
        <v>1.5</v>
      </c>
      <c r="T41" s="190">
        <v>18</v>
      </c>
      <c r="U41" s="188">
        <v>0.8</v>
      </c>
      <c r="V41" s="188">
        <v>1</v>
      </c>
      <c r="W41" s="185">
        <v>1.1875</v>
      </c>
      <c r="X41" s="188">
        <f>IF(Reinforcements[[#This Row],[Bolt Hole Size (in)]]="","",IF(Reinforcements[[#This Row],[Bolt Hole Size (in)]]="n/a","n/a",Reinforcements[[#This Row],[Bolt Hole Size (in)]]*25.4))</f>
        <v>30.162499999999998</v>
      </c>
      <c r="Y41"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2.5449999999999999</v>
      </c>
      <c r="Z41" s="185">
        <f>IFERROR(IF(Reinforcements[[#This Row],[Reinforcement]]="","",IF(OR(Reinforcements[[#This Row],[Type]]="plate",Reinforcements[[#This Row],[Type]]="solid round"),1,IF(Reinforcements[[#This Row],[Type]]="arbitrary","",1-Reinforcements[[#This Row],[Pole Face to Centroid (in)]]/Reinforcements[[#This Row],[Connection Length (in) '[Channels']]]))),"")</f>
        <v>0.95083333333333331</v>
      </c>
      <c r="AA41" s="200" t="s">
        <v>391</v>
      </c>
      <c r="AB41" s="200" t="str">
        <f>IF(Reinforcements[[#This Row],[Reinforcement]]="","",IF(Reinforcements[[#This Row],[Bottom End Connection Type]]&lt;&gt;"Capacity Input","-",""))</f>
        <v>-</v>
      </c>
      <c r="AC41" s="200" t="str">
        <f>IF(Reinforcements[[#This Row],[Reinforcement]]="","",IF(Reinforcements[[#This Row],[Bottom End Connection Type]]&lt;&gt;"Capacity Input","-",""))</f>
        <v>-</v>
      </c>
      <c r="AD41" s="461" t="str">
        <f>IF(Reinforcements[[#This Row],[Reinforcement]]="","",IF(Reinforcements[[#This Row],[Bottom End Connection Type]]&lt;&gt;"Capacity Input","-",""))</f>
        <v>-</v>
      </c>
      <c r="AE41" s="103" t="s">
        <v>416</v>
      </c>
      <c r="AF41" s="190" t="s">
        <v>296</v>
      </c>
      <c r="AG41" s="190">
        <v>5</v>
      </c>
      <c r="AH41" s="190">
        <v>3</v>
      </c>
      <c r="AI41" s="190">
        <v>2</v>
      </c>
      <c r="AJ41" s="190">
        <f>Reinforcements[[#This Row],[End Connection Edge Distance (in) (B)]]-(Reinforcements[[#This Row],[Bolt Hole Size (in)]]+1/16)/2</f>
        <v>1.375</v>
      </c>
      <c r="AK41" s="190">
        <f>Reinforcements[[#This Row],[End Connection Bolt Spacing (in) (B)]]-(Reinforcements[[#This Row],[Bolt Hole Size (in)]]+1/16)</f>
        <v>1.75</v>
      </c>
      <c r="AL41" s="190">
        <f>Reinforcements[[#This Row],[End Connection Edge Distance (in) (B)]]</f>
        <v>2</v>
      </c>
      <c r="AM41" s="190">
        <f>Reinforcements[[#This Row],[End Connection Bolt Spacing (in) (B)]]</f>
        <v>3</v>
      </c>
      <c r="AN41" s="190" t="str">
        <f>IF(Reinforcements[[#This Row],[Reinforcement]]="","",IF(OR(Reinforcements[[#This Row],[Bottom End Connection Type]]="Bolted",Reinforcements[[#This Row],[Bottom End Connection Type]]=""),"-",""))</f>
        <v>-</v>
      </c>
      <c r="AO41" s="191" t="str">
        <f>IF(Reinforcements[[#This Row],[Reinforcement]]="","",IF(OR(Reinforcements[[#This Row],[Bottom End Connection Type]]="Bolted",Reinforcements[[#This Row],[Bottom End Connection Type]]=""),"-",""))</f>
        <v>-</v>
      </c>
      <c r="AP41" s="191" t="str">
        <f>IF(Reinforcements[[#This Row],[Reinforcement]]="","",IF(OR(Reinforcements[[#This Row],[Bottom End Connection Type]]="Bolted",Reinforcements[[#This Row],[Bottom End Connection Type]]=""),"-",""))</f>
        <v>-</v>
      </c>
      <c r="AQ41" s="191" t="str">
        <f>IF(OR(Reinforcements[[#This Row],[Bottom End Connection Type]]="Bolted",Reinforcements[[#This Row],[Bottom Transverse (Horizontal) Weld]]="none"),"-","")</f>
        <v>-</v>
      </c>
      <c r="AR4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1" s="191" t="str">
        <f>IF(OR(Reinforcements[[#This Row],[Bottom Transverse (Horizontal) Weld]]="none",Reinforcements[[#This Row],[Bottom End Connection Type]]="Bolted"),"-","")</f>
        <v>-</v>
      </c>
      <c r="AU41"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1" s="191" t="str">
        <f>IF(Reinforcements[[#This Row],[Reinforcement]]="","",IF(OR(Reinforcements[[#This Row],[Bottom End Connection Type]]="Bolted",Reinforcements[[#This Row],[Bottom End Connection Type]]=""),"-",""))</f>
        <v>-</v>
      </c>
      <c r="AW41" s="191" t="str">
        <f>IF(Reinforcements[[#This Row],[Reinforcement]]="","",IF(OR(Reinforcements[[#This Row],[Bottom End Connection Type]]&lt;&gt;"Welded",Reinforcements[[#This Row],[Bottom Longitudinal (Vertical) Weld]]="None",Reinforcements[[#This Row],[Bottom Longitudinal (Vertical) Weld]]=""),"-",""))</f>
        <v>-</v>
      </c>
      <c r="AX41" s="191" t="str">
        <f>IF(Reinforcements[[#This Row],[Reinforcement]]="","",IF(OR(Reinforcements[[#This Row],[Bottom End Connection Type]]&lt;&gt;"Welded",Reinforcements[[#This Row],[Bottom Longitudinal (Vertical) Weld]]="None",Reinforcements[[#This Row],[Bottom Longitudinal (Vertical) Weld]]=""),"-",""))</f>
        <v>-</v>
      </c>
      <c r="AY41" s="190" t="str">
        <f>IF(Reinforcements[[#This Row],[Reinforcement]]="","",IF(OR(Reinforcements[[#This Row],[Bottom End Connection Type]]&lt;&gt;"Welded",Reinforcements[[#This Row],[Bottom Longitudinal (Vertical) Weld]]="None"),"-",SQRT(2)/2*Reinforcements[[#This Row],[Bottom Longitudinal Weld Fillet Size (in)]]))</f>
        <v>-</v>
      </c>
      <c r="AZ41" s="190" t="s">
        <v>295</v>
      </c>
      <c r="BA41" s="189" t="str">
        <f>IF(Reinforcements[[#This Row],[Top End Connection Same?]]="Yes",Reinforcements[[#This Row],[Bottom End Connection Type]],"")</f>
        <v>Bolted</v>
      </c>
      <c r="BB41" s="189" t="str">
        <f>IF(Reinforcements[[#This Row],[Reinforcement]]="","",IF(Reinforcements[[#This Row],[Top End Connection Same?]]="Yes",Reinforcements[[#This Row],[Rev. F Bottom Connection Capacity (kips)]],IF(Reinforcements[[#This Row],[Reinforcement]]="","",IF(Reinforcements[[#This Row],[Top End Connection Type]]&lt;&gt;"Capacity Input","-",""))))</f>
        <v>-</v>
      </c>
      <c r="BC41" s="189" t="str">
        <f>IF(Reinforcements[[#This Row],[Reinforcement]]="","",IF(Reinforcements[[#This Row],[Top End Connection Same?]]="Yes",Reinforcements[[#This Row],[Rev. G Bottom Connection Capacity (kips)]],IF(Reinforcements[[#This Row],[Reinforcement]]="","",IF(Reinforcements[[#This Row],[Top End Connection Type]]&lt;&gt;"Capacity Input","-",""))))</f>
        <v>-</v>
      </c>
      <c r="BD41" s="461" t="str">
        <f>IF(Reinforcements[[#This Row],[Reinforcement]]="","",IF(Reinforcements[[#This Row],[Top End Connection Same?]]="Yes",Reinforcements[[#This Row],[Rev. G Bottom Connection Capacity (kips)]],IF(Reinforcements[[#This Row],[Reinforcement]]="","",IF(Reinforcements[[#This Row],[Top End Connection Type]]&lt;&gt;"Capacity Input","-",""))))</f>
        <v>-</v>
      </c>
      <c r="BE41" s="103" t="str">
        <f>IF(Reinforcements[[#This Row],[Top End Connection Same?]]="Yes",Reinforcements[[#This Row],[Bottom End Connection Bolt Type]],IF(Reinforcements[[#This Row],[Top End Connection Type]]="Welded","-",""))</f>
        <v>PC 8.8 - M20 (100)</v>
      </c>
      <c r="BF41" s="190" t="str">
        <f>IF(Reinforcements[[#This Row],[Top End Connection Same?]]="Yes",Reinforcements[[#This Row],[Threads Included (N) or Excluded (X) (Bottom)]],IF(Reinforcements[[#This Row],[Top End Connection Type]]="Welded","-",""))</f>
        <v>N</v>
      </c>
      <c r="BG41" s="190">
        <f>IF(Reinforcements[[#This Row],[Top End Connection Same?]]="Yes",Reinforcements[[#This Row],['# of End Connection Bolts          (Bottom)]],IF(Reinforcements[[#This Row],[Top End Connection Type]]="Welded","-",""))</f>
        <v>5</v>
      </c>
      <c r="BH41" s="190">
        <f>IF(Reinforcements[[#This Row],[Top End Connection Same?]]="Yes",Reinforcements[[#This Row],[End Connection Bolt Spacing (in) (B)]],IF(Reinforcements[[#This Row],[Top End Connection Type]]="Welded","-",""))</f>
        <v>3</v>
      </c>
      <c r="BI41" s="190">
        <f>IF(Reinforcements[[#This Row],[Top End Connection Same?]]="Yes",Reinforcements[[#This Row],[End Connection Edge Distance (in) (B)]],IF(Reinforcements[[#This Row],[Top End Connection Type]]="Welded","-",""))</f>
        <v>2</v>
      </c>
      <c r="BJ41" s="190">
        <f>Reinforcements[[#This Row],[End Connection Edge Distance (in) (T)]]-(Reinforcements[[#This Row],[Bolt Hole Size (in)]]+1/16)/2</f>
        <v>1.375</v>
      </c>
      <c r="BK41" s="190">
        <f>Reinforcements[[#This Row],[End Connection Bolt Spacing (in) (T)]]-(Reinforcements[[#This Row],[Bolt Hole Size (in)]]+1/16)</f>
        <v>1.75</v>
      </c>
      <c r="BL41" s="237">
        <f>Reinforcements[[#This Row],[End Connection Edge Distance (in) (T)]]</f>
        <v>2</v>
      </c>
      <c r="BM41" s="237">
        <f>Reinforcements[[#This Row],[End Connection Bolt Spacing (in) (T)]]</f>
        <v>3</v>
      </c>
      <c r="BN41" s="237" t="str">
        <f>IF(Reinforcements[[#This Row],[Reinforcement]]="","",IF(Reinforcements[[#This Row],[Top End Connection Same?]]="Yes",Reinforcements[[#This Row],[Bottom Connected to Flange/Base Plate?]],IF(Reinforcements[[#This Row],[Top End Connection Type]]="Bolted","-","")))</f>
        <v>-</v>
      </c>
      <c r="BO41" s="237" t="str">
        <f>IF(Reinforcements[[#This Row],[Reinforcement]]="","",IF(Reinforcements[[#This Row],[Top End Connection Same?]]="Yes",Reinforcements[[#This Row],[Bottom Weld Grade (ksi)]],IF(OR(Reinforcements[[#This Row],[Top End Connection Type]]&lt;&gt;"Welded",Reinforcements[[#This Row],[Top End Connection Type]]=""),"-","")))</f>
        <v>-</v>
      </c>
      <c r="BP41" s="237" t="str">
        <f>IF($AZ41="Yes",AP41,IF(Reinforcements[[#This Row],[Reinforcement]]="","",IF(OR(Reinforcements[[#This Row],[Top End Connection Type]]&lt;&gt;"Welded",Reinforcements[[#This Row],[Top End Connection Type]]=""),"-","")))</f>
        <v>-</v>
      </c>
      <c r="BQ41" s="237" t="str">
        <f>IF(Reinforcements[[#This Row],[Reinforcement]]="","",IF($AZ41="Yes",AQ41,IF(OR(Reinforcements[[#This Row],[Top End Connection Type]]&lt;&gt;"Welded",Reinforcements[[#This Row],[Top Transverse (Horizontal) Weld]]="none",Reinforcements[[#This Row],[Top Transverse (Horizontal) Weld]]=""),"-","")))</f>
        <v>-</v>
      </c>
      <c r="BR41" s="237" t="str">
        <f>IF($AZ41="Yes",AR41,IF(Reinforcements[[#This Row],[Reinforcement]]="","",IF(OR(Reinforcements[[#This Row],[Top Transverse (Horizontal) Weld]]="none",Reinforcements[[#This Row],[Top End Connection Type]]&lt;&gt;"Welded",Reinforcements[[#This Row],[Top Transverse (Horizontal) Weld]]="",Reinforcements[[#This Row],[Top Transverse (Horizontal) Weld]]="Fillet"),"-","")))</f>
        <v>-</v>
      </c>
      <c r="BS41" s="237" t="str">
        <f>IF($AZ41="Yes",AS41,IF(Reinforcements[[#This Row],[Reinforcement]]="","",IF(OR(Reinforcements[[#This Row],[Top Transverse (Horizontal) Weld]]="none",Reinforcements[[#This Row],[Top End Connection Type]]&lt;&gt;"Welded",Reinforcements[[#This Row],[Top Transverse (Horizontal) Weld]]="",Reinforcements[[#This Row],[Top Transverse (Horizontal) Weld]]="Fillet"),"-","")))</f>
        <v>-</v>
      </c>
      <c r="BT41" s="237" t="str">
        <f>IF(Reinforcements[[#This Row],[Reinforcement]]="","",IF($AZ41="Yes",AT41,IF(OR(Reinforcements[[#This Row],[Top Transverse (Horizontal) Weld]]="none",Reinforcements[[#This Row],[Top End Connection Type]]&lt;&gt;"Welded",Reinforcements[[#This Row],[Top Transverse (Horizontal) Weld]]=""),"-","")))</f>
        <v>-</v>
      </c>
      <c r="BU41" s="237" t="str">
        <f>IF($AZ41="Yes",AU41,IF(Reinforcements[[#This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1" s="237" t="str">
        <f>IF($AZ41="Yes",AV41,IF(Reinforcements[[#This Row],[Reinforcement]]="","",IF(OR(Reinforcements[[#This Row],[Top End Connection Type]]&lt;&gt;"Welded",Reinforcements[[#This Row],[Top End Connection Type]]=""),"-","")))</f>
        <v>-</v>
      </c>
      <c r="BW41" s="237" t="str">
        <f>IF($AZ41="Yes",AW41,IF(Reinforcements[[#This Row],[Reinforcement]]="","",IF(OR(Reinforcements[[#This Row],[Top End Connection Type]]&lt;&gt;"Welded",Reinforcements[[#This Row],[Top End Connection Type]]="",Reinforcements[[#This Row],[Top Longitudinal (Vertical) Weld]]="",Reinforcements[[#This Row],[Top Longitudinal (Vertical) Weld]]="None"),"-","")))</f>
        <v>-</v>
      </c>
      <c r="BX41" s="237" t="str">
        <f>IF($AZ41="Yes",AX41,IF(Reinforcements[[#This Row],[Reinforcement]]="","",IF(OR(Reinforcements[[#This Row],[Top End Connection Type]]&lt;&gt;"Welded",Reinforcements[[#This Row],[Top End Connection Type]]="",Reinforcements[[#This Row],[Top Longitudinal (Vertical) Weld]]="",Reinforcements[[#This Row],[Top Longitudinal (Vertical) Weld]]="None"),"-","")))</f>
        <v>-</v>
      </c>
      <c r="BY41" s="237" t="str">
        <f>IF($AZ41="Yes",AY41,IF(Reinforcements[[#This Row],[Reinforcement]]="","",IF(OR(Reinforcements[[#This Row],[Top End Connection Type]]&lt;&gt;"Welded",Reinforcements[[#This Row],[Top Longitudinal (Vertical) Weld]]="none"),"-",SQRT(2)/2*Reinforcements[[#This Row],[Top Longitudinal Weld Fillet Size (in)]])))</f>
        <v>-</v>
      </c>
      <c r="BZ41"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12</v>
      </c>
      <c r="CA41" s="238">
        <f>IF(Reinforcements[[#This Row],[Reinforcement]]="","",IF(Reinforcements[[#This Row],[Bottom End Connection Type]]&lt;&gt;"Bolted","n/a",(Reinforcements[[#This Row],['# of End Connection Bolts          (Bottom)]]-1)*Reinforcements[[#This Row],[End Connection Bolt Spacing (in) (B)]]+Reinforcements[[#This Row],[End Connection Edge Distance (in) (B)]]))</f>
        <v>14</v>
      </c>
      <c r="CB41" s="238">
        <f>IF(Reinforcements[[#This Row],[Reinforcement]]="","",IF(Reinforcements[[#This Row],[Top End Connection Type]]&lt;&gt;"Bolted","n/a",(Reinforcements[[#This Row],['# of End Connection Bolts          (Top)]]-1)*Reinforcements[[#This Row],[End Connection Bolt Spacing (in) (T)]]+Reinforcements[[#This Row],[End Connection Edge Distance (in) (T)]]))</f>
        <v>14</v>
      </c>
      <c r="CC41"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2.4745762711864407</v>
      </c>
      <c r="CD41"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1.18</v>
      </c>
      <c r="CE41" s="236">
        <f>IFERROR(IF(Reinforcements[[#This Row],[Type]]="","",Reinforcements[[#This Row],[Effective B (in)]]*Reinforcements[[#This Row],[Effective H (in)]]^3/12),"")</f>
        <v>0.3388173333333333</v>
      </c>
      <c r="CF41" s="236">
        <f>IFERROR(IF(Reinforcements[[#This Row],[Type]]="","",Reinforcements[[#This Row],[Effective B (in)]]^3*Reinforcements[[#This Row],[Effective H (in)]]/12),"")</f>
        <v>1.4900584123336207</v>
      </c>
      <c r="CG41" s="235">
        <f>SQRT(2*PI()^2*29000/VLOOKUP(Reinforcements[[#This Row],[Material]],Materials[],2,FALSE))</f>
        <v>93.844147005158973</v>
      </c>
      <c r="CH41"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34.54696208660004</v>
      </c>
      <c r="CI41"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37.605109085747337</v>
      </c>
      <c r="CJ41" s="239">
        <f>Reinforcements[[#This Row],[Effective Length Factor Kx]]*Reinforcements[[#This Row],[Lu (in)]]/(Reinforcements[[#This Row],[rx]]*PI())*SQRT(VLOOKUP(Reinforcements[[#This Row],[Material]],Materials[],2,FALSE)/29000)</f>
        <v>0.45644636908616876</v>
      </c>
      <c r="CK41" s="239">
        <f>Reinforcements[[#This Row],[Effective Length Factor Ky]]*Reinforcements[[#This Row],[Lu (in)]]/(Reinforcements[[#This Row],[ry]]*PI())*SQRT(VLOOKUP(Reinforcements[[#This Row],[Material]],Materials[],2,FALSE)/29000)</f>
        <v>0.18083773245383328</v>
      </c>
      <c r="CL41" s="239">
        <f>IF(Reinforcements[[#This Row],[λcx]]&lt;=1.5,0.658^(Reinforcements[[#This Row],[λcx]]^2)*Reinforcements[[#This Row],[F''y]],0.877/(Reinforcements[[#This Row],[λcx]]^2)*Reinforcements[[#This Row],[F''y]])</f>
        <v>59.57196719428164</v>
      </c>
      <c r="CM41" s="239">
        <f>IF(Reinforcements[[#This Row],[λcy]]&lt;=1.5,0.658^(Reinforcements[[#This Row],[λcy]]^2)*Reinforcements[[#This Row],[F''y]],0.877/(Reinforcements[[#This Row],[λcy]]^2)*Reinforcements[[#This Row],[F''y]])</f>
        <v>64.116370218110077</v>
      </c>
      <c r="CN41" s="236">
        <f>VLOOKUP(Reinforcements[[#This Row],[Material]],Materials[],2,FALSE)</f>
        <v>65</v>
      </c>
      <c r="CO41" s="235">
        <f>IF(Reinforcements[[#This Row],[Reinforcement]]="","",Reinforcements[[#This Row],[Fax]]*Reinforcements[[#This Row],[Gross Area (in2)]])</f>
        <v>100.87712929287211</v>
      </c>
      <c r="CP41" s="235">
        <f>IF(Reinforcements[[#This Row],[Reinforcement]]="","",Reinforcements[[#This Row],[Fay]]*Reinforcements[[#This Row],[Gross Area (in2)]])</f>
        <v>109.80691853038222</v>
      </c>
      <c r="CQ41" s="235">
        <f>IF(Reinforcements[[#This Row],[Reinforcement]]="","",0.6*VLOOKUP(Reinforcements[[#This Row],[Material]],Materials[],2,FALSE)*Reinforcements[[#This Row],[Gross Area (in2)]])</f>
        <v>113.88</v>
      </c>
      <c r="CR41" s="235">
        <f>IF(Reinforcements[[#This Row],[Reinforcement]]="","",0.5*VLOOKUP(Reinforcements[[#This Row],[Material]],Materials[],3,FALSE)*Reinforcements[[#This Row],[Net Area (in2)]]*Reinforcements[[#This Row],[Shear Lag (U)]])</f>
        <v>96.79483333333333</v>
      </c>
      <c r="CS41" s="235">
        <f>IF(Reinforcements[[#This Row],[Reinforcement]]="","",0.4*VLOOKUP(Reinforcements[[#This Row],[Material]],Materials[],2,FALSE)*Reinforcements[[#This Row],[Gross Area (in2)]])</f>
        <v>75.92</v>
      </c>
      <c r="CT41"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116.42815839414982</v>
      </c>
      <c r="CU41"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116.42815839414982</v>
      </c>
      <c r="CV41"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6.8503937007874018</v>
      </c>
      <c r="CW41"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7.71259842519685</v>
      </c>
      <c r="CX41"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6.8503937007874018</v>
      </c>
      <c r="CY41"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7.71259842519685</v>
      </c>
      <c r="CZ41"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164.40944881889763</v>
      </c>
      <c r="DA41"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185.10236220472441</v>
      </c>
      <c r="DB41"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164.40944881889763</v>
      </c>
      <c r="DC41"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185.10236220472441</v>
      </c>
      <c r="DD41"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1"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1" s="237" t="str">
        <f>IF($AZ41="Yes",DD41,IF(Reinforcements[[#This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1" s="237" t="str">
        <f>IF($AZ41="Yes",DE41,IF(Reinforcements[[#This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1" s="235">
        <f>IF(Reinforcements[[#This Row],[Reinforcement]]="","",φ_c*Reinforcements[[#This Row],[Fcr,x]]*Reinforcements[[#This Row],[Gross Area (in2)]])</f>
        <v>156.55512978657217</v>
      </c>
      <c r="DI41" s="235">
        <f>IF(Reinforcements[[#This Row],[Reinforcement]]="","",φ_c*Reinforcements[[#This Row],[Fcr,y]]*Reinforcements[[#This Row],[Gross Area (in2)]])</f>
        <v>168.49782093319328</v>
      </c>
      <c r="DJ41" s="235">
        <f>IF(Reinforcements[[#This Row],[Reinforcement]]="","",φ_t_y*VLOOKUP(Reinforcements[[#This Row],[Material]],Materials[],2,FALSE)*Reinforcements[[#This Row],[Gross Area (in2)]])</f>
        <v>170.82</v>
      </c>
      <c r="DK41" s="235">
        <f>IF(Reinforcements[[#This Row],[Reinforcement]]="","",φ_t_r*VLOOKUP(Reinforcements[[#This Row],[Material]],Materials[],3,FALSE)*Reinforcements[[#This Row],[Net Area (in2)]]*Reinforcements[[#This Row],[Shear Lag (U)]])</f>
        <v>145.19224999999997</v>
      </c>
      <c r="DL41" s="235">
        <f>IF(Reinforcements[[#This Row],[Reinforcement]]="","",φ_v*0.5*Reinforcements[[#This Row],[F''y]]*Reinforcements[[#This Row],[Gross Area (in2)]])</f>
        <v>85.41</v>
      </c>
      <c r="DM41"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206.34968553000832</v>
      </c>
      <c r="DN41"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206.34968553000832</v>
      </c>
      <c r="DO41"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10.008188976377953</v>
      </c>
      <c r="DP41"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12.510236220472443</v>
      </c>
      <c r="DQ41"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10.008188976377953</v>
      </c>
      <c r="DR41"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12.510236220472443</v>
      </c>
      <c r="DS41"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225.84188976377951</v>
      </c>
      <c r="DT41"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282.30236220472437</v>
      </c>
      <c r="DU41"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225.84188976377951</v>
      </c>
      <c r="DV41"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282.30236220472437</v>
      </c>
      <c r="DW41"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1"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1" s="237" t="str">
        <f>IF($AZ41="Yes",DW41,IF(Reinforcements[[#This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1" s="237" t="str">
        <f>IF($AZ41="Yes",DX41,IF(Reinforcements[[#This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1" s="238">
        <f>IF(OR(Reinforcements[[#This Row],[Type]]="plate",Reinforcements[[#This Row],[Type]]="solid round"),"N/A",Reinforcements[[#This Row],[B (in)]])</f>
        <v>4.0599999999999996</v>
      </c>
      <c r="EB41" s="236">
        <f>IF(OR(Reinforcements[[#This Row],[Type]]="plate",Reinforcements[[#This Row],[Type]]="solid round"),"N/A",Reinforcements[[#This Row],[H (in)]])</f>
        <v>1.57</v>
      </c>
      <c r="EC41" s="236">
        <f>IF(OR(Reinforcements[[#This Row],[Type]]="plate",Reinforcements[[#This Row],[Type]]="solid round"),"N/A",Reinforcements[[#This Row],[B (in)]]-Reinforcements[[#This Row],['[Channel'] Flange Thickness (in)]])</f>
        <v>3.4199999999999995</v>
      </c>
      <c r="ED41" s="236">
        <f>IF(OR(Reinforcements[[#This Row],[Type]]="plate",Reinforcements[[#This Row],[Type]]="solid round"),"N/A",Reinforcements[[#This Row],['[Channel']Web Thickness (in)]])</f>
        <v>0.3</v>
      </c>
      <c r="EE41" s="236">
        <f>IF(OR(Reinforcements[[#This Row],[Type]]="plate",Reinforcements[[#This Row],[Type]]="solid round"),"N/A",Reinforcements[[#This Row],['[Channel'] Flange Thickness (in)]])</f>
        <v>0.64</v>
      </c>
      <c r="EF41" s="236">
        <f>IF(Reinforcements[[#This Row],[Type]]="channel",Reinforcements[[#This Row],[Channel Flange Width, b]]/Reinforcements[[#This Row],[Channel flange thickness, tf]],"N/A")</f>
        <v>2.453125</v>
      </c>
      <c r="EG41" s="236">
        <f>IF(Reinforcements[[#This Row],[Type]]="channel",Reinforcements[[#This Row],[Channel inside depth, T]]/Reinforcements[[#This Row],[Channel web thickness, tw]],"N/A")</f>
        <v>11.399999999999999</v>
      </c>
      <c r="EH41" s="237">
        <v>29000</v>
      </c>
      <c r="EI41" s="236">
        <f>IF(Reinforcements[[#This Row],[Type]]="channel",0.56*SQRT(Reinforcements[[#This Row],[E, (ksi)]]/Reinforcements[[#This Row],[Fy, (ksi)]]),"N/A")</f>
        <v>11.828518341442694</v>
      </c>
      <c r="EJ41" s="236">
        <f>IF(Reinforcements[[#This Row],[Type]]="channel",1.49*SQRT(Reinforcements[[#This Row],[E, (ksi)]]/Reinforcements[[#This Row],[Fy, (ksi)]]),"N/A")</f>
        <v>31.472307729910018</v>
      </c>
      <c r="EK41" s="236">
        <f>VLOOKUP(Reinforcements[[#This Row],[Material]],Materials!$B$2:$C$30,2,FALSE)</f>
        <v>65</v>
      </c>
      <c r="EL41" s="236">
        <f>Reinforcements[[#This Row],[Lu (in)]]*Reinforcements[[#This Row],[Effective Length Factor Kx]]</f>
        <v>14.4</v>
      </c>
      <c r="EM41" s="236">
        <f>Reinforcements[[#This Row],[Lu (in)]]*Reinforcements[[#This Row],[Effective Length Factor Ky]]</f>
        <v>18</v>
      </c>
      <c r="EN41" s="236">
        <f>Reinforcements[[#This Row],[rx]]</f>
        <v>0.47542338737200757</v>
      </c>
      <c r="EO41" s="236">
        <f>Reinforcements[[#This Row],[ry]]</f>
        <v>1.5</v>
      </c>
      <c r="EP41" s="236">
        <f>Reinforcements[[#This Row],[Lcx (in)]]/Reinforcements[[#This Row],[rx (in)]]</f>
        <v>30.288791806391174</v>
      </c>
      <c r="EQ41" s="236">
        <f>Reinforcements[[#This Row],[Lcy (in)]]/Reinforcements[[#This Row],[ry (in)]]</f>
        <v>12</v>
      </c>
      <c r="ER41" s="236">
        <f>((PI()^2)*Reinforcements[[#This Row],[E, (ksi)]])/(Reinforcements[[#This Row],[Lcx/rx]]^2)</f>
        <v>311.98509282521411</v>
      </c>
      <c r="ES41" s="236">
        <f>((PI()^2)*Reinforcements[[#This Row],[E, (ksi)]])/(Reinforcements[[#This Row],[Lcy/ry]]^2)</f>
        <v>1987.6286641082734</v>
      </c>
      <c r="ET41" s="236">
        <f>4.71*(SQRT(Reinforcements[[#This Row],[E, (ksi)]]/Reinforcements[[#This Row],[Fy, (ksi)]]))</f>
        <v>99.486288193205496</v>
      </c>
      <c r="EU41" s="236">
        <f>IF(Reinforcements[[#This Row],[Lcx/rx]]&lt;=Reinforcements[[#This Row],[Fcr Limit]],(0.658^(Reinforcements[[#This Row],[Fy, (ksi)]]/Reinforcements[[#This Row],[Fex, FB (ksi)]]))*Reinforcements[[#This Row],[Fy, (ksi)]],0.877*Reinforcements[[#This Row],[Fex, FB (ksi)]])</f>
        <v>59.571967194281633</v>
      </c>
      <c r="EV41" s="236">
        <f>IF(Reinforcements[[#This Row],[Lcy/ry]]&lt;=Reinforcements[[#This Row],[Fcr Limit]],(0.658^(Reinforcements[[#This Row],[Fy, (ksi)]]/Reinforcements[[#This Row],[Fey, FB (ksi)]]))*Reinforcements[[#This Row],[Fy, (ksi)]],0.877*Reinforcements[[#This Row],[Fey, FB (ksi)]])</f>
        <v>64.116370218110077</v>
      </c>
      <c r="EW41" s="236">
        <f>Reinforcements[[#This Row],[Fcrx (ksi)]]*Reinforcements[[#This Row],[Gross Area (in2)]]</f>
        <v>173.95014420730237</v>
      </c>
      <c r="EX41" s="236">
        <f>Reinforcements[[#This Row],[Fcry (ksi)]]*Reinforcements[[#This Row],[Gross Area (in2)]]</f>
        <v>187.21980103688142</v>
      </c>
      <c r="EY41" s="236">
        <f>IF(Reinforcements[[#This Row],[Type]]="channel",0,"N/A")</f>
        <v>0</v>
      </c>
      <c r="EZ41" s="236">
        <f>IF(Reinforcements[[#This Row],[Type]]="channel",Reinforcements[[#This Row],[Channel Flange Width, b]]-(0.5*Reinforcements[[#This Row],[Channel web thickness, tw]]),"N/A")</f>
        <v>1.4200000000000002</v>
      </c>
      <c r="FA41" s="236">
        <f>IF(Reinforcements[[#This Row],[Type]]="channel",Reinforcements[[#This Row],[Channel Height, h]]-Reinforcements[[#This Row],[Channel flange thickness, tf]],"N/A")</f>
        <v>3.4199999999999995</v>
      </c>
      <c r="FB41" s="236">
        <f>IF(Reinforcements[[#This Row],[Type]]="channel",Reinforcements[[#This Row],[Channel web thickness, tw]],"N/A")</f>
        <v>0.3</v>
      </c>
      <c r="FC41" s="236">
        <f>IF(Reinforcements[[#This Row],[Type]]="channel",((3*Reinforcements[[#This Row],[b]]^2)/(Reinforcements[[#This Row],[h]]+(6*Reinforcements[[#This Row],[b]])))-Reinforcements[[#This Row],[t]]/2,"N/A")</f>
        <v>0.35663316582914573</v>
      </c>
      <c r="FD41" s="236">
        <f>Reinforcements[[#This Row],[Pole Face to Centroid (in)]]</f>
        <v>0.59</v>
      </c>
      <c r="FE41" s="236">
        <f>IF(Reinforcements[[#This Row],[Type]]="channel",Reinforcements[[#This Row],[x(bar)]]+Reinforcements[[#This Row],['[Channel'] e0 (in)]],"N/A")</f>
        <v>0.9466331658291457</v>
      </c>
      <c r="FF41" s="236">
        <f>IF(Reinforcements[[#This Row],[Type]]="channel",Reinforcements[[#This Row],[Ix]],"N/A")</f>
        <v>0.66</v>
      </c>
      <c r="FG41" s="236">
        <f>IF(Reinforcements[[#This Row],[Type]]="channel",Reinforcements[[#This Row],[Iy]],"N/A")</f>
        <v>6.57</v>
      </c>
      <c r="FH41" s="236">
        <f>IF(Reinforcements[[#This Row],[Type]]="channel",Reinforcements[[#This Row],[Gross Area (in2)]],"N/A")</f>
        <v>2.92</v>
      </c>
      <c r="FI41" s="236">
        <f>IF(Reinforcements[[#This Row],[Type]]="channel",(Reinforcements[[#This Row],[xo]]^2)+((Reinforcements[[#This Row],[Ix (FTB)]]+Reinforcements[[#This Row],[Iy (FTB)]])/Reinforcements[[#This Row],[Ag]]),"N/A")</f>
        <v>3.3721417479079849</v>
      </c>
      <c r="FJ41" s="236">
        <f>IF(Reinforcements[[#This Row],[Type]]="channel",Reinforcements[[#This Row],[Lu (in)]],"N/A")</f>
        <v>18</v>
      </c>
      <c r="FK41" s="236">
        <f>IF(Reinforcements[[#This Row],[Type]]="channel",Reinforcements[[#This Row],[Effective Length Factor Kx]],"N/A")</f>
        <v>0.8</v>
      </c>
      <c r="FL41" s="236">
        <f>IF(Reinforcements[[#This Row],[Type]]="channel",Reinforcements[[#This Row],[Kz]]*Reinforcements[[#This Row],[Lz]],"N/A")</f>
        <v>14.4</v>
      </c>
      <c r="FM41" s="236">
        <f>IF(Reinforcements[[#This Row],[Type]]="channel",(((Reinforcements[[#This Row],[t]]^3)/3)*(Reinforcements[[#This Row],[h]]+(2*Reinforcements[[#This Row],[b]]))),"N/A")</f>
        <v>5.6339999999999994E-2</v>
      </c>
      <c r="FN41" s="236">
        <f>IF(Reinforcements[[#This Row],[Type]]="channel",(1-(((Reinforcements[[#This Row],[xo]]^2)+(Reinforcements[[#This Row],[yo]]^2))/Reinforcements[[#This Row],[ro^2(bar)]])),"N/A")</f>
        <v>0.73425958407482605</v>
      </c>
      <c r="FO41" s="237">
        <v>11200</v>
      </c>
      <c r="FP41" s="236">
        <f>IF(Reinforcements[[#This Row],[Type]]="channel",(((Reinforcements[[#This Row],[h]]^2)*(Reinforcements[[#This Row],[b]]^3)*Reinforcements[[#This Row],[t]])/12)*(((2*Reinforcements[[#This Row],[h]])+(3*Reinforcements[[#This Row],[b]]))/(Reinforcements[[#This Row],[h]]+(6*Reinforcements[[#This Row],[b]]))),"N/A")</f>
        <v>0.77835174952160791</v>
      </c>
      <c r="FQ41" s="236">
        <f>IF(Reinforcements[[#This Row],[Type]]="Channel",((((PI()^2)*Reinforcements[[#This Row],[E, (ksi)]]*Reinforcements[[#This Row],['[Channel'] CW (in6)]])/(Reinforcements[[#This Row],[Lcz]]^2))+(Reinforcements[[#This Row],[G]]*Reinforcements[[#This Row],['[Channel'] J (in4)]]))*(1/(Reinforcements[[#This Row],[Ag]]*Reinforcements[[#This Row],[ro^2(bar)]])),"N/A")</f>
        <v>173.19234872952123</v>
      </c>
      <c r="FR41" s="236">
        <f>IF(Reinforcements[[#This Row],[Type]]="channel",((PI()^2)*Reinforcements[[#This Row],[E, (ksi)]])/(Reinforcements[[#This Row],[Lcy/ry]]^2),"N/A")</f>
        <v>1987.6286641082734</v>
      </c>
      <c r="FS41" s="236">
        <f>IF(Reinforcements[[#This Row],[Type]]="channel",((Reinforcements[[#This Row],[Fey]]+Reinforcements[[#This Row],[Fez]])/(2*Reinforcements[[#This Row],[H2]]))*(1-SQRT(1-((4*Reinforcements[[#This Row],[Fey]]*Reinforcements[[#This Row],[Fez]]*Reinforcements[[#This Row],[H2]])/(Reinforcements[[#This Row],[Fey]]+Reinforcements[[#This Row],[Fez]])^2))),"N/A")</f>
        <v>169.01804509281453</v>
      </c>
      <c r="FT41" s="236">
        <f>IF(Reinforcements[[#This Row],[Type]]="channel",IF(Reinforcements[[#This Row],[Lcx/rx]]&gt;(4.71*SQRT(Reinforcements[[#This Row],[E, (ksi)]]/Reinforcements[[#This Row],[Fy, (ksi)]])),0.877*Reinforcements[[#This Row],[Fe (FTB)]],0.658^(Reinforcements[[#This Row],[Fy, (ksi)]]/Reinforcements[[#This Row],[Fe (FTB)]])*Reinforcements[[#This Row],[Fy, (ksi)]]),"N/A")</f>
        <v>55.3359924004533</v>
      </c>
      <c r="FU41" s="236">
        <f>IF(Reinforcements[[#This Row],[Type]]="channel",MIN(Reinforcements[[#This Row],[Fcr(FTB)]],Reinforcements[[#This Row],[Fcry (ksi)]]),"N/A")</f>
        <v>55.3359924004533</v>
      </c>
      <c r="FV41" s="237">
        <v>0.22</v>
      </c>
      <c r="FW41" s="237">
        <v>1.49</v>
      </c>
      <c r="FX41" s="236">
        <f>IF(Reinforcements[[#This Row],[Type]]="channel",((Reinforcements[[#This Row],[c2]]*(Reinforcements[[#This Row],[λrf]]/Reinforcements[[#This Row],[λf]]))^2)*Reinforcements[[#This Row],[Fy, (ksi)]],"N/A")</f>
        <v>3355.1136189800823</v>
      </c>
      <c r="FY41" s="236">
        <f>IF(Reinforcements[[#This Row],[Type]]="channel",((Reinforcements[[#This Row],[c2]]*(Reinforcements[[#This Row],[λrw]]/Reinforcements[[#This Row],[λw]]))^2)*Reinforcements[[#This Row],[Fy, (ksi)]],"N/A")</f>
        <v>1099.8497713911975</v>
      </c>
      <c r="FZ41"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1.4200000000000002</v>
      </c>
      <c r="GA41"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3.4199999999999995</v>
      </c>
      <c r="GB41"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2.92</v>
      </c>
      <c r="GC41" s="236">
        <f>IF(Reinforcements[[#This Row],[Type]]="channel",Reinforcements[[#This Row],[Fcr]]*Reinforcements[[#This Row],[Ae]],"N/A")</f>
        <v>161.58109780932364</v>
      </c>
      <c r="GD41" s="466">
        <f>IF(Reinforcements[[#This Row],[Reinforcement]]="","",φ_c*Reinforcements[[#This Row],[Pnx, FB (kip)]])</f>
        <v>156.55512978657214</v>
      </c>
      <c r="GE41" s="466">
        <f>IF(Reinforcements[[#This Row],[Reinforcement]]="","",IF(Reinforcements[[#This Row],[Type]]="channel",φ_c*Reinforcements[[#This Row],[Pn]],φ_c*Reinforcements[[#This Row],[Pny, FB (kip)]]))</f>
        <v>145.42298802839127</v>
      </c>
      <c r="GF41" s="466">
        <f>Reinforcements[[#This Row],[Rev. G Tension Yield Capacity (kips)]]</f>
        <v>170.82</v>
      </c>
      <c r="GG41" s="466">
        <f>Reinforcements[[#This Row],[Rev. G Tension Rupture Capacity (kips)]]</f>
        <v>145.19224999999997</v>
      </c>
      <c r="GH41" s="466">
        <f>Reinforcements[[#This Row],[Rev. G Shear Capacity (kips)]]</f>
        <v>85.41</v>
      </c>
      <c r="GI41" s="466">
        <f>IFERROR((Reinforcements[[#This Row],['# of End Connection Bolts          (Bottom)]]-1)*Reinforcements[[#This Row],[End Connection Bolt Spacing (in) (B)]],"-")</f>
        <v>12</v>
      </c>
      <c r="GJ41" s="466">
        <f>IFERROR(IF(VLOOKUP(Reinforcements[[#This Row],[Bottom End Connection Bolt Type]],Bolts[],COLUMN(Bolts[[#Headers],[Rev. H Apply Connection Length Reduction Factor (Rb)?]])-1,FALSE)="Yes",(IF(Reinforcements[[#This Row],[Lb(bottom)]]&lt;=16,1,IF(Reinforcements[[#This Row],[Lb(bottom)]]&gt;38,0.75,0.9))),1),"-")</f>
        <v>1</v>
      </c>
      <c r="GK41"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231.99820485408966</v>
      </c>
      <c r="GL41" s="466">
        <f>IFERROR(IF(Reinforcements[[#This Row],[Top End Connection Same?]]="Yes",Reinforcements[[#This Row],[Lb(bottom)]],(Reinforcements[[#This Row],['# of End Connection Bolts          (Top)]]-1)*Reinforcements[[#This Row],[End Connection Bolt Spacing (in) (T)]]),"-")</f>
        <v>12</v>
      </c>
      <c r="GM41" s="466">
        <f>IFERROR(IF(VLOOKUP(Reinforcements[[#This Row],[Top End Connection Bolt Type]],Bolts[],COLUMN(Bolts[[#Headers],[Rev. H Apply Connection Length Reduction Factor (Rb)?]])-1,FALSE)="Yes",(IF(Reinforcements[[#This Row],[Lb(top)]]&lt;=16,1,IF(Reinforcements[[#This Row],[Lb(top)]]&gt;38,0.75,0.9))),1),"-")</f>
        <v>1</v>
      </c>
      <c r="GN41"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231.99820485408966</v>
      </c>
      <c r="GO41" s="466">
        <f>Reinforcements[[#This Row],[Rev. G Bolt-Shaft Bearing Capacity (Bottom)                No Deformation          (*t*Fu kips)]]</f>
        <v>10.008188976377953</v>
      </c>
      <c r="GP41" s="466">
        <f>Reinforcements[[#This Row],[Rev. G Bolt-Shaft Bearing Capacity (Bottom)                   Deformation          (*t*Fu kips)]]</f>
        <v>12.510236220472443</v>
      </c>
      <c r="GQ41" s="466">
        <f>Reinforcements[[#This Row],[Rev. G Bolt-Shaft Bearing Capacity (Top)                    No Deformation          (*t*Fu kips)]]</f>
        <v>10.008188976377953</v>
      </c>
      <c r="GR41" s="466">
        <f>Reinforcements[[#This Row],[Rev. G Bolt-Shaft Bearing Capacity (Top)                        Deformation          (*t*Fu kips)]]</f>
        <v>12.510236220472443</v>
      </c>
      <c r="GS41" s="466">
        <f>Reinforcements[[#This Row],[Rev. G Bolt-Reinf. Bearing Capacity (Bottom)            No Deformation (kips)]]</f>
        <v>225.84188976377951</v>
      </c>
      <c r="GT41" s="466">
        <f>Reinforcements[[#This Row],[Rev. G Bolt-Reinf. Bearing Capacity (Bottom)               Deformation (kips)]]</f>
        <v>282.30236220472437</v>
      </c>
      <c r="GU41" s="466">
        <f>Reinforcements[[#This Row],[Rev. G Bolt-Reinf. Bearing Capacity (Top)                  No Deformation (kips)]]</f>
        <v>225.84188976377951</v>
      </c>
      <c r="GV41" s="466">
        <f>Reinforcements[[#This Row],[Rev. G Bolt-Reinf. Bearing Capacity (Top)               Deformation (kips)]]</f>
        <v>282.30236220472437</v>
      </c>
      <c r="GW41" s="466" t="str">
        <f>Reinforcements[[#This Row],[Rev. G Bottom Transverse Weld Strength]]</f>
        <v>-</v>
      </c>
      <c r="GX41" s="466" t="str">
        <f>Reinforcements[[#This Row],[Rev. G Bottom Longitudinal Weld Strength]]</f>
        <v>-</v>
      </c>
      <c r="GY41" s="466" t="str">
        <f>Reinforcements[[#This Row],[Rev. G Top Transverse Weld Strength]]</f>
        <v>-</v>
      </c>
      <c r="GZ41" s="466" t="str">
        <f>Reinforcements[[#This Row],[Rev. G Top Longitudinal Weld Strength]]</f>
        <v>-</v>
      </c>
      <c r="HA41" s="552">
        <v>39</v>
      </c>
      <c r="HB41" s="558"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2" spans="2:210" x14ac:dyDescent="0.2">
      <c r="B42" s="243" t="s">
        <v>762</v>
      </c>
      <c r="C42" s="72" t="s">
        <v>147</v>
      </c>
      <c r="D42" s="185">
        <v>4.0599999999999996</v>
      </c>
      <c r="E42" s="185">
        <v>1.57</v>
      </c>
      <c r="F42" s="185" t="str">
        <f>IF(Reinforcements[[#This Row],[Type]]="","",IF(Reinforcements[[#This Row],[Type]]="solid round","","n/a"))</f>
        <v>n/a</v>
      </c>
      <c r="G42" s="185">
        <v>0.3</v>
      </c>
      <c r="H42" s="185">
        <v>0.64</v>
      </c>
      <c r="I42" s="197">
        <f>IF(Reinforcements[[#This Row],[Type]]="","",IF(Reinforcements[[#This Row],[Type]]&lt;&gt;"channel","n/a",Reinforcements[[#This Row],[eo]]))</f>
        <v>0.35663316582914573</v>
      </c>
      <c r="J42" s="197">
        <f>IF(Reinforcements[[#This Row],[Type]]="","",IF(Reinforcements[[#This Row],[Type]]&lt;&gt;"channel","n/a",Reinforcements[[#This Row],[J]]))</f>
        <v>5.6339999999999994E-2</v>
      </c>
      <c r="K42" s="197">
        <f>IF(Reinforcements[[#This Row],[Type]]="","",IF(Reinforcements[[#This Row],[Type]]&lt;&gt;"channel","n/a",Reinforcements[[#This Row],[Cw]]))</f>
        <v>0.77835174952160791</v>
      </c>
      <c r="L42" s="185">
        <v>2.92</v>
      </c>
      <c r="M42" s="185">
        <v>0.59</v>
      </c>
      <c r="N42" s="186" t="s">
        <v>297</v>
      </c>
      <c r="O42" s="185" t="s">
        <v>60</v>
      </c>
      <c r="P42" s="187">
        <v>0.66</v>
      </c>
      <c r="Q42" s="187">
        <f>IF(Reinforcements[[#This Row],[Reinforcement]]="","",SQRT(Reinforcements[[#This Row],[Ix]]/Reinforcements[[#This Row],[Gross Area (in2)]]))</f>
        <v>0.47542338737200757</v>
      </c>
      <c r="R42" s="187">
        <v>6.57</v>
      </c>
      <c r="S42" s="187">
        <f>IF(Reinforcements[[#This Row],[Reinforcement]]="","",SQRT(Reinforcements[[#This Row],[Iy]]/Reinforcements[[#This Row],[Gross Area (in2)]]))</f>
        <v>1.5</v>
      </c>
      <c r="T42" s="190">
        <v>18</v>
      </c>
      <c r="U42" s="188">
        <v>0.8</v>
      </c>
      <c r="V42" s="188">
        <v>1</v>
      </c>
      <c r="W42" s="185">
        <v>1.25</v>
      </c>
      <c r="X42" s="188">
        <f>IF(Reinforcements[[#This Row],[Bolt Hole Size (in)]]="","",IF(Reinforcements[[#This Row],[Bolt Hole Size (in)]]="n/a","n/a",Reinforcements[[#This Row],[Bolt Hole Size (in)]]*25.4))</f>
        <v>31.75</v>
      </c>
      <c r="Y42"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2.5262500000000001</v>
      </c>
      <c r="Z42" s="185">
        <f>IFERROR(IF(Reinforcements[[#This Row],[Reinforcement]]="","",IF(OR(Reinforcements[[#This Row],[Type]]="plate",Reinforcements[[#This Row],[Type]]="solid round"),1,IF(Reinforcements[[#This Row],[Type]]="arbitrary","",1-Reinforcements[[#This Row],[Pole Face to Centroid (in)]]/Reinforcements[[#This Row],[Connection Length (in) '[Channels']]]))),"")</f>
        <v>0.95083333333333331</v>
      </c>
      <c r="AA42" s="200" t="s">
        <v>391</v>
      </c>
      <c r="AB42" s="200" t="str">
        <f>IF(Reinforcements[[#This Row],[Reinforcement]]="","",IF(Reinforcements[[#This Row],[Bottom End Connection Type]]&lt;&gt;"Capacity Input","-",""))</f>
        <v>-</v>
      </c>
      <c r="AC42" s="200" t="str">
        <f>IF(Reinforcements[[#This Row],[Reinforcement]]="","",IF(Reinforcements[[#This Row],[Bottom End Connection Type]]&lt;&gt;"Capacity Input","-",""))</f>
        <v>-</v>
      </c>
      <c r="AD42" s="461" t="str">
        <f>IF(Reinforcements[[#This Row],[Reinforcement]]="","",IF(Reinforcements[[#This Row],[Bottom End Connection Type]]&lt;&gt;"Capacity Input","-",""))</f>
        <v>-</v>
      </c>
      <c r="AE42" s="103" t="s">
        <v>416</v>
      </c>
      <c r="AF42" s="190" t="s">
        <v>296</v>
      </c>
      <c r="AG42" s="190">
        <v>5</v>
      </c>
      <c r="AH42" s="190">
        <v>3</v>
      </c>
      <c r="AI42" s="190">
        <v>2</v>
      </c>
      <c r="AJ42" s="190">
        <f>Reinforcements[[#This Row],[End Connection Edge Distance (in) (B)]]-(Reinforcements[[#This Row],[Bolt Hole Size (in)]]+1/16)/2</f>
        <v>1.34375</v>
      </c>
      <c r="AK42" s="190">
        <f>Reinforcements[[#This Row],[End Connection Bolt Spacing (in) (B)]]-(Reinforcements[[#This Row],[Bolt Hole Size (in)]]+1/16)</f>
        <v>1.6875</v>
      </c>
      <c r="AL42" s="190">
        <f>Reinforcements[[#This Row],[End Connection Edge Distance (in) (B)]]</f>
        <v>2</v>
      </c>
      <c r="AM42" s="190">
        <f>Reinforcements[[#This Row],[End Connection Bolt Spacing (in) (B)]]</f>
        <v>3</v>
      </c>
      <c r="AN42" s="190" t="str">
        <f>IF(Reinforcements[[#This Row],[Reinforcement]]="","",IF(OR(Reinforcements[[#This Row],[Bottom End Connection Type]]="Bolted",Reinforcements[[#This Row],[Bottom End Connection Type]]=""),"-",""))</f>
        <v>-</v>
      </c>
      <c r="AO42" s="191" t="str">
        <f>IF(Reinforcements[[#This Row],[Reinforcement]]="","",IF(OR(Reinforcements[[#This Row],[Bottom End Connection Type]]="Bolted",Reinforcements[[#This Row],[Bottom End Connection Type]]=""),"-",""))</f>
        <v>-</v>
      </c>
      <c r="AP42" s="191" t="str">
        <f>IF(Reinforcements[[#This Row],[Reinforcement]]="","",IF(OR(Reinforcements[[#This Row],[Bottom End Connection Type]]="Bolted",Reinforcements[[#This Row],[Bottom End Connection Type]]=""),"-",""))</f>
        <v>-</v>
      </c>
      <c r="AQ42" s="191" t="str">
        <f>IF(OR(Reinforcements[[#This Row],[Bottom End Connection Type]]="Bolted",Reinforcements[[#This Row],[Bottom Transverse (Horizontal) Weld]]="none"),"-","")</f>
        <v>-</v>
      </c>
      <c r="AR4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2" s="191" t="str">
        <f>IF(OR(Reinforcements[[#This Row],[Bottom Transverse (Horizontal) Weld]]="none",Reinforcements[[#This Row],[Bottom End Connection Type]]="Bolted"),"-","")</f>
        <v>-</v>
      </c>
      <c r="AU42"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2" s="191" t="str">
        <f>IF(Reinforcements[[#This Row],[Reinforcement]]="","",IF(OR(Reinforcements[[#This Row],[Bottom End Connection Type]]="Bolted",Reinforcements[[#This Row],[Bottom End Connection Type]]=""),"-",""))</f>
        <v>-</v>
      </c>
      <c r="AW42" s="191" t="str">
        <f>IF(Reinforcements[[#This Row],[Reinforcement]]="","",IF(OR(Reinforcements[[#This Row],[Bottom End Connection Type]]&lt;&gt;"Welded",Reinforcements[[#This Row],[Bottom Longitudinal (Vertical) Weld]]="None",Reinforcements[[#This Row],[Bottom Longitudinal (Vertical) Weld]]=""),"-",""))</f>
        <v>-</v>
      </c>
      <c r="AX42" s="191" t="str">
        <f>IF(Reinforcements[[#This Row],[Reinforcement]]="","",IF(OR(Reinforcements[[#This Row],[Bottom End Connection Type]]&lt;&gt;"Welded",Reinforcements[[#This Row],[Bottom Longitudinal (Vertical) Weld]]="None",Reinforcements[[#This Row],[Bottom Longitudinal (Vertical) Weld]]=""),"-",""))</f>
        <v>-</v>
      </c>
      <c r="AY42" s="190" t="str">
        <f>IF(Reinforcements[[#This Row],[Reinforcement]]="","",IF(OR(Reinforcements[[#This Row],[Bottom End Connection Type]]&lt;&gt;"Welded",Reinforcements[[#This Row],[Bottom Longitudinal (Vertical) Weld]]="None"),"-",SQRT(2)/2*Reinforcements[[#This Row],[Bottom Longitudinal Weld Fillet Size (in)]]))</f>
        <v>-</v>
      </c>
      <c r="AZ42" s="191" t="s">
        <v>295</v>
      </c>
      <c r="BA42" s="189" t="str">
        <f>IF(Reinforcements[[#This Row],[Top End Connection Same?]]="Yes",Reinforcements[[#This Row],[Bottom End Connection Type]],"")</f>
        <v>Bolted</v>
      </c>
      <c r="BB42" s="189" t="str">
        <f>IF(Reinforcements[[#This Row],[Reinforcement]]="","",IF(Reinforcements[[#This Row],[Top End Connection Same?]]="Yes",Reinforcements[[#This Row],[Rev. F Bottom Connection Capacity (kips)]],IF(Reinforcements[[#This Row],[Reinforcement]]="","",IF(Reinforcements[[#This Row],[Top End Connection Type]]&lt;&gt;"Capacity Input","-",""))))</f>
        <v>-</v>
      </c>
      <c r="BC42" s="189" t="str">
        <f>IF(Reinforcements[[#This Row],[Reinforcement]]="","",IF(Reinforcements[[#This Row],[Top End Connection Same?]]="Yes",Reinforcements[[#This Row],[Rev. G Bottom Connection Capacity (kips)]],IF(Reinforcements[[#This Row],[Reinforcement]]="","",IF(Reinforcements[[#This Row],[Top End Connection Type]]&lt;&gt;"Capacity Input","-",""))))</f>
        <v>-</v>
      </c>
      <c r="BD42" s="461" t="str">
        <f>IF(Reinforcements[[#This Row],[Reinforcement]]="","",IF(Reinforcements[[#This Row],[Top End Connection Same?]]="Yes",Reinforcements[[#This Row],[Rev. G Bottom Connection Capacity (kips)]],IF(Reinforcements[[#This Row],[Reinforcement]]="","",IF(Reinforcements[[#This Row],[Top End Connection Type]]&lt;&gt;"Capacity Input","-",""))))</f>
        <v>-</v>
      </c>
      <c r="BE42" s="103" t="str">
        <f>IF(Reinforcements[[#This Row],[Top End Connection Same?]]="Yes",Reinforcements[[#This Row],[Bottom End Connection Bolt Type]],IF(Reinforcements[[#This Row],[Top End Connection Type]]="Welded","-",""))</f>
        <v>PC 8.8 - M20 (100)</v>
      </c>
      <c r="BF42" s="190" t="str">
        <f>IF(Reinforcements[[#This Row],[Top End Connection Same?]]="Yes",Reinforcements[[#This Row],[Threads Included (N) or Excluded (X) (Bottom)]],IF(Reinforcements[[#This Row],[Top End Connection Type]]="Welded","-",""))</f>
        <v>N</v>
      </c>
      <c r="BG42" s="190">
        <f>IF(Reinforcements[[#This Row],[Top End Connection Same?]]="Yes",Reinforcements[[#This Row],['# of End Connection Bolts          (Bottom)]],IF(Reinforcements[[#This Row],[Top End Connection Type]]="Welded","-",""))</f>
        <v>5</v>
      </c>
      <c r="BH42" s="190">
        <f>IF(Reinforcements[[#This Row],[Top End Connection Same?]]="Yes",Reinforcements[[#This Row],[End Connection Bolt Spacing (in) (B)]],IF(Reinforcements[[#This Row],[Top End Connection Type]]="Welded","-",""))</f>
        <v>3</v>
      </c>
      <c r="BI42" s="190">
        <f>IF(Reinforcements[[#This Row],[Top End Connection Same?]]="Yes",Reinforcements[[#This Row],[End Connection Edge Distance (in) (B)]],IF(Reinforcements[[#This Row],[Top End Connection Type]]="Welded","-",""))</f>
        <v>2</v>
      </c>
      <c r="BJ42" s="190">
        <f>Reinforcements[[#This Row],[End Connection Edge Distance (in) (T)]]-(Reinforcements[[#This Row],[Bolt Hole Size (in)]]+1/16)/2</f>
        <v>1.34375</v>
      </c>
      <c r="BK42" s="190">
        <f>Reinforcements[[#This Row],[End Connection Bolt Spacing (in) (T)]]-(Reinforcements[[#This Row],[Bolt Hole Size (in)]]+1/16)</f>
        <v>1.6875</v>
      </c>
      <c r="BL42" s="237">
        <f>Reinforcements[[#This Row],[End Connection Edge Distance (in) (T)]]</f>
        <v>2</v>
      </c>
      <c r="BM42" s="237">
        <f>Reinforcements[[#This Row],[End Connection Bolt Spacing (in) (T)]]</f>
        <v>3</v>
      </c>
      <c r="BN42" s="237" t="str">
        <f>IF(Reinforcements[[#This Row],[Reinforcement]]="","",IF(Reinforcements[[#This Row],[Top End Connection Same?]]="Yes",Reinforcements[[#This Row],[Bottom Connected to Flange/Base Plate?]],IF(Reinforcements[[#This Row],[Top End Connection Type]]="Bolted","-","")))</f>
        <v>-</v>
      </c>
      <c r="BO42" s="237" t="str">
        <f>IF(Reinforcements[[#This Row],[Reinforcement]]="","",IF(Reinforcements[[#This Row],[Top End Connection Same?]]="Yes",Reinforcements[[#This Row],[Bottom Weld Grade (ksi)]],IF(OR(Reinforcements[[#This Row],[Top End Connection Type]]&lt;&gt;"Welded",Reinforcements[[#This Row],[Top End Connection Type]]=""),"-","")))</f>
        <v>-</v>
      </c>
      <c r="BP42" s="237" t="str">
        <f>IF($AZ42="Yes",AP42,IF(Reinforcements[[#This Row],[Reinforcement]]="","",IF(OR(Reinforcements[[#This Row],[Top End Connection Type]]&lt;&gt;"Welded",Reinforcements[[#This Row],[Top End Connection Type]]=""),"-","")))</f>
        <v>-</v>
      </c>
      <c r="BQ42" s="237" t="str">
        <f>IF(Reinforcements[[#This Row],[Reinforcement]]="","",IF($AZ42="Yes",AQ42,IF(OR(Reinforcements[[#This Row],[Top End Connection Type]]&lt;&gt;"Welded",Reinforcements[[#This Row],[Top Transverse (Horizontal) Weld]]="none",Reinforcements[[#This Row],[Top Transverse (Horizontal) Weld]]=""),"-","")))</f>
        <v>-</v>
      </c>
      <c r="BR42" s="237" t="str">
        <f>IF($AZ42="Yes",AR42,IF(Reinforcements[[#This Row],[Reinforcement]]="","",IF(OR(Reinforcements[[#This Row],[Top Transverse (Horizontal) Weld]]="none",Reinforcements[[#This Row],[Top End Connection Type]]&lt;&gt;"Welded",Reinforcements[[#This Row],[Top Transverse (Horizontal) Weld]]="",Reinforcements[[#This Row],[Top Transverse (Horizontal) Weld]]="Fillet"),"-","")))</f>
        <v>-</v>
      </c>
      <c r="BS42" s="237" t="str">
        <f>IF($AZ42="Yes",AS42,IF(Reinforcements[[#This Row],[Reinforcement]]="","",IF(OR(Reinforcements[[#This Row],[Top Transverse (Horizontal) Weld]]="none",Reinforcements[[#This Row],[Top End Connection Type]]&lt;&gt;"Welded",Reinforcements[[#This Row],[Top Transverse (Horizontal) Weld]]="",Reinforcements[[#This Row],[Top Transverse (Horizontal) Weld]]="Fillet"),"-","")))</f>
        <v>-</v>
      </c>
      <c r="BT42" s="237" t="str">
        <f>IF(Reinforcements[[#This Row],[Reinforcement]]="","",IF($AZ42="Yes",AT42,IF(OR(Reinforcements[[#This Row],[Top Transverse (Horizontal) Weld]]="none",Reinforcements[[#This Row],[Top End Connection Type]]&lt;&gt;"Welded",Reinforcements[[#This Row],[Top Transverse (Horizontal) Weld]]=""),"-","")))</f>
        <v>-</v>
      </c>
      <c r="BU42" s="237" t="str">
        <f>IF($AZ42="Yes",AU42,IF(Reinforcements[[#This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2" s="237" t="str">
        <f>IF($AZ42="Yes",AV42,IF(Reinforcements[[#This Row],[Reinforcement]]="","",IF(OR(Reinforcements[[#This Row],[Top End Connection Type]]&lt;&gt;"Welded",Reinforcements[[#This Row],[Top End Connection Type]]=""),"-","")))</f>
        <v>-</v>
      </c>
      <c r="BW42" s="237" t="str">
        <f>IF($AZ42="Yes",AW42,IF(Reinforcements[[#This Row],[Reinforcement]]="","",IF(OR(Reinforcements[[#This Row],[Top End Connection Type]]&lt;&gt;"Welded",Reinforcements[[#This Row],[Top End Connection Type]]="",Reinforcements[[#This Row],[Top Longitudinal (Vertical) Weld]]="",Reinforcements[[#This Row],[Top Longitudinal (Vertical) Weld]]="None"),"-","")))</f>
        <v>-</v>
      </c>
      <c r="BX42" s="237" t="str">
        <f>IF($AZ42="Yes",AX42,IF(Reinforcements[[#This Row],[Reinforcement]]="","",IF(OR(Reinforcements[[#This Row],[Top End Connection Type]]&lt;&gt;"Welded",Reinforcements[[#This Row],[Top End Connection Type]]="",Reinforcements[[#This Row],[Top Longitudinal (Vertical) Weld]]="",Reinforcements[[#This Row],[Top Longitudinal (Vertical) Weld]]="None"),"-","")))</f>
        <v>-</v>
      </c>
      <c r="BY42" s="237" t="str">
        <f>IF($AZ42="Yes",AY42,IF(Reinforcements[[#This Row],[Reinforcement]]="","",IF(OR(Reinforcements[[#This Row],[Top End Connection Type]]&lt;&gt;"Welded",Reinforcements[[#This Row],[Top Longitudinal (Vertical) Weld]]="none"),"-",SQRT(2)/2*Reinforcements[[#This Row],[Top Longitudinal Weld Fillet Size (in)]])))</f>
        <v>-</v>
      </c>
      <c r="BZ42"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12</v>
      </c>
      <c r="CA42" s="238">
        <f>IF(Reinforcements[[#This Row],[Reinforcement]]="","",IF(Reinforcements[[#This Row],[Bottom End Connection Type]]&lt;&gt;"Bolted","n/a",(Reinforcements[[#This Row],['# of End Connection Bolts          (Bottom)]]-1)*Reinforcements[[#This Row],[End Connection Bolt Spacing (in) (B)]]+Reinforcements[[#This Row],[End Connection Edge Distance (in) (B)]]))</f>
        <v>14</v>
      </c>
      <c r="CB42" s="238">
        <f>IF(Reinforcements[[#This Row],[Reinforcement]]="","",IF(Reinforcements[[#This Row],[Top End Connection Type]]&lt;&gt;"Bolted","n/a",(Reinforcements[[#This Row],['# of End Connection Bolts          (Top)]]-1)*Reinforcements[[#This Row],[End Connection Bolt Spacing (in) (T)]]+Reinforcements[[#This Row],[End Connection Edge Distance (in) (T)]]))</f>
        <v>14</v>
      </c>
      <c r="CC42"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2.4745762711864407</v>
      </c>
      <c r="CD42"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1.18</v>
      </c>
      <c r="CE42" s="236">
        <f>IFERROR(IF(Reinforcements[[#This Row],[Type]]="","",Reinforcements[[#This Row],[Effective B (in)]]*Reinforcements[[#This Row],[Effective H (in)]]^3/12),"")</f>
        <v>0.3388173333333333</v>
      </c>
      <c r="CF42" s="236">
        <f>IFERROR(IF(Reinforcements[[#This Row],[Type]]="","",Reinforcements[[#This Row],[Effective B (in)]]^3*Reinforcements[[#This Row],[Effective H (in)]]/12),"")</f>
        <v>1.4900584123336207</v>
      </c>
      <c r="CG42" s="235">
        <f>SQRT(2*PI()^2*29000/VLOOKUP(Reinforcements[[#This Row],[Material]],Materials[],2,FALSE))</f>
        <v>93.844147005158973</v>
      </c>
      <c r="CH42"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34.54696208660004</v>
      </c>
      <c r="CI42"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37.605109085747337</v>
      </c>
      <c r="CJ42" s="239">
        <f>Reinforcements[[#This Row],[Effective Length Factor Kx]]*Reinforcements[[#This Row],[Lu (in)]]/(Reinforcements[[#This Row],[rx]]*PI())*SQRT(VLOOKUP(Reinforcements[[#This Row],[Material]],Materials[],2,FALSE)/29000)</f>
        <v>0.45644636908616876</v>
      </c>
      <c r="CK42" s="239">
        <f>Reinforcements[[#This Row],[Effective Length Factor Ky]]*Reinforcements[[#This Row],[Lu (in)]]/(Reinforcements[[#This Row],[ry]]*PI())*SQRT(VLOOKUP(Reinforcements[[#This Row],[Material]],Materials[],2,FALSE)/29000)</f>
        <v>0.18083773245383328</v>
      </c>
      <c r="CL42" s="239">
        <f>IF(Reinforcements[[#This Row],[λcx]]&lt;=1.5,0.658^(Reinforcements[[#This Row],[λcx]]^2)*Reinforcements[[#This Row],[F''y]],0.877/(Reinforcements[[#This Row],[λcx]]^2)*Reinforcements[[#This Row],[F''y]])</f>
        <v>59.57196719428164</v>
      </c>
      <c r="CM42" s="239">
        <f>IF(Reinforcements[[#This Row],[λcy]]&lt;=1.5,0.658^(Reinforcements[[#This Row],[λcy]]^2)*Reinforcements[[#This Row],[F''y]],0.877/(Reinforcements[[#This Row],[λcy]]^2)*Reinforcements[[#This Row],[F''y]])</f>
        <v>64.116370218110077</v>
      </c>
      <c r="CN42" s="236">
        <f>VLOOKUP(Reinforcements[[#This Row],[Material]],Materials[],2,FALSE)</f>
        <v>65</v>
      </c>
      <c r="CO42" s="235">
        <f>IF(Reinforcements[[#This Row],[Reinforcement]]="","",Reinforcements[[#This Row],[Fax]]*Reinforcements[[#This Row],[Gross Area (in2)]])</f>
        <v>100.87712929287211</v>
      </c>
      <c r="CP42" s="235">
        <f>IF(Reinforcements[[#This Row],[Reinforcement]]="","",Reinforcements[[#This Row],[Fay]]*Reinforcements[[#This Row],[Gross Area (in2)]])</f>
        <v>109.80691853038222</v>
      </c>
      <c r="CQ42" s="235">
        <f>IF(Reinforcements[[#This Row],[Reinforcement]]="","",0.6*VLOOKUP(Reinforcements[[#This Row],[Material]],Materials[],2,FALSE)*Reinforcements[[#This Row],[Gross Area (in2)]])</f>
        <v>113.88</v>
      </c>
      <c r="CR42" s="235">
        <f>IF(Reinforcements[[#This Row],[Reinforcement]]="","",0.5*VLOOKUP(Reinforcements[[#This Row],[Material]],Materials[],3,FALSE)*Reinforcements[[#This Row],[Net Area (in2)]]*Reinforcements[[#This Row],[Shear Lag (U)]])</f>
        <v>96.081708333333339</v>
      </c>
      <c r="CS42" s="235">
        <f>IF(Reinforcements[[#This Row],[Reinforcement]]="","",0.4*VLOOKUP(Reinforcements[[#This Row],[Material]],Materials[],2,FALSE)*Reinforcements[[#This Row],[Gross Area (in2)]])</f>
        <v>75.92</v>
      </c>
      <c r="CT42"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116.42815839414982</v>
      </c>
      <c r="CU42"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116.42815839414982</v>
      </c>
      <c r="CV42"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6.8503937007874018</v>
      </c>
      <c r="CW42"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7.71259842519685</v>
      </c>
      <c r="CX42"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6.8503937007874018</v>
      </c>
      <c r="CY42"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7.71259842519685</v>
      </c>
      <c r="CZ42"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164.40944881889763</v>
      </c>
      <c r="DA42"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185.10236220472441</v>
      </c>
      <c r="DB42"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164.40944881889763</v>
      </c>
      <c r="DC42"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185.10236220472441</v>
      </c>
      <c r="DD42"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2"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2" s="237" t="str">
        <f>IF($AZ42="Yes",DD42,IF(Reinforcements[[#This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2" s="237" t="str">
        <f>IF($AZ42="Yes",DE42,IF(Reinforcements[[#This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2" s="235">
        <f>IF(Reinforcements[[#This Row],[Reinforcement]]="","",φ_c*Reinforcements[[#This Row],[Fcr,x]]*Reinforcements[[#This Row],[Gross Area (in2)]])</f>
        <v>156.55512978657217</v>
      </c>
      <c r="DI42" s="235">
        <f>IF(Reinforcements[[#This Row],[Reinforcement]]="","",φ_c*Reinforcements[[#This Row],[Fcr,y]]*Reinforcements[[#This Row],[Gross Area (in2)]])</f>
        <v>168.49782093319328</v>
      </c>
      <c r="DJ42" s="235">
        <f>IF(Reinforcements[[#This Row],[Reinforcement]]="","",φ_t_y*VLOOKUP(Reinforcements[[#This Row],[Material]],Materials[],2,FALSE)*Reinforcements[[#This Row],[Gross Area (in2)]])</f>
        <v>170.82</v>
      </c>
      <c r="DK42" s="235">
        <f>IF(Reinforcements[[#This Row],[Reinforcement]]="","",φ_t_r*VLOOKUP(Reinforcements[[#This Row],[Material]],Materials[],3,FALSE)*Reinforcements[[#This Row],[Net Area (in2)]]*Reinforcements[[#This Row],[Shear Lag (U)]])</f>
        <v>144.12256250000002</v>
      </c>
      <c r="DL42" s="235">
        <f>IF(Reinforcements[[#This Row],[Reinforcement]]="","",φ_v*0.5*Reinforcements[[#This Row],[F''y]]*Reinforcements[[#This Row],[Gross Area (in2)]])</f>
        <v>85.41</v>
      </c>
      <c r="DM42"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206.34968553000832</v>
      </c>
      <c r="DN42"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206.34968553000832</v>
      </c>
      <c r="DO42"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9.768188976377953</v>
      </c>
      <c r="DP42"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12.210236220472442</v>
      </c>
      <c r="DQ42"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9.768188976377953</v>
      </c>
      <c r="DR42"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12.210236220472442</v>
      </c>
      <c r="DS42"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219.36188976377954</v>
      </c>
      <c r="DT42"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274.20236220472441</v>
      </c>
      <c r="DU42"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219.36188976377954</v>
      </c>
      <c r="DV42"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274.20236220472441</v>
      </c>
      <c r="DW42"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2"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2" s="237" t="str">
        <f>IF($AZ42="Yes",DW42,IF(Reinforcements[[#This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2" s="237" t="str">
        <f>IF($AZ42="Yes",DX42,IF(Reinforcements[[#This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2" s="238">
        <f>IF(OR(Reinforcements[[#This Row],[Type]]="plate",Reinforcements[[#This Row],[Type]]="solid round"),"N/A",Reinforcements[[#This Row],[B (in)]])</f>
        <v>4.0599999999999996</v>
      </c>
      <c r="EB42" s="236">
        <f>IF(OR(Reinforcements[[#This Row],[Type]]="plate",Reinforcements[[#This Row],[Type]]="solid round"),"N/A",Reinforcements[[#This Row],[H (in)]])</f>
        <v>1.57</v>
      </c>
      <c r="EC42" s="236">
        <f>IF(OR(Reinforcements[[#This Row],[Type]]="plate",Reinforcements[[#This Row],[Type]]="solid round"),"N/A",Reinforcements[[#This Row],[B (in)]]-Reinforcements[[#This Row],['[Channel'] Flange Thickness (in)]])</f>
        <v>3.4199999999999995</v>
      </c>
      <c r="ED42" s="236">
        <f>IF(OR(Reinforcements[[#This Row],[Type]]="plate",Reinforcements[[#This Row],[Type]]="solid round"),"N/A",Reinforcements[[#This Row],['[Channel']Web Thickness (in)]])</f>
        <v>0.3</v>
      </c>
      <c r="EE42" s="236">
        <f>IF(OR(Reinforcements[[#This Row],[Type]]="plate",Reinforcements[[#This Row],[Type]]="solid round"),"N/A",Reinforcements[[#This Row],['[Channel'] Flange Thickness (in)]])</f>
        <v>0.64</v>
      </c>
      <c r="EF42" s="236">
        <f>IF(Reinforcements[[#This Row],[Type]]="channel",Reinforcements[[#This Row],[Channel Flange Width, b]]/Reinforcements[[#This Row],[Channel flange thickness, tf]],"N/A")</f>
        <v>2.453125</v>
      </c>
      <c r="EG42" s="236">
        <f>IF(Reinforcements[[#This Row],[Type]]="channel",Reinforcements[[#This Row],[Channel inside depth, T]]/Reinforcements[[#This Row],[Channel web thickness, tw]],"N/A")</f>
        <v>11.399999999999999</v>
      </c>
      <c r="EH42" s="237">
        <v>29000</v>
      </c>
      <c r="EI42" s="236">
        <f>IF(Reinforcements[[#This Row],[Type]]="channel",0.56*SQRT(Reinforcements[[#This Row],[E, (ksi)]]/Reinforcements[[#This Row],[Fy, (ksi)]]),"N/A")</f>
        <v>11.828518341442694</v>
      </c>
      <c r="EJ42" s="236">
        <f>IF(Reinforcements[[#This Row],[Type]]="channel",1.49*SQRT(Reinforcements[[#This Row],[E, (ksi)]]/Reinforcements[[#This Row],[Fy, (ksi)]]),"N/A")</f>
        <v>31.472307729910018</v>
      </c>
      <c r="EK42" s="236">
        <f>VLOOKUP(Reinforcements[[#This Row],[Material]],Materials!$B$2:$C$30,2,FALSE)</f>
        <v>65</v>
      </c>
      <c r="EL42" s="236">
        <f>Reinforcements[[#This Row],[Lu (in)]]*Reinforcements[[#This Row],[Effective Length Factor Kx]]</f>
        <v>14.4</v>
      </c>
      <c r="EM42" s="236">
        <f>Reinforcements[[#This Row],[Lu (in)]]*Reinforcements[[#This Row],[Effective Length Factor Ky]]</f>
        <v>18</v>
      </c>
      <c r="EN42" s="236">
        <f>Reinforcements[[#This Row],[rx]]</f>
        <v>0.47542338737200757</v>
      </c>
      <c r="EO42" s="236">
        <f>Reinforcements[[#This Row],[ry]]</f>
        <v>1.5</v>
      </c>
      <c r="EP42" s="236">
        <f>Reinforcements[[#This Row],[Lcx (in)]]/Reinforcements[[#This Row],[rx (in)]]</f>
        <v>30.288791806391174</v>
      </c>
      <c r="EQ42" s="236">
        <f>Reinforcements[[#This Row],[Lcy (in)]]/Reinforcements[[#This Row],[ry (in)]]</f>
        <v>12</v>
      </c>
      <c r="ER42" s="236">
        <f>((PI()^2)*Reinforcements[[#This Row],[E, (ksi)]])/(Reinforcements[[#This Row],[Lcx/rx]]^2)</f>
        <v>311.98509282521411</v>
      </c>
      <c r="ES42" s="236">
        <f>((PI()^2)*Reinforcements[[#This Row],[E, (ksi)]])/(Reinforcements[[#This Row],[Lcy/ry]]^2)</f>
        <v>1987.6286641082734</v>
      </c>
      <c r="ET42" s="236">
        <f>4.71*(SQRT(Reinforcements[[#This Row],[E, (ksi)]]/Reinforcements[[#This Row],[Fy, (ksi)]]))</f>
        <v>99.486288193205496</v>
      </c>
      <c r="EU42" s="236">
        <f>IF(Reinforcements[[#This Row],[Lcx/rx]]&lt;=Reinforcements[[#This Row],[Fcr Limit]],(0.658^(Reinforcements[[#This Row],[Fy, (ksi)]]/Reinforcements[[#This Row],[Fex, FB (ksi)]]))*Reinforcements[[#This Row],[Fy, (ksi)]],0.877*Reinforcements[[#This Row],[Fex, FB (ksi)]])</f>
        <v>59.571967194281633</v>
      </c>
      <c r="EV42" s="236">
        <f>IF(Reinforcements[[#This Row],[Lcy/ry]]&lt;=Reinforcements[[#This Row],[Fcr Limit]],(0.658^(Reinforcements[[#This Row],[Fy, (ksi)]]/Reinforcements[[#This Row],[Fey, FB (ksi)]]))*Reinforcements[[#This Row],[Fy, (ksi)]],0.877*Reinforcements[[#This Row],[Fey, FB (ksi)]])</f>
        <v>64.116370218110077</v>
      </c>
      <c r="EW42" s="236">
        <f>Reinforcements[[#This Row],[Fcrx (ksi)]]*Reinforcements[[#This Row],[Gross Area (in2)]]</f>
        <v>173.95014420730237</v>
      </c>
      <c r="EX42" s="236">
        <f>Reinforcements[[#This Row],[Fcry (ksi)]]*Reinforcements[[#This Row],[Gross Area (in2)]]</f>
        <v>187.21980103688142</v>
      </c>
      <c r="EY42" s="236">
        <f>IF(Reinforcements[[#This Row],[Type]]="channel",0,"N/A")</f>
        <v>0</v>
      </c>
      <c r="EZ42" s="236">
        <f>IF(Reinforcements[[#This Row],[Type]]="channel",Reinforcements[[#This Row],[Channel Flange Width, b]]-(0.5*Reinforcements[[#This Row],[Channel web thickness, tw]]),"N/A")</f>
        <v>1.4200000000000002</v>
      </c>
      <c r="FA42" s="236">
        <f>IF(Reinforcements[[#This Row],[Type]]="channel",Reinforcements[[#This Row],[Channel Height, h]]-Reinforcements[[#This Row],[Channel flange thickness, tf]],"N/A")</f>
        <v>3.4199999999999995</v>
      </c>
      <c r="FB42" s="236">
        <f>IF(Reinforcements[[#This Row],[Type]]="channel",Reinforcements[[#This Row],[Channel web thickness, tw]],"N/A")</f>
        <v>0.3</v>
      </c>
      <c r="FC42" s="236">
        <f>IF(Reinforcements[[#This Row],[Type]]="channel",((3*Reinforcements[[#This Row],[b]]^2)/(Reinforcements[[#This Row],[h]]+(6*Reinforcements[[#This Row],[b]])))-Reinforcements[[#This Row],[t]]/2,"N/A")</f>
        <v>0.35663316582914573</v>
      </c>
      <c r="FD42" s="236">
        <f>Reinforcements[[#This Row],[Pole Face to Centroid (in)]]</f>
        <v>0.59</v>
      </c>
      <c r="FE42" s="236">
        <f>IF(Reinforcements[[#This Row],[Type]]="channel",Reinforcements[[#This Row],[x(bar)]]+Reinforcements[[#This Row],['[Channel'] e0 (in)]],"N/A")</f>
        <v>0.9466331658291457</v>
      </c>
      <c r="FF42" s="236">
        <f>IF(Reinforcements[[#This Row],[Type]]="channel",Reinforcements[[#This Row],[Ix]],"N/A")</f>
        <v>0.66</v>
      </c>
      <c r="FG42" s="236">
        <f>IF(Reinforcements[[#This Row],[Type]]="channel",Reinforcements[[#This Row],[Iy]],"N/A")</f>
        <v>6.57</v>
      </c>
      <c r="FH42" s="236">
        <f>IF(Reinforcements[[#This Row],[Type]]="channel",Reinforcements[[#This Row],[Gross Area (in2)]],"N/A")</f>
        <v>2.92</v>
      </c>
      <c r="FI42" s="236">
        <f>IF(Reinforcements[[#This Row],[Type]]="channel",(Reinforcements[[#This Row],[xo]]^2)+((Reinforcements[[#This Row],[Ix (FTB)]]+Reinforcements[[#This Row],[Iy (FTB)]])/Reinforcements[[#This Row],[Ag]]),"N/A")</f>
        <v>3.3721417479079849</v>
      </c>
      <c r="FJ42" s="236">
        <f>IF(Reinforcements[[#This Row],[Type]]="channel",Reinforcements[[#This Row],[Lu (in)]],"N/A")</f>
        <v>18</v>
      </c>
      <c r="FK42" s="236">
        <f>IF(Reinforcements[[#This Row],[Type]]="channel",Reinforcements[[#This Row],[Effective Length Factor Kx]],"N/A")</f>
        <v>0.8</v>
      </c>
      <c r="FL42" s="236">
        <f>IF(Reinforcements[[#This Row],[Type]]="channel",Reinforcements[[#This Row],[Kz]]*Reinforcements[[#This Row],[Lz]],"N/A")</f>
        <v>14.4</v>
      </c>
      <c r="FM42" s="236">
        <f>IF(Reinforcements[[#This Row],[Type]]="channel",(((Reinforcements[[#This Row],[t]]^3)/3)*(Reinforcements[[#This Row],[h]]+(2*Reinforcements[[#This Row],[b]]))),"N/A")</f>
        <v>5.6339999999999994E-2</v>
      </c>
      <c r="FN42" s="236">
        <f>IF(Reinforcements[[#This Row],[Type]]="channel",(1-(((Reinforcements[[#This Row],[xo]]^2)+(Reinforcements[[#This Row],[yo]]^2))/Reinforcements[[#This Row],[ro^2(bar)]])),"N/A")</f>
        <v>0.73425958407482605</v>
      </c>
      <c r="FO42" s="237">
        <v>11200</v>
      </c>
      <c r="FP42" s="236">
        <f>IF(Reinforcements[[#This Row],[Type]]="channel",(((Reinforcements[[#This Row],[h]]^2)*(Reinforcements[[#This Row],[b]]^3)*Reinforcements[[#This Row],[t]])/12)*(((2*Reinforcements[[#This Row],[h]])+(3*Reinforcements[[#This Row],[b]]))/(Reinforcements[[#This Row],[h]]+(6*Reinforcements[[#This Row],[b]]))),"N/A")</f>
        <v>0.77835174952160791</v>
      </c>
      <c r="FQ42" s="236">
        <f>IF(Reinforcements[[#This Row],[Type]]="Channel",((((PI()^2)*Reinforcements[[#This Row],[E, (ksi)]]*Reinforcements[[#This Row],['[Channel'] CW (in6)]])/(Reinforcements[[#This Row],[Lcz]]^2))+(Reinforcements[[#This Row],[G]]*Reinforcements[[#This Row],['[Channel'] J (in4)]]))*(1/(Reinforcements[[#This Row],[Ag]]*Reinforcements[[#This Row],[ro^2(bar)]])),"N/A")</f>
        <v>173.19234872952123</v>
      </c>
      <c r="FR42" s="236">
        <f>IF(Reinforcements[[#This Row],[Type]]="channel",((PI()^2)*Reinforcements[[#This Row],[E, (ksi)]])/(Reinforcements[[#This Row],[Lcy/ry]]^2),"N/A")</f>
        <v>1987.6286641082734</v>
      </c>
      <c r="FS42" s="236">
        <f>IF(Reinforcements[[#This Row],[Type]]="channel",((Reinforcements[[#This Row],[Fey]]+Reinforcements[[#This Row],[Fez]])/(2*Reinforcements[[#This Row],[H2]]))*(1-SQRT(1-((4*Reinforcements[[#This Row],[Fey]]*Reinforcements[[#This Row],[Fez]]*Reinforcements[[#This Row],[H2]])/(Reinforcements[[#This Row],[Fey]]+Reinforcements[[#This Row],[Fez]])^2))),"N/A")</f>
        <v>169.01804509281453</v>
      </c>
      <c r="FT42" s="236">
        <f>IF(Reinforcements[[#This Row],[Type]]="channel",IF(Reinforcements[[#This Row],[Lcx/rx]]&gt;(4.71*SQRT(Reinforcements[[#This Row],[E, (ksi)]]/Reinforcements[[#This Row],[Fy, (ksi)]])),0.877*Reinforcements[[#This Row],[Fe (FTB)]],0.658^(Reinforcements[[#This Row],[Fy, (ksi)]]/Reinforcements[[#This Row],[Fe (FTB)]])*Reinforcements[[#This Row],[Fy, (ksi)]]),"N/A")</f>
        <v>55.3359924004533</v>
      </c>
      <c r="FU42" s="236">
        <f>IF(Reinforcements[[#This Row],[Type]]="channel",MIN(Reinforcements[[#This Row],[Fcr(FTB)]],Reinforcements[[#This Row],[Fcry (ksi)]]),"N/A")</f>
        <v>55.3359924004533</v>
      </c>
      <c r="FV42" s="237">
        <v>0.22</v>
      </c>
      <c r="FW42" s="237">
        <v>1.49</v>
      </c>
      <c r="FX42" s="236">
        <f>IF(Reinforcements[[#This Row],[Type]]="channel",((Reinforcements[[#This Row],[c2]]*(Reinforcements[[#This Row],[λrf]]/Reinforcements[[#This Row],[λf]]))^2)*Reinforcements[[#This Row],[Fy, (ksi)]],"N/A")</f>
        <v>3355.1136189800823</v>
      </c>
      <c r="FY42" s="236">
        <f>IF(Reinforcements[[#This Row],[Type]]="channel",((Reinforcements[[#This Row],[c2]]*(Reinforcements[[#This Row],[λrw]]/Reinforcements[[#This Row],[λw]]))^2)*Reinforcements[[#This Row],[Fy, (ksi)]],"N/A")</f>
        <v>1099.8497713911975</v>
      </c>
      <c r="FZ42"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1.4200000000000002</v>
      </c>
      <c r="GA42"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3.4199999999999995</v>
      </c>
      <c r="GB42"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2.92</v>
      </c>
      <c r="GC42" s="236">
        <f>IF(Reinforcements[[#This Row],[Type]]="channel",Reinforcements[[#This Row],[Fcr]]*Reinforcements[[#This Row],[Ae]],"N/A")</f>
        <v>161.58109780932364</v>
      </c>
      <c r="GD42" s="466">
        <f>IF(Reinforcements[[#This Row],[Reinforcement]]="","",φ_c*Reinforcements[[#This Row],[Pnx, FB (kip)]])</f>
        <v>156.55512978657214</v>
      </c>
      <c r="GE42" s="466">
        <f>IF(Reinforcements[[#This Row],[Reinforcement]]="","",IF(Reinforcements[[#This Row],[Type]]="channel",φ_c*Reinforcements[[#This Row],[Pn]],φ_c*Reinforcements[[#This Row],[Pny, FB (kip)]]))</f>
        <v>145.42298802839127</v>
      </c>
      <c r="GF42" s="466">
        <f>Reinforcements[[#This Row],[Rev. G Tension Yield Capacity (kips)]]</f>
        <v>170.82</v>
      </c>
      <c r="GG42" s="466">
        <f>Reinforcements[[#This Row],[Rev. G Tension Rupture Capacity (kips)]]</f>
        <v>144.12256250000002</v>
      </c>
      <c r="GH42" s="466">
        <f>Reinforcements[[#This Row],[Rev. G Shear Capacity (kips)]]</f>
        <v>85.41</v>
      </c>
      <c r="GI42" s="466">
        <f>IFERROR((Reinforcements[[#This Row],['# of End Connection Bolts          (Bottom)]]-1)*Reinforcements[[#This Row],[End Connection Bolt Spacing (in) (B)]],"-")</f>
        <v>12</v>
      </c>
      <c r="GJ42" s="466">
        <f>IFERROR(IF(VLOOKUP(Reinforcements[[#This Row],[Bottom End Connection Bolt Type]],Bolts[],COLUMN(Bolts[[#Headers],[Rev. H Apply Connection Length Reduction Factor (Rb)?]])-1,FALSE)="Yes",(IF(Reinforcements[[#This Row],[Lb(bottom)]]&lt;=16,1,IF(Reinforcements[[#This Row],[Lb(bottom)]]&gt;38,0.75,0.9))),1),"-")</f>
        <v>1</v>
      </c>
      <c r="GK42"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231.99820485408966</v>
      </c>
      <c r="GL42" s="466">
        <f>IFERROR(IF(Reinforcements[[#This Row],[Top End Connection Same?]]="Yes",Reinforcements[[#This Row],[Lb(bottom)]],(Reinforcements[[#This Row],['# of End Connection Bolts          (Top)]]-1)*Reinforcements[[#This Row],[End Connection Bolt Spacing (in) (T)]]),"-")</f>
        <v>12</v>
      </c>
      <c r="GM42" s="466">
        <f>IFERROR(IF(VLOOKUP(Reinforcements[[#This Row],[Top End Connection Bolt Type]],Bolts[],COLUMN(Bolts[[#Headers],[Rev. H Apply Connection Length Reduction Factor (Rb)?]])-1,FALSE)="Yes",(IF(Reinforcements[[#This Row],[Lb(top)]]&lt;=16,1,IF(Reinforcements[[#This Row],[Lb(top)]]&gt;38,0.75,0.9))),1),"-")</f>
        <v>1</v>
      </c>
      <c r="GN42"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231.99820485408966</v>
      </c>
      <c r="GO42" s="466">
        <f>Reinforcements[[#This Row],[Rev. G Bolt-Shaft Bearing Capacity (Bottom)                No Deformation          (*t*Fu kips)]]</f>
        <v>9.768188976377953</v>
      </c>
      <c r="GP42" s="466">
        <f>Reinforcements[[#This Row],[Rev. G Bolt-Shaft Bearing Capacity (Bottom)                   Deformation          (*t*Fu kips)]]</f>
        <v>12.210236220472442</v>
      </c>
      <c r="GQ42" s="466">
        <f>Reinforcements[[#This Row],[Rev. G Bolt-Shaft Bearing Capacity (Top)                    No Deformation          (*t*Fu kips)]]</f>
        <v>9.768188976377953</v>
      </c>
      <c r="GR42" s="466">
        <f>Reinforcements[[#This Row],[Rev. G Bolt-Shaft Bearing Capacity (Top)                        Deformation          (*t*Fu kips)]]</f>
        <v>12.210236220472442</v>
      </c>
      <c r="GS42" s="466">
        <f>Reinforcements[[#This Row],[Rev. G Bolt-Reinf. Bearing Capacity (Bottom)            No Deformation (kips)]]</f>
        <v>219.36188976377954</v>
      </c>
      <c r="GT42" s="466">
        <f>Reinforcements[[#This Row],[Rev. G Bolt-Reinf. Bearing Capacity (Bottom)               Deformation (kips)]]</f>
        <v>274.20236220472441</v>
      </c>
      <c r="GU42" s="466">
        <f>Reinforcements[[#This Row],[Rev. G Bolt-Reinf. Bearing Capacity (Top)                  No Deformation (kips)]]</f>
        <v>219.36188976377954</v>
      </c>
      <c r="GV42" s="466">
        <f>Reinforcements[[#This Row],[Rev. G Bolt-Reinf. Bearing Capacity (Top)               Deformation (kips)]]</f>
        <v>274.20236220472441</v>
      </c>
      <c r="GW42" s="466" t="str">
        <f>Reinforcements[[#This Row],[Rev. G Bottom Transverse Weld Strength]]</f>
        <v>-</v>
      </c>
      <c r="GX42" s="466" t="str">
        <f>Reinforcements[[#This Row],[Rev. G Bottom Longitudinal Weld Strength]]</f>
        <v>-</v>
      </c>
      <c r="GY42" s="466" t="str">
        <f>Reinforcements[[#This Row],[Rev. G Top Transverse Weld Strength]]</f>
        <v>-</v>
      </c>
      <c r="GZ42" s="466" t="str">
        <f>Reinforcements[[#This Row],[Rev. G Top Longitudinal Weld Strength]]</f>
        <v>-</v>
      </c>
      <c r="HA42" s="552">
        <v>40</v>
      </c>
      <c r="HB42"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3" spans="2:210" x14ac:dyDescent="0.2">
      <c r="B43" s="72" t="s">
        <v>763</v>
      </c>
      <c r="C43" s="72" t="s">
        <v>147</v>
      </c>
      <c r="D43" s="185">
        <v>4.78</v>
      </c>
      <c r="E43" s="185">
        <v>1.61</v>
      </c>
      <c r="F43" s="185" t="str">
        <f>IF(Reinforcements[[#This Row],[Type]]="","",IF(Reinforcements[[#This Row],[Type]]="solid round","","n/a"))</f>
        <v>n/a</v>
      </c>
      <c r="G43" s="185">
        <v>0.43</v>
      </c>
      <c r="H43" s="185">
        <v>0.84</v>
      </c>
      <c r="I43" s="197">
        <f>IF(Reinforcements[[#This Row],[Type]]="","",IF(Reinforcements[[#This Row],[Type]]&lt;&gt;"channel","n/a",Reinforcements[[#This Row],[eo]]))</f>
        <v>0.25925467099918753</v>
      </c>
      <c r="J43" s="197">
        <f>IF(Reinforcements[[#This Row],[Type]]="","",IF(Reinforcements[[#This Row],[Type]]&lt;&gt;"channel","n/a",Reinforcements[[#This Row],[J]]))</f>
        <v>0.17836070333333334</v>
      </c>
      <c r="K43" s="197">
        <f>IF(Reinforcements[[#This Row],[Type]]="","",IF(Reinforcements[[#This Row],[Type]]&lt;&gt;"channel","n/a",Reinforcements[[#This Row],[Cw]]))</f>
        <v>1.4800335127028132</v>
      </c>
      <c r="L43" s="185">
        <v>4.13</v>
      </c>
      <c r="M43" s="185">
        <v>0.61</v>
      </c>
      <c r="N43" s="186" t="s">
        <v>297</v>
      </c>
      <c r="O43" s="185" t="s">
        <v>60</v>
      </c>
      <c r="P43" s="187">
        <v>0.91</v>
      </c>
      <c r="Q43" s="187">
        <f>IF(Reinforcements[[#This Row],[Reinforcement]]="","",SQRT(Reinforcements[[#This Row],[Ix]]/Reinforcements[[#This Row],[Gross Area (in2)]]))</f>
        <v>0.46940279403817731</v>
      </c>
      <c r="R43" s="187">
        <v>11.86</v>
      </c>
      <c r="S43" s="187">
        <f>IF(Reinforcements[[#This Row],[Reinforcement]]="","",SQRT(Reinforcements[[#This Row],[Iy]]/Reinforcements[[#This Row],[Gross Area (in2)]]))</f>
        <v>1.6946004550274312</v>
      </c>
      <c r="T43" s="190">
        <v>18</v>
      </c>
      <c r="U43" s="188">
        <v>0.8</v>
      </c>
      <c r="V43" s="188">
        <v>1</v>
      </c>
      <c r="W43" s="185">
        <v>1.1875</v>
      </c>
      <c r="X43" s="188">
        <f>IF(Reinforcements[[#This Row],[Bolt Hole Size (in)]]="","",IF(Reinforcements[[#This Row],[Bolt Hole Size (in)]]="n/a","n/a",Reinforcements[[#This Row],[Bolt Hole Size (in)]]*25.4))</f>
        <v>30.162499999999998</v>
      </c>
      <c r="Y43"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3.5924999999999998</v>
      </c>
      <c r="Z43" s="185">
        <f>IFERROR(IF(Reinforcements[[#This Row],[Reinforcement]]="","",IF(OR(Reinforcements[[#This Row],[Type]]="plate",Reinforcements[[#This Row],[Type]]="solid round"),1,IF(Reinforcements[[#This Row],[Type]]="arbitrary","",1-Reinforcements[[#This Row],[Pole Face to Centroid (in)]]/Reinforcements[[#This Row],[Connection Length (in) '[Channels']]]))),"")</f>
        <v>0.95933333333333337</v>
      </c>
      <c r="AA43" s="200" t="s">
        <v>391</v>
      </c>
      <c r="AB43" s="200" t="str">
        <f>IF(Reinforcements[[#This Row],[Reinforcement]]="","",IF(Reinforcements[[#This Row],[Bottom End Connection Type]]&lt;&gt;"Capacity Input","-",""))</f>
        <v>-</v>
      </c>
      <c r="AC43" s="200" t="str">
        <f>IF(Reinforcements[[#This Row],[Reinforcement]]="","",IF(Reinforcements[[#This Row],[Bottom End Connection Type]]&lt;&gt;"Capacity Input","-",""))</f>
        <v>-</v>
      </c>
      <c r="AD43" s="461" t="str">
        <f>IF(Reinforcements[[#This Row],[Reinforcement]]="","",IF(Reinforcements[[#This Row],[Bottom End Connection Type]]&lt;&gt;"Capacity Input","-",""))</f>
        <v>-</v>
      </c>
      <c r="AE43" s="103" t="s">
        <v>416</v>
      </c>
      <c r="AF43" s="190" t="s">
        <v>296</v>
      </c>
      <c r="AG43" s="190">
        <v>6</v>
      </c>
      <c r="AH43" s="190">
        <v>3</v>
      </c>
      <c r="AI43" s="190">
        <v>2</v>
      </c>
      <c r="AJ43" s="190">
        <f>Reinforcements[[#This Row],[End Connection Edge Distance (in) (B)]]-(Reinforcements[[#This Row],[Bolt Hole Size (in)]]+1/16)/2</f>
        <v>1.375</v>
      </c>
      <c r="AK43" s="190">
        <f>Reinforcements[[#This Row],[End Connection Bolt Spacing (in) (B)]]-(Reinforcements[[#This Row],[Bolt Hole Size (in)]]+1/16)</f>
        <v>1.75</v>
      </c>
      <c r="AL43" s="190">
        <f>Reinforcements[[#This Row],[End Connection Edge Distance (in) (B)]]</f>
        <v>2</v>
      </c>
      <c r="AM43" s="190">
        <f>Reinforcements[[#This Row],[End Connection Bolt Spacing (in) (B)]]</f>
        <v>3</v>
      </c>
      <c r="AN43" s="190" t="str">
        <f>IF(Reinforcements[[#This Row],[Reinforcement]]="","",IF(OR(Reinforcements[[#This Row],[Bottom End Connection Type]]="Bolted",Reinforcements[[#This Row],[Bottom End Connection Type]]=""),"-",""))</f>
        <v>-</v>
      </c>
      <c r="AO43" s="191" t="str">
        <f>IF(Reinforcements[[#This Row],[Reinforcement]]="","",IF(OR(Reinforcements[[#This Row],[Bottom End Connection Type]]="Bolted",Reinforcements[[#This Row],[Bottom End Connection Type]]=""),"-",""))</f>
        <v>-</v>
      </c>
      <c r="AP43" s="191" t="str">
        <f>IF(Reinforcements[[#This Row],[Reinforcement]]="","",IF(OR(Reinforcements[[#This Row],[Bottom End Connection Type]]="Bolted",Reinforcements[[#This Row],[Bottom End Connection Type]]=""),"-",""))</f>
        <v>-</v>
      </c>
      <c r="AQ43" s="191" t="str">
        <f>IF(OR(Reinforcements[[#This Row],[Bottom End Connection Type]]="Bolted",Reinforcements[[#This Row],[Bottom Transverse (Horizontal) Weld]]="none"),"-","")</f>
        <v>-</v>
      </c>
      <c r="AR4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3" s="191" t="str">
        <f>IF(OR(Reinforcements[[#This Row],[Bottom Transverse (Horizontal) Weld]]="none",Reinforcements[[#This Row],[Bottom End Connection Type]]="Bolted"),"-","")</f>
        <v>-</v>
      </c>
      <c r="AU43"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3" s="191" t="str">
        <f>IF(Reinforcements[[#This Row],[Reinforcement]]="","",IF(OR(Reinforcements[[#This Row],[Bottom End Connection Type]]="Bolted",Reinforcements[[#This Row],[Bottom End Connection Type]]=""),"-",""))</f>
        <v>-</v>
      </c>
      <c r="AW43" s="191" t="str">
        <f>IF(Reinforcements[[#This Row],[Reinforcement]]="","",IF(OR(Reinforcements[[#This Row],[Bottom End Connection Type]]&lt;&gt;"Welded",Reinforcements[[#This Row],[Bottom Longitudinal (Vertical) Weld]]="None",Reinforcements[[#This Row],[Bottom Longitudinal (Vertical) Weld]]=""),"-",""))</f>
        <v>-</v>
      </c>
      <c r="AX43" s="191" t="str">
        <f>IF(Reinforcements[[#This Row],[Reinforcement]]="","",IF(OR(Reinforcements[[#This Row],[Bottom End Connection Type]]&lt;&gt;"Welded",Reinforcements[[#This Row],[Bottom Longitudinal (Vertical) Weld]]="None",Reinforcements[[#This Row],[Bottom Longitudinal (Vertical) Weld]]=""),"-",""))</f>
        <v>-</v>
      </c>
      <c r="AY43" s="190" t="str">
        <f>IF(Reinforcements[[#This Row],[Reinforcement]]="","",IF(OR(Reinforcements[[#This Row],[Bottom End Connection Type]]&lt;&gt;"Welded",Reinforcements[[#This Row],[Bottom Longitudinal (Vertical) Weld]]="None"),"-",SQRT(2)/2*Reinforcements[[#This Row],[Bottom Longitudinal Weld Fillet Size (in)]]))</f>
        <v>-</v>
      </c>
      <c r="AZ43" s="190" t="s">
        <v>295</v>
      </c>
      <c r="BA43" s="189" t="str">
        <f>IF(Reinforcements[[#This Row],[Top End Connection Same?]]="Yes",Reinforcements[[#This Row],[Bottom End Connection Type]],"")</f>
        <v>Bolted</v>
      </c>
      <c r="BB43" s="189" t="str">
        <f>IF(Reinforcements[[#This Row],[Reinforcement]]="","",IF(Reinforcements[[#This Row],[Top End Connection Same?]]="Yes",Reinforcements[[#This Row],[Rev. F Bottom Connection Capacity (kips)]],IF(Reinforcements[[#This Row],[Reinforcement]]="","",IF(Reinforcements[[#This Row],[Top End Connection Type]]&lt;&gt;"Capacity Input","-",""))))</f>
        <v>-</v>
      </c>
      <c r="BC43" s="189" t="str">
        <f>IF(Reinforcements[[#This Row],[Reinforcement]]="","",IF(Reinforcements[[#This Row],[Top End Connection Same?]]="Yes",Reinforcements[[#This Row],[Rev. G Bottom Connection Capacity (kips)]],IF(Reinforcements[[#This Row],[Reinforcement]]="","",IF(Reinforcements[[#This Row],[Top End Connection Type]]&lt;&gt;"Capacity Input","-",""))))</f>
        <v>-</v>
      </c>
      <c r="BD43" s="461" t="str">
        <f>IF(Reinforcements[[#This Row],[Reinforcement]]="","",IF(Reinforcements[[#This Row],[Top End Connection Same?]]="Yes",Reinforcements[[#This Row],[Rev. G Bottom Connection Capacity (kips)]],IF(Reinforcements[[#This Row],[Reinforcement]]="","",IF(Reinforcements[[#This Row],[Top End Connection Type]]&lt;&gt;"Capacity Input","-",""))))</f>
        <v>-</v>
      </c>
      <c r="BE43" s="103" t="str">
        <f>IF(Reinforcements[[#This Row],[Top End Connection Same?]]="Yes",Reinforcements[[#This Row],[Bottom End Connection Bolt Type]],IF(Reinforcements[[#This Row],[Top End Connection Type]]="Welded","-",""))</f>
        <v>PC 8.8 - M20 (100)</v>
      </c>
      <c r="BF43" s="190" t="str">
        <f>IF(Reinforcements[[#This Row],[Top End Connection Same?]]="Yes",Reinforcements[[#This Row],[Threads Included (N) or Excluded (X) (Bottom)]],IF(Reinforcements[[#This Row],[Top End Connection Type]]="Welded","-",""))</f>
        <v>N</v>
      </c>
      <c r="BG43" s="190">
        <f>IF(Reinforcements[[#This Row],[Top End Connection Same?]]="Yes",Reinforcements[[#This Row],['# of End Connection Bolts          (Bottom)]],IF(Reinforcements[[#This Row],[Top End Connection Type]]="Welded","-",""))</f>
        <v>6</v>
      </c>
      <c r="BH43" s="190">
        <f>IF(Reinforcements[[#This Row],[Top End Connection Same?]]="Yes",Reinforcements[[#This Row],[End Connection Bolt Spacing (in) (B)]],IF(Reinforcements[[#This Row],[Top End Connection Type]]="Welded","-",""))</f>
        <v>3</v>
      </c>
      <c r="BI43" s="190">
        <f>IF(Reinforcements[[#This Row],[Top End Connection Same?]]="Yes",Reinforcements[[#This Row],[End Connection Edge Distance (in) (B)]],IF(Reinforcements[[#This Row],[Top End Connection Type]]="Welded","-",""))</f>
        <v>2</v>
      </c>
      <c r="BJ43" s="190">
        <f>Reinforcements[[#This Row],[End Connection Edge Distance (in) (T)]]-(Reinforcements[[#This Row],[Bolt Hole Size (in)]]+1/16)/2</f>
        <v>1.375</v>
      </c>
      <c r="BK43" s="190">
        <f>Reinforcements[[#This Row],[End Connection Bolt Spacing (in) (T)]]-(Reinforcements[[#This Row],[Bolt Hole Size (in)]]+1/16)</f>
        <v>1.75</v>
      </c>
      <c r="BL43" s="237">
        <f>Reinforcements[[#This Row],[End Connection Edge Distance (in) (T)]]</f>
        <v>2</v>
      </c>
      <c r="BM43" s="237">
        <f>Reinforcements[[#This Row],[End Connection Bolt Spacing (in) (T)]]</f>
        <v>3</v>
      </c>
      <c r="BN43" s="237" t="str">
        <f>IF(Reinforcements[[#This Row],[Reinforcement]]="","",IF(Reinforcements[[#This Row],[Top End Connection Same?]]="Yes",Reinforcements[[#This Row],[Bottom Connected to Flange/Base Plate?]],IF(Reinforcements[[#This Row],[Top End Connection Type]]="Bolted","-","")))</f>
        <v>-</v>
      </c>
      <c r="BO43" s="237" t="str">
        <f>IF(Reinforcements[[#This Row],[Reinforcement]]="","",IF(Reinforcements[[#This Row],[Top End Connection Same?]]="Yes",Reinforcements[[#This Row],[Bottom Weld Grade (ksi)]],IF(OR(Reinforcements[[#This Row],[Top End Connection Type]]&lt;&gt;"Welded",Reinforcements[[#This Row],[Top End Connection Type]]=""),"-","")))</f>
        <v>-</v>
      </c>
      <c r="BP43" s="237" t="str">
        <f>IF($AZ43="Yes",AP43,IF(Reinforcements[[#This Row],[Reinforcement]]="","",IF(OR(Reinforcements[[#This Row],[Top End Connection Type]]&lt;&gt;"Welded",Reinforcements[[#This Row],[Top End Connection Type]]=""),"-","")))</f>
        <v>-</v>
      </c>
      <c r="BQ43" s="237" t="str">
        <f>IF(Reinforcements[[#This Row],[Reinforcement]]="","",IF($AZ43="Yes",AQ43,IF(OR(Reinforcements[[#This Row],[Top End Connection Type]]&lt;&gt;"Welded",Reinforcements[[#This Row],[Top Transverse (Horizontal) Weld]]="none",Reinforcements[[#This Row],[Top Transverse (Horizontal) Weld]]=""),"-","")))</f>
        <v>-</v>
      </c>
      <c r="BR43" s="237" t="str">
        <f>IF($AZ43="Yes",AR43,IF(Reinforcements[[#This Row],[Reinforcement]]="","",IF(OR(Reinforcements[[#This Row],[Top Transverse (Horizontal) Weld]]="none",Reinforcements[[#This Row],[Top End Connection Type]]&lt;&gt;"Welded",Reinforcements[[#This Row],[Top Transverse (Horizontal) Weld]]="",Reinforcements[[#This Row],[Top Transverse (Horizontal) Weld]]="Fillet"),"-","")))</f>
        <v>-</v>
      </c>
      <c r="BS43" s="237" t="str">
        <f>IF($AZ43="Yes",AS43,IF(Reinforcements[[#This Row],[Reinforcement]]="","",IF(OR(Reinforcements[[#This Row],[Top Transverse (Horizontal) Weld]]="none",Reinforcements[[#This Row],[Top End Connection Type]]&lt;&gt;"Welded",Reinforcements[[#This Row],[Top Transverse (Horizontal) Weld]]="",Reinforcements[[#This Row],[Top Transverse (Horizontal) Weld]]="Fillet"),"-","")))</f>
        <v>-</v>
      </c>
      <c r="BT43" s="237" t="str">
        <f>IF(Reinforcements[[#This Row],[Reinforcement]]="","",IF($AZ43="Yes",AT43,IF(OR(Reinforcements[[#This Row],[Top Transverse (Horizontal) Weld]]="none",Reinforcements[[#This Row],[Top End Connection Type]]&lt;&gt;"Welded",Reinforcements[[#This Row],[Top Transverse (Horizontal) Weld]]=""),"-","")))</f>
        <v>-</v>
      </c>
      <c r="BU43" s="237" t="str">
        <f>IF($AZ43="Yes",AU43,IF(Reinforcements[[#This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3" s="237" t="str">
        <f>IF($AZ43="Yes",AV43,IF(Reinforcements[[#This Row],[Reinforcement]]="","",IF(OR(Reinforcements[[#This Row],[Top End Connection Type]]&lt;&gt;"Welded",Reinforcements[[#This Row],[Top End Connection Type]]=""),"-","")))</f>
        <v>-</v>
      </c>
      <c r="BW43" s="237" t="str">
        <f>IF($AZ43="Yes",AW43,IF(Reinforcements[[#This Row],[Reinforcement]]="","",IF(OR(Reinforcements[[#This Row],[Top End Connection Type]]&lt;&gt;"Welded",Reinforcements[[#This Row],[Top End Connection Type]]="",Reinforcements[[#This Row],[Top Longitudinal (Vertical) Weld]]="",Reinforcements[[#This Row],[Top Longitudinal (Vertical) Weld]]="None"),"-","")))</f>
        <v>-</v>
      </c>
      <c r="BX43" s="237" t="str">
        <f>IF($AZ43="Yes",AX43,IF(Reinforcements[[#This Row],[Reinforcement]]="","",IF(OR(Reinforcements[[#This Row],[Top End Connection Type]]&lt;&gt;"Welded",Reinforcements[[#This Row],[Top End Connection Type]]="",Reinforcements[[#This Row],[Top Longitudinal (Vertical) Weld]]="",Reinforcements[[#This Row],[Top Longitudinal (Vertical) Weld]]="None"),"-","")))</f>
        <v>-</v>
      </c>
      <c r="BY43" s="237" t="str">
        <f>IF($AZ43="Yes",AY43,IF(Reinforcements[[#This Row],[Reinforcement]]="","",IF(OR(Reinforcements[[#This Row],[Top End Connection Type]]&lt;&gt;"Welded",Reinforcements[[#This Row],[Top Longitudinal (Vertical) Weld]]="none"),"-",SQRT(2)/2*Reinforcements[[#This Row],[Top Longitudinal Weld Fillet Size (in)]])))</f>
        <v>-</v>
      </c>
      <c r="BZ43"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15</v>
      </c>
      <c r="CA43" s="238">
        <f>IF(Reinforcements[[#This Row],[Reinforcement]]="","",IF(Reinforcements[[#This Row],[Bottom End Connection Type]]&lt;&gt;"Bolted","n/a",(Reinforcements[[#This Row],['# of End Connection Bolts          (Bottom)]]-1)*Reinforcements[[#This Row],[End Connection Bolt Spacing (in) (B)]]+Reinforcements[[#This Row],[End Connection Edge Distance (in) (B)]]))</f>
        <v>17</v>
      </c>
      <c r="CB43" s="238">
        <f>IF(Reinforcements[[#This Row],[Reinforcement]]="","",IF(Reinforcements[[#This Row],[Top End Connection Type]]&lt;&gt;"Bolted","n/a",(Reinforcements[[#This Row],['# of End Connection Bolts          (Top)]]-1)*Reinforcements[[#This Row],[End Connection Bolt Spacing (in) (T)]]+Reinforcements[[#This Row],[End Connection Edge Distance (in) (T)]]))</f>
        <v>17</v>
      </c>
      <c r="CC43"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3.3852459016393444</v>
      </c>
      <c r="CD43"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1.22</v>
      </c>
      <c r="CE43" s="236">
        <f>IFERROR(IF(Reinforcements[[#This Row],[Type]]="","",Reinforcements[[#This Row],[Effective B (in)]]*Reinforcements[[#This Row],[Effective H (in)]]^3/12),"")</f>
        <v>0.51225766666666661</v>
      </c>
      <c r="CF43" s="236">
        <f>IFERROR(IF(Reinforcements[[#This Row],[Type]]="","",Reinforcements[[#This Row],[Effective B (in)]]^3*Reinforcements[[#This Row],[Effective H (in)]]/12),"")</f>
        <v>3.9441120778464573</v>
      </c>
      <c r="CG43" s="235">
        <f>SQRT(2*PI()^2*29000/VLOOKUP(Reinforcements[[#This Row],[Material]],Materials[],2,FALSE))</f>
        <v>93.844147005158973</v>
      </c>
      <c r="CH43"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34.471116467619957</v>
      </c>
      <c r="CI43"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37.791837391707745</v>
      </c>
      <c r="CJ43" s="239">
        <f>Reinforcements[[#This Row],[Effective Length Factor Kx]]*Reinforcements[[#This Row],[Lu (in)]]/(Reinforcements[[#This Row],[rx]]*PI())*SQRT(VLOOKUP(Reinforcements[[#This Row],[Material]],Materials[],2,FALSE)/29000)</f>
        <v>0.46230078240000971</v>
      </c>
      <c r="CK43" s="239">
        <f>Reinforcements[[#This Row],[Effective Length Factor Ky]]*Reinforcements[[#This Row],[Lu (in)]]/(Reinforcements[[#This Row],[ry]]*PI())*SQRT(VLOOKUP(Reinforcements[[#This Row],[Material]],Materials[],2,FALSE)/29000)</f>
        <v>0.1600711234769254</v>
      </c>
      <c r="CL43" s="239">
        <f>IF(Reinforcements[[#This Row],[λcx]]&lt;=1.5,0.658^(Reinforcements[[#This Row],[λcx]]^2)*Reinforcements[[#This Row],[F''y]],0.877/(Reinforcements[[#This Row],[λcx]]^2)*Reinforcements[[#This Row],[F''y]])</f>
        <v>59.438005611781477</v>
      </c>
      <c r="CM43" s="239">
        <f>IF(Reinforcements[[#This Row],[λcy]]&lt;=1.5,0.658^(Reinforcements[[#This Row],[λcy]]^2)*Reinforcements[[#This Row],[F''y]],0.877/(Reinforcements[[#This Row],[λcy]]^2)*Reinforcements[[#This Row],[F''y]])</f>
        <v>64.306637493554334</v>
      </c>
      <c r="CN43" s="236">
        <f>VLOOKUP(Reinforcements[[#This Row],[Material]],Materials[],2,FALSE)</f>
        <v>65</v>
      </c>
      <c r="CO43" s="235">
        <f>IF(Reinforcements[[#This Row],[Reinforcement]]="","",Reinforcements[[#This Row],[Fax]]*Reinforcements[[#This Row],[Gross Area (in2)]])</f>
        <v>142.36571101127041</v>
      </c>
      <c r="CP43" s="235">
        <f>IF(Reinforcements[[#This Row],[Reinforcement]]="","",Reinforcements[[#This Row],[Fay]]*Reinforcements[[#This Row],[Gross Area (in2)]])</f>
        <v>156.08028842775298</v>
      </c>
      <c r="CQ43" s="235">
        <f>IF(Reinforcements[[#This Row],[Reinforcement]]="","",0.6*VLOOKUP(Reinforcements[[#This Row],[Material]],Materials[],2,FALSE)*Reinforcements[[#This Row],[Gross Area (in2)]])</f>
        <v>161.07</v>
      </c>
      <c r="CR43" s="235">
        <f>IF(Reinforcements[[#This Row],[Reinforcement]]="","",0.5*VLOOKUP(Reinforcements[[#This Row],[Material]],Materials[],3,FALSE)*Reinforcements[[#This Row],[Net Area (in2)]]*Reinforcements[[#This Row],[Shear Lag (U)]])</f>
        <v>137.8562</v>
      </c>
      <c r="CS43" s="235">
        <f>IF(Reinforcements[[#This Row],[Reinforcement]]="","",0.4*VLOOKUP(Reinforcements[[#This Row],[Material]],Materials[],2,FALSE)*Reinforcements[[#This Row],[Gross Area (in2)]])</f>
        <v>107.38</v>
      </c>
      <c r="CT43"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43"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43"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43"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43"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43"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43"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282.78425196850395</v>
      </c>
      <c r="DA43"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316.91338582677167</v>
      </c>
      <c r="DB43"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282.78425196850395</v>
      </c>
      <c r="DC43"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316.91338582677167</v>
      </c>
      <c r="DD43"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3"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3" s="237" t="str">
        <f>IF($AZ43="Yes",DD43,IF(Reinforcements[[#This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3" s="237" t="str">
        <f>IF($AZ43="Yes",DE43,IF(Reinforcements[[#This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3" s="235">
        <f>IF(Reinforcements[[#This Row],[Reinforcement]]="","",φ_c*Reinforcements[[#This Row],[Fcr,x]]*Reinforcements[[#This Row],[Gross Area (in2)]])</f>
        <v>220.93106685899176</v>
      </c>
      <c r="DI43" s="235">
        <f>IF(Reinforcements[[#This Row],[Reinforcement]]="","",φ_c*Reinforcements[[#This Row],[Fcr,y]]*Reinforcements[[#This Row],[Gross Area (in2)]])</f>
        <v>239.02777156354145</v>
      </c>
      <c r="DJ43" s="235">
        <f>IF(Reinforcements[[#This Row],[Reinforcement]]="","",φ_t_y*VLOOKUP(Reinforcements[[#This Row],[Material]],Materials[],2,FALSE)*Reinforcements[[#This Row],[Gross Area (in2)]])</f>
        <v>241.60499999999999</v>
      </c>
      <c r="DK43" s="235">
        <f>IF(Reinforcements[[#This Row],[Reinforcement]]="","",φ_t_r*VLOOKUP(Reinforcements[[#This Row],[Material]],Materials[],3,FALSE)*Reinforcements[[#This Row],[Net Area (in2)]]*Reinforcements[[#This Row],[Shear Lag (U)]])</f>
        <v>206.7843</v>
      </c>
      <c r="DL43" s="235">
        <f>IF(Reinforcements[[#This Row],[Reinforcement]]="","",φ_v*0.5*Reinforcements[[#This Row],[F''y]]*Reinforcements[[#This Row],[Gross Area (in2)]])</f>
        <v>120.80249999999999</v>
      </c>
      <c r="DM43"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43"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43"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43"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43"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43"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43"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390.92485039370081</v>
      </c>
      <c r="DT43"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488.65606299212595</v>
      </c>
      <c r="DU43"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390.92485039370081</v>
      </c>
      <c r="DV43"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488.65606299212595</v>
      </c>
      <c r="DW43"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3"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3" s="237" t="str">
        <f>IF($AZ43="Yes",DW43,IF(Reinforcements[[#This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3" s="237" t="str">
        <f>IF($AZ43="Yes",DX43,IF(Reinforcements[[#This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3" s="238">
        <f>IF(OR(Reinforcements[[#This Row],[Type]]="plate",Reinforcements[[#This Row],[Type]]="solid round"),"N/A",Reinforcements[[#This Row],[B (in)]])</f>
        <v>4.78</v>
      </c>
      <c r="EB43" s="236">
        <f>IF(OR(Reinforcements[[#This Row],[Type]]="plate",Reinforcements[[#This Row],[Type]]="solid round"),"N/A",Reinforcements[[#This Row],[H (in)]])</f>
        <v>1.61</v>
      </c>
      <c r="EC43" s="236">
        <f>IF(OR(Reinforcements[[#This Row],[Type]]="plate",Reinforcements[[#This Row],[Type]]="solid round"),"N/A",Reinforcements[[#This Row],[B (in)]]-Reinforcements[[#This Row],['[Channel'] Flange Thickness (in)]])</f>
        <v>3.9400000000000004</v>
      </c>
      <c r="ED43" s="236">
        <f>IF(OR(Reinforcements[[#This Row],[Type]]="plate",Reinforcements[[#This Row],[Type]]="solid round"),"N/A",Reinforcements[[#This Row],['[Channel']Web Thickness (in)]])</f>
        <v>0.43</v>
      </c>
      <c r="EE43" s="236">
        <f>IF(OR(Reinforcements[[#This Row],[Type]]="plate",Reinforcements[[#This Row],[Type]]="solid round"),"N/A",Reinforcements[[#This Row],['[Channel'] Flange Thickness (in)]])</f>
        <v>0.84</v>
      </c>
      <c r="EF43" s="236">
        <f>IF(Reinforcements[[#This Row],[Type]]="channel",Reinforcements[[#This Row],[Channel Flange Width, b]]/Reinforcements[[#This Row],[Channel flange thickness, tf]],"N/A")</f>
        <v>1.916666666666667</v>
      </c>
      <c r="EG43" s="236">
        <f>IF(Reinforcements[[#This Row],[Type]]="channel",Reinforcements[[#This Row],[Channel inside depth, T]]/Reinforcements[[#This Row],[Channel web thickness, tw]],"N/A")</f>
        <v>9.1627906976744189</v>
      </c>
      <c r="EH43" s="237">
        <v>29000</v>
      </c>
      <c r="EI43" s="236">
        <f>IF(Reinforcements[[#This Row],[Type]]="channel",0.56*SQRT(Reinforcements[[#This Row],[E, (ksi)]]/Reinforcements[[#This Row],[Fy, (ksi)]]),"N/A")</f>
        <v>11.828518341442694</v>
      </c>
      <c r="EJ43" s="236">
        <f>IF(Reinforcements[[#This Row],[Type]]="channel",1.49*SQRT(Reinforcements[[#This Row],[E, (ksi)]]/Reinforcements[[#This Row],[Fy, (ksi)]]),"N/A")</f>
        <v>31.472307729910018</v>
      </c>
      <c r="EK43" s="236">
        <f>VLOOKUP(Reinforcements[[#This Row],[Material]],Materials!$B$2:$C$30,2,FALSE)</f>
        <v>65</v>
      </c>
      <c r="EL43" s="236">
        <f>Reinforcements[[#This Row],[Lu (in)]]*Reinforcements[[#This Row],[Effective Length Factor Kx]]</f>
        <v>14.4</v>
      </c>
      <c r="EM43" s="236">
        <f>Reinforcements[[#This Row],[Lu (in)]]*Reinforcements[[#This Row],[Effective Length Factor Ky]]</f>
        <v>18</v>
      </c>
      <c r="EN43" s="236">
        <f>Reinforcements[[#This Row],[rx]]</f>
        <v>0.46940279403817731</v>
      </c>
      <c r="EO43" s="236">
        <f>Reinforcements[[#This Row],[ry]]</f>
        <v>1.6946004550274312</v>
      </c>
      <c r="EP43" s="236">
        <f>Reinforcements[[#This Row],[Lcx (in)]]/Reinforcements[[#This Row],[rx (in)]]</f>
        <v>30.677277985756568</v>
      </c>
      <c r="EQ43" s="236">
        <f>Reinforcements[[#This Row],[Lcy (in)]]/Reinforcements[[#This Row],[ry (in)]]</f>
        <v>10.621972835306849</v>
      </c>
      <c r="ER43" s="236">
        <f>((PI()^2)*Reinforcements[[#This Row],[E, (ksi)]])/(Reinforcements[[#This Row],[Lcx/rx]]^2)</f>
        <v>304.13338786967461</v>
      </c>
      <c r="ES43" s="236">
        <f>((PI()^2)*Reinforcements[[#This Row],[E, (ksi)]])/(Reinforcements[[#This Row],[Lcy/ry]]^2)</f>
        <v>2536.806667347229</v>
      </c>
      <c r="ET43" s="236">
        <f>4.71*(SQRT(Reinforcements[[#This Row],[E, (ksi)]]/Reinforcements[[#This Row],[Fy, (ksi)]]))</f>
        <v>99.486288193205496</v>
      </c>
      <c r="EU43" s="236">
        <f>IF(Reinforcements[[#This Row],[Lcx/rx]]&lt;=Reinforcements[[#This Row],[Fcr Limit]],(0.658^(Reinforcements[[#This Row],[Fy, (ksi)]]/Reinforcements[[#This Row],[Fex, FB (ksi)]]))*Reinforcements[[#This Row],[Fy, (ksi)]],0.877*Reinforcements[[#This Row],[Fex, FB (ksi)]])</f>
        <v>59.438005611781477</v>
      </c>
      <c r="EV43" s="236">
        <f>IF(Reinforcements[[#This Row],[Lcy/ry]]&lt;=Reinforcements[[#This Row],[Fcr Limit]],(0.658^(Reinforcements[[#This Row],[Fy, (ksi)]]/Reinforcements[[#This Row],[Fey, FB (ksi)]]))*Reinforcements[[#This Row],[Fy, (ksi)]],0.877*Reinforcements[[#This Row],[Fey, FB (ksi)]])</f>
        <v>64.306637493554334</v>
      </c>
      <c r="EW43" s="236">
        <f>Reinforcements[[#This Row],[Fcrx (ksi)]]*Reinforcements[[#This Row],[Gross Area (in2)]]</f>
        <v>245.47896317665749</v>
      </c>
      <c r="EX43" s="236">
        <f>Reinforcements[[#This Row],[Fcry (ksi)]]*Reinforcements[[#This Row],[Gross Area (in2)]]</f>
        <v>265.58641284837938</v>
      </c>
      <c r="EY43" s="236">
        <f>IF(Reinforcements[[#This Row],[Type]]="channel",0,"N/A")</f>
        <v>0</v>
      </c>
      <c r="EZ43" s="236">
        <f>IF(Reinforcements[[#This Row],[Type]]="channel",Reinforcements[[#This Row],[Channel Flange Width, b]]-(0.5*Reinforcements[[#This Row],[Channel web thickness, tw]]),"N/A")</f>
        <v>1.395</v>
      </c>
      <c r="FA43" s="236">
        <f>IF(Reinforcements[[#This Row],[Type]]="channel",Reinforcements[[#This Row],[Channel Height, h]]-Reinforcements[[#This Row],[Channel flange thickness, tf]],"N/A")</f>
        <v>3.9400000000000004</v>
      </c>
      <c r="FB43" s="236">
        <f>IF(Reinforcements[[#This Row],[Type]]="channel",Reinforcements[[#This Row],[Channel web thickness, tw]],"N/A")</f>
        <v>0.43</v>
      </c>
      <c r="FC43" s="236">
        <f>IF(Reinforcements[[#This Row],[Type]]="channel",((3*Reinforcements[[#This Row],[b]]^2)/(Reinforcements[[#This Row],[h]]+(6*Reinforcements[[#This Row],[b]])))-Reinforcements[[#This Row],[t]]/2,"N/A")</f>
        <v>0.25925467099918753</v>
      </c>
      <c r="FD43" s="236">
        <f>Reinforcements[[#This Row],[Pole Face to Centroid (in)]]</f>
        <v>0.61</v>
      </c>
      <c r="FE43" s="236">
        <f>IF(Reinforcements[[#This Row],[Type]]="channel",Reinforcements[[#This Row],[x(bar)]]+Reinforcements[[#This Row],['[Channel'] e0 (in)]],"N/A")</f>
        <v>0.86925467099918752</v>
      </c>
      <c r="FF43" s="236">
        <f>IF(Reinforcements[[#This Row],[Type]]="channel",Reinforcements[[#This Row],[Ix]],"N/A")</f>
        <v>0.91</v>
      </c>
      <c r="FG43" s="236">
        <f>IF(Reinforcements[[#This Row],[Type]]="channel",Reinforcements[[#This Row],[Iy]],"N/A")</f>
        <v>11.86</v>
      </c>
      <c r="FH43" s="236">
        <f>IF(Reinforcements[[#This Row],[Type]]="channel",Reinforcements[[#This Row],[Gross Area (in2)]],"N/A")</f>
        <v>4.13</v>
      </c>
      <c r="FI43" s="236">
        <f>IF(Reinforcements[[#This Row],[Type]]="channel",(Reinforcements[[#This Row],[xo]]^2)+((Reinforcements[[#This Row],[Ix (FTB)]]+Reinforcements[[#This Row],[Iy (FTB)]])/Reinforcements[[#This Row],[Ag]]),"N/A")</f>
        <v>3.84761336828393</v>
      </c>
      <c r="FJ43" s="236">
        <f>IF(Reinforcements[[#This Row],[Type]]="channel",Reinforcements[[#This Row],[Lu (in)]],"N/A")</f>
        <v>18</v>
      </c>
      <c r="FK43" s="236">
        <f>IF(Reinforcements[[#This Row],[Type]]="channel",Reinforcements[[#This Row],[Effective Length Factor Kx]],"N/A")</f>
        <v>0.8</v>
      </c>
      <c r="FL43" s="236">
        <f>IF(Reinforcements[[#This Row],[Type]]="channel",Reinforcements[[#This Row],[Kz]]*Reinforcements[[#This Row],[Lz]],"N/A")</f>
        <v>14.4</v>
      </c>
      <c r="FM43" s="236">
        <f>IF(Reinforcements[[#This Row],[Type]]="channel",(((Reinforcements[[#This Row],[t]]^3)/3)*(Reinforcements[[#This Row],[h]]+(2*Reinforcements[[#This Row],[b]]))),"N/A")</f>
        <v>0.17836070333333334</v>
      </c>
      <c r="FN43" s="236">
        <f>IF(Reinforcements[[#This Row],[Type]]="channel",(1-(((Reinforcements[[#This Row],[xo]]^2)+(Reinforcements[[#This Row],[yo]]^2))/Reinforcements[[#This Row],[ro^2(bar)]])),"N/A")</f>
        <v>0.80361756477862745</v>
      </c>
      <c r="FO43" s="237">
        <v>11200</v>
      </c>
      <c r="FP43" s="236">
        <f>IF(Reinforcements[[#This Row],[Type]]="channel",(((Reinforcements[[#This Row],[h]]^2)*(Reinforcements[[#This Row],[b]]^3)*Reinforcements[[#This Row],[t]])/12)*(((2*Reinforcements[[#This Row],[h]])+(3*Reinforcements[[#This Row],[b]]))/(Reinforcements[[#This Row],[h]]+(6*Reinforcements[[#This Row],[b]]))),"N/A")</f>
        <v>1.4800335127028132</v>
      </c>
      <c r="FQ43" s="236">
        <f>IF(Reinforcements[[#This Row],[Type]]="Channel",((((PI()^2)*Reinforcements[[#This Row],[E, (ksi)]]*Reinforcements[[#This Row],['[Channel'] CW (in6)]])/(Reinforcements[[#This Row],[Lcz]]^2))+(Reinforcements[[#This Row],[G]]*Reinforcements[[#This Row],['[Channel'] J (in4)]]))*(1/(Reinforcements[[#This Row],[Ag]]*Reinforcements[[#This Row],[ro^2(bar)]])),"N/A")</f>
        <v>254.27080909373231</v>
      </c>
      <c r="FR43" s="236">
        <f>IF(Reinforcements[[#This Row],[Type]]="channel",((PI()^2)*Reinforcements[[#This Row],[E, (ksi)]])/(Reinforcements[[#This Row],[Lcy/ry]]^2),"N/A")</f>
        <v>2536.806667347229</v>
      </c>
      <c r="FS43" s="236">
        <f>IF(Reinforcements[[#This Row],[Type]]="channel",((Reinforcements[[#This Row],[Fey]]+Reinforcements[[#This Row],[Fez]])/(2*Reinforcements[[#This Row],[H2]]))*(1-SQRT(1-((4*Reinforcements[[#This Row],[Fey]]*Reinforcements[[#This Row],[Fez]]*Reinforcements[[#This Row],[H2]])/(Reinforcements[[#This Row],[Fey]]+Reinforcements[[#This Row],[Fez]])^2))),"N/A")</f>
        <v>248.9509329434444</v>
      </c>
      <c r="FT43" s="236">
        <f>IF(Reinforcements[[#This Row],[Type]]="channel",IF(Reinforcements[[#This Row],[Lcx/rx]]&gt;(4.71*SQRT(Reinforcements[[#This Row],[E, (ksi)]]/Reinforcements[[#This Row],[Fy, (ksi)]])),0.877*Reinforcements[[#This Row],[Fe (FTB)]],0.658^(Reinforcements[[#This Row],[Fy, (ksi)]]/Reinforcements[[#This Row],[Fe (FTB)]])*Reinforcements[[#This Row],[Fy, (ksi)]]),"N/A")</f>
        <v>58.271061873729096</v>
      </c>
      <c r="FU43" s="236">
        <f>IF(Reinforcements[[#This Row],[Type]]="channel",MIN(Reinforcements[[#This Row],[Fcr(FTB)]],Reinforcements[[#This Row],[Fcry (ksi)]]),"N/A")</f>
        <v>58.271061873729096</v>
      </c>
      <c r="FV43" s="237">
        <v>0.22</v>
      </c>
      <c r="FW43" s="237">
        <v>1.49</v>
      </c>
      <c r="FX43" s="236">
        <f>IF(Reinforcements[[#This Row],[Type]]="channel",((Reinforcements[[#This Row],[c2]]*(Reinforcements[[#This Row],[λrf]]/Reinforcements[[#This Row],[λf]]))^2)*Reinforcements[[#This Row],[Fy, (ksi)]],"N/A")</f>
        <v>5496.0845961436671</v>
      </c>
      <c r="FY43" s="236">
        <f>IF(Reinforcements[[#This Row],[Type]]="channel",((Reinforcements[[#This Row],[c2]]*(Reinforcements[[#This Row],[λrw]]/Reinforcements[[#This Row],[λw]]))^2)*Reinforcements[[#This Row],[Fy, (ksi)]],"N/A")</f>
        <v>1702.5016404713465</v>
      </c>
      <c r="FZ43"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1.395</v>
      </c>
      <c r="GA43"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3.9400000000000004</v>
      </c>
      <c r="GB43"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4.13</v>
      </c>
      <c r="GC43" s="236">
        <f>IF(Reinforcements[[#This Row],[Type]]="channel",Reinforcements[[#This Row],[Fcr]]*Reinforcements[[#This Row],[Ae]],"N/A")</f>
        <v>240.65948553850117</v>
      </c>
      <c r="GD43" s="466">
        <f>IF(Reinforcements[[#This Row],[Reinforcement]]="","",φ_c*Reinforcements[[#This Row],[Pnx, FB (kip)]])</f>
        <v>220.93106685899176</v>
      </c>
      <c r="GE43" s="466">
        <f>IF(Reinforcements[[#This Row],[Reinforcement]]="","",IF(Reinforcements[[#This Row],[Type]]="channel",φ_c*Reinforcements[[#This Row],[Pn]],φ_c*Reinforcements[[#This Row],[Pny, FB (kip)]]))</f>
        <v>216.59353698465105</v>
      </c>
      <c r="GF43" s="466">
        <f>Reinforcements[[#This Row],[Rev. G Tension Yield Capacity (kips)]]</f>
        <v>241.60499999999999</v>
      </c>
      <c r="GG43" s="466">
        <f>Reinforcements[[#This Row],[Rev. G Tension Rupture Capacity (kips)]]</f>
        <v>206.7843</v>
      </c>
      <c r="GH43" s="466">
        <f>Reinforcements[[#This Row],[Rev. G Shear Capacity (kips)]]</f>
        <v>120.80249999999999</v>
      </c>
      <c r="GI43" s="466">
        <f>IFERROR((Reinforcements[[#This Row],['# of End Connection Bolts          (Bottom)]]-1)*Reinforcements[[#This Row],[End Connection Bolt Spacing (in) (B)]],"-")</f>
        <v>15</v>
      </c>
      <c r="GJ43" s="466">
        <f>IFERROR(IF(VLOOKUP(Reinforcements[[#This Row],[Bottom End Connection Bolt Type]],Bolts[],COLUMN(Bolts[[#Headers],[Rev. H Apply Connection Length Reduction Factor (Rb)?]])-1,FALSE)="Yes",(IF(Reinforcements[[#This Row],[Lb(bottom)]]&lt;=16,1,IF(Reinforcements[[#This Row],[Lb(bottom)]]&gt;38,0.75,0.9))),1),"-")</f>
        <v>1</v>
      </c>
      <c r="GK43"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43" s="466">
        <f>IFERROR(IF(Reinforcements[[#This Row],[Top End Connection Same?]]="Yes",Reinforcements[[#This Row],[Lb(bottom)]],(Reinforcements[[#This Row],['# of End Connection Bolts          (Top)]]-1)*Reinforcements[[#This Row],[End Connection Bolt Spacing (in) (T)]]),"-")</f>
        <v>15</v>
      </c>
      <c r="GM43" s="466">
        <f>IFERROR(IF(VLOOKUP(Reinforcements[[#This Row],[Top End Connection Bolt Type]],Bolts[],COLUMN(Bolts[[#Headers],[Rev. H Apply Connection Length Reduction Factor (Rb)?]])-1,FALSE)="Yes",(IF(Reinforcements[[#This Row],[Lb(top)]]&lt;=16,1,IF(Reinforcements[[#This Row],[Lb(top)]]&gt;38,0.75,0.9))),1),"-")</f>
        <v>1</v>
      </c>
      <c r="GN43"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43" s="466">
        <f>Reinforcements[[#This Row],[Rev. G Bolt-Shaft Bearing Capacity (Bottom)                No Deformation          (*t*Fu kips)]]</f>
        <v>11.96220472440945</v>
      </c>
      <c r="GP43" s="466">
        <f>Reinforcements[[#This Row],[Rev. G Bolt-Shaft Bearing Capacity (Bottom)                   Deformation          (*t*Fu kips)]]</f>
        <v>14.952755905511811</v>
      </c>
      <c r="GQ43" s="466">
        <f>Reinforcements[[#This Row],[Rev. G Bolt-Shaft Bearing Capacity (Top)                    No Deformation          (*t*Fu kips)]]</f>
        <v>11.96220472440945</v>
      </c>
      <c r="GR43" s="466">
        <f>Reinforcements[[#This Row],[Rev. G Bolt-Shaft Bearing Capacity (Top)                        Deformation          (*t*Fu kips)]]</f>
        <v>14.952755905511811</v>
      </c>
      <c r="GS43" s="466">
        <f>Reinforcements[[#This Row],[Rev. G Bolt-Reinf. Bearing Capacity (Bottom)            No Deformation (kips)]]</f>
        <v>390.92485039370081</v>
      </c>
      <c r="GT43" s="466">
        <f>Reinforcements[[#This Row],[Rev. G Bolt-Reinf. Bearing Capacity (Bottom)               Deformation (kips)]]</f>
        <v>488.65606299212595</v>
      </c>
      <c r="GU43" s="466">
        <f>Reinforcements[[#This Row],[Rev. G Bolt-Reinf. Bearing Capacity (Top)                  No Deformation (kips)]]</f>
        <v>390.92485039370081</v>
      </c>
      <c r="GV43" s="466">
        <f>Reinforcements[[#This Row],[Rev. G Bolt-Reinf. Bearing Capacity (Top)               Deformation (kips)]]</f>
        <v>488.65606299212595</v>
      </c>
      <c r="GW43" s="466" t="str">
        <f>Reinforcements[[#This Row],[Rev. G Bottom Transverse Weld Strength]]</f>
        <v>-</v>
      </c>
      <c r="GX43" s="466" t="str">
        <f>Reinforcements[[#This Row],[Rev. G Bottom Longitudinal Weld Strength]]</f>
        <v>-</v>
      </c>
      <c r="GY43" s="466" t="str">
        <f>Reinforcements[[#This Row],[Rev. G Top Transverse Weld Strength]]</f>
        <v>-</v>
      </c>
      <c r="GZ43" s="466" t="str">
        <f>Reinforcements[[#This Row],[Rev. G Top Longitudinal Weld Strength]]</f>
        <v>-</v>
      </c>
      <c r="HA43" s="552">
        <v>41</v>
      </c>
      <c r="HB43"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4" spans="2:210" x14ac:dyDescent="0.2">
      <c r="B44" s="243" t="s">
        <v>764</v>
      </c>
      <c r="C44" s="72" t="s">
        <v>147</v>
      </c>
      <c r="D44" s="185">
        <v>4.78</v>
      </c>
      <c r="E44" s="185">
        <v>1.61</v>
      </c>
      <c r="F44" s="185" t="str">
        <f>IF(Reinforcements[[#This Row],[Type]]="","",IF(Reinforcements[[#This Row],[Type]]="solid round","","n/a"))</f>
        <v>n/a</v>
      </c>
      <c r="G44" s="185">
        <v>0.43</v>
      </c>
      <c r="H44" s="185">
        <v>0.84</v>
      </c>
      <c r="I44" s="197">
        <f>IF(Reinforcements[[#This Row],[Type]]="","",IF(Reinforcements[[#This Row],[Type]]&lt;&gt;"channel","n/a",Reinforcements[[#This Row],[eo]]))</f>
        <v>0.25925467099918753</v>
      </c>
      <c r="J44" s="197">
        <f>IF(Reinforcements[[#This Row],[Type]]="","",IF(Reinforcements[[#This Row],[Type]]&lt;&gt;"channel","n/a",Reinforcements[[#This Row],[J]]))</f>
        <v>0.17836070333333334</v>
      </c>
      <c r="K44" s="197">
        <f>IF(Reinforcements[[#This Row],[Type]]="","",IF(Reinforcements[[#This Row],[Type]]&lt;&gt;"channel","n/a",Reinforcements[[#This Row],[Cw]]))</f>
        <v>1.4800335127028132</v>
      </c>
      <c r="L44" s="185">
        <v>4.13</v>
      </c>
      <c r="M44" s="185">
        <v>0.61</v>
      </c>
      <c r="N44" s="186" t="s">
        <v>297</v>
      </c>
      <c r="O44" s="185" t="s">
        <v>60</v>
      </c>
      <c r="P44" s="187">
        <v>0.91</v>
      </c>
      <c r="Q44" s="187">
        <f>IF(Reinforcements[[#This Row],[Reinforcement]]="","",SQRT(Reinforcements[[#This Row],[Ix]]/Reinforcements[[#This Row],[Gross Area (in2)]]))</f>
        <v>0.46940279403817731</v>
      </c>
      <c r="R44" s="187">
        <v>11.86</v>
      </c>
      <c r="S44" s="187">
        <f>IF(Reinforcements[[#This Row],[Reinforcement]]="","",SQRT(Reinforcements[[#This Row],[Iy]]/Reinforcements[[#This Row],[Gross Area (in2)]]))</f>
        <v>1.6946004550274312</v>
      </c>
      <c r="T44" s="190">
        <v>18</v>
      </c>
      <c r="U44" s="188">
        <v>0.8</v>
      </c>
      <c r="V44" s="188">
        <v>1</v>
      </c>
      <c r="W44" s="185">
        <v>1.25</v>
      </c>
      <c r="X44" s="188">
        <f>IF(Reinforcements[[#This Row],[Bolt Hole Size (in)]]="","",IF(Reinforcements[[#This Row],[Bolt Hole Size (in)]]="n/a","n/a",Reinforcements[[#This Row],[Bolt Hole Size (in)]]*25.4))</f>
        <v>31.75</v>
      </c>
      <c r="Y44"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3.5656249999999998</v>
      </c>
      <c r="Z44" s="185">
        <f>IFERROR(IF(Reinforcements[[#This Row],[Reinforcement]]="","",IF(OR(Reinforcements[[#This Row],[Type]]="plate",Reinforcements[[#This Row],[Type]]="solid round"),1,IF(Reinforcements[[#This Row],[Type]]="arbitrary","",1-Reinforcements[[#This Row],[Pole Face to Centroid (in)]]/Reinforcements[[#This Row],[Connection Length (in) '[Channels']]]))),"")</f>
        <v>0.95933333333333337</v>
      </c>
      <c r="AA44" s="200" t="s">
        <v>391</v>
      </c>
      <c r="AB44" s="200" t="str">
        <f>IF(Reinforcements[[#This Row],[Reinforcement]]="","",IF(Reinforcements[[#This Row],[Bottom End Connection Type]]&lt;&gt;"Capacity Input","-",""))</f>
        <v>-</v>
      </c>
      <c r="AC44" s="200" t="str">
        <f>IF(Reinforcements[[#This Row],[Reinforcement]]="","",IF(Reinforcements[[#This Row],[Bottom End Connection Type]]&lt;&gt;"Capacity Input","-",""))</f>
        <v>-</v>
      </c>
      <c r="AD44" s="461" t="str">
        <f>IF(Reinforcements[[#This Row],[Reinforcement]]="","",IF(Reinforcements[[#This Row],[Bottom End Connection Type]]&lt;&gt;"Capacity Input","-",""))</f>
        <v>-</v>
      </c>
      <c r="AE44" s="103" t="s">
        <v>416</v>
      </c>
      <c r="AF44" s="190" t="s">
        <v>296</v>
      </c>
      <c r="AG44" s="190">
        <v>6</v>
      </c>
      <c r="AH44" s="190">
        <v>3</v>
      </c>
      <c r="AI44" s="190">
        <v>2</v>
      </c>
      <c r="AJ44" s="190">
        <f>Reinforcements[[#This Row],[End Connection Edge Distance (in) (B)]]-(Reinforcements[[#This Row],[Bolt Hole Size (in)]]+1/16)/2</f>
        <v>1.34375</v>
      </c>
      <c r="AK44" s="190">
        <f>Reinforcements[[#This Row],[End Connection Bolt Spacing (in) (B)]]-(Reinforcements[[#This Row],[Bolt Hole Size (in)]]+1/16)</f>
        <v>1.6875</v>
      </c>
      <c r="AL44" s="190">
        <f>Reinforcements[[#This Row],[End Connection Edge Distance (in) (B)]]</f>
        <v>2</v>
      </c>
      <c r="AM44" s="190">
        <f>Reinforcements[[#This Row],[End Connection Bolt Spacing (in) (B)]]</f>
        <v>3</v>
      </c>
      <c r="AN44" s="190" t="str">
        <f>IF(Reinforcements[[#This Row],[Reinforcement]]="","",IF(OR(Reinforcements[[#This Row],[Bottom End Connection Type]]="Bolted",Reinforcements[[#This Row],[Bottom End Connection Type]]=""),"-",""))</f>
        <v>-</v>
      </c>
      <c r="AO44" s="191" t="str">
        <f>IF(Reinforcements[[#This Row],[Reinforcement]]="","",IF(OR(Reinforcements[[#This Row],[Bottom End Connection Type]]="Bolted",Reinforcements[[#This Row],[Bottom End Connection Type]]=""),"-",""))</f>
        <v>-</v>
      </c>
      <c r="AP44" s="191" t="str">
        <f>IF(Reinforcements[[#This Row],[Reinforcement]]="","",IF(OR(Reinforcements[[#This Row],[Bottom End Connection Type]]="Bolted",Reinforcements[[#This Row],[Bottom End Connection Type]]=""),"-",""))</f>
        <v>-</v>
      </c>
      <c r="AQ44" s="191" t="str">
        <f>IF(OR(Reinforcements[[#This Row],[Bottom End Connection Type]]="Bolted",Reinforcements[[#This Row],[Bottom Transverse (Horizontal) Weld]]="none"),"-","")</f>
        <v>-</v>
      </c>
      <c r="AR4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4" s="191" t="str">
        <f>IF(OR(Reinforcements[[#This Row],[Bottom Transverse (Horizontal) Weld]]="none",Reinforcements[[#This Row],[Bottom End Connection Type]]="Bolted"),"-","")</f>
        <v>-</v>
      </c>
      <c r="AU44"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4" s="191" t="str">
        <f>IF(Reinforcements[[#This Row],[Reinforcement]]="","",IF(OR(Reinforcements[[#This Row],[Bottom End Connection Type]]="Bolted",Reinforcements[[#This Row],[Bottom End Connection Type]]=""),"-",""))</f>
        <v>-</v>
      </c>
      <c r="AW44" s="191" t="str">
        <f>IF(Reinforcements[[#This Row],[Reinforcement]]="","",IF(OR(Reinforcements[[#This Row],[Bottom End Connection Type]]&lt;&gt;"Welded",Reinforcements[[#This Row],[Bottom Longitudinal (Vertical) Weld]]="None",Reinforcements[[#This Row],[Bottom Longitudinal (Vertical) Weld]]=""),"-",""))</f>
        <v>-</v>
      </c>
      <c r="AX44" s="191" t="str">
        <f>IF(Reinforcements[[#This Row],[Reinforcement]]="","",IF(OR(Reinforcements[[#This Row],[Bottom End Connection Type]]&lt;&gt;"Welded",Reinforcements[[#This Row],[Bottom Longitudinal (Vertical) Weld]]="None",Reinforcements[[#This Row],[Bottom Longitudinal (Vertical) Weld]]=""),"-",""))</f>
        <v>-</v>
      </c>
      <c r="AY44" s="190" t="str">
        <f>IF(Reinforcements[[#This Row],[Reinforcement]]="","",IF(OR(Reinforcements[[#This Row],[Bottom End Connection Type]]&lt;&gt;"Welded",Reinforcements[[#This Row],[Bottom Longitudinal (Vertical) Weld]]="None"),"-",SQRT(2)/2*Reinforcements[[#This Row],[Bottom Longitudinal Weld Fillet Size (in)]]))</f>
        <v>-</v>
      </c>
      <c r="AZ44" s="191" t="s">
        <v>295</v>
      </c>
      <c r="BA44" s="189" t="str">
        <f>IF(Reinforcements[[#This Row],[Top End Connection Same?]]="Yes",Reinforcements[[#This Row],[Bottom End Connection Type]],"")</f>
        <v>Bolted</v>
      </c>
      <c r="BB44" s="189" t="str">
        <f>IF(Reinforcements[[#This Row],[Reinforcement]]="","",IF(Reinforcements[[#This Row],[Top End Connection Same?]]="Yes",Reinforcements[[#This Row],[Rev. F Bottom Connection Capacity (kips)]],IF(Reinforcements[[#This Row],[Reinforcement]]="","",IF(Reinforcements[[#This Row],[Top End Connection Type]]&lt;&gt;"Capacity Input","-",""))))</f>
        <v>-</v>
      </c>
      <c r="BC44" s="189" t="str">
        <f>IF(Reinforcements[[#This Row],[Reinforcement]]="","",IF(Reinforcements[[#This Row],[Top End Connection Same?]]="Yes",Reinforcements[[#This Row],[Rev. G Bottom Connection Capacity (kips)]],IF(Reinforcements[[#This Row],[Reinforcement]]="","",IF(Reinforcements[[#This Row],[Top End Connection Type]]&lt;&gt;"Capacity Input","-",""))))</f>
        <v>-</v>
      </c>
      <c r="BD44" s="461" t="str">
        <f>IF(Reinforcements[[#This Row],[Reinforcement]]="","",IF(Reinforcements[[#This Row],[Top End Connection Same?]]="Yes",Reinforcements[[#This Row],[Rev. G Bottom Connection Capacity (kips)]],IF(Reinforcements[[#This Row],[Reinforcement]]="","",IF(Reinforcements[[#This Row],[Top End Connection Type]]&lt;&gt;"Capacity Input","-",""))))</f>
        <v>-</v>
      </c>
      <c r="BE44" s="103" t="str">
        <f>IF(Reinforcements[[#This Row],[Top End Connection Same?]]="Yes",Reinforcements[[#This Row],[Bottom End Connection Bolt Type]],IF(Reinforcements[[#This Row],[Top End Connection Type]]="Welded","-",""))</f>
        <v>PC 8.8 - M20 (100)</v>
      </c>
      <c r="BF44" s="190" t="str">
        <f>IF(Reinforcements[[#This Row],[Top End Connection Same?]]="Yes",Reinforcements[[#This Row],[Threads Included (N) or Excluded (X) (Bottom)]],IF(Reinforcements[[#This Row],[Top End Connection Type]]="Welded","-",""))</f>
        <v>N</v>
      </c>
      <c r="BG44" s="190">
        <f>IF(Reinforcements[[#This Row],[Top End Connection Same?]]="Yes",Reinforcements[[#This Row],['# of End Connection Bolts          (Bottom)]],IF(Reinforcements[[#This Row],[Top End Connection Type]]="Welded","-",""))</f>
        <v>6</v>
      </c>
      <c r="BH44" s="190">
        <f>IF(Reinforcements[[#This Row],[Top End Connection Same?]]="Yes",Reinforcements[[#This Row],[End Connection Bolt Spacing (in) (B)]],IF(Reinforcements[[#This Row],[Top End Connection Type]]="Welded","-",""))</f>
        <v>3</v>
      </c>
      <c r="BI44" s="190">
        <f>IF(Reinforcements[[#This Row],[Top End Connection Same?]]="Yes",Reinforcements[[#This Row],[End Connection Edge Distance (in) (B)]],IF(Reinforcements[[#This Row],[Top End Connection Type]]="Welded","-",""))</f>
        <v>2</v>
      </c>
      <c r="BJ44" s="190">
        <f>Reinforcements[[#This Row],[End Connection Edge Distance (in) (T)]]-(Reinforcements[[#This Row],[Bolt Hole Size (in)]]+1/16)/2</f>
        <v>1.34375</v>
      </c>
      <c r="BK44" s="190">
        <f>Reinforcements[[#This Row],[End Connection Bolt Spacing (in) (T)]]-(Reinforcements[[#This Row],[Bolt Hole Size (in)]]+1/16)</f>
        <v>1.6875</v>
      </c>
      <c r="BL44" s="237">
        <f>Reinforcements[[#This Row],[End Connection Edge Distance (in) (T)]]</f>
        <v>2</v>
      </c>
      <c r="BM44" s="237">
        <f>Reinforcements[[#This Row],[End Connection Bolt Spacing (in) (T)]]</f>
        <v>3</v>
      </c>
      <c r="BN44" s="237" t="str">
        <f>IF(Reinforcements[[#This Row],[Reinforcement]]="","",IF(Reinforcements[[#This Row],[Top End Connection Same?]]="Yes",Reinforcements[[#This Row],[Bottom Connected to Flange/Base Plate?]],IF(Reinforcements[[#This Row],[Top End Connection Type]]="Bolted","-","")))</f>
        <v>-</v>
      </c>
      <c r="BO44" s="237" t="str">
        <f>IF(Reinforcements[[#This Row],[Reinforcement]]="","",IF(Reinforcements[[#This Row],[Top End Connection Same?]]="Yes",Reinforcements[[#This Row],[Bottom Weld Grade (ksi)]],IF(OR(Reinforcements[[#This Row],[Top End Connection Type]]&lt;&gt;"Welded",Reinforcements[[#This Row],[Top End Connection Type]]=""),"-","")))</f>
        <v>-</v>
      </c>
      <c r="BP44" s="237" t="str">
        <f>IF($AZ44="Yes",AP44,IF(Reinforcements[[#This Row],[Reinforcement]]="","",IF(OR(Reinforcements[[#This Row],[Top End Connection Type]]&lt;&gt;"Welded",Reinforcements[[#This Row],[Top End Connection Type]]=""),"-","")))</f>
        <v>-</v>
      </c>
      <c r="BQ44" s="237" t="str">
        <f>IF(Reinforcements[[#This Row],[Reinforcement]]="","",IF($AZ44="Yes",AQ44,IF(OR(Reinforcements[[#This Row],[Top End Connection Type]]&lt;&gt;"Welded",Reinforcements[[#This Row],[Top Transverse (Horizontal) Weld]]="none",Reinforcements[[#This Row],[Top Transverse (Horizontal) Weld]]=""),"-","")))</f>
        <v>-</v>
      </c>
      <c r="BR44" s="237" t="str">
        <f>IF($AZ44="Yes",AR44,IF(Reinforcements[[#This Row],[Reinforcement]]="","",IF(OR(Reinforcements[[#This Row],[Top Transverse (Horizontal) Weld]]="none",Reinforcements[[#This Row],[Top End Connection Type]]&lt;&gt;"Welded",Reinforcements[[#This Row],[Top Transverse (Horizontal) Weld]]="",Reinforcements[[#This Row],[Top Transverse (Horizontal) Weld]]="Fillet"),"-","")))</f>
        <v>-</v>
      </c>
      <c r="BS44" s="237" t="str">
        <f>IF($AZ44="Yes",AS44,IF(Reinforcements[[#This Row],[Reinforcement]]="","",IF(OR(Reinforcements[[#This Row],[Top Transverse (Horizontal) Weld]]="none",Reinforcements[[#This Row],[Top End Connection Type]]&lt;&gt;"Welded",Reinforcements[[#This Row],[Top Transverse (Horizontal) Weld]]="",Reinforcements[[#This Row],[Top Transverse (Horizontal) Weld]]="Fillet"),"-","")))</f>
        <v>-</v>
      </c>
      <c r="BT44" s="237" t="str">
        <f>IF(Reinforcements[[#This Row],[Reinforcement]]="","",IF($AZ44="Yes",AT44,IF(OR(Reinforcements[[#This Row],[Top Transverse (Horizontal) Weld]]="none",Reinforcements[[#This Row],[Top End Connection Type]]&lt;&gt;"Welded",Reinforcements[[#This Row],[Top Transverse (Horizontal) Weld]]=""),"-","")))</f>
        <v>-</v>
      </c>
      <c r="BU44" s="237" t="str">
        <f>IF($AZ44="Yes",AU44,IF(Reinforcements[[#This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4" s="237" t="str">
        <f>IF($AZ44="Yes",AV44,IF(Reinforcements[[#This Row],[Reinforcement]]="","",IF(OR(Reinforcements[[#This Row],[Top End Connection Type]]&lt;&gt;"Welded",Reinforcements[[#This Row],[Top End Connection Type]]=""),"-","")))</f>
        <v>-</v>
      </c>
      <c r="BW44" s="237" t="str">
        <f>IF($AZ44="Yes",AW44,IF(Reinforcements[[#This Row],[Reinforcement]]="","",IF(OR(Reinforcements[[#This Row],[Top End Connection Type]]&lt;&gt;"Welded",Reinforcements[[#This Row],[Top End Connection Type]]="",Reinforcements[[#This Row],[Top Longitudinal (Vertical) Weld]]="",Reinforcements[[#This Row],[Top Longitudinal (Vertical) Weld]]="None"),"-","")))</f>
        <v>-</v>
      </c>
      <c r="BX44" s="237" t="str">
        <f>IF($AZ44="Yes",AX44,IF(Reinforcements[[#This Row],[Reinforcement]]="","",IF(OR(Reinforcements[[#This Row],[Top End Connection Type]]&lt;&gt;"Welded",Reinforcements[[#This Row],[Top End Connection Type]]="",Reinforcements[[#This Row],[Top Longitudinal (Vertical) Weld]]="",Reinforcements[[#This Row],[Top Longitudinal (Vertical) Weld]]="None"),"-","")))</f>
        <v>-</v>
      </c>
      <c r="BY44" s="237" t="str">
        <f>IF($AZ44="Yes",AY44,IF(Reinforcements[[#This Row],[Reinforcement]]="","",IF(OR(Reinforcements[[#This Row],[Top End Connection Type]]&lt;&gt;"Welded",Reinforcements[[#This Row],[Top Longitudinal (Vertical) Weld]]="none"),"-",SQRT(2)/2*Reinforcements[[#This Row],[Top Longitudinal Weld Fillet Size (in)]])))</f>
        <v>-</v>
      </c>
      <c r="BZ44"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15</v>
      </c>
      <c r="CA44" s="238">
        <f>IF(Reinforcements[[#This Row],[Reinforcement]]="","",IF(Reinforcements[[#This Row],[Bottom End Connection Type]]&lt;&gt;"Bolted","n/a",(Reinforcements[[#This Row],['# of End Connection Bolts          (Bottom)]]-1)*Reinforcements[[#This Row],[End Connection Bolt Spacing (in) (B)]]+Reinforcements[[#This Row],[End Connection Edge Distance (in) (B)]]))</f>
        <v>17</v>
      </c>
      <c r="CB44" s="238">
        <f>IF(Reinforcements[[#This Row],[Reinforcement]]="","",IF(Reinforcements[[#This Row],[Top End Connection Type]]&lt;&gt;"Bolted","n/a",(Reinforcements[[#This Row],['# of End Connection Bolts          (Top)]]-1)*Reinforcements[[#This Row],[End Connection Bolt Spacing (in) (T)]]+Reinforcements[[#This Row],[End Connection Edge Distance (in) (T)]]))</f>
        <v>17</v>
      </c>
      <c r="CC44"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3.3852459016393444</v>
      </c>
      <c r="CD44"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1.22</v>
      </c>
      <c r="CE44" s="236">
        <f>IFERROR(IF(Reinforcements[[#This Row],[Type]]="","",Reinforcements[[#This Row],[Effective B (in)]]*Reinforcements[[#This Row],[Effective H (in)]]^3/12),"")</f>
        <v>0.51225766666666661</v>
      </c>
      <c r="CF44" s="236">
        <f>IFERROR(IF(Reinforcements[[#This Row],[Type]]="","",Reinforcements[[#This Row],[Effective B (in)]]^3*Reinforcements[[#This Row],[Effective H (in)]]/12),"")</f>
        <v>3.9441120778464573</v>
      </c>
      <c r="CG44" s="235">
        <f>SQRT(2*PI()^2*29000/VLOOKUP(Reinforcements[[#This Row],[Material]],Materials[],2,FALSE))</f>
        <v>93.844147005158973</v>
      </c>
      <c r="CH44"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34.471116467619957</v>
      </c>
      <c r="CI44"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37.791837391707745</v>
      </c>
      <c r="CJ44" s="239">
        <f>Reinforcements[[#This Row],[Effective Length Factor Kx]]*Reinforcements[[#This Row],[Lu (in)]]/(Reinforcements[[#This Row],[rx]]*PI())*SQRT(VLOOKUP(Reinforcements[[#This Row],[Material]],Materials[],2,FALSE)/29000)</f>
        <v>0.46230078240000971</v>
      </c>
      <c r="CK44" s="239">
        <f>Reinforcements[[#This Row],[Effective Length Factor Ky]]*Reinforcements[[#This Row],[Lu (in)]]/(Reinforcements[[#This Row],[ry]]*PI())*SQRT(VLOOKUP(Reinforcements[[#This Row],[Material]],Materials[],2,FALSE)/29000)</f>
        <v>0.1600711234769254</v>
      </c>
      <c r="CL44" s="239">
        <f>IF(Reinforcements[[#This Row],[λcx]]&lt;=1.5,0.658^(Reinforcements[[#This Row],[λcx]]^2)*Reinforcements[[#This Row],[F''y]],0.877/(Reinforcements[[#This Row],[λcx]]^2)*Reinforcements[[#This Row],[F''y]])</f>
        <v>59.438005611781477</v>
      </c>
      <c r="CM44" s="239">
        <f>IF(Reinforcements[[#This Row],[λcy]]&lt;=1.5,0.658^(Reinforcements[[#This Row],[λcy]]^2)*Reinforcements[[#This Row],[F''y]],0.877/(Reinforcements[[#This Row],[λcy]]^2)*Reinforcements[[#This Row],[F''y]])</f>
        <v>64.306637493554334</v>
      </c>
      <c r="CN44" s="236">
        <f>VLOOKUP(Reinforcements[[#This Row],[Material]],Materials[],2,FALSE)</f>
        <v>65</v>
      </c>
      <c r="CO44" s="235">
        <f>IF(Reinforcements[[#This Row],[Reinforcement]]="","",Reinforcements[[#This Row],[Fax]]*Reinforcements[[#This Row],[Gross Area (in2)]])</f>
        <v>142.36571101127041</v>
      </c>
      <c r="CP44" s="235">
        <f>IF(Reinforcements[[#This Row],[Reinforcement]]="","",Reinforcements[[#This Row],[Fay]]*Reinforcements[[#This Row],[Gross Area (in2)]])</f>
        <v>156.08028842775298</v>
      </c>
      <c r="CQ44" s="235">
        <f>IF(Reinforcements[[#This Row],[Reinforcement]]="","",0.6*VLOOKUP(Reinforcements[[#This Row],[Material]],Materials[],2,FALSE)*Reinforcements[[#This Row],[Gross Area (in2)]])</f>
        <v>161.07</v>
      </c>
      <c r="CR44" s="235">
        <f>IF(Reinforcements[[#This Row],[Reinforcement]]="","",0.5*VLOOKUP(Reinforcements[[#This Row],[Material]],Materials[],3,FALSE)*Reinforcements[[#This Row],[Net Area (in2)]]*Reinforcements[[#This Row],[Shear Lag (U)]])</f>
        <v>136.82491666666667</v>
      </c>
      <c r="CS44" s="235">
        <f>IF(Reinforcements[[#This Row],[Reinforcement]]="","",0.4*VLOOKUP(Reinforcements[[#This Row],[Material]],Materials[],2,FALSE)*Reinforcements[[#This Row],[Gross Area (in2)]])</f>
        <v>107.38</v>
      </c>
      <c r="CT44"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44"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44"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44"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44"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44"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44"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282.78425196850395</v>
      </c>
      <c r="DA44"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316.91338582677167</v>
      </c>
      <c r="DB44"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282.78425196850395</v>
      </c>
      <c r="DC44"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316.91338582677167</v>
      </c>
      <c r="DD44"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4"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4" s="237" t="str">
        <f>IF($AZ44="Yes",DD44,IF(Reinforcements[[#This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4" s="237" t="str">
        <f>IF($AZ44="Yes",DE44,IF(Reinforcements[[#This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4" s="235">
        <f>IF(Reinforcements[[#This Row],[Reinforcement]]="","",φ_c*Reinforcements[[#This Row],[Fcr,x]]*Reinforcements[[#This Row],[Gross Area (in2)]])</f>
        <v>220.93106685899176</v>
      </c>
      <c r="DI44" s="235">
        <f>IF(Reinforcements[[#This Row],[Reinforcement]]="","",φ_c*Reinforcements[[#This Row],[Fcr,y]]*Reinforcements[[#This Row],[Gross Area (in2)]])</f>
        <v>239.02777156354145</v>
      </c>
      <c r="DJ44" s="235">
        <f>IF(Reinforcements[[#This Row],[Reinforcement]]="","",φ_t_y*VLOOKUP(Reinforcements[[#This Row],[Material]],Materials[],2,FALSE)*Reinforcements[[#This Row],[Gross Area (in2)]])</f>
        <v>241.60499999999999</v>
      </c>
      <c r="DK44" s="235">
        <f>IF(Reinforcements[[#This Row],[Reinforcement]]="","",φ_t_r*VLOOKUP(Reinforcements[[#This Row],[Material]],Materials[],3,FALSE)*Reinforcements[[#This Row],[Net Area (in2)]]*Reinforcements[[#This Row],[Shear Lag (U)]])</f>
        <v>205.23737500000001</v>
      </c>
      <c r="DL44" s="235">
        <f>IF(Reinforcements[[#This Row],[Reinforcement]]="","",φ_v*0.5*Reinforcements[[#This Row],[F''y]]*Reinforcements[[#This Row],[Gross Area (in2)]])</f>
        <v>120.80249999999999</v>
      </c>
      <c r="DM44"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44"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44"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11.662204724409449</v>
      </c>
      <c r="DP44"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14.577755905511811</v>
      </c>
      <c r="DQ44"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11.662204724409449</v>
      </c>
      <c r="DR44"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14.577755905511811</v>
      </c>
      <c r="DS44"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379.57285039370078</v>
      </c>
      <c r="DT44"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474.46606299212601</v>
      </c>
      <c r="DU44"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379.57285039370078</v>
      </c>
      <c r="DV44"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474.46606299212601</v>
      </c>
      <c r="DW44"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4"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4" s="237" t="str">
        <f>IF($AZ44="Yes",DW44,IF(Reinforcements[[#This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4" s="237" t="str">
        <f>IF($AZ44="Yes",DX44,IF(Reinforcements[[#This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4" s="238">
        <f>IF(OR(Reinforcements[[#This Row],[Type]]="plate",Reinforcements[[#This Row],[Type]]="solid round"),"N/A",Reinforcements[[#This Row],[B (in)]])</f>
        <v>4.78</v>
      </c>
      <c r="EB44" s="236">
        <f>IF(OR(Reinforcements[[#This Row],[Type]]="plate",Reinforcements[[#This Row],[Type]]="solid round"),"N/A",Reinforcements[[#This Row],[H (in)]])</f>
        <v>1.61</v>
      </c>
      <c r="EC44" s="236">
        <f>IF(OR(Reinforcements[[#This Row],[Type]]="plate",Reinforcements[[#This Row],[Type]]="solid round"),"N/A",Reinforcements[[#This Row],[B (in)]]-Reinforcements[[#This Row],['[Channel'] Flange Thickness (in)]])</f>
        <v>3.9400000000000004</v>
      </c>
      <c r="ED44" s="236">
        <f>IF(OR(Reinforcements[[#This Row],[Type]]="plate",Reinforcements[[#This Row],[Type]]="solid round"),"N/A",Reinforcements[[#This Row],['[Channel']Web Thickness (in)]])</f>
        <v>0.43</v>
      </c>
      <c r="EE44" s="236">
        <f>IF(OR(Reinforcements[[#This Row],[Type]]="plate",Reinforcements[[#This Row],[Type]]="solid round"),"N/A",Reinforcements[[#This Row],['[Channel'] Flange Thickness (in)]])</f>
        <v>0.84</v>
      </c>
      <c r="EF44" s="236">
        <f>IF(Reinforcements[[#This Row],[Type]]="channel",Reinforcements[[#This Row],[Channel Flange Width, b]]/Reinforcements[[#This Row],[Channel flange thickness, tf]],"N/A")</f>
        <v>1.916666666666667</v>
      </c>
      <c r="EG44" s="236">
        <f>IF(Reinforcements[[#This Row],[Type]]="channel",Reinforcements[[#This Row],[Channel inside depth, T]]/Reinforcements[[#This Row],[Channel web thickness, tw]],"N/A")</f>
        <v>9.1627906976744189</v>
      </c>
      <c r="EH44" s="237">
        <v>29000</v>
      </c>
      <c r="EI44" s="236">
        <f>IF(Reinforcements[[#This Row],[Type]]="channel",0.56*SQRT(Reinforcements[[#This Row],[E, (ksi)]]/Reinforcements[[#This Row],[Fy, (ksi)]]),"N/A")</f>
        <v>11.828518341442694</v>
      </c>
      <c r="EJ44" s="236">
        <f>IF(Reinforcements[[#This Row],[Type]]="channel",1.49*SQRT(Reinforcements[[#This Row],[E, (ksi)]]/Reinforcements[[#This Row],[Fy, (ksi)]]),"N/A")</f>
        <v>31.472307729910018</v>
      </c>
      <c r="EK44" s="236">
        <f>VLOOKUP(Reinforcements[[#This Row],[Material]],Materials!$B$2:$C$30,2,FALSE)</f>
        <v>65</v>
      </c>
      <c r="EL44" s="236">
        <f>Reinforcements[[#This Row],[Lu (in)]]*Reinforcements[[#This Row],[Effective Length Factor Kx]]</f>
        <v>14.4</v>
      </c>
      <c r="EM44" s="236">
        <f>Reinforcements[[#This Row],[Lu (in)]]*Reinforcements[[#This Row],[Effective Length Factor Ky]]</f>
        <v>18</v>
      </c>
      <c r="EN44" s="236">
        <f>Reinforcements[[#This Row],[rx]]</f>
        <v>0.46940279403817731</v>
      </c>
      <c r="EO44" s="236">
        <f>Reinforcements[[#This Row],[ry]]</f>
        <v>1.6946004550274312</v>
      </c>
      <c r="EP44" s="236">
        <f>Reinforcements[[#This Row],[Lcx (in)]]/Reinforcements[[#This Row],[rx (in)]]</f>
        <v>30.677277985756568</v>
      </c>
      <c r="EQ44" s="236">
        <f>Reinforcements[[#This Row],[Lcy (in)]]/Reinforcements[[#This Row],[ry (in)]]</f>
        <v>10.621972835306849</v>
      </c>
      <c r="ER44" s="236">
        <f>((PI()^2)*Reinforcements[[#This Row],[E, (ksi)]])/(Reinforcements[[#This Row],[Lcx/rx]]^2)</f>
        <v>304.13338786967461</v>
      </c>
      <c r="ES44" s="236">
        <f>((PI()^2)*Reinforcements[[#This Row],[E, (ksi)]])/(Reinforcements[[#This Row],[Lcy/ry]]^2)</f>
        <v>2536.806667347229</v>
      </c>
      <c r="ET44" s="236">
        <f>4.71*(SQRT(Reinforcements[[#This Row],[E, (ksi)]]/Reinforcements[[#This Row],[Fy, (ksi)]]))</f>
        <v>99.486288193205496</v>
      </c>
      <c r="EU44" s="236">
        <f>IF(Reinforcements[[#This Row],[Lcx/rx]]&lt;=Reinforcements[[#This Row],[Fcr Limit]],(0.658^(Reinforcements[[#This Row],[Fy, (ksi)]]/Reinforcements[[#This Row],[Fex, FB (ksi)]]))*Reinforcements[[#This Row],[Fy, (ksi)]],0.877*Reinforcements[[#This Row],[Fex, FB (ksi)]])</f>
        <v>59.438005611781477</v>
      </c>
      <c r="EV44" s="236">
        <f>IF(Reinforcements[[#This Row],[Lcy/ry]]&lt;=Reinforcements[[#This Row],[Fcr Limit]],(0.658^(Reinforcements[[#This Row],[Fy, (ksi)]]/Reinforcements[[#This Row],[Fey, FB (ksi)]]))*Reinforcements[[#This Row],[Fy, (ksi)]],0.877*Reinforcements[[#This Row],[Fey, FB (ksi)]])</f>
        <v>64.306637493554334</v>
      </c>
      <c r="EW44" s="236">
        <f>Reinforcements[[#This Row],[Fcrx (ksi)]]*Reinforcements[[#This Row],[Gross Area (in2)]]</f>
        <v>245.47896317665749</v>
      </c>
      <c r="EX44" s="236">
        <f>Reinforcements[[#This Row],[Fcry (ksi)]]*Reinforcements[[#This Row],[Gross Area (in2)]]</f>
        <v>265.58641284837938</v>
      </c>
      <c r="EY44" s="236">
        <f>IF(Reinforcements[[#This Row],[Type]]="channel",0,"N/A")</f>
        <v>0</v>
      </c>
      <c r="EZ44" s="236">
        <f>IF(Reinforcements[[#This Row],[Type]]="channel",Reinforcements[[#This Row],[Channel Flange Width, b]]-(0.5*Reinforcements[[#This Row],[Channel web thickness, tw]]),"N/A")</f>
        <v>1.395</v>
      </c>
      <c r="FA44" s="236">
        <f>IF(Reinforcements[[#This Row],[Type]]="channel",Reinforcements[[#This Row],[Channel Height, h]]-Reinforcements[[#This Row],[Channel flange thickness, tf]],"N/A")</f>
        <v>3.9400000000000004</v>
      </c>
      <c r="FB44" s="236">
        <f>IF(Reinforcements[[#This Row],[Type]]="channel",Reinforcements[[#This Row],[Channel web thickness, tw]],"N/A")</f>
        <v>0.43</v>
      </c>
      <c r="FC44" s="236">
        <f>IF(Reinforcements[[#This Row],[Type]]="channel",((3*Reinforcements[[#This Row],[b]]^2)/(Reinforcements[[#This Row],[h]]+(6*Reinforcements[[#This Row],[b]])))-Reinforcements[[#This Row],[t]]/2,"N/A")</f>
        <v>0.25925467099918753</v>
      </c>
      <c r="FD44" s="236">
        <f>Reinforcements[[#This Row],[Pole Face to Centroid (in)]]</f>
        <v>0.61</v>
      </c>
      <c r="FE44" s="236">
        <f>IF(Reinforcements[[#This Row],[Type]]="channel",Reinforcements[[#This Row],[x(bar)]]+Reinforcements[[#This Row],['[Channel'] e0 (in)]],"N/A")</f>
        <v>0.86925467099918752</v>
      </c>
      <c r="FF44" s="236">
        <f>IF(Reinforcements[[#This Row],[Type]]="channel",Reinforcements[[#This Row],[Ix]],"N/A")</f>
        <v>0.91</v>
      </c>
      <c r="FG44" s="236">
        <f>IF(Reinforcements[[#This Row],[Type]]="channel",Reinforcements[[#This Row],[Iy]],"N/A")</f>
        <v>11.86</v>
      </c>
      <c r="FH44" s="236">
        <f>IF(Reinforcements[[#This Row],[Type]]="channel",Reinforcements[[#This Row],[Gross Area (in2)]],"N/A")</f>
        <v>4.13</v>
      </c>
      <c r="FI44" s="236">
        <f>IF(Reinforcements[[#This Row],[Type]]="channel",(Reinforcements[[#This Row],[xo]]^2)+((Reinforcements[[#This Row],[Ix (FTB)]]+Reinforcements[[#This Row],[Iy (FTB)]])/Reinforcements[[#This Row],[Ag]]),"N/A")</f>
        <v>3.84761336828393</v>
      </c>
      <c r="FJ44" s="236">
        <f>IF(Reinforcements[[#This Row],[Type]]="channel",Reinforcements[[#This Row],[Lu (in)]],"N/A")</f>
        <v>18</v>
      </c>
      <c r="FK44" s="236">
        <f>IF(Reinforcements[[#This Row],[Type]]="channel",Reinforcements[[#This Row],[Effective Length Factor Kx]],"N/A")</f>
        <v>0.8</v>
      </c>
      <c r="FL44" s="236">
        <f>IF(Reinforcements[[#This Row],[Type]]="channel",Reinforcements[[#This Row],[Kz]]*Reinforcements[[#This Row],[Lz]],"N/A")</f>
        <v>14.4</v>
      </c>
      <c r="FM44" s="236">
        <f>IF(Reinforcements[[#This Row],[Type]]="channel",(((Reinforcements[[#This Row],[t]]^3)/3)*(Reinforcements[[#This Row],[h]]+(2*Reinforcements[[#This Row],[b]]))),"N/A")</f>
        <v>0.17836070333333334</v>
      </c>
      <c r="FN44" s="236">
        <f>IF(Reinforcements[[#This Row],[Type]]="channel",(1-(((Reinforcements[[#This Row],[xo]]^2)+(Reinforcements[[#This Row],[yo]]^2))/Reinforcements[[#This Row],[ro^2(bar)]])),"N/A")</f>
        <v>0.80361756477862745</v>
      </c>
      <c r="FO44" s="237">
        <v>11200</v>
      </c>
      <c r="FP44" s="236">
        <f>IF(Reinforcements[[#This Row],[Type]]="channel",(((Reinforcements[[#This Row],[h]]^2)*(Reinforcements[[#This Row],[b]]^3)*Reinforcements[[#This Row],[t]])/12)*(((2*Reinforcements[[#This Row],[h]])+(3*Reinforcements[[#This Row],[b]]))/(Reinforcements[[#This Row],[h]]+(6*Reinforcements[[#This Row],[b]]))),"N/A")</f>
        <v>1.4800335127028132</v>
      </c>
      <c r="FQ44" s="236">
        <f>IF(Reinforcements[[#This Row],[Type]]="Channel",((((PI()^2)*Reinforcements[[#This Row],[E, (ksi)]]*Reinforcements[[#This Row],['[Channel'] CW (in6)]])/(Reinforcements[[#This Row],[Lcz]]^2))+(Reinforcements[[#This Row],[G]]*Reinforcements[[#This Row],['[Channel'] J (in4)]]))*(1/(Reinforcements[[#This Row],[Ag]]*Reinforcements[[#This Row],[ro^2(bar)]])),"N/A")</f>
        <v>254.27080909373231</v>
      </c>
      <c r="FR44" s="236">
        <f>IF(Reinforcements[[#This Row],[Type]]="channel",((PI()^2)*Reinforcements[[#This Row],[E, (ksi)]])/(Reinforcements[[#This Row],[Lcy/ry]]^2),"N/A")</f>
        <v>2536.806667347229</v>
      </c>
      <c r="FS44" s="236">
        <f>IF(Reinforcements[[#This Row],[Type]]="channel",((Reinforcements[[#This Row],[Fey]]+Reinforcements[[#This Row],[Fez]])/(2*Reinforcements[[#This Row],[H2]]))*(1-SQRT(1-((4*Reinforcements[[#This Row],[Fey]]*Reinforcements[[#This Row],[Fez]]*Reinforcements[[#This Row],[H2]])/(Reinforcements[[#This Row],[Fey]]+Reinforcements[[#This Row],[Fez]])^2))),"N/A")</f>
        <v>248.9509329434444</v>
      </c>
      <c r="FT44" s="236">
        <f>IF(Reinforcements[[#This Row],[Type]]="channel",IF(Reinforcements[[#This Row],[Lcx/rx]]&gt;(4.71*SQRT(Reinforcements[[#This Row],[E, (ksi)]]/Reinforcements[[#This Row],[Fy, (ksi)]])),0.877*Reinforcements[[#This Row],[Fe (FTB)]],0.658^(Reinforcements[[#This Row],[Fy, (ksi)]]/Reinforcements[[#This Row],[Fe (FTB)]])*Reinforcements[[#This Row],[Fy, (ksi)]]),"N/A")</f>
        <v>58.271061873729096</v>
      </c>
      <c r="FU44" s="236">
        <f>IF(Reinforcements[[#This Row],[Type]]="channel",MIN(Reinforcements[[#This Row],[Fcr(FTB)]],Reinforcements[[#This Row],[Fcry (ksi)]]),"N/A")</f>
        <v>58.271061873729096</v>
      </c>
      <c r="FV44" s="237">
        <v>0.22</v>
      </c>
      <c r="FW44" s="237">
        <v>1.49</v>
      </c>
      <c r="FX44" s="236">
        <f>IF(Reinforcements[[#This Row],[Type]]="channel",((Reinforcements[[#This Row],[c2]]*(Reinforcements[[#This Row],[λrf]]/Reinforcements[[#This Row],[λf]]))^2)*Reinforcements[[#This Row],[Fy, (ksi)]],"N/A")</f>
        <v>5496.0845961436671</v>
      </c>
      <c r="FY44" s="236">
        <f>IF(Reinforcements[[#This Row],[Type]]="channel",((Reinforcements[[#This Row],[c2]]*(Reinforcements[[#This Row],[λrw]]/Reinforcements[[#This Row],[λw]]))^2)*Reinforcements[[#This Row],[Fy, (ksi)]],"N/A")</f>
        <v>1702.5016404713465</v>
      </c>
      <c r="FZ44"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1.395</v>
      </c>
      <c r="GA44"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3.9400000000000004</v>
      </c>
      <c r="GB44"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4.13</v>
      </c>
      <c r="GC44" s="236">
        <f>IF(Reinforcements[[#This Row],[Type]]="channel",Reinforcements[[#This Row],[Fcr]]*Reinforcements[[#This Row],[Ae]],"N/A")</f>
        <v>240.65948553850117</v>
      </c>
      <c r="GD44" s="466">
        <f>IF(Reinforcements[[#This Row],[Reinforcement]]="","",φ_c*Reinforcements[[#This Row],[Pnx, FB (kip)]])</f>
        <v>220.93106685899176</v>
      </c>
      <c r="GE44" s="466">
        <f>IF(Reinforcements[[#This Row],[Reinforcement]]="","",IF(Reinforcements[[#This Row],[Type]]="channel",φ_c*Reinforcements[[#This Row],[Pn]],φ_c*Reinforcements[[#This Row],[Pny, FB (kip)]]))</f>
        <v>216.59353698465105</v>
      </c>
      <c r="GF44" s="466">
        <f>Reinforcements[[#This Row],[Rev. G Tension Yield Capacity (kips)]]</f>
        <v>241.60499999999999</v>
      </c>
      <c r="GG44" s="466">
        <f>Reinforcements[[#This Row],[Rev. G Tension Rupture Capacity (kips)]]</f>
        <v>205.23737500000001</v>
      </c>
      <c r="GH44" s="466">
        <f>Reinforcements[[#This Row],[Rev. G Shear Capacity (kips)]]</f>
        <v>120.80249999999999</v>
      </c>
      <c r="GI44" s="466">
        <f>IFERROR((Reinforcements[[#This Row],['# of End Connection Bolts          (Bottom)]]-1)*Reinforcements[[#This Row],[End Connection Bolt Spacing (in) (B)]],"-")</f>
        <v>15</v>
      </c>
      <c r="GJ44" s="466">
        <f>IFERROR(IF(VLOOKUP(Reinforcements[[#This Row],[Bottom End Connection Bolt Type]],Bolts[],COLUMN(Bolts[[#Headers],[Rev. H Apply Connection Length Reduction Factor (Rb)?]])-1,FALSE)="Yes",(IF(Reinforcements[[#This Row],[Lb(bottom)]]&lt;=16,1,IF(Reinforcements[[#This Row],[Lb(bottom)]]&gt;38,0.75,0.9))),1),"-")</f>
        <v>1</v>
      </c>
      <c r="GK44"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44" s="466">
        <f>IFERROR(IF(Reinforcements[[#This Row],[Top End Connection Same?]]="Yes",Reinforcements[[#This Row],[Lb(bottom)]],(Reinforcements[[#This Row],['# of End Connection Bolts          (Top)]]-1)*Reinforcements[[#This Row],[End Connection Bolt Spacing (in) (T)]]),"-")</f>
        <v>15</v>
      </c>
      <c r="GM44" s="466">
        <f>IFERROR(IF(VLOOKUP(Reinforcements[[#This Row],[Top End Connection Bolt Type]],Bolts[],COLUMN(Bolts[[#Headers],[Rev. H Apply Connection Length Reduction Factor (Rb)?]])-1,FALSE)="Yes",(IF(Reinforcements[[#This Row],[Lb(top)]]&lt;=16,1,IF(Reinforcements[[#This Row],[Lb(top)]]&gt;38,0.75,0.9))),1),"-")</f>
        <v>1</v>
      </c>
      <c r="GN44"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44" s="466">
        <f>Reinforcements[[#This Row],[Rev. G Bolt-Shaft Bearing Capacity (Bottom)                No Deformation          (*t*Fu kips)]]</f>
        <v>11.662204724409449</v>
      </c>
      <c r="GP44" s="466">
        <f>Reinforcements[[#This Row],[Rev. G Bolt-Shaft Bearing Capacity (Bottom)                   Deformation          (*t*Fu kips)]]</f>
        <v>14.577755905511811</v>
      </c>
      <c r="GQ44" s="466">
        <f>Reinforcements[[#This Row],[Rev. G Bolt-Shaft Bearing Capacity (Top)                    No Deformation          (*t*Fu kips)]]</f>
        <v>11.662204724409449</v>
      </c>
      <c r="GR44" s="466">
        <f>Reinforcements[[#This Row],[Rev. G Bolt-Shaft Bearing Capacity (Top)                        Deformation          (*t*Fu kips)]]</f>
        <v>14.577755905511811</v>
      </c>
      <c r="GS44" s="466">
        <f>Reinforcements[[#This Row],[Rev. G Bolt-Reinf. Bearing Capacity (Bottom)            No Deformation (kips)]]</f>
        <v>379.57285039370078</v>
      </c>
      <c r="GT44" s="466">
        <f>Reinforcements[[#This Row],[Rev. G Bolt-Reinf. Bearing Capacity (Bottom)               Deformation (kips)]]</f>
        <v>474.46606299212601</v>
      </c>
      <c r="GU44" s="466">
        <f>Reinforcements[[#This Row],[Rev. G Bolt-Reinf. Bearing Capacity (Top)                  No Deformation (kips)]]</f>
        <v>379.57285039370078</v>
      </c>
      <c r="GV44" s="466">
        <f>Reinforcements[[#This Row],[Rev. G Bolt-Reinf. Bearing Capacity (Top)               Deformation (kips)]]</f>
        <v>474.46606299212601</v>
      </c>
      <c r="GW44" s="466" t="str">
        <f>Reinforcements[[#This Row],[Rev. G Bottom Transverse Weld Strength]]</f>
        <v>-</v>
      </c>
      <c r="GX44" s="466" t="str">
        <f>Reinforcements[[#This Row],[Rev. G Bottom Longitudinal Weld Strength]]</f>
        <v>-</v>
      </c>
      <c r="GY44" s="466" t="str">
        <f>Reinforcements[[#This Row],[Rev. G Top Transverse Weld Strength]]</f>
        <v>-</v>
      </c>
      <c r="GZ44" s="466" t="str">
        <f>Reinforcements[[#This Row],[Rev. G Top Longitudinal Weld Strength]]</f>
        <v>-</v>
      </c>
      <c r="HA44" s="552">
        <v>42</v>
      </c>
      <c r="HB44"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5" spans="2:210" x14ac:dyDescent="0.2">
      <c r="B45" s="72" t="s">
        <v>765</v>
      </c>
      <c r="C45" s="72" t="s">
        <v>147</v>
      </c>
      <c r="D45" s="185">
        <v>5.33</v>
      </c>
      <c r="E45" s="185">
        <v>2.09</v>
      </c>
      <c r="F45" s="185" t="str">
        <f>IF(Reinforcements[[#This Row],[Type]]="","",IF(Reinforcements[[#This Row],[Type]]="solid round","","n/a"))</f>
        <v>n/a</v>
      </c>
      <c r="G45" s="185">
        <v>0.5</v>
      </c>
      <c r="H45" s="185">
        <v>0.91</v>
      </c>
      <c r="I45" s="197">
        <f>IF(Reinforcements[[#This Row],[Type]]="","",IF(Reinforcements[[#This Row],[Type]]&lt;&gt;"channel","n/a",Reinforcements[[#This Row],[eo]]))</f>
        <v>0.40697283311772303</v>
      </c>
      <c r="J45" s="197">
        <f>IF(Reinforcements[[#This Row],[Type]]="","",IF(Reinforcements[[#This Row],[Type]]&lt;&gt;"channel","n/a",Reinforcements[[#This Row],[J]]))</f>
        <v>0.33749999999999997</v>
      </c>
      <c r="K45" s="197">
        <f>IF(Reinforcements[[#This Row],[Type]]="","",IF(Reinforcements[[#This Row],[Type]]&lt;&gt;"channel","n/a",Reinforcements[[#This Row],[Cw]]))</f>
        <v>4.7101172292443287</v>
      </c>
      <c r="L45" s="185">
        <v>5.65</v>
      </c>
      <c r="M45" s="185">
        <v>0.79</v>
      </c>
      <c r="N45" s="186" t="s">
        <v>297</v>
      </c>
      <c r="O45" s="185" t="s">
        <v>60</v>
      </c>
      <c r="P45" s="187">
        <v>2.15</v>
      </c>
      <c r="Q45" s="187">
        <f>IF(Reinforcements[[#This Row],[Reinforcement]]="","",SQRT(Reinforcements[[#This Row],[Ix]]/Reinforcements[[#This Row],[Gross Area (in2)]]))</f>
        <v>0.61687192629534326</v>
      </c>
      <c r="R45" s="187">
        <v>20.79</v>
      </c>
      <c r="S45" s="187">
        <f>IF(Reinforcements[[#This Row],[Reinforcement]]="","",SQRT(Reinforcements[[#This Row],[Iy]]/Reinforcements[[#This Row],[Gross Area (in2)]]))</f>
        <v>1.9182403440911973</v>
      </c>
      <c r="T45" s="190">
        <v>18</v>
      </c>
      <c r="U45" s="188">
        <v>0.8</v>
      </c>
      <c r="V45" s="188">
        <v>1</v>
      </c>
      <c r="W45" s="185">
        <v>1.1875</v>
      </c>
      <c r="X45" s="188">
        <f>IF(Reinforcements[[#This Row],[Bolt Hole Size (in)]]="","",IF(Reinforcements[[#This Row],[Bolt Hole Size (in)]]="n/a","n/a",Reinforcements[[#This Row],[Bolt Hole Size (in)]]*25.4))</f>
        <v>30.162499999999998</v>
      </c>
      <c r="Y45"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5.0250000000000004</v>
      </c>
      <c r="Z45" s="185">
        <f>IFERROR(IF(Reinforcements[[#This Row],[Reinforcement]]="","",IF(OR(Reinforcements[[#This Row],[Type]]="plate",Reinforcements[[#This Row],[Type]]="solid round"),1,IF(Reinforcements[[#This Row],[Type]]="arbitrary","",1-Reinforcements[[#This Row],[Pole Face to Centroid (in)]]/Reinforcements[[#This Row],[Connection Length (in) '[Channels']]]))),"")</f>
        <v>0.97074074074074079</v>
      </c>
      <c r="AA45" s="200" t="s">
        <v>391</v>
      </c>
      <c r="AB45" s="200" t="str">
        <f>IF(Reinforcements[[#This Row],[Reinforcement]]="","",IF(Reinforcements[[#This Row],[Bottom End Connection Type]]&lt;&gt;"Capacity Input","-",""))</f>
        <v>-</v>
      </c>
      <c r="AC45" s="200" t="str">
        <f>IF(Reinforcements[[#This Row],[Reinforcement]]="","",IF(Reinforcements[[#This Row],[Bottom End Connection Type]]&lt;&gt;"Capacity Input","-",""))</f>
        <v>-</v>
      </c>
      <c r="AD45" s="461" t="str">
        <f>IF(Reinforcements[[#This Row],[Reinforcement]]="","",IF(Reinforcements[[#This Row],[Bottom End Connection Type]]&lt;&gt;"Capacity Input","-",""))</f>
        <v>-</v>
      </c>
      <c r="AE45" s="103" t="s">
        <v>416</v>
      </c>
      <c r="AF45" s="190" t="s">
        <v>296</v>
      </c>
      <c r="AG45" s="190">
        <v>10</v>
      </c>
      <c r="AH45" s="190">
        <v>3</v>
      </c>
      <c r="AI45" s="190">
        <v>2</v>
      </c>
      <c r="AJ45" s="190">
        <f>Reinforcements[[#This Row],[End Connection Edge Distance (in) (B)]]-(Reinforcements[[#This Row],[Bolt Hole Size (in)]]+1/16)/2</f>
        <v>1.375</v>
      </c>
      <c r="AK45" s="190">
        <f>Reinforcements[[#This Row],[End Connection Bolt Spacing (in) (B)]]-(Reinforcements[[#This Row],[Bolt Hole Size (in)]]+1/16)</f>
        <v>1.75</v>
      </c>
      <c r="AL45" s="190">
        <f>Reinforcements[[#This Row],[End Connection Edge Distance (in) (B)]]</f>
        <v>2</v>
      </c>
      <c r="AM45" s="190">
        <f>Reinforcements[[#This Row],[End Connection Bolt Spacing (in) (B)]]</f>
        <v>3</v>
      </c>
      <c r="AN45" s="190" t="str">
        <f>IF(Reinforcements[[#This Row],[Reinforcement]]="","",IF(OR(Reinforcements[[#This Row],[Bottom End Connection Type]]="Bolted",Reinforcements[[#This Row],[Bottom End Connection Type]]=""),"-",""))</f>
        <v>-</v>
      </c>
      <c r="AO45" s="191" t="str">
        <f>IF(Reinforcements[[#This Row],[Reinforcement]]="","",IF(OR(Reinforcements[[#This Row],[Bottom End Connection Type]]="Bolted",Reinforcements[[#This Row],[Bottom End Connection Type]]=""),"-",""))</f>
        <v>-</v>
      </c>
      <c r="AP45" s="191" t="str">
        <f>IF(Reinforcements[[#This Row],[Reinforcement]]="","",IF(OR(Reinforcements[[#This Row],[Bottom End Connection Type]]="Bolted",Reinforcements[[#This Row],[Bottom End Connection Type]]=""),"-",""))</f>
        <v>-</v>
      </c>
      <c r="AQ45" s="191" t="str">
        <f>IF(OR(Reinforcements[[#This Row],[Bottom End Connection Type]]="Bolted",Reinforcements[[#This Row],[Bottom Transverse (Horizontal) Weld]]="none"),"-","")</f>
        <v>-</v>
      </c>
      <c r="AR4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5" s="191" t="str">
        <f>IF(OR(Reinforcements[[#This Row],[Bottom Transverse (Horizontal) Weld]]="none",Reinforcements[[#This Row],[Bottom End Connection Type]]="Bolted"),"-","")</f>
        <v>-</v>
      </c>
      <c r="AU45"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5" s="191" t="str">
        <f>IF(Reinforcements[[#This Row],[Reinforcement]]="","",IF(OR(Reinforcements[[#This Row],[Bottom End Connection Type]]="Bolted",Reinforcements[[#This Row],[Bottom End Connection Type]]=""),"-",""))</f>
        <v>-</v>
      </c>
      <c r="AW45" s="191" t="str">
        <f>IF(Reinforcements[[#This Row],[Reinforcement]]="","",IF(OR(Reinforcements[[#This Row],[Bottom End Connection Type]]&lt;&gt;"Welded",Reinforcements[[#This Row],[Bottom Longitudinal (Vertical) Weld]]="None",Reinforcements[[#This Row],[Bottom Longitudinal (Vertical) Weld]]=""),"-",""))</f>
        <v>-</v>
      </c>
      <c r="AX45" s="191" t="str">
        <f>IF(Reinforcements[[#This Row],[Reinforcement]]="","",IF(OR(Reinforcements[[#This Row],[Bottom End Connection Type]]&lt;&gt;"Welded",Reinforcements[[#This Row],[Bottom Longitudinal (Vertical) Weld]]="None",Reinforcements[[#This Row],[Bottom Longitudinal (Vertical) Weld]]=""),"-",""))</f>
        <v>-</v>
      </c>
      <c r="AY45" s="190" t="str">
        <f>IF(Reinforcements[[#This Row],[Reinforcement]]="","",IF(OR(Reinforcements[[#This Row],[Bottom End Connection Type]]&lt;&gt;"Welded",Reinforcements[[#This Row],[Bottom Longitudinal (Vertical) Weld]]="None"),"-",SQRT(2)/2*Reinforcements[[#This Row],[Bottom Longitudinal Weld Fillet Size (in)]]))</f>
        <v>-</v>
      </c>
      <c r="AZ45" s="190" t="s">
        <v>295</v>
      </c>
      <c r="BA45" s="189" t="str">
        <f>IF(Reinforcements[[#This Row],[Top End Connection Same?]]="Yes",Reinforcements[[#This Row],[Bottom End Connection Type]],"")</f>
        <v>Bolted</v>
      </c>
      <c r="BB45" s="189" t="str">
        <f>IF(Reinforcements[[#This Row],[Reinforcement]]="","",IF(Reinforcements[[#This Row],[Top End Connection Same?]]="Yes",Reinforcements[[#This Row],[Rev. F Bottom Connection Capacity (kips)]],IF(Reinforcements[[#This Row],[Reinforcement]]="","",IF(Reinforcements[[#This Row],[Top End Connection Type]]&lt;&gt;"Capacity Input","-",""))))</f>
        <v>-</v>
      </c>
      <c r="BC45" s="189" t="str">
        <f>IF(Reinforcements[[#This Row],[Reinforcement]]="","",IF(Reinforcements[[#This Row],[Top End Connection Same?]]="Yes",Reinforcements[[#This Row],[Rev. G Bottom Connection Capacity (kips)]],IF(Reinforcements[[#This Row],[Reinforcement]]="","",IF(Reinforcements[[#This Row],[Top End Connection Type]]&lt;&gt;"Capacity Input","-",""))))</f>
        <v>-</v>
      </c>
      <c r="BD45" s="461" t="str">
        <f>IF(Reinforcements[[#This Row],[Reinforcement]]="","",IF(Reinforcements[[#This Row],[Top End Connection Same?]]="Yes",Reinforcements[[#This Row],[Rev. G Bottom Connection Capacity (kips)]],IF(Reinforcements[[#This Row],[Reinforcement]]="","",IF(Reinforcements[[#This Row],[Top End Connection Type]]&lt;&gt;"Capacity Input","-",""))))</f>
        <v>-</v>
      </c>
      <c r="BE45" s="103" t="str">
        <f>IF(Reinforcements[[#This Row],[Top End Connection Same?]]="Yes",Reinforcements[[#This Row],[Bottom End Connection Bolt Type]],IF(Reinforcements[[#This Row],[Top End Connection Type]]="Welded","-",""))</f>
        <v>PC 8.8 - M20 (100)</v>
      </c>
      <c r="BF45" s="190" t="str">
        <f>IF(Reinforcements[[#This Row],[Top End Connection Same?]]="Yes",Reinforcements[[#This Row],[Threads Included (N) or Excluded (X) (Bottom)]],IF(Reinforcements[[#This Row],[Top End Connection Type]]="Welded","-",""))</f>
        <v>N</v>
      </c>
      <c r="BG45" s="190">
        <f>IF(Reinforcements[[#This Row],[Top End Connection Same?]]="Yes",Reinforcements[[#This Row],['# of End Connection Bolts          (Bottom)]],IF(Reinforcements[[#This Row],[Top End Connection Type]]="Welded","-",""))</f>
        <v>10</v>
      </c>
      <c r="BH45" s="190">
        <f>IF(Reinforcements[[#This Row],[Top End Connection Same?]]="Yes",Reinforcements[[#This Row],[End Connection Bolt Spacing (in) (B)]],IF(Reinforcements[[#This Row],[Top End Connection Type]]="Welded","-",""))</f>
        <v>3</v>
      </c>
      <c r="BI45" s="190">
        <f>IF(Reinforcements[[#This Row],[Top End Connection Same?]]="Yes",Reinforcements[[#This Row],[End Connection Edge Distance (in) (B)]],IF(Reinforcements[[#This Row],[Top End Connection Type]]="Welded","-",""))</f>
        <v>2</v>
      </c>
      <c r="BJ45" s="190">
        <f>Reinforcements[[#This Row],[End Connection Edge Distance (in) (T)]]-(Reinforcements[[#This Row],[Bolt Hole Size (in)]]+1/16)/2</f>
        <v>1.375</v>
      </c>
      <c r="BK45" s="190">
        <f>Reinforcements[[#This Row],[End Connection Bolt Spacing (in) (T)]]-(Reinforcements[[#This Row],[Bolt Hole Size (in)]]+1/16)</f>
        <v>1.75</v>
      </c>
      <c r="BL45" s="237">
        <f>Reinforcements[[#This Row],[End Connection Edge Distance (in) (T)]]</f>
        <v>2</v>
      </c>
      <c r="BM45" s="237">
        <f>Reinforcements[[#This Row],[End Connection Bolt Spacing (in) (T)]]</f>
        <v>3</v>
      </c>
      <c r="BN45" s="237" t="str">
        <f>IF(Reinforcements[[#This Row],[Reinforcement]]="","",IF(Reinforcements[[#This Row],[Top End Connection Same?]]="Yes",Reinforcements[[#This Row],[Bottom Connected to Flange/Base Plate?]],IF(Reinforcements[[#This Row],[Top End Connection Type]]="Bolted","-","")))</f>
        <v>-</v>
      </c>
      <c r="BO45" s="237" t="str">
        <f>IF(Reinforcements[[#This Row],[Reinforcement]]="","",IF(Reinforcements[[#This Row],[Top End Connection Same?]]="Yes",Reinforcements[[#This Row],[Bottom Weld Grade (ksi)]],IF(OR(Reinforcements[[#This Row],[Top End Connection Type]]&lt;&gt;"Welded",Reinforcements[[#This Row],[Top End Connection Type]]=""),"-","")))</f>
        <v>-</v>
      </c>
      <c r="BP45" s="237" t="str">
        <f>IF($AZ45="Yes",AP45,IF(Reinforcements[[#This Row],[Reinforcement]]="","",IF(OR(Reinforcements[[#This Row],[Top End Connection Type]]&lt;&gt;"Welded",Reinforcements[[#This Row],[Top End Connection Type]]=""),"-","")))</f>
        <v>-</v>
      </c>
      <c r="BQ45" s="237" t="str">
        <f>IF(Reinforcements[[#This Row],[Reinforcement]]="","",IF($AZ45="Yes",AQ45,IF(OR(Reinforcements[[#This Row],[Top End Connection Type]]&lt;&gt;"Welded",Reinforcements[[#This Row],[Top Transverse (Horizontal) Weld]]="none",Reinforcements[[#This Row],[Top Transverse (Horizontal) Weld]]=""),"-","")))</f>
        <v>-</v>
      </c>
      <c r="BR45" s="237" t="str">
        <f>IF($AZ45="Yes",AR45,IF(Reinforcements[[#This Row],[Reinforcement]]="","",IF(OR(Reinforcements[[#This Row],[Top Transverse (Horizontal) Weld]]="none",Reinforcements[[#This Row],[Top End Connection Type]]&lt;&gt;"Welded",Reinforcements[[#This Row],[Top Transverse (Horizontal) Weld]]="",Reinforcements[[#This Row],[Top Transverse (Horizontal) Weld]]="Fillet"),"-","")))</f>
        <v>-</v>
      </c>
      <c r="BS45" s="237" t="str">
        <f>IF($AZ45="Yes",AS45,IF(Reinforcements[[#This Row],[Reinforcement]]="","",IF(OR(Reinforcements[[#This Row],[Top Transverse (Horizontal) Weld]]="none",Reinforcements[[#This Row],[Top End Connection Type]]&lt;&gt;"Welded",Reinforcements[[#This Row],[Top Transverse (Horizontal) Weld]]="",Reinforcements[[#This Row],[Top Transverse (Horizontal) Weld]]="Fillet"),"-","")))</f>
        <v>-</v>
      </c>
      <c r="BT45" s="237" t="str">
        <f>IF(Reinforcements[[#This Row],[Reinforcement]]="","",IF($AZ45="Yes",AT45,IF(OR(Reinforcements[[#This Row],[Top Transverse (Horizontal) Weld]]="none",Reinforcements[[#This Row],[Top End Connection Type]]&lt;&gt;"Welded",Reinforcements[[#This Row],[Top Transverse (Horizontal) Weld]]=""),"-","")))</f>
        <v>-</v>
      </c>
      <c r="BU45" s="237" t="str">
        <f>IF($AZ45="Yes",AU45,IF(Reinforcements[[#This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5" s="237" t="str">
        <f>IF($AZ45="Yes",AV45,IF(Reinforcements[[#This Row],[Reinforcement]]="","",IF(OR(Reinforcements[[#This Row],[Top End Connection Type]]&lt;&gt;"Welded",Reinforcements[[#This Row],[Top End Connection Type]]=""),"-","")))</f>
        <v>-</v>
      </c>
      <c r="BW45" s="237" t="str">
        <f>IF($AZ45="Yes",AW45,IF(Reinforcements[[#This Row],[Reinforcement]]="","",IF(OR(Reinforcements[[#This Row],[Top End Connection Type]]&lt;&gt;"Welded",Reinforcements[[#This Row],[Top End Connection Type]]="",Reinforcements[[#This Row],[Top Longitudinal (Vertical) Weld]]="",Reinforcements[[#This Row],[Top Longitudinal (Vertical) Weld]]="None"),"-","")))</f>
        <v>-</v>
      </c>
      <c r="BX45" s="237" t="str">
        <f>IF($AZ45="Yes",AX45,IF(Reinforcements[[#This Row],[Reinforcement]]="","",IF(OR(Reinforcements[[#This Row],[Top End Connection Type]]&lt;&gt;"Welded",Reinforcements[[#This Row],[Top End Connection Type]]="",Reinforcements[[#This Row],[Top Longitudinal (Vertical) Weld]]="",Reinforcements[[#This Row],[Top Longitudinal (Vertical) Weld]]="None"),"-","")))</f>
        <v>-</v>
      </c>
      <c r="BY45" s="237" t="str">
        <f>IF($AZ45="Yes",AY45,IF(Reinforcements[[#This Row],[Reinforcement]]="","",IF(OR(Reinforcements[[#This Row],[Top End Connection Type]]&lt;&gt;"Welded",Reinforcements[[#This Row],[Top Longitudinal (Vertical) Weld]]="none"),"-",SQRT(2)/2*Reinforcements[[#This Row],[Top Longitudinal Weld Fillet Size (in)]])))</f>
        <v>-</v>
      </c>
      <c r="BZ45"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27</v>
      </c>
      <c r="CA45" s="238">
        <f>IF(Reinforcements[[#This Row],[Reinforcement]]="","",IF(Reinforcements[[#This Row],[Bottom End Connection Type]]&lt;&gt;"Bolted","n/a",(Reinforcements[[#This Row],['# of End Connection Bolts          (Bottom)]]-1)*Reinforcements[[#This Row],[End Connection Bolt Spacing (in) (B)]]+Reinforcements[[#This Row],[End Connection Edge Distance (in) (B)]]))</f>
        <v>29</v>
      </c>
      <c r="CB45" s="238">
        <f>IF(Reinforcements[[#This Row],[Reinforcement]]="","",IF(Reinforcements[[#This Row],[Top End Connection Type]]&lt;&gt;"Bolted","n/a",(Reinforcements[[#This Row],['# of End Connection Bolts          (Top)]]-1)*Reinforcements[[#This Row],[End Connection Bolt Spacing (in) (T)]]+Reinforcements[[#This Row],[End Connection Edge Distance (in) (T)]]))</f>
        <v>29</v>
      </c>
      <c r="CC45"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3.5759493670886076</v>
      </c>
      <c r="CD45"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1.58</v>
      </c>
      <c r="CE45" s="236">
        <f>IFERROR(IF(Reinforcements[[#This Row],[Type]]="","",Reinforcements[[#This Row],[Effective B (in)]]*Reinforcements[[#This Row],[Effective H (in)]]^3/12),"")</f>
        <v>1.1753883333333335</v>
      </c>
      <c r="CF45" s="236">
        <f>IFERROR(IF(Reinforcements[[#This Row],[Type]]="","",Reinforcements[[#This Row],[Effective B (in)]]^3*Reinforcements[[#This Row],[Effective H (in)]]/12),"")</f>
        <v>6.0207406999412489</v>
      </c>
      <c r="CG45" s="235">
        <f>SQRT(2*PI()^2*29000/VLOOKUP(Reinforcements[[#This Row],[Material]],Materials[],2,FALSE))</f>
        <v>93.844147005158973</v>
      </c>
      <c r="CH45"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35.829465263837896</v>
      </c>
      <c r="CI45"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37.953989052903211</v>
      </c>
      <c r="CJ45" s="239">
        <f>Reinforcements[[#This Row],[Effective Length Factor Kx]]*Reinforcements[[#This Row],[Lu (in)]]/(Reinforcements[[#This Row],[rx]]*PI())*SQRT(VLOOKUP(Reinforcements[[#This Row],[Material]],Materials[],2,FALSE)/29000)</f>
        <v>0.35178336003688249</v>
      </c>
      <c r="CK45" s="239">
        <f>Reinforcements[[#This Row],[Effective Length Factor Ky]]*Reinforcements[[#This Row],[Lu (in)]]/(Reinforcements[[#This Row],[ry]]*PI())*SQRT(VLOOKUP(Reinforcements[[#This Row],[Material]],Materials[],2,FALSE)/29000)</f>
        <v>0.14140907812532891</v>
      </c>
      <c r="CL45" s="239">
        <f>IF(Reinforcements[[#This Row],[λcx]]&lt;=1.5,0.658^(Reinforcements[[#This Row],[λcx]]^2)*Reinforcements[[#This Row],[F''y]],0.877/(Reinforcements[[#This Row],[λcx]]^2)*Reinforcements[[#This Row],[F''y]])</f>
        <v>61.718950490694326</v>
      </c>
      <c r="CM45" s="239">
        <f>IF(Reinforcements[[#This Row],[λcy]]&lt;=1.5,0.658^(Reinforcements[[#This Row],[λcy]]^2)*Reinforcements[[#This Row],[F''y]],0.877/(Reinforcements[[#This Row],[λcy]]^2)*Reinforcements[[#This Row],[F''y]])</f>
        <v>64.458249291662739</v>
      </c>
      <c r="CN45" s="236">
        <f>VLOOKUP(Reinforcements[[#This Row],[Material]],Materials[],2,FALSE)</f>
        <v>65</v>
      </c>
      <c r="CO45" s="235">
        <f>IF(Reinforcements[[#This Row],[Reinforcement]]="","",Reinforcements[[#This Row],[Fax]]*Reinforcements[[#This Row],[Gross Area (in2)]])</f>
        <v>202.43647874068412</v>
      </c>
      <c r="CP45" s="235">
        <f>IF(Reinforcements[[#This Row],[Reinforcement]]="","",Reinforcements[[#This Row],[Fay]]*Reinforcements[[#This Row],[Gross Area (in2)]])</f>
        <v>214.44003814890314</v>
      </c>
      <c r="CQ45" s="235">
        <f>IF(Reinforcements[[#This Row],[Reinforcement]]="","",0.6*VLOOKUP(Reinforcements[[#This Row],[Material]],Materials[],2,FALSE)*Reinforcements[[#This Row],[Gross Area (in2)]])</f>
        <v>220.35000000000002</v>
      </c>
      <c r="CR45" s="235">
        <f>IF(Reinforcements[[#This Row],[Reinforcement]]="","",0.5*VLOOKUP(Reinforcements[[#This Row],[Material]],Materials[],3,FALSE)*Reinforcements[[#This Row],[Net Area (in2)]]*Reinforcements[[#This Row],[Shear Lag (U)]])</f>
        <v>195.1188888888889</v>
      </c>
      <c r="CS45" s="235">
        <f>IF(Reinforcements[[#This Row],[Reinforcement]]="","",0.4*VLOOKUP(Reinforcements[[#This Row],[Material]],Materials[],2,FALSE)*Reinforcements[[#This Row],[Gross Area (in2)]])</f>
        <v>146.9</v>
      </c>
      <c r="CT45"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45"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45"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45"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45"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45"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45"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548.03149606299212</v>
      </c>
      <c r="DA45"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608.50393700787401</v>
      </c>
      <c r="DB45"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548.03149606299212</v>
      </c>
      <c r="DC45"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608.50393700787401</v>
      </c>
      <c r="DD45"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5"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5" s="237" t="str">
        <f>IF($AZ45="Yes",DD45,IF(Reinforcements[[#This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5" s="237" t="str">
        <f>IF($AZ45="Yes",DE45,IF(Reinforcements[[#This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5" s="235">
        <f>IF(Reinforcements[[#This Row],[Reinforcement]]="","",φ_c*Reinforcements[[#This Row],[Fcr,x]]*Reinforcements[[#This Row],[Gross Area (in2)]])</f>
        <v>313.84086324518069</v>
      </c>
      <c r="DI45" s="235">
        <f>IF(Reinforcements[[#This Row],[Reinforcement]]="","",φ_c*Reinforcements[[#This Row],[Fcr,y]]*Reinforcements[[#This Row],[Gross Area (in2)]])</f>
        <v>327.77019764810507</v>
      </c>
      <c r="DJ45" s="235">
        <f>IF(Reinforcements[[#This Row],[Reinforcement]]="","",φ_t_y*VLOOKUP(Reinforcements[[#This Row],[Material]],Materials[],2,FALSE)*Reinforcements[[#This Row],[Gross Area (in2)]])</f>
        <v>330.52500000000003</v>
      </c>
      <c r="DK45" s="235">
        <f>IF(Reinforcements[[#This Row],[Reinforcement]]="","",φ_t_r*VLOOKUP(Reinforcements[[#This Row],[Material]],Materials[],3,FALSE)*Reinforcements[[#This Row],[Net Area (in2)]]*Reinforcements[[#This Row],[Shear Lag (U)]])</f>
        <v>292.67833333333334</v>
      </c>
      <c r="DL45" s="235">
        <f>IF(Reinforcements[[#This Row],[Reinforcement]]="","",φ_v*0.5*Reinforcements[[#This Row],[F''y]]*Reinforcements[[#This Row],[Gross Area (in2)]])</f>
        <v>165.26250000000002</v>
      </c>
      <c r="DM45"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45"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45"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19.778267716535435</v>
      </c>
      <c r="DP45"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24.722834645669291</v>
      </c>
      <c r="DQ45"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45"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45"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767.20629921259842</v>
      </c>
      <c r="DT45"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959.00787401574803</v>
      </c>
      <c r="DU45"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767.20629921259842</v>
      </c>
      <c r="DV45"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959.00787401574803</v>
      </c>
      <c r="DW45"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5"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5" s="237" t="str">
        <f>IF($AZ45="Yes",DW45,IF(Reinforcements[[#This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5" s="237" t="str">
        <f>IF($AZ45="Yes",DX45,IF(Reinforcements[[#This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5" s="238">
        <f>IF(OR(Reinforcements[[#This Row],[Type]]="plate",Reinforcements[[#This Row],[Type]]="solid round"),"N/A",Reinforcements[[#This Row],[B (in)]])</f>
        <v>5.33</v>
      </c>
      <c r="EB45" s="236">
        <f>IF(OR(Reinforcements[[#This Row],[Type]]="plate",Reinforcements[[#This Row],[Type]]="solid round"),"N/A",Reinforcements[[#This Row],[H (in)]])</f>
        <v>2.09</v>
      </c>
      <c r="EC45" s="236">
        <f>IF(OR(Reinforcements[[#This Row],[Type]]="plate",Reinforcements[[#This Row],[Type]]="solid round"),"N/A",Reinforcements[[#This Row],[B (in)]]-Reinforcements[[#This Row],['[Channel'] Flange Thickness (in)]])</f>
        <v>4.42</v>
      </c>
      <c r="ED45" s="236">
        <f>IF(OR(Reinforcements[[#This Row],[Type]]="plate",Reinforcements[[#This Row],[Type]]="solid round"),"N/A",Reinforcements[[#This Row],['[Channel']Web Thickness (in)]])</f>
        <v>0.5</v>
      </c>
      <c r="EE45" s="236">
        <f>IF(OR(Reinforcements[[#This Row],[Type]]="plate",Reinforcements[[#This Row],[Type]]="solid round"),"N/A",Reinforcements[[#This Row],['[Channel'] Flange Thickness (in)]])</f>
        <v>0.91</v>
      </c>
      <c r="EF45" s="236">
        <f>IF(Reinforcements[[#This Row],[Type]]="channel",Reinforcements[[#This Row],[Channel Flange Width, b]]/Reinforcements[[#This Row],[Channel flange thickness, tf]],"N/A")</f>
        <v>2.2967032967032965</v>
      </c>
      <c r="EG45" s="236">
        <f>IF(Reinforcements[[#This Row],[Type]]="channel",Reinforcements[[#This Row],[Channel inside depth, T]]/Reinforcements[[#This Row],[Channel web thickness, tw]],"N/A")</f>
        <v>8.84</v>
      </c>
      <c r="EH45" s="237">
        <v>29000</v>
      </c>
      <c r="EI45" s="236">
        <f>IF(Reinforcements[[#This Row],[Type]]="channel",0.56*SQRT(Reinforcements[[#This Row],[E, (ksi)]]/Reinforcements[[#This Row],[Fy, (ksi)]]),"N/A")</f>
        <v>11.828518341442694</v>
      </c>
      <c r="EJ45" s="236">
        <f>IF(Reinforcements[[#This Row],[Type]]="channel",1.49*SQRT(Reinforcements[[#This Row],[E, (ksi)]]/Reinforcements[[#This Row],[Fy, (ksi)]]),"N/A")</f>
        <v>31.472307729910018</v>
      </c>
      <c r="EK45" s="236">
        <f>VLOOKUP(Reinforcements[[#This Row],[Material]],Materials!$B$2:$C$30,2,FALSE)</f>
        <v>65</v>
      </c>
      <c r="EL45" s="236">
        <f>Reinforcements[[#This Row],[Lu (in)]]*Reinforcements[[#This Row],[Effective Length Factor Kx]]</f>
        <v>14.4</v>
      </c>
      <c r="EM45" s="236">
        <f>Reinforcements[[#This Row],[Lu (in)]]*Reinforcements[[#This Row],[Effective Length Factor Ky]]</f>
        <v>18</v>
      </c>
      <c r="EN45" s="236">
        <f>Reinforcements[[#This Row],[rx]]</f>
        <v>0.61687192629534326</v>
      </c>
      <c r="EO45" s="236">
        <f>Reinforcements[[#This Row],[ry]]</f>
        <v>1.9182403440911973</v>
      </c>
      <c r="EP45" s="236">
        <f>Reinforcements[[#This Row],[Lcx (in)]]/Reinforcements[[#This Row],[rx (in)]]</f>
        <v>23.343581359715877</v>
      </c>
      <c r="EQ45" s="236">
        <f>Reinforcements[[#This Row],[Lcy (in)]]/Reinforcements[[#This Row],[ry (in)]]</f>
        <v>9.3835999516149489</v>
      </c>
      <c r="ER45" s="236">
        <f>((PI()^2)*Reinforcements[[#This Row],[E, (ksi)]])/(Reinforcements[[#This Row],[Lcx/rx]]^2)</f>
        <v>525.24602112005732</v>
      </c>
      <c r="ES45" s="236">
        <f>((PI()^2)*Reinforcements[[#This Row],[E, (ksi)]])/(Reinforcements[[#This Row],[Lcy/ry]]^2)</f>
        <v>3250.5643993558301</v>
      </c>
      <c r="ET45" s="236">
        <f>4.71*(SQRT(Reinforcements[[#This Row],[E, (ksi)]]/Reinforcements[[#This Row],[Fy, (ksi)]]))</f>
        <v>99.486288193205496</v>
      </c>
      <c r="EU45" s="236">
        <f>IF(Reinforcements[[#This Row],[Lcx/rx]]&lt;=Reinforcements[[#This Row],[Fcr Limit]],(0.658^(Reinforcements[[#This Row],[Fy, (ksi)]]/Reinforcements[[#This Row],[Fex, FB (ksi)]]))*Reinforcements[[#This Row],[Fy, (ksi)]],0.877*Reinforcements[[#This Row],[Fex, FB (ksi)]])</f>
        <v>61.718950490694326</v>
      </c>
      <c r="EV45" s="236">
        <f>IF(Reinforcements[[#This Row],[Lcy/ry]]&lt;=Reinforcements[[#This Row],[Fcr Limit]],(0.658^(Reinforcements[[#This Row],[Fy, (ksi)]]/Reinforcements[[#This Row],[Fey, FB (ksi)]]))*Reinforcements[[#This Row],[Fy, (ksi)]],0.877*Reinforcements[[#This Row],[Fey, FB (ksi)]])</f>
        <v>64.458249291662739</v>
      </c>
      <c r="EW45" s="236">
        <f>Reinforcements[[#This Row],[Fcrx (ksi)]]*Reinforcements[[#This Row],[Gross Area (in2)]]</f>
        <v>348.71207027242298</v>
      </c>
      <c r="EX45" s="236">
        <f>Reinforcements[[#This Row],[Fcry (ksi)]]*Reinforcements[[#This Row],[Gross Area (in2)]]</f>
        <v>364.18910849789449</v>
      </c>
      <c r="EY45" s="236">
        <f>IF(Reinforcements[[#This Row],[Type]]="channel",0,"N/A")</f>
        <v>0</v>
      </c>
      <c r="EZ45" s="236">
        <f>IF(Reinforcements[[#This Row],[Type]]="channel",Reinforcements[[#This Row],[Channel Flange Width, b]]-(0.5*Reinforcements[[#This Row],[Channel web thickness, tw]]),"N/A")</f>
        <v>1.8399999999999999</v>
      </c>
      <c r="FA45" s="236">
        <f>IF(Reinforcements[[#This Row],[Type]]="channel",Reinforcements[[#This Row],[Channel Height, h]]-Reinforcements[[#This Row],[Channel flange thickness, tf]],"N/A")</f>
        <v>4.42</v>
      </c>
      <c r="FB45" s="236">
        <f>IF(Reinforcements[[#This Row],[Type]]="channel",Reinforcements[[#This Row],[Channel web thickness, tw]],"N/A")</f>
        <v>0.5</v>
      </c>
      <c r="FC45" s="236">
        <f>IF(Reinforcements[[#This Row],[Type]]="channel",((3*Reinforcements[[#This Row],[b]]^2)/(Reinforcements[[#This Row],[h]]+(6*Reinforcements[[#This Row],[b]])))-Reinforcements[[#This Row],[t]]/2,"N/A")</f>
        <v>0.40697283311772303</v>
      </c>
      <c r="FD45" s="236">
        <f>Reinforcements[[#This Row],[Pole Face to Centroid (in)]]</f>
        <v>0.79</v>
      </c>
      <c r="FE45" s="236">
        <f>IF(Reinforcements[[#This Row],[Type]]="channel",Reinforcements[[#This Row],[x(bar)]]+Reinforcements[[#This Row],['[Channel'] e0 (in)]],"N/A")</f>
        <v>1.196972833117723</v>
      </c>
      <c r="FF45" s="236">
        <f>IF(Reinforcements[[#This Row],[Type]]="channel",Reinforcements[[#This Row],[Ix]],"N/A")</f>
        <v>2.15</v>
      </c>
      <c r="FG45" s="236">
        <f>IF(Reinforcements[[#This Row],[Type]]="channel",Reinforcements[[#This Row],[Iy]],"N/A")</f>
        <v>20.79</v>
      </c>
      <c r="FH45" s="236">
        <f>IF(Reinforcements[[#This Row],[Type]]="channel",Reinforcements[[#This Row],[Gross Area (in2)]],"N/A")</f>
        <v>5.65</v>
      </c>
      <c r="FI45" s="236">
        <f>IF(Reinforcements[[#This Row],[Type]]="channel",(Reinforcements[[#This Row],[xo]]^2)+((Reinforcements[[#This Row],[Ix (FTB)]]+Reinforcements[[#This Row],[Iy (FTB)]])/Reinforcements[[#This Row],[Ag]]),"N/A")</f>
        <v>5.4929209543723099</v>
      </c>
      <c r="FJ45" s="236">
        <f>IF(Reinforcements[[#This Row],[Type]]="channel",Reinforcements[[#This Row],[Lu (in)]],"N/A")</f>
        <v>18</v>
      </c>
      <c r="FK45" s="236">
        <f>IF(Reinforcements[[#This Row],[Type]]="channel",Reinforcements[[#This Row],[Effective Length Factor Kx]],"N/A")</f>
        <v>0.8</v>
      </c>
      <c r="FL45" s="236">
        <f>IF(Reinforcements[[#This Row],[Type]]="channel",Reinforcements[[#This Row],[Kz]]*Reinforcements[[#This Row],[Lz]],"N/A")</f>
        <v>14.4</v>
      </c>
      <c r="FM45" s="236">
        <f>IF(Reinforcements[[#This Row],[Type]]="channel",(((Reinforcements[[#This Row],[t]]^3)/3)*(Reinforcements[[#This Row],[h]]+(2*Reinforcements[[#This Row],[b]]))),"N/A")</f>
        <v>0.33749999999999997</v>
      </c>
      <c r="FN45" s="236">
        <f>IF(Reinforcements[[#This Row],[Type]]="channel",(1-(((Reinforcements[[#This Row],[xo]]^2)+(Reinforcements[[#This Row],[yo]]^2))/Reinforcements[[#This Row],[ro^2(bar)]])),"N/A")</f>
        <v>0.73916537756083711</v>
      </c>
      <c r="FO45" s="237">
        <v>11200</v>
      </c>
      <c r="FP45" s="236">
        <f>IF(Reinforcements[[#This Row],[Type]]="channel",(((Reinforcements[[#This Row],[h]]^2)*(Reinforcements[[#This Row],[b]]^3)*Reinforcements[[#This Row],[t]])/12)*(((2*Reinforcements[[#This Row],[h]])+(3*Reinforcements[[#This Row],[b]]))/(Reinforcements[[#This Row],[h]]+(6*Reinforcements[[#This Row],[b]]))),"N/A")</f>
        <v>4.7101172292443287</v>
      </c>
      <c r="FQ45" s="236">
        <f>IF(Reinforcements[[#This Row],[Type]]="Channel",((((PI()^2)*Reinforcements[[#This Row],[E, (ksi)]]*Reinforcements[[#This Row],['[Channel'] CW (in6)]])/(Reinforcements[[#This Row],[Lcz]]^2))+(Reinforcements[[#This Row],[G]]*Reinforcements[[#This Row],['[Channel'] J (in4)]]))*(1/(Reinforcements[[#This Row],[Ag]]*Reinforcements[[#This Row],[ro^2(bar)]])),"N/A")</f>
        <v>331.2828347456005</v>
      </c>
      <c r="FR45" s="236">
        <f>IF(Reinforcements[[#This Row],[Type]]="channel",((PI()^2)*Reinforcements[[#This Row],[E, (ksi)]])/(Reinforcements[[#This Row],[Lcy/ry]]^2),"N/A")</f>
        <v>3250.5643993558301</v>
      </c>
      <c r="FS45" s="236">
        <f>IF(Reinforcements[[#This Row],[Type]]="channel",((Reinforcements[[#This Row],[Fey]]+Reinforcements[[#This Row],[Fez]])/(2*Reinforcements[[#This Row],[H2]]))*(1-SQRT(1-((4*Reinforcements[[#This Row],[Fey]]*Reinforcements[[#This Row],[Fez]]*Reinforcements[[#This Row],[H2]])/(Reinforcements[[#This Row],[Fey]]+Reinforcements[[#This Row],[Fez]])^2))),"N/A")</f>
        <v>322.04539982253607</v>
      </c>
      <c r="FT45" s="236">
        <f>IF(Reinforcements[[#This Row],[Type]]="channel",IF(Reinforcements[[#This Row],[Lcx/rx]]&gt;(4.71*SQRT(Reinforcements[[#This Row],[E, (ksi)]]/Reinforcements[[#This Row],[Fy, (ksi)]])),0.877*Reinforcements[[#This Row],[Fe (FTB)]],0.658^(Reinforcements[[#This Row],[Fy, (ksi)]]/Reinforcements[[#This Row],[Fe (FTB)]])*Reinforcements[[#This Row],[Fy, (ksi)]]),"N/A")</f>
        <v>59.734467790463988</v>
      </c>
      <c r="FU45" s="236">
        <f>IF(Reinforcements[[#This Row],[Type]]="channel",MIN(Reinforcements[[#This Row],[Fcr(FTB)]],Reinforcements[[#This Row],[Fcry (ksi)]]),"N/A")</f>
        <v>59.734467790463988</v>
      </c>
      <c r="FV45" s="237">
        <v>0.22</v>
      </c>
      <c r="FW45" s="237">
        <v>1.49</v>
      </c>
      <c r="FX45" s="236">
        <f>IF(Reinforcements[[#This Row],[Type]]="channel",((Reinforcements[[#This Row],[c2]]*(Reinforcements[[#This Row],[λrf]]/Reinforcements[[#This Row],[λf]]))^2)*Reinforcements[[#This Row],[Fy, (ksi)]],"N/A")</f>
        <v>3827.6903843923005</v>
      </c>
      <c r="FY45" s="236">
        <f>IF(Reinforcements[[#This Row],[Type]]="channel",((Reinforcements[[#This Row],[c2]]*(Reinforcements[[#This Row],[λrw]]/Reinforcements[[#This Row],[λw]]))^2)*Reinforcements[[#This Row],[Fy, (ksi)]],"N/A")</f>
        <v>1829.1045982115434</v>
      </c>
      <c r="FZ45"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1.8399999999999999</v>
      </c>
      <c r="GA45"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4.42</v>
      </c>
      <c r="GB45"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5.65</v>
      </c>
      <c r="GC45" s="236">
        <f>IF(Reinforcements[[#This Row],[Type]]="channel",Reinforcements[[#This Row],[Fcr]]*Reinforcements[[#This Row],[Ae]],"N/A")</f>
        <v>337.49974301612156</v>
      </c>
      <c r="GD45" s="466">
        <f>IF(Reinforcements[[#This Row],[Reinforcement]]="","",φ_c*Reinforcements[[#This Row],[Pnx, FB (kip)]])</f>
        <v>313.84086324518069</v>
      </c>
      <c r="GE45" s="466">
        <f>IF(Reinforcements[[#This Row],[Reinforcement]]="","",IF(Reinforcements[[#This Row],[Type]]="channel",φ_c*Reinforcements[[#This Row],[Pn]],φ_c*Reinforcements[[#This Row],[Pny, FB (kip)]]))</f>
        <v>303.7497687145094</v>
      </c>
      <c r="GF45" s="466">
        <f>Reinforcements[[#This Row],[Rev. G Tension Yield Capacity (kips)]]</f>
        <v>330.52500000000003</v>
      </c>
      <c r="GG45" s="466">
        <f>Reinforcements[[#This Row],[Rev. G Tension Rupture Capacity (kips)]]</f>
        <v>292.67833333333334</v>
      </c>
      <c r="GH45" s="466">
        <f>Reinforcements[[#This Row],[Rev. G Shear Capacity (kips)]]</f>
        <v>165.26250000000002</v>
      </c>
      <c r="GI45" s="466">
        <f>IFERROR((Reinforcements[[#This Row],['# of End Connection Bolts          (Bottom)]]-1)*Reinforcements[[#This Row],[End Connection Bolt Spacing (in) (B)]],"-")</f>
        <v>27</v>
      </c>
      <c r="GJ45" s="466">
        <f>IFERROR(IF(VLOOKUP(Reinforcements[[#This Row],[Bottom End Connection Bolt Type]],Bolts[],COLUMN(Bolts[[#Headers],[Rev. H Apply Connection Length Reduction Factor (Rb)?]])-1,FALSE)="Yes",(IF(Reinforcements[[#This Row],[Lb(bottom)]]&lt;=16,1,IF(Reinforcements[[#This Row],[Lb(bottom)]]&gt;38,0.75,0.9))),1),"-")</f>
        <v>1</v>
      </c>
      <c r="GK45"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463.99640970817933</v>
      </c>
      <c r="GL45" s="466">
        <f>IFERROR(IF(Reinforcements[[#This Row],[Top End Connection Same?]]="Yes",Reinforcements[[#This Row],[Lb(bottom)]],(Reinforcements[[#This Row],['# of End Connection Bolts          (Top)]]-1)*Reinforcements[[#This Row],[End Connection Bolt Spacing (in) (T)]]),"-")</f>
        <v>27</v>
      </c>
      <c r="GM45" s="466">
        <f>IFERROR(IF(VLOOKUP(Reinforcements[[#This Row],[Top End Connection Bolt Type]],Bolts[],COLUMN(Bolts[[#Headers],[Rev. H Apply Connection Length Reduction Factor (Rb)?]])-1,FALSE)="Yes",(IF(Reinforcements[[#This Row],[Lb(top)]]&lt;=16,1,IF(Reinforcements[[#This Row],[Lb(top)]]&gt;38,0.75,0.9))),1),"-")</f>
        <v>1</v>
      </c>
      <c r="GN45"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463.99640970817933</v>
      </c>
      <c r="GO45" s="466">
        <f>Reinforcements[[#This Row],[Rev. G Bolt-Shaft Bearing Capacity (Bottom)                No Deformation          (*t*Fu kips)]]</f>
        <v>19.778267716535435</v>
      </c>
      <c r="GP45" s="466">
        <f>Reinforcements[[#This Row],[Rev. G Bolt-Shaft Bearing Capacity (Bottom)                   Deformation          (*t*Fu kips)]]</f>
        <v>24.722834645669291</v>
      </c>
      <c r="GQ45" s="466">
        <f>Reinforcements[[#This Row],[Rev. G Bolt-Shaft Bearing Capacity (Top)                    No Deformation          (*t*Fu kips)]]</f>
        <v>19.778267716535435</v>
      </c>
      <c r="GR45" s="466">
        <f>Reinforcements[[#This Row],[Rev. G Bolt-Shaft Bearing Capacity (Top)                        Deformation          (*t*Fu kips)]]</f>
        <v>24.722834645669291</v>
      </c>
      <c r="GS45" s="466">
        <f>Reinforcements[[#This Row],[Rev. G Bolt-Reinf. Bearing Capacity (Bottom)            No Deformation (kips)]]</f>
        <v>767.20629921259842</v>
      </c>
      <c r="GT45" s="466">
        <f>Reinforcements[[#This Row],[Rev. G Bolt-Reinf. Bearing Capacity (Bottom)               Deformation (kips)]]</f>
        <v>959.00787401574803</v>
      </c>
      <c r="GU45" s="466">
        <f>Reinforcements[[#This Row],[Rev. G Bolt-Reinf. Bearing Capacity (Top)                  No Deformation (kips)]]</f>
        <v>767.20629921259842</v>
      </c>
      <c r="GV45" s="466">
        <f>Reinforcements[[#This Row],[Rev. G Bolt-Reinf. Bearing Capacity (Top)               Deformation (kips)]]</f>
        <v>959.00787401574803</v>
      </c>
      <c r="GW45" s="466" t="str">
        <f>Reinforcements[[#This Row],[Rev. G Bottom Transverse Weld Strength]]</f>
        <v>-</v>
      </c>
      <c r="GX45" s="466" t="str">
        <f>Reinforcements[[#This Row],[Rev. G Bottom Longitudinal Weld Strength]]</f>
        <v>-</v>
      </c>
      <c r="GY45" s="466" t="str">
        <f>Reinforcements[[#This Row],[Rev. G Top Transverse Weld Strength]]</f>
        <v>-</v>
      </c>
      <c r="GZ45" s="466" t="str">
        <f>Reinforcements[[#This Row],[Rev. G Top Longitudinal Weld Strength]]</f>
        <v>-</v>
      </c>
      <c r="HA45" s="552">
        <v>43</v>
      </c>
      <c r="HB45"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6" spans="2:210" x14ac:dyDescent="0.2">
      <c r="B46" s="243" t="s">
        <v>766</v>
      </c>
      <c r="C46" s="72" t="s">
        <v>147</v>
      </c>
      <c r="D46" s="185">
        <v>5.33</v>
      </c>
      <c r="E46" s="185">
        <v>2.09</v>
      </c>
      <c r="F46" s="185" t="str">
        <f>IF(Reinforcements[[#This Row],[Type]]="","",IF(Reinforcements[[#This Row],[Type]]="solid round","","n/a"))</f>
        <v>n/a</v>
      </c>
      <c r="G46" s="185">
        <v>0.5</v>
      </c>
      <c r="H46" s="185">
        <v>0.91</v>
      </c>
      <c r="I46" s="197">
        <f>IF(Reinforcements[[#This Row],[Type]]="","",IF(Reinforcements[[#This Row],[Type]]&lt;&gt;"channel","n/a",Reinforcements[[#This Row],[eo]]))</f>
        <v>0.40697283311772303</v>
      </c>
      <c r="J46" s="197">
        <f>IF(Reinforcements[[#This Row],[Type]]="","",IF(Reinforcements[[#This Row],[Type]]&lt;&gt;"channel","n/a",Reinforcements[[#This Row],[J]]))</f>
        <v>0.33749999999999997</v>
      </c>
      <c r="K46" s="197">
        <f>IF(Reinforcements[[#This Row],[Type]]="","",IF(Reinforcements[[#This Row],[Type]]&lt;&gt;"channel","n/a",Reinforcements[[#This Row],[Cw]]))</f>
        <v>4.7101172292443287</v>
      </c>
      <c r="L46" s="185">
        <v>5.65</v>
      </c>
      <c r="M46" s="185">
        <v>0.79</v>
      </c>
      <c r="N46" s="186" t="s">
        <v>297</v>
      </c>
      <c r="O46" s="185" t="s">
        <v>60</v>
      </c>
      <c r="P46" s="187">
        <v>2.15</v>
      </c>
      <c r="Q46" s="187">
        <f>IF(Reinforcements[[#This Row],[Reinforcement]]="","",SQRT(Reinforcements[[#This Row],[Ix]]/Reinforcements[[#This Row],[Gross Area (in2)]]))</f>
        <v>0.61687192629534326</v>
      </c>
      <c r="R46" s="187">
        <v>20.79</v>
      </c>
      <c r="S46" s="187">
        <f>IF(Reinforcements[[#This Row],[Reinforcement]]="","",SQRT(Reinforcements[[#This Row],[Iy]]/Reinforcements[[#This Row],[Gross Area (in2)]]))</f>
        <v>1.9182403440911973</v>
      </c>
      <c r="T46" s="190">
        <v>18</v>
      </c>
      <c r="U46" s="188">
        <v>0.8</v>
      </c>
      <c r="V46" s="188">
        <v>1</v>
      </c>
      <c r="W46" s="185">
        <v>1.25</v>
      </c>
      <c r="X46" s="188">
        <f>IF(Reinforcements[[#This Row],[Bolt Hole Size (in)]]="","",IF(Reinforcements[[#This Row],[Bolt Hole Size (in)]]="n/a","n/a",Reinforcements[[#This Row],[Bolt Hole Size (in)]]*25.4))</f>
        <v>31.75</v>
      </c>
      <c r="Y46"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4.9937500000000004</v>
      </c>
      <c r="Z46" s="185">
        <f>IFERROR(IF(Reinforcements[[#This Row],[Reinforcement]]="","",IF(OR(Reinforcements[[#This Row],[Type]]="plate",Reinforcements[[#This Row],[Type]]="solid round"),1,IF(Reinforcements[[#This Row],[Type]]="arbitrary","",1-Reinforcements[[#This Row],[Pole Face to Centroid (in)]]/Reinforcements[[#This Row],[Connection Length (in) '[Channels']]]))),"")</f>
        <v>0.97074074074074079</v>
      </c>
      <c r="AA46" s="200" t="s">
        <v>391</v>
      </c>
      <c r="AB46" s="200" t="str">
        <f>IF(Reinforcements[[#This Row],[Reinforcement]]="","",IF(Reinforcements[[#This Row],[Bottom End Connection Type]]&lt;&gt;"Capacity Input","-",""))</f>
        <v>-</v>
      </c>
      <c r="AC46" s="200" t="str">
        <f>IF(Reinforcements[[#This Row],[Reinforcement]]="","",IF(Reinforcements[[#This Row],[Bottom End Connection Type]]&lt;&gt;"Capacity Input","-",""))</f>
        <v>-</v>
      </c>
      <c r="AD46" s="461" t="str">
        <f>IF(Reinforcements[[#This Row],[Reinforcement]]="","",IF(Reinforcements[[#This Row],[Bottom End Connection Type]]&lt;&gt;"Capacity Input","-",""))</f>
        <v>-</v>
      </c>
      <c r="AE46" s="103" t="s">
        <v>416</v>
      </c>
      <c r="AF46" s="190" t="s">
        <v>296</v>
      </c>
      <c r="AG46" s="190">
        <v>10</v>
      </c>
      <c r="AH46" s="190">
        <v>3</v>
      </c>
      <c r="AI46" s="190">
        <v>2</v>
      </c>
      <c r="AJ46" s="190">
        <f>Reinforcements[[#This Row],[End Connection Edge Distance (in) (B)]]-(Reinforcements[[#This Row],[Bolt Hole Size (in)]]+1/16)/2</f>
        <v>1.34375</v>
      </c>
      <c r="AK46" s="190">
        <f>Reinforcements[[#This Row],[End Connection Bolt Spacing (in) (B)]]-(Reinforcements[[#This Row],[Bolt Hole Size (in)]]+1/16)</f>
        <v>1.6875</v>
      </c>
      <c r="AL46" s="190">
        <f>Reinforcements[[#This Row],[End Connection Edge Distance (in) (B)]]</f>
        <v>2</v>
      </c>
      <c r="AM46" s="190">
        <f>Reinforcements[[#This Row],[End Connection Bolt Spacing (in) (B)]]</f>
        <v>3</v>
      </c>
      <c r="AN46" s="190" t="str">
        <f>IF(Reinforcements[[#This Row],[Reinforcement]]="","",IF(OR(Reinforcements[[#This Row],[Bottom End Connection Type]]="Bolted",Reinforcements[[#This Row],[Bottom End Connection Type]]=""),"-",""))</f>
        <v>-</v>
      </c>
      <c r="AO46" s="191" t="str">
        <f>IF(Reinforcements[[#This Row],[Reinforcement]]="","",IF(OR(Reinforcements[[#This Row],[Bottom End Connection Type]]="Bolted",Reinforcements[[#This Row],[Bottom End Connection Type]]=""),"-",""))</f>
        <v>-</v>
      </c>
      <c r="AP46" s="191" t="str">
        <f>IF(Reinforcements[[#This Row],[Reinforcement]]="","",IF(OR(Reinforcements[[#This Row],[Bottom End Connection Type]]="Bolted",Reinforcements[[#This Row],[Bottom End Connection Type]]=""),"-",""))</f>
        <v>-</v>
      </c>
      <c r="AQ46" s="191" t="str">
        <f>IF(OR(Reinforcements[[#This Row],[Bottom End Connection Type]]="Bolted",Reinforcements[[#This Row],[Bottom Transverse (Horizontal) Weld]]="none"),"-","")</f>
        <v>-</v>
      </c>
      <c r="AR4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6" s="191" t="str">
        <f>IF(OR(Reinforcements[[#This Row],[Bottom Transverse (Horizontal) Weld]]="none",Reinforcements[[#This Row],[Bottom End Connection Type]]="Bolted"),"-","")</f>
        <v>-</v>
      </c>
      <c r="AU46"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6" s="191" t="str">
        <f>IF(Reinforcements[[#This Row],[Reinforcement]]="","",IF(OR(Reinforcements[[#This Row],[Bottom End Connection Type]]="Bolted",Reinforcements[[#This Row],[Bottom End Connection Type]]=""),"-",""))</f>
        <v>-</v>
      </c>
      <c r="AW46" s="191" t="str">
        <f>IF(Reinforcements[[#This Row],[Reinforcement]]="","",IF(OR(Reinforcements[[#This Row],[Bottom End Connection Type]]&lt;&gt;"Welded",Reinforcements[[#This Row],[Bottom Longitudinal (Vertical) Weld]]="None",Reinforcements[[#This Row],[Bottom Longitudinal (Vertical) Weld]]=""),"-",""))</f>
        <v>-</v>
      </c>
      <c r="AX46" s="191" t="str">
        <f>IF(Reinforcements[[#This Row],[Reinforcement]]="","",IF(OR(Reinforcements[[#This Row],[Bottom End Connection Type]]&lt;&gt;"Welded",Reinforcements[[#This Row],[Bottom Longitudinal (Vertical) Weld]]="None",Reinforcements[[#This Row],[Bottom Longitudinal (Vertical) Weld]]=""),"-",""))</f>
        <v>-</v>
      </c>
      <c r="AY46" s="190" t="str">
        <f>IF(Reinforcements[[#This Row],[Reinforcement]]="","",IF(OR(Reinforcements[[#This Row],[Bottom End Connection Type]]&lt;&gt;"Welded",Reinforcements[[#This Row],[Bottom Longitudinal (Vertical) Weld]]="None"),"-",SQRT(2)/2*Reinforcements[[#This Row],[Bottom Longitudinal Weld Fillet Size (in)]]))</f>
        <v>-</v>
      </c>
      <c r="AZ46" s="191" t="s">
        <v>295</v>
      </c>
      <c r="BA46" s="189" t="str">
        <f>IF(Reinforcements[[#This Row],[Top End Connection Same?]]="Yes",Reinforcements[[#This Row],[Bottom End Connection Type]],"")</f>
        <v>Bolted</v>
      </c>
      <c r="BB46" s="189" t="str">
        <f>IF(Reinforcements[[#This Row],[Reinforcement]]="","",IF(Reinforcements[[#This Row],[Top End Connection Same?]]="Yes",Reinforcements[[#This Row],[Rev. F Bottom Connection Capacity (kips)]],IF(Reinforcements[[#This Row],[Reinforcement]]="","",IF(Reinforcements[[#This Row],[Top End Connection Type]]&lt;&gt;"Capacity Input","-",""))))</f>
        <v>-</v>
      </c>
      <c r="BC46" s="189" t="str">
        <f>IF(Reinforcements[[#This Row],[Reinforcement]]="","",IF(Reinforcements[[#This Row],[Top End Connection Same?]]="Yes",Reinforcements[[#This Row],[Rev. G Bottom Connection Capacity (kips)]],IF(Reinforcements[[#This Row],[Reinforcement]]="","",IF(Reinforcements[[#This Row],[Top End Connection Type]]&lt;&gt;"Capacity Input","-",""))))</f>
        <v>-</v>
      </c>
      <c r="BD46" s="461" t="str">
        <f>IF(Reinforcements[[#This Row],[Reinforcement]]="","",IF(Reinforcements[[#This Row],[Top End Connection Same?]]="Yes",Reinforcements[[#This Row],[Rev. G Bottom Connection Capacity (kips)]],IF(Reinforcements[[#This Row],[Reinforcement]]="","",IF(Reinforcements[[#This Row],[Top End Connection Type]]&lt;&gt;"Capacity Input","-",""))))</f>
        <v>-</v>
      </c>
      <c r="BE46" s="103" t="str">
        <f>IF(Reinforcements[[#This Row],[Top End Connection Same?]]="Yes",Reinforcements[[#This Row],[Bottom End Connection Bolt Type]],IF(Reinforcements[[#This Row],[Top End Connection Type]]="Welded","-",""))</f>
        <v>PC 8.8 - M20 (100)</v>
      </c>
      <c r="BF46" s="190" t="str">
        <f>IF(Reinforcements[[#This Row],[Top End Connection Same?]]="Yes",Reinforcements[[#This Row],[Threads Included (N) or Excluded (X) (Bottom)]],IF(Reinforcements[[#This Row],[Top End Connection Type]]="Welded","-",""))</f>
        <v>N</v>
      </c>
      <c r="BG46" s="190">
        <f>IF(Reinforcements[[#This Row],[Top End Connection Same?]]="Yes",Reinforcements[[#This Row],['# of End Connection Bolts          (Bottom)]],IF(Reinforcements[[#This Row],[Top End Connection Type]]="Welded","-",""))</f>
        <v>10</v>
      </c>
      <c r="BH46" s="190">
        <f>IF(Reinforcements[[#This Row],[Top End Connection Same?]]="Yes",Reinforcements[[#This Row],[End Connection Bolt Spacing (in) (B)]],IF(Reinforcements[[#This Row],[Top End Connection Type]]="Welded","-",""))</f>
        <v>3</v>
      </c>
      <c r="BI46" s="190">
        <f>IF(Reinforcements[[#This Row],[Top End Connection Same?]]="Yes",Reinforcements[[#This Row],[End Connection Edge Distance (in) (B)]],IF(Reinforcements[[#This Row],[Top End Connection Type]]="Welded","-",""))</f>
        <v>2</v>
      </c>
      <c r="BJ46" s="190">
        <f>Reinforcements[[#This Row],[End Connection Edge Distance (in) (T)]]-(Reinforcements[[#This Row],[Bolt Hole Size (in)]]+1/16)/2</f>
        <v>1.34375</v>
      </c>
      <c r="BK46" s="190">
        <f>Reinforcements[[#This Row],[End Connection Bolt Spacing (in) (T)]]-(Reinforcements[[#This Row],[Bolt Hole Size (in)]]+1/16)</f>
        <v>1.6875</v>
      </c>
      <c r="BL46" s="237">
        <f>Reinforcements[[#This Row],[End Connection Edge Distance (in) (T)]]</f>
        <v>2</v>
      </c>
      <c r="BM46" s="237">
        <f>Reinforcements[[#This Row],[End Connection Bolt Spacing (in) (T)]]</f>
        <v>3</v>
      </c>
      <c r="BN46" s="237" t="str">
        <f>IF(Reinforcements[[#This Row],[Reinforcement]]="","",IF(Reinforcements[[#This Row],[Top End Connection Same?]]="Yes",Reinforcements[[#This Row],[Bottom Connected to Flange/Base Plate?]],IF(Reinforcements[[#This Row],[Top End Connection Type]]="Bolted","-","")))</f>
        <v>-</v>
      </c>
      <c r="BO46" s="237" t="str">
        <f>IF(Reinforcements[[#This Row],[Reinforcement]]="","",IF(Reinforcements[[#This Row],[Top End Connection Same?]]="Yes",Reinforcements[[#This Row],[Bottom Weld Grade (ksi)]],IF(OR(Reinforcements[[#This Row],[Top End Connection Type]]&lt;&gt;"Welded",Reinforcements[[#This Row],[Top End Connection Type]]=""),"-","")))</f>
        <v>-</v>
      </c>
      <c r="BP46" s="237" t="str">
        <f>IF($AZ46="Yes",AP46,IF(Reinforcements[[#This Row],[Reinforcement]]="","",IF(OR(Reinforcements[[#This Row],[Top End Connection Type]]&lt;&gt;"Welded",Reinforcements[[#This Row],[Top End Connection Type]]=""),"-","")))</f>
        <v>-</v>
      </c>
      <c r="BQ46" s="237" t="str">
        <f>IF(Reinforcements[[#This Row],[Reinforcement]]="","",IF($AZ46="Yes",AQ46,IF(OR(Reinforcements[[#This Row],[Top End Connection Type]]&lt;&gt;"Welded",Reinforcements[[#This Row],[Top Transverse (Horizontal) Weld]]="none",Reinforcements[[#This Row],[Top Transverse (Horizontal) Weld]]=""),"-","")))</f>
        <v>-</v>
      </c>
      <c r="BR46" s="237" t="str">
        <f>IF($AZ46="Yes",AR46,IF(Reinforcements[[#This Row],[Reinforcement]]="","",IF(OR(Reinforcements[[#This Row],[Top Transverse (Horizontal) Weld]]="none",Reinforcements[[#This Row],[Top End Connection Type]]&lt;&gt;"Welded",Reinforcements[[#This Row],[Top Transverse (Horizontal) Weld]]="",Reinforcements[[#This Row],[Top Transverse (Horizontal) Weld]]="Fillet"),"-","")))</f>
        <v>-</v>
      </c>
      <c r="BS46" s="237" t="str">
        <f>IF($AZ46="Yes",AS46,IF(Reinforcements[[#This Row],[Reinforcement]]="","",IF(OR(Reinforcements[[#This Row],[Top Transverse (Horizontal) Weld]]="none",Reinforcements[[#This Row],[Top End Connection Type]]&lt;&gt;"Welded",Reinforcements[[#This Row],[Top Transverse (Horizontal) Weld]]="",Reinforcements[[#This Row],[Top Transverse (Horizontal) Weld]]="Fillet"),"-","")))</f>
        <v>-</v>
      </c>
      <c r="BT46" s="237" t="str">
        <f>IF(Reinforcements[[#This Row],[Reinforcement]]="","",IF($AZ46="Yes",AT46,IF(OR(Reinforcements[[#This Row],[Top Transverse (Horizontal) Weld]]="none",Reinforcements[[#This Row],[Top End Connection Type]]&lt;&gt;"Welded",Reinforcements[[#This Row],[Top Transverse (Horizontal) Weld]]=""),"-","")))</f>
        <v>-</v>
      </c>
      <c r="BU46" s="237" t="str">
        <f>IF($AZ46="Yes",AU46,IF(Reinforcements[[#This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6" s="237" t="str">
        <f>IF($AZ46="Yes",AV46,IF(Reinforcements[[#This Row],[Reinforcement]]="","",IF(OR(Reinforcements[[#This Row],[Top End Connection Type]]&lt;&gt;"Welded",Reinforcements[[#This Row],[Top End Connection Type]]=""),"-","")))</f>
        <v>-</v>
      </c>
      <c r="BW46" s="237" t="str">
        <f>IF($AZ46="Yes",AW46,IF(Reinforcements[[#This Row],[Reinforcement]]="","",IF(OR(Reinforcements[[#This Row],[Top End Connection Type]]&lt;&gt;"Welded",Reinforcements[[#This Row],[Top End Connection Type]]="",Reinforcements[[#This Row],[Top Longitudinal (Vertical) Weld]]="",Reinforcements[[#This Row],[Top Longitudinal (Vertical) Weld]]="None"),"-","")))</f>
        <v>-</v>
      </c>
      <c r="BX46" s="237" t="str">
        <f>IF($AZ46="Yes",AX46,IF(Reinforcements[[#This Row],[Reinforcement]]="","",IF(OR(Reinforcements[[#This Row],[Top End Connection Type]]&lt;&gt;"Welded",Reinforcements[[#This Row],[Top End Connection Type]]="",Reinforcements[[#This Row],[Top Longitudinal (Vertical) Weld]]="",Reinforcements[[#This Row],[Top Longitudinal (Vertical) Weld]]="None"),"-","")))</f>
        <v>-</v>
      </c>
      <c r="BY46" s="237" t="str">
        <f>IF($AZ46="Yes",AY46,IF(Reinforcements[[#This Row],[Reinforcement]]="","",IF(OR(Reinforcements[[#This Row],[Top End Connection Type]]&lt;&gt;"Welded",Reinforcements[[#This Row],[Top Longitudinal (Vertical) Weld]]="none"),"-",SQRT(2)/2*Reinforcements[[#This Row],[Top Longitudinal Weld Fillet Size (in)]])))</f>
        <v>-</v>
      </c>
      <c r="BZ46"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27</v>
      </c>
      <c r="CA46" s="238">
        <f>IF(Reinforcements[[#This Row],[Reinforcement]]="","",IF(Reinforcements[[#This Row],[Bottom End Connection Type]]&lt;&gt;"Bolted","n/a",(Reinforcements[[#This Row],['# of End Connection Bolts          (Bottom)]]-1)*Reinforcements[[#This Row],[End Connection Bolt Spacing (in) (B)]]+Reinforcements[[#This Row],[End Connection Edge Distance (in) (B)]]))</f>
        <v>29</v>
      </c>
      <c r="CB46" s="238">
        <f>IF(Reinforcements[[#This Row],[Reinforcement]]="","",IF(Reinforcements[[#This Row],[Top End Connection Type]]&lt;&gt;"Bolted","n/a",(Reinforcements[[#This Row],['# of End Connection Bolts          (Top)]]-1)*Reinforcements[[#This Row],[End Connection Bolt Spacing (in) (T)]]+Reinforcements[[#This Row],[End Connection Edge Distance (in) (T)]]))</f>
        <v>29</v>
      </c>
      <c r="CC46"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3.5759493670886076</v>
      </c>
      <c r="CD46"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1.58</v>
      </c>
      <c r="CE46" s="236">
        <f>IFERROR(IF(Reinforcements[[#This Row],[Type]]="","",Reinforcements[[#This Row],[Effective B (in)]]*Reinforcements[[#This Row],[Effective H (in)]]^3/12),"")</f>
        <v>1.1753883333333335</v>
      </c>
      <c r="CF46" s="236">
        <f>IFERROR(IF(Reinforcements[[#This Row],[Type]]="","",Reinforcements[[#This Row],[Effective B (in)]]^3*Reinforcements[[#This Row],[Effective H (in)]]/12),"")</f>
        <v>6.0207406999412489</v>
      </c>
      <c r="CG46" s="235">
        <f>SQRT(2*PI()^2*29000/VLOOKUP(Reinforcements[[#This Row],[Material]],Materials[],2,FALSE))</f>
        <v>93.844147005158973</v>
      </c>
      <c r="CH46"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35.829465263837896</v>
      </c>
      <c r="CI46"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37.953989052903211</v>
      </c>
      <c r="CJ46" s="239">
        <f>Reinforcements[[#This Row],[Effective Length Factor Kx]]*Reinforcements[[#This Row],[Lu (in)]]/(Reinforcements[[#This Row],[rx]]*PI())*SQRT(VLOOKUP(Reinforcements[[#This Row],[Material]],Materials[],2,FALSE)/29000)</f>
        <v>0.35178336003688249</v>
      </c>
      <c r="CK46" s="239">
        <f>Reinforcements[[#This Row],[Effective Length Factor Ky]]*Reinforcements[[#This Row],[Lu (in)]]/(Reinforcements[[#This Row],[ry]]*PI())*SQRT(VLOOKUP(Reinforcements[[#This Row],[Material]],Materials[],2,FALSE)/29000)</f>
        <v>0.14140907812532891</v>
      </c>
      <c r="CL46" s="239">
        <f>IF(Reinforcements[[#This Row],[λcx]]&lt;=1.5,0.658^(Reinforcements[[#This Row],[λcx]]^2)*Reinforcements[[#This Row],[F''y]],0.877/(Reinforcements[[#This Row],[λcx]]^2)*Reinforcements[[#This Row],[F''y]])</f>
        <v>61.718950490694326</v>
      </c>
      <c r="CM46" s="239">
        <f>IF(Reinforcements[[#This Row],[λcy]]&lt;=1.5,0.658^(Reinforcements[[#This Row],[λcy]]^2)*Reinforcements[[#This Row],[F''y]],0.877/(Reinforcements[[#This Row],[λcy]]^2)*Reinforcements[[#This Row],[F''y]])</f>
        <v>64.458249291662739</v>
      </c>
      <c r="CN46" s="236">
        <f>VLOOKUP(Reinforcements[[#This Row],[Material]],Materials[],2,FALSE)</f>
        <v>65</v>
      </c>
      <c r="CO46" s="235">
        <f>IF(Reinforcements[[#This Row],[Reinforcement]]="","",Reinforcements[[#This Row],[Fax]]*Reinforcements[[#This Row],[Gross Area (in2)]])</f>
        <v>202.43647874068412</v>
      </c>
      <c r="CP46" s="235">
        <f>IF(Reinforcements[[#This Row],[Reinforcement]]="","",Reinforcements[[#This Row],[Fay]]*Reinforcements[[#This Row],[Gross Area (in2)]])</f>
        <v>214.44003814890314</v>
      </c>
      <c r="CQ46" s="235">
        <f>IF(Reinforcements[[#This Row],[Reinforcement]]="","",0.6*VLOOKUP(Reinforcements[[#This Row],[Material]],Materials[],2,FALSE)*Reinforcements[[#This Row],[Gross Area (in2)]])</f>
        <v>220.35000000000002</v>
      </c>
      <c r="CR46" s="235">
        <f>IF(Reinforcements[[#This Row],[Reinforcement]]="","",0.5*VLOOKUP(Reinforcements[[#This Row],[Material]],Materials[],3,FALSE)*Reinforcements[[#This Row],[Net Area (in2)]]*Reinforcements[[#This Row],[Shear Lag (U)]])</f>
        <v>193.90546296296299</v>
      </c>
      <c r="CS46" s="235">
        <f>IF(Reinforcements[[#This Row],[Reinforcement]]="","",0.4*VLOOKUP(Reinforcements[[#This Row],[Material]],Materials[],2,FALSE)*Reinforcements[[#This Row],[Gross Area (in2)]])</f>
        <v>146.9</v>
      </c>
      <c r="CT46"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46"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46"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46"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46"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46"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46"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548.03149606299212</v>
      </c>
      <c r="DA46"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608.50393700787401</v>
      </c>
      <c r="DB46"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548.03149606299212</v>
      </c>
      <c r="DC46"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608.50393700787401</v>
      </c>
      <c r="DD46"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6"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6" s="237" t="str">
        <f>IF($AZ46="Yes",DD46,IF(Reinforcements[[#This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6" s="237" t="str">
        <f>IF($AZ46="Yes",DE46,IF(Reinforcements[[#This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6" s="235">
        <f>IF(Reinforcements[[#This Row],[Reinforcement]]="","",φ_c*Reinforcements[[#This Row],[Fcr,x]]*Reinforcements[[#This Row],[Gross Area (in2)]])</f>
        <v>313.84086324518069</v>
      </c>
      <c r="DI46" s="235">
        <f>IF(Reinforcements[[#This Row],[Reinforcement]]="","",φ_c*Reinforcements[[#This Row],[Fcr,y]]*Reinforcements[[#This Row],[Gross Area (in2)]])</f>
        <v>327.77019764810507</v>
      </c>
      <c r="DJ46" s="235">
        <f>IF(Reinforcements[[#This Row],[Reinforcement]]="","",φ_t_y*VLOOKUP(Reinforcements[[#This Row],[Material]],Materials[],2,FALSE)*Reinforcements[[#This Row],[Gross Area (in2)]])</f>
        <v>330.52500000000003</v>
      </c>
      <c r="DK46" s="235">
        <f>IF(Reinforcements[[#This Row],[Reinforcement]]="","",φ_t_r*VLOOKUP(Reinforcements[[#This Row],[Material]],Materials[],3,FALSE)*Reinforcements[[#This Row],[Net Area (in2)]]*Reinforcements[[#This Row],[Shear Lag (U)]])</f>
        <v>290.85819444444445</v>
      </c>
      <c r="DL46" s="235">
        <f>IF(Reinforcements[[#This Row],[Reinforcement]]="","",φ_v*0.5*Reinforcements[[#This Row],[F''y]]*Reinforcements[[#This Row],[Gross Area (in2)]])</f>
        <v>165.26250000000002</v>
      </c>
      <c r="DM46"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46"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46"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19.238267716535432</v>
      </c>
      <c r="DP46"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24.04783464566929</v>
      </c>
      <c r="DQ46"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19.238267716535432</v>
      </c>
      <c r="DR46"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24.04783464566929</v>
      </c>
      <c r="DS46"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744.40629921259824</v>
      </c>
      <c r="DT46"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930.50787401574803</v>
      </c>
      <c r="DU46"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744.40629921259824</v>
      </c>
      <c r="DV46"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930.50787401574803</v>
      </c>
      <c r="DW46"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6"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6" s="237" t="str">
        <f>IF($AZ46="Yes",DW46,IF(Reinforcements[[#This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6" s="237" t="str">
        <f>IF($AZ46="Yes",DX46,IF(Reinforcements[[#This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6" s="238">
        <f>IF(OR(Reinforcements[[#This Row],[Type]]="plate",Reinforcements[[#This Row],[Type]]="solid round"),"N/A",Reinforcements[[#This Row],[B (in)]])</f>
        <v>5.33</v>
      </c>
      <c r="EB46" s="236">
        <f>IF(OR(Reinforcements[[#This Row],[Type]]="plate",Reinforcements[[#This Row],[Type]]="solid round"),"N/A",Reinforcements[[#This Row],[H (in)]])</f>
        <v>2.09</v>
      </c>
      <c r="EC46" s="236">
        <f>IF(OR(Reinforcements[[#This Row],[Type]]="plate",Reinforcements[[#This Row],[Type]]="solid round"),"N/A",Reinforcements[[#This Row],[B (in)]]-Reinforcements[[#This Row],['[Channel'] Flange Thickness (in)]])</f>
        <v>4.42</v>
      </c>
      <c r="ED46" s="236">
        <f>IF(OR(Reinforcements[[#This Row],[Type]]="plate",Reinforcements[[#This Row],[Type]]="solid round"),"N/A",Reinforcements[[#This Row],['[Channel']Web Thickness (in)]])</f>
        <v>0.5</v>
      </c>
      <c r="EE46" s="236">
        <f>IF(OR(Reinforcements[[#This Row],[Type]]="plate",Reinforcements[[#This Row],[Type]]="solid round"),"N/A",Reinforcements[[#This Row],['[Channel'] Flange Thickness (in)]])</f>
        <v>0.91</v>
      </c>
      <c r="EF46" s="236">
        <f>IF(Reinforcements[[#This Row],[Type]]="channel",Reinforcements[[#This Row],[Channel Flange Width, b]]/Reinforcements[[#This Row],[Channel flange thickness, tf]],"N/A")</f>
        <v>2.2967032967032965</v>
      </c>
      <c r="EG46" s="236">
        <f>IF(Reinforcements[[#This Row],[Type]]="channel",Reinforcements[[#This Row],[Channel inside depth, T]]/Reinforcements[[#This Row],[Channel web thickness, tw]],"N/A")</f>
        <v>8.84</v>
      </c>
      <c r="EH46" s="237">
        <v>29000</v>
      </c>
      <c r="EI46" s="236">
        <f>IF(Reinforcements[[#This Row],[Type]]="channel",0.56*SQRT(Reinforcements[[#This Row],[E, (ksi)]]/Reinforcements[[#This Row],[Fy, (ksi)]]),"N/A")</f>
        <v>11.828518341442694</v>
      </c>
      <c r="EJ46" s="236">
        <f>IF(Reinforcements[[#This Row],[Type]]="channel",1.49*SQRT(Reinforcements[[#This Row],[E, (ksi)]]/Reinforcements[[#This Row],[Fy, (ksi)]]),"N/A")</f>
        <v>31.472307729910018</v>
      </c>
      <c r="EK46" s="236">
        <f>VLOOKUP(Reinforcements[[#This Row],[Material]],Materials!$B$2:$C$30,2,FALSE)</f>
        <v>65</v>
      </c>
      <c r="EL46" s="236">
        <f>Reinforcements[[#This Row],[Lu (in)]]*Reinforcements[[#This Row],[Effective Length Factor Kx]]</f>
        <v>14.4</v>
      </c>
      <c r="EM46" s="236">
        <f>Reinforcements[[#This Row],[Lu (in)]]*Reinforcements[[#This Row],[Effective Length Factor Ky]]</f>
        <v>18</v>
      </c>
      <c r="EN46" s="236">
        <f>Reinforcements[[#This Row],[rx]]</f>
        <v>0.61687192629534326</v>
      </c>
      <c r="EO46" s="236">
        <f>Reinforcements[[#This Row],[ry]]</f>
        <v>1.9182403440911973</v>
      </c>
      <c r="EP46" s="236">
        <f>Reinforcements[[#This Row],[Lcx (in)]]/Reinforcements[[#This Row],[rx (in)]]</f>
        <v>23.343581359715877</v>
      </c>
      <c r="EQ46" s="236">
        <f>Reinforcements[[#This Row],[Lcy (in)]]/Reinforcements[[#This Row],[ry (in)]]</f>
        <v>9.3835999516149489</v>
      </c>
      <c r="ER46" s="236">
        <f>((PI()^2)*Reinforcements[[#This Row],[E, (ksi)]])/(Reinforcements[[#This Row],[Lcx/rx]]^2)</f>
        <v>525.24602112005732</v>
      </c>
      <c r="ES46" s="236">
        <f>((PI()^2)*Reinforcements[[#This Row],[E, (ksi)]])/(Reinforcements[[#This Row],[Lcy/ry]]^2)</f>
        <v>3250.5643993558301</v>
      </c>
      <c r="ET46" s="236">
        <f>4.71*(SQRT(Reinforcements[[#This Row],[E, (ksi)]]/Reinforcements[[#This Row],[Fy, (ksi)]]))</f>
        <v>99.486288193205496</v>
      </c>
      <c r="EU46" s="236">
        <f>IF(Reinforcements[[#This Row],[Lcx/rx]]&lt;=Reinforcements[[#This Row],[Fcr Limit]],(0.658^(Reinforcements[[#This Row],[Fy, (ksi)]]/Reinforcements[[#This Row],[Fex, FB (ksi)]]))*Reinforcements[[#This Row],[Fy, (ksi)]],0.877*Reinforcements[[#This Row],[Fex, FB (ksi)]])</f>
        <v>61.718950490694326</v>
      </c>
      <c r="EV46" s="236">
        <f>IF(Reinforcements[[#This Row],[Lcy/ry]]&lt;=Reinforcements[[#This Row],[Fcr Limit]],(0.658^(Reinforcements[[#This Row],[Fy, (ksi)]]/Reinforcements[[#This Row],[Fey, FB (ksi)]]))*Reinforcements[[#This Row],[Fy, (ksi)]],0.877*Reinforcements[[#This Row],[Fey, FB (ksi)]])</f>
        <v>64.458249291662739</v>
      </c>
      <c r="EW46" s="236">
        <f>Reinforcements[[#This Row],[Fcrx (ksi)]]*Reinforcements[[#This Row],[Gross Area (in2)]]</f>
        <v>348.71207027242298</v>
      </c>
      <c r="EX46" s="236">
        <f>Reinforcements[[#This Row],[Fcry (ksi)]]*Reinforcements[[#This Row],[Gross Area (in2)]]</f>
        <v>364.18910849789449</v>
      </c>
      <c r="EY46" s="236">
        <f>IF(Reinforcements[[#This Row],[Type]]="channel",0,"N/A")</f>
        <v>0</v>
      </c>
      <c r="EZ46" s="236">
        <f>IF(Reinforcements[[#This Row],[Type]]="channel",Reinforcements[[#This Row],[Channel Flange Width, b]]-(0.5*Reinforcements[[#This Row],[Channel web thickness, tw]]),"N/A")</f>
        <v>1.8399999999999999</v>
      </c>
      <c r="FA46" s="236">
        <f>IF(Reinforcements[[#This Row],[Type]]="channel",Reinforcements[[#This Row],[Channel Height, h]]-Reinforcements[[#This Row],[Channel flange thickness, tf]],"N/A")</f>
        <v>4.42</v>
      </c>
      <c r="FB46" s="236">
        <f>IF(Reinforcements[[#This Row],[Type]]="channel",Reinforcements[[#This Row],[Channel web thickness, tw]],"N/A")</f>
        <v>0.5</v>
      </c>
      <c r="FC46" s="236">
        <f>IF(Reinforcements[[#This Row],[Type]]="channel",((3*Reinforcements[[#This Row],[b]]^2)/(Reinforcements[[#This Row],[h]]+(6*Reinforcements[[#This Row],[b]])))-Reinforcements[[#This Row],[t]]/2,"N/A")</f>
        <v>0.40697283311772303</v>
      </c>
      <c r="FD46" s="236">
        <f>Reinforcements[[#This Row],[Pole Face to Centroid (in)]]</f>
        <v>0.79</v>
      </c>
      <c r="FE46" s="236">
        <f>IF(Reinforcements[[#This Row],[Type]]="channel",Reinforcements[[#This Row],[x(bar)]]+Reinforcements[[#This Row],['[Channel'] e0 (in)]],"N/A")</f>
        <v>1.196972833117723</v>
      </c>
      <c r="FF46" s="236">
        <f>IF(Reinforcements[[#This Row],[Type]]="channel",Reinforcements[[#This Row],[Ix]],"N/A")</f>
        <v>2.15</v>
      </c>
      <c r="FG46" s="236">
        <f>IF(Reinforcements[[#This Row],[Type]]="channel",Reinforcements[[#This Row],[Iy]],"N/A")</f>
        <v>20.79</v>
      </c>
      <c r="FH46" s="236">
        <f>IF(Reinforcements[[#This Row],[Type]]="channel",Reinforcements[[#This Row],[Gross Area (in2)]],"N/A")</f>
        <v>5.65</v>
      </c>
      <c r="FI46" s="236">
        <f>IF(Reinforcements[[#This Row],[Type]]="channel",(Reinforcements[[#This Row],[xo]]^2)+((Reinforcements[[#This Row],[Ix (FTB)]]+Reinforcements[[#This Row],[Iy (FTB)]])/Reinforcements[[#This Row],[Ag]]),"N/A")</f>
        <v>5.4929209543723099</v>
      </c>
      <c r="FJ46" s="236">
        <f>IF(Reinforcements[[#This Row],[Type]]="channel",Reinforcements[[#This Row],[Lu (in)]],"N/A")</f>
        <v>18</v>
      </c>
      <c r="FK46" s="236">
        <f>IF(Reinforcements[[#This Row],[Type]]="channel",Reinforcements[[#This Row],[Effective Length Factor Kx]],"N/A")</f>
        <v>0.8</v>
      </c>
      <c r="FL46" s="236">
        <f>IF(Reinforcements[[#This Row],[Type]]="channel",Reinforcements[[#This Row],[Kz]]*Reinforcements[[#This Row],[Lz]],"N/A")</f>
        <v>14.4</v>
      </c>
      <c r="FM46" s="236">
        <f>IF(Reinforcements[[#This Row],[Type]]="channel",(((Reinforcements[[#This Row],[t]]^3)/3)*(Reinforcements[[#This Row],[h]]+(2*Reinforcements[[#This Row],[b]]))),"N/A")</f>
        <v>0.33749999999999997</v>
      </c>
      <c r="FN46" s="236">
        <f>IF(Reinforcements[[#This Row],[Type]]="channel",(1-(((Reinforcements[[#This Row],[xo]]^2)+(Reinforcements[[#This Row],[yo]]^2))/Reinforcements[[#This Row],[ro^2(bar)]])),"N/A")</f>
        <v>0.73916537756083711</v>
      </c>
      <c r="FO46" s="237">
        <v>11200</v>
      </c>
      <c r="FP46" s="236">
        <f>IF(Reinforcements[[#This Row],[Type]]="channel",(((Reinforcements[[#This Row],[h]]^2)*(Reinforcements[[#This Row],[b]]^3)*Reinforcements[[#This Row],[t]])/12)*(((2*Reinforcements[[#This Row],[h]])+(3*Reinforcements[[#This Row],[b]]))/(Reinforcements[[#This Row],[h]]+(6*Reinforcements[[#This Row],[b]]))),"N/A")</f>
        <v>4.7101172292443287</v>
      </c>
      <c r="FQ46" s="236">
        <f>IF(Reinforcements[[#This Row],[Type]]="Channel",((((PI()^2)*Reinforcements[[#This Row],[E, (ksi)]]*Reinforcements[[#This Row],['[Channel'] CW (in6)]])/(Reinforcements[[#This Row],[Lcz]]^2))+(Reinforcements[[#This Row],[G]]*Reinforcements[[#This Row],['[Channel'] J (in4)]]))*(1/(Reinforcements[[#This Row],[Ag]]*Reinforcements[[#This Row],[ro^2(bar)]])),"N/A")</f>
        <v>331.2828347456005</v>
      </c>
      <c r="FR46" s="236">
        <f>IF(Reinforcements[[#This Row],[Type]]="channel",((PI()^2)*Reinforcements[[#This Row],[E, (ksi)]])/(Reinforcements[[#This Row],[Lcy/ry]]^2),"N/A")</f>
        <v>3250.5643993558301</v>
      </c>
      <c r="FS46" s="236">
        <f>IF(Reinforcements[[#This Row],[Type]]="channel",((Reinforcements[[#This Row],[Fey]]+Reinforcements[[#This Row],[Fez]])/(2*Reinforcements[[#This Row],[H2]]))*(1-SQRT(1-((4*Reinforcements[[#This Row],[Fey]]*Reinforcements[[#This Row],[Fez]]*Reinforcements[[#This Row],[H2]])/(Reinforcements[[#This Row],[Fey]]+Reinforcements[[#This Row],[Fez]])^2))),"N/A")</f>
        <v>322.04539982253607</v>
      </c>
      <c r="FT46" s="236">
        <f>IF(Reinforcements[[#This Row],[Type]]="channel",IF(Reinforcements[[#This Row],[Lcx/rx]]&gt;(4.71*SQRT(Reinforcements[[#This Row],[E, (ksi)]]/Reinforcements[[#This Row],[Fy, (ksi)]])),0.877*Reinforcements[[#This Row],[Fe (FTB)]],0.658^(Reinforcements[[#This Row],[Fy, (ksi)]]/Reinforcements[[#This Row],[Fe (FTB)]])*Reinforcements[[#This Row],[Fy, (ksi)]]),"N/A")</f>
        <v>59.734467790463988</v>
      </c>
      <c r="FU46" s="236">
        <f>IF(Reinforcements[[#This Row],[Type]]="channel",MIN(Reinforcements[[#This Row],[Fcr(FTB)]],Reinforcements[[#This Row],[Fcry (ksi)]]),"N/A")</f>
        <v>59.734467790463988</v>
      </c>
      <c r="FV46" s="237">
        <v>0.22</v>
      </c>
      <c r="FW46" s="237">
        <v>1.49</v>
      </c>
      <c r="FX46" s="236">
        <f>IF(Reinforcements[[#This Row],[Type]]="channel",((Reinforcements[[#This Row],[c2]]*(Reinforcements[[#This Row],[λrf]]/Reinforcements[[#This Row],[λf]]))^2)*Reinforcements[[#This Row],[Fy, (ksi)]],"N/A")</f>
        <v>3827.6903843923005</v>
      </c>
      <c r="FY46" s="236">
        <f>IF(Reinforcements[[#This Row],[Type]]="channel",((Reinforcements[[#This Row],[c2]]*(Reinforcements[[#This Row],[λrw]]/Reinforcements[[#This Row],[λw]]))^2)*Reinforcements[[#This Row],[Fy, (ksi)]],"N/A")</f>
        <v>1829.1045982115434</v>
      </c>
      <c r="FZ46"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1.8399999999999999</v>
      </c>
      <c r="GA46"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4.42</v>
      </c>
      <c r="GB46"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5.65</v>
      </c>
      <c r="GC46" s="236">
        <f>IF(Reinforcements[[#This Row],[Type]]="channel",Reinforcements[[#This Row],[Fcr]]*Reinforcements[[#This Row],[Ae]],"N/A")</f>
        <v>337.49974301612156</v>
      </c>
      <c r="GD46" s="466">
        <f>IF(Reinforcements[[#This Row],[Reinforcement]]="","",φ_c*Reinforcements[[#This Row],[Pnx, FB (kip)]])</f>
        <v>313.84086324518069</v>
      </c>
      <c r="GE46" s="466">
        <f>IF(Reinforcements[[#This Row],[Reinforcement]]="","",IF(Reinforcements[[#This Row],[Type]]="channel",φ_c*Reinforcements[[#This Row],[Pn]],φ_c*Reinforcements[[#This Row],[Pny, FB (kip)]]))</f>
        <v>303.7497687145094</v>
      </c>
      <c r="GF46" s="466">
        <f>Reinforcements[[#This Row],[Rev. G Tension Yield Capacity (kips)]]</f>
        <v>330.52500000000003</v>
      </c>
      <c r="GG46" s="466">
        <f>Reinforcements[[#This Row],[Rev. G Tension Rupture Capacity (kips)]]</f>
        <v>290.85819444444445</v>
      </c>
      <c r="GH46" s="466">
        <f>Reinforcements[[#This Row],[Rev. G Shear Capacity (kips)]]</f>
        <v>165.26250000000002</v>
      </c>
      <c r="GI46" s="466">
        <f>IFERROR((Reinforcements[[#This Row],['# of End Connection Bolts          (Bottom)]]-1)*Reinforcements[[#This Row],[End Connection Bolt Spacing (in) (B)]],"-")</f>
        <v>27</v>
      </c>
      <c r="GJ46" s="466">
        <f>IFERROR(IF(VLOOKUP(Reinforcements[[#This Row],[Bottom End Connection Bolt Type]],Bolts[],COLUMN(Bolts[[#Headers],[Rev. H Apply Connection Length Reduction Factor (Rb)?]])-1,FALSE)="Yes",(IF(Reinforcements[[#This Row],[Lb(bottom)]]&lt;=16,1,IF(Reinforcements[[#This Row],[Lb(bottom)]]&gt;38,0.75,0.9))),1),"-")</f>
        <v>1</v>
      </c>
      <c r="GK46"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463.99640970817933</v>
      </c>
      <c r="GL46" s="466">
        <f>IFERROR(IF(Reinforcements[[#This Row],[Top End Connection Same?]]="Yes",Reinforcements[[#This Row],[Lb(bottom)]],(Reinforcements[[#This Row],['# of End Connection Bolts          (Top)]]-1)*Reinforcements[[#This Row],[End Connection Bolt Spacing (in) (T)]]),"-")</f>
        <v>27</v>
      </c>
      <c r="GM46" s="466">
        <f>IFERROR(IF(VLOOKUP(Reinforcements[[#This Row],[Top End Connection Bolt Type]],Bolts[],COLUMN(Bolts[[#Headers],[Rev. H Apply Connection Length Reduction Factor (Rb)?]])-1,FALSE)="Yes",(IF(Reinforcements[[#This Row],[Lb(top)]]&lt;=16,1,IF(Reinforcements[[#This Row],[Lb(top)]]&gt;38,0.75,0.9))),1),"-")</f>
        <v>1</v>
      </c>
      <c r="GN46"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463.99640970817933</v>
      </c>
      <c r="GO46" s="466">
        <f>Reinforcements[[#This Row],[Rev. G Bolt-Shaft Bearing Capacity (Bottom)                No Deformation          (*t*Fu kips)]]</f>
        <v>19.238267716535432</v>
      </c>
      <c r="GP46" s="466">
        <f>Reinforcements[[#This Row],[Rev. G Bolt-Shaft Bearing Capacity (Bottom)                   Deformation          (*t*Fu kips)]]</f>
        <v>24.04783464566929</v>
      </c>
      <c r="GQ46" s="466">
        <f>Reinforcements[[#This Row],[Rev. G Bolt-Shaft Bearing Capacity (Top)                    No Deformation          (*t*Fu kips)]]</f>
        <v>19.238267716535432</v>
      </c>
      <c r="GR46" s="466">
        <f>Reinforcements[[#This Row],[Rev. G Bolt-Shaft Bearing Capacity (Top)                        Deformation          (*t*Fu kips)]]</f>
        <v>24.04783464566929</v>
      </c>
      <c r="GS46" s="466">
        <f>Reinforcements[[#This Row],[Rev. G Bolt-Reinf. Bearing Capacity (Bottom)            No Deformation (kips)]]</f>
        <v>744.40629921259824</v>
      </c>
      <c r="GT46" s="466">
        <f>Reinforcements[[#This Row],[Rev. G Bolt-Reinf. Bearing Capacity (Bottom)               Deformation (kips)]]</f>
        <v>930.50787401574803</v>
      </c>
      <c r="GU46" s="466">
        <f>Reinforcements[[#This Row],[Rev. G Bolt-Reinf. Bearing Capacity (Top)                  No Deformation (kips)]]</f>
        <v>744.40629921259824</v>
      </c>
      <c r="GV46" s="466">
        <f>Reinforcements[[#This Row],[Rev. G Bolt-Reinf. Bearing Capacity (Top)               Deformation (kips)]]</f>
        <v>930.50787401574803</v>
      </c>
      <c r="GW46" s="466" t="str">
        <f>Reinforcements[[#This Row],[Rev. G Bottom Transverse Weld Strength]]</f>
        <v>-</v>
      </c>
      <c r="GX46" s="466" t="str">
        <f>Reinforcements[[#This Row],[Rev. G Bottom Longitudinal Weld Strength]]</f>
        <v>-</v>
      </c>
      <c r="GY46" s="466" t="str">
        <f>Reinforcements[[#This Row],[Rev. G Top Transverse Weld Strength]]</f>
        <v>-</v>
      </c>
      <c r="GZ46" s="466" t="str">
        <f>Reinforcements[[#This Row],[Rev. G Top Longitudinal Weld Strength]]</f>
        <v>-</v>
      </c>
      <c r="HA46" s="552">
        <v>44</v>
      </c>
      <c r="HB46"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7" spans="2:210" x14ac:dyDescent="0.2">
      <c r="B47" s="72" t="s">
        <v>767</v>
      </c>
      <c r="C47" s="72" t="s">
        <v>147</v>
      </c>
      <c r="D47" s="185">
        <v>6.89</v>
      </c>
      <c r="E47" s="185">
        <v>2.61</v>
      </c>
      <c r="F47" s="185" t="str">
        <f>IF(Reinforcements[[#This Row],[Type]]="","",IF(Reinforcements[[#This Row],[Type]]="solid round","","n/a"))</f>
        <v>n/a</v>
      </c>
      <c r="G47" s="185">
        <v>0.64</v>
      </c>
      <c r="H47" s="185">
        <v>1.01</v>
      </c>
      <c r="I47" s="197">
        <f>IF(Reinforcements[[#This Row],[Type]]="","",IF(Reinforcements[[#This Row],[Type]]&lt;&gt;"channel","n/a",Reinforcements[[#This Row],[eo]]))</f>
        <v>0.48185015290519889</v>
      </c>
      <c r="J47" s="197">
        <f>IF(Reinforcements[[#This Row],[Type]]="","",IF(Reinforcements[[#This Row],[Type]]&lt;&gt;"channel","n/a",Reinforcements[[#This Row],[J]]))</f>
        <v>0.91400874666666698</v>
      </c>
      <c r="K47" s="197">
        <f>IF(Reinforcements[[#This Row],[Type]]="","",IF(Reinforcements[[#This Row],[Type]]&lt;&gt;"channel","n/a",Reinforcements[[#This Row],[Cw]]))</f>
        <v>21.026823970958091</v>
      </c>
      <c r="L47" s="185">
        <v>8.4700000000000006</v>
      </c>
      <c r="M47" s="185">
        <v>0.93</v>
      </c>
      <c r="N47" s="186" t="s">
        <v>297</v>
      </c>
      <c r="O47" s="185" t="s">
        <v>60</v>
      </c>
      <c r="P47" s="187">
        <v>4.95</v>
      </c>
      <c r="Q47" s="187">
        <f>IF(Reinforcements[[#This Row],[Reinforcement]]="","",SQRT(Reinforcements[[#This Row],[Ix]]/Reinforcements[[#This Row],[Gross Area (in2)]]))</f>
        <v>0.76447078715643835</v>
      </c>
      <c r="R47" s="187">
        <v>52.5</v>
      </c>
      <c r="S47" s="187">
        <f>IF(Reinforcements[[#This Row],[Reinforcement]]="","",SQRT(Reinforcements[[#This Row],[Iy]]/Reinforcements[[#This Row],[Gross Area (in2)]]))</f>
        <v>2.4896479886598457</v>
      </c>
      <c r="T47" s="190">
        <v>24</v>
      </c>
      <c r="U47" s="188">
        <v>0.8</v>
      </c>
      <c r="V47" s="188">
        <v>1</v>
      </c>
      <c r="W47" s="185">
        <v>1.1875</v>
      </c>
      <c r="X47" s="188">
        <f>IF(Reinforcements[[#This Row],[Bolt Hole Size (in)]]="","",IF(Reinforcements[[#This Row],[Bolt Hole Size (in)]]="n/a","n/a",Reinforcements[[#This Row],[Bolt Hole Size (in)]]*25.4))</f>
        <v>30.162499999999998</v>
      </c>
      <c r="Y47"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7.6700000000000008</v>
      </c>
      <c r="Z47" s="185">
        <f>IFERROR(IF(Reinforcements[[#This Row],[Reinforcement]]="","",IF(OR(Reinforcements[[#This Row],[Type]]="plate",Reinforcements[[#This Row],[Type]]="solid round"),1,IF(Reinforcements[[#This Row],[Type]]="arbitrary","",1-Reinforcements[[#This Row],[Pole Face to Centroid (in)]]/Reinforcements[[#This Row],[Connection Length (in) '[Channels']]]))),"")</f>
        <v>0.97615384615384615</v>
      </c>
      <c r="AA47" s="200" t="s">
        <v>391</v>
      </c>
      <c r="AB47" s="200" t="str">
        <f>IF(Reinforcements[[#This Row],[Reinforcement]]="","",IF(Reinforcements[[#This Row],[Bottom End Connection Type]]&lt;&gt;"Capacity Input","-",""))</f>
        <v>-</v>
      </c>
      <c r="AC47" s="200" t="str">
        <f>IF(Reinforcements[[#This Row],[Reinforcement]]="","",IF(Reinforcements[[#This Row],[Bottom End Connection Type]]&lt;&gt;"Capacity Input","-",""))</f>
        <v>-</v>
      </c>
      <c r="AD47" s="461" t="str">
        <f>IF(Reinforcements[[#This Row],[Reinforcement]]="","",IF(Reinforcements[[#This Row],[Bottom End Connection Type]]&lt;&gt;"Capacity Input","-",""))</f>
        <v>-</v>
      </c>
      <c r="AE47" s="103" t="s">
        <v>416</v>
      </c>
      <c r="AF47" s="190" t="s">
        <v>296</v>
      </c>
      <c r="AG47" s="190">
        <v>14</v>
      </c>
      <c r="AH47" s="190">
        <v>3</v>
      </c>
      <c r="AI47" s="190">
        <v>2</v>
      </c>
      <c r="AJ47" s="190">
        <f>Reinforcements[[#This Row],[End Connection Edge Distance (in) (B)]]-(Reinforcements[[#This Row],[Bolt Hole Size (in)]]+1/16)/2</f>
        <v>1.375</v>
      </c>
      <c r="AK47" s="190">
        <f>Reinforcements[[#This Row],[End Connection Bolt Spacing (in) (B)]]-(Reinforcements[[#This Row],[Bolt Hole Size (in)]]+1/16)</f>
        <v>1.75</v>
      </c>
      <c r="AL47" s="190">
        <f>Reinforcements[[#This Row],[End Connection Edge Distance (in) (B)]]</f>
        <v>2</v>
      </c>
      <c r="AM47" s="190">
        <f>Reinforcements[[#This Row],[End Connection Bolt Spacing (in) (B)]]</f>
        <v>3</v>
      </c>
      <c r="AN47" s="190" t="str">
        <f>IF(Reinforcements[[#This Row],[Reinforcement]]="","",IF(OR(Reinforcements[[#This Row],[Bottom End Connection Type]]="Bolted",Reinforcements[[#This Row],[Bottom End Connection Type]]=""),"-",""))</f>
        <v>-</v>
      </c>
      <c r="AO47" s="191" t="str">
        <f>IF(Reinforcements[[#This Row],[Reinforcement]]="","",IF(OR(Reinforcements[[#This Row],[Bottom End Connection Type]]="Bolted",Reinforcements[[#This Row],[Bottom End Connection Type]]=""),"-",""))</f>
        <v>-</v>
      </c>
      <c r="AP47" s="191" t="str">
        <f>IF(Reinforcements[[#This Row],[Reinforcement]]="","",IF(OR(Reinforcements[[#This Row],[Bottom End Connection Type]]="Bolted",Reinforcements[[#This Row],[Bottom End Connection Type]]=""),"-",""))</f>
        <v>-</v>
      </c>
      <c r="AQ47" s="191" t="str">
        <f>IF(OR(Reinforcements[[#This Row],[Bottom End Connection Type]]="Bolted",Reinforcements[[#This Row],[Bottom Transverse (Horizontal) Weld]]="none"),"-","")</f>
        <v>-</v>
      </c>
      <c r="AR4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7" s="191" t="str">
        <f>IF(OR(Reinforcements[[#This Row],[Bottom Transverse (Horizontal) Weld]]="none",Reinforcements[[#This Row],[Bottom End Connection Type]]="Bolted"),"-","")</f>
        <v>-</v>
      </c>
      <c r="AU47"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7" s="191" t="str">
        <f>IF(Reinforcements[[#This Row],[Reinforcement]]="","",IF(OR(Reinforcements[[#This Row],[Bottom End Connection Type]]="Bolted",Reinforcements[[#This Row],[Bottom End Connection Type]]=""),"-",""))</f>
        <v>-</v>
      </c>
      <c r="AW47" s="191" t="str">
        <f>IF(Reinforcements[[#This Row],[Reinforcement]]="","",IF(OR(Reinforcements[[#This Row],[Bottom End Connection Type]]&lt;&gt;"Welded",Reinforcements[[#This Row],[Bottom Longitudinal (Vertical) Weld]]="None",Reinforcements[[#This Row],[Bottom Longitudinal (Vertical) Weld]]=""),"-",""))</f>
        <v>-</v>
      </c>
      <c r="AX47" s="191" t="str">
        <f>IF(Reinforcements[[#This Row],[Reinforcement]]="","",IF(OR(Reinforcements[[#This Row],[Bottom End Connection Type]]&lt;&gt;"Welded",Reinforcements[[#This Row],[Bottom Longitudinal (Vertical) Weld]]="None",Reinforcements[[#This Row],[Bottom Longitudinal (Vertical) Weld]]=""),"-",""))</f>
        <v>-</v>
      </c>
      <c r="AY47" s="190" t="str">
        <f>IF(Reinforcements[[#This Row],[Reinforcement]]="","",IF(OR(Reinforcements[[#This Row],[Bottom End Connection Type]]&lt;&gt;"Welded",Reinforcements[[#This Row],[Bottom Longitudinal (Vertical) Weld]]="None"),"-",SQRT(2)/2*Reinforcements[[#This Row],[Bottom Longitudinal Weld Fillet Size (in)]]))</f>
        <v>-</v>
      </c>
      <c r="AZ47" s="190" t="s">
        <v>295</v>
      </c>
      <c r="BA47" s="189" t="str">
        <f>IF(Reinforcements[[#This Row],[Top End Connection Same?]]="Yes",Reinforcements[[#This Row],[Bottom End Connection Type]],"")</f>
        <v>Bolted</v>
      </c>
      <c r="BB47" s="189" t="str">
        <f>IF(Reinforcements[[#This Row],[Reinforcement]]="","",IF(Reinforcements[[#This Row],[Top End Connection Same?]]="Yes",Reinforcements[[#This Row],[Rev. F Bottom Connection Capacity (kips)]],IF(Reinforcements[[#This Row],[Reinforcement]]="","",IF(Reinforcements[[#This Row],[Top End Connection Type]]&lt;&gt;"Capacity Input","-",""))))</f>
        <v>-</v>
      </c>
      <c r="BC47" s="189" t="str">
        <f>IF(Reinforcements[[#This Row],[Reinforcement]]="","",IF(Reinforcements[[#This Row],[Top End Connection Same?]]="Yes",Reinforcements[[#This Row],[Rev. G Bottom Connection Capacity (kips)]],IF(Reinforcements[[#This Row],[Reinforcement]]="","",IF(Reinforcements[[#This Row],[Top End Connection Type]]&lt;&gt;"Capacity Input","-",""))))</f>
        <v>-</v>
      </c>
      <c r="BD47" s="461" t="str">
        <f>IF(Reinforcements[[#This Row],[Reinforcement]]="","",IF(Reinforcements[[#This Row],[Top End Connection Same?]]="Yes",Reinforcements[[#This Row],[Rev. G Bottom Connection Capacity (kips)]],IF(Reinforcements[[#This Row],[Reinforcement]]="","",IF(Reinforcements[[#This Row],[Top End Connection Type]]&lt;&gt;"Capacity Input","-",""))))</f>
        <v>-</v>
      </c>
      <c r="BE47" s="103" t="str">
        <f>IF(Reinforcements[[#This Row],[Top End Connection Same?]]="Yes",Reinforcements[[#This Row],[Bottom End Connection Bolt Type]],IF(Reinforcements[[#This Row],[Top End Connection Type]]="Welded","-",""))</f>
        <v>PC 8.8 - M20 (100)</v>
      </c>
      <c r="BF47" s="190" t="str">
        <f>IF(Reinforcements[[#This Row],[Top End Connection Same?]]="Yes",Reinforcements[[#This Row],[Threads Included (N) or Excluded (X) (Bottom)]],IF(Reinforcements[[#This Row],[Top End Connection Type]]="Welded","-",""))</f>
        <v>N</v>
      </c>
      <c r="BG47" s="190">
        <f>IF(Reinforcements[[#This Row],[Top End Connection Same?]]="Yes",Reinforcements[[#This Row],['# of End Connection Bolts          (Bottom)]],IF(Reinforcements[[#This Row],[Top End Connection Type]]="Welded","-",""))</f>
        <v>14</v>
      </c>
      <c r="BH47" s="190">
        <f>IF(Reinforcements[[#This Row],[Top End Connection Same?]]="Yes",Reinforcements[[#This Row],[End Connection Bolt Spacing (in) (B)]],IF(Reinforcements[[#This Row],[Top End Connection Type]]="Welded","-",""))</f>
        <v>3</v>
      </c>
      <c r="BI47" s="190">
        <f>IF(Reinforcements[[#This Row],[Top End Connection Same?]]="Yes",Reinforcements[[#This Row],[End Connection Edge Distance (in) (B)]],IF(Reinforcements[[#This Row],[Top End Connection Type]]="Welded","-",""))</f>
        <v>2</v>
      </c>
      <c r="BJ47" s="190">
        <f>Reinforcements[[#This Row],[End Connection Edge Distance (in) (T)]]-(Reinforcements[[#This Row],[Bolt Hole Size (in)]]+1/16)/2</f>
        <v>1.375</v>
      </c>
      <c r="BK47" s="190">
        <f>Reinforcements[[#This Row],[End Connection Bolt Spacing (in) (T)]]-(Reinforcements[[#This Row],[Bolt Hole Size (in)]]+1/16)</f>
        <v>1.75</v>
      </c>
      <c r="BL47" s="237">
        <f>Reinforcements[[#This Row],[End Connection Edge Distance (in) (T)]]</f>
        <v>2</v>
      </c>
      <c r="BM47" s="237">
        <f>Reinforcements[[#This Row],[End Connection Bolt Spacing (in) (T)]]</f>
        <v>3</v>
      </c>
      <c r="BN47" s="237" t="str">
        <f>IF(Reinforcements[[#This Row],[Reinforcement]]="","",IF(Reinforcements[[#This Row],[Top End Connection Same?]]="Yes",Reinforcements[[#This Row],[Bottom Connected to Flange/Base Plate?]],IF(Reinforcements[[#This Row],[Top End Connection Type]]="Bolted","-","")))</f>
        <v>-</v>
      </c>
      <c r="BO47" s="237" t="str">
        <f>IF(Reinforcements[[#This Row],[Reinforcement]]="","",IF(Reinforcements[[#This Row],[Top End Connection Same?]]="Yes",Reinforcements[[#This Row],[Bottom Weld Grade (ksi)]],IF(OR(Reinforcements[[#This Row],[Top End Connection Type]]&lt;&gt;"Welded",Reinforcements[[#This Row],[Top End Connection Type]]=""),"-","")))</f>
        <v>-</v>
      </c>
      <c r="BP47" s="237" t="str">
        <f>IF($AZ47="Yes",AP47,IF(Reinforcements[[#This Row],[Reinforcement]]="","",IF(OR(Reinforcements[[#This Row],[Top End Connection Type]]&lt;&gt;"Welded",Reinforcements[[#This Row],[Top End Connection Type]]=""),"-","")))</f>
        <v>-</v>
      </c>
      <c r="BQ47" s="237" t="str">
        <f>IF(Reinforcements[[#This Row],[Reinforcement]]="","",IF($AZ47="Yes",AQ47,IF(OR(Reinforcements[[#This Row],[Top End Connection Type]]&lt;&gt;"Welded",Reinforcements[[#This Row],[Top Transverse (Horizontal) Weld]]="none",Reinforcements[[#This Row],[Top Transverse (Horizontal) Weld]]=""),"-","")))</f>
        <v>-</v>
      </c>
      <c r="BR47" s="237" t="str">
        <f>IF($AZ47="Yes",AR47,IF(Reinforcements[[#This Row],[Reinforcement]]="","",IF(OR(Reinforcements[[#This Row],[Top Transverse (Horizontal) Weld]]="none",Reinforcements[[#This Row],[Top End Connection Type]]&lt;&gt;"Welded",Reinforcements[[#This Row],[Top Transverse (Horizontal) Weld]]="",Reinforcements[[#This Row],[Top Transverse (Horizontal) Weld]]="Fillet"),"-","")))</f>
        <v>-</v>
      </c>
      <c r="BS47" s="237" t="str">
        <f>IF($AZ47="Yes",AS47,IF(Reinforcements[[#This Row],[Reinforcement]]="","",IF(OR(Reinforcements[[#This Row],[Top Transverse (Horizontal) Weld]]="none",Reinforcements[[#This Row],[Top End Connection Type]]&lt;&gt;"Welded",Reinforcements[[#This Row],[Top Transverse (Horizontal) Weld]]="",Reinforcements[[#This Row],[Top Transverse (Horizontal) Weld]]="Fillet"),"-","")))</f>
        <v>-</v>
      </c>
      <c r="BT47" s="237" t="str">
        <f>IF(Reinforcements[[#This Row],[Reinforcement]]="","",IF($AZ47="Yes",AT47,IF(OR(Reinforcements[[#This Row],[Top Transverse (Horizontal) Weld]]="none",Reinforcements[[#This Row],[Top End Connection Type]]&lt;&gt;"Welded",Reinforcements[[#This Row],[Top Transverse (Horizontal) Weld]]=""),"-","")))</f>
        <v>-</v>
      </c>
      <c r="BU47" s="237" t="str">
        <f>IF($AZ47="Yes",AU47,IF(Reinforcements[[#This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7" s="237" t="str">
        <f>IF($AZ47="Yes",AV47,IF(Reinforcements[[#This Row],[Reinforcement]]="","",IF(OR(Reinforcements[[#This Row],[Top End Connection Type]]&lt;&gt;"Welded",Reinforcements[[#This Row],[Top End Connection Type]]=""),"-","")))</f>
        <v>-</v>
      </c>
      <c r="BW47" s="237" t="str">
        <f>IF($AZ47="Yes",AW47,IF(Reinforcements[[#This Row],[Reinforcement]]="","",IF(OR(Reinforcements[[#This Row],[Top End Connection Type]]&lt;&gt;"Welded",Reinforcements[[#This Row],[Top End Connection Type]]="",Reinforcements[[#This Row],[Top Longitudinal (Vertical) Weld]]="",Reinforcements[[#This Row],[Top Longitudinal (Vertical) Weld]]="None"),"-","")))</f>
        <v>-</v>
      </c>
      <c r="BX47" s="237" t="str">
        <f>IF($AZ47="Yes",AX47,IF(Reinforcements[[#This Row],[Reinforcement]]="","",IF(OR(Reinforcements[[#This Row],[Top End Connection Type]]&lt;&gt;"Welded",Reinforcements[[#This Row],[Top End Connection Type]]="",Reinforcements[[#This Row],[Top Longitudinal (Vertical) Weld]]="",Reinforcements[[#This Row],[Top Longitudinal (Vertical) Weld]]="None"),"-","")))</f>
        <v>-</v>
      </c>
      <c r="BY47" s="237" t="str">
        <f>IF($AZ47="Yes",AY47,IF(Reinforcements[[#This Row],[Reinforcement]]="","",IF(OR(Reinforcements[[#This Row],[Top End Connection Type]]&lt;&gt;"Welded",Reinforcements[[#This Row],[Top Longitudinal (Vertical) Weld]]="none"),"-",SQRT(2)/2*Reinforcements[[#This Row],[Top Longitudinal Weld Fillet Size (in)]])))</f>
        <v>-</v>
      </c>
      <c r="BZ47"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39</v>
      </c>
      <c r="CA47" s="238">
        <f>IF(Reinforcements[[#This Row],[Reinforcement]]="","",IF(Reinforcements[[#This Row],[Bottom End Connection Type]]&lt;&gt;"Bolted","n/a",(Reinforcements[[#This Row],['# of End Connection Bolts          (Bottom)]]-1)*Reinforcements[[#This Row],[End Connection Bolt Spacing (in) (B)]]+Reinforcements[[#This Row],[End Connection Edge Distance (in) (B)]]))</f>
        <v>41</v>
      </c>
      <c r="CB47" s="238">
        <f>IF(Reinforcements[[#This Row],[Reinforcement]]="","",IF(Reinforcements[[#This Row],[Top End Connection Type]]&lt;&gt;"Bolted","n/a",(Reinforcements[[#This Row],['# of End Connection Bolts          (Top)]]-1)*Reinforcements[[#This Row],[End Connection Bolt Spacing (in) (T)]]+Reinforcements[[#This Row],[End Connection Edge Distance (in) (T)]]))</f>
        <v>41</v>
      </c>
      <c r="CC47"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4.553763440860215</v>
      </c>
      <c r="CD47"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1.86</v>
      </c>
      <c r="CE47" s="236">
        <f>IFERROR(IF(Reinforcements[[#This Row],[Type]]="","",Reinforcements[[#This Row],[Effective B (in)]]*Reinforcements[[#This Row],[Effective H (in)]]^3/12),"")</f>
        <v>2.4419010000000001</v>
      </c>
      <c r="CF47" s="236">
        <f>IFERROR(IF(Reinforcements[[#This Row],[Type]]="","",Reinforcements[[#This Row],[Effective B (in)]]^3*Reinforcements[[#This Row],[Effective H (in)]]/12),"")</f>
        <v>14.636697474659883</v>
      </c>
      <c r="CG47" s="235">
        <f>SQRT(2*PI()^2*29000/VLOOKUP(Reinforcements[[#This Row],[Material]],Materials[],2,FALSE))</f>
        <v>93.844147005158973</v>
      </c>
      <c r="CH47"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35.515733360011026</v>
      </c>
      <c r="CI47"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37.920870422396987</v>
      </c>
      <c r="CJ47" s="239">
        <f>Reinforcements[[#This Row],[Effective Length Factor Kx]]*Reinforcements[[#This Row],[Lu (in)]]/(Reinforcements[[#This Row],[rx]]*PI())*SQRT(VLOOKUP(Reinforcements[[#This Row],[Material]],Materials[],2,FALSE)/29000)</f>
        <v>0.37848453699895773</v>
      </c>
      <c r="CK47" s="239">
        <f>Reinforcements[[#This Row],[Effective Length Factor Ky]]*Reinforcements[[#This Row],[Lu (in)]]/(Reinforcements[[#This Row],[ry]]*PI())*SQRT(VLOOKUP(Reinforcements[[#This Row],[Material]],Materials[],2,FALSE)/29000)</f>
        <v>0.14527172779247122</v>
      </c>
      <c r="CL47" s="239">
        <f>IF(Reinforcements[[#This Row],[λcx]]&lt;=1.5,0.658^(Reinforcements[[#This Row],[λcx]]^2)*Reinforcements[[#This Row],[F''y]],0.877/(Reinforcements[[#This Row],[λcx]]^2)*Reinforcements[[#This Row],[F''y]])</f>
        <v>61.217292364927786</v>
      </c>
      <c r="CM47" s="239">
        <f>IF(Reinforcements[[#This Row],[λcy]]&lt;=1.5,0.658^(Reinforcements[[#This Row],[λcy]]^2)*Reinforcements[[#This Row],[F''y]],0.877/(Reinforcements[[#This Row],[λcy]]^2)*Reinforcements[[#This Row],[F''y]])</f>
        <v>64.428381060059806</v>
      </c>
      <c r="CN47" s="236">
        <f>VLOOKUP(Reinforcements[[#This Row],[Material]],Materials[],2,FALSE)</f>
        <v>65</v>
      </c>
      <c r="CO47" s="235">
        <f>IF(Reinforcements[[#This Row],[Reinforcement]]="","",Reinforcements[[#This Row],[Fax]]*Reinforcements[[#This Row],[Gross Area (in2)]])</f>
        <v>300.81826155929343</v>
      </c>
      <c r="CP47" s="235">
        <f>IF(Reinforcements[[#This Row],[Reinforcement]]="","",Reinforcements[[#This Row],[Fay]]*Reinforcements[[#This Row],[Gross Area (in2)]])</f>
        <v>321.18977247770249</v>
      </c>
      <c r="CQ47" s="235">
        <f>IF(Reinforcements[[#This Row],[Reinforcement]]="","",0.6*VLOOKUP(Reinforcements[[#This Row],[Material]],Materials[],2,FALSE)*Reinforcements[[#This Row],[Gross Area (in2)]])</f>
        <v>330.33000000000004</v>
      </c>
      <c r="CR47" s="235">
        <f>IF(Reinforcements[[#This Row],[Reinforcement]]="","",0.5*VLOOKUP(Reinforcements[[#This Row],[Material]],Materials[],3,FALSE)*Reinforcements[[#This Row],[Net Area (in2)]]*Reinforcements[[#This Row],[Shear Lag (U)]])</f>
        <v>299.48400000000004</v>
      </c>
      <c r="CS47" s="235">
        <f>IF(Reinforcements[[#This Row],[Reinforcement]]="","",0.4*VLOOKUP(Reinforcements[[#This Row],[Material]],Materials[],2,FALSE)*Reinforcements[[#This Row],[Gross Area (in2)]])</f>
        <v>220.22000000000003</v>
      </c>
      <c r="CT47"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47"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47"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47"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47"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47"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47"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982.07244094488203</v>
      </c>
      <c r="DA47"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1086.0850393700787</v>
      </c>
      <c r="DB47"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982.07244094488203</v>
      </c>
      <c r="DC47"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1086.0850393700787</v>
      </c>
      <c r="DD47"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7"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7" s="237" t="str">
        <f>IF($AZ47="Yes",DD47,IF(Reinforcements[[#This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7" s="237" t="str">
        <f>IF($AZ47="Yes",DE47,IF(Reinforcements[[#This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7" s="235">
        <f>IF(Reinforcements[[#This Row],[Reinforcement]]="","",φ_c*Reinforcements[[#This Row],[Fcr,x]]*Reinforcements[[#This Row],[Gross Area (in2)]])</f>
        <v>466.65941969784456</v>
      </c>
      <c r="DI47" s="235">
        <f>IF(Reinforcements[[#This Row],[Reinforcement]]="","",φ_c*Reinforcements[[#This Row],[Fcr,y]]*Reinforcements[[#This Row],[Gross Area (in2)]])</f>
        <v>491.13754882083595</v>
      </c>
      <c r="DJ47" s="235">
        <f>IF(Reinforcements[[#This Row],[Reinforcement]]="","",φ_t_y*VLOOKUP(Reinforcements[[#This Row],[Material]],Materials[],2,FALSE)*Reinforcements[[#This Row],[Gross Area (in2)]])</f>
        <v>495.49500000000006</v>
      </c>
      <c r="DK47" s="235">
        <f>IF(Reinforcements[[#This Row],[Reinforcement]]="","",φ_t_r*VLOOKUP(Reinforcements[[#This Row],[Material]],Materials[],3,FALSE)*Reinforcements[[#This Row],[Net Area (in2)]]*Reinforcements[[#This Row],[Shear Lag (U)]])</f>
        <v>449.22600000000006</v>
      </c>
      <c r="DL47" s="235">
        <f>IF(Reinforcements[[#This Row],[Reinforcement]]="","",φ_v*0.5*Reinforcements[[#This Row],[F''y]]*Reinforcements[[#This Row],[Gross Area (in2)]])</f>
        <v>247.74750000000003</v>
      </c>
      <c r="DM47"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47"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47"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27.59433070866142</v>
      </c>
      <c r="DP47"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34.492913385826775</v>
      </c>
      <c r="DQ47"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47"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47"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1382.2064881889764</v>
      </c>
      <c r="DT47"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1727.7581102362205</v>
      </c>
      <c r="DU47"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1382.2064881889764</v>
      </c>
      <c r="DV47"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1727.7581102362205</v>
      </c>
      <c r="DW47"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7"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7" s="237" t="str">
        <f>IF($AZ47="Yes",DW47,IF(Reinforcements[[#This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7" s="237" t="str">
        <f>IF($AZ47="Yes",DX47,IF(Reinforcements[[#This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7" s="238">
        <f>IF(OR(Reinforcements[[#This Row],[Type]]="plate",Reinforcements[[#This Row],[Type]]="solid round"),"N/A",Reinforcements[[#This Row],[B (in)]])</f>
        <v>6.89</v>
      </c>
      <c r="EB47" s="236">
        <f>IF(OR(Reinforcements[[#This Row],[Type]]="plate",Reinforcements[[#This Row],[Type]]="solid round"),"N/A",Reinforcements[[#This Row],[H (in)]])</f>
        <v>2.61</v>
      </c>
      <c r="EC47" s="236">
        <f>IF(OR(Reinforcements[[#This Row],[Type]]="plate",Reinforcements[[#This Row],[Type]]="solid round"),"N/A",Reinforcements[[#This Row],[B (in)]]-Reinforcements[[#This Row],['[Channel'] Flange Thickness (in)]])</f>
        <v>5.88</v>
      </c>
      <c r="ED47" s="236">
        <f>IF(OR(Reinforcements[[#This Row],[Type]]="plate",Reinforcements[[#This Row],[Type]]="solid round"),"N/A",Reinforcements[[#This Row],['[Channel']Web Thickness (in)]])</f>
        <v>0.64</v>
      </c>
      <c r="EE47" s="236">
        <f>IF(OR(Reinforcements[[#This Row],[Type]]="plate",Reinforcements[[#This Row],[Type]]="solid round"),"N/A",Reinforcements[[#This Row],['[Channel'] Flange Thickness (in)]])</f>
        <v>1.01</v>
      </c>
      <c r="EF47" s="236">
        <f>IF(Reinforcements[[#This Row],[Type]]="channel",Reinforcements[[#This Row],[Channel Flange Width, b]]/Reinforcements[[#This Row],[Channel flange thickness, tf]],"N/A")</f>
        <v>2.5841584158415842</v>
      </c>
      <c r="EG47" s="236">
        <f>IF(Reinforcements[[#This Row],[Type]]="channel",Reinforcements[[#This Row],[Channel inside depth, T]]/Reinforcements[[#This Row],[Channel web thickness, tw]],"N/A")</f>
        <v>9.1875</v>
      </c>
      <c r="EH47" s="237">
        <v>29000</v>
      </c>
      <c r="EI47" s="236">
        <f>IF(Reinforcements[[#This Row],[Type]]="channel",0.56*SQRT(Reinforcements[[#This Row],[E, (ksi)]]/Reinforcements[[#This Row],[Fy, (ksi)]]),"N/A")</f>
        <v>11.828518341442694</v>
      </c>
      <c r="EJ47" s="236">
        <f>IF(Reinforcements[[#This Row],[Type]]="channel",1.49*SQRT(Reinforcements[[#This Row],[E, (ksi)]]/Reinforcements[[#This Row],[Fy, (ksi)]]),"N/A")</f>
        <v>31.472307729910018</v>
      </c>
      <c r="EK47" s="236">
        <f>VLOOKUP(Reinforcements[[#This Row],[Material]],Materials!$B$2:$C$30,2,FALSE)</f>
        <v>65</v>
      </c>
      <c r="EL47" s="236">
        <f>Reinforcements[[#This Row],[Lu (in)]]*Reinforcements[[#This Row],[Effective Length Factor Kx]]</f>
        <v>19.200000000000003</v>
      </c>
      <c r="EM47" s="236">
        <f>Reinforcements[[#This Row],[Lu (in)]]*Reinforcements[[#This Row],[Effective Length Factor Ky]]</f>
        <v>24</v>
      </c>
      <c r="EN47" s="236">
        <f>Reinforcements[[#This Row],[rx]]</f>
        <v>0.76447078715643835</v>
      </c>
      <c r="EO47" s="236">
        <f>Reinforcements[[#This Row],[ry]]</f>
        <v>2.4896479886598457</v>
      </c>
      <c r="EP47" s="236">
        <f>Reinforcements[[#This Row],[Lcx (in)]]/Reinforcements[[#This Row],[rx (in)]]</f>
        <v>25.115413594046188</v>
      </c>
      <c r="EQ47" s="236">
        <f>Reinforcements[[#This Row],[Lcy (in)]]/Reinforcements[[#This Row],[ry (in)]]</f>
        <v>9.6399170120909243</v>
      </c>
      <c r="ER47" s="236">
        <f>((PI()^2)*Reinforcements[[#This Row],[E, (ksi)]])/(Reinforcements[[#This Row],[Lcx/rx]]^2)</f>
        <v>453.75045599062645</v>
      </c>
      <c r="ES47" s="236">
        <f>((PI()^2)*Reinforcements[[#This Row],[E, (ksi)]])/(Reinforcements[[#This Row],[Lcy/ry]]^2)</f>
        <v>3080.003095209101</v>
      </c>
      <c r="ET47" s="236">
        <f>4.71*(SQRT(Reinforcements[[#This Row],[E, (ksi)]]/Reinforcements[[#This Row],[Fy, (ksi)]]))</f>
        <v>99.486288193205496</v>
      </c>
      <c r="EU47" s="236">
        <f>IF(Reinforcements[[#This Row],[Lcx/rx]]&lt;=Reinforcements[[#This Row],[Fcr Limit]],(0.658^(Reinforcements[[#This Row],[Fy, (ksi)]]/Reinforcements[[#This Row],[Fex, FB (ksi)]]))*Reinforcements[[#This Row],[Fy, (ksi)]],0.877*Reinforcements[[#This Row],[Fex, FB (ksi)]])</f>
        <v>61.217292364927786</v>
      </c>
      <c r="EV47" s="236">
        <f>IF(Reinforcements[[#This Row],[Lcy/ry]]&lt;=Reinforcements[[#This Row],[Fcr Limit]],(0.658^(Reinforcements[[#This Row],[Fy, (ksi)]]/Reinforcements[[#This Row],[Fey, FB (ksi)]]))*Reinforcements[[#This Row],[Fy, (ksi)]],0.877*Reinforcements[[#This Row],[Fey, FB (ksi)]])</f>
        <v>64.428381060059806</v>
      </c>
      <c r="EW47" s="236">
        <f>Reinforcements[[#This Row],[Fcrx (ksi)]]*Reinforcements[[#This Row],[Gross Area (in2)]]</f>
        <v>518.51046633093836</v>
      </c>
      <c r="EX47" s="236">
        <f>Reinforcements[[#This Row],[Fcry (ksi)]]*Reinforcements[[#This Row],[Gross Area (in2)]]</f>
        <v>545.70838757870661</v>
      </c>
      <c r="EY47" s="236">
        <f>IF(Reinforcements[[#This Row],[Type]]="channel",0,"N/A")</f>
        <v>0</v>
      </c>
      <c r="EZ47" s="236">
        <f>IF(Reinforcements[[#This Row],[Type]]="channel",Reinforcements[[#This Row],[Channel Flange Width, b]]-(0.5*Reinforcements[[#This Row],[Channel web thickness, tw]]),"N/A")</f>
        <v>2.29</v>
      </c>
      <c r="FA47" s="236">
        <f>IF(Reinforcements[[#This Row],[Type]]="channel",Reinforcements[[#This Row],[Channel Height, h]]-Reinforcements[[#This Row],[Channel flange thickness, tf]],"N/A")</f>
        <v>5.88</v>
      </c>
      <c r="FB47" s="236">
        <f>IF(Reinforcements[[#This Row],[Type]]="channel",Reinforcements[[#This Row],[Channel web thickness, tw]],"N/A")</f>
        <v>0.64</v>
      </c>
      <c r="FC47" s="236">
        <f>IF(Reinforcements[[#This Row],[Type]]="channel",((3*Reinforcements[[#This Row],[b]]^2)/(Reinforcements[[#This Row],[h]]+(6*Reinforcements[[#This Row],[b]])))-Reinforcements[[#This Row],[t]]/2,"N/A")</f>
        <v>0.48185015290519889</v>
      </c>
      <c r="FD47" s="236">
        <f>Reinforcements[[#This Row],[Pole Face to Centroid (in)]]</f>
        <v>0.93</v>
      </c>
      <c r="FE47" s="236">
        <f>IF(Reinforcements[[#This Row],[Type]]="channel",Reinforcements[[#This Row],[x(bar)]]+Reinforcements[[#This Row],['[Channel'] e0 (in)]],"N/A")</f>
        <v>1.411850152905199</v>
      </c>
      <c r="FF47" s="236">
        <f>IF(Reinforcements[[#This Row],[Type]]="channel",Reinforcements[[#This Row],[Ix]],"N/A")</f>
        <v>4.95</v>
      </c>
      <c r="FG47" s="236">
        <f>IF(Reinforcements[[#This Row],[Type]]="channel",Reinforcements[[#This Row],[Iy]],"N/A")</f>
        <v>52.5</v>
      </c>
      <c r="FH47" s="236">
        <f>IF(Reinforcements[[#This Row],[Type]]="channel",Reinforcements[[#This Row],[Gross Area (in2)]],"N/A")</f>
        <v>8.4700000000000006</v>
      </c>
      <c r="FI47" s="236">
        <f>IF(Reinforcements[[#This Row],[Type]]="channel",(Reinforcements[[#This Row],[xo]]^2)+((Reinforcements[[#This Row],[Ix (FTB)]]+Reinforcements[[#This Row],[Iy (FTB)]])/Reinforcements[[#This Row],[Ag]]),"N/A")</f>
        <v>8.7760835461120354</v>
      </c>
      <c r="FJ47" s="236">
        <f>IF(Reinforcements[[#This Row],[Type]]="channel",Reinforcements[[#This Row],[Lu (in)]],"N/A")</f>
        <v>24</v>
      </c>
      <c r="FK47" s="236">
        <f>IF(Reinforcements[[#This Row],[Type]]="channel",Reinforcements[[#This Row],[Effective Length Factor Kx]],"N/A")</f>
        <v>0.8</v>
      </c>
      <c r="FL47" s="236">
        <f>IF(Reinforcements[[#This Row],[Type]]="channel",Reinforcements[[#This Row],[Kz]]*Reinforcements[[#This Row],[Lz]],"N/A")</f>
        <v>19.200000000000003</v>
      </c>
      <c r="FM47" s="236">
        <f>IF(Reinforcements[[#This Row],[Type]]="channel",(((Reinforcements[[#This Row],[t]]^3)/3)*(Reinforcements[[#This Row],[h]]+(2*Reinforcements[[#This Row],[b]]))),"N/A")</f>
        <v>0.91400874666666698</v>
      </c>
      <c r="FN47" s="236">
        <f>IF(Reinforcements[[#This Row],[Type]]="channel",(1-(((Reinforcements[[#This Row],[xo]]^2)+(Reinforcements[[#This Row],[yo]]^2))/Reinforcements[[#This Row],[ro^2(bar)]])),"N/A")</f>
        <v>0.77286897466450044</v>
      </c>
      <c r="FO47" s="237">
        <v>11200</v>
      </c>
      <c r="FP47" s="236">
        <f>IF(Reinforcements[[#This Row],[Type]]="channel",(((Reinforcements[[#This Row],[h]]^2)*(Reinforcements[[#This Row],[b]]^3)*Reinforcements[[#This Row],[t]])/12)*(((2*Reinforcements[[#This Row],[h]])+(3*Reinforcements[[#This Row],[b]]))/(Reinforcements[[#This Row],[h]]+(6*Reinforcements[[#This Row],[b]]))),"N/A")</f>
        <v>21.026823970958091</v>
      </c>
      <c r="FQ47" s="236">
        <f>IF(Reinforcements[[#This Row],[Type]]="Channel",((((PI()^2)*Reinforcements[[#This Row],[E, (ksi)]]*Reinforcements[[#This Row],['[Channel'] CW (in6)]])/(Reinforcements[[#This Row],[Lcz]]^2))+(Reinforcements[[#This Row],[G]]*Reinforcements[[#This Row],['[Channel'] J (in4)]]))*(1/(Reinforcements[[#This Row],[Ag]]*Reinforcements[[#This Row],[ro^2(bar)]])),"N/A")</f>
        <v>357.34247419887589</v>
      </c>
      <c r="FR47" s="236">
        <f>IF(Reinforcements[[#This Row],[Type]]="channel",((PI()^2)*Reinforcements[[#This Row],[E, (ksi)]])/(Reinforcements[[#This Row],[Lcy/ry]]^2),"N/A")</f>
        <v>3080.003095209101</v>
      </c>
      <c r="FS47" s="236">
        <f>IF(Reinforcements[[#This Row],[Type]]="channel",((Reinforcements[[#This Row],[Fey]]+Reinforcements[[#This Row],[Fez]])/(2*Reinforcements[[#This Row],[H2]]))*(1-SQRT(1-((4*Reinforcements[[#This Row],[Fey]]*Reinforcements[[#This Row],[Fez]]*Reinforcements[[#This Row],[H2]])/(Reinforcements[[#This Row],[Fey]]+Reinforcements[[#This Row],[Fez]])^2))),"N/A")</f>
        <v>347.31626326669334</v>
      </c>
      <c r="FT47" s="236">
        <f>IF(Reinforcements[[#This Row],[Type]]="channel",IF(Reinforcements[[#This Row],[Lcx/rx]]&gt;(4.71*SQRT(Reinforcements[[#This Row],[E, (ksi)]]/Reinforcements[[#This Row],[Fy, (ksi)]])),0.877*Reinforcements[[#This Row],[Fe (FTB)]],0.658^(Reinforcements[[#This Row],[Fy, (ksi)]]/Reinforcements[[#This Row],[Fe (FTB)]])*Reinforcements[[#This Row],[Fy, (ksi)]]),"N/A")</f>
        <v>60.102765770188284</v>
      </c>
      <c r="FU47" s="236">
        <f>IF(Reinforcements[[#This Row],[Type]]="channel",MIN(Reinforcements[[#This Row],[Fcr(FTB)]],Reinforcements[[#This Row],[Fcry (ksi)]]),"N/A")</f>
        <v>60.102765770188284</v>
      </c>
      <c r="FV47" s="237">
        <v>0.22</v>
      </c>
      <c r="FW47" s="237">
        <v>1.49</v>
      </c>
      <c r="FX47" s="236">
        <f>IF(Reinforcements[[#This Row],[Type]]="channel",((Reinforcements[[#This Row],[c2]]*(Reinforcements[[#This Row],[λrf]]/Reinforcements[[#This Row],[λf]]))^2)*Reinforcements[[#This Row],[Fy, (ksi)]],"N/A")</f>
        <v>3023.4885037718186</v>
      </c>
      <c r="FY47" s="236">
        <f>IF(Reinforcements[[#This Row],[Type]]="channel",((Reinforcements[[#This Row],[c2]]*(Reinforcements[[#This Row],[λrw]]/Reinforcements[[#This Row],[λw]]))^2)*Reinforcements[[#This Row],[Fy, (ksi)]],"N/A")</f>
        <v>1693.3563760581239</v>
      </c>
      <c r="FZ47"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2.29</v>
      </c>
      <c r="GA47"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5.88</v>
      </c>
      <c r="GB47"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8.4700000000000006</v>
      </c>
      <c r="GC47" s="236">
        <f>IF(Reinforcements[[#This Row],[Type]]="channel",Reinforcements[[#This Row],[Fcr]]*Reinforcements[[#This Row],[Ae]],"N/A")</f>
        <v>509.07042607349479</v>
      </c>
      <c r="GD47" s="466">
        <f>IF(Reinforcements[[#This Row],[Reinforcement]]="","",φ_c*Reinforcements[[#This Row],[Pnx, FB (kip)]])</f>
        <v>466.65941969784456</v>
      </c>
      <c r="GE47" s="466">
        <f>IF(Reinforcements[[#This Row],[Reinforcement]]="","",IF(Reinforcements[[#This Row],[Type]]="channel",φ_c*Reinforcements[[#This Row],[Pn]],φ_c*Reinforcements[[#This Row],[Pny, FB (kip)]]))</f>
        <v>458.16338346614532</v>
      </c>
      <c r="GF47" s="466">
        <f>Reinforcements[[#This Row],[Rev. G Tension Yield Capacity (kips)]]</f>
        <v>495.49500000000006</v>
      </c>
      <c r="GG47" s="466">
        <f>Reinforcements[[#This Row],[Rev. G Tension Rupture Capacity (kips)]]</f>
        <v>449.22600000000006</v>
      </c>
      <c r="GH47" s="466">
        <f>Reinforcements[[#This Row],[Rev. G Shear Capacity (kips)]]</f>
        <v>247.74750000000003</v>
      </c>
      <c r="GI47" s="466">
        <f>IFERROR((Reinforcements[[#This Row],['# of End Connection Bolts          (Bottom)]]-1)*Reinforcements[[#This Row],[End Connection Bolt Spacing (in) (B)]],"-")</f>
        <v>39</v>
      </c>
      <c r="GJ47" s="466">
        <f>IFERROR(IF(VLOOKUP(Reinforcements[[#This Row],[Bottom End Connection Bolt Type]],Bolts[],COLUMN(Bolts[[#Headers],[Rev. H Apply Connection Length Reduction Factor (Rb)?]])-1,FALSE)="Yes",(IF(Reinforcements[[#This Row],[Lb(bottom)]]&lt;=16,1,IF(Reinforcements[[#This Row],[Lb(bottom)]]&gt;38,0.75,0.9))),1),"-")</f>
        <v>1</v>
      </c>
      <c r="GK47"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649.59497359145109</v>
      </c>
      <c r="GL47" s="466">
        <f>IFERROR(IF(Reinforcements[[#This Row],[Top End Connection Same?]]="Yes",Reinforcements[[#This Row],[Lb(bottom)]],(Reinforcements[[#This Row],['# of End Connection Bolts          (Top)]]-1)*Reinforcements[[#This Row],[End Connection Bolt Spacing (in) (T)]]),"-")</f>
        <v>39</v>
      </c>
      <c r="GM47" s="466">
        <f>IFERROR(IF(VLOOKUP(Reinforcements[[#This Row],[Top End Connection Bolt Type]],Bolts[],COLUMN(Bolts[[#Headers],[Rev. H Apply Connection Length Reduction Factor (Rb)?]])-1,FALSE)="Yes",(IF(Reinforcements[[#This Row],[Lb(top)]]&lt;=16,1,IF(Reinforcements[[#This Row],[Lb(top)]]&gt;38,0.75,0.9))),1),"-")</f>
        <v>1</v>
      </c>
      <c r="GN47"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649.59497359145109</v>
      </c>
      <c r="GO47" s="466">
        <f>Reinforcements[[#This Row],[Rev. G Bolt-Shaft Bearing Capacity (Bottom)                No Deformation          (*t*Fu kips)]]</f>
        <v>27.59433070866142</v>
      </c>
      <c r="GP47" s="466">
        <f>Reinforcements[[#This Row],[Rev. G Bolt-Shaft Bearing Capacity (Bottom)                   Deformation          (*t*Fu kips)]]</f>
        <v>34.492913385826775</v>
      </c>
      <c r="GQ47" s="466">
        <f>Reinforcements[[#This Row],[Rev. G Bolt-Shaft Bearing Capacity (Top)                    No Deformation          (*t*Fu kips)]]</f>
        <v>27.59433070866142</v>
      </c>
      <c r="GR47" s="466">
        <f>Reinforcements[[#This Row],[Rev. G Bolt-Shaft Bearing Capacity (Top)                        Deformation          (*t*Fu kips)]]</f>
        <v>34.492913385826775</v>
      </c>
      <c r="GS47" s="466">
        <f>Reinforcements[[#This Row],[Rev. G Bolt-Reinf. Bearing Capacity (Bottom)            No Deformation (kips)]]</f>
        <v>1382.2064881889764</v>
      </c>
      <c r="GT47" s="466">
        <f>Reinforcements[[#This Row],[Rev. G Bolt-Reinf. Bearing Capacity (Bottom)               Deformation (kips)]]</f>
        <v>1727.7581102362205</v>
      </c>
      <c r="GU47" s="466">
        <f>Reinforcements[[#This Row],[Rev. G Bolt-Reinf. Bearing Capacity (Top)                  No Deformation (kips)]]</f>
        <v>1382.2064881889764</v>
      </c>
      <c r="GV47" s="466">
        <f>Reinforcements[[#This Row],[Rev. G Bolt-Reinf. Bearing Capacity (Top)               Deformation (kips)]]</f>
        <v>1727.7581102362205</v>
      </c>
      <c r="GW47" s="466" t="str">
        <f>Reinforcements[[#This Row],[Rev. G Bottom Transverse Weld Strength]]</f>
        <v>-</v>
      </c>
      <c r="GX47" s="466" t="str">
        <f>Reinforcements[[#This Row],[Rev. G Bottom Longitudinal Weld Strength]]</f>
        <v>-</v>
      </c>
      <c r="GY47" s="466" t="str">
        <f>Reinforcements[[#This Row],[Rev. G Top Transverse Weld Strength]]</f>
        <v>-</v>
      </c>
      <c r="GZ47" s="466" t="str">
        <f>Reinforcements[[#This Row],[Rev. G Top Longitudinal Weld Strength]]</f>
        <v>-</v>
      </c>
      <c r="HA47" s="552">
        <v>45</v>
      </c>
      <c r="HB47"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8" spans="2:210" x14ac:dyDescent="0.2">
      <c r="B48" s="243" t="s">
        <v>768</v>
      </c>
      <c r="C48" s="72" t="s">
        <v>147</v>
      </c>
      <c r="D48" s="185">
        <v>6.89</v>
      </c>
      <c r="E48" s="185">
        <v>2.61</v>
      </c>
      <c r="F48" s="185" t="str">
        <f>IF(Reinforcements[[#This Row],[Type]]="","",IF(Reinforcements[[#This Row],[Type]]="solid round","","n/a"))</f>
        <v>n/a</v>
      </c>
      <c r="G48" s="185">
        <v>0.64</v>
      </c>
      <c r="H48" s="185">
        <v>1.01</v>
      </c>
      <c r="I48" s="197">
        <f>IF(Reinforcements[[#This Row],[Type]]="","",IF(Reinforcements[[#This Row],[Type]]&lt;&gt;"channel","n/a",Reinforcements[[#This Row],[eo]]))</f>
        <v>0.48185015290519889</v>
      </c>
      <c r="J48" s="197">
        <f>IF(Reinforcements[[#This Row],[Type]]="","",IF(Reinforcements[[#This Row],[Type]]&lt;&gt;"channel","n/a",Reinforcements[[#This Row],[J]]))</f>
        <v>0.91400874666666698</v>
      </c>
      <c r="K48" s="197">
        <f>IF(Reinforcements[[#This Row],[Type]]="","",IF(Reinforcements[[#This Row],[Type]]&lt;&gt;"channel","n/a",Reinforcements[[#This Row],[Cw]]))</f>
        <v>21.026823970958091</v>
      </c>
      <c r="L48" s="185">
        <v>8.4700000000000006</v>
      </c>
      <c r="M48" s="185">
        <v>0.93</v>
      </c>
      <c r="N48" s="186" t="s">
        <v>297</v>
      </c>
      <c r="O48" s="185" t="s">
        <v>60</v>
      </c>
      <c r="P48" s="187">
        <v>4.95</v>
      </c>
      <c r="Q48" s="187">
        <f>IF(Reinforcements[[#This Row],[Reinforcement]]="","",SQRT(Reinforcements[[#This Row],[Ix]]/Reinforcements[[#This Row],[Gross Area (in2)]]))</f>
        <v>0.76447078715643835</v>
      </c>
      <c r="R48" s="187">
        <v>52.5</v>
      </c>
      <c r="S48" s="187">
        <f>IF(Reinforcements[[#This Row],[Reinforcement]]="","",SQRT(Reinforcements[[#This Row],[Iy]]/Reinforcements[[#This Row],[Gross Area (in2)]]))</f>
        <v>2.4896479886598457</v>
      </c>
      <c r="T48" s="190">
        <v>24</v>
      </c>
      <c r="U48" s="188">
        <v>0.8</v>
      </c>
      <c r="V48" s="188">
        <v>1</v>
      </c>
      <c r="W48" s="185">
        <v>1.25</v>
      </c>
      <c r="X48" s="188">
        <f>IF(Reinforcements[[#This Row],[Bolt Hole Size (in)]]="","",IF(Reinforcements[[#This Row],[Bolt Hole Size (in)]]="n/a","n/a",Reinforcements[[#This Row],[Bolt Hole Size (in)]]*25.4))</f>
        <v>31.75</v>
      </c>
      <c r="Y48"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7.6300000000000008</v>
      </c>
      <c r="Z48" s="185">
        <f>IFERROR(IF(Reinforcements[[#This Row],[Reinforcement]]="","",IF(OR(Reinforcements[[#This Row],[Type]]="plate",Reinforcements[[#This Row],[Type]]="solid round"),1,IF(Reinforcements[[#This Row],[Type]]="arbitrary","",1-Reinforcements[[#This Row],[Pole Face to Centroid (in)]]/Reinforcements[[#This Row],[Connection Length (in) '[Channels']]]))),"")</f>
        <v>0.97615384615384615</v>
      </c>
      <c r="AA48" s="200" t="s">
        <v>391</v>
      </c>
      <c r="AB48" s="200" t="str">
        <f>IF(Reinforcements[[#This Row],[Reinforcement]]="","",IF(Reinforcements[[#This Row],[Bottom End Connection Type]]&lt;&gt;"Capacity Input","-",""))</f>
        <v>-</v>
      </c>
      <c r="AC48" s="200" t="str">
        <f>IF(Reinforcements[[#This Row],[Reinforcement]]="","",IF(Reinforcements[[#This Row],[Bottom End Connection Type]]&lt;&gt;"Capacity Input","-",""))</f>
        <v>-</v>
      </c>
      <c r="AD48" s="461" t="str">
        <f>IF(Reinforcements[[#This Row],[Reinforcement]]="","",IF(Reinforcements[[#This Row],[Bottom End Connection Type]]&lt;&gt;"Capacity Input","-",""))</f>
        <v>-</v>
      </c>
      <c r="AE48" s="103" t="s">
        <v>416</v>
      </c>
      <c r="AF48" s="190" t="s">
        <v>296</v>
      </c>
      <c r="AG48" s="190">
        <v>14</v>
      </c>
      <c r="AH48" s="190">
        <v>3</v>
      </c>
      <c r="AI48" s="190">
        <v>2</v>
      </c>
      <c r="AJ48" s="190">
        <f>Reinforcements[[#This Row],[End Connection Edge Distance (in) (B)]]-(Reinforcements[[#This Row],[Bolt Hole Size (in)]]+1/16)/2</f>
        <v>1.34375</v>
      </c>
      <c r="AK48" s="190">
        <f>Reinforcements[[#This Row],[End Connection Bolt Spacing (in) (B)]]-(Reinforcements[[#This Row],[Bolt Hole Size (in)]]+1/16)</f>
        <v>1.6875</v>
      </c>
      <c r="AL48" s="190">
        <f>Reinforcements[[#This Row],[End Connection Edge Distance (in) (B)]]</f>
        <v>2</v>
      </c>
      <c r="AM48" s="190">
        <f>Reinforcements[[#This Row],[End Connection Bolt Spacing (in) (B)]]</f>
        <v>3</v>
      </c>
      <c r="AN48" s="190" t="str">
        <f>IF(Reinforcements[[#This Row],[Reinforcement]]="","",IF(OR(Reinforcements[[#This Row],[Bottom End Connection Type]]="Bolted",Reinforcements[[#This Row],[Bottom End Connection Type]]=""),"-",""))</f>
        <v>-</v>
      </c>
      <c r="AO48" s="191" t="str">
        <f>IF(Reinforcements[[#This Row],[Reinforcement]]="","",IF(OR(Reinforcements[[#This Row],[Bottom End Connection Type]]="Bolted",Reinforcements[[#This Row],[Bottom End Connection Type]]=""),"-",""))</f>
        <v>-</v>
      </c>
      <c r="AP48" s="191" t="str">
        <f>IF(Reinforcements[[#This Row],[Reinforcement]]="","",IF(OR(Reinforcements[[#This Row],[Bottom End Connection Type]]="Bolted",Reinforcements[[#This Row],[Bottom End Connection Type]]=""),"-",""))</f>
        <v>-</v>
      </c>
      <c r="AQ48" s="191" t="str">
        <f>IF(OR(Reinforcements[[#This Row],[Bottom End Connection Type]]="Bolted",Reinforcements[[#This Row],[Bottom Transverse (Horizontal) Weld]]="none"),"-","")</f>
        <v>-</v>
      </c>
      <c r="AR4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8" s="191" t="str">
        <f>IF(OR(Reinforcements[[#This Row],[Bottom Transverse (Horizontal) Weld]]="none",Reinforcements[[#This Row],[Bottom End Connection Type]]="Bolted"),"-","")</f>
        <v>-</v>
      </c>
      <c r="AU48"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8" s="191" t="str">
        <f>IF(Reinforcements[[#This Row],[Reinforcement]]="","",IF(OR(Reinforcements[[#This Row],[Bottom End Connection Type]]="Bolted",Reinforcements[[#This Row],[Bottom End Connection Type]]=""),"-",""))</f>
        <v>-</v>
      </c>
      <c r="AW48" s="191" t="str">
        <f>IF(Reinforcements[[#This Row],[Reinforcement]]="","",IF(OR(Reinforcements[[#This Row],[Bottom End Connection Type]]&lt;&gt;"Welded",Reinforcements[[#This Row],[Bottom Longitudinal (Vertical) Weld]]="None",Reinforcements[[#This Row],[Bottom Longitudinal (Vertical) Weld]]=""),"-",""))</f>
        <v>-</v>
      </c>
      <c r="AX48" s="191" t="str">
        <f>IF(Reinforcements[[#This Row],[Reinforcement]]="","",IF(OR(Reinforcements[[#This Row],[Bottom End Connection Type]]&lt;&gt;"Welded",Reinforcements[[#This Row],[Bottom Longitudinal (Vertical) Weld]]="None",Reinforcements[[#This Row],[Bottom Longitudinal (Vertical) Weld]]=""),"-",""))</f>
        <v>-</v>
      </c>
      <c r="AY48" s="190" t="str">
        <f>IF(Reinforcements[[#This Row],[Reinforcement]]="","",IF(OR(Reinforcements[[#This Row],[Bottom End Connection Type]]&lt;&gt;"Welded",Reinforcements[[#This Row],[Bottom Longitudinal (Vertical) Weld]]="None"),"-",SQRT(2)/2*Reinforcements[[#This Row],[Bottom Longitudinal Weld Fillet Size (in)]]))</f>
        <v>-</v>
      </c>
      <c r="AZ48" s="191" t="s">
        <v>295</v>
      </c>
      <c r="BA48" s="189" t="str">
        <f>IF(Reinforcements[[#This Row],[Top End Connection Same?]]="Yes",Reinforcements[[#This Row],[Bottom End Connection Type]],"")</f>
        <v>Bolted</v>
      </c>
      <c r="BB48" s="189" t="str">
        <f>IF(Reinforcements[[#This Row],[Reinforcement]]="","",IF(Reinforcements[[#This Row],[Top End Connection Same?]]="Yes",Reinforcements[[#This Row],[Rev. F Bottom Connection Capacity (kips)]],IF(Reinforcements[[#This Row],[Reinforcement]]="","",IF(Reinforcements[[#This Row],[Top End Connection Type]]&lt;&gt;"Capacity Input","-",""))))</f>
        <v>-</v>
      </c>
      <c r="BC48" s="189" t="str">
        <f>IF(Reinforcements[[#This Row],[Reinforcement]]="","",IF(Reinforcements[[#This Row],[Top End Connection Same?]]="Yes",Reinforcements[[#This Row],[Rev. G Bottom Connection Capacity (kips)]],IF(Reinforcements[[#This Row],[Reinforcement]]="","",IF(Reinforcements[[#This Row],[Top End Connection Type]]&lt;&gt;"Capacity Input","-",""))))</f>
        <v>-</v>
      </c>
      <c r="BD48" s="461" t="str">
        <f>IF(Reinforcements[[#This Row],[Reinforcement]]="","",IF(Reinforcements[[#This Row],[Top End Connection Same?]]="Yes",Reinforcements[[#This Row],[Rev. G Bottom Connection Capacity (kips)]],IF(Reinforcements[[#This Row],[Reinforcement]]="","",IF(Reinforcements[[#This Row],[Top End Connection Type]]&lt;&gt;"Capacity Input","-",""))))</f>
        <v>-</v>
      </c>
      <c r="BE48" s="103" t="str">
        <f>IF(Reinforcements[[#This Row],[Top End Connection Same?]]="Yes",Reinforcements[[#This Row],[Bottom End Connection Bolt Type]],IF(Reinforcements[[#This Row],[Top End Connection Type]]="Welded","-",""))</f>
        <v>PC 8.8 - M20 (100)</v>
      </c>
      <c r="BF48" s="190" t="str">
        <f>IF(Reinforcements[[#This Row],[Top End Connection Same?]]="Yes",Reinforcements[[#This Row],[Threads Included (N) or Excluded (X) (Bottom)]],IF(Reinforcements[[#This Row],[Top End Connection Type]]="Welded","-",""))</f>
        <v>N</v>
      </c>
      <c r="BG48" s="190">
        <f>IF(Reinforcements[[#This Row],[Top End Connection Same?]]="Yes",Reinforcements[[#This Row],['# of End Connection Bolts          (Bottom)]],IF(Reinforcements[[#This Row],[Top End Connection Type]]="Welded","-",""))</f>
        <v>14</v>
      </c>
      <c r="BH48" s="190">
        <f>IF(Reinforcements[[#This Row],[Top End Connection Same?]]="Yes",Reinforcements[[#This Row],[End Connection Bolt Spacing (in) (B)]],IF(Reinforcements[[#This Row],[Top End Connection Type]]="Welded","-",""))</f>
        <v>3</v>
      </c>
      <c r="BI48" s="190">
        <f>IF(Reinforcements[[#This Row],[Top End Connection Same?]]="Yes",Reinforcements[[#This Row],[End Connection Edge Distance (in) (B)]],IF(Reinforcements[[#This Row],[Top End Connection Type]]="Welded","-",""))</f>
        <v>2</v>
      </c>
      <c r="BJ48" s="190">
        <f>Reinforcements[[#This Row],[End Connection Edge Distance (in) (T)]]-(Reinforcements[[#This Row],[Bolt Hole Size (in)]]+1/16)/2</f>
        <v>1.34375</v>
      </c>
      <c r="BK48" s="190">
        <f>Reinforcements[[#This Row],[End Connection Bolt Spacing (in) (T)]]-(Reinforcements[[#This Row],[Bolt Hole Size (in)]]+1/16)</f>
        <v>1.6875</v>
      </c>
      <c r="BL48" s="237">
        <f>Reinforcements[[#This Row],[End Connection Edge Distance (in) (T)]]</f>
        <v>2</v>
      </c>
      <c r="BM48" s="237">
        <f>Reinforcements[[#This Row],[End Connection Bolt Spacing (in) (T)]]</f>
        <v>3</v>
      </c>
      <c r="BN48" s="237" t="str">
        <f>IF(Reinforcements[[#This Row],[Reinforcement]]="","",IF(Reinforcements[[#This Row],[Top End Connection Same?]]="Yes",Reinforcements[[#This Row],[Bottom Connected to Flange/Base Plate?]],IF(Reinforcements[[#This Row],[Top End Connection Type]]="Bolted","-","")))</f>
        <v>-</v>
      </c>
      <c r="BO48" s="237" t="str">
        <f>IF(Reinforcements[[#This Row],[Reinforcement]]="","",IF(Reinforcements[[#This Row],[Top End Connection Same?]]="Yes",Reinforcements[[#This Row],[Bottom Weld Grade (ksi)]],IF(OR(Reinforcements[[#This Row],[Top End Connection Type]]&lt;&gt;"Welded",Reinforcements[[#This Row],[Top End Connection Type]]=""),"-","")))</f>
        <v>-</v>
      </c>
      <c r="BP48" s="237" t="str">
        <f>IF($AZ48="Yes",AP48,IF(Reinforcements[[#This Row],[Reinforcement]]="","",IF(OR(Reinforcements[[#This Row],[Top End Connection Type]]&lt;&gt;"Welded",Reinforcements[[#This Row],[Top End Connection Type]]=""),"-","")))</f>
        <v>-</v>
      </c>
      <c r="BQ48" s="237" t="str">
        <f>IF(Reinforcements[[#This Row],[Reinforcement]]="","",IF($AZ48="Yes",AQ48,IF(OR(Reinforcements[[#This Row],[Top End Connection Type]]&lt;&gt;"Welded",Reinforcements[[#This Row],[Top Transverse (Horizontal) Weld]]="none",Reinforcements[[#This Row],[Top Transverse (Horizontal) Weld]]=""),"-","")))</f>
        <v>-</v>
      </c>
      <c r="BR48" s="237" t="str">
        <f>IF($AZ48="Yes",AR48,IF(Reinforcements[[#This Row],[Reinforcement]]="","",IF(OR(Reinforcements[[#This Row],[Top Transverse (Horizontal) Weld]]="none",Reinforcements[[#This Row],[Top End Connection Type]]&lt;&gt;"Welded",Reinforcements[[#This Row],[Top Transverse (Horizontal) Weld]]="",Reinforcements[[#This Row],[Top Transverse (Horizontal) Weld]]="Fillet"),"-","")))</f>
        <v>-</v>
      </c>
      <c r="BS48" s="237" t="str">
        <f>IF($AZ48="Yes",AS48,IF(Reinforcements[[#This Row],[Reinforcement]]="","",IF(OR(Reinforcements[[#This Row],[Top Transverse (Horizontal) Weld]]="none",Reinforcements[[#This Row],[Top End Connection Type]]&lt;&gt;"Welded",Reinforcements[[#This Row],[Top Transverse (Horizontal) Weld]]="",Reinforcements[[#This Row],[Top Transverse (Horizontal) Weld]]="Fillet"),"-","")))</f>
        <v>-</v>
      </c>
      <c r="BT48" s="237" t="str">
        <f>IF(Reinforcements[[#This Row],[Reinforcement]]="","",IF($AZ48="Yes",AT48,IF(OR(Reinforcements[[#This Row],[Top Transverse (Horizontal) Weld]]="none",Reinforcements[[#This Row],[Top End Connection Type]]&lt;&gt;"Welded",Reinforcements[[#This Row],[Top Transverse (Horizontal) Weld]]=""),"-","")))</f>
        <v>-</v>
      </c>
      <c r="BU48" s="237" t="str">
        <f>IF($AZ48="Yes",AU48,IF(Reinforcements[[#This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8" s="237" t="str">
        <f>IF($AZ48="Yes",AV48,IF(Reinforcements[[#This Row],[Reinforcement]]="","",IF(OR(Reinforcements[[#This Row],[Top End Connection Type]]&lt;&gt;"Welded",Reinforcements[[#This Row],[Top End Connection Type]]=""),"-","")))</f>
        <v>-</v>
      </c>
      <c r="BW48" s="237" t="str">
        <f>IF($AZ48="Yes",AW48,IF(Reinforcements[[#This Row],[Reinforcement]]="","",IF(OR(Reinforcements[[#This Row],[Top End Connection Type]]&lt;&gt;"Welded",Reinforcements[[#This Row],[Top End Connection Type]]="",Reinforcements[[#This Row],[Top Longitudinal (Vertical) Weld]]="",Reinforcements[[#This Row],[Top Longitudinal (Vertical) Weld]]="None"),"-","")))</f>
        <v>-</v>
      </c>
      <c r="BX48" s="237" t="str">
        <f>IF($AZ48="Yes",AX48,IF(Reinforcements[[#This Row],[Reinforcement]]="","",IF(OR(Reinforcements[[#This Row],[Top End Connection Type]]&lt;&gt;"Welded",Reinforcements[[#This Row],[Top End Connection Type]]="",Reinforcements[[#This Row],[Top Longitudinal (Vertical) Weld]]="",Reinforcements[[#This Row],[Top Longitudinal (Vertical) Weld]]="None"),"-","")))</f>
        <v>-</v>
      </c>
      <c r="BY48" s="237" t="str">
        <f>IF($AZ48="Yes",AY48,IF(Reinforcements[[#This Row],[Reinforcement]]="","",IF(OR(Reinforcements[[#This Row],[Top End Connection Type]]&lt;&gt;"Welded",Reinforcements[[#This Row],[Top Longitudinal (Vertical) Weld]]="none"),"-",SQRT(2)/2*Reinforcements[[#This Row],[Top Longitudinal Weld Fillet Size (in)]])))</f>
        <v>-</v>
      </c>
      <c r="BZ48"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39</v>
      </c>
      <c r="CA48" s="238">
        <f>IF(Reinforcements[[#This Row],[Reinforcement]]="","",IF(Reinforcements[[#This Row],[Bottom End Connection Type]]&lt;&gt;"Bolted","n/a",(Reinforcements[[#This Row],['# of End Connection Bolts          (Bottom)]]-1)*Reinforcements[[#This Row],[End Connection Bolt Spacing (in) (B)]]+Reinforcements[[#This Row],[End Connection Edge Distance (in) (B)]]))</f>
        <v>41</v>
      </c>
      <c r="CB48" s="238">
        <f>IF(Reinforcements[[#This Row],[Reinforcement]]="","",IF(Reinforcements[[#This Row],[Top End Connection Type]]&lt;&gt;"Bolted","n/a",(Reinforcements[[#This Row],['# of End Connection Bolts          (Top)]]-1)*Reinforcements[[#This Row],[End Connection Bolt Spacing (in) (T)]]+Reinforcements[[#This Row],[End Connection Edge Distance (in) (T)]]))</f>
        <v>41</v>
      </c>
      <c r="CC48"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4.553763440860215</v>
      </c>
      <c r="CD48"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1.86</v>
      </c>
      <c r="CE48" s="236">
        <f>IFERROR(IF(Reinforcements[[#This Row],[Type]]="","",Reinforcements[[#This Row],[Effective B (in)]]*Reinforcements[[#This Row],[Effective H (in)]]^3/12),"")</f>
        <v>2.4419010000000001</v>
      </c>
      <c r="CF48" s="236">
        <f>IFERROR(IF(Reinforcements[[#This Row],[Type]]="","",Reinforcements[[#This Row],[Effective B (in)]]^3*Reinforcements[[#This Row],[Effective H (in)]]/12),"")</f>
        <v>14.636697474659883</v>
      </c>
      <c r="CG48" s="235">
        <f>SQRT(2*PI()^2*29000/VLOOKUP(Reinforcements[[#This Row],[Material]],Materials[],2,FALSE))</f>
        <v>93.844147005158973</v>
      </c>
      <c r="CH48"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35.515733360011026</v>
      </c>
      <c r="CI48"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37.920870422396987</v>
      </c>
      <c r="CJ48" s="239">
        <f>Reinforcements[[#This Row],[Effective Length Factor Kx]]*Reinforcements[[#This Row],[Lu (in)]]/(Reinforcements[[#This Row],[rx]]*PI())*SQRT(VLOOKUP(Reinforcements[[#This Row],[Material]],Materials[],2,FALSE)/29000)</f>
        <v>0.37848453699895773</v>
      </c>
      <c r="CK48" s="239">
        <f>Reinforcements[[#This Row],[Effective Length Factor Ky]]*Reinforcements[[#This Row],[Lu (in)]]/(Reinforcements[[#This Row],[ry]]*PI())*SQRT(VLOOKUP(Reinforcements[[#This Row],[Material]],Materials[],2,FALSE)/29000)</f>
        <v>0.14527172779247122</v>
      </c>
      <c r="CL48" s="239">
        <f>IF(Reinforcements[[#This Row],[λcx]]&lt;=1.5,0.658^(Reinforcements[[#This Row],[λcx]]^2)*Reinforcements[[#This Row],[F''y]],0.877/(Reinforcements[[#This Row],[λcx]]^2)*Reinforcements[[#This Row],[F''y]])</f>
        <v>61.217292364927786</v>
      </c>
      <c r="CM48" s="239">
        <f>IF(Reinforcements[[#This Row],[λcy]]&lt;=1.5,0.658^(Reinforcements[[#This Row],[λcy]]^2)*Reinforcements[[#This Row],[F''y]],0.877/(Reinforcements[[#This Row],[λcy]]^2)*Reinforcements[[#This Row],[F''y]])</f>
        <v>64.428381060059806</v>
      </c>
      <c r="CN48" s="236">
        <f>VLOOKUP(Reinforcements[[#This Row],[Material]],Materials[],2,FALSE)</f>
        <v>65</v>
      </c>
      <c r="CO48" s="235">
        <f>IF(Reinforcements[[#This Row],[Reinforcement]]="","",Reinforcements[[#This Row],[Fax]]*Reinforcements[[#This Row],[Gross Area (in2)]])</f>
        <v>300.81826155929343</v>
      </c>
      <c r="CP48" s="235">
        <f>IF(Reinforcements[[#This Row],[Reinforcement]]="","",Reinforcements[[#This Row],[Fay]]*Reinforcements[[#This Row],[Gross Area (in2)]])</f>
        <v>321.18977247770249</v>
      </c>
      <c r="CQ48" s="235">
        <f>IF(Reinforcements[[#This Row],[Reinforcement]]="","",0.6*VLOOKUP(Reinforcements[[#This Row],[Material]],Materials[],2,FALSE)*Reinforcements[[#This Row],[Gross Area (in2)]])</f>
        <v>330.33000000000004</v>
      </c>
      <c r="CR48" s="235">
        <f>IF(Reinforcements[[#This Row],[Reinforcement]]="","",0.5*VLOOKUP(Reinforcements[[#This Row],[Material]],Materials[],3,FALSE)*Reinforcements[[#This Row],[Net Area (in2)]]*Reinforcements[[#This Row],[Shear Lag (U)]])</f>
        <v>297.92215384615389</v>
      </c>
      <c r="CS48" s="235">
        <f>IF(Reinforcements[[#This Row],[Reinforcement]]="","",0.4*VLOOKUP(Reinforcements[[#This Row],[Material]],Materials[],2,FALSE)*Reinforcements[[#This Row],[Gross Area (in2)]])</f>
        <v>220.22000000000003</v>
      </c>
      <c r="CT48"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48"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48"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48"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48"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48"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48"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982.07244094488203</v>
      </c>
      <c r="DA48"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1086.0850393700787</v>
      </c>
      <c r="DB48"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982.07244094488203</v>
      </c>
      <c r="DC48"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1086.0850393700787</v>
      </c>
      <c r="DD48"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8"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8" s="237" t="str">
        <f>IF($AZ48="Yes",DD48,IF(Reinforcements[[#This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8" s="237" t="str">
        <f>IF($AZ48="Yes",DE48,IF(Reinforcements[[#This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8" s="235">
        <f>IF(Reinforcements[[#This Row],[Reinforcement]]="","",φ_c*Reinforcements[[#This Row],[Fcr,x]]*Reinforcements[[#This Row],[Gross Area (in2)]])</f>
        <v>466.65941969784456</v>
      </c>
      <c r="DI48" s="235">
        <f>IF(Reinforcements[[#This Row],[Reinforcement]]="","",φ_c*Reinforcements[[#This Row],[Fcr,y]]*Reinforcements[[#This Row],[Gross Area (in2)]])</f>
        <v>491.13754882083595</v>
      </c>
      <c r="DJ48" s="235">
        <f>IF(Reinforcements[[#This Row],[Reinforcement]]="","",φ_t_y*VLOOKUP(Reinforcements[[#This Row],[Material]],Materials[],2,FALSE)*Reinforcements[[#This Row],[Gross Area (in2)]])</f>
        <v>495.49500000000006</v>
      </c>
      <c r="DK48" s="235">
        <f>IF(Reinforcements[[#This Row],[Reinforcement]]="","",φ_t_r*VLOOKUP(Reinforcements[[#This Row],[Material]],Materials[],3,FALSE)*Reinforcements[[#This Row],[Net Area (in2)]]*Reinforcements[[#This Row],[Shear Lag (U)]])</f>
        <v>446.88323076923081</v>
      </c>
      <c r="DL48" s="235">
        <f>IF(Reinforcements[[#This Row],[Reinforcement]]="","",φ_v*0.5*Reinforcements[[#This Row],[F''y]]*Reinforcements[[#This Row],[Gross Area (in2)]])</f>
        <v>247.74750000000003</v>
      </c>
      <c r="DM48"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48"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48"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26.814330708661416</v>
      </c>
      <c r="DP48"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33.517913385826773</v>
      </c>
      <c r="DQ48"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26.814330708661416</v>
      </c>
      <c r="DR48"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33.517913385826773</v>
      </c>
      <c r="DS48"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1340.7344881889765</v>
      </c>
      <c r="DT48"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1675.9181102362209</v>
      </c>
      <c r="DU48"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1340.7344881889765</v>
      </c>
      <c r="DV48"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1675.9181102362209</v>
      </c>
      <c r="DW48"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8"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8" s="237" t="str">
        <f>IF($AZ48="Yes",DW48,IF(Reinforcements[[#This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8" s="237" t="str">
        <f>IF($AZ48="Yes",DX48,IF(Reinforcements[[#This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8" s="238">
        <f>IF(OR(Reinforcements[[#This Row],[Type]]="plate",Reinforcements[[#This Row],[Type]]="solid round"),"N/A",Reinforcements[[#This Row],[B (in)]])</f>
        <v>6.89</v>
      </c>
      <c r="EB48" s="236">
        <f>IF(OR(Reinforcements[[#This Row],[Type]]="plate",Reinforcements[[#This Row],[Type]]="solid round"),"N/A",Reinforcements[[#This Row],[H (in)]])</f>
        <v>2.61</v>
      </c>
      <c r="EC48" s="236">
        <f>IF(OR(Reinforcements[[#This Row],[Type]]="plate",Reinforcements[[#This Row],[Type]]="solid round"),"N/A",Reinforcements[[#This Row],[B (in)]]-Reinforcements[[#This Row],['[Channel'] Flange Thickness (in)]])</f>
        <v>5.88</v>
      </c>
      <c r="ED48" s="236">
        <f>IF(OR(Reinforcements[[#This Row],[Type]]="plate",Reinforcements[[#This Row],[Type]]="solid round"),"N/A",Reinforcements[[#This Row],['[Channel']Web Thickness (in)]])</f>
        <v>0.64</v>
      </c>
      <c r="EE48" s="236">
        <f>IF(OR(Reinforcements[[#This Row],[Type]]="plate",Reinforcements[[#This Row],[Type]]="solid round"),"N/A",Reinforcements[[#This Row],['[Channel'] Flange Thickness (in)]])</f>
        <v>1.01</v>
      </c>
      <c r="EF48" s="236">
        <f>IF(Reinforcements[[#This Row],[Type]]="channel",Reinforcements[[#This Row],[Channel Flange Width, b]]/Reinforcements[[#This Row],[Channel flange thickness, tf]],"N/A")</f>
        <v>2.5841584158415842</v>
      </c>
      <c r="EG48" s="236">
        <f>IF(Reinforcements[[#This Row],[Type]]="channel",Reinforcements[[#This Row],[Channel inside depth, T]]/Reinforcements[[#This Row],[Channel web thickness, tw]],"N/A")</f>
        <v>9.1875</v>
      </c>
      <c r="EH48" s="237">
        <v>29000</v>
      </c>
      <c r="EI48" s="236">
        <f>IF(Reinforcements[[#This Row],[Type]]="channel",0.56*SQRT(Reinforcements[[#This Row],[E, (ksi)]]/Reinforcements[[#This Row],[Fy, (ksi)]]),"N/A")</f>
        <v>11.828518341442694</v>
      </c>
      <c r="EJ48" s="236">
        <f>IF(Reinforcements[[#This Row],[Type]]="channel",1.49*SQRT(Reinforcements[[#This Row],[E, (ksi)]]/Reinforcements[[#This Row],[Fy, (ksi)]]),"N/A")</f>
        <v>31.472307729910018</v>
      </c>
      <c r="EK48" s="236">
        <f>VLOOKUP(Reinforcements[[#This Row],[Material]],Materials!$B$2:$C$30,2,FALSE)</f>
        <v>65</v>
      </c>
      <c r="EL48" s="236">
        <f>Reinforcements[[#This Row],[Lu (in)]]*Reinforcements[[#This Row],[Effective Length Factor Kx]]</f>
        <v>19.200000000000003</v>
      </c>
      <c r="EM48" s="236">
        <f>Reinforcements[[#This Row],[Lu (in)]]*Reinforcements[[#This Row],[Effective Length Factor Ky]]</f>
        <v>24</v>
      </c>
      <c r="EN48" s="236">
        <f>Reinforcements[[#This Row],[rx]]</f>
        <v>0.76447078715643835</v>
      </c>
      <c r="EO48" s="236">
        <f>Reinforcements[[#This Row],[ry]]</f>
        <v>2.4896479886598457</v>
      </c>
      <c r="EP48" s="236">
        <f>Reinforcements[[#This Row],[Lcx (in)]]/Reinforcements[[#This Row],[rx (in)]]</f>
        <v>25.115413594046188</v>
      </c>
      <c r="EQ48" s="236">
        <f>Reinforcements[[#This Row],[Lcy (in)]]/Reinforcements[[#This Row],[ry (in)]]</f>
        <v>9.6399170120909243</v>
      </c>
      <c r="ER48" s="236">
        <f>((PI()^2)*Reinforcements[[#This Row],[E, (ksi)]])/(Reinforcements[[#This Row],[Lcx/rx]]^2)</f>
        <v>453.75045599062645</v>
      </c>
      <c r="ES48" s="236">
        <f>((PI()^2)*Reinforcements[[#This Row],[E, (ksi)]])/(Reinforcements[[#This Row],[Lcy/ry]]^2)</f>
        <v>3080.003095209101</v>
      </c>
      <c r="ET48" s="236">
        <f>4.71*(SQRT(Reinforcements[[#This Row],[E, (ksi)]]/Reinforcements[[#This Row],[Fy, (ksi)]]))</f>
        <v>99.486288193205496</v>
      </c>
      <c r="EU48" s="236">
        <f>IF(Reinforcements[[#This Row],[Lcx/rx]]&lt;=Reinforcements[[#This Row],[Fcr Limit]],(0.658^(Reinforcements[[#This Row],[Fy, (ksi)]]/Reinforcements[[#This Row],[Fex, FB (ksi)]]))*Reinforcements[[#This Row],[Fy, (ksi)]],0.877*Reinforcements[[#This Row],[Fex, FB (ksi)]])</f>
        <v>61.217292364927786</v>
      </c>
      <c r="EV48" s="236">
        <f>IF(Reinforcements[[#This Row],[Lcy/ry]]&lt;=Reinforcements[[#This Row],[Fcr Limit]],(0.658^(Reinforcements[[#This Row],[Fy, (ksi)]]/Reinforcements[[#This Row],[Fey, FB (ksi)]]))*Reinforcements[[#This Row],[Fy, (ksi)]],0.877*Reinforcements[[#This Row],[Fey, FB (ksi)]])</f>
        <v>64.428381060059806</v>
      </c>
      <c r="EW48" s="236">
        <f>Reinforcements[[#This Row],[Fcrx (ksi)]]*Reinforcements[[#This Row],[Gross Area (in2)]]</f>
        <v>518.51046633093836</v>
      </c>
      <c r="EX48" s="236">
        <f>Reinforcements[[#This Row],[Fcry (ksi)]]*Reinforcements[[#This Row],[Gross Area (in2)]]</f>
        <v>545.70838757870661</v>
      </c>
      <c r="EY48" s="236">
        <f>IF(Reinforcements[[#This Row],[Type]]="channel",0,"N/A")</f>
        <v>0</v>
      </c>
      <c r="EZ48" s="236">
        <f>IF(Reinforcements[[#This Row],[Type]]="channel",Reinforcements[[#This Row],[Channel Flange Width, b]]-(0.5*Reinforcements[[#This Row],[Channel web thickness, tw]]),"N/A")</f>
        <v>2.29</v>
      </c>
      <c r="FA48" s="236">
        <f>IF(Reinforcements[[#This Row],[Type]]="channel",Reinforcements[[#This Row],[Channel Height, h]]-Reinforcements[[#This Row],[Channel flange thickness, tf]],"N/A")</f>
        <v>5.88</v>
      </c>
      <c r="FB48" s="236">
        <f>IF(Reinforcements[[#This Row],[Type]]="channel",Reinforcements[[#This Row],[Channel web thickness, tw]],"N/A")</f>
        <v>0.64</v>
      </c>
      <c r="FC48" s="236">
        <f>IF(Reinforcements[[#This Row],[Type]]="channel",((3*Reinforcements[[#This Row],[b]]^2)/(Reinforcements[[#This Row],[h]]+(6*Reinforcements[[#This Row],[b]])))-Reinforcements[[#This Row],[t]]/2,"N/A")</f>
        <v>0.48185015290519889</v>
      </c>
      <c r="FD48" s="236">
        <f>Reinforcements[[#This Row],[Pole Face to Centroid (in)]]</f>
        <v>0.93</v>
      </c>
      <c r="FE48" s="236">
        <f>IF(Reinforcements[[#This Row],[Type]]="channel",Reinforcements[[#This Row],[x(bar)]]+Reinforcements[[#This Row],['[Channel'] e0 (in)]],"N/A")</f>
        <v>1.411850152905199</v>
      </c>
      <c r="FF48" s="236">
        <f>IF(Reinforcements[[#This Row],[Type]]="channel",Reinforcements[[#This Row],[Ix]],"N/A")</f>
        <v>4.95</v>
      </c>
      <c r="FG48" s="236">
        <f>IF(Reinforcements[[#This Row],[Type]]="channel",Reinforcements[[#This Row],[Iy]],"N/A")</f>
        <v>52.5</v>
      </c>
      <c r="FH48" s="236">
        <f>IF(Reinforcements[[#This Row],[Type]]="channel",Reinforcements[[#This Row],[Gross Area (in2)]],"N/A")</f>
        <v>8.4700000000000006</v>
      </c>
      <c r="FI48" s="236">
        <f>IF(Reinforcements[[#This Row],[Type]]="channel",(Reinforcements[[#This Row],[xo]]^2)+((Reinforcements[[#This Row],[Ix (FTB)]]+Reinforcements[[#This Row],[Iy (FTB)]])/Reinforcements[[#This Row],[Ag]]),"N/A")</f>
        <v>8.7760835461120354</v>
      </c>
      <c r="FJ48" s="236">
        <f>IF(Reinforcements[[#This Row],[Type]]="channel",Reinforcements[[#This Row],[Lu (in)]],"N/A")</f>
        <v>24</v>
      </c>
      <c r="FK48" s="236">
        <f>IF(Reinforcements[[#This Row],[Type]]="channel",Reinforcements[[#This Row],[Effective Length Factor Kx]],"N/A")</f>
        <v>0.8</v>
      </c>
      <c r="FL48" s="236">
        <f>IF(Reinforcements[[#This Row],[Type]]="channel",Reinforcements[[#This Row],[Kz]]*Reinforcements[[#This Row],[Lz]],"N/A")</f>
        <v>19.200000000000003</v>
      </c>
      <c r="FM48" s="236">
        <f>IF(Reinforcements[[#This Row],[Type]]="channel",(((Reinforcements[[#This Row],[t]]^3)/3)*(Reinforcements[[#This Row],[h]]+(2*Reinforcements[[#This Row],[b]]))),"N/A")</f>
        <v>0.91400874666666698</v>
      </c>
      <c r="FN48" s="236">
        <f>IF(Reinforcements[[#This Row],[Type]]="channel",(1-(((Reinforcements[[#This Row],[xo]]^2)+(Reinforcements[[#This Row],[yo]]^2))/Reinforcements[[#This Row],[ro^2(bar)]])),"N/A")</f>
        <v>0.77286897466450044</v>
      </c>
      <c r="FO48" s="237">
        <v>11200</v>
      </c>
      <c r="FP48" s="236">
        <f>IF(Reinforcements[[#This Row],[Type]]="channel",(((Reinforcements[[#This Row],[h]]^2)*(Reinforcements[[#This Row],[b]]^3)*Reinforcements[[#This Row],[t]])/12)*(((2*Reinforcements[[#This Row],[h]])+(3*Reinforcements[[#This Row],[b]]))/(Reinforcements[[#This Row],[h]]+(6*Reinforcements[[#This Row],[b]]))),"N/A")</f>
        <v>21.026823970958091</v>
      </c>
      <c r="FQ48" s="236">
        <f>IF(Reinforcements[[#This Row],[Type]]="Channel",((((PI()^2)*Reinforcements[[#This Row],[E, (ksi)]]*Reinforcements[[#This Row],['[Channel'] CW (in6)]])/(Reinforcements[[#This Row],[Lcz]]^2))+(Reinforcements[[#This Row],[G]]*Reinforcements[[#This Row],['[Channel'] J (in4)]]))*(1/(Reinforcements[[#This Row],[Ag]]*Reinforcements[[#This Row],[ro^2(bar)]])),"N/A")</f>
        <v>357.34247419887589</v>
      </c>
      <c r="FR48" s="236">
        <f>IF(Reinforcements[[#This Row],[Type]]="channel",((PI()^2)*Reinforcements[[#This Row],[E, (ksi)]])/(Reinforcements[[#This Row],[Lcy/ry]]^2),"N/A")</f>
        <v>3080.003095209101</v>
      </c>
      <c r="FS48" s="236">
        <f>IF(Reinforcements[[#This Row],[Type]]="channel",((Reinforcements[[#This Row],[Fey]]+Reinforcements[[#This Row],[Fez]])/(2*Reinforcements[[#This Row],[H2]]))*(1-SQRT(1-((4*Reinforcements[[#This Row],[Fey]]*Reinforcements[[#This Row],[Fez]]*Reinforcements[[#This Row],[H2]])/(Reinforcements[[#This Row],[Fey]]+Reinforcements[[#This Row],[Fez]])^2))),"N/A")</f>
        <v>347.31626326669334</v>
      </c>
      <c r="FT48" s="236">
        <f>IF(Reinforcements[[#This Row],[Type]]="channel",IF(Reinforcements[[#This Row],[Lcx/rx]]&gt;(4.71*SQRT(Reinforcements[[#This Row],[E, (ksi)]]/Reinforcements[[#This Row],[Fy, (ksi)]])),0.877*Reinforcements[[#This Row],[Fe (FTB)]],0.658^(Reinforcements[[#This Row],[Fy, (ksi)]]/Reinforcements[[#This Row],[Fe (FTB)]])*Reinforcements[[#This Row],[Fy, (ksi)]]),"N/A")</f>
        <v>60.102765770188284</v>
      </c>
      <c r="FU48" s="236">
        <f>IF(Reinforcements[[#This Row],[Type]]="channel",MIN(Reinforcements[[#This Row],[Fcr(FTB)]],Reinforcements[[#This Row],[Fcry (ksi)]]),"N/A")</f>
        <v>60.102765770188284</v>
      </c>
      <c r="FV48" s="237">
        <v>0.22</v>
      </c>
      <c r="FW48" s="237">
        <v>1.49</v>
      </c>
      <c r="FX48" s="236">
        <f>IF(Reinforcements[[#This Row],[Type]]="channel",((Reinforcements[[#This Row],[c2]]*(Reinforcements[[#This Row],[λrf]]/Reinforcements[[#This Row],[λf]]))^2)*Reinforcements[[#This Row],[Fy, (ksi)]],"N/A")</f>
        <v>3023.4885037718186</v>
      </c>
      <c r="FY48" s="236">
        <f>IF(Reinforcements[[#This Row],[Type]]="channel",((Reinforcements[[#This Row],[c2]]*(Reinforcements[[#This Row],[λrw]]/Reinforcements[[#This Row],[λw]]))^2)*Reinforcements[[#This Row],[Fy, (ksi)]],"N/A")</f>
        <v>1693.3563760581239</v>
      </c>
      <c r="FZ48"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2.29</v>
      </c>
      <c r="GA48"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5.88</v>
      </c>
      <c r="GB48"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8.4700000000000006</v>
      </c>
      <c r="GC48" s="236">
        <f>IF(Reinforcements[[#This Row],[Type]]="channel",Reinforcements[[#This Row],[Fcr]]*Reinforcements[[#This Row],[Ae]],"N/A")</f>
        <v>509.07042607349479</v>
      </c>
      <c r="GD48" s="466">
        <f>IF(Reinforcements[[#This Row],[Reinforcement]]="","",φ_c*Reinforcements[[#This Row],[Pnx, FB (kip)]])</f>
        <v>466.65941969784456</v>
      </c>
      <c r="GE48" s="466">
        <f>IF(Reinforcements[[#This Row],[Reinforcement]]="","",IF(Reinforcements[[#This Row],[Type]]="channel",φ_c*Reinforcements[[#This Row],[Pn]],φ_c*Reinforcements[[#This Row],[Pny, FB (kip)]]))</f>
        <v>458.16338346614532</v>
      </c>
      <c r="GF48" s="466">
        <f>Reinforcements[[#This Row],[Rev. G Tension Yield Capacity (kips)]]</f>
        <v>495.49500000000006</v>
      </c>
      <c r="GG48" s="466">
        <f>Reinforcements[[#This Row],[Rev. G Tension Rupture Capacity (kips)]]</f>
        <v>446.88323076923081</v>
      </c>
      <c r="GH48" s="466">
        <f>Reinforcements[[#This Row],[Rev. G Shear Capacity (kips)]]</f>
        <v>247.74750000000003</v>
      </c>
      <c r="GI48" s="466">
        <f>IFERROR((Reinforcements[[#This Row],['# of End Connection Bolts          (Bottom)]]-1)*Reinforcements[[#This Row],[End Connection Bolt Spacing (in) (B)]],"-")</f>
        <v>39</v>
      </c>
      <c r="GJ48" s="466">
        <f>IFERROR(IF(VLOOKUP(Reinforcements[[#This Row],[Bottom End Connection Bolt Type]],Bolts[],COLUMN(Bolts[[#Headers],[Rev. H Apply Connection Length Reduction Factor (Rb)?]])-1,FALSE)="Yes",(IF(Reinforcements[[#This Row],[Lb(bottom)]]&lt;=16,1,IF(Reinforcements[[#This Row],[Lb(bottom)]]&gt;38,0.75,0.9))),1),"-")</f>
        <v>1</v>
      </c>
      <c r="GK48"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649.59497359145109</v>
      </c>
      <c r="GL48" s="466">
        <f>IFERROR(IF(Reinforcements[[#This Row],[Top End Connection Same?]]="Yes",Reinforcements[[#This Row],[Lb(bottom)]],(Reinforcements[[#This Row],['# of End Connection Bolts          (Top)]]-1)*Reinforcements[[#This Row],[End Connection Bolt Spacing (in) (T)]]),"-")</f>
        <v>39</v>
      </c>
      <c r="GM48" s="466">
        <f>IFERROR(IF(VLOOKUP(Reinforcements[[#This Row],[Top End Connection Bolt Type]],Bolts[],COLUMN(Bolts[[#Headers],[Rev. H Apply Connection Length Reduction Factor (Rb)?]])-1,FALSE)="Yes",(IF(Reinforcements[[#This Row],[Lb(top)]]&lt;=16,1,IF(Reinforcements[[#This Row],[Lb(top)]]&gt;38,0.75,0.9))),1),"-")</f>
        <v>1</v>
      </c>
      <c r="GN48"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649.59497359145109</v>
      </c>
      <c r="GO48" s="466">
        <f>Reinforcements[[#This Row],[Rev. G Bolt-Shaft Bearing Capacity (Bottom)                No Deformation          (*t*Fu kips)]]</f>
        <v>26.814330708661416</v>
      </c>
      <c r="GP48" s="466">
        <f>Reinforcements[[#This Row],[Rev. G Bolt-Shaft Bearing Capacity (Bottom)                   Deformation          (*t*Fu kips)]]</f>
        <v>33.517913385826773</v>
      </c>
      <c r="GQ48" s="466">
        <f>Reinforcements[[#This Row],[Rev. G Bolt-Shaft Bearing Capacity (Top)                    No Deformation          (*t*Fu kips)]]</f>
        <v>26.814330708661416</v>
      </c>
      <c r="GR48" s="466">
        <f>Reinforcements[[#This Row],[Rev. G Bolt-Shaft Bearing Capacity (Top)                        Deformation          (*t*Fu kips)]]</f>
        <v>33.517913385826773</v>
      </c>
      <c r="GS48" s="466">
        <f>Reinforcements[[#This Row],[Rev. G Bolt-Reinf. Bearing Capacity (Bottom)            No Deformation (kips)]]</f>
        <v>1340.7344881889765</v>
      </c>
      <c r="GT48" s="466">
        <f>Reinforcements[[#This Row],[Rev. G Bolt-Reinf. Bearing Capacity (Bottom)               Deformation (kips)]]</f>
        <v>1675.9181102362209</v>
      </c>
      <c r="GU48" s="466">
        <f>Reinforcements[[#This Row],[Rev. G Bolt-Reinf. Bearing Capacity (Top)                  No Deformation (kips)]]</f>
        <v>1340.7344881889765</v>
      </c>
      <c r="GV48" s="466">
        <f>Reinforcements[[#This Row],[Rev. G Bolt-Reinf. Bearing Capacity (Top)               Deformation (kips)]]</f>
        <v>1675.9181102362209</v>
      </c>
      <c r="GW48" s="466" t="str">
        <f>Reinforcements[[#This Row],[Rev. G Bottom Transverse Weld Strength]]</f>
        <v>-</v>
      </c>
      <c r="GX48" s="466" t="str">
        <f>Reinforcements[[#This Row],[Rev. G Bottom Longitudinal Weld Strength]]</f>
        <v>-</v>
      </c>
      <c r="GY48" s="466" t="str">
        <f>Reinforcements[[#This Row],[Rev. G Top Transverse Weld Strength]]</f>
        <v>-</v>
      </c>
      <c r="GZ48" s="466" t="str">
        <f>Reinforcements[[#This Row],[Rev. G Top Longitudinal Weld Strength]]</f>
        <v>-</v>
      </c>
      <c r="HA48" s="552">
        <v>46</v>
      </c>
      <c r="HB48"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9" spans="2:210" x14ac:dyDescent="0.2">
      <c r="B49" s="72" t="s">
        <v>843</v>
      </c>
      <c r="C49" s="243" t="s">
        <v>147</v>
      </c>
      <c r="D49" s="238">
        <v>7.93</v>
      </c>
      <c r="E49" s="238">
        <v>2.8</v>
      </c>
      <c r="F49" s="238" t="str">
        <f>IF(Reinforcements[[#This Row],[Type]]="","",IF(Reinforcements[[#This Row],[Type]]="solid round","","n/a"))</f>
        <v>n/a</v>
      </c>
      <c r="G49" s="238">
        <v>0.76</v>
      </c>
      <c r="H49" s="238">
        <v>1.01</v>
      </c>
      <c r="I49" s="250">
        <f>IF(Reinforcements[[#This Row],[Type]]="","",IF(Reinforcements[[#This Row],[Type]]&lt;&gt;"channel","n/a",Reinforcements[[#This Row],[eo]]))</f>
        <v>0.43945895522388057</v>
      </c>
      <c r="J49" s="250">
        <f>IF(Reinforcements[[#This Row],[Type]]="","",IF(Reinforcements[[#This Row],[Type]]&lt;&gt;"channel","n/a",Reinforcements[[#This Row],[J]]))</f>
        <v>1.72078592</v>
      </c>
      <c r="K49" s="250">
        <f>IF(Reinforcements[[#This Row],[Type]]="","",IF(Reinforcements[[#This Row],[Type]]&lt;&gt;"channel","n/a",Reinforcements[[#This Row],[Cw]]))</f>
        <v>42.300773356919613</v>
      </c>
      <c r="L49" s="238">
        <v>10.32</v>
      </c>
      <c r="M49" s="238">
        <v>0.95</v>
      </c>
      <c r="N49" s="244" t="s">
        <v>297</v>
      </c>
      <c r="O49" s="238" t="s">
        <v>60</v>
      </c>
      <c r="P49" s="245">
        <v>6.48</v>
      </c>
      <c r="Q49" s="245">
        <f>IF(Reinforcements[[#This Row],[Reinforcement]]="","",SQRT(Reinforcements[[#This Row],[Ix]]/Reinforcements[[#This Row],[Gross Area (in2)]]))</f>
        <v>0.79240581569306145</v>
      </c>
      <c r="R49" s="245">
        <v>82.29</v>
      </c>
      <c r="S49" s="245">
        <f>IF(Reinforcements[[#This Row],[Reinforcement]]="","",SQRT(Reinforcements[[#This Row],[Iy]]/Reinforcements[[#This Row],[Gross Area (in2)]]))</f>
        <v>2.8237983655534484</v>
      </c>
      <c r="T49" s="241">
        <v>24</v>
      </c>
      <c r="U49" s="246">
        <v>0.8</v>
      </c>
      <c r="V49" s="246">
        <v>1</v>
      </c>
      <c r="W49" s="238">
        <v>1.1875</v>
      </c>
      <c r="X49" s="246">
        <f>IF(Reinforcements[[#This Row],[Bolt Hole Size (in)]]="","",IF(Reinforcements[[#This Row],[Bolt Hole Size (in)]]="n/a","n/a",Reinforcements[[#This Row],[Bolt Hole Size (in)]]*25.4))</f>
        <v>30.162499999999998</v>
      </c>
      <c r="Y49" s="238">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9.370000000000001</v>
      </c>
      <c r="Z49" s="238">
        <f>IFERROR(IF(Reinforcements[[#This Row],[Reinforcement]]="","",IF(OR(Reinforcements[[#This Row],[Type]]="plate",Reinforcements[[#This Row],[Type]]="solid round"),1,IF(Reinforcements[[#This Row],[Type]]="arbitrary","",1-Reinforcements[[#This Row],[Pole Face to Centroid (in)]]/Reinforcements[[#This Row],[Connection Length (in) '[Channels']]]))),"")</f>
        <v>0.97888888888888892</v>
      </c>
      <c r="AA49" s="247" t="s">
        <v>391</v>
      </c>
      <c r="AB49" s="247" t="str">
        <f>IF(Reinforcements[[#This Row],[Reinforcement]]="","",IF(Reinforcements[[#This Row],[Bottom End Connection Type]]&lt;&gt;"Capacity Input","-",""))</f>
        <v>-</v>
      </c>
      <c r="AC49" s="247" t="str">
        <f>IF(Reinforcements[[#This Row],[Reinforcement]]="","",IF(Reinforcements[[#This Row],[Bottom End Connection Type]]&lt;&gt;"Capacity Input","-",""))</f>
        <v>-</v>
      </c>
      <c r="AD49" s="461" t="str">
        <f>IF(Reinforcements[[#This Row],[Reinforcement]]="","",IF(Reinforcements[[#This Row],[Bottom End Connection Type]]&lt;&gt;"Capacity Input","-",""))</f>
        <v>-</v>
      </c>
      <c r="AE49" s="248" t="s">
        <v>416</v>
      </c>
      <c r="AF49" s="241" t="s">
        <v>296</v>
      </c>
      <c r="AG49" s="241">
        <v>16</v>
      </c>
      <c r="AH49" s="241">
        <v>3</v>
      </c>
      <c r="AI49" s="241">
        <v>2</v>
      </c>
      <c r="AJ49" s="241">
        <f>Reinforcements[[#This Row],[End Connection Edge Distance (in) (B)]]-(Reinforcements[[#This Row],[Bolt Hole Size (in)]]+1/16)/2</f>
        <v>1.375</v>
      </c>
      <c r="AK49" s="241">
        <f>Reinforcements[[#This Row],[End Connection Bolt Spacing (in) (B)]]-(Reinforcements[[#This Row],[Bolt Hole Size (in)]]+1/16)</f>
        <v>1.75</v>
      </c>
      <c r="AL49" s="241">
        <f>Reinforcements[[#This Row],[End Connection Edge Distance (in) (B)]]</f>
        <v>2</v>
      </c>
      <c r="AM49" s="241">
        <f>Reinforcements[[#This Row],[End Connection Bolt Spacing (in) (B)]]</f>
        <v>3</v>
      </c>
      <c r="AN49" s="241" t="str">
        <f>IF(Reinforcements[[#This Row],[Reinforcement]]="","",IF(OR(Reinforcements[[#This Row],[Bottom End Connection Type]]="Bolted",Reinforcements[[#This Row],[Bottom End Connection Type]]=""),"-",""))</f>
        <v>-</v>
      </c>
      <c r="AO49" s="241" t="str">
        <f>IF(Reinforcements[[#This Row],[Reinforcement]]="","",IF(OR(Reinforcements[[#This Row],[Bottom End Connection Type]]="Bolted",Reinforcements[[#This Row],[Bottom End Connection Type]]=""),"-",""))</f>
        <v>-</v>
      </c>
      <c r="AP49" s="241" t="str">
        <f>IF(Reinforcements[[#This Row],[Reinforcement]]="","",IF(OR(Reinforcements[[#This Row],[Bottom End Connection Type]]="Bolted",Reinforcements[[#This Row],[Bottom End Connection Type]]=""),"-",""))</f>
        <v>-</v>
      </c>
      <c r="AQ49" s="241" t="str">
        <f>IF(OR(Reinforcements[[#This Row],[Bottom End Connection Type]]="Bolted",Reinforcements[[#This Row],[Bottom Transverse (Horizontal) Weld]]="none"),"-","")</f>
        <v>-</v>
      </c>
      <c r="AR49" s="24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9" s="24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9" s="241" t="str">
        <f>IF(OR(Reinforcements[[#This Row],[Bottom Transverse (Horizontal) Weld]]="none",Reinforcements[[#This Row],[Bottom End Connection Type]]="Bolted"),"-","")</f>
        <v>-</v>
      </c>
      <c r="AU49" s="241"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9" s="241" t="str">
        <f>IF(Reinforcements[[#This Row],[Reinforcement]]="","",IF(OR(Reinforcements[[#This Row],[Bottom End Connection Type]]="Bolted",Reinforcements[[#This Row],[Bottom End Connection Type]]=""),"-",""))</f>
        <v>-</v>
      </c>
      <c r="AW49" s="241" t="str">
        <f>IF(Reinforcements[[#This Row],[Reinforcement]]="","",IF(OR(Reinforcements[[#This Row],[Bottom End Connection Type]]&lt;&gt;"Welded",Reinforcements[[#This Row],[Bottom Longitudinal (Vertical) Weld]]="None",Reinforcements[[#This Row],[Bottom Longitudinal (Vertical) Weld]]=""),"-",""))</f>
        <v>-</v>
      </c>
      <c r="AX49" s="241" t="str">
        <f>IF(Reinforcements[[#This Row],[Reinforcement]]="","",IF(OR(Reinforcements[[#This Row],[Bottom End Connection Type]]&lt;&gt;"Welded",Reinforcements[[#This Row],[Bottom Longitudinal (Vertical) Weld]]="None",Reinforcements[[#This Row],[Bottom Longitudinal (Vertical) Weld]]=""),"-",""))</f>
        <v>-</v>
      </c>
      <c r="AY49" s="241" t="str">
        <f>IF(Reinforcements[[#This Row],[Reinforcement]]="","",IF(OR(Reinforcements[[#This Row],[Bottom End Connection Type]]&lt;&gt;"Welded",Reinforcements[[#This Row],[Bottom Longitudinal (Vertical) Weld]]="None"),"-",SQRT(2)/2*Reinforcements[[#This Row],[Bottom Longitudinal Weld Fillet Size (in)]]))</f>
        <v>-</v>
      </c>
      <c r="AZ49" s="241" t="s">
        <v>297</v>
      </c>
      <c r="BA49" s="247" t="s">
        <v>391</v>
      </c>
      <c r="BB49" s="247" t="str">
        <f>IF(Reinforcements[[#This Row],[Reinforcement]]="","",IF(Reinforcements[[#This Row],[Top End Connection Same?]]="Yes",Reinforcements[[#This Row],[Rev. F Bottom Connection Capacity (kips)]],IF(Reinforcements[[#This Row],[Reinforcement]]="","",IF(Reinforcements[[#This Row],[Top End Connection Type]]&lt;&gt;"Capacity Input","-",""))))</f>
        <v>-</v>
      </c>
      <c r="BC49" s="247" t="str">
        <f>IF(Reinforcements[[#This Row],[Reinforcement]]="","",IF(Reinforcements[[#This Row],[Top End Connection Same?]]="Yes",Reinforcements[[#This Row],[Rev. G Bottom Connection Capacity (kips)]],IF(Reinforcements[[#This Row],[Reinforcement]]="","",IF(Reinforcements[[#This Row],[Top End Connection Type]]&lt;&gt;"Capacity Input","-",""))))</f>
        <v>-</v>
      </c>
      <c r="BD49" s="461" t="str">
        <f>IF(Reinforcements[[#This Row],[Reinforcement]]="","",IF(Reinforcements[[#This Row],[Top End Connection Same?]]="Yes",Reinforcements[[#This Row],[Rev. G Bottom Connection Capacity (kips)]],IF(Reinforcements[[#This Row],[Reinforcement]]="","",IF(Reinforcements[[#This Row],[Top End Connection Type]]&lt;&gt;"Capacity Input","-",""))))</f>
        <v>-</v>
      </c>
      <c r="BE49" s="248" t="s">
        <v>416</v>
      </c>
      <c r="BF49" s="241" t="s">
        <v>296</v>
      </c>
      <c r="BG49" s="241">
        <v>15</v>
      </c>
      <c r="BH49" s="241">
        <v>3</v>
      </c>
      <c r="BI49" s="241">
        <v>2</v>
      </c>
      <c r="BJ49" s="241">
        <f>Reinforcements[[#This Row],[End Connection Edge Distance (in) (T)]]-(Reinforcements[[#This Row],[Bolt Hole Size (in)]]+1/16)/2</f>
        <v>1.375</v>
      </c>
      <c r="BK49" s="241">
        <f>Reinforcements[[#This Row],[End Connection Bolt Spacing (in) (T)]]-(Reinforcements[[#This Row],[Bolt Hole Size (in)]]+1/16)</f>
        <v>1.75</v>
      </c>
      <c r="BL49" s="241">
        <f>Reinforcements[[#This Row],[End Connection Edge Distance (in) (T)]]</f>
        <v>2</v>
      </c>
      <c r="BM49" s="241">
        <f>Reinforcements[[#This Row],[End Connection Bolt Spacing (in) (T)]]</f>
        <v>3</v>
      </c>
      <c r="BN49" s="241" t="str">
        <f>IF(Reinforcements[[#This Row],[Reinforcement]]="","",IF(Reinforcements[[#This Row],[Top End Connection Same?]]="Yes",Reinforcements[[#This Row],[Bottom Connected to Flange/Base Plate?]],IF(Reinforcements[[#This Row],[Top End Connection Type]]="Bolted","-","")))</f>
        <v>-</v>
      </c>
      <c r="BO49" s="241" t="str">
        <f>IF(Reinforcements[[#This Row],[Reinforcement]]="","",IF(Reinforcements[[#This Row],[Top End Connection Same?]]="Yes",Reinforcements[[#This Row],[Bottom Weld Grade (ksi)]],IF(OR(Reinforcements[[#This Row],[Top End Connection Type]]&lt;&gt;"Welded",Reinforcements[[#This Row],[Top End Connection Type]]=""),"-","")))</f>
        <v>-</v>
      </c>
      <c r="BP49" s="241" t="str">
        <f>IF($AZ49="Yes",AP49,IF(Reinforcements[[#This Row],[Reinforcement]]="","",IF(OR(Reinforcements[[#This Row],[Top End Connection Type]]&lt;&gt;"Welded",Reinforcements[[#This Row],[Top End Connection Type]]=""),"-","")))</f>
        <v>-</v>
      </c>
      <c r="BQ49" s="241" t="str">
        <f>IF(Reinforcements[[#This Row],[Reinforcement]]="","",IF($AZ49="Yes",AQ49,IF(OR(Reinforcements[[#This Row],[Top End Connection Type]]&lt;&gt;"Welded",Reinforcements[[#This Row],[Top Transverse (Horizontal) Weld]]="none",Reinforcements[[#This Row],[Top Transverse (Horizontal) Weld]]=""),"-","")))</f>
        <v>-</v>
      </c>
      <c r="BR49" s="241" t="str">
        <f>IF($AZ49="Yes",AR49,IF(Reinforcements[[#This Row],[Reinforcement]]="","",IF(OR(Reinforcements[[#This Row],[Top Transverse (Horizontal) Weld]]="none",Reinforcements[[#This Row],[Top End Connection Type]]&lt;&gt;"Welded",Reinforcements[[#This Row],[Top Transverse (Horizontal) Weld]]="",Reinforcements[[#This Row],[Top Transverse (Horizontal) Weld]]="Fillet"),"-","")))</f>
        <v>-</v>
      </c>
      <c r="BS49" s="241" t="str">
        <f>IF($AZ49="Yes",AS49,IF(Reinforcements[[#This Row],[Reinforcement]]="","",IF(OR(Reinforcements[[#This Row],[Top Transverse (Horizontal) Weld]]="none",Reinforcements[[#This Row],[Top End Connection Type]]&lt;&gt;"Welded",Reinforcements[[#This Row],[Top Transverse (Horizontal) Weld]]="",Reinforcements[[#This Row],[Top Transverse (Horizontal) Weld]]="Fillet"),"-","")))</f>
        <v>-</v>
      </c>
      <c r="BT49" s="241" t="str">
        <f>IF(Reinforcements[[#This Row],[Reinforcement]]="","",IF($AZ49="Yes",AT49,IF(OR(Reinforcements[[#This Row],[Top Transverse (Horizontal) Weld]]="none",Reinforcements[[#This Row],[Top End Connection Type]]&lt;&gt;"Welded",Reinforcements[[#This Row],[Top Transverse (Horizontal) Weld]]=""),"-","")))</f>
        <v>-</v>
      </c>
      <c r="BU49" s="241" t="str">
        <f>IF($AZ49="Yes",AU49,IF(Reinforcements[[#This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9" s="241" t="str">
        <f>IF($AZ49="Yes",AV49,IF(Reinforcements[[#This Row],[Reinforcement]]="","",IF(OR(Reinforcements[[#This Row],[Top End Connection Type]]&lt;&gt;"Welded",Reinforcements[[#This Row],[Top End Connection Type]]=""),"-","")))</f>
        <v>-</v>
      </c>
      <c r="BW49" s="241" t="str">
        <f>IF($AZ49="Yes",AW49,IF(Reinforcements[[#This Row],[Reinforcement]]="","",IF(OR(Reinforcements[[#This Row],[Top End Connection Type]]&lt;&gt;"Welded",Reinforcements[[#This Row],[Top End Connection Type]]="",Reinforcements[[#This Row],[Top Longitudinal (Vertical) Weld]]="",Reinforcements[[#This Row],[Top Longitudinal (Vertical) Weld]]="None"),"-","")))</f>
        <v>-</v>
      </c>
      <c r="BX49" s="241" t="str">
        <f>IF($AZ49="Yes",AX49,IF(Reinforcements[[#This Row],[Reinforcement]]="","",IF(OR(Reinforcements[[#This Row],[Top End Connection Type]]&lt;&gt;"Welded",Reinforcements[[#This Row],[Top End Connection Type]]="",Reinforcements[[#This Row],[Top Longitudinal (Vertical) Weld]]="",Reinforcements[[#This Row],[Top Longitudinal (Vertical) Weld]]="None"),"-","")))</f>
        <v>-</v>
      </c>
      <c r="BY49" s="241" t="str">
        <f>IF($AZ49="Yes",AY49,IF(Reinforcements[[#This Row],[Reinforcement]]="","",IF(OR(Reinforcements[[#This Row],[Top End Connection Type]]&lt;&gt;"Welded",Reinforcements[[#This Row],[Top Longitudinal (Vertical) Weld]]="none"),"-",SQRT(2)/2*Reinforcements[[#This Row],[Top Longitudinal Weld Fillet Size (in)]])))</f>
        <v>-</v>
      </c>
      <c r="BZ49"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45</v>
      </c>
      <c r="CA49" s="238">
        <f>IF(Reinforcements[[#This Row],[Reinforcement]]="","",IF(Reinforcements[[#This Row],[Bottom End Connection Type]]&lt;&gt;"Bolted","n/a",(Reinforcements[[#This Row],['# of End Connection Bolts          (Bottom)]]-1)*Reinforcements[[#This Row],[End Connection Bolt Spacing (in) (B)]]+Reinforcements[[#This Row],[End Connection Edge Distance (in) (B)]]))</f>
        <v>47</v>
      </c>
      <c r="CB49" s="238">
        <f>IF(Reinforcements[[#This Row],[Reinforcement]]="","",IF(Reinforcements[[#This Row],[Top End Connection Type]]&lt;&gt;"Bolted","n/a",(Reinforcements[[#This Row],['# of End Connection Bolts          (Top)]]-1)*Reinforcements[[#This Row],[End Connection Bolt Spacing (in) (T)]]+Reinforcements[[#This Row],[End Connection Edge Distance (in) (T)]]))</f>
        <v>44</v>
      </c>
      <c r="CC49" s="23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5.4315789473684211</v>
      </c>
      <c r="CD49" s="23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1.9</v>
      </c>
      <c r="CE49" s="238">
        <f>IFERROR(IF(Reinforcements[[#This Row],[Type]]="","",Reinforcements[[#This Row],[Effective B (in)]]*Reinforcements[[#This Row],[Effective H (in)]]^3/12),"")</f>
        <v>3.1045999999999996</v>
      </c>
      <c r="CF49" s="238">
        <f>IFERROR(IF(Reinforcements[[#This Row],[Type]]="","",Reinforcements[[#This Row],[Effective B (in)]]^3*Reinforcements[[#This Row],[Effective H (in)]]/12),"")</f>
        <v>25.371762880886426</v>
      </c>
      <c r="CG49" s="250">
        <f>SQRT(2*PI()^2*29000/VLOOKUP(Reinforcements[[#This Row],[Material]],Materials[],2,FALSE))</f>
        <v>93.844147005158973</v>
      </c>
      <c r="CH49" s="24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35.673684149133521</v>
      </c>
      <c r="CI49" s="24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38.06647109232766</v>
      </c>
      <c r="CJ49" s="245">
        <f>Reinforcements[[#This Row],[Effective Length Factor Kx]]*Reinforcements[[#This Row],[Lu (in)]]/(Reinforcements[[#This Row],[rx]]*PI())*SQRT(VLOOKUP(Reinforcements[[#This Row],[Material]],Materials[],2,FALSE)/29000)</f>
        <v>0.36514165620183864</v>
      </c>
      <c r="CK49" s="245">
        <f>Reinforcements[[#This Row],[Effective Length Factor Ky]]*Reinforcements[[#This Row],[Lu (in)]]/(Reinforcements[[#This Row],[ry]]*PI())*SQRT(VLOOKUP(Reinforcements[[#This Row],[Material]],Materials[],2,FALSE)/29000)</f>
        <v>0.12808119351566385</v>
      </c>
      <c r="CL49" s="245">
        <f>IF(Reinforcements[[#This Row],[λcx]]&lt;=1.5,0.658^(Reinforcements[[#This Row],[λcx]]^2)*Reinforcements[[#This Row],[F''y]],0.877/(Reinforcements[[#This Row],[λcx]]^2)*Reinforcements[[#This Row],[F''y]])</f>
        <v>61.472050589001604</v>
      </c>
      <c r="CM49" s="245">
        <f>IF(Reinforcements[[#This Row],[λcy]]&lt;=1.5,0.658^(Reinforcements[[#This Row],[λcy]]^2)*Reinforcements[[#This Row],[F''y]],0.877/(Reinforcements[[#This Row],[λcy]]^2)*Reinforcements[[#This Row],[F''y]])</f>
        <v>64.555223671758839</v>
      </c>
      <c r="CN49" s="238">
        <f>VLOOKUP(Reinforcements[[#This Row],[Material]],Materials[],2,FALSE)</f>
        <v>65</v>
      </c>
      <c r="CO49" s="250">
        <f>IF(Reinforcements[[#This Row],[Reinforcement]]="","",Reinforcements[[#This Row],[Fax]]*Reinforcements[[#This Row],[Gross Area (in2)]])</f>
        <v>368.15242041905793</v>
      </c>
      <c r="CP49" s="250">
        <f>IF(Reinforcements[[#This Row],[Reinforcement]]="","",Reinforcements[[#This Row],[Fay]]*Reinforcements[[#This Row],[Gross Area (in2)]])</f>
        <v>392.84598167282144</v>
      </c>
      <c r="CQ49" s="250">
        <f>IF(Reinforcements[[#This Row],[Reinforcement]]="","",0.6*VLOOKUP(Reinforcements[[#This Row],[Material]],Materials[],2,FALSE)*Reinforcements[[#This Row],[Gross Area (in2)]])</f>
        <v>402.48</v>
      </c>
      <c r="CR49" s="250">
        <f>IF(Reinforcements[[#This Row],[Reinforcement]]="","",0.5*VLOOKUP(Reinforcements[[#This Row],[Material]],Materials[],3,FALSE)*Reinforcements[[#This Row],[Net Area (in2)]]*Reinforcements[[#This Row],[Shear Lag (U)]])</f>
        <v>366.88755555555565</v>
      </c>
      <c r="CS49" s="250">
        <f>IF(Reinforcements[[#This Row],[Reinforcement]]="","",0.4*VLOOKUP(Reinforcements[[#This Row],[Material]],Materials[],2,FALSE)*Reinforcements[[#This Row],[Gross Area (in2)]])</f>
        <v>268.32</v>
      </c>
      <c r="CT49" s="250">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(Bottom)]],"-Bolts!AB18")</f>
        <v>372.57010686127944</v>
      </c>
      <c r="CU49" s="250">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49" s="250">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21.921259842519685</v>
      </c>
      <c r="CW49" s="250">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24.212598425196852</v>
      </c>
      <c r="CX49" s="250">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49" s="250">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49"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1332.8125984251969</v>
      </c>
      <c r="DA49" s="250">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1472.1259842519685</v>
      </c>
      <c r="DB49" s="250">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1249.5118110236222</v>
      </c>
      <c r="DC49" s="250">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1380.9259842519684</v>
      </c>
      <c r="DD49"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9" s="241"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9" s="241" t="str">
        <f>IF($AZ49="Yes",DD49,IF(Reinforcements[[#This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9" s="241" t="str">
        <f>IF($AZ49="Yes",DE49,IF(Reinforcements[[#This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9" s="250">
        <f>IF(Reinforcements[[#This Row],[Reinforcement]]="","",φ_c*Reinforcements[[#This Row],[Fcr,x]]*Reinforcements[[#This Row],[Gross Area (in2)]])</f>
        <v>570.95240587064688</v>
      </c>
      <c r="DI49" s="250">
        <f>IF(Reinforcements[[#This Row],[Reinforcement]]="","",φ_c*Reinforcements[[#This Row],[Fcr,y]]*Reinforcements[[#This Row],[Gross Area (in2)]])</f>
        <v>599.58891746329618</v>
      </c>
      <c r="DJ49" s="250">
        <f>IF(Reinforcements[[#This Row],[Reinforcement]]="","",φ_t_y*VLOOKUP(Reinforcements[[#This Row],[Material]],Materials[],2,FALSE)*Reinforcements[[#This Row],[Gross Area (in2)]])</f>
        <v>603.72</v>
      </c>
      <c r="DK49" s="250">
        <f>IF(Reinforcements[[#This Row],[Reinforcement]]="","",φ_t_r*VLOOKUP(Reinforcements[[#This Row],[Material]],Materials[],3,FALSE)*Reinforcements[[#This Row],[Net Area (in2)]]*Reinforcements[[#This Row],[Shear Lag (U)]])</f>
        <v>550.33133333333342</v>
      </c>
      <c r="DL49" s="250">
        <f>IF(Reinforcements[[#This Row],[Reinforcement]]="","",φ_v*0.5*Reinforcements[[#This Row],[F''y]]*Reinforcements[[#This Row],[Gross Area (in2)]])</f>
        <v>301.86</v>
      </c>
      <c r="DM49" s="250">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660.31899369602661</v>
      </c>
      <c r="DN49" s="250">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49" s="250">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31.50236220472441</v>
      </c>
      <c r="DP49" s="250">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39.377952755905511</v>
      </c>
      <c r="DQ49" s="250">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29.548346456692911</v>
      </c>
      <c r="DR49" s="250">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36.935433070866146</v>
      </c>
      <c r="DS49" s="250">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1878.9785196850398</v>
      </c>
      <c r="DT49" s="250">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2348.7231496062996</v>
      </c>
      <c r="DU49" s="250">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1760.1743622047245</v>
      </c>
      <c r="DV49" s="250">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2200.217952755906</v>
      </c>
      <c r="DW49" s="241"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9" s="24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9" s="241" t="str">
        <f>IF($AZ49="Yes",DW49,IF(Reinforcements[[#This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9" s="241" t="str">
        <f>IF($AZ49="Yes",DX49,IF(Reinforcements[[#This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9" s="238">
        <f>IF(OR(Reinforcements[[#This Row],[Type]]="plate",Reinforcements[[#This Row],[Type]]="solid round"),"N/A",Reinforcements[[#This Row],[B (in)]])</f>
        <v>7.93</v>
      </c>
      <c r="EB49" s="236">
        <f>IF(OR(Reinforcements[[#This Row],[Type]]="plate",Reinforcements[[#This Row],[Type]]="solid round"),"N/A",Reinforcements[[#This Row],[H (in)]])</f>
        <v>2.8</v>
      </c>
      <c r="EC49" s="236">
        <f>IF(OR(Reinforcements[[#This Row],[Type]]="plate",Reinforcements[[#This Row],[Type]]="solid round"),"N/A",Reinforcements[[#This Row],[B (in)]]-Reinforcements[[#This Row],['[Channel'] Flange Thickness (in)]])</f>
        <v>6.92</v>
      </c>
      <c r="ED49" s="236">
        <f>IF(OR(Reinforcements[[#This Row],[Type]]="plate",Reinforcements[[#This Row],[Type]]="solid round"),"N/A",Reinforcements[[#This Row],['[Channel']Web Thickness (in)]])</f>
        <v>0.76</v>
      </c>
      <c r="EE49" s="236">
        <f>IF(OR(Reinforcements[[#This Row],[Type]]="plate",Reinforcements[[#This Row],[Type]]="solid round"),"N/A",Reinforcements[[#This Row],['[Channel'] Flange Thickness (in)]])</f>
        <v>1.01</v>
      </c>
      <c r="EF49" s="236">
        <f>IF(Reinforcements[[#This Row],[Type]]="channel",Reinforcements[[#This Row],[Channel Flange Width, b]]/Reinforcements[[#This Row],[Channel flange thickness, tf]],"N/A")</f>
        <v>2.7722772277227721</v>
      </c>
      <c r="EG49" s="236">
        <f>IF(Reinforcements[[#This Row],[Type]]="channel",Reinforcements[[#This Row],[Channel inside depth, T]]/Reinforcements[[#This Row],[Channel web thickness, tw]],"N/A")</f>
        <v>9.1052631578947363</v>
      </c>
      <c r="EH49" s="237">
        <v>29000</v>
      </c>
      <c r="EI49" s="236">
        <f>IF(Reinforcements[[#This Row],[Type]]="channel",0.56*SQRT(Reinforcements[[#This Row],[E, (ksi)]]/Reinforcements[[#This Row],[Fy, (ksi)]]),"N/A")</f>
        <v>11.828518341442694</v>
      </c>
      <c r="EJ49" s="236">
        <f>IF(Reinforcements[[#This Row],[Type]]="channel",1.49*SQRT(Reinforcements[[#This Row],[E, (ksi)]]/Reinforcements[[#This Row],[Fy, (ksi)]]),"N/A")</f>
        <v>31.472307729910018</v>
      </c>
      <c r="EK49" s="236">
        <f>VLOOKUP(Reinforcements[[#This Row],[Material]],Materials!$B$2:$C$30,2,FALSE)</f>
        <v>65</v>
      </c>
      <c r="EL49" s="236">
        <f>Reinforcements[[#This Row],[Lu (in)]]*Reinforcements[[#This Row],[Effective Length Factor Kx]]</f>
        <v>19.200000000000003</v>
      </c>
      <c r="EM49" s="236">
        <f>Reinforcements[[#This Row],[Lu (in)]]*Reinforcements[[#This Row],[Effective Length Factor Ky]]</f>
        <v>24</v>
      </c>
      <c r="EN49" s="236">
        <f>Reinforcements[[#This Row],[rx]]</f>
        <v>0.79240581569306145</v>
      </c>
      <c r="EO49" s="236">
        <f>Reinforcements[[#This Row],[ry]]</f>
        <v>2.8237983655534484</v>
      </c>
      <c r="EP49" s="236">
        <f>Reinforcements[[#This Row],[Lcx (in)]]/Reinforcements[[#This Row],[rx (in)]]</f>
        <v>24.23000894208117</v>
      </c>
      <c r="EQ49" s="236">
        <f>Reinforcements[[#This Row],[Lcy (in)]]/Reinforcements[[#This Row],[ry (in)]]</f>
        <v>8.4991904141484742</v>
      </c>
      <c r="ER49" s="236">
        <f>((PI()^2)*Reinforcements[[#This Row],[E, (ksi)]])/(Reinforcements[[#This Row],[Lcx/rx]]^2)</f>
        <v>487.51793178527771</v>
      </c>
      <c r="ES49" s="236">
        <f>((PI()^2)*Reinforcements[[#This Row],[E, (ksi)]])/(Reinforcements[[#This Row],[Lcy/ry]]^2)</f>
        <v>3962.2568500356074</v>
      </c>
      <c r="ET49" s="236">
        <f>4.71*(SQRT(Reinforcements[[#This Row],[E, (ksi)]]/Reinforcements[[#This Row],[Fy, (ksi)]]))</f>
        <v>99.486288193205496</v>
      </c>
      <c r="EU49" s="236">
        <f>IF(Reinforcements[[#This Row],[Lcx/rx]]&lt;=Reinforcements[[#This Row],[Fcr Limit]],(0.658^(Reinforcements[[#This Row],[Fy, (ksi)]]/Reinforcements[[#This Row],[Fex, FB (ksi)]]))*Reinforcements[[#This Row],[Fy, (ksi)]],0.877*Reinforcements[[#This Row],[Fex, FB (ksi)]])</f>
        <v>61.472050589001604</v>
      </c>
      <c r="EV49" s="236">
        <f>IF(Reinforcements[[#This Row],[Lcy/ry]]&lt;=Reinforcements[[#This Row],[Fcr Limit]],(0.658^(Reinforcements[[#This Row],[Fy, (ksi)]]/Reinforcements[[#This Row],[Fey, FB (ksi)]]))*Reinforcements[[#This Row],[Fy, (ksi)]],0.877*Reinforcements[[#This Row],[Fey, FB (ksi)]])</f>
        <v>64.555223671758839</v>
      </c>
      <c r="EW49" s="236">
        <f>Reinforcements[[#This Row],[Fcrx (ksi)]]*Reinforcements[[#This Row],[Gross Area (in2)]]</f>
        <v>634.39156207849658</v>
      </c>
      <c r="EX49" s="236">
        <f>Reinforcements[[#This Row],[Fcry (ksi)]]*Reinforcements[[#This Row],[Gross Area (in2)]]</f>
        <v>666.20990829255118</v>
      </c>
      <c r="EY49" s="236">
        <f>IF(Reinforcements[[#This Row],[Type]]="channel",0,"N/A")</f>
        <v>0</v>
      </c>
      <c r="EZ49" s="236">
        <f>IF(Reinforcements[[#This Row],[Type]]="channel",Reinforcements[[#This Row],[Channel Flange Width, b]]-(0.5*Reinforcements[[#This Row],[Channel web thickness, tw]]),"N/A")</f>
        <v>2.42</v>
      </c>
      <c r="FA49" s="236">
        <f>IF(Reinforcements[[#This Row],[Type]]="channel",Reinforcements[[#This Row],[Channel Height, h]]-Reinforcements[[#This Row],[Channel flange thickness, tf]],"N/A")</f>
        <v>6.92</v>
      </c>
      <c r="FB49" s="236">
        <f>IF(Reinforcements[[#This Row],[Type]]="channel",Reinforcements[[#This Row],[Channel web thickness, tw]],"N/A")</f>
        <v>0.76</v>
      </c>
      <c r="FC49" s="236">
        <f>IF(Reinforcements[[#This Row],[Type]]="channel",((3*Reinforcements[[#This Row],[b]]^2)/(Reinforcements[[#This Row],[h]]+(6*Reinforcements[[#This Row],[b]])))-Reinforcements[[#This Row],[t]]/2,"N/A")</f>
        <v>0.43945895522388057</v>
      </c>
      <c r="FD49" s="236">
        <f>Reinforcements[[#This Row],[Pole Face to Centroid (in)]]</f>
        <v>0.95</v>
      </c>
      <c r="FE49" s="236">
        <f>IF(Reinforcements[[#This Row],[Type]]="channel",Reinforcements[[#This Row],[x(bar)]]+Reinforcements[[#This Row],['[Channel'] e0 (in)]],"N/A")</f>
        <v>1.3894589552238805</v>
      </c>
      <c r="FF49" s="236">
        <f>IF(Reinforcements[[#This Row],[Type]]="channel",Reinforcements[[#This Row],[Ix]],"N/A")</f>
        <v>6.48</v>
      </c>
      <c r="FG49" s="236">
        <f>IF(Reinforcements[[#This Row],[Type]]="channel",Reinforcements[[#This Row],[Iy]],"N/A")</f>
        <v>82.29</v>
      </c>
      <c r="FH49" s="236">
        <f>IF(Reinforcements[[#This Row],[Type]]="channel",Reinforcements[[#This Row],[Gross Area (in2)]],"N/A")</f>
        <v>10.32</v>
      </c>
      <c r="FI49" s="236">
        <f>IF(Reinforcements[[#This Row],[Type]]="channel",(Reinforcements[[#This Row],[xo]]^2)+((Reinforcements[[#This Row],[Ix (FTB)]]+Reinforcements[[#This Row],[Iy (FTB)]])/Reinforcements[[#This Row],[Ag]]),"N/A")</f>
        <v>10.53234037429835</v>
      </c>
      <c r="FJ49" s="236">
        <f>IF(Reinforcements[[#This Row],[Type]]="channel",Reinforcements[[#This Row],[Lu (in)]],"N/A")</f>
        <v>24</v>
      </c>
      <c r="FK49" s="236">
        <f>IF(Reinforcements[[#This Row],[Type]]="channel",Reinforcements[[#This Row],[Effective Length Factor Kx]],"N/A")</f>
        <v>0.8</v>
      </c>
      <c r="FL49" s="236">
        <f>IF(Reinforcements[[#This Row],[Type]]="channel",Reinforcements[[#This Row],[Kz]]*Reinforcements[[#This Row],[Lz]],"N/A")</f>
        <v>19.200000000000003</v>
      </c>
      <c r="FM49" s="236">
        <f>IF(Reinforcements[[#This Row],[Type]]="channel",(((Reinforcements[[#This Row],[t]]^3)/3)*(Reinforcements[[#This Row],[h]]+(2*Reinforcements[[#This Row],[b]]))),"N/A")</f>
        <v>1.72078592</v>
      </c>
      <c r="FN49" s="236">
        <f>IF(Reinforcements[[#This Row],[Type]]="channel",(1-(((Reinforcements[[#This Row],[xo]]^2)+(Reinforcements[[#This Row],[yo]]^2))/Reinforcements[[#This Row],[ro^2(bar)]])),"N/A")</f>
        <v>0.81669827221279379</v>
      </c>
      <c r="FO49" s="237">
        <v>11200</v>
      </c>
      <c r="FP49" s="236">
        <f>IF(Reinforcements[[#This Row],[Type]]="channel",(((Reinforcements[[#This Row],[h]]^2)*(Reinforcements[[#This Row],[b]]^3)*Reinforcements[[#This Row],[t]])/12)*(((2*Reinforcements[[#This Row],[h]])+(3*Reinforcements[[#This Row],[b]]))/(Reinforcements[[#This Row],[h]]+(6*Reinforcements[[#This Row],[b]]))),"N/A")</f>
        <v>42.300773356919613</v>
      </c>
      <c r="FQ49" s="236">
        <f>IF(Reinforcements[[#This Row],[Type]]="Channel",((((PI()^2)*Reinforcements[[#This Row],[E, (ksi)]]*Reinforcements[[#This Row],['[Channel'] CW (in6)]])/(Reinforcements[[#This Row],[Lcz]]^2))+(Reinforcements[[#This Row],[G]]*Reinforcements[[#This Row],['[Channel'] J (in4)]]))*(1/(Reinforcements[[#This Row],[Ag]]*Reinforcements[[#This Row],[ro^2(bar)]])),"N/A")</f>
        <v>479.47429801329082</v>
      </c>
      <c r="FR49" s="236">
        <f>IF(Reinforcements[[#This Row],[Type]]="channel",((PI()^2)*Reinforcements[[#This Row],[E, (ksi)]])/(Reinforcements[[#This Row],[Lcy/ry]]^2),"N/A")</f>
        <v>3962.2568500356074</v>
      </c>
      <c r="FS49" s="236">
        <f>IF(Reinforcements[[#This Row],[Type]]="channel",((Reinforcements[[#This Row],[Fey]]+Reinforcements[[#This Row],[Fez]])/(2*Reinforcements[[#This Row],[H2]]))*(1-SQRT(1-((4*Reinforcements[[#This Row],[Fey]]*Reinforcements[[#This Row],[Fez]]*Reinforcements[[#This Row],[H2]])/(Reinforcements[[#This Row],[Fey]]+Reinforcements[[#This Row],[Fez]])^2))),"N/A")</f>
        <v>467.98549669592273</v>
      </c>
      <c r="FT49" s="236">
        <f>IF(Reinforcements[[#This Row],[Type]]="channel",IF(Reinforcements[[#This Row],[Lcx/rx]]&gt;(4.71*SQRT(Reinforcements[[#This Row],[E, (ksi)]]/Reinforcements[[#This Row],[Fy, (ksi)]])),0.877*Reinforcements[[#This Row],[Fe (FTB)]],0.658^(Reinforcements[[#This Row],[Fy, (ksi)]]/Reinforcements[[#This Row],[Fe (FTB)]])*Reinforcements[[#This Row],[Fy, (ksi)]]),"N/A")</f>
        <v>61.329040558735421</v>
      </c>
      <c r="FU49" s="236">
        <f>IF(Reinforcements[[#This Row],[Type]]="channel",MIN(Reinforcements[[#This Row],[Fcr(FTB)]],Reinforcements[[#This Row],[Fcry (ksi)]]),"N/A")</f>
        <v>61.329040558735421</v>
      </c>
      <c r="FV49" s="237">
        <v>0.22</v>
      </c>
      <c r="FW49" s="237">
        <v>1.49</v>
      </c>
      <c r="FX49" s="236">
        <f>IF(Reinforcements[[#This Row],[Type]]="channel",((Reinforcements[[#This Row],[c2]]*(Reinforcements[[#This Row],[λrf]]/Reinforcements[[#This Row],[λf]]))^2)*Reinforcements[[#This Row],[Fy, (ksi)]],"N/A")</f>
        <v>2627.0798516000018</v>
      </c>
      <c r="FY49" s="236">
        <f>IF(Reinforcements[[#This Row],[Type]]="channel",((Reinforcements[[#This Row],[c2]]*(Reinforcements[[#This Row],[λrw]]/Reinforcements[[#This Row],[λw]]))^2)*Reinforcements[[#This Row],[Fy, (ksi)]],"N/A")</f>
        <v>1724.08259349427</v>
      </c>
      <c r="FZ49"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2.42</v>
      </c>
      <c r="GA49"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6.92</v>
      </c>
      <c r="GB49"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10.32</v>
      </c>
      <c r="GC49" s="236">
        <f>IF(Reinforcements[[#This Row],[Type]]="channel",Reinforcements[[#This Row],[Fcr]]*Reinforcements[[#This Row],[Ae]],"N/A")</f>
        <v>632.91569856614956</v>
      </c>
      <c r="GD49" s="466">
        <f>IF(Reinforcements[[#This Row],[Reinforcement]]="","",φ_c*Reinforcements[[#This Row],[Pnx, FB (kip)]])</f>
        <v>570.95240587064688</v>
      </c>
      <c r="GE49" s="466">
        <f>IF(Reinforcements[[#This Row],[Reinforcement]]="","",IF(Reinforcements[[#This Row],[Type]]="channel",φ_c*Reinforcements[[#This Row],[Pn]],φ_c*Reinforcements[[#This Row],[Pny, FB (kip)]]))</f>
        <v>569.6241287095346</v>
      </c>
      <c r="GF49" s="466">
        <f>Reinforcements[[#This Row],[Rev. G Tension Yield Capacity (kips)]]</f>
        <v>603.72</v>
      </c>
      <c r="GG49" s="466">
        <f>Reinforcements[[#This Row],[Rev. G Tension Rupture Capacity (kips)]]</f>
        <v>550.33133333333342</v>
      </c>
      <c r="GH49" s="466">
        <f>Reinforcements[[#This Row],[Rev. G Shear Capacity (kips)]]</f>
        <v>301.86</v>
      </c>
      <c r="GI49" s="466">
        <f>IFERROR((Reinforcements[[#This Row],['# of End Connection Bolts          (Bottom)]]-1)*Reinforcements[[#This Row],[End Connection Bolt Spacing (in) (B)]],"-")</f>
        <v>45</v>
      </c>
      <c r="GJ49" s="466">
        <f>IFERROR(IF(VLOOKUP(Reinforcements[[#This Row],[Bottom End Connection Bolt Type]],Bolts[],COLUMN(Bolts[[#Headers],[Rev. H Apply Connection Length Reduction Factor (Rb)?]])-1,FALSE)="Yes",(IF(Reinforcements[[#This Row],[Lb(bottom)]]&lt;=16,1,IF(Reinforcements[[#This Row],[Lb(bottom)]]&gt;38,0.75,0.9))),1),"-")</f>
        <v>1</v>
      </c>
      <c r="GK49"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742.39425553308695</v>
      </c>
      <c r="GL49" s="466">
        <f>IFERROR(IF(Reinforcements[[#This Row],[Top End Connection Same?]]="Yes",Reinforcements[[#This Row],[Lb(bottom)]],(Reinforcements[[#This Row],['# of End Connection Bolts          (Top)]]-1)*Reinforcements[[#This Row],[End Connection Bolt Spacing (in) (T)]]),"-")</f>
        <v>42</v>
      </c>
      <c r="GM49" s="466">
        <f>IFERROR(IF(VLOOKUP(Reinforcements[[#This Row],[Top End Connection Bolt Type]],Bolts[],COLUMN(Bolts[[#Headers],[Rev. H Apply Connection Length Reduction Factor (Rb)?]])-1,FALSE)="Yes",(IF(Reinforcements[[#This Row],[Lb(top)]]&lt;=16,1,IF(Reinforcements[[#This Row],[Lb(top)]]&gt;38,0.75,0.9))),1),"-")</f>
        <v>1</v>
      </c>
      <c r="GN49"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695.99461456226902</v>
      </c>
      <c r="GO49" s="466">
        <f>Reinforcements[[#This Row],[Rev. G Bolt-Shaft Bearing Capacity (Bottom)                No Deformation          (*t*Fu kips)]]</f>
        <v>31.50236220472441</v>
      </c>
      <c r="GP49" s="466">
        <f>Reinforcements[[#This Row],[Rev. G Bolt-Shaft Bearing Capacity (Bottom)                   Deformation          (*t*Fu kips)]]</f>
        <v>39.377952755905511</v>
      </c>
      <c r="GQ49" s="466">
        <f>Reinforcements[[#This Row],[Rev. G Bolt-Shaft Bearing Capacity (Top)                    No Deformation          (*t*Fu kips)]]</f>
        <v>29.548346456692911</v>
      </c>
      <c r="GR49" s="466">
        <f>Reinforcements[[#This Row],[Rev. G Bolt-Shaft Bearing Capacity (Top)                        Deformation          (*t*Fu kips)]]</f>
        <v>36.935433070866146</v>
      </c>
      <c r="GS49" s="466">
        <f>Reinforcements[[#This Row],[Rev. G Bolt-Reinf. Bearing Capacity (Bottom)            No Deformation (kips)]]</f>
        <v>1878.9785196850398</v>
      </c>
      <c r="GT49" s="466">
        <f>Reinforcements[[#This Row],[Rev. G Bolt-Reinf. Bearing Capacity (Bottom)               Deformation (kips)]]</f>
        <v>2348.7231496062996</v>
      </c>
      <c r="GU49" s="466">
        <f>Reinforcements[[#This Row],[Rev. G Bolt-Reinf. Bearing Capacity (Top)                  No Deformation (kips)]]</f>
        <v>1760.1743622047245</v>
      </c>
      <c r="GV49" s="466">
        <f>Reinforcements[[#This Row],[Rev. G Bolt-Reinf. Bearing Capacity (Top)               Deformation (kips)]]</f>
        <v>2200.217952755906</v>
      </c>
      <c r="GW49" s="466" t="str">
        <f>Reinforcements[[#This Row],[Rev. G Bottom Transverse Weld Strength]]</f>
        <v>-</v>
      </c>
      <c r="GX49" s="466" t="str">
        <f>Reinforcements[[#This Row],[Rev. G Bottom Longitudinal Weld Strength]]</f>
        <v>-</v>
      </c>
      <c r="GY49" s="466" t="str">
        <f>Reinforcements[[#This Row],[Rev. G Top Transverse Weld Strength]]</f>
        <v>-</v>
      </c>
      <c r="GZ49" s="466" t="str">
        <f>Reinforcements[[#This Row],[Rev. G Top Longitudinal Weld Strength]]</f>
        <v>-</v>
      </c>
      <c r="HA49" s="552">
        <v>47</v>
      </c>
      <c r="HB49"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0" spans="2:210" x14ac:dyDescent="0.2">
      <c r="B50" s="243" t="s">
        <v>769</v>
      </c>
      <c r="C50" s="72" t="s">
        <v>147</v>
      </c>
      <c r="D50" s="185">
        <v>7.93</v>
      </c>
      <c r="E50" s="185">
        <v>2.8</v>
      </c>
      <c r="F50" s="185" t="str">
        <f>IF(Reinforcements[[#This Row],[Type]]="","",IF(Reinforcements[[#This Row],[Type]]="solid round","","n/a"))</f>
        <v>n/a</v>
      </c>
      <c r="G50" s="185">
        <v>0.76</v>
      </c>
      <c r="H50" s="185">
        <v>1.01</v>
      </c>
      <c r="I50" s="197">
        <f>IF(Reinforcements[[#This Row],[Type]]="","",IF(Reinforcements[[#This Row],[Type]]&lt;&gt;"channel","n/a",Reinforcements[[#This Row],[eo]]))</f>
        <v>0.43945895522388057</v>
      </c>
      <c r="J50" s="197">
        <f>IF(Reinforcements[[#This Row],[Type]]="","",IF(Reinforcements[[#This Row],[Type]]&lt;&gt;"channel","n/a",Reinforcements[[#This Row],[J]]))</f>
        <v>1.72078592</v>
      </c>
      <c r="K50" s="197">
        <f>IF(Reinforcements[[#This Row],[Type]]="","",IF(Reinforcements[[#This Row],[Type]]&lt;&gt;"channel","n/a",Reinforcements[[#This Row],[Cw]]))</f>
        <v>42.300773356919613</v>
      </c>
      <c r="L50" s="185">
        <v>10.32</v>
      </c>
      <c r="M50" s="185">
        <v>0.95</v>
      </c>
      <c r="N50" s="186" t="s">
        <v>297</v>
      </c>
      <c r="O50" s="185" t="s">
        <v>60</v>
      </c>
      <c r="P50" s="187">
        <v>6.48</v>
      </c>
      <c r="Q50" s="187">
        <f>IF(Reinforcements[[#This Row],[Reinforcement]]="","",SQRT(Reinforcements[[#This Row],[Ix]]/Reinforcements[[#This Row],[Gross Area (in2)]]))</f>
        <v>0.79240581569306145</v>
      </c>
      <c r="R50" s="187">
        <v>82.29</v>
      </c>
      <c r="S50" s="187">
        <f>IF(Reinforcements[[#This Row],[Reinforcement]]="","",SQRT(Reinforcements[[#This Row],[Iy]]/Reinforcements[[#This Row],[Gross Area (in2)]]))</f>
        <v>2.8237983655534484</v>
      </c>
      <c r="T50" s="190">
        <v>24</v>
      </c>
      <c r="U50" s="188">
        <v>0.8</v>
      </c>
      <c r="V50" s="188">
        <v>1</v>
      </c>
      <c r="W50" s="185">
        <v>1.25</v>
      </c>
      <c r="X50" s="188">
        <f>IF(Reinforcements[[#This Row],[Bolt Hole Size (in)]]="","",IF(Reinforcements[[#This Row],[Bolt Hole Size (in)]]="n/a","n/a",Reinforcements[[#This Row],[Bolt Hole Size (in)]]*25.4))</f>
        <v>31.75</v>
      </c>
      <c r="Y50"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9.3224999999999998</v>
      </c>
      <c r="Z50" s="185">
        <f>IFERROR(IF(Reinforcements[[#This Row],[Reinforcement]]="","",IF(OR(Reinforcements[[#This Row],[Type]]="plate",Reinforcements[[#This Row],[Type]]="solid round"),1,IF(Reinforcements[[#This Row],[Type]]="arbitrary","",1-Reinforcements[[#This Row],[Pole Face to Centroid (in)]]/Reinforcements[[#This Row],[Connection Length (in) '[Channels']]]))),"")</f>
        <v>0.97888888888888892</v>
      </c>
      <c r="AA50" s="200" t="s">
        <v>391</v>
      </c>
      <c r="AB50" s="200" t="str">
        <f>IF(Reinforcements[[#This Row],[Reinforcement]]="","",IF(Reinforcements[[#This Row],[Bottom End Connection Type]]&lt;&gt;"Capacity Input","-",""))</f>
        <v>-</v>
      </c>
      <c r="AC50" s="200" t="str">
        <f>IF(Reinforcements[[#This Row],[Reinforcement]]="","",IF(Reinforcements[[#This Row],[Bottom End Connection Type]]&lt;&gt;"Capacity Input","-",""))</f>
        <v>-</v>
      </c>
      <c r="AD50" s="461" t="str">
        <f>IF(Reinforcements[[#This Row],[Reinforcement]]="","",IF(Reinforcements[[#This Row],[Bottom End Connection Type]]&lt;&gt;"Capacity Input","-",""))</f>
        <v>-</v>
      </c>
      <c r="AE50" s="103" t="s">
        <v>416</v>
      </c>
      <c r="AF50" s="190" t="s">
        <v>296</v>
      </c>
      <c r="AG50" s="190">
        <v>16</v>
      </c>
      <c r="AH50" s="190">
        <v>3</v>
      </c>
      <c r="AI50" s="190">
        <v>2</v>
      </c>
      <c r="AJ50" s="190">
        <f>Reinforcements[[#This Row],[End Connection Edge Distance (in) (B)]]-(Reinforcements[[#This Row],[Bolt Hole Size (in)]]+1/16)/2</f>
        <v>1.34375</v>
      </c>
      <c r="AK50" s="190">
        <f>Reinforcements[[#This Row],[End Connection Bolt Spacing (in) (B)]]-(Reinforcements[[#This Row],[Bolt Hole Size (in)]]+1/16)</f>
        <v>1.6875</v>
      </c>
      <c r="AL50" s="190">
        <f>Reinforcements[[#This Row],[End Connection Edge Distance (in) (B)]]</f>
        <v>2</v>
      </c>
      <c r="AM50" s="190">
        <f>Reinforcements[[#This Row],[End Connection Bolt Spacing (in) (B)]]</f>
        <v>3</v>
      </c>
      <c r="AN50" s="190" t="str">
        <f>IF(Reinforcements[[#This Row],[Reinforcement]]="","",IF(OR(Reinforcements[[#This Row],[Bottom End Connection Type]]="Bolted",Reinforcements[[#This Row],[Bottom End Connection Type]]=""),"-",""))</f>
        <v>-</v>
      </c>
      <c r="AO50" s="191" t="str">
        <f>IF(Reinforcements[[#This Row],[Reinforcement]]="","",IF(OR(Reinforcements[[#This Row],[Bottom End Connection Type]]="Bolted",Reinforcements[[#This Row],[Bottom End Connection Type]]=""),"-",""))</f>
        <v>-</v>
      </c>
      <c r="AP50" s="191" t="str">
        <f>IF(Reinforcements[[#This Row],[Reinforcement]]="","",IF(OR(Reinforcements[[#This Row],[Bottom End Connection Type]]="Bolted",Reinforcements[[#This Row],[Bottom End Connection Type]]=""),"-",""))</f>
        <v>-</v>
      </c>
      <c r="AQ50" s="191" t="str">
        <f>IF(OR(Reinforcements[[#This Row],[Bottom End Connection Type]]="Bolted",Reinforcements[[#This Row],[Bottom Transverse (Horizontal) Weld]]="none"),"-","")</f>
        <v>-</v>
      </c>
      <c r="AR5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0" s="191" t="str">
        <f>IF(OR(Reinforcements[[#This Row],[Bottom Transverse (Horizontal) Weld]]="none",Reinforcements[[#This Row],[Bottom End Connection Type]]="Bolted"),"-","")</f>
        <v>-</v>
      </c>
      <c r="AU50"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0" s="191" t="str">
        <f>IF(Reinforcements[[#This Row],[Reinforcement]]="","",IF(OR(Reinforcements[[#This Row],[Bottom End Connection Type]]="Bolted",Reinforcements[[#This Row],[Bottom End Connection Type]]=""),"-",""))</f>
        <v>-</v>
      </c>
      <c r="AW50" s="191" t="str">
        <f>IF(Reinforcements[[#This Row],[Reinforcement]]="","",IF(OR(Reinforcements[[#This Row],[Bottom End Connection Type]]&lt;&gt;"Welded",Reinforcements[[#This Row],[Bottom Longitudinal (Vertical) Weld]]="None",Reinforcements[[#This Row],[Bottom Longitudinal (Vertical) Weld]]=""),"-",""))</f>
        <v>-</v>
      </c>
      <c r="AX50" s="191" t="str">
        <f>IF(Reinforcements[[#This Row],[Reinforcement]]="","",IF(OR(Reinforcements[[#This Row],[Bottom End Connection Type]]&lt;&gt;"Welded",Reinforcements[[#This Row],[Bottom Longitudinal (Vertical) Weld]]="None",Reinforcements[[#This Row],[Bottom Longitudinal (Vertical) Weld]]=""),"-",""))</f>
        <v>-</v>
      </c>
      <c r="AY50" s="190" t="str">
        <f>IF(Reinforcements[[#This Row],[Reinforcement]]="","",IF(OR(Reinforcements[[#This Row],[Bottom End Connection Type]]&lt;&gt;"Welded",Reinforcements[[#This Row],[Bottom Longitudinal (Vertical) Weld]]="None"),"-",SQRT(2)/2*Reinforcements[[#This Row],[Bottom Longitudinal Weld Fillet Size (in)]]))</f>
        <v>-</v>
      </c>
      <c r="AZ50" s="191" t="s">
        <v>295</v>
      </c>
      <c r="BA50" s="189" t="str">
        <f>IF(Reinforcements[[#This Row],[Top End Connection Same?]]="Yes",Reinforcements[[#This Row],[Bottom End Connection Type]],"")</f>
        <v>Bolted</v>
      </c>
      <c r="BB50" s="189" t="str">
        <f>IF(Reinforcements[[#This Row],[Reinforcement]]="","",IF(Reinforcements[[#This Row],[Top End Connection Same?]]="Yes",Reinforcements[[#This Row],[Rev. F Bottom Connection Capacity (kips)]],IF(Reinforcements[[#This Row],[Reinforcement]]="","",IF(Reinforcements[[#This Row],[Top End Connection Type]]&lt;&gt;"Capacity Input","-",""))))</f>
        <v>-</v>
      </c>
      <c r="BC50" s="189" t="str">
        <f>IF(Reinforcements[[#This Row],[Reinforcement]]="","",IF(Reinforcements[[#This Row],[Top End Connection Same?]]="Yes",Reinforcements[[#This Row],[Rev. G Bottom Connection Capacity (kips)]],IF(Reinforcements[[#This Row],[Reinforcement]]="","",IF(Reinforcements[[#This Row],[Top End Connection Type]]&lt;&gt;"Capacity Input","-",""))))</f>
        <v>-</v>
      </c>
      <c r="BD50" s="461" t="str">
        <f>IF(Reinforcements[[#This Row],[Reinforcement]]="","",IF(Reinforcements[[#This Row],[Top End Connection Same?]]="Yes",Reinforcements[[#This Row],[Rev. G Bottom Connection Capacity (kips)]],IF(Reinforcements[[#This Row],[Reinforcement]]="","",IF(Reinforcements[[#This Row],[Top End Connection Type]]&lt;&gt;"Capacity Input","-",""))))</f>
        <v>-</v>
      </c>
      <c r="BE50" s="103" t="str">
        <f>IF(Reinforcements[[#This Row],[Top End Connection Same?]]="Yes",Reinforcements[[#This Row],[Bottom End Connection Bolt Type]],IF(Reinforcements[[#This Row],[Top End Connection Type]]="Welded","-",""))</f>
        <v>PC 8.8 - M20 (100)</v>
      </c>
      <c r="BF50" s="190" t="str">
        <f>IF(Reinforcements[[#This Row],[Top End Connection Same?]]="Yes",Reinforcements[[#This Row],[Threads Included (N) or Excluded (X) (Bottom)]],IF(Reinforcements[[#This Row],[Top End Connection Type]]="Welded","-",""))</f>
        <v>N</v>
      </c>
      <c r="BG50" s="190">
        <f>IF(Reinforcements[[#This Row],[Top End Connection Same?]]="Yes",Reinforcements[[#This Row],['# of End Connection Bolts          (Bottom)]],IF(Reinforcements[[#This Row],[Top End Connection Type]]="Welded","-",""))</f>
        <v>16</v>
      </c>
      <c r="BH50" s="190">
        <f>IF(Reinforcements[[#This Row],[Top End Connection Same?]]="Yes",Reinforcements[[#This Row],[End Connection Bolt Spacing (in) (B)]],IF(Reinforcements[[#This Row],[Top End Connection Type]]="Welded","-",""))</f>
        <v>3</v>
      </c>
      <c r="BI50" s="190">
        <f>IF(Reinforcements[[#This Row],[Top End Connection Same?]]="Yes",Reinforcements[[#This Row],[End Connection Edge Distance (in) (B)]],IF(Reinforcements[[#This Row],[Top End Connection Type]]="Welded","-",""))</f>
        <v>2</v>
      </c>
      <c r="BJ50" s="190">
        <f>Reinforcements[[#This Row],[End Connection Edge Distance (in) (T)]]-(Reinforcements[[#This Row],[Bolt Hole Size (in)]]+1/16)/2</f>
        <v>1.34375</v>
      </c>
      <c r="BK50" s="190">
        <f>Reinforcements[[#This Row],[End Connection Bolt Spacing (in) (T)]]-(Reinforcements[[#This Row],[Bolt Hole Size (in)]]+1/16)</f>
        <v>1.6875</v>
      </c>
      <c r="BL50" s="190">
        <f>Reinforcements[[#This Row],[End Connection Edge Distance (in) (T)]]</f>
        <v>2</v>
      </c>
      <c r="BM50" s="190">
        <f>Reinforcements[[#This Row],[End Connection Bolt Spacing (in) (T)]]</f>
        <v>3</v>
      </c>
      <c r="BN50" s="190" t="str">
        <f>IF(Reinforcements[[#This Row],[Reinforcement]]="","",IF(Reinforcements[[#This Row],[Top End Connection Same?]]="Yes",Reinforcements[[#This Row],[Bottom Connected to Flange/Base Plate?]],IF(Reinforcements[[#This Row],[Top End Connection Type]]="Bolted","-","")))</f>
        <v>-</v>
      </c>
      <c r="BO50" s="190" t="str">
        <f>IF(Reinforcements[[#This Row],[Reinforcement]]="","",IF(Reinforcements[[#This Row],[Top End Connection Same?]]="Yes",Reinforcements[[#This Row],[Bottom Weld Grade (ksi)]],IF(OR(Reinforcements[[#This Row],[Top End Connection Type]]&lt;&gt;"Welded",Reinforcements[[#This Row],[Top End Connection Type]]=""),"-","")))</f>
        <v>-</v>
      </c>
      <c r="BP50" s="190" t="str">
        <f>IF($AZ50="Yes",AP50,IF(Reinforcements[[#This Row],[Reinforcement]]="","",IF(OR(Reinforcements[[#This Row],[Top End Connection Type]]&lt;&gt;"Welded",Reinforcements[[#This Row],[Top End Connection Type]]=""),"-","")))</f>
        <v>-</v>
      </c>
      <c r="BQ50" s="190" t="str">
        <f>IF(Reinforcements[[#This Row],[Reinforcement]]="","",IF($AZ50="Yes",AQ50,IF(OR(Reinforcements[[#This Row],[Top End Connection Type]]&lt;&gt;"Welded",Reinforcements[[#This Row],[Top Transverse (Horizontal) Weld]]="none",Reinforcements[[#This Row],[Top Transverse (Horizontal) Weld]]=""),"-","")))</f>
        <v>-</v>
      </c>
      <c r="BR50" s="190" t="str">
        <f>IF($AZ50="Yes",AR50,IF(Reinforcements[[#This Row],[Reinforcement]]="","",IF(OR(Reinforcements[[#This Row],[Top Transverse (Horizontal) Weld]]="none",Reinforcements[[#This Row],[Top End Connection Type]]&lt;&gt;"Welded",Reinforcements[[#This Row],[Top Transverse (Horizontal) Weld]]="",Reinforcements[[#This Row],[Top Transverse (Horizontal) Weld]]="Fillet"),"-","")))</f>
        <v>-</v>
      </c>
      <c r="BS50" s="190" t="str">
        <f>IF($AZ50="Yes",AS50,IF(Reinforcements[[#This Row],[Reinforcement]]="","",IF(OR(Reinforcements[[#This Row],[Top Transverse (Horizontal) Weld]]="none",Reinforcements[[#This Row],[Top End Connection Type]]&lt;&gt;"Welded",Reinforcements[[#This Row],[Top Transverse (Horizontal) Weld]]="",Reinforcements[[#This Row],[Top Transverse (Horizontal) Weld]]="Fillet"),"-","")))</f>
        <v>-</v>
      </c>
      <c r="BT50" s="190" t="str">
        <f>IF(Reinforcements[[#This Row],[Reinforcement]]="","",IF($AZ50="Yes",AT50,IF(OR(Reinforcements[[#This Row],[Top Transverse (Horizontal) Weld]]="none",Reinforcements[[#This Row],[Top End Connection Type]]&lt;&gt;"Welded",Reinforcements[[#This Row],[Top Transverse (Horizontal) Weld]]=""),"-","")))</f>
        <v>-</v>
      </c>
      <c r="BU50" s="190" t="str">
        <f>IF($AZ50="Yes",AU50,IF(Reinforcements[[#This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0" s="190" t="str">
        <f>IF($AZ50="Yes",AV50,IF(Reinforcements[[#This Row],[Reinforcement]]="","",IF(OR(Reinforcements[[#This Row],[Top End Connection Type]]&lt;&gt;"Welded",Reinforcements[[#This Row],[Top End Connection Type]]=""),"-","")))</f>
        <v>-</v>
      </c>
      <c r="BW50" s="190" t="str">
        <f>IF($AZ50="Yes",AW50,IF(Reinforcements[[#This Row],[Reinforcement]]="","",IF(OR(Reinforcements[[#This Row],[Top End Connection Type]]&lt;&gt;"Welded",Reinforcements[[#This Row],[Top End Connection Type]]="",Reinforcements[[#This Row],[Top Longitudinal (Vertical) Weld]]="",Reinforcements[[#This Row],[Top Longitudinal (Vertical) Weld]]="None"),"-","")))</f>
        <v>-</v>
      </c>
      <c r="BX50" s="190" t="str">
        <f>IF($AZ50="Yes",AX50,IF(Reinforcements[[#This Row],[Reinforcement]]="","",IF(OR(Reinforcements[[#This Row],[Top End Connection Type]]&lt;&gt;"Welded",Reinforcements[[#This Row],[Top End Connection Type]]="",Reinforcements[[#This Row],[Top Longitudinal (Vertical) Weld]]="",Reinforcements[[#This Row],[Top Longitudinal (Vertical) Weld]]="None"),"-","")))</f>
        <v>-</v>
      </c>
      <c r="BY50" s="190" t="str">
        <f>IF($AZ50="Yes",AY50,IF(Reinforcements[[#This Row],[Reinforcement]]="","",IF(OR(Reinforcements[[#This Row],[Top End Connection Type]]&lt;&gt;"Welded",Reinforcements[[#This Row],[Top Longitudinal (Vertical) Weld]]="none"),"-",SQRT(2)/2*Reinforcements[[#This Row],[Top Longitudinal Weld Fillet Size (in)]])))</f>
        <v>-</v>
      </c>
      <c r="BZ50"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45</v>
      </c>
      <c r="CA50" s="192">
        <f>IF(Reinforcements[[#This Row],[Reinforcement]]="","",IF(Reinforcements[[#This Row],[Bottom End Connection Type]]&lt;&gt;"Bolted","n/a",(Reinforcements[[#This Row],['# of End Connection Bolts          (Bottom)]]-1)*Reinforcements[[#This Row],[End Connection Bolt Spacing (in) (B)]]+Reinforcements[[#This Row],[End Connection Edge Distance (in) (B)]]))</f>
        <v>47</v>
      </c>
      <c r="CB50" s="192">
        <f>IF(Reinforcements[[#This Row],[Reinforcement]]="","",IF(Reinforcements[[#This Row],[Top End Connection Type]]&lt;&gt;"Bolted","n/a",(Reinforcements[[#This Row],['# of End Connection Bolts          (Top)]]-1)*Reinforcements[[#This Row],[End Connection Bolt Spacing (in) (T)]]+Reinforcements[[#This Row],[End Connection Edge Distance (in) (T)]]))</f>
        <v>47</v>
      </c>
      <c r="CC50"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5.4315789473684211</v>
      </c>
      <c r="CD50"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1.9</v>
      </c>
      <c r="CE50" s="185">
        <f>IFERROR(IF(Reinforcements[[#This Row],[Type]]="","",Reinforcements[[#This Row],[Effective B (in)]]*Reinforcements[[#This Row],[Effective H (in)]]^3/12),"")</f>
        <v>3.1045999999999996</v>
      </c>
      <c r="CF50" s="185">
        <f>IFERROR(IF(Reinforcements[[#This Row],[Type]]="","",Reinforcements[[#This Row],[Effective B (in)]]^3*Reinforcements[[#This Row],[Effective H (in)]]/12),"")</f>
        <v>25.371762880886426</v>
      </c>
      <c r="CG50" s="197">
        <f>SQRT(2*PI()^2*29000/VLOOKUP(Reinforcements[[#This Row],[Material]],Materials[],2,FALSE))</f>
        <v>93.844147005158973</v>
      </c>
      <c r="CH50"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35.673684149133521</v>
      </c>
      <c r="CI50"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38.06647109232766</v>
      </c>
      <c r="CJ50" s="239">
        <f>Reinforcements[[#This Row],[Effective Length Factor Kx]]*Reinforcements[[#This Row],[Lu (in)]]/(Reinforcements[[#This Row],[rx]]*PI())*SQRT(VLOOKUP(Reinforcements[[#This Row],[Material]],Materials[],2,FALSE)/29000)</f>
        <v>0.36514165620183864</v>
      </c>
      <c r="CK50" s="239">
        <f>Reinforcements[[#This Row],[Effective Length Factor Ky]]*Reinforcements[[#This Row],[Lu (in)]]/(Reinforcements[[#This Row],[ry]]*PI())*SQRT(VLOOKUP(Reinforcements[[#This Row],[Material]],Materials[],2,FALSE)/29000)</f>
        <v>0.12808119351566385</v>
      </c>
      <c r="CL50" s="239">
        <f>IF(Reinforcements[[#This Row],[λcx]]&lt;=1.5,0.658^(Reinforcements[[#This Row],[λcx]]^2)*Reinforcements[[#This Row],[F''y]],0.877/(Reinforcements[[#This Row],[λcx]]^2)*Reinforcements[[#This Row],[F''y]])</f>
        <v>61.472050589001604</v>
      </c>
      <c r="CM50" s="239">
        <f>IF(Reinforcements[[#This Row],[λcy]]&lt;=1.5,0.658^(Reinforcements[[#This Row],[λcy]]^2)*Reinforcements[[#This Row],[F''y]],0.877/(Reinforcements[[#This Row],[λcy]]^2)*Reinforcements[[#This Row],[F''y]])</f>
        <v>64.555223671758839</v>
      </c>
      <c r="CN50" s="236">
        <f>VLOOKUP(Reinforcements[[#This Row],[Material]],Materials[],2,FALSE)</f>
        <v>65</v>
      </c>
      <c r="CO50" s="235">
        <f>IF(Reinforcements[[#This Row],[Reinforcement]]="","",Reinforcements[[#This Row],[Fax]]*Reinforcements[[#This Row],[Gross Area (in2)]])</f>
        <v>368.15242041905793</v>
      </c>
      <c r="CP50" s="197">
        <f>IF(Reinforcements[[#This Row],[Reinforcement]]="","",Reinforcements[[#This Row],[Fay]]*Reinforcements[[#This Row],[Gross Area (in2)]])</f>
        <v>392.84598167282144</v>
      </c>
      <c r="CQ50" s="197">
        <f>IF(Reinforcements[[#This Row],[Reinforcement]]="","",0.6*VLOOKUP(Reinforcements[[#This Row],[Material]],Materials[],2,FALSE)*Reinforcements[[#This Row],[Gross Area (in2)]])</f>
        <v>402.48</v>
      </c>
      <c r="CR50" s="197">
        <f>IF(Reinforcements[[#This Row],[Reinforcement]]="","",0.5*VLOOKUP(Reinforcements[[#This Row],[Material]],Materials[],3,FALSE)*Reinforcements[[#This Row],[Net Area (in2)]]*Reinforcements[[#This Row],[Shear Lag (U)]])</f>
        <v>365.02766666666668</v>
      </c>
      <c r="CS50" s="197">
        <f>IF(Reinforcements[[#This Row],[Reinforcement]]="","",0.4*VLOOKUP(Reinforcements[[#This Row],[Material]],Materials[],2,FALSE)*Reinforcements[[#This Row],[Gross Area (in2)]])</f>
        <v>268.32</v>
      </c>
      <c r="CT50"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372.57010686127944</v>
      </c>
      <c r="CU50"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372.57010686127944</v>
      </c>
      <c r="CV50"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21.921259842519685</v>
      </c>
      <c r="CW50"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24.212598425196852</v>
      </c>
      <c r="CX50"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21.921259842519685</v>
      </c>
      <c r="CY50"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24.212598425196852</v>
      </c>
      <c r="CZ50"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1332.8125984251969</v>
      </c>
      <c r="DA50"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1472.1259842519685</v>
      </c>
      <c r="DB50"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1332.8125984251969</v>
      </c>
      <c r="DC50"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1472.1259842519685</v>
      </c>
      <c r="DD50"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0"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0" s="190" t="str">
        <f>IF($AZ50="Yes",DD50,IF(Reinforcements[[#This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0" s="190" t="str">
        <f>IF($AZ50="Yes",DE50,IF(Reinforcements[[#This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0" s="235">
        <f>IF(Reinforcements[[#This Row],[Reinforcement]]="","",φ_c*Reinforcements[[#This Row],[Fcr,x]]*Reinforcements[[#This Row],[Gross Area (in2)]])</f>
        <v>570.95240587064688</v>
      </c>
      <c r="DI50" s="235">
        <f>IF(Reinforcements[[#This Row],[Reinforcement]]="","",φ_c*Reinforcements[[#This Row],[Fcr,y]]*Reinforcements[[#This Row],[Gross Area (in2)]])</f>
        <v>599.58891746329618</v>
      </c>
      <c r="DJ50" s="197">
        <f>IF(Reinforcements[[#This Row],[Reinforcement]]="","",φ_t_y*VLOOKUP(Reinforcements[[#This Row],[Material]],Materials[],2,FALSE)*Reinforcements[[#This Row],[Gross Area (in2)]])</f>
        <v>603.72</v>
      </c>
      <c r="DK50" s="197">
        <f>IF(Reinforcements[[#This Row],[Reinforcement]]="","",φ_t_r*VLOOKUP(Reinforcements[[#This Row],[Material]],Materials[],3,FALSE)*Reinforcements[[#This Row],[Net Area (in2)]]*Reinforcements[[#This Row],[Shear Lag (U)]])</f>
        <v>547.54150000000004</v>
      </c>
      <c r="DL50" s="197">
        <f>IF(Reinforcements[[#This Row],[Reinforcement]]="","",φ_v*0.5*Reinforcements[[#This Row],[F''y]]*Reinforcements[[#This Row],[Gross Area (in2)]])</f>
        <v>301.86</v>
      </c>
      <c r="DM50"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660.31899369602661</v>
      </c>
      <c r="DN50"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660.31899369602661</v>
      </c>
      <c r="DO50"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30.602362204724411</v>
      </c>
      <c r="DP50"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38.252952755905511</v>
      </c>
      <c r="DQ50"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30.602362204724411</v>
      </c>
      <c r="DR50"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38.252952755905511</v>
      </c>
      <c r="DS50"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1822.434519685039</v>
      </c>
      <c r="DT50"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2278.0431496062993</v>
      </c>
      <c r="DU50"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1822.434519685039</v>
      </c>
      <c r="DV50"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2278.0431496062993</v>
      </c>
      <c r="DW50"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0"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0" s="190" t="str">
        <f>IF($AZ50="Yes",DW50,IF(Reinforcements[[#This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0" s="190" t="str">
        <f>IF($AZ50="Yes",DX50,IF(Reinforcements[[#This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0" s="238">
        <f>IF(OR(Reinforcements[[#This Row],[Type]]="plate",Reinforcements[[#This Row],[Type]]="solid round"),"N/A",Reinforcements[[#This Row],[B (in)]])</f>
        <v>7.93</v>
      </c>
      <c r="EB50" s="236">
        <f>IF(OR(Reinforcements[[#This Row],[Type]]="plate",Reinforcements[[#This Row],[Type]]="solid round"),"N/A",Reinforcements[[#This Row],[H (in)]])</f>
        <v>2.8</v>
      </c>
      <c r="EC50" s="236">
        <f>IF(OR(Reinforcements[[#This Row],[Type]]="plate",Reinforcements[[#This Row],[Type]]="solid round"),"N/A",Reinforcements[[#This Row],[B (in)]]-Reinforcements[[#This Row],['[Channel'] Flange Thickness (in)]])</f>
        <v>6.92</v>
      </c>
      <c r="ED50" s="236">
        <f>IF(OR(Reinforcements[[#This Row],[Type]]="plate",Reinforcements[[#This Row],[Type]]="solid round"),"N/A",Reinforcements[[#This Row],['[Channel']Web Thickness (in)]])</f>
        <v>0.76</v>
      </c>
      <c r="EE50" s="236">
        <f>IF(OR(Reinforcements[[#This Row],[Type]]="plate",Reinforcements[[#This Row],[Type]]="solid round"),"N/A",Reinforcements[[#This Row],['[Channel'] Flange Thickness (in)]])</f>
        <v>1.01</v>
      </c>
      <c r="EF50" s="236">
        <f>IF(Reinforcements[[#This Row],[Type]]="channel",Reinforcements[[#This Row],[Channel Flange Width, b]]/Reinforcements[[#This Row],[Channel flange thickness, tf]],"N/A")</f>
        <v>2.7722772277227721</v>
      </c>
      <c r="EG50" s="236">
        <f>IF(Reinforcements[[#This Row],[Type]]="channel",Reinforcements[[#This Row],[Channel inside depth, T]]/Reinforcements[[#This Row],[Channel web thickness, tw]],"N/A")</f>
        <v>9.1052631578947363</v>
      </c>
      <c r="EH50" s="237">
        <v>29000</v>
      </c>
      <c r="EI50" s="236">
        <f>IF(Reinforcements[[#This Row],[Type]]="channel",0.56*SQRT(Reinforcements[[#This Row],[E, (ksi)]]/Reinforcements[[#This Row],[Fy, (ksi)]]),"N/A")</f>
        <v>11.828518341442694</v>
      </c>
      <c r="EJ50" s="236">
        <f>IF(Reinforcements[[#This Row],[Type]]="channel",1.49*SQRT(Reinforcements[[#This Row],[E, (ksi)]]/Reinforcements[[#This Row],[Fy, (ksi)]]),"N/A")</f>
        <v>31.472307729910018</v>
      </c>
      <c r="EK50" s="236">
        <f>VLOOKUP(Reinforcements[[#This Row],[Material]],Materials!$B$2:$C$30,2,FALSE)</f>
        <v>65</v>
      </c>
      <c r="EL50" s="236">
        <f>Reinforcements[[#This Row],[Lu (in)]]*Reinforcements[[#This Row],[Effective Length Factor Kx]]</f>
        <v>19.200000000000003</v>
      </c>
      <c r="EM50" s="236">
        <f>Reinforcements[[#This Row],[Lu (in)]]*Reinforcements[[#This Row],[Effective Length Factor Ky]]</f>
        <v>24</v>
      </c>
      <c r="EN50" s="236">
        <f>Reinforcements[[#This Row],[rx]]</f>
        <v>0.79240581569306145</v>
      </c>
      <c r="EO50" s="236">
        <f>Reinforcements[[#This Row],[ry]]</f>
        <v>2.8237983655534484</v>
      </c>
      <c r="EP50" s="236">
        <f>Reinforcements[[#This Row],[Lcx (in)]]/Reinforcements[[#This Row],[rx (in)]]</f>
        <v>24.23000894208117</v>
      </c>
      <c r="EQ50" s="236">
        <f>Reinforcements[[#This Row],[Lcy (in)]]/Reinforcements[[#This Row],[ry (in)]]</f>
        <v>8.4991904141484742</v>
      </c>
      <c r="ER50" s="236">
        <f>((PI()^2)*Reinforcements[[#This Row],[E, (ksi)]])/(Reinforcements[[#This Row],[Lcx/rx]]^2)</f>
        <v>487.51793178527771</v>
      </c>
      <c r="ES50" s="236">
        <f>((PI()^2)*Reinforcements[[#This Row],[E, (ksi)]])/(Reinforcements[[#This Row],[Lcy/ry]]^2)</f>
        <v>3962.2568500356074</v>
      </c>
      <c r="ET50" s="236">
        <f>4.71*(SQRT(Reinforcements[[#This Row],[E, (ksi)]]/Reinforcements[[#This Row],[Fy, (ksi)]]))</f>
        <v>99.486288193205496</v>
      </c>
      <c r="EU50" s="236">
        <f>IF(Reinforcements[[#This Row],[Lcx/rx]]&lt;=Reinforcements[[#This Row],[Fcr Limit]],(0.658^(Reinforcements[[#This Row],[Fy, (ksi)]]/Reinforcements[[#This Row],[Fex, FB (ksi)]]))*Reinforcements[[#This Row],[Fy, (ksi)]],0.877*Reinforcements[[#This Row],[Fex, FB (ksi)]])</f>
        <v>61.472050589001604</v>
      </c>
      <c r="EV50" s="236">
        <f>IF(Reinforcements[[#This Row],[Lcy/ry]]&lt;=Reinforcements[[#This Row],[Fcr Limit]],(0.658^(Reinforcements[[#This Row],[Fy, (ksi)]]/Reinforcements[[#This Row],[Fey, FB (ksi)]]))*Reinforcements[[#This Row],[Fy, (ksi)]],0.877*Reinforcements[[#This Row],[Fey, FB (ksi)]])</f>
        <v>64.555223671758839</v>
      </c>
      <c r="EW50" s="236">
        <f>Reinforcements[[#This Row],[Fcrx (ksi)]]*Reinforcements[[#This Row],[Gross Area (in2)]]</f>
        <v>634.39156207849658</v>
      </c>
      <c r="EX50" s="236">
        <f>Reinforcements[[#This Row],[Fcry (ksi)]]*Reinforcements[[#This Row],[Gross Area (in2)]]</f>
        <v>666.20990829255118</v>
      </c>
      <c r="EY50" s="236">
        <f>IF(Reinforcements[[#This Row],[Type]]="channel",0,"N/A")</f>
        <v>0</v>
      </c>
      <c r="EZ50" s="236">
        <f>IF(Reinforcements[[#This Row],[Type]]="channel",Reinforcements[[#This Row],[Channel Flange Width, b]]-(0.5*Reinforcements[[#This Row],[Channel web thickness, tw]]),"N/A")</f>
        <v>2.42</v>
      </c>
      <c r="FA50" s="236">
        <f>IF(Reinforcements[[#This Row],[Type]]="channel",Reinforcements[[#This Row],[Channel Height, h]]-Reinforcements[[#This Row],[Channel flange thickness, tf]],"N/A")</f>
        <v>6.92</v>
      </c>
      <c r="FB50" s="236">
        <f>IF(Reinforcements[[#This Row],[Type]]="channel",Reinforcements[[#This Row],[Channel web thickness, tw]],"N/A")</f>
        <v>0.76</v>
      </c>
      <c r="FC50" s="236">
        <f>IF(Reinforcements[[#This Row],[Type]]="channel",((3*Reinforcements[[#This Row],[b]]^2)/(Reinforcements[[#This Row],[h]]+(6*Reinforcements[[#This Row],[b]])))-Reinforcements[[#This Row],[t]]/2,"N/A")</f>
        <v>0.43945895522388057</v>
      </c>
      <c r="FD50" s="236">
        <f>Reinforcements[[#This Row],[Pole Face to Centroid (in)]]</f>
        <v>0.95</v>
      </c>
      <c r="FE50" s="236">
        <f>IF(Reinforcements[[#This Row],[Type]]="channel",Reinforcements[[#This Row],[x(bar)]]+Reinforcements[[#This Row],['[Channel'] e0 (in)]],"N/A")</f>
        <v>1.3894589552238805</v>
      </c>
      <c r="FF50" s="236">
        <f>IF(Reinforcements[[#This Row],[Type]]="channel",Reinforcements[[#This Row],[Ix]],"N/A")</f>
        <v>6.48</v>
      </c>
      <c r="FG50" s="236">
        <f>IF(Reinforcements[[#This Row],[Type]]="channel",Reinforcements[[#This Row],[Iy]],"N/A")</f>
        <v>82.29</v>
      </c>
      <c r="FH50" s="236">
        <f>IF(Reinforcements[[#This Row],[Type]]="channel",Reinforcements[[#This Row],[Gross Area (in2)]],"N/A")</f>
        <v>10.32</v>
      </c>
      <c r="FI50" s="236">
        <f>IF(Reinforcements[[#This Row],[Type]]="channel",(Reinforcements[[#This Row],[xo]]^2)+((Reinforcements[[#This Row],[Ix (FTB)]]+Reinforcements[[#This Row],[Iy (FTB)]])/Reinforcements[[#This Row],[Ag]]),"N/A")</f>
        <v>10.53234037429835</v>
      </c>
      <c r="FJ50" s="236">
        <f>IF(Reinforcements[[#This Row],[Type]]="channel",Reinforcements[[#This Row],[Lu (in)]],"N/A")</f>
        <v>24</v>
      </c>
      <c r="FK50" s="236">
        <f>IF(Reinforcements[[#This Row],[Type]]="channel",Reinforcements[[#This Row],[Effective Length Factor Kx]],"N/A")</f>
        <v>0.8</v>
      </c>
      <c r="FL50" s="236">
        <f>IF(Reinforcements[[#This Row],[Type]]="channel",Reinforcements[[#This Row],[Kz]]*Reinforcements[[#This Row],[Lz]],"N/A")</f>
        <v>19.200000000000003</v>
      </c>
      <c r="FM50" s="236">
        <f>IF(Reinforcements[[#This Row],[Type]]="channel",(((Reinforcements[[#This Row],[t]]^3)/3)*(Reinforcements[[#This Row],[h]]+(2*Reinforcements[[#This Row],[b]]))),"N/A")</f>
        <v>1.72078592</v>
      </c>
      <c r="FN50" s="236">
        <f>IF(Reinforcements[[#This Row],[Type]]="channel",(1-(((Reinforcements[[#This Row],[xo]]^2)+(Reinforcements[[#This Row],[yo]]^2))/Reinforcements[[#This Row],[ro^2(bar)]])),"N/A")</f>
        <v>0.81669827221279379</v>
      </c>
      <c r="FO50" s="237">
        <v>11200</v>
      </c>
      <c r="FP50" s="236">
        <f>IF(Reinforcements[[#This Row],[Type]]="channel",(((Reinforcements[[#This Row],[h]]^2)*(Reinforcements[[#This Row],[b]]^3)*Reinforcements[[#This Row],[t]])/12)*(((2*Reinforcements[[#This Row],[h]])+(3*Reinforcements[[#This Row],[b]]))/(Reinforcements[[#This Row],[h]]+(6*Reinforcements[[#This Row],[b]]))),"N/A")</f>
        <v>42.300773356919613</v>
      </c>
      <c r="FQ50" s="236">
        <f>IF(Reinforcements[[#This Row],[Type]]="Channel",((((PI()^2)*Reinforcements[[#This Row],[E, (ksi)]]*Reinforcements[[#This Row],['[Channel'] CW (in6)]])/(Reinforcements[[#This Row],[Lcz]]^2))+(Reinforcements[[#This Row],[G]]*Reinforcements[[#This Row],['[Channel'] J (in4)]]))*(1/(Reinforcements[[#This Row],[Ag]]*Reinforcements[[#This Row],[ro^2(bar)]])),"N/A")</f>
        <v>479.47429801329082</v>
      </c>
      <c r="FR50" s="236">
        <f>IF(Reinforcements[[#This Row],[Type]]="channel",((PI()^2)*Reinforcements[[#This Row],[E, (ksi)]])/(Reinforcements[[#This Row],[Lcy/ry]]^2),"N/A")</f>
        <v>3962.2568500356074</v>
      </c>
      <c r="FS50" s="236">
        <f>IF(Reinforcements[[#This Row],[Type]]="channel",((Reinforcements[[#This Row],[Fey]]+Reinforcements[[#This Row],[Fez]])/(2*Reinforcements[[#This Row],[H2]]))*(1-SQRT(1-((4*Reinforcements[[#This Row],[Fey]]*Reinforcements[[#This Row],[Fez]]*Reinforcements[[#This Row],[H2]])/(Reinforcements[[#This Row],[Fey]]+Reinforcements[[#This Row],[Fez]])^2))),"N/A")</f>
        <v>467.98549669592273</v>
      </c>
      <c r="FT50" s="236">
        <f>IF(Reinforcements[[#This Row],[Type]]="channel",IF(Reinforcements[[#This Row],[Lcx/rx]]&gt;(4.71*SQRT(Reinforcements[[#This Row],[E, (ksi)]]/Reinforcements[[#This Row],[Fy, (ksi)]])),0.877*Reinforcements[[#This Row],[Fe (FTB)]],0.658^(Reinforcements[[#This Row],[Fy, (ksi)]]/Reinforcements[[#This Row],[Fe (FTB)]])*Reinforcements[[#This Row],[Fy, (ksi)]]),"N/A")</f>
        <v>61.329040558735421</v>
      </c>
      <c r="FU50" s="236">
        <f>IF(Reinforcements[[#This Row],[Type]]="channel",MIN(Reinforcements[[#This Row],[Fcr(FTB)]],Reinforcements[[#This Row],[Fcry (ksi)]]),"N/A")</f>
        <v>61.329040558735421</v>
      </c>
      <c r="FV50" s="237">
        <v>0.22</v>
      </c>
      <c r="FW50" s="237">
        <v>1.49</v>
      </c>
      <c r="FX50" s="236">
        <f>IF(Reinforcements[[#This Row],[Type]]="channel",((Reinforcements[[#This Row],[c2]]*(Reinforcements[[#This Row],[λrf]]/Reinforcements[[#This Row],[λf]]))^2)*Reinforcements[[#This Row],[Fy, (ksi)]],"N/A")</f>
        <v>2627.0798516000018</v>
      </c>
      <c r="FY50" s="236">
        <f>IF(Reinforcements[[#This Row],[Type]]="channel",((Reinforcements[[#This Row],[c2]]*(Reinforcements[[#This Row],[λrw]]/Reinforcements[[#This Row],[λw]]))^2)*Reinforcements[[#This Row],[Fy, (ksi)]],"N/A")</f>
        <v>1724.08259349427</v>
      </c>
      <c r="FZ50"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2.42</v>
      </c>
      <c r="GA50"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6.92</v>
      </c>
      <c r="GB50"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10.32</v>
      </c>
      <c r="GC50" s="236">
        <f>IF(Reinforcements[[#This Row],[Type]]="channel",Reinforcements[[#This Row],[Fcr]]*Reinforcements[[#This Row],[Ae]],"N/A")</f>
        <v>632.91569856614956</v>
      </c>
      <c r="GD50" s="466">
        <f>IF(Reinforcements[[#This Row],[Reinforcement]]="","",φ_c*Reinforcements[[#This Row],[Pnx, FB (kip)]])</f>
        <v>570.95240587064688</v>
      </c>
      <c r="GE50" s="466">
        <f>IF(Reinforcements[[#This Row],[Reinforcement]]="","",IF(Reinforcements[[#This Row],[Type]]="channel",φ_c*Reinforcements[[#This Row],[Pn]],φ_c*Reinforcements[[#This Row],[Pny, FB (kip)]]))</f>
        <v>569.6241287095346</v>
      </c>
      <c r="GF50" s="466">
        <f>Reinforcements[[#This Row],[Rev. G Tension Yield Capacity (kips)]]</f>
        <v>603.72</v>
      </c>
      <c r="GG50" s="466">
        <f>Reinforcements[[#This Row],[Rev. G Tension Rupture Capacity (kips)]]</f>
        <v>547.54150000000004</v>
      </c>
      <c r="GH50" s="466">
        <f>Reinforcements[[#This Row],[Rev. G Shear Capacity (kips)]]</f>
        <v>301.86</v>
      </c>
      <c r="GI50" s="466">
        <f>IFERROR((Reinforcements[[#This Row],['# of End Connection Bolts          (Bottom)]]-1)*Reinforcements[[#This Row],[End Connection Bolt Spacing (in) (B)]],"-")</f>
        <v>45</v>
      </c>
      <c r="GJ50" s="466">
        <f>IFERROR(IF(VLOOKUP(Reinforcements[[#This Row],[Bottom End Connection Bolt Type]],Bolts[],COLUMN(Bolts[[#Headers],[Rev. H Apply Connection Length Reduction Factor (Rb)?]])-1,FALSE)="Yes",(IF(Reinforcements[[#This Row],[Lb(bottom)]]&lt;=16,1,IF(Reinforcements[[#This Row],[Lb(bottom)]]&gt;38,0.75,0.9))),1),"-")</f>
        <v>1</v>
      </c>
      <c r="GK50"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742.39425553308695</v>
      </c>
      <c r="GL50" s="466">
        <f>IFERROR(IF(Reinforcements[[#This Row],[Top End Connection Same?]]="Yes",Reinforcements[[#This Row],[Lb(bottom)]],(Reinforcements[[#This Row],['# of End Connection Bolts          (Top)]]-1)*Reinforcements[[#This Row],[End Connection Bolt Spacing (in) (T)]]),"-")</f>
        <v>45</v>
      </c>
      <c r="GM50" s="466">
        <f>IFERROR(IF(VLOOKUP(Reinforcements[[#This Row],[Top End Connection Bolt Type]],Bolts[],COLUMN(Bolts[[#Headers],[Rev. H Apply Connection Length Reduction Factor (Rb)?]])-1,FALSE)="Yes",(IF(Reinforcements[[#This Row],[Lb(top)]]&lt;=16,1,IF(Reinforcements[[#This Row],[Lb(top)]]&gt;38,0.75,0.9))),1),"-")</f>
        <v>1</v>
      </c>
      <c r="GN50"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742.39425553308695</v>
      </c>
      <c r="GO50" s="466">
        <f>Reinforcements[[#This Row],[Rev. G Bolt-Shaft Bearing Capacity (Bottom)                No Deformation          (*t*Fu kips)]]</f>
        <v>30.602362204724411</v>
      </c>
      <c r="GP50" s="466">
        <f>Reinforcements[[#This Row],[Rev. G Bolt-Shaft Bearing Capacity (Bottom)                   Deformation          (*t*Fu kips)]]</f>
        <v>38.252952755905511</v>
      </c>
      <c r="GQ50" s="466">
        <f>Reinforcements[[#This Row],[Rev. G Bolt-Shaft Bearing Capacity (Top)                    No Deformation          (*t*Fu kips)]]</f>
        <v>30.602362204724411</v>
      </c>
      <c r="GR50" s="466">
        <f>Reinforcements[[#This Row],[Rev. G Bolt-Shaft Bearing Capacity (Top)                        Deformation          (*t*Fu kips)]]</f>
        <v>38.252952755905511</v>
      </c>
      <c r="GS50" s="466">
        <f>Reinforcements[[#This Row],[Rev. G Bolt-Reinf. Bearing Capacity (Bottom)            No Deformation (kips)]]</f>
        <v>1822.434519685039</v>
      </c>
      <c r="GT50" s="466">
        <f>Reinforcements[[#This Row],[Rev. G Bolt-Reinf. Bearing Capacity (Bottom)               Deformation (kips)]]</f>
        <v>2278.0431496062993</v>
      </c>
      <c r="GU50" s="466">
        <f>Reinforcements[[#This Row],[Rev. G Bolt-Reinf. Bearing Capacity (Top)                  No Deformation (kips)]]</f>
        <v>1822.434519685039</v>
      </c>
      <c r="GV50" s="466">
        <f>Reinforcements[[#This Row],[Rev. G Bolt-Reinf. Bearing Capacity (Top)               Deformation (kips)]]</f>
        <v>2278.0431496062993</v>
      </c>
      <c r="GW50" s="466" t="str">
        <f>Reinforcements[[#This Row],[Rev. G Bottom Transverse Weld Strength]]</f>
        <v>-</v>
      </c>
      <c r="GX50" s="466" t="str">
        <f>Reinforcements[[#This Row],[Rev. G Bottom Longitudinal Weld Strength]]</f>
        <v>-</v>
      </c>
      <c r="GY50" s="466" t="str">
        <f>Reinforcements[[#This Row],[Rev. G Top Transverse Weld Strength]]</f>
        <v>-</v>
      </c>
      <c r="GZ50" s="466" t="str">
        <f>Reinforcements[[#This Row],[Rev. G Top Longitudinal Weld Strength]]</f>
        <v>-</v>
      </c>
      <c r="HA50" s="552">
        <v>48</v>
      </c>
      <c r="HB50"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1" spans="2:210" x14ac:dyDescent="0.2">
      <c r="B51" s="72" t="s">
        <v>245</v>
      </c>
      <c r="C51" s="72" t="s">
        <v>146</v>
      </c>
      <c r="D51" s="185">
        <v>4</v>
      </c>
      <c r="E51" s="185">
        <v>0.75</v>
      </c>
      <c r="F51" s="185" t="str">
        <f>IF(Reinforcements[[#This Row],[Type]]="","",IF(Reinforcements[[#This Row],[Type]]="solid round","","n/a"))</f>
        <v>n/a</v>
      </c>
      <c r="G51" s="185" t="str">
        <f>IF(Reinforcements[[#This Row],[Type]]="","",IF(Reinforcements[[#This Row],[Type]]&lt;&gt;"channel","n/a",""))</f>
        <v>n/a</v>
      </c>
      <c r="H51" s="185" t="str">
        <f>IF(Reinforcements[[#This Row],[Type]]="","",IF(Reinforcements[[#This Row],[Type]]&lt;&gt;"channel","n/a",""))</f>
        <v>n/a</v>
      </c>
      <c r="I51" s="197" t="str">
        <f>IF(Reinforcements[[#This Row],[Type]]="","",IF(Reinforcements[[#This Row],[Type]]&lt;&gt;"channel","n/a",Reinforcements[[#This Row],[eo]]))</f>
        <v>n/a</v>
      </c>
      <c r="J51" s="197" t="str">
        <f>IF(Reinforcements[[#This Row],[Type]]="","",IF(Reinforcements[[#This Row],[Type]]&lt;&gt;"channel","n/a",Reinforcements[[#This Row],[J]]))</f>
        <v>n/a</v>
      </c>
      <c r="K51" s="197" t="str">
        <f>IF(Reinforcements[[#This Row],[Type]]="","",IF(Reinforcements[[#This Row],[Type]]&lt;&gt;"channel","n/a",Reinforcements[[#This Row],[Cw]]))</f>
        <v>n/a</v>
      </c>
      <c r="L51" s="185">
        <f>IFERROR(IF(Reinforcements[[#This Row],[Type]]="","",IF(Reinforcements[[#This Row],[Type]]="plate",Reinforcements[[#This Row],[B (in)]]*Reinforcements[[#This Row],[H (in)]],IF(Reinforcements[[#This Row],[Type]]="solid round",PI()/4*Reinforcements[[#This Row],[Diameter (in)]]^2,""))),"")</f>
        <v>3</v>
      </c>
      <c r="M51" s="185">
        <f>IFERROR(IF(Reinforcements[[#This Row],[Type]]="","",IF(Reinforcements[[#This Row],[Type]]="plate",Reinforcements[[#This Row],[H (in)]]/2,"")),"")</f>
        <v>0.375</v>
      </c>
      <c r="N51" s="186" t="s">
        <v>297</v>
      </c>
      <c r="O51" s="185" t="s">
        <v>60</v>
      </c>
      <c r="P51" s="187">
        <f>IFERROR(IF(Reinforcements[[#This Row],[Type]]="","",IF(Reinforcements[[#This Row],[Type]]="plate",Reinforcements[[#This Row],[B (in)]]*Reinforcements[[#This Row],[H (in)]]^3/12,IF(Reinforcements[[#This Row],[Type]]="solid round",PI()/64*Reinforcements[[#This Row],[Diameter (in)]]^4,""))),"")</f>
        <v>0.140625</v>
      </c>
      <c r="Q51" s="187">
        <f>IF(Reinforcements[[#This Row],[Reinforcement]]="","",SQRT(Reinforcements[[#This Row],[Ix]]/Reinforcements[[#This Row],[Gross Area (in2)]]))</f>
        <v>0.21650635094610965</v>
      </c>
      <c r="R51" s="187">
        <f>IFERROR(IF(Reinforcements[[#This Row],[Type]]="","",IF(Reinforcements[[#This Row],[Type]]="plate",Reinforcements[[#This Row],[B (in)]]^3*Reinforcements[[#This Row],[H (in)]]/12,IF(Reinforcements[[#This Row],[Type]]="solid round",PI()/64*Reinforcements[[#This Row],[Diameter (in)]]^4,""))),"")</f>
        <v>4</v>
      </c>
      <c r="S51" s="187">
        <f>IF(Reinforcements[[#This Row],[Reinforcement]]="","",SQRT(Reinforcements[[#This Row],[Iy]]/Reinforcements[[#This Row],[Gross Area (in2)]]))</f>
        <v>1.1547005383792515</v>
      </c>
      <c r="T51" s="190">
        <v>16.875</v>
      </c>
      <c r="U51" s="188">
        <v>0.8</v>
      </c>
      <c r="V51" s="188">
        <v>1</v>
      </c>
      <c r="W51" s="185">
        <v>1.1875</v>
      </c>
      <c r="X51" s="188">
        <f>IF(Reinforcements[[#This Row],[Bolt Hole Size (in)]]="","",IF(Reinforcements[[#This Row],[Bolt Hole Size (in)]]="n/a","n/a",Reinforcements[[#This Row],[Bolt Hole Size (in)]]*25.4))</f>
        <v>30.162499999999998</v>
      </c>
      <c r="Y51"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51" s="185">
        <f>IFERROR(IF(Reinforcements[[#This Row],[Reinforcement]]="","",IF(OR(Reinforcements[[#This Row],[Type]]="plate",Reinforcements[[#This Row],[Type]]="solid round"),1,IF(Reinforcements[[#This Row],[Type]]="arbitrary","",1-Reinforcements[[#This Row],[Pole Face to Centroid (in)]]/Reinforcements[[#This Row],[Connection Length (in) '[Channels']]]))),"")</f>
        <v>1</v>
      </c>
      <c r="AA51" s="200" t="s">
        <v>391</v>
      </c>
      <c r="AB51" s="200" t="str">
        <f>IF(Reinforcements[[#This Row],[Reinforcement]]="","",IF(Reinforcements[[#This Row],[Bottom End Connection Type]]&lt;&gt;"Capacity Input","-",""))</f>
        <v>-</v>
      </c>
      <c r="AC51" s="200" t="str">
        <f>IF(Reinforcements[[#This Row],[Reinforcement]]="","",IF(Reinforcements[[#This Row],[Bottom End Connection Type]]&lt;&gt;"Capacity Input","-",""))</f>
        <v>-</v>
      </c>
      <c r="AD51" s="461" t="str">
        <f>IF(Reinforcements[[#This Row],[Reinforcement]]="","",IF(Reinforcements[[#This Row],[Bottom End Connection Type]]&lt;&gt;"Capacity Input","-",""))</f>
        <v>-</v>
      </c>
      <c r="AE51" s="103" t="s">
        <v>416</v>
      </c>
      <c r="AF51" s="190" t="s">
        <v>296</v>
      </c>
      <c r="AG51" s="190">
        <v>4</v>
      </c>
      <c r="AH51" s="190">
        <v>3</v>
      </c>
      <c r="AI51" s="190">
        <v>3</v>
      </c>
      <c r="AJ51" s="190">
        <f>Reinforcements[[#This Row],[End Connection Edge Distance (in) (B)]]-(Reinforcements[[#This Row],[Bolt Hole Size (in)]]+1/16)/2</f>
        <v>2.375</v>
      </c>
      <c r="AK51" s="190">
        <f>Reinforcements[[#This Row],[End Connection Bolt Spacing (in) (B)]]-(Reinforcements[[#This Row],[Bolt Hole Size (in)]]+1/16)</f>
        <v>1.75</v>
      </c>
      <c r="AL51" s="190">
        <f>Reinforcements[[#This Row],[End Connection Edge Distance (in) (B)]]</f>
        <v>3</v>
      </c>
      <c r="AM51" s="190">
        <f>Reinforcements[[#This Row],[End Connection Bolt Spacing (in) (B)]]</f>
        <v>3</v>
      </c>
      <c r="AN51" s="190" t="str">
        <f>IF(Reinforcements[[#This Row],[Reinforcement]]="","",IF(OR(Reinforcements[[#This Row],[Bottom End Connection Type]]="Bolted",Reinforcements[[#This Row],[Bottom End Connection Type]]=""),"-",""))</f>
        <v>-</v>
      </c>
      <c r="AO51" s="191" t="str">
        <f>IF(Reinforcements[[#This Row],[Reinforcement]]="","",IF(OR(Reinforcements[[#This Row],[Bottom End Connection Type]]="Bolted",Reinforcements[[#This Row],[Bottom End Connection Type]]=""),"-",""))</f>
        <v>-</v>
      </c>
      <c r="AP51" s="191" t="str">
        <f>IF(Reinforcements[[#This Row],[Reinforcement]]="","",IF(OR(Reinforcements[[#This Row],[Bottom End Connection Type]]="Bolted",Reinforcements[[#This Row],[Bottom End Connection Type]]=""),"-",""))</f>
        <v>-</v>
      </c>
      <c r="AQ51" s="191" t="str">
        <f>IF(OR(Reinforcements[[#This Row],[Bottom End Connection Type]]="Bolted",Reinforcements[[#This Row],[Bottom Transverse (Horizontal) Weld]]="none"),"-","")</f>
        <v>-</v>
      </c>
      <c r="AR5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1" s="191" t="str">
        <f>IF(OR(Reinforcements[[#This Row],[Bottom Transverse (Horizontal) Weld]]="none",Reinforcements[[#This Row],[Bottom End Connection Type]]="Bolted"),"-","")</f>
        <v>-</v>
      </c>
      <c r="AU51"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1" s="191" t="str">
        <f>IF(Reinforcements[[#This Row],[Reinforcement]]="","",IF(OR(Reinforcements[[#This Row],[Bottom End Connection Type]]="Bolted",Reinforcements[[#This Row],[Bottom End Connection Type]]=""),"-",""))</f>
        <v>-</v>
      </c>
      <c r="AW51" s="191" t="str">
        <f>IF(Reinforcements[[#This Row],[Reinforcement]]="","",IF(OR(Reinforcements[[#This Row],[Bottom End Connection Type]]&lt;&gt;"Welded",Reinforcements[[#This Row],[Bottom Longitudinal (Vertical) Weld]]="None",Reinforcements[[#This Row],[Bottom Longitudinal (Vertical) Weld]]=""),"-",""))</f>
        <v>-</v>
      </c>
      <c r="AX51" s="191" t="str">
        <f>IF(Reinforcements[[#This Row],[Reinforcement]]="","",IF(OR(Reinforcements[[#This Row],[Bottom End Connection Type]]&lt;&gt;"Welded",Reinforcements[[#This Row],[Bottom Longitudinal (Vertical) Weld]]="None",Reinforcements[[#This Row],[Bottom Longitudinal (Vertical) Weld]]=""),"-",""))</f>
        <v>-</v>
      </c>
      <c r="AY51" s="190" t="str">
        <f>IF(Reinforcements[[#This Row],[Reinforcement]]="","",IF(OR(Reinforcements[[#This Row],[Bottom End Connection Type]]&lt;&gt;"Welded",Reinforcements[[#This Row],[Bottom Longitudinal (Vertical) Weld]]="None"),"-",SQRT(2)/2*Reinforcements[[#This Row],[Bottom Longitudinal Weld Fillet Size (in)]]))</f>
        <v>-</v>
      </c>
      <c r="AZ51" s="191" t="s">
        <v>295</v>
      </c>
      <c r="BA51" s="189" t="str">
        <f>IF(Reinforcements[[#This Row],[Top End Connection Same?]]="Yes",Reinforcements[[#This Row],[Bottom End Connection Type]],"")</f>
        <v>Bolted</v>
      </c>
      <c r="BB51" s="189" t="str">
        <f>IF(Reinforcements[[#This Row],[Reinforcement]]="","",IF(Reinforcements[[#This Row],[Top End Connection Same?]]="Yes",Reinforcements[[#This Row],[Rev. F Bottom Connection Capacity (kips)]],IF(Reinforcements[[#This Row],[Reinforcement]]="","",IF(Reinforcements[[#This Row],[Top End Connection Type]]&lt;&gt;"Capacity Input","-",""))))</f>
        <v>-</v>
      </c>
      <c r="BC51" s="189" t="str">
        <f>IF(Reinforcements[[#This Row],[Reinforcement]]="","",IF(Reinforcements[[#This Row],[Top End Connection Same?]]="Yes",Reinforcements[[#This Row],[Rev. G Bottom Connection Capacity (kips)]],IF(Reinforcements[[#This Row],[Reinforcement]]="","",IF(Reinforcements[[#This Row],[Top End Connection Type]]&lt;&gt;"Capacity Input","-",""))))</f>
        <v>-</v>
      </c>
      <c r="BD51" s="461" t="str">
        <f>IF(Reinforcements[[#This Row],[Reinforcement]]="","",IF(Reinforcements[[#This Row],[Top End Connection Same?]]="Yes",Reinforcements[[#This Row],[Rev. G Bottom Connection Capacity (kips)]],IF(Reinforcements[[#This Row],[Reinforcement]]="","",IF(Reinforcements[[#This Row],[Top End Connection Type]]&lt;&gt;"Capacity Input","-",""))))</f>
        <v>-</v>
      </c>
      <c r="BE51" s="103" t="str">
        <f>IF(Reinforcements[[#This Row],[Top End Connection Same?]]="Yes",Reinforcements[[#This Row],[Bottom End Connection Bolt Type]],IF(Reinforcements[[#This Row],[Top End Connection Type]]="Welded","-",""))</f>
        <v>PC 8.8 - M20 (100)</v>
      </c>
      <c r="BF51" s="190" t="str">
        <f>IF(Reinforcements[[#This Row],[Top End Connection Same?]]="Yes",Reinforcements[[#This Row],[Threads Included (N) or Excluded (X) (Bottom)]],IF(Reinforcements[[#This Row],[Top End Connection Type]]="Welded","-",""))</f>
        <v>N</v>
      </c>
      <c r="BG51" s="190">
        <f>IF(Reinforcements[[#This Row],[Top End Connection Same?]]="Yes",Reinforcements[[#This Row],['# of End Connection Bolts          (Bottom)]],IF(Reinforcements[[#This Row],[Top End Connection Type]]="Welded","-",""))</f>
        <v>4</v>
      </c>
      <c r="BH51" s="190">
        <f>IF(Reinforcements[[#This Row],[Top End Connection Same?]]="Yes",Reinforcements[[#This Row],[End Connection Bolt Spacing (in) (B)]],IF(Reinforcements[[#This Row],[Top End Connection Type]]="Welded","-",""))</f>
        <v>3</v>
      </c>
      <c r="BI51" s="190">
        <f>IF(Reinforcements[[#This Row],[Top End Connection Same?]]="Yes",Reinforcements[[#This Row],[End Connection Edge Distance (in) (B)]],IF(Reinforcements[[#This Row],[Top End Connection Type]]="Welded","-",""))</f>
        <v>3</v>
      </c>
      <c r="BJ51" s="190">
        <f>Reinforcements[[#This Row],[End Connection Edge Distance (in) (T)]]-(Reinforcements[[#This Row],[Bolt Hole Size (in)]]+1/16)/2</f>
        <v>2.375</v>
      </c>
      <c r="BK51" s="190">
        <f>Reinforcements[[#This Row],[End Connection Bolt Spacing (in) (T)]]-(Reinforcements[[#This Row],[Bolt Hole Size (in)]]+1/16)</f>
        <v>1.75</v>
      </c>
      <c r="BL51" s="190">
        <f>Reinforcements[[#This Row],[End Connection Edge Distance (in) (T)]]</f>
        <v>3</v>
      </c>
      <c r="BM51" s="190">
        <f>Reinforcements[[#This Row],[End Connection Bolt Spacing (in) (T)]]</f>
        <v>3</v>
      </c>
      <c r="BN51" s="190" t="str">
        <f>IF(Reinforcements[[#This Row],[Reinforcement]]="","",IF(Reinforcements[[#This Row],[Top End Connection Same?]]="Yes",Reinforcements[[#This Row],[Bottom Connected to Flange/Base Plate?]],IF(Reinforcements[[#This Row],[Top End Connection Type]]="Bolted","-","")))</f>
        <v>-</v>
      </c>
      <c r="BO51" s="190" t="str">
        <f>IF(Reinforcements[[#This Row],[Reinforcement]]="","",IF(Reinforcements[[#This Row],[Top End Connection Same?]]="Yes",Reinforcements[[#This Row],[Bottom Weld Grade (ksi)]],IF(OR(Reinforcements[[#This Row],[Top End Connection Type]]&lt;&gt;"Welded",Reinforcements[[#This Row],[Top End Connection Type]]=""),"-","")))</f>
        <v>-</v>
      </c>
      <c r="BP51" s="190" t="str">
        <f>IF($AZ51="Yes",AP51,IF(Reinforcements[[#This Row],[Reinforcement]]="","",IF(OR(Reinforcements[[#This Row],[Top End Connection Type]]&lt;&gt;"Welded",Reinforcements[[#This Row],[Top End Connection Type]]=""),"-","")))</f>
        <v>-</v>
      </c>
      <c r="BQ51" s="190" t="str">
        <f>IF(Reinforcements[[#This Row],[Reinforcement]]="","",IF($AZ51="Yes",AQ51,IF(OR(Reinforcements[[#This Row],[Top End Connection Type]]&lt;&gt;"Welded",Reinforcements[[#This Row],[Top Transverse (Horizontal) Weld]]="none",Reinforcements[[#This Row],[Top Transverse (Horizontal) Weld]]=""),"-","")))</f>
        <v>-</v>
      </c>
      <c r="BR51" s="190" t="str">
        <f>IF($AZ51="Yes",AR51,IF(Reinforcements[[#This Row],[Reinforcement]]="","",IF(OR(Reinforcements[[#This Row],[Top Transverse (Horizontal) Weld]]="none",Reinforcements[[#This Row],[Top End Connection Type]]&lt;&gt;"Welded",Reinforcements[[#This Row],[Top Transverse (Horizontal) Weld]]="",Reinforcements[[#This Row],[Top Transverse (Horizontal) Weld]]="Fillet"),"-","")))</f>
        <v>-</v>
      </c>
      <c r="BS51" s="190" t="str">
        <f>IF($AZ51="Yes",AS51,IF(Reinforcements[[#This Row],[Reinforcement]]="","",IF(OR(Reinforcements[[#This Row],[Top Transverse (Horizontal) Weld]]="none",Reinforcements[[#This Row],[Top End Connection Type]]&lt;&gt;"Welded",Reinforcements[[#This Row],[Top Transverse (Horizontal) Weld]]="",Reinforcements[[#This Row],[Top Transverse (Horizontal) Weld]]="Fillet"),"-","")))</f>
        <v>-</v>
      </c>
      <c r="BT51" s="190" t="str">
        <f>IF(Reinforcements[[#This Row],[Reinforcement]]="","",IF($AZ51="Yes",AT51,IF(OR(Reinforcements[[#This Row],[Top Transverse (Horizontal) Weld]]="none",Reinforcements[[#This Row],[Top End Connection Type]]&lt;&gt;"Welded",Reinforcements[[#This Row],[Top Transverse (Horizontal) Weld]]=""),"-","")))</f>
        <v>-</v>
      </c>
      <c r="BU51" s="190" t="str">
        <f>IF($AZ51="Yes",AU51,IF(Reinforcements[[#This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1" s="190" t="str">
        <f>IF($AZ51="Yes",AV51,IF(Reinforcements[[#This Row],[Reinforcement]]="","",IF(OR(Reinforcements[[#This Row],[Top End Connection Type]]&lt;&gt;"Welded",Reinforcements[[#This Row],[Top End Connection Type]]=""),"-","")))</f>
        <v>-</v>
      </c>
      <c r="BW51" s="190" t="str">
        <f>IF($AZ51="Yes",AW51,IF(Reinforcements[[#This Row],[Reinforcement]]="","",IF(OR(Reinforcements[[#This Row],[Top End Connection Type]]&lt;&gt;"Welded",Reinforcements[[#This Row],[Top End Connection Type]]="",Reinforcements[[#This Row],[Top Longitudinal (Vertical) Weld]]="",Reinforcements[[#This Row],[Top Longitudinal (Vertical) Weld]]="None"),"-","")))</f>
        <v>-</v>
      </c>
      <c r="BX51" s="190" t="str">
        <f>IF($AZ51="Yes",AX51,IF(Reinforcements[[#This Row],[Reinforcement]]="","",IF(OR(Reinforcements[[#This Row],[Top End Connection Type]]&lt;&gt;"Welded",Reinforcements[[#This Row],[Top End Connection Type]]="",Reinforcements[[#This Row],[Top Longitudinal (Vertical) Weld]]="",Reinforcements[[#This Row],[Top Longitudinal (Vertical) Weld]]="None"),"-","")))</f>
        <v>-</v>
      </c>
      <c r="BY51" s="190" t="str">
        <f>IF($AZ51="Yes",AY51,IF(Reinforcements[[#This Row],[Reinforcement]]="","",IF(OR(Reinforcements[[#This Row],[Top End Connection Type]]&lt;&gt;"Welded",Reinforcements[[#This Row],[Top Longitudinal (Vertical) Weld]]="none"),"-",SQRT(2)/2*Reinforcements[[#This Row],[Top Longitudinal Weld Fillet Size (in)]])))</f>
        <v>-</v>
      </c>
      <c r="BZ51"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1" s="192">
        <f>IF(Reinforcements[[#This Row],[Reinforcement]]="","",IF(Reinforcements[[#This Row],[Bottom End Connection Type]]&lt;&gt;"Bolted","n/a",(Reinforcements[[#This Row],['# of End Connection Bolts          (Bottom)]]-1)*Reinforcements[[#This Row],[End Connection Bolt Spacing (in) (B)]]+Reinforcements[[#This Row],[End Connection Edge Distance (in) (B)]]))</f>
        <v>12</v>
      </c>
      <c r="CB51" s="192">
        <f>IF(Reinforcements[[#This Row],[Reinforcement]]="","",IF(Reinforcements[[#This Row],[Top End Connection Type]]&lt;&gt;"Bolted","n/a",(Reinforcements[[#This Row],['# of End Connection Bolts          (Top)]]-1)*Reinforcements[[#This Row],[End Connection Bolt Spacing (in) (T)]]+Reinforcements[[#This Row],[End Connection Edge Distance (in) (T)]]))</f>
        <v>12</v>
      </c>
      <c r="CC51"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51"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51" s="185">
        <f>IFERROR(IF(Reinforcements[[#This Row],[Type]]="","",Reinforcements[[#This Row],[Effective B (in)]]*Reinforcements[[#This Row],[Effective H (in)]]^3/12),"")</f>
        <v>0.140625</v>
      </c>
      <c r="CF51" s="185">
        <f>IFERROR(IF(Reinforcements[[#This Row],[Type]]="","",Reinforcements[[#This Row],[Effective B (in)]]^3*Reinforcements[[#This Row],[Effective H (in)]]/12),"")</f>
        <v>4</v>
      </c>
      <c r="CG51" s="197">
        <f>SQRT(2*PI()^2*29000/VLOOKUP(Reinforcements[[#This Row],[Material]],Materials[],2,FALSE))</f>
        <v>93.844147005158973</v>
      </c>
      <c r="CH51"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26.954463395700508</v>
      </c>
      <c r="CI51"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37.233043651467405</v>
      </c>
      <c r="CJ51" s="239">
        <f>Reinforcements[[#This Row],[Effective Length Factor Kx]]*Reinforcements[[#This Row],[Lu (in)]]/(Reinforcements[[#This Row],[rx]]*PI())*SQRT(VLOOKUP(Reinforcements[[#This Row],[Material]],Materials[],2,FALSE)/29000)</f>
        <v>0.93966042160675967</v>
      </c>
      <c r="CK51" s="239">
        <f>Reinforcements[[#This Row],[Effective Length Factor Ky]]*Reinforcements[[#This Row],[Lu (in)]]/(Reinforcements[[#This Row],[ry]]*PI())*SQRT(VLOOKUP(Reinforcements[[#This Row],[Material]],Materials[],2,FALSE)/29000)</f>
        <v>0.22023291131408426</v>
      </c>
      <c r="CL51" s="239">
        <f>IF(Reinforcements[[#This Row],[λcx]]&lt;=1.5,0.658^(Reinforcements[[#This Row],[λcx]]^2)*Reinforcements[[#This Row],[F''y]],0.877/(Reinforcements[[#This Row],[λcx]]^2)*Reinforcements[[#This Row],[F''y]])</f>
        <v>44.917314322557246</v>
      </c>
      <c r="CM51" s="239">
        <f>IF(Reinforcements[[#This Row],[λcy]]&lt;=1.5,0.658^(Reinforcements[[#This Row],[λcy]]^2)*Reinforcements[[#This Row],[F''y]],0.877/(Reinforcements[[#This Row],[λcy]]^2)*Reinforcements[[#This Row],[F''y]])</f>
        <v>63.69375479739702</v>
      </c>
      <c r="CN51" s="236">
        <f>VLOOKUP(Reinforcements[[#This Row],[Material]],Materials[],2,FALSE)</f>
        <v>65</v>
      </c>
      <c r="CO51" s="235">
        <f>IF(Reinforcements[[#This Row],[Reinforcement]]="","",Reinforcements[[#This Row],[Fax]]*Reinforcements[[#This Row],[Gross Area (in2)]])</f>
        <v>80.863390187101515</v>
      </c>
      <c r="CP51" s="197">
        <f>IF(Reinforcements[[#This Row],[Reinforcement]]="","",Reinforcements[[#This Row],[Fay]]*Reinforcements[[#This Row],[Gross Area (in2)]])</f>
        <v>111.69913095440222</v>
      </c>
      <c r="CQ51" s="197">
        <f>IF(Reinforcements[[#This Row],[Reinforcement]]="","",0.6*VLOOKUP(Reinforcements[[#This Row],[Material]],Materials[],2,FALSE)*Reinforcements[[#This Row],[Gross Area (in2)]])</f>
        <v>117</v>
      </c>
      <c r="CR51" s="197">
        <f>IF(Reinforcements[[#This Row],[Reinforcement]]="","",0.5*VLOOKUP(Reinforcements[[#This Row],[Material]],Materials[],3,FALSE)*Reinforcements[[#This Row],[Net Area (in2)]]*Reinforcements[[#This Row],[Shear Lag (U)]])</f>
        <v>82.5</v>
      </c>
      <c r="CS51" s="197">
        <f>IF(Reinforcements[[#This Row],[Reinforcement]]="","",0.4*VLOOKUP(Reinforcements[[#This Row],[Material]],Materials[],2,FALSE)*Reinforcements[[#This Row],[Gross Area (in2)]])</f>
        <v>78</v>
      </c>
      <c r="CT51"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93.14252671531986</v>
      </c>
      <c r="CU51"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93.14252671531986</v>
      </c>
      <c r="CV51"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5.4803149606299213</v>
      </c>
      <c r="CW51"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6.21259842519685</v>
      </c>
      <c r="CX51"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5.4803149606299213</v>
      </c>
      <c r="CY51"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6.21259842519685</v>
      </c>
      <c r="CZ51"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328.81889763779532</v>
      </c>
      <c r="DA51"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372.75590551181102</v>
      </c>
      <c r="DB51"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328.81889763779532</v>
      </c>
      <c r="DC51"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372.75590551181102</v>
      </c>
      <c r="DD51"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1"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1" s="190" t="str">
        <f>IF($AZ51="Yes",DD51,IF(Reinforcements[[#This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1" s="190" t="str">
        <f>IF($AZ51="Yes",DE51,IF(Reinforcements[[#This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1" s="235">
        <f>IF(Reinforcements[[#This Row],[Reinforcement]]="","",φ_c*Reinforcements[[#This Row],[Fcr,x]]*Reinforcements[[#This Row],[Gross Area (in2)]])</f>
        <v>121.27674867090457</v>
      </c>
      <c r="DI51" s="235">
        <f>IF(Reinforcements[[#This Row],[Reinforcement]]="","",φ_c*Reinforcements[[#This Row],[Fcr,y]]*Reinforcements[[#This Row],[Gross Area (in2)]])</f>
        <v>171.97313795297197</v>
      </c>
      <c r="DJ51" s="197">
        <f>IF(Reinforcements[[#This Row],[Reinforcement]]="","",φ_t_y*VLOOKUP(Reinforcements[[#This Row],[Material]],Materials[],2,FALSE)*Reinforcements[[#This Row],[Gross Area (in2)]])</f>
        <v>175.5</v>
      </c>
      <c r="DK51" s="197">
        <f>IF(Reinforcements[[#This Row],[Reinforcement]]="","",φ_t_r*VLOOKUP(Reinforcements[[#This Row],[Material]],Materials[],3,FALSE)*Reinforcements[[#This Row],[Net Area (in2)]]*Reinforcements[[#This Row],[Shear Lag (U)]])</f>
        <v>123.75</v>
      </c>
      <c r="DL51" s="197">
        <f>IF(Reinforcements[[#This Row],[Reinforcement]]="","",φ_v*0.5*Reinforcements[[#This Row],[F''y]]*Reinforcements[[#This Row],[Gross Area (in2)]])</f>
        <v>87.75</v>
      </c>
      <c r="DM51"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165.07974842400665</v>
      </c>
      <c r="DN51"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165.07974842400665</v>
      </c>
      <c r="DO51"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8.0541732283464569</v>
      </c>
      <c r="DP51"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10.067716535433071</v>
      </c>
      <c r="DQ51"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8.0541732283464569</v>
      </c>
      <c r="DR51"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10.067716535433071</v>
      </c>
      <c r="DS51"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483.25039370078741</v>
      </c>
      <c r="DT51"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604.06299212598424</v>
      </c>
      <c r="DU51"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483.25039370078741</v>
      </c>
      <c r="DV51"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604.06299212598424</v>
      </c>
      <c r="DW51"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1"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1" s="190" t="str">
        <f>IF($AZ51="Yes",DW51,IF(Reinforcements[[#This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1" s="190" t="str">
        <f>IF($AZ51="Yes",DX51,IF(Reinforcements[[#This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1" s="238" t="str">
        <f>IF(OR(Reinforcements[[#This Row],[Type]]="plate",Reinforcements[[#This Row],[Type]]="solid round"),"N/A",Reinforcements[[#This Row],[B (in)]])</f>
        <v>N/A</v>
      </c>
      <c r="EB51" s="236" t="str">
        <f>IF(OR(Reinforcements[[#This Row],[Type]]="plate",Reinforcements[[#This Row],[Type]]="solid round"),"N/A",Reinforcements[[#This Row],[H (in)]])</f>
        <v>N/A</v>
      </c>
      <c r="EC51" s="236" t="str">
        <f>IF(OR(Reinforcements[[#This Row],[Type]]="plate",Reinforcements[[#This Row],[Type]]="solid round"),"N/A",Reinforcements[[#This Row],[B (in)]]-Reinforcements[[#This Row],['[Channel'] Flange Thickness (in)]])</f>
        <v>N/A</v>
      </c>
      <c r="ED51" s="236" t="str">
        <f>IF(OR(Reinforcements[[#This Row],[Type]]="plate",Reinforcements[[#This Row],[Type]]="solid round"),"N/A",Reinforcements[[#This Row],['[Channel']Web Thickness (in)]])</f>
        <v>N/A</v>
      </c>
      <c r="EE51" s="236" t="str">
        <f>IF(OR(Reinforcements[[#This Row],[Type]]="plate",Reinforcements[[#This Row],[Type]]="solid round"),"N/A",Reinforcements[[#This Row],['[Channel'] Flange Thickness (in)]])</f>
        <v>N/A</v>
      </c>
      <c r="EF51" s="236" t="str">
        <f>IF(Reinforcements[[#This Row],[Type]]="channel",Reinforcements[[#This Row],[Channel Flange Width, b]]/Reinforcements[[#This Row],[Channel flange thickness, tf]],"N/A")</f>
        <v>N/A</v>
      </c>
      <c r="EG51" s="236" t="str">
        <f>IF(Reinforcements[[#This Row],[Type]]="channel",Reinforcements[[#This Row],[Channel inside depth, T]]/Reinforcements[[#This Row],[Channel web thickness, tw]],"N/A")</f>
        <v>N/A</v>
      </c>
      <c r="EH51" s="237">
        <v>29000</v>
      </c>
      <c r="EI51" s="236" t="str">
        <f>IF(Reinforcements[[#This Row],[Type]]="channel",0.56*SQRT(Reinforcements[[#This Row],[E, (ksi)]]/Reinforcements[[#This Row],[Fy, (ksi)]]),"N/A")</f>
        <v>N/A</v>
      </c>
      <c r="EJ51" s="236" t="str">
        <f>IF(Reinforcements[[#This Row],[Type]]="channel",1.49*SQRT(Reinforcements[[#This Row],[E, (ksi)]]/Reinforcements[[#This Row],[Fy, (ksi)]]),"N/A")</f>
        <v>N/A</v>
      </c>
      <c r="EK51" s="236">
        <f>VLOOKUP(Reinforcements[[#This Row],[Material]],Materials!$B$2:$C$30,2,FALSE)</f>
        <v>65</v>
      </c>
      <c r="EL51" s="236">
        <f>Reinforcements[[#This Row],[Lu (in)]]*Reinforcements[[#This Row],[Effective Length Factor Kx]]</f>
        <v>13.5</v>
      </c>
      <c r="EM51" s="236">
        <f>Reinforcements[[#This Row],[Lu (in)]]*Reinforcements[[#This Row],[Effective Length Factor Ky]]</f>
        <v>16.875</v>
      </c>
      <c r="EN51" s="236">
        <f>Reinforcements[[#This Row],[rx]]</f>
        <v>0.21650635094610965</v>
      </c>
      <c r="EO51" s="236">
        <f>Reinforcements[[#This Row],[ry]]</f>
        <v>1.1547005383792515</v>
      </c>
      <c r="EP51" s="236">
        <f>Reinforcements[[#This Row],[Lcx (in)]]/Reinforcements[[#This Row],[rx (in)]]</f>
        <v>62.353829072479584</v>
      </c>
      <c r="EQ51" s="236">
        <f>Reinforcements[[#This Row],[Lcy (in)]]/Reinforcements[[#This Row],[ry (in)]]</f>
        <v>14.614178688862403</v>
      </c>
      <c r="ER51" s="236">
        <f>((PI()^2)*Reinforcements[[#This Row],[E, (ksi)]])/(Reinforcements[[#This Row],[Lcx/rx]]^2)</f>
        <v>73.615876448454571</v>
      </c>
      <c r="ES51" s="236">
        <f>((PI()^2)*Reinforcements[[#This Row],[E, (ksi)]])/(Reinforcements[[#This Row],[Lcy/ry]]^2)</f>
        <v>1340.1361330349773</v>
      </c>
      <c r="ET51" s="236">
        <f>4.71*(SQRT(Reinforcements[[#This Row],[E, (ksi)]]/Reinforcements[[#This Row],[Fy, (ksi)]]))</f>
        <v>99.486288193205496</v>
      </c>
      <c r="EU51" s="236">
        <f>IF(Reinforcements[[#This Row],[Lcx/rx]]&lt;=Reinforcements[[#This Row],[Fcr Limit]],(0.658^(Reinforcements[[#This Row],[Fy, (ksi)]]/Reinforcements[[#This Row],[Fex, FB (ksi)]]))*Reinforcements[[#This Row],[Fy, (ksi)]],0.877*Reinforcements[[#This Row],[Fex, FB (ksi)]])</f>
        <v>44.917314322557253</v>
      </c>
      <c r="EV51" s="236">
        <f>IF(Reinforcements[[#This Row],[Lcy/ry]]&lt;=Reinforcements[[#This Row],[Fcr Limit]],(0.658^(Reinforcements[[#This Row],[Fy, (ksi)]]/Reinforcements[[#This Row],[Fey, FB (ksi)]]))*Reinforcements[[#This Row],[Fy, (ksi)]],0.877*Reinforcements[[#This Row],[Fey, FB (ksi)]])</f>
        <v>63.693754797397013</v>
      </c>
      <c r="EW51" s="236">
        <f>Reinforcements[[#This Row],[Fcrx (ksi)]]*Reinforcements[[#This Row],[Gross Area (in2)]]</f>
        <v>134.75194296767177</v>
      </c>
      <c r="EX51" s="236">
        <f>Reinforcements[[#This Row],[Fcry (ksi)]]*Reinforcements[[#This Row],[Gross Area (in2)]]</f>
        <v>191.08126439219103</v>
      </c>
      <c r="EY51" s="236" t="str">
        <f>IF(Reinforcements[[#This Row],[Type]]="channel",0,"N/A")</f>
        <v>N/A</v>
      </c>
      <c r="EZ51" s="236" t="str">
        <f>IF(Reinforcements[[#This Row],[Type]]="channel",Reinforcements[[#This Row],[Channel Flange Width, b]]-(0.5*Reinforcements[[#This Row],[Channel web thickness, tw]]),"N/A")</f>
        <v>N/A</v>
      </c>
      <c r="FA51" s="236" t="str">
        <f>IF(Reinforcements[[#This Row],[Type]]="channel",Reinforcements[[#This Row],[Channel Height, h]]-Reinforcements[[#This Row],[Channel flange thickness, tf]],"N/A")</f>
        <v>N/A</v>
      </c>
      <c r="FB51" s="236" t="str">
        <f>IF(Reinforcements[[#This Row],[Type]]="channel",Reinforcements[[#This Row],[Channel web thickness, tw]],"N/A")</f>
        <v>N/A</v>
      </c>
      <c r="FC51" s="236" t="str">
        <f>IF(Reinforcements[[#This Row],[Type]]="channel",((3*Reinforcements[[#This Row],[b]]^2)/(Reinforcements[[#This Row],[h]]+(6*Reinforcements[[#This Row],[b]])))-Reinforcements[[#This Row],[t]]/2,"N/A")</f>
        <v>N/A</v>
      </c>
      <c r="FD51" s="236">
        <f>Reinforcements[[#This Row],[Pole Face to Centroid (in)]]</f>
        <v>0.375</v>
      </c>
      <c r="FE51" s="236" t="str">
        <f>IF(Reinforcements[[#This Row],[Type]]="channel",Reinforcements[[#This Row],[x(bar)]]+Reinforcements[[#This Row],['[Channel'] e0 (in)]],"N/A")</f>
        <v>N/A</v>
      </c>
      <c r="FF51" s="236" t="str">
        <f>IF(Reinforcements[[#This Row],[Type]]="channel",Reinforcements[[#This Row],[Ix]],"N/A")</f>
        <v>N/A</v>
      </c>
      <c r="FG51" s="236" t="str">
        <f>IF(Reinforcements[[#This Row],[Type]]="channel",Reinforcements[[#This Row],[Iy]],"N/A")</f>
        <v>N/A</v>
      </c>
      <c r="FH51" s="236" t="str">
        <f>IF(Reinforcements[[#This Row],[Type]]="channel",Reinforcements[[#This Row],[Gross Area (in2)]],"N/A")</f>
        <v>N/A</v>
      </c>
      <c r="FI51" s="236" t="str">
        <f>IF(Reinforcements[[#This Row],[Type]]="channel",(Reinforcements[[#This Row],[xo]]^2)+((Reinforcements[[#This Row],[Ix (FTB)]]+Reinforcements[[#This Row],[Iy (FTB)]])/Reinforcements[[#This Row],[Ag]]),"N/A")</f>
        <v>N/A</v>
      </c>
      <c r="FJ51" s="236" t="str">
        <f>IF(Reinforcements[[#This Row],[Type]]="channel",Reinforcements[[#This Row],[Lu (in)]],"N/A")</f>
        <v>N/A</v>
      </c>
      <c r="FK51" s="236" t="str">
        <f>IF(Reinforcements[[#This Row],[Type]]="channel",Reinforcements[[#This Row],[Effective Length Factor Kx]],"N/A")</f>
        <v>N/A</v>
      </c>
      <c r="FL51" s="236" t="str">
        <f>IF(Reinforcements[[#This Row],[Type]]="channel",Reinforcements[[#This Row],[Kz]]*Reinforcements[[#This Row],[Lz]],"N/A")</f>
        <v>N/A</v>
      </c>
      <c r="FM51" s="236" t="str">
        <f>IF(Reinforcements[[#This Row],[Type]]="channel",(((Reinforcements[[#This Row],[t]]^3)/3)*(Reinforcements[[#This Row],[h]]+(2*Reinforcements[[#This Row],[b]]))),"N/A")</f>
        <v>N/A</v>
      </c>
      <c r="FN51" s="236" t="str">
        <f>IF(Reinforcements[[#This Row],[Type]]="channel",(1-(((Reinforcements[[#This Row],[xo]]^2)+(Reinforcements[[#This Row],[yo]]^2))/Reinforcements[[#This Row],[ro^2(bar)]])),"N/A")</f>
        <v>N/A</v>
      </c>
      <c r="FO51" s="237">
        <v>11200</v>
      </c>
      <c r="FP51" s="236" t="str">
        <f>IF(Reinforcements[[#This Row],[Type]]="channel",(((Reinforcements[[#This Row],[h]]^2)*(Reinforcements[[#This Row],[b]]^3)*Reinforcements[[#This Row],[t]])/12)*(((2*Reinforcements[[#This Row],[h]])+(3*Reinforcements[[#This Row],[b]]))/(Reinforcements[[#This Row],[h]]+(6*Reinforcements[[#This Row],[b]]))),"N/A")</f>
        <v>N/A</v>
      </c>
      <c r="FQ51" s="236" t="str">
        <f>IF(Reinforcements[[#This Row],[Type]]="Channel",((((PI()^2)*Reinforcements[[#This Row],[E, (ksi)]]*Reinforcements[[#This Row],['[Channel'] CW (in6)]])/(Reinforcements[[#This Row],[Lcz]]^2))+(Reinforcements[[#This Row],[G]]*Reinforcements[[#This Row],['[Channel'] J (in4)]]))*(1/(Reinforcements[[#This Row],[Ag]]*Reinforcements[[#This Row],[ro^2(bar)]])),"N/A")</f>
        <v>N/A</v>
      </c>
      <c r="FR51" s="236" t="str">
        <f>IF(Reinforcements[[#This Row],[Type]]="channel",((PI()^2)*Reinforcements[[#This Row],[E, (ksi)]])/(Reinforcements[[#This Row],[Lcy/ry]]^2),"N/A")</f>
        <v>N/A</v>
      </c>
      <c r="FS51" s="236" t="str">
        <f>IF(Reinforcements[[#This Row],[Type]]="channel",((Reinforcements[[#This Row],[Fey]]+Reinforcements[[#This Row],[Fez]])/(2*Reinforcements[[#This Row],[H2]]))*(1-SQRT(1-((4*Reinforcements[[#This Row],[Fey]]*Reinforcements[[#This Row],[Fez]]*Reinforcements[[#This Row],[H2]])/(Reinforcements[[#This Row],[Fey]]+Reinforcements[[#This Row],[Fez]])^2))),"N/A")</f>
        <v>N/A</v>
      </c>
      <c r="FT51" s="236" t="str">
        <f>IF(Reinforcements[[#This Row],[Type]]="channel",IF(Reinforcements[[#This Row],[Lcx/rx]]&gt;(4.71*SQRT(Reinforcements[[#This Row],[E, (ksi)]]/Reinforcements[[#This Row],[Fy, (ksi)]])),0.877*Reinforcements[[#This Row],[Fe (FTB)]],0.658^(Reinforcements[[#This Row],[Fy, (ksi)]]/Reinforcements[[#This Row],[Fe (FTB)]])*Reinforcements[[#This Row],[Fy, (ksi)]]),"N/A")</f>
        <v>N/A</v>
      </c>
      <c r="FU51" s="236" t="str">
        <f>IF(Reinforcements[[#This Row],[Type]]="channel",MIN(Reinforcements[[#This Row],[Fcr(FTB)]],Reinforcements[[#This Row],[Fcry (ksi)]]),"N/A")</f>
        <v>N/A</v>
      </c>
      <c r="FV51" s="237">
        <v>0.22</v>
      </c>
      <c r="FW51" s="237">
        <v>1.49</v>
      </c>
      <c r="FX51" s="236" t="str">
        <f>IF(Reinforcements[[#This Row],[Type]]="channel",((Reinforcements[[#This Row],[c2]]*(Reinforcements[[#This Row],[λrf]]/Reinforcements[[#This Row],[λf]]))^2)*Reinforcements[[#This Row],[Fy, (ksi)]],"N/A")</f>
        <v>N/A</v>
      </c>
      <c r="FY51" s="236" t="str">
        <f>IF(Reinforcements[[#This Row],[Type]]="channel",((Reinforcements[[#This Row],[c2]]*(Reinforcements[[#This Row],[λrw]]/Reinforcements[[#This Row],[λw]]))^2)*Reinforcements[[#This Row],[Fy, (ksi)]],"N/A")</f>
        <v>N/A</v>
      </c>
      <c r="FZ51"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1"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1"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1" s="236" t="str">
        <f>IF(Reinforcements[[#This Row],[Type]]="channel",Reinforcements[[#This Row],[Fcr]]*Reinforcements[[#This Row],[Ae]],"N/A")</f>
        <v>N/A</v>
      </c>
      <c r="GD51" s="466">
        <f>IF(Reinforcements[[#This Row],[Reinforcement]]="","",φ_c*Reinforcements[[#This Row],[Pnx, FB (kip)]])</f>
        <v>121.2767486709046</v>
      </c>
      <c r="GE51" s="466">
        <f>IF(Reinforcements[[#This Row],[Reinforcement]]="","",IF(Reinforcements[[#This Row],[Type]]="channel",φ_c*Reinforcements[[#This Row],[Pn]],φ_c*Reinforcements[[#This Row],[Pny, FB (kip)]]))</f>
        <v>171.97313795297194</v>
      </c>
      <c r="GF51" s="466">
        <f>Reinforcements[[#This Row],[Rev. G Tension Yield Capacity (kips)]]</f>
        <v>175.5</v>
      </c>
      <c r="GG51" s="466">
        <f>Reinforcements[[#This Row],[Rev. G Tension Rupture Capacity (kips)]]</f>
        <v>123.75</v>
      </c>
      <c r="GH51" s="466">
        <f>Reinforcements[[#This Row],[Rev. G Shear Capacity (kips)]]</f>
        <v>87.75</v>
      </c>
      <c r="GI51" s="466">
        <f>IFERROR((Reinforcements[[#This Row],['# of End Connection Bolts          (Bottom)]]-1)*Reinforcements[[#This Row],[End Connection Bolt Spacing (in) (B)]],"-")</f>
        <v>9</v>
      </c>
      <c r="GJ51" s="466">
        <f>IFERROR(IF(VLOOKUP(Reinforcements[[#This Row],[Bottom End Connection Bolt Type]],Bolts[],COLUMN(Bolts[[#Headers],[Rev. H Apply Connection Length Reduction Factor (Rb)?]])-1,FALSE)="Yes",(IF(Reinforcements[[#This Row],[Lb(bottom)]]&lt;=16,1,IF(Reinforcements[[#This Row],[Lb(bottom)]]&gt;38,0.75,0.9))),1),"-")</f>
        <v>1</v>
      </c>
      <c r="GK51"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185.59856388327174</v>
      </c>
      <c r="GL51" s="466">
        <f>IFERROR(IF(Reinforcements[[#This Row],[Top End Connection Same?]]="Yes",Reinforcements[[#This Row],[Lb(bottom)]],(Reinforcements[[#This Row],['# of End Connection Bolts          (Top)]]-1)*Reinforcements[[#This Row],[End Connection Bolt Spacing (in) (T)]]),"-")</f>
        <v>9</v>
      </c>
      <c r="GM51" s="466">
        <f>IFERROR(IF(VLOOKUP(Reinforcements[[#This Row],[Top End Connection Bolt Type]],Bolts[],COLUMN(Bolts[[#Headers],[Rev. H Apply Connection Length Reduction Factor (Rb)?]])-1,FALSE)="Yes",(IF(Reinforcements[[#This Row],[Lb(top)]]&lt;=16,1,IF(Reinforcements[[#This Row],[Lb(top)]]&gt;38,0.75,0.9))),1),"-")</f>
        <v>1</v>
      </c>
      <c r="GN51"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185.59856388327174</v>
      </c>
      <c r="GO51" s="466">
        <f>Reinforcements[[#This Row],[Rev. G Bolt-Shaft Bearing Capacity (Bottom)                No Deformation          (*t*Fu kips)]]</f>
        <v>8.0541732283464569</v>
      </c>
      <c r="GP51" s="466">
        <f>Reinforcements[[#This Row],[Rev. G Bolt-Shaft Bearing Capacity (Bottom)                   Deformation          (*t*Fu kips)]]</f>
        <v>10.067716535433071</v>
      </c>
      <c r="GQ51" s="466">
        <f>Reinforcements[[#This Row],[Rev. G Bolt-Shaft Bearing Capacity (Top)                    No Deformation          (*t*Fu kips)]]</f>
        <v>8.0541732283464569</v>
      </c>
      <c r="GR51" s="466">
        <f>Reinforcements[[#This Row],[Rev. G Bolt-Shaft Bearing Capacity (Top)                        Deformation          (*t*Fu kips)]]</f>
        <v>10.067716535433071</v>
      </c>
      <c r="GS51" s="466">
        <f>Reinforcements[[#This Row],[Rev. G Bolt-Reinf. Bearing Capacity (Bottom)            No Deformation (kips)]]</f>
        <v>483.25039370078741</v>
      </c>
      <c r="GT51" s="466">
        <f>Reinforcements[[#This Row],[Rev. G Bolt-Reinf. Bearing Capacity (Bottom)               Deformation (kips)]]</f>
        <v>604.06299212598424</v>
      </c>
      <c r="GU51" s="466">
        <f>Reinforcements[[#This Row],[Rev. G Bolt-Reinf. Bearing Capacity (Top)                  No Deformation (kips)]]</f>
        <v>483.25039370078741</v>
      </c>
      <c r="GV51" s="466">
        <f>Reinforcements[[#This Row],[Rev. G Bolt-Reinf. Bearing Capacity (Top)               Deformation (kips)]]</f>
        <v>604.06299212598424</v>
      </c>
      <c r="GW51" s="466" t="str">
        <f>Reinforcements[[#This Row],[Rev. G Bottom Transverse Weld Strength]]</f>
        <v>-</v>
      </c>
      <c r="GX51" s="466" t="str">
        <f>Reinforcements[[#This Row],[Rev. G Bottom Longitudinal Weld Strength]]</f>
        <v>-</v>
      </c>
      <c r="GY51" s="466" t="str">
        <f>Reinforcements[[#This Row],[Rev. G Top Transverse Weld Strength]]</f>
        <v>-</v>
      </c>
      <c r="GZ51" s="466" t="str">
        <f>Reinforcements[[#This Row],[Rev. G Top Longitudinal Weld Strength]]</f>
        <v>-</v>
      </c>
      <c r="HA51" s="552">
        <v>49</v>
      </c>
      <c r="HB51"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2" spans="2:210" x14ac:dyDescent="0.2">
      <c r="B52" s="72" t="s">
        <v>250</v>
      </c>
      <c r="C52" s="72" t="s">
        <v>146</v>
      </c>
      <c r="D52" s="185">
        <v>4</v>
      </c>
      <c r="E52" s="185">
        <v>0.75</v>
      </c>
      <c r="F52" s="185" t="str">
        <f>IF(Reinforcements[[#This Row],[Type]]="","",IF(Reinforcements[[#This Row],[Type]]="solid round","","n/a"))</f>
        <v>n/a</v>
      </c>
      <c r="G52" s="185" t="str">
        <f>IF(Reinforcements[[#This Row],[Type]]="","",IF(Reinforcements[[#This Row],[Type]]&lt;&gt;"channel","n/a",""))</f>
        <v>n/a</v>
      </c>
      <c r="H52" s="185" t="str">
        <f>IF(Reinforcements[[#This Row],[Type]]="","",IF(Reinforcements[[#This Row],[Type]]&lt;&gt;"channel","n/a",""))</f>
        <v>n/a</v>
      </c>
      <c r="I52" s="197" t="str">
        <f>IF(Reinforcements[[#This Row],[Type]]="","",IF(Reinforcements[[#This Row],[Type]]&lt;&gt;"channel","n/a",Reinforcements[[#This Row],[eo]]))</f>
        <v>n/a</v>
      </c>
      <c r="J52" s="197" t="str">
        <f>IF(Reinforcements[[#This Row],[Type]]="","",IF(Reinforcements[[#This Row],[Type]]&lt;&gt;"channel","n/a",Reinforcements[[#This Row],[J]]))</f>
        <v>n/a</v>
      </c>
      <c r="K52" s="197" t="str">
        <f>IF(Reinforcements[[#This Row],[Type]]="","",IF(Reinforcements[[#This Row],[Type]]&lt;&gt;"channel","n/a",Reinforcements[[#This Row],[Cw]]))</f>
        <v>n/a</v>
      </c>
      <c r="L52" s="185">
        <f>IFERROR(IF(Reinforcements[[#This Row],[Type]]="","",IF(Reinforcements[[#This Row],[Type]]="plate",Reinforcements[[#This Row],[B (in)]]*Reinforcements[[#This Row],[H (in)]],IF(Reinforcements[[#This Row],[Type]]="solid round",PI()/4*Reinforcements[[#This Row],[Diameter (in)]]^2,""))),"")</f>
        <v>3</v>
      </c>
      <c r="M52" s="185">
        <f>IFERROR(IF(Reinforcements[[#This Row],[Type]]="","",IF(Reinforcements[[#This Row],[Type]]="plate",Reinforcements[[#This Row],[H (in)]]/2,"")),"")</f>
        <v>0.375</v>
      </c>
      <c r="N52" s="186" t="s">
        <v>297</v>
      </c>
      <c r="O52" s="185" t="s">
        <v>60</v>
      </c>
      <c r="P52" s="187">
        <f>IFERROR(IF(Reinforcements[[#This Row],[Type]]="","",IF(Reinforcements[[#This Row],[Type]]="plate",Reinforcements[[#This Row],[B (in)]]*Reinforcements[[#This Row],[H (in)]]^3/12,IF(Reinforcements[[#This Row],[Type]]="solid round",PI()/64*Reinforcements[[#This Row],[Diameter (in)]]^4,""))),"")</f>
        <v>0.140625</v>
      </c>
      <c r="Q52" s="187">
        <f>IF(Reinforcements[[#This Row],[Reinforcement]]="","",SQRT(Reinforcements[[#This Row],[Ix]]/Reinforcements[[#This Row],[Gross Area (in2)]]))</f>
        <v>0.21650635094610965</v>
      </c>
      <c r="R52" s="187">
        <f>IFERROR(IF(Reinforcements[[#This Row],[Type]]="","",IF(Reinforcements[[#This Row],[Type]]="plate",Reinforcements[[#This Row],[B (in)]]^3*Reinforcements[[#This Row],[H (in)]]/12,IF(Reinforcements[[#This Row],[Type]]="solid round",PI()/64*Reinforcements[[#This Row],[Diameter (in)]]^4,""))),"")</f>
        <v>4</v>
      </c>
      <c r="S52" s="187">
        <f>IF(Reinforcements[[#This Row],[Reinforcement]]="","",SQRT(Reinforcements[[#This Row],[Iy]]/Reinforcements[[#This Row],[Gross Area (in2)]]))</f>
        <v>1.1547005383792515</v>
      </c>
      <c r="T52" s="190">
        <v>16.875</v>
      </c>
      <c r="U52" s="188">
        <v>0.8</v>
      </c>
      <c r="V52" s="188">
        <v>1</v>
      </c>
      <c r="W52" s="185">
        <v>1.25</v>
      </c>
      <c r="X52" s="188">
        <f>IF(Reinforcements[[#This Row],[Bolt Hole Size (in)]]="","",IF(Reinforcements[[#This Row],[Bolt Hole Size (in)]]="n/a","n/a",Reinforcements[[#This Row],[Bolt Hole Size (in)]]*25.4))</f>
        <v>31.75</v>
      </c>
      <c r="Y52"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2.015625</v>
      </c>
      <c r="Z52" s="185">
        <f>IFERROR(IF(Reinforcements[[#This Row],[Reinforcement]]="","",IF(OR(Reinforcements[[#This Row],[Type]]="plate",Reinforcements[[#This Row],[Type]]="solid round"),1,IF(Reinforcements[[#This Row],[Type]]="arbitrary","",1-Reinforcements[[#This Row],[Pole Face to Centroid (in)]]/Reinforcements[[#This Row],[Connection Length (in) '[Channels']]]))),"")</f>
        <v>1</v>
      </c>
      <c r="AA52" s="200" t="s">
        <v>391</v>
      </c>
      <c r="AB52" s="200" t="str">
        <f>IF(Reinforcements[[#This Row],[Reinforcement]]="","",IF(Reinforcements[[#This Row],[Bottom End Connection Type]]&lt;&gt;"Capacity Input","-",""))</f>
        <v>-</v>
      </c>
      <c r="AC52" s="200" t="str">
        <f>IF(Reinforcements[[#This Row],[Reinforcement]]="","",IF(Reinforcements[[#This Row],[Bottom End Connection Type]]&lt;&gt;"Capacity Input","-",""))</f>
        <v>-</v>
      </c>
      <c r="AD52" s="461" t="str">
        <f>IF(Reinforcements[[#This Row],[Reinforcement]]="","",IF(Reinforcements[[#This Row],[Bottom End Connection Type]]&lt;&gt;"Capacity Input","-",""))</f>
        <v>-</v>
      </c>
      <c r="AE52" s="103" t="s">
        <v>416</v>
      </c>
      <c r="AF52" s="190" t="s">
        <v>296</v>
      </c>
      <c r="AG52" s="190">
        <v>4</v>
      </c>
      <c r="AH52" s="190">
        <v>3</v>
      </c>
      <c r="AI52" s="190">
        <v>3</v>
      </c>
      <c r="AJ52" s="190">
        <f>Reinforcements[[#This Row],[End Connection Edge Distance (in) (B)]]-(Reinforcements[[#This Row],[Bolt Hole Size (in)]]+1/16)/2</f>
        <v>2.34375</v>
      </c>
      <c r="AK52" s="190">
        <f>Reinforcements[[#This Row],[End Connection Bolt Spacing (in) (B)]]-(Reinforcements[[#This Row],[Bolt Hole Size (in)]]+1/16)</f>
        <v>1.6875</v>
      </c>
      <c r="AL52" s="190">
        <f>Reinforcements[[#This Row],[End Connection Edge Distance (in) (B)]]</f>
        <v>3</v>
      </c>
      <c r="AM52" s="190">
        <f>Reinforcements[[#This Row],[End Connection Bolt Spacing (in) (B)]]</f>
        <v>3</v>
      </c>
      <c r="AN52" s="190" t="str">
        <f>IF(Reinforcements[[#This Row],[Reinforcement]]="","",IF(OR(Reinforcements[[#This Row],[Bottom End Connection Type]]="Bolted",Reinforcements[[#This Row],[Bottom End Connection Type]]=""),"-",""))</f>
        <v>-</v>
      </c>
      <c r="AO52" s="191" t="str">
        <f>IF(Reinforcements[[#This Row],[Reinforcement]]="","",IF(OR(Reinforcements[[#This Row],[Bottom End Connection Type]]="Bolted",Reinforcements[[#This Row],[Bottom End Connection Type]]=""),"-",""))</f>
        <v>-</v>
      </c>
      <c r="AP52" s="191" t="str">
        <f>IF(Reinforcements[[#This Row],[Reinforcement]]="","",IF(OR(Reinforcements[[#This Row],[Bottom End Connection Type]]="Bolted",Reinforcements[[#This Row],[Bottom End Connection Type]]=""),"-",""))</f>
        <v>-</v>
      </c>
      <c r="AQ52" s="191" t="str">
        <f>IF(OR(Reinforcements[[#This Row],[Bottom End Connection Type]]="Bolted",Reinforcements[[#This Row],[Bottom Transverse (Horizontal) Weld]]="none"),"-","")</f>
        <v>-</v>
      </c>
      <c r="AR5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2" s="191" t="str">
        <f>IF(OR(Reinforcements[[#This Row],[Bottom Transverse (Horizontal) Weld]]="none",Reinforcements[[#This Row],[Bottom End Connection Type]]="Bolted"),"-","")</f>
        <v>-</v>
      </c>
      <c r="AU52"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2" s="191" t="str">
        <f>IF(Reinforcements[[#This Row],[Reinforcement]]="","",IF(OR(Reinforcements[[#This Row],[Bottom End Connection Type]]="Bolted",Reinforcements[[#This Row],[Bottom End Connection Type]]=""),"-",""))</f>
        <v>-</v>
      </c>
      <c r="AW52" s="191" t="str">
        <f>IF(Reinforcements[[#This Row],[Reinforcement]]="","",IF(OR(Reinforcements[[#This Row],[Bottom End Connection Type]]&lt;&gt;"Welded",Reinforcements[[#This Row],[Bottom Longitudinal (Vertical) Weld]]="None",Reinforcements[[#This Row],[Bottom Longitudinal (Vertical) Weld]]=""),"-",""))</f>
        <v>-</v>
      </c>
      <c r="AX52" s="191" t="str">
        <f>IF(Reinforcements[[#This Row],[Reinforcement]]="","",IF(OR(Reinforcements[[#This Row],[Bottom End Connection Type]]&lt;&gt;"Welded",Reinforcements[[#This Row],[Bottom Longitudinal (Vertical) Weld]]="None",Reinforcements[[#This Row],[Bottom Longitudinal (Vertical) Weld]]=""),"-",""))</f>
        <v>-</v>
      </c>
      <c r="AY52" s="190" t="str">
        <f>IF(Reinforcements[[#This Row],[Reinforcement]]="","",IF(OR(Reinforcements[[#This Row],[Bottom End Connection Type]]&lt;&gt;"Welded",Reinforcements[[#This Row],[Bottom Longitudinal (Vertical) Weld]]="None"),"-",SQRT(2)/2*Reinforcements[[#This Row],[Bottom Longitudinal Weld Fillet Size (in)]]))</f>
        <v>-</v>
      </c>
      <c r="AZ52" s="191" t="s">
        <v>295</v>
      </c>
      <c r="BA52" s="189" t="str">
        <f>IF(Reinforcements[[#This Row],[Top End Connection Same?]]="Yes",Reinforcements[[#This Row],[Bottom End Connection Type]],"")</f>
        <v>Bolted</v>
      </c>
      <c r="BB52" s="189" t="str">
        <f>IF(Reinforcements[[#This Row],[Reinforcement]]="","",IF(Reinforcements[[#This Row],[Top End Connection Same?]]="Yes",Reinforcements[[#This Row],[Rev. F Bottom Connection Capacity (kips)]],IF(Reinforcements[[#This Row],[Reinforcement]]="","",IF(Reinforcements[[#This Row],[Top End Connection Type]]&lt;&gt;"Capacity Input","-",""))))</f>
        <v>-</v>
      </c>
      <c r="BC52" s="189" t="str">
        <f>IF(Reinforcements[[#This Row],[Reinforcement]]="","",IF(Reinforcements[[#This Row],[Top End Connection Same?]]="Yes",Reinforcements[[#This Row],[Rev. G Bottom Connection Capacity (kips)]],IF(Reinforcements[[#This Row],[Reinforcement]]="","",IF(Reinforcements[[#This Row],[Top End Connection Type]]&lt;&gt;"Capacity Input","-",""))))</f>
        <v>-</v>
      </c>
      <c r="BD52" s="461" t="str">
        <f>IF(Reinforcements[[#This Row],[Reinforcement]]="","",IF(Reinforcements[[#This Row],[Top End Connection Same?]]="Yes",Reinforcements[[#This Row],[Rev. G Bottom Connection Capacity (kips)]],IF(Reinforcements[[#This Row],[Reinforcement]]="","",IF(Reinforcements[[#This Row],[Top End Connection Type]]&lt;&gt;"Capacity Input","-",""))))</f>
        <v>-</v>
      </c>
      <c r="BE52" s="103" t="str">
        <f>IF(Reinforcements[[#This Row],[Top End Connection Same?]]="Yes",Reinforcements[[#This Row],[Bottom End Connection Bolt Type]],IF(Reinforcements[[#This Row],[Top End Connection Type]]="Welded","-",""))</f>
        <v>PC 8.8 - M20 (100)</v>
      </c>
      <c r="BF52" s="190" t="str">
        <f>IF(Reinforcements[[#This Row],[Top End Connection Same?]]="Yes",Reinforcements[[#This Row],[Threads Included (N) or Excluded (X) (Bottom)]],IF(Reinforcements[[#This Row],[Top End Connection Type]]="Welded","-",""))</f>
        <v>N</v>
      </c>
      <c r="BG52" s="190">
        <f>IF(Reinforcements[[#This Row],[Top End Connection Same?]]="Yes",Reinforcements[[#This Row],['# of End Connection Bolts          (Bottom)]],IF(Reinforcements[[#This Row],[Top End Connection Type]]="Welded","-",""))</f>
        <v>4</v>
      </c>
      <c r="BH52" s="190">
        <f>IF(Reinforcements[[#This Row],[Top End Connection Same?]]="Yes",Reinforcements[[#This Row],[End Connection Bolt Spacing (in) (B)]],IF(Reinforcements[[#This Row],[Top End Connection Type]]="Welded","-",""))</f>
        <v>3</v>
      </c>
      <c r="BI52" s="190">
        <f>IF(Reinforcements[[#This Row],[Top End Connection Same?]]="Yes",Reinforcements[[#This Row],[End Connection Edge Distance (in) (B)]],IF(Reinforcements[[#This Row],[Top End Connection Type]]="Welded","-",""))</f>
        <v>3</v>
      </c>
      <c r="BJ52" s="190">
        <f>Reinforcements[[#This Row],[End Connection Edge Distance (in) (T)]]-(Reinforcements[[#This Row],[Bolt Hole Size (in)]]+1/16)/2</f>
        <v>2.34375</v>
      </c>
      <c r="BK52" s="190">
        <f>Reinforcements[[#This Row],[End Connection Bolt Spacing (in) (T)]]-(Reinforcements[[#This Row],[Bolt Hole Size (in)]]+1/16)</f>
        <v>1.6875</v>
      </c>
      <c r="BL52" s="190">
        <f>Reinforcements[[#This Row],[End Connection Edge Distance (in) (T)]]</f>
        <v>3</v>
      </c>
      <c r="BM52" s="190">
        <f>Reinforcements[[#This Row],[End Connection Bolt Spacing (in) (T)]]</f>
        <v>3</v>
      </c>
      <c r="BN52" s="190" t="str">
        <f>IF(Reinforcements[[#This Row],[Reinforcement]]="","",IF(Reinforcements[[#This Row],[Top End Connection Same?]]="Yes",Reinforcements[[#This Row],[Bottom Connected to Flange/Base Plate?]],IF(Reinforcements[[#This Row],[Top End Connection Type]]="Bolted","-","")))</f>
        <v>-</v>
      </c>
      <c r="BO52" s="190" t="str">
        <f>IF(Reinforcements[[#This Row],[Reinforcement]]="","",IF(Reinforcements[[#This Row],[Top End Connection Same?]]="Yes",Reinforcements[[#This Row],[Bottom Weld Grade (ksi)]],IF(OR(Reinforcements[[#This Row],[Top End Connection Type]]&lt;&gt;"Welded",Reinforcements[[#This Row],[Top End Connection Type]]=""),"-","")))</f>
        <v>-</v>
      </c>
      <c r="BP52" s="190" t="str">
        <f>IF($AZ52="Yes",AP52,IF(Reinforcements[[#This Row],[Reinforcement]]="","",IF(OR(Reinforcements[[#This Row],[Top End Connection Type]]&lt;&gt;"Welded",Reinforcements[[#This Row],[Top End Connection Type]]=""),"-","")))</f>
        <v>-</v>
      </c>
      <c r="BQ52" s="190" t="str">
        <f>IF(Reinforcements[[#This Row],[Reinforcement]]="","",IF($AZ52="Yes",AQ52,IF(OR(Reinforcements[[#This Row],[Top End Connection Type]]&lt;&gt;"Welded",Reinforcements[[#This Row],[Top Transverse (Horizontal) Weld]]="none",Reinforcements[[#This Row],[Top Transverse (Horizontal) Weld]]=""),"-","")))</f>
        <v>-</v>
      </c>
      <c r="BR52" s="190" t="str">
        <f>IF($AZ52="Yes",AR52,IF(Reinforcements[[#This Row],[Reinforcement]]="","",IF(OR(Reinforcements[[#This Row],[Top Transverse (Horizontal) Weld]]="none",Reinforcements[[#This Row],[Top End Connection Type]]&lt;&gt;"Welded",Reinforcements[[#This Row],[Top Transverse (Horizontal) Weld]]="",Reinforcements[[#This Row],[Top Transverse (Horizontal) Weld]]="Fillet"),"-","")))</f>
        <v>-</v>
      </c>
      <c r="BS52" s="190" t="str">
        <f>IF($AZ52="Yes",AS52,IF(Reinforcements[[#This Row],[Reinforcement]]="","",IF(OR(Reinforcements[[#This Row],[Top Transverse (Horizontal) Weld]]="none",Reinforcements[[#This Row],[Top End Connection Type]]&lt;&gt;"Welded",Reinforcements[[#This Row],[Top Transverse (Horizontal) Weld]]="",Reinforcements[[#This Row],[Top Transverse (Horizontal) Weld]]="Fillet"),"-","")))</f>
        <v>-</v>
      </c>
      <c r="BT52" s="190" t="str">
        <f>IF(Reinforcements[[#This Row],[Reinforcement]]="","",IF($AZ52="Yes",AT52,IF(OR(Reinforcements[[#This Row],[Top Transverse (Horizontal) Weld]]="none",Reinforcements[[#This Row],[Top End Connection Type]]&lt;&gt;"Welded",Reinforcements[[#This Row],[Top Transverse (Horizontal) Weld]]=""),"-","")))</f>
        <v>-</v>
      </c>
      <c r="BU52" s="190" t="str">
        <f>IF($AZ52="Yes",AU52,IF(Reinforcements[[#This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2" s="190" t="str">
        <f>IF($AZ52="Yes",AV52,IF(Reinforcements[[#This Row],[Reinforcement]]="","",IF(OR(Reinforcements[[#This Row],[Top End Connection Type]]&lt;&gt;"Welded",Reinforcements[[#This Row],[Top End Connection Type]]=""),"-","")))</f>
        <v>-</v>
      </c>
      <c r="BW52" s="190" t="str">
        <f>IF($AZ52="Yes",AW52,IF(Reinforcements[[#This Row],[Reinforcement]]="","",IF(OR(Reinforcements[[#This Row],[Top End Connection Type]]&lt;&gt;"Welded",Reinforcements[[#This Row],[Top End Connection Type]]="",Reinforcements[[#This Row],[Top Longitudinal (Vertical) Weld]]="",Reinforcements[[#This Row],[Top Longitudinal (Vertical) Weld]]="None"),"-","")))</f>
        <v>-</v>
      </c>
      <c r="BX52" s="190" t="str">
        <f>IF($AZ52="Yes",AX52,IF(Reinforcements[[#This Row],[Reinforcement]]="","",IF(OR(Reinforcements[[#This Row],[Top End Connection Type]]&lt;&gt;"Welded",Reinforcements[[#This Row],[Top End Connection Type]]="",Reinforcements[[#This Row],[Top Longitudinal (Vertical) Weld]]="",Reinforcements[[#This Row],[Top Longitudinal (Vertical) Weld]]="None"),"-","")))</f>
        <v>-</v>
      </c>
      <c r="BY52" s="190" t="str">
        <f>IF($AZ52="Yes",AY52,IF(Reinforcements[[#This Row],[Reinforcement]]="","",IF(OR(Reinforcements[[#This Row],[Top End Connection Type]]&lt;&gt;"Welded",Reinforcements[[#This Row],[Top Longitudinal (Vertical) Weld]]="none"),"-",SQRT(2)/2*Reinforcements[[#This Row],[Top Longitudinal Weld Fillet Size (in)]])))</f>
        <v>-</v>
      </c>
      <c r="BZ52"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2" s="192">
        <f>IF(Reinforcements[[#This Row],[Reinforcement]]="","",IF(Reinforcements[[#This Row],[Bottom End Connection Type]]&lt;&gt;"Bolted","n/a",(Reinforcements[[#This Row],['# of End Connection Bolts          (Bottom)]]-1)*Reinforcements[[#This Row],[End Connection Bolt Spacing (in) (B)]]+Reinforcements[[#This Row],[End Connection Edge Distance (in) (B)]]))</f>
        <v>12</v>
      </c>
      <c r="CB52" s="192">
        <f>IF(Reinforcements[[#This Row],[Reinforcement]]="","",IF(Reinforcements[[#This Row],[Top End Connection Type]]&lt;&gt;"Bolted","n/a",(Reinforcements[[#This Row],['# of End Connection Bolts          (Top)]]-1)*Reinforcements[[#This Row],[End Connection Bolt Spacing (in) (T)]]+Reinforcements[[#This Row],[End Connection Edge Distance (in) (T)]]))</f>
        <v>12</v>
      </c>
      <c r="CC52"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52"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52" s="185">
        <f>IFERROR(IF(Reinforcements[[#This Row],[Type]]="","",Reinforcements[[#This Row],[Effective B (in)]]*Reinforcements[[#This Row],[Effective H (in)]]^3/12),"")</f>
        <v>0.140625</v>
      </c>
      <c r="CF52" s="185">
        <f>IFERROR(IF(Reinforcements[[#This Row],[Type]]="","",Reinforcements[[#This Row],[Effective B (in)]]^3*Reinforcements[[#This Row],[Effective H (in)]]/12),"")</f>
        <v>4</v>
      </c>
      <c r="CG52" s="197">
        <f>SQRT(2*PI()^2*29000/VLOOKUP(Reinforcements[[#This Row],[Material]],Materials[],2,FALSE))</f>
        <v>93.844147005158973</v>
      </c>
      <c r="CH52"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26.954463395700508</v>
      </c>
      <c r="CI52"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37.233043651467405</v>
      </c>
      <c r="CJ52" s="239">
        <f>Reinforcements[[#This Row],[Effective Length Factor Kx]]*Reinforcements[[#This Row],[Lu (in)]]/(Reinforcements[[#This Row],[rx]]*PI())*SQRT(VLOOKUP(Reinforcements[[#This Row],[Material]],Materials[],2,FALSE)/29000)</f>
        <v>0.93966042160675967</v>
      </c>
      <c r="CK52" s="239">
        <f>Reinforcements[[#This Row],[Effective Length Factor Ky]]*Reinforcements[[#This Row],[Lu (in)]]/(Reinforcements[[#This Row],[ry]]*PI())*SQRT(VLOOKUP(Reinforcements[[#This Row],[Material]],Materials[],2,FALSE)/29000)</f>
        <v>0.22023291131408426</v>
      </c>
      <c r="CL52" s="239">
        <f>IF(Reinforcements[[#This Row],[λcx]]&lt;=1.5,0.658^(Reinforcements[[#This Row],[λcx]]^2)*Reinforcements[[#This Row],[F''y]],0.877/(Reinforcements[[#This Row],[λcx]]^2)*Reinforcements[[#This Row],[F''y]])</f>
        <v>44.917314322557246</v>
      </c>
      <c r="CM52" s="239">
        <f>IF(Reinforcements[[#This Row],[λcy]]&lt;=1.5,0.658^(Reinforcements[[#This Row],[λcy]]^2)*Reinforcements[[#This Row],[F''y]],0.877/(Reinforcements[[#This Row],[λcy]]^2)*Reinforcements[[#This Row],[F''y]])</f>
        <v>63.69375479739702</v>
      </c>
      <c r="CN52" s="236">
        <f>VLOOKUP(Reinforcements[[#This Row],[Material]],Materials[],2,FALSE)</f>
        <v>65</v>
      </c>
      <c r="CO52" s="235">
        <f>IF(Reinforcements[[#This Row],[Reinforcement]]="","",Reinforcements[[#This Row],[Fax]]*Reinforcements[[#This Row],[Gross Area (in2)]])</f>
        <v>80.863390187101515</v>
      </c>
      <c r="CP52" s="197">
        <f>IF(Reinforcements[[#This Row],[Reinforcement]]="","",Reinforcements[[#This Row],[Fay]]*Reinforcements[[#This Row],[Gross Area (in2)]])</f>
        <v>111.69913095440222</v>
      </c>
      <c r="CQ52" s="197">
        <f>IF(Reinforcements[[#This Row],[Reinforcement]]="","",0.6*VLOOKUP(Reinforcements[[#This Row],[Material]],Materials[],2,FALSE)*Reinforcements[[#This Row],[Gross Area (in2)]])</f>
        <v>117</v>
      </c>
      <c r="CR52" s="197">
        <f>IF(Reinforcements[[#This Row],[Reinforcement]]="","",0.5*VLOOKUP(Reinforcements[[#This Row],[Material]],Materials[],3,FALSE)*Reinforcements[[#This Row],[Net Area (in2)]]*Reinforcements[[#This Row],[Shear Lag (U)]])</f>
        <v>80.625</v>
      </c>
      <c r="CS52" s="197">
        <f>IF(Reinforcements[[#This Row],[Reinforcement]]="","",0.4*VLOOKUP(Reinforcements[[#This Row],[Material]],Materials[],2,FALSE)*Reinforcements[[#This Row],[Gross Area (in2)]])</f>
        <v>78</v>
      </c>
      <c r="CT52"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93.14252671531986</v>
      </c>
      <c r="CU52"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93.14252671531986</v>
      </c>
      <c r="CV52"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5.4803149606299213</v>
      </c>
      <c r="CW52"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6.21259842519685</v>
      </c>
      <c r="CX52"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5.4803149606299213</v>
      </c>
      <c r="CY52"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6.21259842519685</v>
      </c>
      <c r="CZ52"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328.81889763779532</v>
      </c>
      <c r="DA52"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372.75590551181102</v>
      </c>
      <c r="DB52"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328.81889763779532</v>
      </c>
      <c r="DC52"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372.75590551181102</v>
      </c>
      <c r="DD52"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2"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2" s="190" t="str">
        <f>IF($AZ52="Yes",DD52,IF(Reinforcements[[#This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2" s="190" t="str">
        <f>IF($AZ52="Yes",DE52,IF(Reinforcements[[#This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2" s="235">
        <f>IF(Reinforcements[[#This Row],[Reinforcement]]="","",φ_c*Reinforcements[[#This Row],[Fcr,x]]*Reinforcements[[#This Row],[Gross Area (in2)]])</f>
        <v>121.27674867090457</v>
      </c>
      <c r="DI52" s="235">
        <f>IF(Reinforcements[[#This Row],[Reinforcement]]="","",φ_c*Reinforcements[[#This Row],[Fcr,y]]*Reinforcements[[#This Row],[Gross Area (in2)]])</f>
        <v>171.97313795297197</v>
      </c>
      <c r="DJ52" s="197">
        <f>IF(Reinforcements[[#This Row],[Reinforcement]]="","",φ_t_y*VLOOKUP(Reinforcements[[#This Row],[Material]],Materials[],2,FALSE)*Reinforcements[[#This Row],[Gross Area (in2)]])</f>
        <v>175.5</v>
      </c>
      <c r="DK52" s="197">
        <f>IF(Reinforcements[[#This Row],[Reinforcement]]="","",φ_t_r*VLOOKUP(Reinforcements[[#This Row],[Material]],Materials[],3,FALSE)*Reinforcements[[#This Row],[Net Area (in2)]]*Reinforcements[[#This Row],[Shear Lag (U)]])</f>
        <v>120.9375</v>
      </c>
      <c r="DL52" s="197">
        <f>IF(Reinforcements[[#This Row],[Reinforcement]]="","",φ_v*0.5*Reinforcements[[#This Row],[F''y]]*Reinforcements[[#This Row],[Gross Area (in2)]])</f>
        <v>87.75</v>
      </c>
      <c r="DM52"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165.07974842400665</v>
      </c>
      <c r="DN52"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165.07974842400665</v>
      </c>
      <c r="DO52"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7.8741732283464563</v>
      </c>
      <c r="DP52"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9.8427165354330697</v>
      </c>
      <c r="DQ52"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7.8741732283464563</v>
      </c>
      <c r="DR52"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9.8427165354330697</v>
      </c>
      <c r="DS52"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472.4503937007874</v>
      </c>
      <c r="DT52"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590.56299212598424</v>
      </c>
      <c r="DU52"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472.4503937007874</v>
      </c>
      <c r="DV52"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590.56299212598424</v>
      </c>
      <c r="DW52"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2"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2" s="190" t="str">
        <f>IF($AZ52="Yes",DW52,IF(Reinforcements[[#This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2" s="190" t="str">
        <f>IF($AZ52="Yes",DX52,IF(Reinforcements[[#This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2" s="238" t="str">
        <f>IF(OR(Reinforcements[[#This Row],[Type]]="plate",Reinforcements[[#This Row],[Type]]="solid round"),"N/A",Reinforcements[[#This Row],[B (in)]])</f>
        <v>N/A</v>
      </c>
      <c r="EB52" s="236" t="str">
        <f>IF(OR(Reinforcements[[#This Row],[Type]]="plate",Reinforcements[[#This Row],[Type]]="solid round"),"N/A",Reinforcements[[#This Row],[H (in)]])</f>
        <v>N/A</v>
      </c>
      <c r="EC52" s="236" t="str">
        <f>IF(OR(Reinforcements[[#This Row],[Type]]="plate",Reinforcements[[#This Row],[Type]]="solid round"),"N/A",Reinforcements[[#This Row],[B (in)]]-Reinforcements[[#This Row],['[Channel'] Flange Thickness (in)]])</f>
        <v>N/A</v>
      </c>
      <c r="ED52" s="236" t="str">
        <f>IF(OR(Reinforcements[[#This Row],[Type]]="plate",Reinforcements[[#This Row],[Type]]="solid round"),"N/A",Reinforcements[[#This Row],['[Channel']Web Thickness (in)]])</f>
        <v>N/A</v>
      </c>
      <c r="EE52" s="236" t="str">
        <f>IF(OR(Reinforcements[[#This Row],[Type]]="plate",Reinforcements[[#This Row],[Type]]="solid round"),"N/A",Reinforcements[[#This Row],['[Channel'] Flange Thickness (in)]])</f>
        <v>N/A</v>
      </c>
      <c r="EF52" s="236" t="str">
        <f>IF(Reinforcements[[#This Row],[Type]]="channel",Reinforcements[[#This Row],[Channel Flange Width, b]]/Reinforcements[[#This Row],[Channel flange thickness, tf]],"N/A")</f>
        <v>N/A</v>
      </c>
      <c r="EG52" s="236" t="str">
        <f>IF(Reinforcements[[#This Row],[Type]]="channel",Reinforcements[[#This Row],[Channel inside depth, T]]/Reinforcements[[#This Row],[Channel web thickness, tw]],"N/A")</f>
        <v>N/A</v>
      </c>
      <c r="EH52" s="237">
        <v>29000</v>
      </c>
      <c r="EI52" s="236" t="str">
        <f>IF(Reinforcements[[#This Row],[Type]]="channel",0.56*SQRT(Reinforcements[[#This Row],[E, (ksi)]]/Reinforcements[[#This Row],[Fy, (ksi)]]),"N/A")</f>
        <v>N/A</v>
      </c>
      <c r="EJ52" s="236" t="str">
        <f>IF(Reinforcements[[#This Row],[Type]]="channel",1.49*SQRT(Reinforcements[[#This Row],[E, (ksi)]]/Reinforcements[[#This Row],[Fy, (ksi)]]),"N/A")</f>
        <v>N/A</v>
      </c>
      <c r="EK52" s="236">
        <f>VLOOKUP(Reinforcements[[#This Row],[Material]],Materials!$B$2:$C$30,2,FALSE)</f>
        <v>65</v>
      </c>
      <c r="EL52" s="236">
        <f>Reinforcements[[#This Row],[Lu (in)]]*Reinforcements[[#This Row],[Effective Length Factor Kx]]</f>
        <v>13.5</v>
      </c>
      <c r="EM52" s="236">
        <f>Reinforcements[[#This Row],[Lu (in)]]*Reinforcements[[#This Row],[Effective Length Factor Ky]]</f>
        <v>16.875</v>
      </c>
      <c r="EN52" s="236">
        <f>Reinforcements[[#This Row],[rx]]</f>
        <v>0.21650635094610965</v>
      </c>
      <c r="EO52" s="236">
        <f>Reinforcements[[#This Row],[ry]]</f>
        <v>1.1547005383792515</v>
      </c>
      <c r="EP52" s="236">
        <f>Reinforcements[[#This Row],[Lcx (in)]]/Reinforcements[[#This Row],[rx (in)]]</f>
        <v>62.353829072479584</v>
      </c>
      <c r="EQ52" s="236">
        <f>Reinforcements[[#This Row],[Lcy (in)]]/Reinforcements[[#This Row],[ry (in)]]</f>
        <v>14.614178688862403</v>
      </c>
      <c r="ER52" s="236">
        <f>((PI()^2)*Reinforcements[[#This Row],[E, (ksi)]])/(Reinforcements[[#This Row],[Lcx/rx]]^2)</f>
        <v>73.615876448454571</v>
      </c>
      <c r="ES52" s="236">
        <f>((PI()^2)*Reinforcements[[#This Row],[E, (ksi)]])/(Reinforcements[[#This Row],[Lcy/ry]]^2)</f>
        <v>1340.1361330349773</v>
      </c>
      <c r="ET52" s="236">
        <f>4.71*(SQRT(Reinforcements[[#This Row],[E, (ksi)]]/Reinforcements[[#This Row],[Fy, (ksi)]]))</f>
        <v>99.486288193205496</v>
      </c>
      <c r="EU52" s="236">
        <f>IF(Reinforcements[[#This Row],[Lcx/rx]]&lt;=Reinforcements[[#This Row],[Fcr Limit]],(0.658^(Reinforcements[[#This Row],[Fy, (ksi)]]/Reinforcements[[#This Row],[Fex, FB (ksi)]]))*Reinforcements[[#This Row],[Fy, (ksi)]],0.877*Reinforcements[[#This Row],[Fex, FB (ksi)]])</f>
        <v>44.917314322557253</v>
      </c>
      <c r="EV52" s="236">
        <f>IF(Reinforcements[[#This Row],[Lcy/ry]]&lt;=Reinforcements[[#This Row],[Fcr Limit]],(0.658^(Reinforcements[[#This Row],[Fy, (ksi)]]/Reinforcements[[#This Row],[Fey, FB (ksi)]]))*Reinforcements[[#This Row],[Fy, (ksi)]],0.877*Reinforcements[[#This Row],[Fey, FB (ksi)]])</f>
        <v>63.693754797397013</v>
      </c>
      <c r="EW52" s="236">
        <f>Reinforcements[[#This Row],[Fcrx (ksi)]]*Reinforcements[[#This Row],[Gross Area (in2)]]</f>
        <v>134.75194296767177</v>
      </c>
      <c r="EX52" s="236">
        <f>Reinforcements[[#This Row],[Fcry (ksi)]]*Reinforcements[[#This Row],[Gross Area (in2)]]</f>
        <v>191.08126439219103</v>
      </c>
      <c r="EY52" s="236" t="str">
        <f>IF(Reinforcements[[#This Row],[Type]]="channel",0,"N/A")</f>
        <v>N/A</v>
      </c>
      <c r="EZ52" s="236" t="str">
        <f>IF(Reinforcements[[#This Row],[Type]]="channel",Reinforcements[[#This Row],[Channel Flange Width, b]]-(0.5*Reinforcements[[#This Row],[Channel web thickness, tw]]),"N/A")</f>
        <v>N/A</v>
      </c>
      <c r="FA52" s="236" t="str">
        <f>IF(Reinforcements[[#This Row],[Type]]="channel",Reinforcements[[#This Row],[Channel Height, h]]-Reinforcements[[#This Row],[Channel flange thickness, tf]],"N/A")</f>
        <v>N/A</v>
      </c>
      <c r="FB52" s="236" t="str">
        <f>IF(Reinforcements[[#This Row],[Type]]="channel",Reinforcements[[#This Row],[Channel web thickness, tw]],"N/A")</f>
        <v>N/A</v>
      </c>
      <c r="FC52" s="236" t="str">
        <f>IF(Reinforcements[[#This Row],[Type]]="channel",((3*Reinforcements[[#This Row],[b]]^2)/(Reinforcements[[#This Row],[h]]+(6*Reinforcements[[#This Row],[b]])))-Reinforcements[[#This Row],[t]]/2,"N/A")</f>
        <v>N/A</v>
      </c>
      <c r="FD52" s="236">
        <f>Reinforcements[[#This Row],[Pole Face to Centroid (in)]]</f>
        <v>0.375</v>
      </c>
      <c r="FE52" s="236" t="str">
        <f>IF(Reinforcements[[#This Row],[Type]]="channel",Reinforcements[[#This Row],[x(bar)]]+Reinforcements[[#This Row],['[Channel'] e0 (in)]],"N/A")</f>
        <v>N/A</v>
      </c>
      <c r="FF52" s="236" t="str">
        <f>IF(Reinforcements[[#This Row],[Type]]="channel",Reinforcements[[#This Row],[Ix]],"N/A")</f>
        <v>N/A</v>
      </c>
      <c r="FG52" s="236" t="str">
        <f>IF(Reinforcements[[#This Row],[Type]]="channel",Reinforcements[[#This Row],[Iy]],"N/A")</f>
        <v>N/A</v>
      </c>
      <c r="FH52" s="236" t="str">
        <f>IF(Reinforcements[[#This Row],[Type]]="channel",Reinforcements[[#This Row],[Gross Area (in2)]],"N/A")</f>
        <v>N/A</v>
      </c>
      <c r="FI52" s="236" t="str">
        <f>IF(Reinforcements[[#This Row],[Type]]="channel",(Reinforcements[[#This Row],[xo]]^2)+((Reinforcements[[#This Row],[Ix (FTB)]]+Reinforcements[[#This Row],[Iy (FTB)]])/Reinforcements[[#This Row],[Ag]]),"N/A")</f>
        <v>N/A</v>
      </c>
      <c r="FJ52" s="236" t="str">
        <f>IF(Reinforcements[[#This Row],[Type]]="channel",Reinforcements[[#This Row],[Lu (in)]],"N/A")</f>
        <v>N/A</v>
      </c>
      <c r="FK52" s="236" t="str">
        <f>IF(Reinforcements[[#This Row],[Type]]="channel",Reinforcements[[#This Row],[Effective Length Factor Kx]],"N/A")</f>
        <v>N/A</v>
      </c>
      <c r="FL52" s="236" t="str">
        <f>IF(Reinforcements[[#This Row],[Type]]="channel",Reinforcements[[#This Row],[Kz]]*Reinforcements[[#This Row],[Lz]],"N/A")</f>
        <v>N/A</v>
      </c>
      <c r="FM52" s="236" t="str">
        <f>IF(Reinforcements[[#This Row],[Type]]="channel",(((Reinforcements[[#This Row],[t]]^3)/3)*(Reinforcements[[#This Row],[h]]+(2*Reinforcements[[#This Row],[b]]))),"N/A")</f>
        <v>N/A</v>
      </c>
      <c r="FN52" s="236" t="str">
        <f>IF(Reinforcements[[#This Row],[Type]]="channel",(1-(((Reinforcements[[#This Row],[xo]]^2)+(Reinforcements[[#This Row],[yo]]^2))/Reinforcements[[#This Row],[ro^2(bar)]])),"N/A")</f>
        <v>N/A</v>
      </c>
      <c r="FO52" s="237">
        <v>11200</v>
      </c>
      <c r="FP52" s="236" t="str">
        <f>IF(Reinforcements[[#This Row],[Type]]="channel",(((Reinforcements[[#This Row],[h]]^2)*(Reinforcements[[#This Row],[b]]^3)*Reinforcements[[#This Row],[t]])/12)*(((2*Reinforcements[[#This Row],[h]])+(3*Reinforcements[[#This Row],[b]]))/(Reinforcements[[#This Row],[h]]+(6*Reinforcements[[#This Row],[b]]))),"N/A")</f>
        <v>N/A</v>
      </c>
      <c r="FQ52" s="236" t="str">
        <f>IF(Reinforcements[[#This Row],[Type]]="Channel",((((PI()^2)*Reinforcements[[#This Row],[E, (ksi)]]*Reinforcements[[#This Row],['[Channel'] CW (in6)]])/(Reinforcements[[#This Row],[Lcz]]^2))+(Reinforcements[[#This Row],[G]]*Reinforcements[[#This Row],['[Channel'] J (in4)]]))*(1/(Reinforcements[[#This Row],[Ag]]*Reinforcements[[#This Row],[ro^2(bar)]])),"N/A")</f>
        <v>N/A</v>
      </c>
      <c r="FR52" s="236" t="str">
        <f>IF(Reinforcements[[#This Row],[Type]]="channel",((PI()^2)*Reinforcements[[#This Row],[E, (ksi)]])/(Reinforcements[[#This Row],[Lcy/ry]]^2),"N/A")</f>
        <v>N/A</v>
      </c>
      <c r="FS52" s="236" t="str">
        <f>IF(Reinforcements[[#This Row],[Type]]="channel",((Reinforcements[[#This Row],[Fey]]+Reinforcements[[#This Row],[Fez]])/(2*Reinforcements[[#This Row],[H2]]))*(1-SQRT(1-((4*Reinforcements[[#This Row],[Fey]]*Reinforcements[[#This Row],[Fez]]*Reinforcements[[#This Row],[H2]])/(Reinforcements[[#This Row],[Fey]]+Reinforcements[[#This Row],[Fez]])^2))),"N/A")</f>
        <v>N/A</v>
      </c>
      <c r="FT52" s="236" t="str">
        <f>IF(Reinforcements[[#This Row],[Type]]="channel",IF(Reinforcements[[#This Row],[Lcx/rx]]&gt;(4.71*SQRT(Reinforcements[[#This Row],[E, (ksi)]]/Reinforcements[[#This Row],[Fy, (ksi)]])),0.877*Reinforcements[[#This Row],[Fe (FTB)]],0.658^(Reinforcements[[#This Row],[Fy, (ksi)]]/Reinforcements[[#This Row],[Fe (FTB)]])*Reinforcements[[#This Row],[Fy, (ksi)]]),"N/A")</f>
        <v>N/A</v>
      </c>
      <c r="FU52" s="236" t="str">
        <f>IF(Reinforcements[[#This Row],[Type]]="channel",MIN(Reinforcements[[#This Row],[Fcr(FTB)]],Reinforcements[[#This Row],[Fcry (ksi)]]),"N/A")</f>
        <v>N/A</v>
      </c>
      <c r="FV52" s="237">
        <v>0.22</v>
      </c>
      <c r="FW52" s="237">
        <v>1.49</v>
      </c>
      <c r="FX52" s="236" t="str">
        <f>IF(Reinforcements[[#This Row],[Type]]="channel",((Reinforcements[[#This Row],[c2]]*(Reinforcements[[#This Row],[λrf]]/Reinforcements[[#This Row],[λf]]))^2)*Reinforcements[[#This Row],[Fy, (ksi)]],"N/A")</f>
        <v>N/A</v>
      </c>
      <c r="FY52" s="236" t="str">
        <f>IF(Reinforcements[[#This Row],[Type]]="channel",((Reinforcements[[#This Row],[c2]]*(Reinforcements[[#This Row],[λrw]]/Reinforcements[[#This Row],[λw]]))^2)*Reinforcements[[#This Row],[Fy, (ksi)]],"N/A")</f>
        <v>N/A</v>
      </c>
      <c r="FZ52"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2"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2"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2" s="236" t="str">
        <f>IF(Reinforcements[[#This Row],[Type]]="channel",Reinforcements[[#This Row],[Fcr]]*Reinforcements[[#This Row],[Ae]],"N/A")</f>
        <v>N/A</v>
      </c>
      <c r="GD52" s="466">
        <f>IF(Reinforcements[[#This Row],[Reinforcement]]="","",φ_c*Reinforcements[[#This Row],[Pnx, FB (kip)]])</f>
        <v>121.2767486709046</v>
      </c>
      <c r="GE52" s="466">
        <f>IF(Reinforcements[[#This Row],[Reinforcement]]="","",IF(Reinforcements[[#This Row],[Type]]="channel",φ_c*Reinforcements[[#This Row],[Pn]],φ_c*Reinforcements[[#This Row],[Pny, FB (kip)]]))</f>
        <v>171.97313795297194</v>
      </c>
      <c r="GF52" s="466">
        <f>Reinforcements[[#This Row],[Rev. G Tension Yield Capacity (kips)]]</f>
        <v>175.5</v>
      </c>
      <c r="GG52" s="466">
        <f>Reinforcements[[#This Row],[Rev. G Tension Rupture Capacity (kips)]]</f>
        <v>120.9375</v>
      </c>
      <c r="GH52" s="466">
        <f>Reinforcements[[#This Row],[Rev. G Shear Capacity (kips)]]</f>
        <v>87.75</v>
      </c>
      <c r="GI52" s="466">
        <f>IFERROR((Reinforcements[[#This Row],['# of End Connection Bolts          (Bottom)]]-1)*Reinforcements[[#This Row],[End Connection Bolt Spacing (in) (B)]],"-")</f>
        <v>9</v>
      </c>
      <c r="GJ52" s="466">
        <f>IFERROR(IF(VLOOKUP(Reinforcements[[#This Row],[Bottom End Connection Bolt Type]],Bolts[],COLUMN(Bolts[[#Headers],[Rev. H Apply Connection Length Reduction Factor (Rb)?]])-1,FALSE)="Yes",(IF(Reinforcements[[#This Row],[Lb(bottom)]]&lt;=16,1,IF(Reinforcements[[#This Row],[Lb(bottom)]]&gt;38,0.75,0.9))),1),"-")</f>
        <v>1</v>
      </c>
      <c r="GK52"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185.59856388327174</v>
      </c>
      <c r="GL52" s="466">
        <f>IFERROR(IF(Reinforcements[[#This Row],[Top End Connection Same?]]="Yes",Reinforcements[[#This Row],[Lb(bottom)]],(Reinforcements[[#This Row],['# of End Connection Bolts          (Top)]]-1)*Reinforcements[[#This Row],[End Connection Bolt Spacing (in) (T)]]),"-")</f>
        <v>9</v>
      </c>
      <c r="GM52" s="466">
        <f>IFERROR(IF(VLOOKUP(Reinforcements[[#This Row],[Top End Connection Bolt Type]],Bolts[],COLUMN(Bolts[[#Headers],[Rev. H Apply Connection Length Reduction Factor (Rb)?]])-1,FALSE)="Yes",(IF(Reinforcements[[#This Row],[Lb(top)]]&lt;=16,1,IF(Reinforcements[[#This Row],[Lb(top)]]&gt;38,0.75,0.9))),1),"-")</f>
        <v>1</v>
      </c>
      <c r="GN52"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185.59856388327174</v>
      </c>
      <c r="GO52" s="466">
        <f>Reinforcements[[#This Row],[Rev. G Bolt-Shaft Bearing Capacity (Bottom)                No Deformation          (*t*Fu kips)]]</f>
        <v>7.8741732283464563</v>
      </c>
      <c r="GP52" s="466">
        <f>Reinforcements[[#This Row],[Rev. G Bolt-Shaft Bearing Capacity (Bottom)                   Deformation          (*t*Fu kips)]]</f>
        <v>9.8427165354330697</v>
      </c>
      <c r="GQ52" s="466">
        <f>Reinforcements[[#This Row],[Rev. G Bolt-Shaft Bearing Capacity (Top)                    No Deformation          (*t*Fu kips)]]</f>
        <v>7.8741732283464563</v>
      </c>
      <c r="GR52" s="466">
        <f>Reinforcements[[#This Row],[Rev. G Bolt-Shaft Bearing Capacity (Top)                        Deformation          (*t*Fu kips)]]</f>
        <v>9.8427165354330697</v>
      </c>
      <c r="GS52" s="466">
        <f>Reinforcements[[#This Row],[Rev. G Bolt-Reinf. Bearing Capacity (Bottom)            No Deformation (kips)]]</f>
        <v>472.4503937007874</v>
      </c>
      <c r="GT52" s="466">
        <f>Reinforcements[[#This Row],[Rev. G Bolt-Reinf. Bearing Capacity (Bottom)               Deformation (kips)]]</f>
        <v>590.56299212598424</v>
      </c>
      <c r="GU52" s="466">
        <f>Reinforcements[[#This Row],[Rev. G Bolt-Reinf. Bearing Capacity (Top)                  No Deformation (kips)]]</f>
        <v>472.4503937007874</v>
      </c>
      <c r="GV52" s="466">
        <f>Reinforcements[[#This Row],[Rev. G Bolt-Reinf. Bearing Capacity (Top)               Deformation (kips)]]</f>
        <v>590.56299212598424</v>
      </c>
      <c r="GW52" s="466" t="str">
        <f>Reinforcements[[#This Row],[Rev. G Bottom Transverse Weld Strength]]</f>
        <v>-</v>
      </c>
      <c r="GX52" s="466" t="str">
        <f>Reinforcements[[#This Row],[Rev. G Bottom Longitudinal Weld Strength]]</f>
        <v>-</v>
      </c>
      <c r="GY52" s="466" t="str">
        <f>Reinforcements[[#This Row],[Rev. G Top Transverse Weld Strength]]</f>
        <v>-</v>
      </c>
      <c r="GZ52" s="466" t="str">
        <f>Reinforcements[[#This Row],[Rev. G Top Longitudinal Weld Strength]]</f>
        <v>-</v>
      </c>
      <c r="HA52" s="552">
        <v>50</v>
      </c>
      <c r="HB52"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3" spans="2:210" x14ac:dyDescent="0.2">
      <c r="B53" s="72" t="s">
        <v>246</v>
      </c>
      <c r="C53" s="72" t="s">
        <v>146</v>
      </c>
      <c r="D53" s="185">
        <v>4.5</v>
      </c>
      <c r="E53" s="185">
        <v>1</v>
      </c>
      <c r="F53" s="185" t="str">
        <f>IF(Reinforcements[[#This Row],[Type]]="","",IF(Reinforcements[[#This Row],[Type]]="solid round","","n/a"))</f>
        <v>n/a</v>
      </c>
      <c r="G53" s="185" t="str">
        <f>IF(Reinforcements[[#This Row],[Type]]="","",IF(Reinforcements[[#This Row],[Type]]&lt;&gt;"channel","n/a",""))</f>
        <v>n/a</v>
      </c>
      <c r="H53" s="185" t="str">
        <f>IF(Reinforcements[[#This Row],[Type]]="","",IF(Reinforcements[[#This Row],[Type]]&lt;&gt;"channel","n/a",""))</f>
        <v>n/a</v>
      </c>
      <c r="I53" s="197" t="str">
        <f>IF(Reinforcements[[#This Row],[Type]]="","",IF(Reinforcements[[#This Row],[Type]]&lt;&gt;"channel","n/a",Reinforcements[[#This Row],[eo]]))</f>
        <v>n/a</v>
      </c>
      <c r="J53" s="197" t="str">
        <f>IF(Reinforcements[[#This Row],[Type]]="","",IF(Reinforcements[[#This Row],[Type]]&lt;&gt;"channel","n/a",Reinforcements[[#This Row],[J]]))</f>
        <v>n/a</v>
      </c>
      <c r="K53" s="197" t="str">
        <f>IF(Reinforcements[[#This Row],[Type]]="","",IF(Reinforcements[[#This Row],[Type]]&lt;&gt;"channel","n/a",Reinforcements[[#This Row],[Cw]]))</f>
        <v>n/a</v>
      </c>
      <c r="L53" s="185">
        <f>IFERROR(IF(Reinforcements[[#This Row],[Type]]="","",IF(Reinforcements[[#This Row],[Type]]="plate",Reinforcements[[#This Row],[B (in)]]*Reinforcements[[#This Row],[H (in)]],IF(Reinforcements[[#This Row],[Type]]="solid round",PI()/4*Reinforcements[[#This Row],[Diameter (in)]]^2,""))),"")</f>
        <v>4.5</v>
      </c>
      <c r="M53" s="185">
        <f>IFERROR(IF(Reinforcements[[#This Row],[Type]]="","",IF(Reinforcements[[#This Row],[Type]]="plate",Reinforcements[[#This Row],[H (in)]]/2,"")),"")</f>
        <v>0.5</v>
      </c>
      <c r="N53" s="186" t="s">
        <v>297</v>
      </c>
      <c r="O53" s="185" t="s">
        <v>60</v>
      </c>
      <c r="P53" s="187">
        <f>IFERROR(IF(Reinforcements[[#This Row],[Type]]="","",IF(Reinforcements[[#This Row],[Type]]="plate",Reinforcements[[#This Row],[B (in)]]*Reinforcements[[#This Row],[H (in)]]^3/12,IF(Reinforcements[[#This Row],[Type]]="solid round",PI()/64*Reinforcements[[#This Row],[Diameter (in)]]^4,""))),"")</f>
        <v>0.375</v>
      </c>
      <c r="Q53" s="187">
        <f>IF(Reinforcements[[#This Row],[Reinforcement]]="","",SQRT(Reinforcements[[#This Row],[Ix]]/Reinforcements[[#This Row],[Gross Area (in2)]]))</f>
        <v>0.28867513459481287</v>
      </c>
      <c r="R53" s="187">
        <f>IFERROR(IF(Reinforcements[[#This Row],[Type]]="","",IF(Reinforcements[[#This Row],[Type]]="plate",Reinforcements[[#This Row],[B (in)]]^3*Reinforcements[[#This Row],[H (in)]]/12,IF(Reinforcements[[#This Row],[Type]]="solid round",PI()/64*Reinforcements[[#This Row],[Diameter (in)]]^4,""))),"")</f>
        <v>7.59375</v>
      </c>
      <c r="S53" s="187">
        <f>IF(Reinforcements[[#This Row],[Reinforcement]]="","",SQRT(Reinforcements[[#This Row],[Iy]]/Reinforcements[[#This Row],[Gross Area (in2)]]))</f>
        <v>1.299038105676658</v>
      </c>
      <c r="T53" s="190">
        <v>20.625</v>
      </c>
      <c r="U53" s="188">
        <v>0.8</v>
      </c>
      <c r="V53" s="188">
        <v>1</v>
      </c>
      <c r="W53" s="185">
        <v>1.1875</v>
      </c>
      <c r="X53" s="188">
        <f>IF(Reinforcements[[#This Row],[Bolt Hole Size (in)]]="","",IF(Reinforcements[[#This Row],[Bolt Hole Size (in)]]="n/a","n/a",Reinforcements[[#This Row],[Bolt Hole Size (in)]]*25.4))</f>
        <v>30.162499999999998</v>
      </c>
      <c r="Y53"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53" s="185">
        <f>IFERROR(IF(Reinforcements[[#This Row],[Reinforcement]]="","",IF(OR(Reinforcements[[#This Row],[Type]]="plate",Reinforcements[[#This Row],[Type]]="solid round"),1,IF(Reinforcements[[#This Row],[Type]]="arbitrary","",1-Reinforcements[[#This Row],[Pole Face to Centroid (in)]]/Reinforcements[[#This Row],[Connection Length (in) '[Channels']]]))),"")</f>
        <v>1</v>
      </c>
      <c r="AA53" s="200" t="s">
        <v>391</v>
      </c>
      <c r="AB53" s="200" t="str">
        <f>IF(Reinforcements[[#This Row],[Reinforcement]]="","",IF(Reinforcements[[#This Row],[Bottom End Connection Type]]&lt;&gt;"Capacity Input","-",""))</f>
        <v>-</v>
      </c>
      <c r="AC53" s="200" t="str">
        <f>IF(Reinforcements[[#This Row],[Reinforcement]]="","",IF(Reinforcements[[#This Row],[Bottom End Connection Type]]&lt;&gt;"Capacity Input","-",""))</f>
        <v>-</v>
      </c>
      <c r="AD53" s="461" t="str">
        <f>IF(Reinforcements[[#This Row],[Reinforcement]]="","",IF(Reinforcements[[#This Row],[Bottom End Connection Type]]&lt;&gt;"Capacity Input","-",""))</f>
        <v>-</v>
      </c>
      <c r="AE53" s="103" t="s">
        <v>416</v>
      </c>
      <c r="AF53" s="190" t="s">
        <v>296</v>
      </c>
      <c r="AG53" s="190">
        <v>6</v>
      </c>
      <c r="AH53" s="190">
        <v>3</v>
      </c>
      <c r="AI53" s="190">
        <v>3</v>
      </c>
      <c r="AJ53" s="190">
        <f>Reinforcements[[#This Row],[End Connection Edge Distance (in) (B)]]-(Reinforcements[[#This Row],[Bolt Hole Size (in)]]+1/16)/2</f>
        <v>2.375</v>
      </c>
      <c r="AK53" s="190">
        <f>Reinforcements[[#This Row],[End Connection Bolt Spacing (in) (B)]]-(Reinforcements[[#This Row],[Bolt Hole Size (in)]]+1/16)</f>
        <v>1.75</v>
      </c>
      <c r="AL53" s="190">
        <f>Reinforcements[[#This Row],[End Connection Edge Distance (in) (B)]]</f>
        <v>3</v>
      </c>
      <c r="AM53" s="190">
        <f>Reinforcements[[#This Row],[End Connection Bolt Spacing (in) (B)]]</f>
        <v>3</v>
      </c>
      <c r="AN53" s="190" t="str">
        <f>IF(Reinforcements[[#This Row],[Reinforcement]]="","",IF(OR(Reinforcements[[#This Row],[Bottom End Connection Type]]="Bolted",Reinforcements[[#This Row],[Bottom End Connection Type]]=""),"-",""))</f>
        <v>-</v>
      </c>
      <c r="AO53" s="191" t="str">
        <f>IF(Reinforcements[[#This Row],[Reinforcement]]="","",IF(OR(Reinforcements[[#This Row],[Bottom End Connection Type]]="Bolted",Reinforcements[[#This Row],[Bottom End Connection Type]]=""),"-",""))</f>
        <v>-</v>
      </c>
      <c r="AP53" s="191" t="str">
        <f>IF(Reinforcements[[#This Row],[Reinforcement]]="","",IF(OR(Reinforcements[[#This Row],[Bottom End Connection Type]]="Bolted",Reinforcements[[#This Row],[Bottom End Connection Type]]=""),"-",""))</f>
        <v>-</v>
      </c>
      <c r="AQ53" s="191" t="str">
        <f>IF(OR(Reinforcements[[#This Row],[Bottom End Connection Type]]="Bolted",Reinforcements[[#This Row],[Bottom Transverse (Horizontal) Weld]]="none"),"-","")</f>
        <v>-</v>
      </c>
      <c r="AR5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3" s="191" t="str">
        <f>IF(OR(Reinforcements[[#This Row],[Bottom Transverse (Horizontal) Weld]]="none",Reinforcements[[#This Row],[Bottom End Connection Type]]="Bolted"),"-","")</f>
        <v>-</v>
      </c>
      <c r="AU53"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3" s="191" t="str">
        <f>IF(Reinforcements[[#This Row],[Reinforcement]]="","",IF(OR(Reinforcements[[#This Row],[Bottom End Connection Type]]="Bolted",Reinforcements[[#This Row],[Bottom End Connection Type]]=""),"-",""))</f>
        <v>-</v>
      </c>
      <c r="AW53" s="191" t="str">
        <f>IF(Reinforcements[[#This Row],[Reinforcement]]="","",IF(OR(Reinforcements[[#This Row],[Bottom End Connection Type]]&lt;&gt;"Welded",Reinforcements[[#This Row],[Bottom Longitudinal (Vertical) Weld]]="None",Reinforcements[[#This Row],[Bottom Longitudinal (Vertical) Weld]]=""),"-",""))</f>
        <v>-</v>
      </c>
      <c r="AX53" s="191" t="str">
        <f>IF(Reinforcements[[#This Row],[Reinforcement]]="","",IF(OR(Reinforcements[[#This Row],[Bottom End Connection Type]]&lt;&gt;"Welded",Reinforcements[[#This Row],[Bottom Longitudinal (Vertical) Weld]]="None",Reinforcements[[#This Row],[Bottom Longitudinal (Vertical) Weld]]=""),"-",""))</f>
        <v>-</v>
      </c>
      <c r="AY53" s="190" t="str">
        <f>IF(Reinforcements[[#This Row],[Reinforcement]]="","",IF(OR(Reinforcements[[#This Row],[Bottom End Connection Type]]&lt;&gt;"Welded",Reinforcements[[#This Row],[Bottom Longitudinal (Vertical) Weld]]="None"),"-",SQRT(2)/2*Reinforcements[[#This Row],[Bottom Longitudinal Weld Fillet Size (in)]]))</f>
        <v>-</v>
      </c>
      <c r="AZ53" s="190" t="s">
        <v>295</v>
      </c>
      <c r="BA53" s="189" t="str">
        <f>IF(Reinforcements[[#This Row],[Top End Connection Same?]]="Yes",Reinforcements[[#This Row],[Bottom End Connection Type]],"")</f>
        <v>Bolted</v>
      </c>
      <c r="BB53" s="189" t="str">
        <f>IF(Reinforcements[[#This Row],[Reinforcement]]="","",IF(Reinforcements[[#This Row],[Top End Connection Same?]]="Yes",Reinforcements[[#This Row],[Rev. F Bottom Connection Capacity (kips)]],IF(Reinforcements[[#This Row],[Reinforcement]]="","",IF(Reinforcements[[#This Row],[Top End Connection Type]]&lt;&gt;"Capacity Input","-",""))))</f>
        <v>-</v>
      </c>
      <c r="BC53" s="189" t="str">
        <f>IF(Reinforcements[[#This Row],[Reinforcement]]="","",IF(Reinforcements[[#This Row],[Top End Connection Same?]]="Yes",Reinforcements[[#This Row],[Rev. G Bottom Connection Capacity (kips)]],IF(Reinforcements[[#This Row],[Reinforcement]]="","",IF(Reinforcements[[#This Row],[Top End Connection Type]]&lt;&gt;"Capacity Input","-",""))))</f>
        <v>-</v>
      </c>
      <c r="BD53" s="461" t="str">
        <f>IF(Reinforcements[[#This Row],[Reinforcement]]="","",IF(Reinforcements[[#This Row],[Top End Connection Same?]]="Yes",Reinforcements[[#This Row],[Rev. G Bottom Connection Capacity (kips)]],IF(Reinforcements[[#This Row],[Reinforcement]]="","",IF(Reinforcements[[#This Row],[Top End Connection Type]]&lt;&gt;"Capacity Input","-",""))))</f>
        <v>-</v>
      </c>
      <c r="BE53" s="103" t="str">
        <f>IF(Reinforcements[[#This Row],[Top End Connection Same?]]="Yes",Reinforcements[[#This Row],[Bottom End Connection Bolt Type]],IF(Reinforcements[[#This Row],[Top End Connection Type]]="Welded","-",""))</f>
        <v>PC 8.8 - M20 (100)</v>
      </c>
      <c r="BF53" s="190" t="str">
        <f>IF(Reinforcements[[#This Row],[Top End Connection Same?]]="Yes",Reinforcements[[#This Row],[Threads Included (N) or Excluded (X) (Bottom)]],IF(Reinforcements[[#This Row],[Top End Connection Type]]="Welded","-",""))</f>
        <v>N</v>
      </c>
      <c r="BG53" s="190">
        <f>IF(Reinforcements[[#This Row],[Top End Connection Same?]]="Yes",Reinforcements[[#This Row],['# of End Connection Bolts          (Bottom)]],IF(Reinforcements[[#This Row],[Top End Connection Type]]="Welded","-",""))</f>
        <v>6</v>
      </c>
      <c r="BH53" s="190">
        <f>IF(Reinforcements[[#This Row],[Top End Connection Same?]]="Yes",Reinforcements[[#This Row],[End Connection Bolt Spacing (in) (B)]],IF(Reinforcements[[#This Row],[Top End Connection Type]]="Welded","-",""))</f>
        <v>3</v>
      </c>
      <c r="BI53" s="190">
        <f>IF(Reinforcements[[#This Row],[Top End Connection Same?]]="Yes",Reinforcements[[#This Row],[End Connection Edge Distance (in) (B)]],IF(Reinforcements[[#This Row],[Top End Connection Type]]="Welded","-",""))</f>
        <v>3</v>
      </c>
      <c r="BJ53" s="190">
        <f>Reinforcements[[#This Row],[End Connection Edge Distance (in) (T)]]-(Reinforcements[[#This Row],[Bolt Hole Size (in)]]+1/16)/2</f>
        <v>2.375</v>
      </c>
      <c r="BK53" s="190">
        <f>Reinforcements[[#This Row],[End Connection Bolt Spacing (in) (T)]]-(Reinforcements[[#This Row],[Bolt Hole Size (in)]]+1/16)</f>
        <v>1.75</v>
      </c>
      <c r="BL53" s="190">
        <f>Reinforcements[[#This Row],[End Connection Edge Distance (in) (T)]]</f>
        <v>3</v>
      </c>
      <c r="BM53" s="190">
        <f>Reinforcements[[#This Row],[End Connection Bolt Spacing (in) (T)]]</f>
        <v>3</v>
      </c>
      <c r="BN53" s="190" t="str">
        <f>IF(Reinforcements[[#This Row],[Reinforcement]]="","",IF(Reinforcements[[#This Row],[Top End Connection Same?]]="Yes",Reinforcements[[#This Row],[Bottom Connected to Flange/Base Plate?]],IF(Reinforcements[[#This Row],[Top End Connection Type]]="Bolted","-","")))</f>
        <v>-</v>
      </c>
      <c r="BO53" s="190" t="str">
        <f>IF(Reinforcements[[#This Row],[Reinforcement]]="","",IF(Reinforcements[[#This Row],[Top End Connection Same?]]="Yes",Reinforcements[[#This Row],[Bottom Weld Grade (ksi)]],IF(OR(Reinforcements[[#This Row],[Top End Connection Type]]&lt;&gt;"Welded",Reinforcements[[#This Row],[Top End Connection Type]]=""),"-","")))</f>
        <v>-</v>
      </c>
      <c r="BP53" s="190" t="str">
        <f>IF($AZ53="Yes",AP53,IF(Reinforcements[[#This Row],[Reinforcement]]="","",IF(OR(Reinforcements[[#This Row],[Top End Connection Type]]&lt;&gt;"Welded",Reinforcements[[#This Row],[Top End Connection Type]]=""),"-","")))</f>
        <v>-</v>
      </c>
      <c r="BQ53" s="190" t="str">
        <f>IF(Reinforcements[[#This Row],[Reinforcement]]="","",IF($AZ53="Yes",AQ53,IF(OR(Reinforcements[[#This Row],[Top End Connection Type]]&lt;&gt;"Welded",Reinforcements[[#This Row],[Top Transverse (Horizontal) Weld]]="none",Reinforcements[[#This Row],[Top Transverse (Horizontal) Weld]]=""),"-","")))</f>
        <v>-</v>
      </c>
      <c r="BR53" s="190" t="str">
        <f>IF($AZ53="Yes",AR53,IF(Reinforcements[[#This Row],[Reinforcement]]="","",IF(OR(Reinforcements[[#This Row],[Top Transverse (Horizontal) Weld]]="none",Reinforcements[[#This Row],[Top End Connection Type]]&lt;&gt;"Welded",Reinforcements[[#This Row],[Top Transverse (Horizontal) Weld]]="",Reinforcements[[#This Row],[Top Transverse (Horizontal) Weld]]="Fillet"),"-","")))</f>
        <v>-</v>
      </c>
      <c r="BS53" s="190" t="str">
        <f>IF($AZ53="Yes",AS53,IF(Reinforcements[[#This Row],[Reinforcement]]="","",IF(OR(Reinforcements[[#This Row],[Top Transverse (Horizontal) Weld]]="none",Reinforcements[[#This Row],[Top End Connection Type]]&lt;&gt;"Welded",Reinforcements[[#This Row],[Top Transverse (Horizontal) Weld]]="",Reinforcements[[#This Row],[Top Transverse (Horizontal) Weld]]="Fillet"),"-","")))</f>
        <v>-</v>
      </c>
      <c r="BT53" s="190" t="str">
        <f>IF(Reinforcements[[#This Row],[Reinforcement]]="","",IF($AZ53="Yes",AT53,IF(OR(Reinforcements[[#This Row],[Top Transverse (Horizontal) Weld]]="none",Reinforcements[[#This Row],[Top End Connection Type]]&lt;&gt;"Welded",Reinforcements[[#This Row],[Top Transverse (Horizontal) Weld]]=""),"-","")))</f>
        <v>-</v>
      </c>
      <c r="BU53" s="190" t="str">
        <f>IF($AZ53="Yes",AU53,IF(Reinforcements[[#This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3" s="190" t="str">
        <f>IF($AZ53="Yes",AV53,IF(Reinforcements[[#This Row],[Reinforcement]]="","",IF(OR(Reinforcements[[#This Row],[Top End Connection Type]]&lt;&gt;"Welded",Reinforcements[[#This Row],[Top End Connection Type]]=""),"-","")))</f>
        <v>-</v>
      </c>
      <c r="BW53" s="190" t="str">
        <f>IF($AZ53="Yes",AW53,IF(Reinforcements[[#This Row],[Reinforcement]]="","",IF(OR(Reinforcements[[#This Row],[Top End Connection Type]]&lt;&gt;"Welded",Reinforcements[[#This Row],[Top End Connection Type]]="",Reinforcements[[#This Row],[Top Longitudinal (Vertical) Weld]]="",Reinforcements[[#This Row],[Top Longitudinal (Vertical) Weld]]="None"),"-","")))</f>
        <v>-</v>
      </c>
      <c r="BX53" s="190" t="str">
        <f>IF($AZ53="Yes",AX53,IF(Reinforcements[[#This Row],[Reinforcement]]="","",IF(OR(Reinforcements[[#This Row],[Top End Connection Type]]&lt;&gt;"Welded",Reinforcements[[#This Row],[Top End Connection Type]]="",Reinforcements[[#This Row],[Top Longitudinal (Vertical) Weld]]="",Reinforcements[[#This Row],[Top Longitudinal (Vertical) Weld]]="None"),"-","")))</f>
        <v>-</v>
      </c>
      <c r="BY53" s="190" t="str">
        <f>IF($AZ53="Yes",AY53,IF(Reinforcements[[#This Row],[Reinforcement]]="","",IF(OR(Reinforcements[[#This Row],[Top End Connection Type]]&lt;&gt;"Welded",Reinforcements[[#This Row],[Top Longitudinal (Vertical) Weld]]="none"),"-",SQRT(2)/2*Reinforcements[[#This Row],[Top Longitudinal Weld Fillet Size (in)]])))</f>
        <v>-</v>
      </c>
      <c r="BZ53"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3" s="192">
        <f>IF(Reinforcements[[#This Row],[Reinforcement]]="","",IF(Reinforcements[[#This Row],[Bottom End Connection Type]]&lt;&gt;"Bolted","n/a",(Reinforcements[[#This Row],['# of End Connection Bolts          (Bottom)]]-1)*Reinforcements[[#This Row],[End Connection Bolt Spacing (in) (B)]]+Reinforcements[[#This Row],[End Connection Edge Distance (in) (B)]]))</f>
        <v>18</v>
      </c>
      <c r="CB53" s="192">
        <f>IF(Reinforcements[[#This Row],[Reinforcement]]="","",IF(Reinforcements[[#This Row],[Top End Connection Type]]&lt;&gt;"Bolted","n/a",(Reinforcements[[#This Row],['# of End Connection Bolts          (Top)]]-1)*Reinforcements[[#This Row],[End Connection Bolt Spacing (in) (T)]]+Reinforcements[[#This Row],[End Connection Edge Distance (in) (T)]]))</f>
        <v>18</v>
      </c>
      <c r="CC53"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53"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3" s="185">
        <f>IFERROR(IF(Reinforcements[[#This Row],[Type]]="","",Reinforcements[[#This Row],[Effective B (in)]]*Reinforcements[[#This Row],[Effective H (in)]]^3/12),"")</f>
        <v>0.375</v>
      </c>
      <c r="CF53" s="185">
        <f>IFERROR(IF(Reinforcements[[#This Row],[Type]]="","",Reinforcements[[#This Row],[Effective B (in)]]^3*Reinforcements[[#This Row],[Effective H (in)]]/12),"")</f>
        <v>7.59375</v>
      </c>
      <c r="CG53" s="197">
        <f>SQRT(2*PI()^2*29000/VLOOKUP(Reinforcements[[#This Row],[Material]],Materials[],2,FALSE))</f>
        <v>93.844147005158973</v>
      </c>
      <c r="CH53"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28.360231616644178</v>
      </c>
      <c r="CI53"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37.045096234865902</v>
      </c>
      <c r="CJ53" s="239">
        <f>Reinforcements[[#This Row],[Effective Length Factor Kx]]*Reinforcements[[#This Row],[Lu (in)]]/(Reinforcements[[#This Row],[rx]]*PI())*SQRT(VLOOKUP(Reinforcements[[#This Row],[Material]],Materials[],2,FALSE)/29000)</f>
        <v>0.86135538647286303</v>
      </c>
      <c r="CK53" s="239">
        <f>Reinforcements[[#This Row],[Effective Length Factor Ky]]*Reinforcements[[#This Row],[Lu (in)]]/(Reinforcements[[#This Row],[ry]]*PI())*SQRT(VLOOKUP(Reinforcements[[#This Row],[Material]],Materials[],2,FALSE)/29000)</f>
        <v>0.23926538513135082</v>
      </c>
      <c r="CL53" s="239">
        <f>IF(Reinforcements[[#This Row],[λcx]]&lt;=1.5,0.658^(Reinforcements[[#This Row],[λcx]]^2)*Reinforcements[[#This Row],[F''y]],0.877/(Reinforcements[[#This Row],[λcx]]^2)*Reinforcements[[#This Row],[F''y]])</f>
        <v>47.648488665866502</v>
      </c>
      <c r="CM53" s="239">
        <f>IF(Reinforcements[[#This Row],[λcy]]&lt;=1.5,0.658^(Reinforcements[[#This Row],[λcy]]^2)*Reinforcements[[#This Row],[F''y]],0.877/(Reinforcements[[#This Row],[λcy]]^2)*Reinforcements[[#This Row],[F''y]])</f>
        <v>63.46103726403328</v>
      </c>
      <c r="CN53" s="236">
        <f>VLOOKUP(Reinforcements[[#This Row],[Material]],Materials[],2,FALSE)</f>
        <v>65</v>
      </c>
      <c r="CO53" s="235">
        <f>IF(Reinforcements[[#This Row],[Reinforcement]]="","",Reinforcements[[#This Row],[Fax]]*Reinforcements[[#This Row],[Gross Area (in2)]])</f>
        <v>127.6210422748988</v>
      </c>
      <c r="CP53" s="197">
        <f>IF(Reinforcements[[#This Row],[Reinforcement]]="","",Reinforcements[[#This Row],[Fay]]*Reinforcements[[#This Row],[Gross Area (in2)]])</f>
        <v>166.70293305689657</v>
      </c>
      <c r="CQ53" s="197">
        <f>IF(Reinforcements[[#This Row],[Reinforcement]]="","",0.6*VLOOKUP(Reinforcements[[#This Row],[Material]],Materials[],2,FALSE)*Reinforcements[[#This Row],[Gross Area (in2)]])</f>
        <v>175.5</v>
      </c>
      <c r="CR53" s="197">
        <f>IF(Reinforcements[[#This Row],[Reinforcement]]="","",0.5*VLOOKUP(Reinforcements[[#This Row],[Material]],Materials[],3,FALSE)*Reinforcements[[#This Row],[Net Area (in2)]]*Reinforcements[[#This Row],[Shear Lag (U)]])</f>
        <v>130</v>
      </c>
      <c r="CS53" s="197">
        <f>IF(Reinforcements[[#This Row],[Reinforcement]]="","",0.4*VLOOKUP(Reinforcements[[#This Row],[Material]],Materials[],2,FALSE)*Reinforcements[[#This Row],[Gross Area (in2)]])</f>
        <v>117</v>
      </c>
      <c r="CT53"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53"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53"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53"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53"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53"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53"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657.63779527559052</v>
      </c>
      <c r="DA53"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737.00787401574803</v>
      </c>
      <c r="DB53"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657.63779527559052</v>
      </c>
      <c r="DC53"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737.00787401574803</v>
      </c>
      <c r="DD53"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3"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3" s="190" t="str">
        <f>IF($AZ53="Yes",DD53,IF(Reinforcements[[#This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3" s="190" t="str">
        <f>IF($AZ53="Yes",DE53,IF(Reinforcements[[#This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3" s="235">
        <f>IF(Reinforcements[[#This Row],[Reinforcement]]="","",φ_c*Reinforcements[[#This Row],[Fcr,x]]*Reinforcements[[#This Row],[Gross Area (in2)]])</f>
        <v>192.97637909675936</v>
      </c>
      <c r="DI53" s="235">
        <f>IF(Reinforcements[[#This Row],[Reinforcement]]="","",φ_c*Reinforcements[[#This Row],[Fcr,y]]*Reinforcements[[#This Row],[Gross Area (in2)]])</f>
        <v>257.01720091933475</v>
      </c>
      <c r="DJ53" s="197">
        <f>IF(Reinforcements[[#This Row],[Reinforcement]]="","",φ_t_y*VLOOKUP(Reinforcements[[#This Row],[Material]],Materials[],2,FALSE)*Reinforcements[[#This Row],[Gross Area (in2)]])</f>
        <v>263.25</v>
      </c>
      <c r="DK53" s="197">
        <f>IF(Reinforcements[[#This Row],[Reinforcement]]="","",φ_t_r*VLOOKUP(Reinforcements[[#This Row],[Material]],Materials[],3,FALSE)*Reinforcements[[#This Row],[Net Area (in2)]]*Reinforcements[[#This Row],[Shear Lag (U)]])</f>
        <v>195</v>
      </c>
      <c r="DL53" s="197">
        <f>IF(Reinforcements[[#This Row],[Reinforcement]]="","",φ_v*0.5*Reinforcements[[#This Row],[F''y]]*Reinforcements[[#This Row],[Gross Area (in2)]])</f>
        <v>131.625</v>
      </c>
      <c r="DM53"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53"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53"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53"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53"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53"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53"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956.97637795275591</v>
      </c>
      <c r="DT53"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1196.2204724409448</v>
      </c>
      <c r="DU53"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956.97637795275591</v>
      </c>
      <c r="DV53"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W53"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3"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3" s="190" t="str">
        <f>IF($AZ53="Yes",DW53,IF(Reinforcements[[#This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3" s="190" t="str">
        <f>IF($AZ53="Yes",DX53,IF(Reinforcements[[#This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3" s="238" t="str">
        <f>IF(OR(Reinforcements[[#This Row],[Type]]="plate",Reinforcements[[#This Row],[Type]]="solid round"),"N/A",Reinforcements[[#This Row],[B (in)]])</f>
        <v>N/A</v>
      </c>
      <c r="EB53" s="236" t="str">
        <f>IF(OR(Reinforcements[[#This Row],[Type]]="plate",Reinforcements[[#This Row],[Type]]="solid round"),"N/A",Reinforcements[[#This Row],[H (in)]])</f>
        <v>N/A</v>
      </c>
      <c r="EC53" s="236" t="str">
        <f>IF(OR(Reinforcements[[#This Row],[Type]]="plate",Reinforcements[[#This Row],[Type]]="solid round"),"N/A",Reinforcements[[#This Row],[B (in)]]-Reinforcements[[#This Row],['[Channel'] Flange Thickness (in)]])</f>
        <v>N/A</v>
      </c>
      <c r="ED53" s="236" t="str">
        <f>IF(OR(Reinforcements[[#This Row],[Type]]="plate",Reinforcements[[#This Row],[Type]]="solid round"),"N/A",Reinforcements[[#This Row],['[Channel']Web Thickness (in)]])</f>
        <v>N/A</v>
      </c>
      <c r="EE53" s="236" t="str">
        <f>IF(OR(Reinforcements[[#This Row],[Type]]="plate",Reinforcements[[#This Row],[Type]]="solid round"),"N/A",Reinforcements[[#This Row],['[Channel'] Flange Thickness (in)]])</f>
        <v>N/A</v>
      </c>
      <c r="EF53" s="236" t="str">
        <f>IF(Reinforcements[[#This Row],[Type]]="channel",Reinforcements[[#This Row],[Channel Flange Width, b]]/Reinforcements[[#This Row],[Channel flange thickness, tf]],"N/A")</f>
        <v>N/A</v>
      </c>
      <c r="EG53" s="236" t="str">
        <f>IF(Reinforcements[[#This Row],[Type]]="channel",Reinforcements[[#This Row],[Channel inside depth, T]]/Reinforcements[[#This Row],[Channel web thickness, tw]],"N/A")</f>
        <v>N/A</v>
      </c>
      <c r="EH53" s="237">
        <v>29000</v>
      </c>
      <c r="EI53" s="236" t="str">
        <f>IF(Reinforcements[[#This Row],[Type]]="channel",0.56*SQRT(Reinforcements[[#This Row],[E, (ksi)]]/Reinforcements[[#This Row],[Fy, (ksi)]]),"N/A")</f>
        <v>N/A</v>
      </c>
      <c r="EJ53" s="236" t="str">
        <f>IF(Reinforcements[[#This Row],[Type]]="channel",1.49*SQRT(Reinforcements[[#This Row],[E, (ksi)]]/Reinforcements[[#This Row],[Fy, (ksi)]]),"N/A")</f>
        <v>N/A</v>
      </c>
      <c r="EK53" s="236">
        <f>VLOOKUP(Reinforcements[[#This Row],[Material]],Materials!$B$2:$C$30,2,FALSE)</f>
        <v>65</v>
      </c>
      <c r="EL53" s="236">
        <f>Reinforcements[[#This Row],[Lu (in)]]*Reinforcements[[#This Row],[Effective Length Factor Kx]]</f>
        <v>16.5</v>
      </c>
      <c r="EM53" s="236">
        <f>Reinforcements[[#This Row],[Lu (in)]]*Reinforcements[[#This Row],[Effective Length Factor Ky]]</f>
        <v>20.625</v>
      </c>
      <c r="EN53" s="236">
        <f>Reinforcements[[#This Row],[rx]]</f>
        <v>0.28867513459481287</v>
      </c>
      <c r="EO53" s="236">
        <f>Reinforcements[[#This Row],[ry]]</f>
        <v>1.299038105676658</v>
      </c>
      <c r="EP53" s="236">
        <f>Reinforcements[[#This Row],[Lcx (in)]]/Reinforcements[[#This Row],[rx (in)]]</f>
        <v>57.157676649772952</v>
      </c>
      <c r="EQ53" s="236">
        <f>Reinforcements[[#This Row],[Lcy (in)]]/Reinforcements[[#This Row],[ry (in)]]</f>
        <v>15.877132402714707</v>
      </c>
      <c r="ER53" s="236">
        <f>((PI()^2)*Reinforcements[[#This Row],[E, (ksi)]])/(Reinforcements[[#This Row],[Lcx/rx]]^2)</f>
        <v>87.608976930392217</v>
      </c>
      <c r="ES53" s="236">
        <f>((PI()^2)*Reinforcements[[#This Row],[E, (ksi)]])/(Reinforcements[[#This Row],[Lcy/ry]]^2)</f>
        <v>1135.4123410178834</v>
      </c>
      <c r="ET53" s="236">
        <f>4.71*(SQRT(Reinforcements[[#This Row],[E, (ksi)]]/Reinforcements[[#This Row],[Fy, (ksi)]]))</f>
        <v>99.486288193205496</v>
      </c>
      <c r="EU53" s="236">
        <f>IF(Reinforcements[[#This Row],[Lcx/rx]]&lt;=Reinforcements[[#This Row],[Fcr Limit]],(0.658^(Reinforcements[[#This Row],[Fy, (ksi)]]/Reinforcements[[#This Row],[Fex, FB (ksi)]]))*Reinforcements[[#This Row],[Fy, (ksi)]],0.877*Reinforcements[[#This Row],[Fex, FB (ksi)]])</f>
        <v>47.648488665866502</v>
      </c>
      <c r="EV53" s="236">
        <f>IF(Reinforcements[[#This Row],[Lcy/ry]]&lt;=Reinforcements[[#This Row],[Fcr Limit]],(0.658^(Reinforcements[[#This Row],[Fy, (ksi)]]/Reinforcements[[#This Row],[Fey, FB (ksi)]]))*Reinforcements[[#This Row],[Fy, (ksi)]],0.877*Reinforcements[[#This Row],[Fey, FB (ksi)]])</f>
        <v>63.46103726403328</v>
      </c>
      <c r="EW53" s="236">
        <f>Reinforcements[[#This Row],[Fcrx (ksi)]]*Reinforcements[[#This Row],[Gross Area (in2)]]</f>
        <v>214.41819899639927</v>
      </c>
      <c r="EX53" s="236">
        <f>Reinforcements[[#This Row],[Fcry (ksi)]]*Reinforcements[[#This Row],[Gross Area (in2)]]</f>
        <v>285.57466768814976</v>
      </c>
      <c r="EY53" s="236" t="str">
        <f>IF(Reinforcements[[#This Row],[Type]]="channel",0,"N/A")</f>
        <v>N/A</v>
      </c>
      <c r="EZ53" s="236" t="str">
        <f>IF(Reinforcements[[#This Row],[Type]]="channel",Reinforcements[[#This Row],[Channel Flange Width, b]]-(0.5*Reinforcements[[#This Row],[Channel web thickness, tw]]),"N/A")</f>
        <v>N/A</v>
      </c>
      <c r="FA53" s="236" t="str">
        <f>IF(Reinforcements[[#This Row],[Type]]="channel",Reinforcements[[#This Row],[Channel Height, h]]-Reinforcements[[#This Row],[Channel flange thickness, tf]],"N/A")</f>
        <v>N/A</v>
      </c>
      <c r="FB53" s="236" t="str">
        <f>IF(Reinforcements[[#This Row],[Type]]="channel",Reinforcements[[#This Row],[Channel web thickness, tw]],"N/A")</f>
        <v>N/A</v>
      </c>
      <c r="FC53" s="236" t="str">
        <f>IF(Reinforcements[[#This Row],[Type]]="channel",((3*Reinforcements[[#This Row],[b]]^2)/(Reinforcements[[#This Row],[h]]+(6*Reinforcements[[#This Row],[b]])))-Reinforcements[[#This Row],[t]]/2,"N/A")</f>
        <v>N/A</v>
      </c>
      <c r="FD53" s="236">
        <f>Reinforcements[[#This Row],[Pole Face to Centroid (in)]]</f>
        <v>0.5</v>
      </c>
      <c r="FE53" s="236" t="str">
        <f>IF(Reinforcements[[#This Row],[Type]]="channel",Reinforcements[[#This Row],[x(bar)]]+Reinforcements[[#This Row],['[Channel'] e0 (in)]],"N/A")</f>
        <v>N/A</v>
      </c>
      <c r="FF53" s="236" t="str">
        <f>IF(Reinforcements[[#This Row],[Type]]="channel",Reinforcements[[#This Row],[Ix]],"N/A")</f>
        <v>N/A</v>
      </c>
      <c r="FG53" s="236" t="str">
        <f>IF(Reinforcements[[#This Row],[Type]]="channel",Reinforcements[[#This Row],[Iy]],"N/A")</f>
        <v>N/A</v>
      </c>
      <c r="FH53" s="236" t="str">
        <f>IF(Reinforcements[[#This Row],[Type]]="channel",Reinforcements[[#This Row],[Gross Area (in2)]],"N/A")</f>
        <v>N/A</v>
      </c>
      <c r="FI53" s="236" t="str">
        <f>IF(Reinforcements[[#This Row],[Type]]="channel",(Reinforcements[[#This Row],[xo]]^2)+((Reinforcements[[#This Row],[Ix (FTB)]]+Reinforcements[[#This Row],[Iy (FTB)]])/Reinforcements[[#This Row],[Ag]]),"N/A")</f>
        <v>N/A</v>
      </c>
      <c r="FJ53" s="236" t="str">
        <f>IF(Reinforcements[[#This Row],[Type]]="channel",Reinforcements[[#This Row],[Lu (in)]],"N/A")</f>
        <v>N/A</v>
      </c>
      <c r="FK53" s="236" t="str">
        <f>IF(Reinforcements[[#This Row],[Type]]="channel",Reinforcements[[#This Row],[Effective Length Factor Kx]],"N/A")</f>
        <v>N/A</v>
      </c>
      <c r="FL53" s="236" t="str">
        <f>IF(Reinforcements[[#This Row],[Type]]="channel",Reinforcements[[#This Row],[Kz]]*Reinforcements[[#This Row],[Lz]],"N/A")</f>
        <v>N/A</v>
      </c>
      <c r="FM53" s="236" t="str">
        <f>IF(Reinforcements[[#This Row],[Type]]="channel",(((Reinforcements[[#This Row],[t]]^3)/3)*(Reinforcements[[#This Row],[h]]+(2*Reinforcements[[#This Row],[b]]))),"N/A")</f>
        <v>N/A</v>
      </c>
      <c r="FN53" s="236" t="str">
        <f>IF(Reinforcements[[#This Row],[Type]]="channel",(1-(((Reinforcements[[#This Row],[xo]]^2)+(Reinforcements[[#This Row],[yo]]^2))/Reinforcements[[#This Row],[ro^2(bar)]])),"N/A")</f>
        <v>N/A</v>
      </c>
      <c r="FO53" s="237">
        <v>11200</v>
      </c>
      <c r="FP53" s="236" t="str">
        <f>IF(Reinforcements[[#This Row],[Type]]="channel",(((Reinforcements[[#This Row],[h]]^2)*(Reinforcements[[#This Row],[b]]^3)*Reinforcements[[#This Row],[t]])/12)*(((2*Reinforcements[[#This Row],[h]])+(3*Reinforcements[[#This Row],[b]]))/(Reinforcements[[#This Row],[h]]+(6*Reinforcements[[#This Row],[b]]))),"N/A")</f>
        <v>N/A</v>
      </c>
      <c r="FQ53" s="236" t="str">
        <f>IF(Reinforcements[[#This Row],[Type]]="Channel",((((PI()^2)*Reinforcements[[#This Row],[E, (ksi)]]*Reinforcements[[#This Row],['[Channel'] CW (in6)]])/(Reinforcements[[#This Row],[Lcz]]^2))+(Reinforcements[[#This Row],[G]]*Reinforcements[[#This Row],['[Channel'] J (in4)]]))*(1/(Reinforcements[[#This Row],[Ag]]*Reinforcements[[#This Row],[ro^2(bar)]])),"N/A")</f>
        <v>N/A</v>
      </c>
      <c r="FR53" s="236" t="str">
        <f>IF(Reinforcements[[#This Row],[Type]]="channel",((PI()^2)*Reinforcements[[#This Row],[E, (ksi)]])/(Reinforcements[[#This Row],[Lcy/ry]]^2),"N/A")</f>
        <v>N/A</v>
      </c>
      <c r="FS53" s="236" t="str">
        <f>IF(Reinforcements[[#This Row],[Type]]="channel",((Reinforcements[[#This Row],[Fey]]+Reinforcements[[#This Row],[Fez]])/(2*Reinforcements[[#This Row],[H2]]))*(1-SQRT(1-((4*Reinforcements[[#This Row],[Fey]]*Reinforcements[[#This Row],[Fez]]*Reinforcements[[#This Row],[H2]])/(Reinforcements[[#This Row],[Fey]]+Reinforcements[[#This Row],[Fez]])^2))),"N/A")</f>
        <v>N/A</v>
      </c>
      <c r="FT53" s="236" t="str">
        <f>IF(Reinforcements[[#This Row],[Type]]="channel",IF(Reinforcements[[#This Row],[Lcx/rx]]&gt;(4.71*SQRT(Reinforcements[[#This Row],[E, (ksi)]]/Reinforcements[[#This Row],[Fy, (ksi)]])),0.877*Reinforcements[[#This Row],[Fe (FTB)]],0.658^(Reinforcements[[#This Row],[Fy, (ksi)]]/Reinforcements[[#This Row],[Fe (FTB)]])*Reinforcements[[#This Row],[Fy, (ksi)]]),"N/A")</f>
        <v>N/A</v>
      </c>
      <c r="FU53" s="236" t="str">
        <f>IF(Reinforcements[[#This Row],[Type]]="channel",MIN(Reinforcements[[#This Row],[Fcr(FTB)]],Reinforcements[[#This Row],[Fcry (ksi)]]),"N/A")</f>
        <v>N/A</v>
      </c>
      <c r="FV53" s="237">
        <v>0.22</v>
      </c>
      <c r="FW53" s="237">
        <v>1.49</v>
      </c>
      <c r="FX53" s="236" t="str">
        <f>IF(Reinforcements[[#This Row],[Type]]="channel",((Reinforcements[[#This Row],[c2]]*(Reinforcements[[#This Row],[λrf]]/Reinforcements[[#This Row],[λf]]))^2)*Reinforcements[[#This Row],[Fy, (ksi)]],"N/A")</f>
        <v>N/A</v>
      </c>
      <c r="FY53" s="236" t="str">
        <f>IF(Reinforcements[[#This Row],[Type]]="channel",((Reinforcements[[#This Row],[c2]]*(Reinforcements[[#This Row],[λrw]]/Reinforcements[[#This Row],[λw]]))^2)*Reinforcements[[#This Row],[Fy, (ksi)]],"N/A")</f>
        <v>N/A</v>
      </c>
      <c r="FZ53"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3"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3"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3" s="236" t="str">
        <f>IF(Reinforcements[[#This Row],[Type]]="channel",Reinforcements[[#This Row],[Fcr]]*Reinforcements[[#This Row],[Ae]],"N/A")</f>
        <v>N/A</v>
      </c>
      <c r="GD53" s="466">
        <f>IF(Reinforcements[[#This Row],[Reinforcement]]="","",φ_c*Reinforcements[[#This Row],[Pnx, FB (kip)]])</f>
        <v>192.97637909675936</v>
      </c>
      <c r="GE53" s="466">
        <f>IF(Reinforcements[[#This Row],[Reinforcement]]="","",IF(Reinforcements[[#This Row],[Type]]="channel",φ_c*Reinforcements[[#This Row],[Pn]],φ_c*Reinforcements[[#This Row],[Pny, FB (kip)]]))</f>
        <v>257.01720091933481</v>
      </c>
      <c r="GF53" s="466">
        <f>Reinforcements[[#This Row],[Rev. G Tension Yield Capacity (kips)]]</f>
        <v>263.25</v>
      </c>
      <c r="GG53" s="466">
        <f>Reinforcements[[#This Row],[Rev. G Tension Rupture Capacity (kips)]]</f>
        <v>195</v>
      </c>
      <c r="GH53" s="466">
        <f>Reinforcements[[#This Row],[Rev. G Shear Capacity (kips)]]</f>
        <v>131.625</v>
      </c>
      <c r="GI53" s="466">
        <f>IFERROR((Reinforcements[[#This Row],['# of End Connection Bolts          (Bottom)]]-1)*Reinforcements[[#This Row],[End Connection Bolt Spacing (in) (B)]],"-")</f>
        <v>15</v>
      </c>
      <c r="GJ53" s="466">
        <f>IFERROR(IF(VLOOKUP(Reinforcements[[#This Row],[Bottom End Connection Bolt Type]],Bolts[],COLUMN(Bolts[[#Headers],[Rev. H Apply Connection Length Reduction Factor (Rb)?]])-1,FALSE)="Yes",(IF(Reinforcements[[#This Row],[Lb(bottom)]]&lt;=16,1,IF(Reinforcements[[#This Row],[Lb(bottom)]]&gt;38,0.75,0.9))),1),"-")</f>
        <v>1</v>
      </c>
      <c r="GK53"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53" s="466">
        <f>IFERROR(IF(Reinforcements[[#This Row],[Top End Connection Same?]]="Yes",Reinforcements[[#This Row],[Lb(bottom)]],(Reinforcements[[#This Row],['# of End Connection Bolts          (Top)]]-1)*Reinforcements[[#This Row],[End Connection Bolt Spacing (in) (T)]]),"-")</f>
        <v>15</v>
      </c>
      <c r="GM53" s="466">
        <f>IFERROR(IF(VLOOKUP(Reinforcements[[#This Row],[Top End Connection Bolt Type]],Bolts[],COLUMN(Bolts[[#Headers],[Rev. H Apply Connection Length Reduction Factor (Rb)?]])-1,FALSE)="Yes",(IF(Reinforcements[[#This Row],[Lb(top)]]&lt;=16,1,IF(Reinforcements[[#This Row],[Lb(top)]]&gt;38,0.75,0.9))),1),"-")</f>
        <v>1</v>
      </c>
      <c r="GN53"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53" s="466">
        <f>Reinforcements[[#This Row],[Rev. G Bolt-Shaft Bearing Capacity (Bottom)                No Deformation          (*t*Fu kips)]]</f>
        <v>11.96220472440945</v>
      </c>
      <c r="GP53" s="466">
        <f>Reinforcements[[#This Row],[Rev. G Bolt-Shaft Bearing Capacity (Bottom)                   Deformation          (*t*Fu kips)]]</f>
        <v>14.952755905511811</v>
      </c>
      <c r="GQ53" s="466">
        <f>Reinforcements[[#This Row],[Rev. G Bolt-Shaft Bearing Capacity (Top)                    No Deformation          (*t*Fu kips)]]</f>
        <v>11.96220472440945</v>
      </c>
      <c r="GR53" s="466">
        <f>Reinforcements[[#This Row],[Rev. G Bolt-Shaft Bearing Capacity (Top)                        Deformation          (*t*Fu kips)]]</f>
        <v>14.952755905511811</v>
      </c>
      <c r="GS53" s="466">
        <f>Reinforcements[[#This Row],[Rev. G Bolt-Reinf. Bearing Capacity (Bottom)            No Deformation (kips)]]</f>
        <v>956.97637795275591</v>
      </c>
      <c r="GT53" s="466">
        <f>Reinforcements[[#This Row],[Rev. G Bolt-Reinf. Bearing Capacity (Bottom)               Deformation (kips)]]</f>
        <v>1196.2204724409448</v>
      </c>
      <c r="GU53" s="466">
        <f>Reinforcements[[#This Row],[Rev. G Bolt-Reinf. Bearing Capacity (Top)                  No Deformation (kips)]]</f>
        <v>956.97637795275591</v>
      </c>
      <c r="GV53" s="466">
        <f>Reinforcements[[#This Row],[Rev. G Bolt-Reinf. Bearing Capacity (Top)               Deformation (kips)]]</f>
        <v>1196.2204724409448</v>
      </c>
      <c r="GW53" s="466" t="str">
        <f>Reinforcements[[#This Row],[Rev. G Bottom Transverse Weld Strength]]</f>
        <v>-</v>
      </c>
      <c r="GX53" s="466" t="str">
        <f>Reinforcements[[#This Row],[Rev. G Bottom Longitudinal Weld Strength]]</f>
        <v>-</v>
      </c>
      <c r="GY53" s="466" t="str">
        <f>Reinforcements[[#This Row],[Rev. G Top Transverse Weld Strength]]</f>
        <v>-</v>
      </c>
      <c r="GZ53" s="466" t="str">
        <f>Reinforcements[[#This Row],[Rev. G Top Longitudinal Weld Strength]]</f>
        <v>-</v>
      </c>
      <c r="HA53" s="552">
        <v>51</v>
      </c>
      <c r="HB53"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4" spans="2:210" x14ac:dyDescent="0.2">
      <c r="B54" s="72" t="s">
        <v>251</v>
      </c>
      <c r="C54" s="72" t="s">
        <v>146</v>
      </c>
      <c r="D54" s="185">
        <v>4.5</v>
      </c>
      <c r="E54" s="185">
        <v>1</v>
      </c>
      <c r="F54" s="185" t="str">
        <f>IF(Reinforcements[[#This Row],[Type]]="","",IF(Reinforcements[[#This Row],[Type]]="solid round","","n/a"))</f>
        <v>n/a</v>
      </c>
      <c r="G54" s="185" t="str">
        <f>IF(Reinforcements[[#This Row],[Type]]="","",IF(Reinforcements[[#This Row],[Type]]&lt;&gt;"channel","n/a",""))</f>
        <v>n/a</v>
      </c>
      <c r="H54" s="185" t="str">
        <f>IF(Reinforcements[[#This Row],[Type]]="","",IF(Reinforcements[[#This Row],[Type]]&lt;&gt;"channel","n/a",""))</f>
        <v>n/a</v>
      </c>
      <c r="I54" s="197" t="str">
        <f>IF(Reinforcements[[#This Row],[Type]]="","",IF(Reinforcements[[#This Row],[Type]]&lt;&gt;"channel","n/a",Reinforcements[[#This Row],[eo]]))</f>
        <v>n/a</v>
      </c>
      <c r="J54" s="197" t="str">
        <f>IF(Reinforcements[[#This Row],[Type]]="","",IF(Reinforcements[[#This Row],[Type]]&lt;&gt;"channel","n/a",Reinforcements[[#This Row],[J]]))</f>
        <v>n/a</v>
      </c>
      <c r="K54" s="197" t="str">
        <f>IF(Reinforcements[[#This Row],[Type]]="","",IF(Reinforcements[[#This Row],[Type]]&lt;&gt;"channel","n/a",Reinforcements[[#This Row],[Cw]]))</f>
        <v>n/a</v>
      </c>
      <c r="L54" s="185">
        <f>IFERROR(IF(Reinforcements[[#This Row],[Type]]="","",IF(Reinforcements[[#This Row],[Type]]="plate",Reinforcements[[#This Row],[B (in)]]*Reinforcements[[#This Row],[H (in)]],IF(Reinforcements[[#This Row],[Type]]="solid round",PI()/4*Reinforcements[[#This Row],[Diameter (in)]]^2,""))),"")</f>
        <v>4.5</v>
      </c>
      <c r="M54" s="185">
        <f>IFERROR(IF(Reinforcements[[#This Row],[Type]]="","",IF(Reinforcements[[#This Row],[Type]]="plate",Reinforcements[[#This Row],[H (in)]]/2,"")),"")</f>
        <v>0.5</v>
      </c>
      <c r="N54" s="186" t="s">
        <v>297</v>
      </c>
      <c r="O54" s="185" t="s">
        <v>60</v>
      </c>
      <c r="P54" s="187">
        <f>IFERROR(IF(Reinforcements[[#This Row],[Type]]="","",IF(Reinforcements[[#This Row],[Type]]="plate",Reinforcements[[#This Row],[B (in)]]*Reinforcements[[#This Row],[H (in)]]^3/12,IF(Reinforcements[[#This Row],[Type]]="solid round",PI()/64*Reinforcements[[#This Row],[Diameter (in)]]^4,""))),"")</f>
        <v>0.375</v>
      </c>
      <c r="Q54" s="187">
        <f>IF(Reinforcements[[#This Row],[Reinforcement]]="","",SQRT(Reinforcements[[#This Row],[Ix]]/Reinforcements[[#This Row],[Gross Area (in2)]]))</f>
        <v>0.28867513459481287</v>
      </c>
      <c r="R54" s="187">
        <f>IFERROR(IF(Reinforcements[[#This Row],[Type]]="","",IF(Reinforcements[[#This Row],[Type]]="plate",Reinforcements[[#This Row],[B (in)]]^3*Reinforcements[[#This Row],[H (in)]]/12,IF(Reinforcements[[#This Row],[Type]]="solid round",PI()/64*Reinforcements[[#This Row],[Diameter (in)]]^4,""))),"")</f>
        <v>7.59375</v>
      </c>
      <c r="S54" s="187">
        <f>IF(Reinforcements[[#This Row],[Reinforcement]]="","",SQRT(Reinforcements[[#This Row],[Iy]]/Reinforcements[[#This Row],[Gross Area (in2)]]))</f>
        <v>1.299038105676658</v>
      </c>
      <c r="T54" s="190">
        <v>20.625</v>
      </c>
      <c r="U54" s="188">
        <v>0.8</v>
      </c>
      <c r="V54" s="188">
        <v>1</v>
      </c>
      <c r="W54" s="185">
        <v>1.25</v>
      </c>
      <c r="X54" s="188">
        <f>IF(Reinforcements[[#This Row],[Bolt Hole Size (in)]]="","",IF(Reinforcements[[#This Row],[Bolt Hole Size (in)]]="n/a","n/a",Reinforcements[[#This Row],[Bolt Hole Size (in)]]*25.4))</f>
        <v>31.75</v>
      </c>
      <c r="Y54"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3.1875</v>
      </c>
      <c r="Z54" s="185">
        <f>IFERROR(IF(Reinforcements[[#This Row],[Reinforcement]]="","",IF(OR(Reinforcements[[#This Row],[Type]]="plate",Reinforcements[[#This Row],[Type]]="solid round"),1,IF(Reinforcements[[#This Row],[Type]]="arbitrary","",1-Reinforcements[[#This Row],[Pole Face to Centroid (in)]]/Reinforcements[[#This Row],[Connection Length (in) '[Channels']]]))),"")</f>
        <v>1</v>
      </c>
      <c r="AA54" s="200" t="s">
        <v>391</v>
      </c>
      <c r="AB54" s="200" t="str">
        <f>IF(Reinforcements[[#This Row],[Reinforcement]]="","",IF(Reinforcements[[#This Row],[Bottom End Connection Type]]&lt;&gt;"Capacity Input","-",""))</f>
        <v>-</v>
      </c>
      <c r="AC54" s="200" t="str">
        <f>IF(Reinforcements[[#This Row],[Reinforcement]]="","",IF(Reinforcements[[#This Row],[Bottom End Connection Type]]&lt;&gt;"Capacity Input","-",""))</f>
        <v>-</v>
      </c>
      <c r="AD54" s="461" t="str">
        <f>IF(Reinforcements[[#This Row],[Reinforcement]]="","",IF(Reinforcements[[#This Row],[Bottom End Connection Type]]&lt;&gt;"Capacity Input","-",""))</f>
        <v>-</v>
      </c>
      <c r="AE54" s="103" t="s">
        <v>416</v>
      </c>
      <c r="AF54" s="190" t="s">
        <v>296</v>
      </c>
      <c r="AG54" s="190">
        <v>6</v>
      </c>
      <c r="AH54" s="190">
        <v>3</v>
      </c>
      <c r="AI54" s="190">
        <v>3</v>
      </c>
      <c r="AJ54" s="190">
        <f>Reinforcements[[#This Row],[End Connection Edge Distance (in) (B)]]-(Reinforcements[[#This Row],[Bolt Hole Size (in)]]+1/16)/2</f>
        <v>2.34375</v>
      </c>
      <c r="AK54" s="190">
        <f>Reinforcements[[#This Row],[End Connection Bolt Spacing (in) (B)]]-(Reinforcements[[#This Row],[Bolt Hole Size (in)]]+1/16)</f>
        <v>1.6875</v>
      </c>
      <c r="AL54" s="190">
        <f>Reinforcements[[#This Row],[End Connection Edge Distance (in) (B)]]</f>
        <v>3</v>
      </c>
      <c r="AM54" s="190">
        <f>Reinforcements[[#This Row],[End Connection Bolt Spacing (in) (B)]]</f>
        <v>3</v>
      </c>
      <c r="AN54" s="190" t="str">
        <f>IF(Reinforcements[[#This Row],[Reinforcement]]="","",IF(OR(Reinforcements[[#This Row],[Bottom End Connection Type]]="Bolted",Reinforcements[[#This Row],[Bottom End Connection Type]]=""),"-",""))</f>
        <v>-</v>
      </c>
      <c r="AO54" s="191" t="str">
        <f>IF(Reinforcements[[#This Row],[Reinforcement]]="","",IF(OR(Reinforcements[[#This Row],[Bottom End Connection Type]]="Bolted",Reinforcements[[#This Row],[Bottom End Connection Type]]=""),"-",""))</f>
        <v>-</v>
      </c>
      <c r="AP54" s="191" t="str">
        <f>IF(Reinforcements[[#This Row],[Reinforcement]]="","",IF(OR(Reinforcements[[#This Row],[Bottom End Connection Type]]="Bolted",Reinforcements[[#This Row],[Bottom End Connection Type]]=""),"-",""))</f>
        <v>-</v>
      </c>
      <c r="AQ54" s="191" t="str">
        <f>IF(OR(Reinforcements[[#This Row],[Bottom End Connection Type]]="Bolted",Reinforcements[[#This Row],[Bottom Transverse (Horizontal) Weld]]="none"),"-","")</f>
        <v>-</v>
      </c>
      <c r="AR5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4" s="191" t="str">
        <f>IF(OR(Reinforcements[[#This Row],[Bottom Transverse (Horizontal) Weld]]="none",Reinforcements[[#This Row],[Bottom End Connection Type]]="Bolted"),"-","")</f>
        <v>-</v>
      </c>
      <c r="AU54"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4" s="191" t="str">
        <f>IF(Reinforcements[[#This Row],[Reinforcement]]="","",IF(OR(Reinforcements[[#This Row],[Bottom End Connection Type]]="Bolted",Reinforcements[[#This Row],[Bottom End Connection Type]]=""),"-",""))</f>
        <v>-</v>
      </c>
      <c r="AW54" s="191" t="str">
        <f>IF(Reinforcements[[#This Row],[Reinforcement]]="","",IF(OR(Reinforcements[[#This Row],[Bottom End Connection Type]]&lt;&gt;"Welded",Reinforcements[[#This Row],[Bottom Longitudinal (Vertical) Weld]]="None",Reinforcements[[#This Row],[Bottom Longitudinal (Vertical) Weld]]=""),"-",""))</f>
        <v>-</v>
      </c>
      <c r="AX54" s="191" t="str">
        <f>IF(Reinforcements[[#This Row],[Reinforcement]]="","",IF(OR(Reinforcements[[#This Row],[Bottom End Connection Type]]&lt;&gt;"Welded",Reinforcements[[#This Row],[Bottom Longitudinal (Vertical) Weld]]="None",Reinforcements[[#This Row],[Bottom Longitudinal (Vertical) Weld]]=""),"-",""))</f>
        <v>-</v>
      </c>
      <c r="AY54" s="190" t="str">
        <f>IF(Reinforcements[[#This Row],[Reinforcement]]="","",IF(OR(Reinforcements[[#This Row],[Bottom End Connection Type]]&lt;&gt;"Welded",Reinforcements[[#This Row],[Bottom Longitudinal (Vertical) Weld]]="None"),"-",SQRT(2)/2*Reinforcements[[#This Row],[Bottom Longitudinal Weld Fillet Size (in)]]))</f>
        <v>-</v>
      </c>
      <c r="AZ54" s="190" t="s">
        <v>295</v>
      </c>
      <c r="BA54" s="189" t="str">
        <f>IF(Reinforcements[[#This Row],[Top End Connection Same?]]="Yes",Reinforcements[[#This Row],[Bottom End Connection Type]],"")</f>
        <v>Bolted</v>
      </c>
      <c r="BB54" s="189" t="str">
        <f>IF(Reinforcements[[#This Row],[Reinforcement]]="","",IF(Reinforcements[[#This Row],[Top End Connection Same?]]="Yes",Reinforcements[[#This Row],[Rev. F Bottom Connection Capacity (kips)]],IF(Reinforcements[[#This Row],[Reinforcement]]="","",IF(Reinforcements[[#This Row],[Top End Connection Type]]&lt;&gt;"Capacity Input","-",""))))</f>
        <v>-</v>
      </c>
      <c r="BC54" s="189" t="str">
        <f>IF(Reinforcements[[#This Row],[Reinforcement]]="","",IF(Reinforcements[[#This Row],[Top End Connection Same?]]="Yes",Reinforcements[[#This Row],[Rev. G Bottom Connection Capacity (kips)]],IF(Reinforcements[[#This Row],[Reinforcement]]="","",IF(Reinforcements[[#This Row],[Top End Connection Type]]&lt;&gt;"Capacity Input","-",""))))</f>
        <v>-</v>
      </c>
      <c r="BD54" s="461" t="str">
        <f>IF(Reinforcements[[#This Row],[Reinforcement]]="","",IF(Reinforcements[[#This Row],[Top End Connection Same?]]="Yes",Reinforcements[[#This Row],[Rev. G Bottom Connection Capacity (kips)]],IF(Reinforcements[[#This Row],[Reinforcement]]="","",IF(Reinforcements[[#This Row],[Top End Connection Type]]&lt;&gt;"Capacity Input","-",""))))</f>
        <v>-</v>
      </c>
      <c r="BE54" s="103" t="str">
        <f>IF(Reinforcements[[#This Row],[Top End Connection Same?]]="Yes",Reinforcements[[#This Row],[Bottom End Connection Bolt Type]],IF(Reinforcements[[#This Row],[Top End Connection Type]]="Welded","-",""))</f>
        <v>PC 8.8 - M20 (100)</v>
      </c>
      <c r="BF54" s="190" t="str">
        <f>IF(Reinforcements[[#This Row],[Top End Connection Same?]]="Yes",Reinforcements[[#This Row],[Threads Included (N) or Excluded (X) (Bottom)]],IF(Reinforcements[[#This Row],[Top End Connection Type]]="Welded","-",""))</f>
        <v>N</v>
      </c>
      <c r="BG54" s="190">
        <f>IF(Reinforcements[[#This Row],[Top End Connection Same?]]="Yes",Reinforcements[[#This Row],['# of End Connection Bolts          (Bottom)]],IF(Reinforcements[[#This Row],[Top End Connection Type]]="Welded","-",""))</f>
        <v>6</v>
      </c>
      <c r="BH54" s="190">
        <f>IF(Reinforcements[[#This Row],[Top End Connection Same?]]="Yes",Reinforcements[[#This Row],[End Connection Bolt Spacing (in) (B)]],IF(Reinforcements[[#This Row],[Top End Connection Type]]="Welded","-",""))</f>
        <v>3</v>
      </c>
      <c r="BI54" s="190">
        <f>IF(Reinforcements[[#This Row],[Top End Connection Same?]]="Yes",Reinforcements[[#This Row],[End Connection Edge Distance (in) (B)]],IF(Reinforcements[[#This Row],[Top End Connection Type]]="Welded","-",""))</f>
        <v>3</v>
      </c>
      <c r="BJ54" s="190">
        <f>Reinforcements[[#This Row],[End Connection Edge Distance (in) (T)]]-(Reinforcements[[#This Row],[Bolt Hole Size (in)]]+1/16)/2</f>
        <v>2.34375</v>
      </c>
      <c r="BK54" s="190">
        <f>Reinforcements[[#This Row],[End Connection Bolt Spacing (in) (T)]]-(Reinforcements[[#This Row],[Bolt Hole Size (in)]]+1/16)</f>
        <v>1.6875</v>
      </c>
      <c r="BL54" s="190">
        <f>Reinforcements[[#This Row],[End Connection Edge Distance (in) (T)]]</f>
        <v>3</v>
      </c>
      <c r="BM54" s="190">
        <f>Reinforcements[[#This Row],[End Connection Bolt Spacing (in) (T)]]</f>
        <v>3</v>
      </c>
      <c r="BN54" s="190" t="str">
        <f>IF(Reinforcements[[#This Row],[Reinforcement]]="","",IF(Reinforcements[[#This Row],[Top End Connection Same?]]="Yes",Reinforcements[[#This Row],[Bottom Connected to Flange/Base Plate?]],IF(Reinforcements[[#This Row],[Top End Connection Type]]="Bolted","-","")))</f>
        <v>-</v>
      </c>
      <c r="BO54" s="190" t="str">
        <f>IF(Reinforcements[[#This Row],[Reinforcement]]="","",IF(Reinforcements[[#This Row],[Top End Connection Same?]]="Yes",Reinforcements[[#This Row],[Bottom Weld Grade (ksi)]],IF(OR(Reinforcements[[#This Row],[Top End Connection Type]]&lt;&gt;"Welded",Reinforcements[[#This Row],[Top End Connection Type]]=""),"-","")))</f>
        <v>-</v>
      </c>
      <c r="BP54" s="190" t="str">
        <f>IF($AZ54="Yes",AP54,IF(Reinforcements[[#This Row],[Reinforcement]]="","",IF(OR(Reinforcements[[#This Row],[Top End Connection Type]]&lt;&gt;"Welded",Reinforcements[[#This Row],[Top End Connection Type]]=""),"-","")))</f>
        <v>-</v>
      </c>
      <c r="BQ54" s="190" t="str">
        <f>IF(Reinforcements[[#This Row],[Reinforcement]]="","",IF($AZ54="Yes",AQ54,IF(OR(Reinforcements[[#This Row],[Top End Connection Type]]&lt;&gt;"Welded",Reinforcements[[#This Row],[Top Transverse (Horizontal) Weld]]="none",Reinforcements[[#This Row],[Top Transverse (Horizontal) Weld]]=""),"-","")))</f>
        <v>-</v>
      </c>
      <c r="BR54" s="190" t="str">
        <f>IF($AZ54="Yes",AR54,IF(Reinforcements[[#This Row],[Reinforcement]]="","",IF(OR(Reinforcements[[#This Row],[Top Transverse (Horizontal) Weld]]="none",Reinforcements[[#This Row],[Top End Connection Type]]&lt;&gt;"Welded",Reinforcements[[#This Row],[Top Transverse (Horizontal) Weld]]="",Reinforcements[[#This Row],[Top Transverse (Horizontal) Weld]]="Fillet"),"-","")))</f>
        <v>-</v>
      </c>
      <c r="BS54" s="190" t="str">
        <f>IF($AZ54="Yes",AS54,IF(Reinforcements[[#This Row],[Reinforcement]]="","",IF(OR(Reinforcements[[#This Row],[Top Transverse (Horizontal) Weld]]="none",Reinforcements[[#This Row],[Top End Connection Type]]&lt;&gt;"Welded",Reinforcements[[#This Row],[Top Transverse (Horizontal) Weld]]="",Reinforcements[[#This Row],[Top Transverse (Horizontal) Weld]]="Fillet"),"-","")))</f>
        <v>-</v>
      </c>
      <c r="BT54" s="190" t="str">
        <f>IF(Reinforcements[[#This Row],[Reinforcement]]="","",IF($AZ54="Yes",AT54,IF(OR(Reinforcements[[#This Row],[Top Transverse (Horizontal) Weld]]="none",Reinforcements[[#This Row],[Top End Connection Type]]&lt;&gt;"Welded",Reinforcements[[#This Row],[Top Transverse (Horizontal) Weld]]=""),"-","")))</f>
        <v>-</v>
      </c>
      <c r="BU54" s="190" t="str">
        <f>IF($AZ54="Yes",AU54,IF(Reinforcements[[#This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4" s="190" t="str">
        <f>IF($AZ54="Yes",AV54,IF(Reinforcements[[#This Row],[Reinforcement]]="","",IF(OR(Reinforcements[[#This Row],[Top End Connection Type]]&lt;&gt;"Welded",Reinforcements[[#This Row],[Top End Connection Type]]=""),"-","")))</f>
        <v>-</v>
      </c>
      <c r="BW54" s="190" t="str">
        <f>IF($AZ54="Yes",AW54,IF(Reinforcements[[#This Row],[Reinforcement]]="","",IF(OR(Reinforcements[[#This Row],[Top End Connection Type]]&lt;&gt;"Welded",Reinforcements[[#This Row],[Top End Connection Type]]="",Reinforcements[[#This Row],[Top Longitudinal (Vertical) Weld]]="",Reinforcements[[#This Row],[Top Longitudinal (Vertical) Weld]]="None"),"-","")))</f>
        <v>-</v>
      </c>
      <c r="BX54" s="190" t="str">
        <f>IF($AZ54="Yes",AX54,IF(Reinforcements[[#This Row],[Reinforcement]]="","",IF(OR(Reinforcements[[#This Row],[Top End Connection Type]]&lt;&gt;"Welded",Reinforcements[[#This Row],[Top End Connection Type]]="",Reinforcements[[#This Row],[Top Longitudinal (Vertical) Weld]]="",Reinforcements[[#This Row],[Top Longitudinal (Vertical) Weld]]="None"),"-","")))</f>
        <v>-</v>
      </c>
      <c r="BY54" s="190" t="str">
        <f>IF($AZ54="Yes",AY54,IF(Reinforcements[[#This Row],[Reinforcement]]="","",IF(OR(Reinforcements[[#This Row],[Top End Connection Type]]&lt;&gt;"Welded",Reinforcements[[#This Row],[Top Longitudinal (Vertical) Weld]]="none"),"-",SQRT(2)/2*Reinforcements[[#This Row],[Top Longitudinal Weld Fillet Size (in)]])))</f>
        <v>-</v>
      </c>
      <c r="BZ54"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4" s="192">
        <f>IF(Reinforcements[[#This Row],[Reinforcement]]="","",IF(Reinforcements[[#This Row],[Bottom End Connection Type]]&lt;&gt;"Bolted","n/a",(Reinforcements[[#This Row],['# of End Connection Bolts          (Bottom)]]-1)*Reinforcements[[#This Row],[End Connection Bolt Spacing (in) (B)]]+Reinforcements[[#This Row],[End Connection Edge Distance (in) (B)]]))</f>
        <v>18</v>
      </c>
      <c r="CB54" s="192">
        <f>IF(Reinforcements[[#This Row],[Reinforcement]]="","",IF(Reinforcements[[#This Row],[Top End Connection Type]]&lt;&gt;"Bolted","n/a",(Reinforcements[[#This Row],['# of End Connection Bolts          (Top)]]-1)*Reinforcements[[#This Row],[End Connection Bolt Spacing (in) (T)]]+Reinforcements[[#This Row],[End Connection Edge Distance (in) (T)]]))</f>
        <v>18</v>
      </c>
      <c r="CC54"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54"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4" s="185">
        <f>IFERROR(IF(Reinforcements[[#This Row],[Type]]="","",Reinforcements[[#This Row],[Effective B (in)]]*Reinforcements[[#This Row],[Effective H (in)]]^3/12),"")</f>
        <v>0.375</v>
      </c>
      <c r="CF54" s="185">
        <f>IFERROR(IF(Reinforcements[[#This Row],[Type]]="","",Reinforcements[[#This Row],[Effective B (in)]]^3*Reinforcements[[#This Row],[Effective H (in)]]/12),"")</f>
        <v>7.59375</v>
      </c>
      <c r="CG54" s="197">
        <f>SQRT(2*PI()^2*29000/VLOOKUP(Reinforcements[[#This Row],[Material]],Materials[],2,FALSE))</f>
        <v>93.844147005158973</v>
      </c>
      <c r="CH54"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28.360231616644178</v>
      </c>
      <c r="CI54"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37.045096234865902</v>
      </c>
      <c r="CJ54" s="239">
        <f>Reinforcements[[#This Row],[Effective Length Factor Kx]]*Reinforcements[[#This Row],[Lu (in)]]/(Reinforcements[[#This Row],[rx]]*PI())*SQRT(VLOOKUP(Reinforcements[[#This Row],[Material]],Materials[],2,FALSE)/29000)</f>
        <v>0.86135538647286303</v>
      </c>
      <c r="CK54" s="239">
        <f>Reinforcements[[#This Row],[Effective Length Factor Ky]]*Reinforcements[[#This Row],[Lu (in)]]/(Reinforcements[[#This Row],[ry]]*PI())*SQRT(VLOOKUP(Reinforcements[[#This Row],[Material]],Materials[],2,FALSE)/29000)</f>
        <v>0.23926538513135082</v>
      </c>
      <c r="CL54" s="239">
        <f>IF(Reinforcements[[#This Row],[λcx]]&lt;=1.5,0.658^(Reinforcements[[#This Row],[λcx]]^2)*Reinforcements[[#This Row],[F''y]],0.877/(Reinforcements[[#This Row],[λcx]]^2)*Reinforcements[[#This Row],[F''y]])</f>
        <v>47.648488665866502</v>
      </c>
      <c r="CM54" s="239">
        <f>IF(Reinforcements[[#This Row],[λcy]]&lt;=1.5,0.658^(Reinforcements[[#This Row],[λcy]]^2)*Reinforcements[[#This Row],[F''y]],0.877/(Reinforcements[[#This Row],[λcy]]^2)*Reinforcements[[#This Row],[F''y]])</f>
        <v>63.46103726403328</v>
      </c>
      <c r="CN54" s="236">
        <f>VLOOKUP(Reinforcements[[#This Row],[Material]],Materials[],2,FALSE)</f>
        <v>65</v>
      </c>
      <c r="CO54" s="235">
        <f>IF(Reinforcements[[#This Row],[Reinforcement]]="","",Reinforcements[[#This Row],[Fax]]*Reinforcements[[#This Row],[Gross Area (in2)]])</f>
        <v>127.6210422748988</v>
      </c>
      <c r="CP54" s="197">
        <f>IF(Reinforcements[[#This Row],[Reinforcement]]="","",Reinforcements[[#This Row],[Fay]]*Reinforcements[[#This Row],[Gross Area (in2)]])</f>
        <v>166.70293305689657</v>
      </c>
      <c r="CQ54" s="197">
        <f>IF(Reinforcements[[#This Row],[Reinforcement]]="","",0.6*VLOOKUP(Reinforcements[[#This Row],[Material]],Materials[],2,FALSE)*Reinforcements[[#This Row],[Gross Area (in2)]])</f>
        <v>175.5</v>
      </c>
      <c r="CR54" s="197">
        <f>IF(Reinforcements[[#This Row],[Reinforcement]]="","",0.5*VLOOKUP(Reinforcements[[#This Row],[Material]],Materials[],3,FALSE)*Reinforcements[[#This Row],[Net Area (in2)]]*Reinforcements[[#This Row],[Shear Lag (U)]])</f>
        <v>127.5</v>
      </c>
      <c r="CS54" s="197">
        <f>IF(Reinforcements[[#This Row],[Reinforcement]]="","",0.4*VLOOKUP(Reinforcements[[#This Row],[Material]],Materials[],2,FALSE)*Reinforcements[[#This Row],[Gross Area (in2)]])</f>
        <v>117</v>
      </c>
      <c r="CT54"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54"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54"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54"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54"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54"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54"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657.63779527559052</v>
      </c>
      <c r="DA54"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737.00787401574803</v>
      </c>
      <c r="DB54"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657.63779527559052</v>
      </c>
      <c r="DC54"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737.00787401574803</v>
      </c>
      <c r="DD54"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4"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4" s="190" t="str">
        <f>IF($AZ54="Yes",DD54,IF(Reinforcements[[#This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4" s="190" t="str">
        <f>IF($AZ54="Yes",DE54,IF(Reinforcements[[#This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4" s="235">
        <f>IF(Reinforcements[[#This Row],[Reinforcement]]="","",φ_c*Reinforcements[[#This Row],[Fcr,x]]*Reinforcements[[#This Row],[Gross Area (in2)]])</f>
        <v>192.97637909675936</v>
      </c>
      <c r="DI54" s="235">
        <f>IF(Reinforcements[[#This Row],[Reinforcement]]="","",φ_c*Reinforcements[[#This Row],[Fcr,y]]*Reinforcements[[#This Row],[Gross Area (in2)]])</f>
        <v>257.01720091933475</v>
      </c>
      <c r="DJ54" s="197">
        <f>IF(Reinforcements[[#This Row],[Reinforcement]]="","",φ_t_y*VLOOKUP(Reinforcements[[#This Row],[Material]],Materials[],2,FALSE)*Reinforcements[[#This Row],[Gross Area (in2)]])</f>
        <v>263.25</v>
      </c>
      <c r="DK54" s="197">
        <f>IF(Reinforcements[[#This Row],[Reinforcement]]="","",φ_t_r*VLOOKUP(Reinforcements[[#This Row],[Material]],Materials[],3,FALSE)*Reinforcements[[#This Row],[Net Area (in2)]]*Reinforcements[[#This Row],[Shear Lag (U)]])</f>
        <v>191.25</v>
      </c>
      <c r="DL54" s="197">
        <f>IF(Reinforcements[[#This Row],[Reinforcement]]="","",φ_v*0.5*Reinforcements[[#This Row],[F''y]]*Reinforcements[[#This Row],[Gross Area (in2)]])</f>
        <v>131.625</v>
      </c>
      <c r="DM54"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54"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54"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11.662204724409449</v>
      </c>
      <c r="DP54"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14.577755905511811</v>
      </c>
      <c r="DQ54"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11.662204724409449</v>
      </c>
      <c r="DR54"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14.577755905511811</v>
      </c>
      <c r="DS54"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932.97637795275568</v>
      </c>
      <c r="DT54"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1166.2204724409448</v>
      </c>
      <c r="DU54"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932.97637795275568</v>
      </c>
      <c r="DV54"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1166.2204724409448</v>
      </c>
      <c r="DW54"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4"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4" s="190" t="str">
        <f>IF($AZ54="Yes",DW54,IF(Reinforcements[[#This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4" s="190" t="str">
        <f>IF($AZ54="Yes",DX54,IF(Reinforcements[[#This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4" s="238" t="str">
        <f>IF(OR(Reinforcements[[#This Row],[Type]]="plate",Reinforcements[[#This Row],[Type]]="solid round"),"N/A",Reinforcements[[#This Row],[B (in)]])</f>
        <v>N/A</v>
      </c>
      <c r="EB54" s="236" t="str">
        <f>IF(OR(Reinforcements[[#This Row],[Type]]="plate",Reinforcements[[#This Row],[Type]]="solid round"),"N/A",Reinforcements[[#This Row],[H (in)]])</f>
        <v>N/A</v>
      </c>
      <c r="EC54" s="236" t="str">
        <f>IF(OR(Reinforcements[[#This Row],[Type]]="plate",Reinforcements[[#This Row],[Type]]="solid round"),"N/A",Reinforcements[[#This Row],[B (in)]]-Reinforcements[[#This Row],['[Channel'] Flange Thickness (in)]])</f>
        <v>N/A</v>
      </c>
      <c r="ED54" s="236" t="str">
        <f>IF(OR(Reinforcements[[#This Row],[Type]]="plate",Reinforcements[[#This Row],[Type]]="solid round"),"N/A",Reinforcements[[#This Row],['[Channel']Web Thickness (in)]])</f>
        <v>N/A</v>
      </c>
      <c r="EE54" s="236" t="str">
        <f>IF(OR(Reinforcements[[#This Row],[Type]]="plate",Reinforcements[[#This Row],[Type]]="solid round"),"N/A",Reinforcements[[#This Row],['[Channel'] Flange Thickness (in)]])</f>
        <v>N/A</v>
      </c>
      <c r="EF54" s="236" t="str">
        <f>IF(Reinforcements[[#This Row],[Type]]="channel",Reinforcements[[#This Row],[Channel Flange Width, b]]/Reinforcements[[#This Row],[Channel flange thickness, tf]],"N/A")</f>
        <v>N/A</v>
      </c>
      <c r="EG54" s="236" t="str">
        <f>IF(Reinforcements[[#This Row],[Type]]="channel",Reinforcements[[#This Row],[Channel inside depth, T]]/Reinforcements[[#This Row],[Channel web thickness, tw]],"N/A")</f>
        <v>N/A</v>
      </c>
      <c r="EH54" s="237">
        <v>29000</v>
      </c>
      <c r="EI54" s="236" t="str">
        <f>IF(Reinforcements[[#This Row],[Type]]="channel",0.56*SQRT(Reinforcements[[#This Row],[E, (ksi)]]/Reinforcements[[#This Row],[Fy, (ksi)]]),"N/A")</f>
        <v>N/A</v>
      </c>
      <c r="EJ54" s="236" t="str">
        <f>IF(Reinforcements[[#This Row],[Type]]="channel",1.49*SQRT(Reinforcements[[#This Row],[E, (ksi)]]/Reinforcements[[#This Row],[Fy, (ksi)]]),"N/A")</f>
        <v>N/A</v>
      </c>
      <c r="EK54" s="236">
        <f>VLOOKUP(Reinforcements[[#This Row],[Material]],Materials!$B$2:$C$30,2,FALSE)</f>
        <v>65</v>
      </c>
      <c r="EL54" s="236">
        <f>Reinforcements[[#This Row],[Lu (in)]]*Reinforcements[[#This Row],[Effective Length Factor Kx]]</f>
        <v>16.5</v>
      </c>
      <c r="EM54" s="236">
        <f>Reinforcements[[#This Row],[Lu (in)]]*Reinforcements[[#This Row],[Effective Length Factor Ky]]</f>
        <v>20.625</v>
      </c>
      <c r="EN54" s="236">
        <f>Reinforcements[[#This Row],[rx]]</f>
        <v>0.28867513459481287</v>
      </c>
      <c r="EO54" s="236">
        <f>Reinforcements[[#This Row],[ry]]</f>
        <v>1.299038105676658</v>
      </c>
      <c r="EP54" s="236">
        <f>Reinforcements[[#This Row],[Lcx (in)]]/Reinforcements[[#This Row],[rx (in)]]</f>
        <v>57.157676649772952</v>
      </c>
      <c r="EQ54" s="236">
        <f>Reinforcements[[#This Row],[Lcy (in)]]/Reinforcements[[#This Row],[ry (in)]]</f>
        <v>15.877132402714707</v>
      </c>
      <c r="ER54" s="236">
        <f>((PI()^2)*Reinforcements[[#This Row],[E, (ksi)]])/(Reinforcements[[#This Row],[Lcx/rx]]^2)</f>
        <v>87.608976930392217</v>
      </c>
      <c r="ES54" s="236">
        <f>((PI()^2)*Reinforcements[[#This Row],[E, (ksi)]])/(Reinforcements[[#This Row],[Lcy/ry]]^2)</f>
        <v>1135.4123410178834</v>
      </c>
      <c r="ET54" s="236">
        <f>4.71*(SQRT(Reinforcements[[#This Row],[E, (ksi)]]/Reinforcements[[#This Row],[Fy, (ksi)]]))</f>
        <v>99.486288193205496</v>
      </c>
      <c r="EU54" s="236">
        <f>IF(Reinforcements[[#This Row],[Lcx/rx]]&lt;=Reinforcements[[#This Row],[Fcr Limit]],(0.658^(Reinforcements[[#This Row],[Fy, (ksi)]]/Reinforcements[[#This Row],[Fex, FB (ksi)]]))*Reinforcements[[#This Row],[Fy, (ksi)]],0.877*Reinforcements[[#This Row],[Fex, FB (ksi)]])</f>
        <v>47.648488665866502</v>
      </c>
      <c r="EV54" s="236">
        <f>IF(Reinforcements[[#This Row],[Lcy/ry]]&lt;=Reinforcements[[#This Row],[Fcr Limit]],(0.658^(Reinforcements[[#This Row],[Fy, (ksi)]]/Reinforcements[[#This Row],[Fey, FB (ksi)]]))*Reinforcements[[#This Row],[Fy, (ksi)]],0.877*Reinforcements[[#This Row],[Fey, FB (ksi)]])</f>
        <v>63.46103726403328</v>
      </c>
      <c r="EW54" s="236">
        <f>Reinforcements[[#This Row],[Fcrx (ksi)]]*Reinforcements[[#This Row],[Gross Area (in2)]]</f>
        <v>214.41819899639927</v>
      </c>
      <c r="EX54" s="236">
        <f>Reinforcements[[#This Row],[Fcry (ksi)]]*Reinforcements[[#This Row],[Gross Area (in2)]]</f>
        <v>285.57466768814976</v>
      </c>
      <c r="EY54" s="236" t="str">
        <f>IF(Reinforcements[[#This Row],[Type]]="channel",0,"N/A")</f>
        <v>N/A</v>
      </c>
      <c r="EZ54" s="236" t="str">
        <f>IF(Reinforcements[[#This Row],[Type]]="channel",Reinforcements[[#This Row],[Channel Flange Width, b]]-(0.5*Reinforcements[[#This Row],[Channel web thickness, tw]]),"N/A")</f>
        <v>N/A</v>
      </c>
      <c r="FA54" s="236" t="str">
        <f>IF(Reinforcements[[#This Row],[Type]]="channel",Reinforcements[[#This Row],[Channel Height, h]]-Reinforcements[[#This Row],[Channel flange thickness, tf]],"N/A")</f>
        <v>N/A</v>
      </c>
      <c r="FB54" s="236" t="str">
        <f>IF(Reinforcements[[#This Row],[Type]]="channel",Reinforcements[[#This Row],[Channel web thickness, tw]],"N/A")</f>
        <v>N/A</v>
      </c>
      <c r="FC54" s="236" t="str">
        <f>IF(Reinforcements[[#This Row],[Type]]="channel",((3*Reinforcements[[#This Row],[b]]^2)/(Reinforcements[[#This Row],[h]]+(6*Reinforcements[[#This Row],[b]])))-Reinforcements[[#This Row],[t]]/2,"N/A")</f>
        <v>N/A</v>
      </c>
      <c r="FD54" s="236">
        <f>Reinforcements[[#This Row],[Pole Face to Centroid (in)]]</f>
        <v>0.5</v>
      </c>
      <c r="FE54" s="236" t="str">
        <f>IF(Reinforcements[[#This Row],[Type]]="channel",Reinforcements[[#This Row],[x(bar)]]+Reinforcements[[#This Row],['[Channel'] e0 (in)]],"N/A")</f>
        <v>N/A</v>
      </c>
      <c r="FF54" s="236" t="str">
        <f>IF(Reinforcements[[#This Row],[Type]]="channel",Reinforcements[[#This Row],[Ix]],"N/A")</f>
        <v>N/A</v>
      </c>
      <c r="FG54" s="236" t="str">
        <f>IF(Reinforcements[[#This Row],[Type]]="channel",Reinforcements[[#This Row],[Iy]],"N/A")</f>
        <v>N/A</v>
      </c>
      <c r="FH54" s="236" t="str">
        <f>IF(Reinforcements[[#This Row],[Type]]="channel",Reinforcements[[#This Row],[Gross Area (in2)]],"N/A")</f>
        <v>N/A</v>
      </c>
      <c r="FI54" s="236" t="str">
        <f>IF(Reinforcements[[#This Row],[Type]]="channel",(Reinforcements[[#This Row],[xo]]^2)+((Reinforcements[[#This Row],[Ix (FTB)]]+Reinforcements[[#This Row],[Iy (FTB)]])/Reinforcements[[#This Row],[Ag]]),"N/A")</f>
        <v>N/A</v>
      </c>
      <c r="FJ54" s="236" t="str">
        <f>IF(Reinforcements[[#This Row],[Type]]="channel",Reinforcements[[#This Row],[Lu (in)]],"N/A")</f>
        <v>N/A</v>
      </c>
      <c r="FK54" s="236" t="str">
        <f>IF(Reinforcements[[#This Row],[Type]]="channel",Reinforcements[[#This Row],[Effective Length Factor Kx]],"N/A")</f>
        <v>N/A</v>
      </c>
      <c r="FL54" s="236" t="str">
        <f>IF(Reinforcements[[#This Row],[Type]]="channel",Reinforcements[[#This Row],[Kz]]*Reinforcements[[#This Row],[Lz]],"N/A")</f>
        <v>N/A</v>
      </c>
      <c r="FM54" s="236" t="str">
        <f>IF(Reinforcements[[#This Row],[Type]]="channel",(((Reinforcements[[#This Row],[t]]^3)/3)*(Reinforcements[[#This Row],[h]]+(2*Reinforcements[[#This Row],[b]]))),"N/A")</f>
        <v>N/A</v>
      </c>
      <c r="FN54" s="236" t="str">
        <f>IF(Reinforcements[[#This Row],[Type]]="channel",(1-(((Reinforcements[[#This Row],[xo]]^2)+(Reinforcements[[#This Row],[yo]]^2))/Reinforcements[[#This Row],[ro^2(bar)]])),"N/A")</f>
        <v>N/A</v>
      </c>
      <c r="FO54" s="237">
        <v>11200</v>
      </c>
      <c r="FP54" s="236" t="str">
        <f>IF(Reinforcements[[#This Row],[Type]]="channel",(((Reinforcements[[#This Row],[h]]^2)*(Reinforcements[[#This Row],[b]]^3)*Reinforcements[[#This Row],[t]])/12)*(((2*Reinforcements[[#This Row],[h]])+(3*Reinforcements[[#This Row],[b]]))/(Reinforcements[[#This Row],[h]]+(6*Reinforcements[[#This Row],[b]]))),"N/A")</f>
        <v>N/A</v>
      </c>
      <c r="FQ54" s="236" t="str">
        <f>IF(Reinforcements[[#This Row],[Type]]="Channel",((((PI()^2)*Reinforcements[[#This Row],[E, (ksi)]]*Reinforcements[[#This Row],['[Channel'] CW (in6)]])/(Reinforcements[[#This Row],[Lcz]]^2))+(Reinforcements[[#This Row],[G]]*Reinforcements[[#This Row],['[Channel'] J (in4)]]))*(1/(Reinforcements[[#This Row],[Ag]]*Reinforcements[[#This Row],[ro^2(bar)]])),"N/A")</f>
        <v>N/A</v>
      </c>
      <c r="FR54" s="236" t="str">
        <f>IF(Reinforcements[[#This Row],[Type]]="channel",((PI()^2)*Reinforcements[[#This Row],[E, (ksi)]])/(Reinforcements[[#This Row],[Lcy/ry]]^2),"N/A")</f>
        <v>N/A</v>
      </c>
      <c r="FS54" s="236" t="str">
        <f>IF(Reinforcements[[#This Row],[Type]]="channel",((Reinforcements[[#This Row],[Fey]]+Reinforcements[[#This Row],[Fez]])/(2*Reinforcements[[#This Row],[H2]]))*(1-SQRT(1-((4*Reinforcements[[#This Row],[Fey]]*Reinforcements[[#This Row],[Fez]]*Reinforcements[[#This Row],[H2]])/(Reinforcements[[#This Row],[Fey]]+Reinforcements[[#This Row],[Fez]])^2))),"N/A")</f>
        <v>N/A</v>
      </c>
      <c r="FT54" s="236" t="str">
        <f>IF(Reinforcements[[#This Row],[Type]]="channel",IF(Reinforcements[[#This Row],[Lcx/rx]]&gt;(4.71*SQRT(Reinforcements[[#This Row],[E, (ksi)]]/Reinforcements[[#This Row],[Fy, (ksi)]])),0.877*Reinforcements[[#This Row],[Fe (FTB)]],0.658^(Reinforcements[[#This Row],[Fy, (ksi)]]/Reinforcements[[#This Row],[Fe (FTB)]])*Reinforcements[[#This Row],[Fy, (ksi)]]),"N/A")</f>
        <v>N/A</v>
      </c>
      <c r="FU54" s="236" t="str">
        <f>IF(Reinforcements[[#This Row],[Type]]="channel",MIN(Reinforcements[[#This Row],[Fcr(FTB)]],Reinforcements[[#This Row],[Fcry (ksi)]]),"N/A")</f>
        <v>N/A</v>
      </c>
      <c r="FV54" s="237">
        <v>0.22</v>
      </c>
      <c r="FW54" s="237">
        <v>1.49</v>
      </c>
      <c r="FX54" s="236" t="str">
        <f>IF(Reinforcements[[#This Row],[Type]]="channel",((Reinforcements[[#This Row],[c2]]*(Reinforcements[[#This Row],[λrf]]/Reinforcements[[#This Row],[λf]]))^2)*Reinforcements[[#This Row],[Fy, (ksi)]],"N/A")</f>
        <v>N/A</v>
      </c>
      <c r="FY54" s="236" t="str">
        <f>IF(Reinforcements[[#This Row],[Type]]="channel",((Reinforcements[[#This Row],[c2]]*(Reinforcements[[#This Row],[λrw]]/Reinforcements[[#This Row],[λw]]))^2)*Reinforcements[[#This Row],[Fy, (ksi)]],"N/A")</f>
        <v>N/A</v>
      </c>
      <c r="FZ54"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4"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4"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4" s="236" t="str">
        <f>IF(Reinforcements[[#This Row],[Type]]="channel",Reinforcements[[#This Row],[Fcr]]*Reinforcements[[#This Row],[Ae]],"N/A")</f>
        <v>N/A</v>
      </c>
      <c r="GD54" s="466">
        <f>IF(Reinforcements[[#This Row],[Reinforcement]]="","",φ_c*Reinforcements[[#This Row],[Pnx, FB (kip)]])</f>
        <v>192.97637909675936</v>
      </c>
      <c r="GE54" s="466">
        <f>IF(Reinforcements[[#This Row],[Reinforcement]]="","",IF(Reinforcements[[#This Row],[Type]]="channel",φ_c*Reinforcements[[#This Row],[Pn]],φ_c*Reinforcements[[#This Row],[Pny, FB (kip)]]))</f>
        <v>257.01720091933481</v>
      </c>
      <c r="GF54" s="466">
        <f>Reinforcements[[#This Row],[Rev. G Tension Yield Capacity (kips)]]</f>
        <v>263.25</v>
      </c>
      <c r="GG54" s="466">
        <f>Reinforcements[[#This Row],[Rev. G Tension Rupture Capacity (kips)]]</f>
        <v>191.25</v>
      </c>
      <c r="GH54" s="466">
        <f>Reinforcements[[#This Row],[Rev. G Shear Capacity (kips)]]</f>
        <v>131.625</v>
      </c>
      <c r="GI54" s="466">
        <f>IFERROR((Reinforcements[[#This Row],['# of End Connection Bolts          (Bottom)]]-1)*Reinforcements[[#This Row],[End Connection Bolt Spacing (in) (B)]],"-")</f>
        <v>15</v>
      </c>
      <c r="GJ54" s="466">
        <f>IFERROR(IF(VLOOKUP(Reinforcements[[#This Row],[Bottom End Connection Bolt Type]],Bolts[],COLUMN(Bolts[[#Headers],[Rev. H Apply Connection Length Reduction Factor (Rb)?]])-1,FALSE)="Yes",(IF(Reinforcements[[#This Row],[Lb(bottom)]]&lt;=16,1,IF(Reinforcements[[#This Row],[Lb(bottom)]]&gt;38,0.75,0.9))),1),"-")</f>
        <v>1</v>
      </c>
      <c r="GK54"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54" s="466">
        <f>IFERROR(IF(Reinforcements[[#This Row],[Top End Connection Same?]]="Yes",Reinforcements[[#This Row],[Lb(bottom)]],(Reinforcements[[#This Row],['# of End Connection Bolts          (Top)]]-1)*Reinforcements[[#This Row],[End Connection Bolt Spacing (in) (T)]]),"-")</f>
        <v>15</v>
      </c>
      <c r="GM54" s="466">
        <f>IFERROR(IF(VLOOKUP(Reinforcements[[#This Row],[Top End Connection Bolt Type]],Bolts[],COLUMN(Bolts[[#Headers],[Rev. H Apply Connection Length Reduction Factor (Rb)?]])-1,FALSE)="Yes",(IF(Reinforcements[[#This Row],[Lb(top)]]&lt;=16,1,IF(Reinforcements[[#This Row],[Lb(top)]]&gt;38,0.75,0.9))),1),"-")</f>
        <v>1</v>
      </c>
      <c r="GN54"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54" s="466">
        <f>Reinforcements[[#This Row],[Rev. G Bolt-Shaft Bearing Capacity (Bottom)                No Deformation          (*t*Fu kips)]]</f>
        <v>11.662204724409449</v>
      </c>
      <c r="GP54" s="466">
        <f>Reinforcements[[#This Row],[Rev. G Bolt-Shaft Bearing Capacity (Bottom)                   Deformation          (*t*Fu kips)]]</f>
        <v>14.577755905511811</v>
      </c>
      <c r="GQ54" s="466">
        <f>Reinforcements[[#This Row],[Rev. G Bolt-Shaft Bearing Capacity (Top)                    No Deformation          (*t*Fu kips)]]</f>
        <v>11.662204724409449</v>
      </c>
      <c r="GR54" s="466">
        <f>Reinforcements[[#This Row],[Rev. G Bolt-Shaft Bearing Capacity (Top)                        Deformation          (*t*Fu kips)]]</f>
        <v>14.577755905511811</v>
      </c>
      <c r="GS54" s="466">
        <f>Reinforcements[[#This Row],[Rev. G Bolt-Reinf. Bearing Capacity (Bottom)            No Deformation (kips)]]</f>
        <v>932.97637795275568</v>
      </c>
      <c r="GT54" s="466">
        <f>Reinforcements[[#This Row],[Rev. G Bolt-Reinf. Bearing Capacity (Bottom)               Deformation (kips)]]</f>
        <v>1166.2204724409448</v>
      </c>
      <c r="GU54" s="466">
        <f>Reinforcements[[#This Row],[Rev. G Bolt-Reinf. Bearing Capacity (Top)                  No Deformation (kips)]]</f>
        <v>932.97637795275568</v>
      </c>
      <c r="GV54" s="466">
        <f>Reinforcements[[#This Row],[Rev. G Bolt-Reinf. Bearing Capacity (Top)               Deformation (kips)]]</f>
        <v>1166.2204724409448</v>
      </c>
      <c r="GW54" s="466" t="str">
        <f>Reinforcements[[#This Row],[Rev. G Bottom Transverse Weld Strength]]</f>
        <v>-</v>
      </c>
      <c r="GX54" s="466" t="str">
        <f>Reinforcements[[#This Row],[Rev. G Bottom Longitudinal Weld Strength]]</f>
        <v>-</v>
      </c>
      <c r="GY54" s="466" t="str">
        <f>Reinforcements[[#This Row],[Rev. G Top Transverse Weld Strength]]</f>
        <v>-</v>
      </c>
      <c r="GZ54" s="466" t="str">
        <f>Reinforcements[[#This Row],[Rev. G Top Longitudinal Weld Strength]]</f>
        <v>-</v>
      </c>
      <c r="HA54" s="552">
        <v>52</v>
      </c>
      <c r="HB54"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5" spans="2:210" s="10" customFormat="1" x14ac:dyDescent="0.2">
      <c r="B55" s="72" t="s">
        <v>247</v>
      </c>
      <c r="C55" s="72" t="s">
        <v>146</v>
      </c>
      <c r="D55" s="185">
        <v>6</v>
      </c>
      <c r="E55" s="185">
        <v>1</v>
      </c>
      <c r="F55" s="185" t="str">
        <f>IF(Reinforcements[[#This Row],[Type]]="","",IF(Reinforcements[[#This Row],[Type]]="solid round","","n/a"))</f>
        <v>n/a</v>
      </c>
      <c r="G55" s="185" t="str">
        <f>IF(Reinforcements[[#This Row],[Type]]="","",IF(Reinforcements[[#This Row],[Type]]&lt;&gt;"channel","n/a",""))</f>
        <v>n/a</v>
      </c>
      <c r="H55" s="185" t="str">
        <f>IF(Reinforcements[[#This Row],[Type]]="","",IF(Reinforcements[[#This Row],[Type]]&lt;&gt;"channel","n/a",""))</f>
        <v>n/a</v>
      </c>
      <c r="I55" s="197" t="str">
        <f>IF(Reinforcements[[#This Row],[Type]]="","",IF(Reinforcements[[#This Row],[Type]]&lt;&gt;"channel","n/a",Reinforcements[[#This Row],[eo]]))</f>
        <v>n/a</v>
      </c>
      <c r="J55" s="197" t="str">
        <f>IF(Reinforcements[[#This Row],[Type]]="","",IF(Reinforcements[[#This Row],[Type]]&lt;&gt;"channel","n/a",Reinforcements[[#This Row],[J]]))</f>
        <v>n/a</v>
      </c>
      <c r="K55" s="197" t="str">
        <f>IF(Reinforcements[[#This Row],[Type]]="","",IF(Reinforcements[[#This Row],[Type]]&lt;&gt;"channel","n/a",Reinforcements[[#This Row],[Cw]]))</f>
        <v>n/a</v>
      </c>
      <c r="L55" s="185">
        <f>IFERROR(IF(Reinforcements[[#This Row],[Type]]="","",IF(Reinforcements[[#This Row],[Type]]="plate",Reinforcements[[#This Row],[B (in)]]*Reinforcements[[#This Row],[H (in)]],IF(Reinforcements[[#This Row],[Type]]="solid round",PI()/4*Reinforcements[[#This Row],[Diameter (in)]]^2,""))),"")</f>
        <v>6</v>
      </c>
      <c r="M55" s="185">
        <f>IFERROR(IF(Reinforcements[[#This Row],[Type]]="","",IF(Reinforcements[[#This Row],[Type]]="plate",Reinforcements[[#This Row],[H (in)]]/2,"")),"")</f>
        <v>0.5</v>
      </c>
      <c r="N55" s="186" t="s">
        <v>297</v>
      </c>
      <c r="O55" s="185" t="s">
        <v>60</v>
      </c>
      <c r="P55" s="187">
        <f>IFERROR(IF(Reinforcements[[#This Row],[Type]]="","",IF(Reinforcements[[#This Row],[Type]]="plate",Reinforcements[[#This Row],[B (in)]]*Reinforcements[[#This Row],[H (in)]]^3/12,IF(Reinforcements[[#This Row],[Type]]="solid round",PI()/64*Reinforcements[[#This Row],[Diameter (in)]]^4,""))),"")</f>
        <v>0.5</v>
      </c>
      <c r="Q55" s="187">
        <f>IF(Reinforcements[[#This Row],[Reinforcement]]="","",SQRT(Reinforcements[[#This Row],[Ix]]/Reinforcements[[#This Row],[Gross Area (in2)]]))</f>
        <v>0.28867513459481287</v>
      </c>
      <c r="R55" s="187">
        <f>IFERROR(IF(Reinforcements[[#This Row],[Type]]="","",IF(Reinforcements[[#This Row],[Type]]="plate",Reinforcements[[#This Row],[B (in)]]^3*Reinforcements[[#This Row],[H (in)]]/12,IF(Reinforcements[[#This Row],[Type]]="solid round",PI()/64*Reinforcements[[#This Row],[Diameter (in)]]^4,""))),"")</f>
        <v>18</v>
      </c>
      <c r="S55" s="187">
        <f>IF(Reinforcements[[#This Row],[Reinforcement]]="","",SQRT(Reinforcements[[#This Row],[Iy]]/Reinforcements[[#This Row],[Gross Area (in2)]]))</f>
        <v>1.7320508075688772</v>
      </c>
      <c r="T55" s="190">
        <v>16.375</v>
      </c>
      <c r="U55" s="188">
        <v>0.8</v>
      </c>
      <c r="V55" s="188">
        <v>1</v>
      </c>
      <c r="W55" s="185">
        <v>1.1875</v>
      </c>
      <c r="X55" s="188">
        <f>IF(Reinforcements[[#This Row],[Bolt Hole Size (in)]]="","",IF(Reinforcements[[#This Row],[Bolt Hole Size (in)]]="n/a","n/a",Reinforcements[[#This Row],[Bolt Hole Size (in)]]*25.4))</f>
        <v>30.162499999999998</v>
      </c>
      <c r="Y55"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55" s="185">
        <f>IFERROR(IF(Reinforcements[[#This Row],[Reinforcement]]="","",IF(OR(Reinforcements[[#This Row],[Type]]="plate",Reinforcements[[#This Row],[Type]]="solid round"),1,IF(Reinforcements[[#This Row],[Type]]="arbitrary","",1-Reinforcements[[#This Row],[Pole Face to Centroid (in)]]/Reinforcements[[#This Row],[Connection Length (in) '[Channels']]]))),"")</f>
        <v>1</v>
      </c>
      <c r="AA55" s="200" t="s">
        <v>391</v>
      </c>
      <c r="AB55" s="200" t="str">
        <f>IF(Reinforcements[[#This Row],[Reinforcement]]="","",IF(Reinforcements[[#This Row],[Bottom End Connection Type]]&lt;&gt;"Capacity Input","-",""))</f>
        <v>-</v>
      </c>
      <c r="AC55" s="200" t="str">
        <f>IF(Reinforcements[[#This Row],[Reinforcement]]="","",IF(Reinforcements[[#This Row],[Bottom End Connection Type]]&lt;&gt;"Capacity Input","-",""))</f>
        <v>-</v>
      </c>
      <c r="AD55" s="461" t="str">
        <f>IF(Reinforcements[[#This Row],[Reinforcement]]="","",IF(Reinforcements[[#This Row],[Bottom End Connection Type]]&lt;&gt;"Capacity Input","-",""))</f>
        <v>-</v>
      </c>
      <c r="AE55" s="103" t="s">
        <v>416</v>
      </c>
      <c r="AF55" s="190" t="s">
        <v>296</v>
      </c>
      <c r="AG55" s="190">
        <v>8</v>
      </c>
      <c r="AH55" s="190">
        <v>3</v>
      </c>
      <c r="AI55" s="190">
        <v>3</v>
      </c>
      <c r="AJ55" s="190">
        <f>Reinforcements[[#This Row],[End Connection Edge Distance (in) (B)]]-(Reinforcements[[#This Row],[Bolt Hole Size (in)]]+1/16)/2</f>
        <v>2.375</v>
      </c>
      <c r="AK55" s="190">
        <f>Reinforcements[[#This Row],[End Connection Bolt Spacing (in) (B)]]-(Reinforcements[[#This Row],[Bolt Hole Size (in)]]+1/16)</f>
        <v>1.75</v>
      </c>
      <c r="AL55" s="190">
        <f>Reinforcements[[#This Row],[End Connection Edge Distance (in) (B)]]</f>
        <v>3</v>
      </c>
      <c r="AM55" s="190">
        <f>Reinforcements[[#This Row],[End Connection Bolt Spacing (in) (B)]]</f>
        <v>3</v>
      </c>
      <c r="AN55" s="190" t="str">
        <f>IF(Reinforcements[[#This Row],[Reinforcement]]="","",IF(OR(Reinforcements[[#This Row],[Bottom End Connection Type]]="Bolted",Reinforcements[[#This Row],[Bottom End Connection Type]]=""),"-",""))</f>
        <v>-</v>
      </c>
      <c r="AO55" s="191" t="str">
        <f>IF(Reinforcements[[#This Row],[Reinforcement]]="","",IF(OR(Reinforcements[[#This Row],[Bottom End Connection Type]]="Bolted",Reinforcements[[#This Row],[Bottom End Connection Type]]=""),"-",""))</f>
        <v>-</v>
      </c>
      <c r="AP55" s="191" t="str">
        <f>IF(Reinforcements[[#This Row],[Reinforcement]]="","",IF(OR(Reinforcements[[#This Row],[Bottom End Connection Type]]="Bolted",Reinforcements[[#This Row],[Bottom End Connection Type]]=""),"-",""))</f>
        <v>-</v>
      </c>
      <c r="AQ55" s="191" t="str">
        <f>IF(OR(Reinforcements[[#This Row],[Bottom End Connection Type]]="Bolted",Reinforcements[[#This Row],[Bottom Transverse (Horizontal) Weld]]="none"),"-","")</f>
        <v>-</v>
      </c>
      <c r="AR5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5" s="191" t="str">
        <f>IF(OR(Reinforcements[[#This Row],[Bottom Transverse (Horizontal) Weld]]="none",Reinforcements[[#This Row],[Bottom End Connection Type]]="Bolted"),"-","")</f>
        <v>-</v>
      </c>
      <c r="AU55"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5" s="191" t="str">
        <f>IF(Reinforcements[[#This Row],[Reinforcement]]="","",IF(OR(Reinforcements[[#This Row],[Bottom End Connection Type]]="Bolted",Reinforcements[[#This Row],[Bottom End Connection Type]]=""),"-",""))</f>
        <v>-</v>
      </c>
      <c r="AW55" s="191" t="str">
        <f>IF(Reinforcements[[#This Row],[Reinforcement]]="","",IF(OR(Reinforcements[[#This Row],[Bottom End Connection Type]]&lt;&gt;"Welded",Reinforcements[[#This Row],[Bottom Longitudinal (Vertical) Weld]]="None",Reinforcements[[#This Row],[Bottom Longitudinal (Vertical) Weld]]=""),"-",""))</f>
        <v>-</v>
      </c>
      <c r="AX55" s="191" t="str">
        <f>IF(Reinforcements[[#This Row],[Reinforcement]]="","",IF(OR(Reinforcements[[#This Row],[Bottom End Connection Type]]&lt;&gt;"Welded",Reinforcements[[#This Row],[Bottom Longitudinal (Vertical) Weld]]="None",Reinforcements[[#This Row],[Bottom Longitudinal (Vertical) Weld]]=""),"-",""))</f>
        <v>-</v>
      </c>
      <c r="AY55" s="190" t="str">
        <f>IF(Reinforcements[[#This Row],[Reinforcement]]="","",IF(OR(Reinforcements[[#This Row],[Bottom End Connection Type]]&lt;&gt;"Welded",Reinforcements[[#This Row],[Bottom Longitudinal (Vertical) Weld]]="None"),"-",SQRT(2)/2*Reinforcements[[#This Row],[Bottom Longitudinal Weld Fillet Size (in)]]))</f>
        <v>-</v>
      </c>
      <c r="AZ55" s="190" t="s">
        <v>295</v>
      </c>
      <c r="BA55" s="189" t="str">
        <f>IF(Reinforcements[[#This Row],[Top End Connection Same?]]="Yes",Reinforcements[[#This Row],[Bottom End Connection Type]],"")</f>
        <v>Bolted</v>
      </c>
      <c r="BB55" s="189" t="str">
        <f>IF(Reinforcements[[#This Row],[Reinforcement]]="","",IF(Reinforcements[[#This Row],[Top End Connection Same?]]="Yes",Reinforcements[[#This Row],[Rev. F Bottom Connection Capacity (kips)]],IF(Reinforcements[[#This Row],[Reinforcement]]="","",IF(Reinforcements[[#This Row],[Top End Connection Type]]&lt;&gt;"Capacity Input","-",""))))</f>
        <v>-</v>
      </c>
      <c r="BC55" s="189" t="str">
        <f>IF(Reinforcements[[#This Row],[Reinforcement]]="","",IF(Reinforcements[[#This Row],[Top End Connection Same?]]="Yes",Reinforcements[[#This Row],[Rev. G Bottom Connection Capacity (kips)]],IF(Reinforcements[[#This Row],[Reinforcement]]="","",IF(Reinforcements[[#This Row],[Top End Connection Type]]&lt;&gt;"Capacity Input","-",""))))</f>
        <v>-</v>
      </c>
      <c r="BD55" s="461" t="str">
        <f>IF(Reinforcements[[#This Row],[Reinforcement]]="","",IF(Reinforcements[[#This Row],[Top End Connection Same?]]="Yes",Reinforcements[[#This Row],[Rev. G Bottom Connection Capacity (kips)]],IF(Reinforcements[[#This Row],[Reinforcement]]="","",IF(Reinforcements[[#This Row],[Top End Connection Type]]&lt;&gt;"Capacity Input","-",""))))</f>
        <v>-</v>
      </c>
      <c r="BE55" s="103" t="str">
        <f>IF(Reinforcements[[#This Row],[Top End Connection Same?]]="Yes",Reinforcements[[#This Row],[Bottom End Connection Bolt Type]],IF(Reinforcements[[#This Row],[Top End Connection Type]]="Welded","-",""))</f>
        <v>PC 8.8 - M20 (100)</v>
      </c>
      <c r="BF55" s="190" t="str">
        <f>IF(Reinforcements[[#This Row],[Top End Connection Same?]]="Yes",Reinforcements[[#This Row],[Threads Included (N) or Excluded (X) (Bottom)]],IF(Reinforcements[[#This Row],[Top End Connection Type]]="Welded","-",""))</f>
        <v>N</v>
      </c>
      <c r="BG55" s="190">
        <f>IF(Reinforcements[[#This Row],[Top End Connection Same?]]="Yes",Reinforcements[[#This Row],['# of End Connection Bolts          (Bottom)]],IF(Reinforcements[[#This Row],[Top End Connection Type]]="Welded","-",""))</f>
        <v>8</v>
      </c>
      <c r="BH55" s="190">
        <f>IF(Reinforcements[[#This Row],[Top End Connection Same?]]="Yes",Reinforcements[[#This Row],[End Connection Bolt Spacing (in) (B)]],IF(Reinforcements[[#This Row],[Top End Connection Type]]="Welded","-",""))</f>
        <v>3</v>
      </c>
      <c r="BI55" s="190">
        <f>IF(Reinforcements[[#This Row],[Top End Connection Same?]]="Yes",Reinforcements[[#This Row],[End Connection Edge Distance (in) (B)]],IF(Reinforcements[[#This Row],[Top End Connection Type]]="Welded","-",""))</f>
        <v>3</v>
      </c>
      <c r="BJ55" s="190">
        <f>Reinforcements[[#This Row],[End Connection Edge Distance (in) (T)]]-(Reinforcements[[#This Row],[Bolt Hole Size (in)]]+1/16)/2</f>
        <v>2.375</v>
      </c>
      <c r="BK55" s="190">
        <f>Reinforcements[[#This Row],[End Connection Bolt Spacing (in) (T)]]-(Reinforcements[[#This Row],[Bolt Hole Size (in)]]+1/16)</f>
        <v>1.75</v>
      </c>
      <c r="BL55" s="190">
        <f>Reinforcements[[#This Row],[End Connection Edge Distance (in) (T)]]</f>
        <v>3</v>
      </c>
      <c r="BM55" s="190">
        <f>Reinforcements[[#This Row],[End Connection Bolt Spacing (in) (T)]]</f>
        <v>3</v>
      </c>
      <c r="BN55" s="190" t="str">
        <f>IF(Reinforcements[[#This Row],[Reinforcement]]="","",IF(Reinforcements[[#This Row],[Top End Connection Same?]]="Yes",Reinforcements[[#This Row],[Bottom Connected to Flange/Base Plate?]],IF(Reinforcements[[#This Row],[Top End Connection Type]]="Bolted","-","")))</f>
        <v>-</v>
      </c>
      <c r="BO55" s="190" t="str">
        <f>IF(Reinforcements[[#This Row],[Reinforcement]]="","",IF(Reinforcements[[#This Row],[Top End Connection Same?]]="Yes",Reinforcements[[#This Row],[Bottom Weld Grade (ksi)]],IF(OR(Reinforcements[[#This Row],[Top End Connection Type]]&lt;&gt;"Welded",Reinforcements[[#This Row],[Top End Connection Type]]=""),"-","")))</f>
        <v>-</v>
      </c>
      <c r="BP55" s="190" t="str">
        <f>IF($AZ55="Yes",AP55,IF(Reinforcements[[#This Row],[Reinforcement]]="","",IF(OR(Reinforcements[[#This Row],[Top End Connection Type]]&lt;&gt;"Welded",Reinforcements[[#This Row],[Top End Connection Type]]=""),"-","")))</f>
        <v>-</v>
      </c>
      <c r="BQ55" s="190" t="str">
        <f>IF(Reinforcements[[#This Row],[Reinforcement]]="","",IF($AZ55="Yes",AQ55,IF(OR(Reinforcements[[#This Row],[Top End Connection Type]]&lt;&gt;"Welded",Reinforcements[[#This Row],[Top Transverse (Horizontal) Weld]]="none",Reinforcements[[#This Row],[Top Transverse (Horizontal) Weld]]=""),"-","")))</f>
        <v>-</v>
      </c>
      <c r="BR55" s="190" t="str">
        <f>IF($AZ55="Yes",AR55,IF(Reinforcements[[#This Row],[Reinforcement]]="","",IF(OR(Reinforcements[[#This Row],[Top Transverse (Horizontal) Weld]]="none",Reinforcements[[#This Row],[Top End Connection Type]]&lt;&gt;"Welded",Reinforcements[[#This Row],[Top Transverse (Horizontal) Weld]]="",Reinforcements[[#This Row],[Top Transverse (Horizontal) Weld]]="Fillet"),"-","")))</f>
        <v>-</v>
      </c>
      <c r="BS55" s="190" t="str">
        <f>IF($AZ55="Yes",AS55,IF(Reinforcements[[#This Row],[Reinforcement]]="","",IF(OR(Reinforcements[[#This Row],[Top Transverse (Horizontal) Weld]]="none",Reinforcements[[#This Row],[Top End Connection Type]]&lt;&gt;"Welded",Reinforcements[[#This Row],[Top Transverse (Horizontal) Weld]]="",Reinforcements[[#This Row],[Top Transverse (Horizontal) Weld]]="Fillet"),"-","")))</f>
        <v>-</v>
      </c>
      <c r="BT55" s="190" t="str">
        <f>IF(Reinforcements[[#This Row],[Reinforcement]]="","",IF($AZ55="Yes",AT55,IF(OR(Reinforcements[[#This Row],[Top Transverse (Horizontal) Weld]]="none",Reinforcements[[#This Row],[Top End Connection Type]]&lt;&gt;"Welded",Reinforcements[[#This Row],[Top Transverse (Horizontal) Weld]]=""),"-","")))</f>
        <v>-</v>
      </c>
      <c r="BU55" s="190" t="str">
        <f>IF($AZ55="Yes",AU55,IF(Reinforcements[[#This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5" s="190" t="str">
        <f>IF($AZ55="Yes",AV55,IF(Reinforcements[[#This Row],[Reinforcement]]="","",IF(OR(Reinforcements[[#This Row],[Top End Connection Type]]&lt;&gt;"Welded",Reinforcements[[#This Row],[Top End Connection Type]]=""),"-","")))</f>
        <v>-</v>
      </c>
      <c r="BW55" s="190" t="str">
        <f>IF($AZ55="Yes",AW55,IF(Reinforcements[[#This Row],[Reinforcement]]="","",IF(OR(Reinforcements[[#This Row],[Top End Connection Type]]&lt;&gt;"Welded",Reinforcements[[#This Row],[Top End Connection Type]]="",Reinforcements[[#This Row],[Top Longitudinal (Vertical) Weld]]="",Reinforcements[[#This Row],[Top Longitudinal (Vertical) Weld]]="None"),"-","")))</f>
        <v>-</v>
      </c>
      <c r="BX55" s="190" t="str">
        <f>IF($AZ55="Yes",AX55,IF(Reinforcements[[#This Row],[Reinforcement]]="","",IF(OR(Reinforcements[[#This Row],[Top End Connection Type]]&lt;&gt;"Welded",Reinforcements[[#This Row],[Top End Connection Type]]="",Reinforcements[[#This Row],[Top Longitudinal (Vertical) Weld]]="",Reinforcements[[#This Row],[Top Longitudinal (Vertical) Weld]]="None"),"-","")))</f>
        <v>-</v>
      </c>
      <c r="BY55" s="190" t="str">
        <f>IF($AZ55="Yes",AY55,IF(Reinforcements[[#This Row],[Reinforcement]]="","",IF(OR(Reinforcements[[#This Row],[Top End Connection Type]]&lt;&gt;"Welded",Reinforcements[[#This Row],[Top Longitudinal (Vertical) Weld]]="none"),"-",SQRT(2)/2*Reinforcements[[#This Row],[Top Longitudinal Weld Fillet Size (in)]])))</f>
        <v>-</v>
      </c>
      <c r="BZ55"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5" s="192">
        <f>IF(Reinforcements[[#This Row],[Reinforcement]]="","",IF(Reinforcements[[#This Row],[Bottom End Connection Type]]&lt;&gt;"Bolted","n/a",(Reinforcements[[#This Row],['# of End Connection Bolts          (Bottom)]]-1)*Reinforcements[[#This Row],[End Connection Bolt Spacing (in) (B)]]+Reinforcements[[#This Row],[End Connection Edge Distance (in) (B)]]))</f>
        <v>24</v>
      </c>
      <c r="CB55" s="192">
        <f>IF(Reinforcements[[#This Row],[Reinforcement]]="","",IF(Reinforcements[[#This Row],[Top End Connection Type]]&lt;&gt;"Bolted","n/a",(Reinforcements[[#This Row],['# of End Connection Bolts          (Top)]]-1)*Reinforcements[[#This Row],[End Connection Bolt Spacing (in) (T)]]+Reinforcements[[#This Row],[End Connection Edge Distance (in) (T)]]))</f>
        <v>24</v>
      </c>
      <c r="CC55"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55"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5" s="185">
        <f>IFERROR(IF(Reinforcements[[#This Row],[Type]]="","",Reinforcements[[#This Row],[Effective B (in)]]*Reinforcements[[#This Row],[Effective H (in)]]^3/12),"")</f>
        <v>0.5</v>
      </c>
      <c r="CF55" s="185">
        <f>IFERROR(IF(Reinforcements[[#This Row],[Type]]="","",Reinforcements[[#This Row],[Effective B (in)]]^3*Reinforcements[[#This Row],[Effective H (in)]]/12),"")</f>
        <v>18</v>
      </c>
      <c r="CG55" s="197">
        <f>SQRT(2*PI()^2*29000/VLOOKUP(Reinforcements[[#This Row],[Material]],Materials[],2,FALSE))</f>
        <v>93.844147005158973</v>
      </c>
      <c r="CH55"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31.30014064107192</v>
      </c>
      <c r="CI55"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37.9449015749381</v>
      </c>
      <c r="CJ55" s="239">
        <f>Reinforcements[[#This Row],[Effective Length Factor Kx]]*Reinforcements[[#This Row],[Lu (in)]]/(Reinforcements[[#This Row],[rx]]*PI())*SQRT(VLOOKUP(Reinforcements[[#This Row],[Material]],Materials[],2,FALSE)/29000)</f>
        <v>0.68386397350269734</v>
      </c>
      <c r="CK55" s="239">
        <f>Reinforcements[[#This Row],[Effective Length Factor Ky]]*Reinforcements[[#This Row],[Lu (in)]]/(Reinforcements[[#This Row],[ry]]*PI())*SQRT(VLOOKUP(Reinforcements[[#This Row],[Material]],Materials[],2,FALSE)/29000)</f>
        <v>0.14247166114639526</v>
      </c>
      <c r="CL55" s="239">
        <f>IF(Reinforcements[[#This Row],[λcx]]&lt;=1.5,0.658^(Reinforcements[[#This Row],[λcx]]^2)*Reinforcements[[#This Row],[F''y]],0.877/(Reinforcements[[#This Row],[λcx]]^2)*Reinforcements[[#This Row],[F''y]])</f>
        <v>53.444506630034688</v>
      </c>
      <c r="CM55" s="239">
        <f>IF(Reinforcements[[#This Row],[λcy]]&lt;=1.5,0.658^(Reinforcements[[#This Row],[λcy]]^2)*Reinforcements[[#This Row],[F''y]],0.877/(Reinforcements[[#This Row],[λcy]]^2)*Reinforcements[[#This Row],[F''y]])</f>
        <v>64.450111668084361</v>
      </c>
      <c r="CN55" s="236">
        <f>VLOOKUP(Reinforcements[[#This Row],[Material]],Materials[],2,FALSE)</f>
        <v>65</v>
      </c>
      <c r="CO55" s="235">
        <f>IF(Reinforcements[[#This Row],[Reinforcement]]="","",Reinforcements[[#This Row],[Fax]]*Reinforcements[[#This Row],[Gross Area (in2)]])</f>
        <v>187.80084384643152</v>
      </c>
      <c r="CP55" s="197">
        <f>IF(Reinforcements[[#This Row],[Reinforcement]]="","",Reinforcements[[#This Row],[Fay]]*Reinforcements[[#This Row],[Gross Area (in2)]])</f>
        <v>227.6694094496286</v>
      </c>
      <c r="CQ55" s="197">
        <f>IF(Reinforcements[[#This Row],[Reinforcement]]="","",0.6*VLOOKUP(Reinforcements[[#This Row],[Material]],Materials[],2,FALSE)*Reinforcements[[#This Row],[Gross Area (in2)]])</f>
        <v>234</v>
      </c>
      <c r="CR55" s="197">
        <f>IF(Reinforcements[[#This Row],[Reinforcement]]="","",0.5*VLOOKUP(Reinforcements[[#This Row],[Material]],Materials[],3,FALSE)*Reinforcements[[#This Row],[Net Area (in2)]]*Reinforcements[[#This Row],[Shear Lag (U)]])</f>
        <v>190</v>
      </c>
      <c r="CS55" s="197">
        <f>IF(Reinforcements[[#This Row],[Reinforcement]]="","",0.4*VLOOKUP(Reinforcements[[#This Row],[Material]],Materials[],2,FALSE)*Reinforcements[[#This Row],[Gross Area (in2)]])</f>
        <v>156</v>
      </c>
      <c r="CT55"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55"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55"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55"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55"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55"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55"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876.85039370078744</v>
      </c>
      <c r="DA55"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977.00787401574803</v>
      </c>
      <c r="DB55"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55"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55"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5"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5" s="190" t="str">
        <f>IF($AZ55="Yes",DD55,IF(Reinforcements[[#This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5" s="190" t="str">
        <f>IF($AZ55="Yes",DE55,IF(Reinforcements[[#This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5" s="235">
        <f>IF(Reinforcements[[#This Row],[Reinforcement]]="","",φ_c*Reinforcements[[#This Row],[Fcr,x]]*Reinforcements[[#This Row],[Gross Area (in2)]])</f>
        <v>288.60033580218732</v>
      </c>
      <c r="DI55" s="235">
        <f>IF(Reinforcements[[#This Row],[Reinforcement]]="","",φ_c*Reinforcements[[#This Row],[Fcr,y]]*Reinforcements[[#This Row],[Gross Area (in2)]])</f>
        <v>348.03060300765554</v>
      </c>
      <c r="DJ55" s="197">
        <f>IF(Reinforcements[[#This Row],[Reinforcement]]="","",φ_t_y*VLOOKUP(Reinforcements[[#This Row],[Material]],Materials[],2,FALSE)*Reinforcements[[#This Row],[Gross Area (in2)]])</f>
        <v>351</v>
      </c>
      <c r="DK55" s="197">
        <f>IF(Reinforcements[[#This Row],[Reinforcement]]="","",φ_t_r*VLOOKUP(Reinforcements[[#This Row],[Material]],Materials[],3,FALSE)*Reinforcements[[#This Row],[Net Area (in2)]]*Reinforcements[[#This Row],[Shear Lag (U)]])</f>
        <v>285</v>
      </c>
      <c r="DL55" s="197">
        <f>IF(Reinforcements[[#This Row],[Reinforcement]]="","",φ_v*0.5*Reinforcements[[#This Row],[F''y]]*Reinforcements[[#This Row],[Gross Area (in2)]])</f>
        <v>175.5</v>
      </c>
      <c r="DM55"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55"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55"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55"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55"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55"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55"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1269.6188976377953</v>
      </c>
      <c r="DT55"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U55"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55"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55"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5"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5" s="190" t="str">
        <f>IF($AZ55="Yes",DW55,IF(Reinforcements[[#This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5" s="190" t="str">
        <f>IF($AZ55="Yes",DX55,IF(Reinforcements[[#This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5" s="238" t="str">
        <f>IF(OR(Reinforcements[[#This Row],[Type]]="plate",Reinforcements[[#This Row],[Type]]="solid round"),"N/A",Reinforcements[[#This Row],[B (in)]])</f>
        <v>N/A</v>
      </c>
      <c r="EB55" s="236" t="str">
        <f>IF(OR(Reinforcements[[#This Row],[Type]]="plate",Reinforcements[[#This Row],[Type]]="solid round"),"N/A",Reinforcements[[#This Row],[H (in)]])</f>
        <v>N/A</v>
      </c>
      <c r="EC55" s="236" t="str">
        <f>IF(OR(Reinforcements[[#This Row],[Type]]="plate",Reinforcements[[#This Row],[Type]]="solid round"),"N/A",Reinforcements[[#This Row],[B (in)]]-Reinforcements[[#This Row],['[Channel'] Flange Thickness (in)]])</f>
        <v>N/A</v>
      </c>
      <c r="ED55" s="236" t="str">
        <f>IF(OR(Reinforcements[[#This Row],[Type]]="plate",Reinforcements[[#This Row],[Type]]="solid round"),"N/A",Reinforcements[[#This Row],['[Channel']Web Thickness (in)]])</f>
        <v>N/A</v>
      </c>
      <c r="EE55" s="236" t="str">
        <f>IF(OR(Reinforcements[[#This Row],[Type]]="plate",Reinforcements[[#This Row],[Type]]="solid round"),"N/A",Reinforcements[[#This Row],['[Channel'] Flange Thickness (in)]])</f>
        <v>N/A</v>
      </c>
      <c r="EF55" s="236" t="str">
        <f>IF(Reinforcements[[#This Row],[Type]]="channel",Reinforcements[[#This Row],[Channel Flange Width, b]]/Reinforcements[[#This Row],[Channel flange thickness, tf]],"N/A")</f>
        <v>N/A</v>
      </c>
      <c r="EG55" s="236" t="str">
        <f>IF(Reinforcements[[#This Row],[Type]]="channel",Reinforcements[[#This Row],[Channel inside depth, T]]/Reinforcements[[#This Row],[Channel web thickness, tw]],"N/A")</f>
        <v>N/A</v>
      </c>
      <c r="EH55" s="237">
        <v>29000</v>
      </c>
      <c r="EI55" s="237" t="str">
        <f>IF(Reinforcements[[#This Row],[Type]]="channel",0.56*SQRT(Reinforcements[[#This Row],[E, (ksi)]]/Reinforcements[[#This Row],[Fy, (ksi)]]),"N/A")</f>
        <v>N/A</v>
      </c>
      <c r="EJ55" s="237" t="str">
        <f>IF(Reinforcements[[#This Row],[Type]]="channel",1.49*SQRT(Reinforcements[[#This Row],[E, (ksi)]]/Reinforcements[[#This Row],[Fy, (ksi)]]),"N/A")</f>
        <v>N/A</v>
      </c>
      <c r="EK55" s="237">
        <f>VLOOKUP(Reinforcements[[#This Row],[Material]],Materials!$B$2:$C$30,2,FALSE)</f>
        <v>65</v>
      </c>
      <c r="EL55" s="237">
        <f>Reinforcements[[#This Row],[Lu (in)]]*Reinforcements[[#This Row],[Effective Length Factor Kx]]</f>
        <v>13.100000000000001</v>
      </c>
      <c r="EM55" s="237">
        <f>Reinforcements[[#This Row],[Lu (in)]]*Reinforcements[[#This Row],[Effective Length Factor Ky]]</f>
        <v>16.375</v>
      </c>
      <c r="EN55" s="237">
        <f>Reinforcements[[#This Row],[rx]]</f>
        <v>0.28867513459481287</v>
      </c>
      <c r="EO55" s="237">
        <f>Reinforcements[[#This Row],[ry]]</f>
        <v>1.7320508075688772</v>
      </c>
      <c r="EP55" s="237">
        <f>Reinforcements[[#This Row],[Lcx (in)]]/Reinforcements[[#This Row],[rx (in)]]</f>
        <v>45.379731158304594</v>
      </c>
      <c r="EQ55" s="237">
        <f>Reinforcements[[#This Row],[Lcy (in)]]/Reinforcements[[#This Row],[ry (in)]]</f>
        <v>9.454110657980122</v>
      </c>
      <c r="ER55" s="237">
        <f>((PI()^2)*Reinforcements[[#This Row],[E, (ksi)]])/(Reinforcements[[#This Row],[Lcx/rx]]^2)</f>
        <v>138.98691200570639</v>
      </c>
      <c r="ES55" s="237">
        <f>((PI()^2)*Reinforcements[[#This Row],[E, (ksi)]])/(Reinforcements[[#This Row],[Lcy/ry]]^2)</f>
        <v>3202.2584526114765</v>
      </c>
      <c r="ET55" s="237">
        <f>4.71*(SQRT(Reinforcements[[#This Row],[E, (ksi)]]/Reinforcements[[#This Row],[Fy, (ksi)]]))</f>
        <v>99.486288193205496</v>
      </c>
      <c r="EU55" s="237">
        <f>IF(Reinforcements[[#This Row],[Lcx/rx]]&lt;=Reinforcements[[#This Row],[Fcr Limit]],(0.658^(Reinforcements[[#This Row],[Fy, (ksi)]]/Reinforcements[[#This Row],[Fex, FB (ksi)]]))*Reinforcements[[#This Row],[Fy, (ksi)]],0.877*Reinforcements[[#This Row],[Fex, FB (ksi)]])</f>
        <v>53.444506630034688</v>
      </c>
      <c r="EV55" s="237">
        <f>IF(Reinforcements[[#This Row],[Lcy/ry]]&lt;=Reinforcements[[#This Row],[Fcr Limit]],(0.658^(Reinforcements[[#This Row],[Fy, (ksi)]]/Reinforcements[[#This Row],[Fey, FB (ksi)]]))*Reinforcements[[#This Row],[Fy, (ksi)]],0.877*Reinforcements[[#This Row],[Fey, FB (ksi)]])</f>
        <v>64.450111668084361</v>
      </c>
      <c r="EW55" s="237">
        <f>Reinforcements[[#This Row],[Fcrx (ksi)]]*Reinforcements[[#This Row],[Gross Area (in2)]]</f>
        <v>320.66703978020814</v>
      </c>
      <c r="EX55" s="237">
        <f>Reinforcements[[#This Row],[Fcry (ksi)]]*Reinforcements[[#This Row],[Gross Area (in2)]]</f>
        <v>386.70067000850617</v>
      </c>
      <c r="EY55" s="237" t="str">
        <f>IF(Reinforcements[[#This Row],[Type]]="channel",0,"N/A")</f>
        <v>N/A</v>
      </c>
      <c r="EZ55" s="237" t="str">
        <f>IF(Reinforcements[[#This Row],[Type]]="channel",Reinforcements[[#This Row],[Channel Flange Width, b]]-(0.5*Reinforcements[[#This Row],[Channel web thickness, tw]]),"N/A")</f>
        <v>N/A</v>
      </c>
      <c r="FA55" s="237" t="str">
        <f>IF(Reinforcements[[#This Row],[Type]]="channel",Reinforcements[[#This Row],[Channel Height, h]]-Reinforcements[[#This Row],[Channel flange thickness, tf]],"N/A")</f>
        <v>N/A</v>
      </c>
      <c r="FB55" s="237" t="str">
        <f>IF(Reinforcements[[#This Row],[Type]]="channel",Reinforcements[[#This Row],[Channel web thickness, tw]],"N/A")</f>
        <v>N/A</v>
      </c>
      <c r="FC55" s="237" t="str">
        <f>IF(Reinforcements[[#This Row],[Type]]="channel",((3*Reinforcements[[#This Row],[b]]^2)/(Reinforcements[[#This Row],[h]]+(6*Reinforcements[[#This Row],[b]])))-Reinforcements[[#This Row],[t]]/2,"N/A")</f>
        <v>N/A</v>
      </c>
      <c r="FD55" s="237">
        <f>Reinforcements[[#This Row],[Pole Face to Centroid (in)]]</f>
        <v>0.5</v>
      </c>
      <c r="FE55" s="236" t="str">
        <f>IF(Reinforcements[[#This Row],[Type]]="channel",Reinforcements[[#This Row],[x(bar)]]+Reinforcements[[#This Row],['[Channel'] e0 (in)]],"N/A")</f>
        <v>N/A</v>
      </c>
      <c r="FF55" s="236" t="str">
        <f>IF(Reinforcements[[#This Row],[Type]]="channel",Reinforcements[[#This Row],[Ix]],"N/A")</f>
        <v>N/A</v>
      </c>
      <c r="FG55" s="236" t="str">
        <f>IF(Reinforcements[[#This Row],[Type]]="channel",Reinforcements[[#This Row],[Iy]],"N/A")</f>
        <v>N/A</v>
      </c>
      <c r="FH55" s="236" t="str">
        <f>IF(Reinforcements[[#This Row],[Type]]="channel",Reinforcements[[#This Row],[Gross Area (in2)]],"N/A")</f>
        <v>N/A</v>
      </c>
      <c r="FI55" s="236" t="str">
        <f>IF(Reinforcements[[#This Row],[Type]]="channel",(Reinforcements[[#This Row],[xo]]^2)+((Reinforcements[[#This Row],[Ix (FTB)]]+Reinforcements[[#This Row],[Iy (FTB)]])/Reinforcements[[#This Row],[Ag]]),"N/A")</f>
        <v>N/A</v>
      </c>
      <c r="FJ55" s="236" t="str">
        <f>IF(Reinforcements[[#This Row],[Type]]="channel",Reinforcements[[#This Row],[Lu (in)]],"N/A")</f>
        <v>N/A</v>
      </c>
      <c r="FK55" s="236" t="str">
        <f>IF(Reinforcements[[#This Row],[Type]]="channel",Reinforcements[[#This Row],[Effective Length Factor Kx]],"N/A")</f>
        <v>N/A</v>
      </c>
      <c r="FL55" s="236" t="str">
        <f>IF(Reinforcements[[#This Row],[Type]]="channel",Reinforcements[[#This Row],[Kz]]*Reinforcements[[#This Row],[Lz]],"N/A")</f>
        <v>N/A</v>
      </c>
      <c r="FM55" s="236" t="str">
        <f>IF(Reinforcements[[#This Row],[Type]]="channel",(((Reinforcements[[#This Row],[t]]^3)/3)*(Reinforcements[[#This Row],[h]]+(2*Reinforcements[[#This Row],[b]]))),"N/A")</f>
        <v>N/A</v>
      </c>
      <c r="FN55" s="236" t="str">
        <f>IF(Reinforcements[[#This Row],[Type]]="channel",(1-(((Reinforcements[[#This Row],[xo]]^2)+(Reinforcements[[#This Row],[yo]]^2))/Reinforcements[[#This Row],[ro^2(bar)]])),"N/A")</f>
        <v>N/A</v>
      </c>
      <c r="FO55" s="237">
        <v>11200</v>
      </c>
      <c r="FP55" s="236" t="str">
        <f>IF(Reinforcements[[#This Row],[Type]]="channel",(((Reinforcements[[#This Row],[h]]^2)*(Reinforcements[[#This Row],[b]]^3)*Reinforcements[[#This Row],[t]])/12)*(((2*Reinforcements[[#This Row],[h]])+(3*Reinforcements[[#This Row],[b]]))/(Reinforcements[[#This Row],[h]]+(6*Reinforcements[[#This Row],[b]]))),"N/A")</f>
        <v>N/A</v>
      </c>
      <c r="FQ55" s="236" t="str">
        <f>IF(Reinforcements[[#This Row],[Type]]="Channel",((((PI()^2)*Reinforcements[[#This Row],[E, (ksi)]]*Reinforcements[[#This Row],['[Channel'] CW (in6)]])/(Reinforcements[[#This Row],[Lcz]]^2))+(Reinforcements[[#This Row],[G]]*Reinforcements[[#This Row],['[Channel'] J (in4)]]))*(1/(Reinforcements[[#This Row],[Ag]]*Reinforcements[[#This Row],[ro^2(bar)]])),"N/A")</f>
        <v>N/A</v>
      </c>
      <c r="FR55" s="236" t="str">
        <f>IF(Reinforcements[[#This Row],[Type]]="channel",((PI()^2)*Reinforcements[[#This Row],[E, (ksi)]])/(Reinforcements[[#This Row],[Lcy/ry]]^2),"N/A")</f>
        <v>N/A</v>
      </c>
      <c r="FS55" s="236" t="str">
        <f>IF(Reinforcements[[#This Row],[Type]]="channel",((Reinforcements[[#This Row],[Fey]]+Reinforcements[[#This Row],[Fez]])/(2*Reinforcements[[#This Row],[H2]]))*(1-SQRT(1-((4*Reinforcements[[#This Row],[Fey]]*Reinforcements[[#This Row],[Fez]]*Reinforcements[[#This Row],[H2]])/(Reinforcements[[#This Row],[Fey]]+Reinforcements[[#This Row],[Fez]])^2))),"N/A")</f>
        <v>N/A</v>
      </c>
      <c r="FT55" s="236" t="str">
        <f>IF(Reinforcements[[#This Row],[Type]]="channel",IF(Reinforcements[[#This Row],[Lcx/rx]]&gt;(4.71*SQRT(Reinforcements[[#This Row],[E, (ksi)]]/Reinforcements[[#This Row],[Fy, (ksi)]])),0.877*Reinforcements[[#This Row],[Fe (FTB)]],0.658^(Reinforcements[[#This Row],[Fy, (ksi)]]/Reinforcements[[#This Row],[Fe (FTB)]])*Reinforcements[[#This Row],[Fy, (ksi)]]),"N/A")</f>
        <v>N/A</v>
      </c>
      <c r="FU55" s="236" t="str">
        <f>IF(Reinforcements[[#This Row],[Type]]="channel",MIN(Reinforcements[[#This Row],[Fcr(FTB)]],Reinforcements[[#This Row],[Fcry (ksi)]]),"N/A")</f>
        <v>N/A</v>
      </c>
      <c r="FV55" s="237">
        <v>0.22</v>
      </c>
      <c r="FW55" s="237">
        <v>1.49</v>
      </c>
      <c r="FX55" s="236" t="str">
        <f>IF(Reinforcements[[#This Row],[Type]]="channel",((Reinforcements[[#This Row],[c2]]*(Reinforcements[[#This Row],[λrf]]/Reinforcements[[#This Row],[λf]]))^2)*Reinforcements[[#This Row],[Fy, (ksi)]],"N/A")</f>
        <v>N/A</v>
      </c>
      <c r="FY55" s="236" t="str">
        <f>IF(Reinforcements[[#This Row],[Type]]="channel",((Reinforcements[[#This Row],[c2]]*(Reinforcements[[#This Row],[λrw]]/Reinforcements[[#This Row],[λw]]))^2)*Reinforcements[[#This Row],[Fy, (ksi)]],"N/A")</f>
        <v>N/A</v>
      </c>
      <c r="FZ55"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5"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5"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5" s="236" t="str">
        <f>IF(Reinforcements[[#This Row],[Type]]="channel",Reinforcements[[#This Row],[Fcr]]*Reinforcements[[#This Row],[Ae]],"N/A")</f>
        <v>N/A</v>
      </c>
      <c r="GD55" s="466">
        <f>IF(Reinforcements[[#This Row],[Reinforcement]]="","",φ_c*Reinforcements[[#This Row],[Pnx, FB (kip)]])</f>
        <v>288.60033580218732</v>
      </c>
      <c r="GE55" s="466">
        <f>IF(Reinforcements[[#This Row],[Reinforcement]]="","",IF(Reinforcements[[#This Row],[Type]]="channel",φ_c*Reinforcements[[#This Row],[Pn]],φ_c*Reinforcements[[#This Row],[Pny, FB (kip)]]))</f>
        <v>348.03060300765554</v>
      </c>
      <c r="GF55" s="466">
        <f>Reinforcements[[#This Row],[Rev. G Tension Yield Capacity (kips)]]</f>
        <v>351</v>
      </c>
      <c r="GG55" s="466">
        <f>Reinforcements[[#This Row],[Rev. G Tension Rupture Capacity (kips)]]</f>
        <v>285</v>
      </c>
      <c r="GH55" s="466">
        <f>Reinforcements[[#This Row],[Rev. G Shear Capacity (kips)]]</f>
        <v>175.5</v>
      </c>
      <c r="GI55" s="466">
        <f>IFERROR((Reinforcements[[#This Row],['# of End Connection Bolts          (Bottom)]]-1)*Reinforcements[[#This Row],[End Connection Bolt Spacing (in) (B)]],"-")</f>
        <v>21</v>
      </c>
      <c r="GJ55" s="466">
        <f>IFERROR(IF(VLOOKUP(Reinforcements[[#This Row],[Bottom End Connection Bolt Type]],Bolts[],COLUMN(Bolts[[#Headers],[Rev. H Apply Connection Length Reduction Factor (Rb)?]])-1,FALSE)="Yes",(IF(Reinforcements[[#This Row],[Lb(bottom)]]&lt;=16,1,IF(Reinforcements[[#This Row],[Lb(bottom)]]&gt;38,0.75,0.9))),1),"-")</f>
        <v>1</v>
      </c>
      <c r="GK55"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55" s="466">
        <f>IFERROR(IF(Reinforcements[[#This Row],[Top End Connection Same?]]="Yes",Reinforcements[[#This Row],[Lb(bottom)]],(Reinforcements[[#This Row],['# of End Connection Bolts          (Top)]]-1)*Reinforcements[[#This Row],[End Connection Bolt Spacing (in) (T)]]),"-")</f>
        <v>21</v>
      </c>
      <c r="GM55" s="466">
        <f>IFERROR(IF(VLOOKUP(Reinforcements[[#This Row],[Top End Connection Bolt Type]],Bolts[],COLUMN(Bolts[[#Headers],[Rev. H Apply Connection Length Reduction Factor (Rb)?]])-1,FALSE)="Yes",(IF(Reinforcements[[#This Row],[Lb(top)]]&lt;=16,1,IF(Reinforcements[[#This Row],[Lb(top)]]&gt;38,0.75,0.9))),1),"-")</f>
        <v>1</v>
      </c>
      <c r="GN55"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371.19712776654347</v>
      </c>
      <c r="GO55" s="466">
        <f>Reinforcements[[#This Row],[Rev. G Bolt-Shaft Bearing Capacity (Bottom)                No Deformation          (*t*Fu kips)]]</f>
        <v>15.870236220472439</v>
      </c>
      <c r="GP55" s="466">
        <f>Reinforcements[[#This Row],[Rev. G Bolt-Shaft Bearing Capacity (Bottom)                   Deformation          (*t*Fu kips)]]</f>
        <v>19.837795275590551</v>
      </c>
      <c r="GQ55" s="466">
        <f>Reinforcements[[#This Row],[Rev. G Bolt-Shaft Bearing Capacity (Top)                    No Deformation          (*t*Fu kips)]]</f>
        <v>15.870236220472439</v>
      </c>
      <c r="GR55" s="466">
        <f>Reinforcements[[#This Row],[Rev. G Bolt-Shaft Bearing Capacity (Top)                        Deformation          (*t*Fu kips)]]</f>
        <v>19.837795275590551</v>
      </c>
      <c r="GS55" s="466">
        <f>Reinforcements[[#This Row],[Rev. G Bolt-Reinf. Bearing Capacity (Bottom)            No Deformation (kips)]]</f>
        <v>1269.6188976377953</v>
      </c>
      <c r="GT55" s="466">
        <f>Reinforcements[[#This Row],[Rev. G Bolt-Reinf. Bearing Capacity (Bottom)               Deformation (kips)]]</f>
        <v>1587.0236220472443</v>
      </c>
      <c r="GU55" s="466">
        <f>Reinforcements[[#This Row],[Rev. G Bolt-Reinf. Bearing Capacity (Top)                  No Deformation (kips)]]</f>
        <v>1269.6188976377953</v>
      </c>
      <c r="GV55" s="466">
        <f>Reinforcements[[#This Row],[Rev. G Bolt-Reinf. Bearing Capacity (Top)               Deformation (kips)]]</f>
        <v>1587.0236220472443</v>
      </c>
      <c r="GW55" s="466" t="str">
        <f>Reinforcements[[#This Row],[Rev. G Bottom Transverse Weld Strength]]</f>
        <v>-</v>
      </c>
      <c r="GX55" s="466" t="str">
        <f>Reinforcements[[#This Row],[Rev. G Bottom Longitudinal Weld Strength]]</f>
        <v>-</v>
      </c>
      <c r="GY55" s="466" t="str">
        <f>Reinforcements[[#This Row],[Rev. G Top Transverse Weld Strength]]</f>
        <v>-</v>
      </c>
      <c r="GZ55" s="466" t="str">
        <f>Reinforcements[[#This Row],[Rev. G Top Longitudinal Weld Strength]]</f>
        <v>-</v>
      </c>
      <c r="HA55" s="552">
        <v>53</v>
      </c>
      <c r="HB55"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6" spans="2:210" x14ac:dyDescent="0.2">
      <c r="B56" s="72" t="s">
        <v>252</v>
      </c>
      <c r="C56" s="72" t="s">
        <v>146</v>
      </c>
      <c r="D56" s="185">
        <v>6</v>
      </c>
      <c r="E56" s="185">
        <v>1</v>
      </c>
      <c r="F56" s="185" t="str">
        <f>IF(Reinforcements[[#This Row],[Type]]="","",IF(Reinforcements[[#This Row],[Type]]="solid round","","n/a"))</f>
        <v>n/a</v>
      </c>
      <c r="G56" s="185" t="str">
        <f>IF(Reinforcements[[#This Row],[Type]]="","",IF(Reinforcements[[#This Row],[Type]]&lt;&gt;"channel","n/a",""))</f>
        <v>n/a</v>
      </c>
      <c r="H56" s="185" t="str">
        <f>IF(Reinforcements[[#This Row],[Type]]="","",IF(Reinforcements[[#This Row],[Type]]&lt;&gt;"channel","n/a",""))</f>
        <v>n/a</v>
      </c>
      <c r="I56" s="197" t="str">
        <f>IF(Reinforcements[[#This Row],[Type]]="","",IF(Reinforcements[[#This Row],[Type]]&lt;&gt;"channel","n/a",Reinforcements[[#This Row],[eo]]))</f>
        <v>n/a</v>
      </c>
      <c r="J56" s="197" t="str">
        <f>IF(Reinforcements[[#This Row],[Type]]="","",IF(Reinforcements[[#This Row],[Type]]&lt;&gt;"channel","n/a",Reinforcements[[#This Row],[J]]))</f>
        <v>n/a</v>
      </c>
      <c r="K56" s="197" t="str">
        <f>IF(Reinforcements[[#This Row],[Type]]="","",IF(Reinforcements[[#This Row],[Type]]&lt;&gt;"channel","n/a",Reinforcements[[#This Row],[Cw]]))</f>
        <v>n/a</v>
      </c>
      <c r="L56" s="185">
        <f>IFERROR(IF(Reinforcements[[#This Row],[Type]]="","",IF(Reinforcements[[#This Row],[Type]]="plate",Reinforcements[[#This Row],[B (in)]]*Reinforcements[[#This Row],[H (in)]],IF(Reinforcements[[#This Row],[Type]]="solid round",PI()/4*Reinforcements[[#This Row],[Diameter (in)]]^2,""))),"")</f>
        <v>6</v>
      </c>
      <c r="M56" s="185">
        <f>IFERROR(IF(Reinforcements[[#This Row],[Type]]="","",IF(Reinforcements[[#This Row],[Type]]="plate",Reinforcements[[#This Row],[H (in)]]/2,"")),"")</f>
        <v>0.5</v>
      </c>
      <c r="N56" s="186" t="s">
        <v>297</v>
      </c>
      <c r="O56" s="185" t="s">
        <v>60</v>
      </c>
      <c r="P56" s="187">
        <f>IFERROR(IF(Reinforcements[[#This Row],[Type]]="","",IF(Reinforcements[[#This Row],[Type]]="plate",Reinforcements[[#This Row],[B (in)]]*Reinforcements[[#This Row],[H (in)]]^3/12,IF(Reinforcements[[#This Row],[Type]]="solid round",PI()/64*Reinforcements[[#This Row],[Diameter (in)]]^4,""))),"")</f>
        <v>0.5</v>
      </c>
      <c r="Q56" s="187">
        <f>IF(Reinforcements[[#This Row],[Reinforcement]]="","",SQRT(Reinforcements[[#This Row],[Ix]]/Reinforcements[[#This Row],[Gross Area (in2)]]))</f>
        <v>0.28867513459481287</v>
      </c>
      <c r="R56" s="187">
        <f>IFERROR(IF(Reinforcements[[#This Row],[Type]]="","",IF(Reinforcements[[#This Row],[Type]]="plate",Reinforcements[[#This Row],[B (in)]]^3*Reinforcements[[#This Row],[H (in)]]/12,IF(Reinforcements[[#This Row],[Type]]="solid round",PI()/64*Reinforcements[[#This Row],[Diameter (in)]]^4,""))),"")</f>
        <v>18</v>
      </c>
      <c r="S56" s="187">
        <f>IF(Reinforcements[[#This Row],[Reinforcement]]="","",SQRT(Reinforcements[[#This Row],[Iy]]/Reinforcements[[#This Row],[Gross Area (in2)]]))</f>
        <v>1.7320508075688772</v>
      </c>
      <c r="T56" s="190">
        <v>16.375</v>
      </c>
      <c r="U56" s="188">
        <v>0.8</v>
      </c>
      <c r="V56" s="188">
        <v>1</v>
      </c>
      <c r="W56" s="185">
        <v>1.25</v>
      </c>
      <c r="X56" s="188">
        <f>IF(Reinforcements[[#This Row],[Bolt Hole Size (in)]]="","",IF(Reinforcements[[#This Row],[Bolt Hole Size (in)]]="n/a","n/a",Reinforcements[[#This Row],[Bolt Hole Size (in)]]*25.4))</f>
        <v>31.75</v>
      </c>
      <c r="Y56"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56" s="185">
        <f>IFERROR(IF(Reinforcements[[#This Row],[Reinforcement]]="","",IF(OR(Reinforcements[[#This Row],[Type]]="plate",Reinforcements[[#This Row],[Type]]="solid round"),1,IF(Reinforcements[[#This Row],[Type]]="arbitrary","",1-Reinforcements[[#This Row],[Pole Face to Centroid (in)]]/Reinforcements[[#This Row],[Connection Length (in) '[Channels']]]))),"")</f>
        <v>1</v>
      </c>
      <c r="AA56" s="189" t="s">
        <v>391</v>
      </c>
      <c r="AB56" s="189" t="str">
        <f>IF(Reinforcements[[#This Row],[Reinforcement]]="","",IF(Reinforcements[[#This Row],[Bottom End Connection Type]]&lt;&gt;"Capacity Input","-",""))</f>
        <v>-</v>
      </c>
      <c r="AC56" s="189" t="str">
        <f>IF(Reinforcements[[#This Row],[Reinforcement]]="","",IF(Reinforcements[[#This Row],[Bottom End Connection Type]]&lt;&gt;"Capacity Input","-",""))</f>
        <v>-</v>
      </c>
      <c r="AD56" s="461" t="str">
        <f>IF(Reinforcements[[#This Row],[Reinforcement]]="","",IF(Reinforcements[[#This Row],[Bottom End Connection Type]]&lt;&gt;"Capacity Input","-",""))</f>
        <v>-</v>
      </c>
      <c r="AE56" s="103" t="s">
        <v>416</v>
      </c>
      <c r="AF56" s="190" t="s">
        <v>296</v>
      </c>
      <c r="AG56" s="190">
        <v>8</v>
      </c>
      <c r="AH56" s="190">
        <v>3</v>
      </c>
      <c r="AI56" s="190">
        <v>3</v>
      </c>
      <c r="AJ56" s="190">
        <f>Reinforcements[[#This Row],[End Connection Edge Distance (in) (B)]]-(Reinforcements[[#This Row],[Bolt Hole Size (in)]]+1/16)/2</f>
        <v>2.34375</v>
      </c>
      <c r="AK56" s="190">
        <f>Reinforcements[[#This Row],[End Connection Bolt Spacing (in) (B)]]-(Reinforcements[[#This Row],[Bolt Hole Size (in)]]+1/16)</f>
        <v>1.6875</v>
      </c>
      <c r="AL56" s="190">
        <f>Reinforcements[[#This Row],[End Connection Edge Distance (in) (B)]]</f>
        <v>3</v>
      </c>
      <c r="AM56" s="190">
        <f>Reinforcements[[#This Row],[End Connection Bolt Spacing (in) (B)]]</f>
        <v>3</v>
      </c>
      <c r="AN56" s="190" t="str">
        <f>IF(Reinforcements[[#This Row],[Reinforcement]]="","",IF(OR(Reinforcements[[#This Row],[Bottom End Connection Type]]="Bolted",Reinforcements[[#This Row],[Bottom End Connection Type]]=""),"-",""))</f>
        <v>-</v>
      </c>
      <c r="AO56" s="191" t="str">
        <f>IF(Reinforcements[[#This Row],[Reinforcement]]="","",IF(OR(Reinforcements[[#This Row],[Bottom End Connection Type]]="Bolted",Reinforcements[[#This Row],[Bottom End Connection Type]]=""),"-",""))</f>
        <v>-</v>
      </c>
      <c r="AP56" s="191" t="str">
        <f>IF(Reinforcements[[#This Row],[Reinforcement]]="","",IF(OR(Reinforcements[[#This Row],[Bottom End Connection Type]]="Bolted",Reinforcements[[#This Row],[Bottom End Connection Type]]=""),"-",""))</f>
        <v>-</v>
      </c>
      <c r="AQ56" s="191" t="str">
        <f>IF(OR(Reinforcements[[#This Row],[Bottom End Connection Type]]="Bolted",Reinforcements[[#This Row],[Bottom Transverse (Horizontal) Weld]]="none"),"-","")</f>
        <v>-</v>
      </c>
      <c r="AR5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6" s="191" t="str">
        <f>IF(OR(Reinforcements[[#This Row],[Bottom Transverse (Horizontal) Weld]]="none",Reinforcements[[#This Row],[Bottom End Connection Type]]="Bolted"),"-","")</f>
        <v>-</v>
      </c>
      <c r="AU56"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6" s="191" t="str">
        <f>IF(Reinforcements[[#This Row],[Reinforcement]]="","",IF(OR(Reinforcements[[#This Row],[Bottom End Connection Type]]="Bolted",Reinforcements[[#This Row],[Bottom End Connection Type]]=""),"-",""))</f>
        <v>-</v>
      </c>
      <c r="AW56" s="191" t="str">
        <f>IF(Reinforcements[[#This Row],[Reinforcement]]="","",IF(OR(Reinforcements[[#This Row],[Bottom End Connection Type]]&lt;&gt;"Welded",Reinforcements[[#This Row],[Bottom Longitudinal (Vertical) Weld]]="None",Reinforcements[[#This Row],[Bottom Longitudinal (Vertical) Weld]]=""),"-",""))</f>
        <v>-</v>
      </c>
      <c r="AX56" s="191" t="str">
        <f>IF(Reinforcements[[#This Row],[Reinforcement]]="","",IF(OR(Reinforcements[[#This Row],[Bottom End Connection Type]]&lt;&gt;"Welded",Reinforcements[[#This Row],[Bottom Longitudinal (Vertical) Weld]]="None",Reinforcements[[#This Row],[Bottom Longitudinal (Vertical) Weld]]=""),"-",""))</f>
        <v>-</v>
      </c>
      <c r="AY56" s="190" t="str">
        <f>IF(Reinforcements[[#This Row],[Reinforcement]]="","",IF(OR(Reinforcements[[#This Row],[Bottom End Connection Type]]&lt;&gt;"Welded",Reinforcements[[#This Row],[Bottom Longitudinal (Vertical) Weld]]="None"),"-",SQRT(2)/2*Reinforcements[[#This Row],[Bottom Longitudinal Weld Fillet Size (in)]]))</f>
        <v>-</v>
      </c>
      <c r="AZ56" s="190" t="s">
        <v>295</v>
      </c>
      <c r="BA56" s="189" t="str">
        <f>IF(Reinforcements[[#This Row],[Top End Connection Same?]]="Yes",Reinforcements[[#This Row],[Bottom End Connection Type]],"")</f>
        <v>Bolted</v>
      </c>
      <c r="BB56" s="189" t="str">
        <f>IF(Reinforcements[[#This Row],[Reinforcement]]="","",IF(Reinforcements[[#This Row],[Top End Connection Same?]]="Yes",Reinforcements[[#This Row],[Rev. F Bottom Connection Capacity (kips)]],IF(Reinforcements[[#This Row],[Reinforcement]]="","",IF(Reinforcements[[#This Row],[Top End Connection Type]]&lt;&gt;"Capacity Input","-",""))))</f>
        <v>-</v>
      </c>
      <c r="BC56" s="189" t="str">
        <f>IF(Reinforcements[[#This Row],[Reinforcement]]="","",IF(Reinforcements[[#This Row],[Top End Connection Same?]]="Yes",Reinforcements[[#This Row],[Rev. G Bottom Connection Capacity (kips)]],IF(Reinforcements[[#This Row],[Reinforcement]]="","",IF(Reinforcements[[#This Row],[Top End Connection Type]]&lt;&gt;"Capacity Input","-",""))))</f>
        <v>-</v>
      </c>
      <c r="BD56" s="461" t="str">
        <f>IF(Reinforcements[[#This Row],[Reinforcement]]="","",IF(Reinforcements[[#This Row],[Top End Connection Same?]]="Yes",Reinforcements[[#This Row],[Rev. G Bottom Connection Capacity (kips)]],IF(Reinforcements[[#This Row],[Reinforcement]]="","",IF(Reinforcements[[#This Row],[Top End Connection Type]]&lt;&gt;"Capacity Input","-",""))))</f>
        <v>-</v>
      </c>
      <c r="BE56" s="103" t="str">
        <f>IF(Reinforcements[[#This Row],[Top End Connection Same?]]="Yes",Reinforcements[[#This Row],[Bottom End Connection Bolt Type]],IF(Reinforcements[[#This Row],[Top End Connection Type]]="Welded","-",""))</f>
        <v>PC 8.8 - M20 (100)</v>
      </c>
      <c r="BF56" s="190" t="str">
        <f>IF(Reinforcements[[#This Row],[Top End Connection Same?]]="Yes",Reinforcements[[#This Row],[Threads Included (N) or Excluded (X) (Bottom)]],IF(Reinforcements[[#This Row],[Top End Connection Type]]="Welded","-",""))</f>
        <v>N</v>
      </c>
      <c r="BG56" s="190">
        <f>IF(Reinforcements[[#This Row],[Top End Connection Same?]]="Yes",Reinforcements[[#This Row],['# of End Connection Bolts          (Bottom)]],IF(Reinforcements[[#This Row],[Top End Connection Type]]="Welded","-",""))</f>
        <v>8</v>
      </c>
      <c r="BH56" s="190">
        <f>IF(Reinforcements[[#This Row],[Top End Connection Same?]]="Yes",Reinforcements[[#This Row],[End Connection Bolt Spacing (in) (B)]],IF(Reinforcements[[#This Row],[Top End Connection Type]]="Welded","-",""))</f>
        <v>3</v>
      </c>
      <c r="BI56" s="190">
        <f>IF(Reinforcements[[#This Row],[Top End Connection Same?]]="Yes",Reinforcements[[#This Row],[End Connection Edge Distance (in) (B)]],IF(Reinforcements[[#This Row],[Top End Connection Type]]="Welded","-",""))</f>
        <v>3</v>
      </c>
      <c r="BJ56" s="190">
        <f>Reinforcements[[#This Row],[End Connection Edge Distance (in) (T)]]-(Reinforcements[[#This Row],[Bolt Hole Size (in)]]+1/16)/2</f>
        <v>2.34375</v>
      </c>
      <c r="BK56" s="190">
        <f>Reinforcements[[#This Row],[End Connection Bolt Spacing (in) (T)]]-(Reinforcements[[#This Row],[Bolt Hole Size (in)]]+1/16)</f>
        <v>1.6875</v>
      </c>
      <c r="BL56" s="190">
        <f>Reinforcements[[#This Row],[End Connection Edge Distance (in) (T)]]</f>
        <v>3</v>
      </c>
      <c r="BM56" s="190">
        <f>Reinforcements[[#This Row],[End Connection Bolt Spacing (in) (T)]]</f>
        <v>3</v>
      </c>
      <c r="BN56" s="190" t="str">
        <f>IF(Reinforcements[[#This Row],[Reinforcement]]="","",IF(Reinforcements[[#This Row],[Top End Connection Same?]]="Yes",Reinforcements[[#This Row],[Bottom Connected to Flange/Base Plate?]],IF(Reinforcements[[#This Row],[Top End Connection Type]]="Bolted","-","")))</f>
        <v>-</v>
      </c>
      <c r="BO56" s="190" t="str">
        <f>IF(Reinforcements[[#This Row],[Reinforcement]]="","",IF(Reinforcements[[#This Row],[Top End Connection Same?]]="Yes",Reinforcements[[#This Row],[Bottom Weld Grade (ksi)]],IF(OR(Reinforcements[[#This Row],[Top End Connection Type]]&lt;&gt;"Welded",Reinforcements[[#This Row],[Top End Connection Type]]=""),"-","")))</f>
        <v>-</v>
      </c>
      <c r="BP56" s="190" t="str">
        <f>IF($AZ56="Yes",AP56,IF(Reinforcements[[#This Row],[Reinforcement]]="","",IF(OR(Reinforcements[[#This Row],[Top End Connection Type]]&lt;&gt;"Welded",Reinforcements[[#This Row],[Top End Connection Type]]=""),"-","")))</f>
        <v>-</v>
      </c>
      <c r="BQ56" s="190" t="str">
        <f>IF(Reinforcements[[#This Row],[Reinforcement]]="","",IF($AZ56="Yes",AQ56,IF(OR(Reinforcements[[#This Row],[Top End Connection Type]]&lt;&gt;"Welded",Reinforcements[[#This Row],[Top Transverse (Horizontal) Weld]]="none",Reinforcements[[#This Row],[Top Transverse (Horizontal) Weld]]=""),"-","")))</f>
        <v>-</v>
      </c>
      <c r="BR56" s="190" t="str">
        <f>IF($AZ56="Yes",AR56,IF(Reinforcements[[#This Row],[Reinforcement]]="","",IF(OR(Reinforcements[[#This Row],[Top Transverse (Horizontal) Weld]]="none",Reinforcements[[#This Row],[Top End Connection Type]]&lt;&gt;"Welded",Reinforcements[[#This Row],[Top Transverse (Horizontal) Weld]]="",Reinforcements[[#This Row],[Top Transverse (Horizontal) Weld]]="Fillet"),"-","")))</f>
        <v>-</v>
      </c>
      <c r="BS56" s="190" t="str">
        <f>IF($AZ56="Yes",AS56,IF(Reinforcements[[#This Row],[Reinforcement]]="","",IF(OR(Reinforcements[[#This Row],[Top Transverse (Horizontal) Weld]]="none",Reinforcements[[#This Row],[Top End Connection Type]]&lt;&gt;"Welded",Reinforcements[[#This Row],[Top Transverse (Horizontal) Weld]]="",Reinforcements[[#This Row],[Top Transverse (Horizontal) Weld]]="Fillet"),"-","")))</f>
        <v>-</v>
      </c>
      <c r="BT56" s="190" t="str">
        <f>IF(Reinforcements[[#This Row],[Reinforcement]]="","",IF($AZ56="Yes",AT56,IF(OR(Reinforcements[[#This Row],[Top Transverse (Horizontal) Weld]]="none",Reinforcements[[#This Row],[Top End Connection Type]]&lt;&gt;"Welded",Reinforcements[[#This Row],[Top Transverse (Horizontal) Weld]]=""),"-","")))</f>
        <v>-</v>
      </c>
      <c r="BU56" s="190" t="str">
        <f>IF($AZ56="Yes",AU56,IF(Reinforcements[[#This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6" s="190" t="str">
        <f>IF($AZ56="Yes",AV56,IF(Reinforcements[[#This Row],[Reinforcement]]="","",IF(OR(Reinforcements[[#This Row],[Top End Connection Type]]&lt;&gt;"Welded",Reinforcements[[#This Row],[Top End Connection Type]]=""),"-","")))</f>
        <v>-</v>
      </c>
      <c r="BW56" s="190" t="str">
        <f>IF($AZ56="Yes",AW56,IF(Reinforcements[[#This Row],[Reinforcement]]="","",IF(OR(Reinforcements[[#This Row],[Top End Connection Type]]&lt;&gt;"Welded",Reinforcements[[#This Row],[Top End Connection Type]]="",Reinforcements[[#This Row],[Top Longitudinal (Vertical) Weld]]="",Reinforcements[[#This Row],[Top Longitudinal (Vertical) Weld]]="None"),"-","")))</f>
        <v>-</v>
      </c>
      <c r="BX56" s="190" t="str">
        <f>IF($AZ56="Yes",AX56,IF(Reinforcements[[#This Row],[Reinforcement]]="","",IF(OR(Reinforcements[[#This Row],[Top End Connection Type]]&lt;&gt;"Welded",Reinforcements[[#This Row],[Top End Connection Type]]="",Reinforcements[[#This Row],[Top Longitudinal (Vertical) Weld]]="",Reinforcements[[#This Row],[Top Longitudinal (Vertical) Weld]]="None"),"-","")))</f>
        <v>-</v>
      </c>
      <c r="BY56" s="190" t="str">
        <f>IF($AZ56="Yes",AY56,IF(Reinforcements[[#This Row],[Reinforcement]]="","",IF(OR(Reinforcements[[#This Row],[Top End Connection Type]]&lt;&gt;"Welded",Reinforcements[[#This Row],[Top Longitudinal (Vertical) Weld]]="none"),"-",SQRT(2)/2*Reinforcements[[#This Row],[Top Longitudinal Weld Fillet Size (in)]])))</f>
        <v>-</v>
      </c>
      <c r="BZ56"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6" s="192">
        <f>IF(Reinforcements[[#This Row],[Reinforcement]]="","",IF(Reinforcements[[#This Row],[Bottom End Connection Type]]&lt;&gt;"Bolted","n/a",(Reinforcements[[#This Row],['# of End Connection Bolts          (Bottom)]]-1)*Reinforcements[[#This Row],[End Connection Bolt Spacing (in) (B)]]+Reinforcements[[#This Row],[End Connection Edge Distance (in) (B)]]))</f>
        <v>24</v>
      </c>
      <c r="CB56" s="192">
        <f>IF(Reinforcements[[#This Row],[Reinforcement]]="","",IF(Reinforcements[[#This Row],[Top End Connection Type]]&lt;&gt;"Bolted","n/a",(Reinforcements[[#This Row],['# of End Connection Bolts          (Top)]]-1)*Reinforcements[[#This Row],[End Connection Bolt Spacing (in) (T)]]+Reinforcements[[#This Row],[End Connection Edge Distance (in) (T)]]))</f>
        <v>24</v>
      </c>
      <c r="CC56"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56"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6" s="185">
        <f>IFERROR(IF(Reinforcements[[#This Row],[Type]]="","",Reinforcements[[#This Row],[Effective B (in)]]*Reinforcements[[#This Row],[Effective H (in)]]^3/12),"")</f>
        <v>0.5</v>
      </c>
      <c r="CF56" s="185">
        <f>IFERROR(IF(Reinforcements[[#This Row],[Type]]="","",Reinforcements[[#This Row],[Effective B (in)]]^3*Reinforcements[[#This Row],[Effective H (in)]]/12),"")</f>
        <v>18</v>
      </c>
      <c r="CG56" s="197">
        <f>SQRT(2*PI()^2*29000/VLOOKUP(Reinforcements[[#This Row],[Material]],Materials[],2,FALSE))</f>
        <v>93.844147005158973</v>
      </c>
      <c r="CH56"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31.30014064107192</v>
      </c>
      <c r="CI56"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37.9449015749381</v>
      </c>
      <c r="CJ56" s="239">
        <f>Reinforcements[[#This Row],[Effective Length Factor Kx]]*Reinforcements[[#This Row],[Lu (in)]]/(Reinforcements[[#This Row],[rx]]*PI())*SQRT(VLOOKUP(Reinforcements[[#This Row],[Material]],Materials[],2,FALSE)/29000)</f>
        <v>0.68386397350269734</v>
      </c>
      <c r="CK56" s="239">
        <f>Reinforcements[[#This Row],[Effective Length Factor Ky]]*Reinforcements[[#This Row],[Lu (in)]]/(Reinforcements[[#This Row],[ry]]*PI())*SQRT(VLOOKUP(Reinforcements[[#This Row],[Material]],Materials[],2,FALSE)/29000)</f>
        <v>0.14247166114639526</v>
      </c>
      <c r="CL56" s="239">
        <f>IF(Reinforcements[[#This Row],[λcx]]&lt;=1.5,0.658^(Reinforcements[[#This Row],[λcx]]^2)*Reinforcements[[#This Row],[F''y]],0.877/(Reinforcements[[#This Row],[λcx]]^2)*Reinforcements[[#This Row],[F''y]])</f>
        <v>53.444506630034688</v>
      </c>
      <c r="CM56" s="239">
        <f>IF(Reinforcements[[#This Row],[λcy]]&lt;=1.5,0.658^(Reinforcements[[#This Row],[λcy]]^2)*Reinforcements[[#This Row],[F''y]],0.877/(Reinforcements[[#This Row],[λcy]]^2)*Reinforcements[[#This Row],[F''y]])</f>
        <v>64.450111668084361</v>
      </c>
      <c r="CN56" s="236">
        <f>VLOOKUP(Reinforcements[[#This Row],[Material]],Materials[],2,FALSE)</f>
        <v>65</v>
      </c>
      <c r="CO56" s="235">
        <f>IF(Reinforcements[[#This Row],[Reinforcement]]="","",Reinforcements[[#This Row],[Fax]]*Reinforcements[[#This Row],[Gross Area (in2)]])</f>
        <v>187.80084384643152</v>
      </c>
      <c r="CP56" s="197">
        <f>IF(Reinforcements[[#This Row],[Reinforcement]]="","",Reinforcements[[#This Row],[Fay]]*Reinforcements[[#This Row],[Gross Area (in2)]])</f>
        <v>227.6694094496286</v>
      </c>
      <c r="CQ56" s="197">
        <f>IF(Reinforcements[[#This Row],[Reinforcement]]="","",0.6*VLOOKUP(Reinforcements[[#This Row],[Material]],Materials[],2,FALSE)*Reinforcements[[#This Row],[Gross Area (in2)]])</f>
        <v>234</v>
      </c>
      <c r="CR56" s="197">
        <f>IF(Reinforcements[[#This Row],[Reinforcement]]="","",0.5*VLOOKUP(Reinforcements[[#This Row],[Material]],Materials[],3,FALSE)*Reinforcements[[#This Row],[Net Area (in2)]]*Reinforcements[[#This Row],[Shear Lag (U)]])</f>
        <v>187.5</v>
      </c>
      <c r="CS56" s="197">
        <f>IF(Reinforcements[[#This Row],[Reinforcement]]="","",0.4*VLOOKUP(Reinforcements[[#This Row],[Material]],Materials[],2,FALSE)*Reinforcements[[#This Row],[Gross Area (in2)]])</f>
        <v>156</v>
      </c>
      <c r="CT56"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56"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56"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56"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56"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56"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56"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876.85039370078744</v>
      </c>
      <c r="DA56"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977.00787401574803</v>
      </c>
      <c r="DB56"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56"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56"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6"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6" s="190" t="str">
        <f>IF($AZ56="Yes",DD56,IF(Reinforcements[[#This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6" s="190" t="str">
        <f>IF($AZ56="Yes",DE56,IF(Reinforcements[[#This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6" s="235">
        <f>IF(Reinforcements[[#This Row],[Reinforcement]]="","",φ_c*Reinforcements[[#This Row],[Fcr,x]]*Reinforcements[[#This Row],[Gross Area (in2)]])</f>
        <v>288.60033580218732</v>
      </c>
      <c r="DI56" s="235">
        <f>IF(Reinforcements[[#This Row],[Reinforcement]]="","",φ_c*Reinforcements[[#This Row],[Fcr,y]]*Reinforcements[[#This Row],[Gross Area (in2)]])</f>
        <v>348.03060300765554</v>
      </c>
      <c r="DJ56" s="197">
        <f>IF(Reinforcements[[#This Row],[Reinforcement]]="","",φ_t_y*VLOOKUP(Reinforcements[[#This Row],[Material]],Materials[],2,FALSE)*Reinforcements[[#This Row],[Gross Area (in2)]])</f>
        <v>351</v>
      </c>
      <c r="DK56" s="197">
        <f>IF(Reinforcements[[#This Row],[Reinforcement]]="","",φ_t_r*VLOOKUP(Reinforcements[[#This Row],[Material]],Materials[],3,FALSE)*Reinforcements[[#This Row],[Net Area (in2)]]*Reinforcements[[#This Row],[Shear Lag (U)]])</f>
        <v>281.25</v>
      </c>
      <c r="DL56" s="197">
        <f>IF(Reinforcements[[#This Row],[Reinforcement]]="","",φ_v*0.5*Reinforcements[[#This Row],[F''y]]*Reinforcements[[#This Row],[Gross Area (in2)]])</f>
        <v>175.5</v>
      </c>
      <c r="DM56"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56"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56"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15.450236220472441</v>
      </c>
      <c r="DP56"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19.312795275590553</v>
      </c>
      <c r="DQ56"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15.450236220472441</v>
      </c>
      <c r="DR56"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19.312795275590553</v>
      </c>
      <c r="DS56"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1236.0188976377951</v>
      </c>
      <c r="DT56"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1545.0236220472443</v>
      </c>
      <c r="DU56"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1236.0188976377951</v>
      </c>
      <c r="DV56"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1545.0236220472443</v>
      </c>
      <c r="DW56"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6"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6" s="190" t="str">
        <f>IF($AZ56="Yes",DW56,IF(Reinforcements[[#This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6" s="190" t="str">
        <f>IF($AZ56="Yes",DX56,IF(Reinforcements[[#This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6" s="238" t="str">
        <f>IF(OR(Reinforcements[[#This Row],[Type]]="plate",Reinforcements[[#This Row],[Type]]="solid round"),"N/A",Reinforcements[[#This Row],[B (in)]])</f>
        <v>N/A</v>
      </c>
      <c r="EB56" s="236" t="str">
        <f>IF(OR(Reinforcements[[#This Row],[Type]]="plate",Reinforcements[[#This Row],[Type]]="solid round"),"N/A",Reinforcements[[#This Row],[H (in)]])</f>
        <v>N/A</v>
      </c>
      <c r="EC56" s="236" t="str">
        <f>IF(OR(Reinforcements[[#This Row],[Type]]="plate",Reinforcements[[#This Row],[Type]]="solid round"),"N/A",Reinforcements[[#This Row],[B (in)]]-Reinforcements[[#This Row],['[Channel'] Flange Thickness (in)]])</f>
        <v>N/A</v>
      </c>
      <c r="ED56" s="236" t="str">
        <f>IF(OR(Reinforcements[[#This Row],[Type]]="plate",Reinforcements[[#This Row],[Type]]="solid round"),"N/A",Reinforcements[[#This Row],['[Channel']Web Thickness (in)]])</f>
        <v>N/A</v>
      </c>
      <c r="EE56" s="236" t="str">
        <f>IF(OR(Reinforcements[[#This Row],[Type]]="plate",Reinforcements[[#This Row],[Type]]="solid round"),"N/A",Reinforcements[[#This Row],['[Channel'] Flange Thickness (in)]])</f>
        <v>N/A</v>
      </c>
      <c r="EF56" s="236" t="str">
        <f>IF(Reinforcements[[#This Row],[Type]]="channel",Reinforcements[[#This Row],[Channel Flange Width, b]]/Reinforcements[[#This Row],[Channel flange thickness, tf]],"N/A")</f>
        <v>N/A</v>
      </c>
      <c r="EG56" s="236" t="str">
        <f>IF(Reinforcements[[#This Row],[Type]]="channel",Reinforcements[[#This Row],[Channel inside depth, T]]/Reinforcements[[#This Row],[Channel web thickness, tw]],"N/A")</f>
        <v>N/A</v>
      </c>
      <c r="EH56" s="237">
        <v>29000</v>
      </c>
      <c r="EI56" s="237" t="str">
        <f>IF(Reinforcements[[#This Row],[Type]]="channel",0.56*SQRT(Reinforcements[[#This Row],[E, (ksi)]]/Reinforcements[[#This Row],[Fy, (ksi)]]),"N/A")</f>
        <v>N/A</v>
      </c>
      <c r="EJ56" s="237" t="str">
        <f>IF(Reinforcements[[#This Row],[Type]]="channel",1.49*SQRT(Reinforcements[[#This Row],[E, (ksi)]]/Reinforcements[[#This Row],[Fy, (ksi)]]),"N/A")</f>
        <v>N/A</v>
      </c>
      <c r="EK56" s="237">
        <f>VLOOKUP(Reinforcements[[#This Row],[Material]],Materials!$B$2:$C$30,2,FALSE)</f>
        <v>65</v>
      </c>
      <c r="EL56" s="237">
        <f>Reinforcements[[#This Row],[Lu (in)]]*Reinforcements[[#This Row],[Effective Length Factor Kx]]</f>
        <v>13.100000000000001</v>
      </c>
      <c r="EM56" s="237">
        <f>Reinforcements[[#This Row],[Lu (in)]]*Reinforcements[[#This Row],[Effective Length Factor Ky]]</f>
        <v>16.375</v>
      </c>
      <c r="EN56" s="237">
        <f>Reinforcements[[#This Row],[rx]]</f>
        <v>0.28867513459481287</v>
      </c>
      <c r="EO56" s="237">
        <f>Reinforcements[[#This Row],[ry]]</f>
        <v>1.7320508075688772</v>
      </c>
      <c r="EP56" s="237">
        <f>Reinforcements[[#This Row],[Lcx (in)]]/Reinforcements[[#This Row],[rx (in)]]</f>
        <v>45.379731158304594</v>
      </c>
      <c r="EQ56" s="237">
        <f>Reinforcements[[#This Row],[Lcy (in)]]/Reinforcements[[#This Row],[ry (in)]]</f>
        <v>9.454110657980122</v>
      </c>
      <c r="ER56" s="237">
        <f>((PI()^2)*Reinforcements[[#This Row],[E, (ksi)]])/(Reinforcements[[#This Row],[Lcx/rx]]^2)</f>
        <v>138.98691200570639</v>
      </c>
      <c r="ES56" s="237">
        <f>((PI()^2)*Reinforcements[[#This Row],[E, (ksi)]])/(Reinforcements[[#This Row],[Lcy/ry]]^2)</f>
        <v>3202.2584526114765</v>
      </c>
      <c r="ET56" s="237">
        <f>4.71*(SQRT(Reinforcements[[#This Row],[E, (ksi)]]/Reinforcements[[#This Row],[Fy, (ksi)]]))</f>
        <v>99.486288193205496</v>
      </c>
      <c r="EU56" s="237">
        <f>IF(Reinforcements[[#This Row],[Lcx/rx]]&lt;=Reinforcements[[#This Row],[Fcr Limit]],(0.658^(Reinforcements[[#This Row],[Fy, (ksi)]]/Reinforcements[[#This Row],[Fex, FB (ksi)]]))*Reinforcements[[#This Row],[Fy, (ksi)]],0.877*Reinforcements[[#This Row],[Fex, FB (ksi)]])</f>
        <v>53.444506630034688</v>
      </c>
      <c r="EV56" s="237">
        <f>IF(Reinforcements[[#This Row],[Lcy/ry]]&lt;=Reinforcements[[#This Row],[Fcr Limit]],(0.658^(Reinforcements[[#This Row],[Fy, (ksi)]]/Reinforcements[[#This Row],[Fey, FB (ksi)]]))*Reinforcements[[#This Row],[Fy, (ksi)]],0.877*Reinforcements[[#This Row],[Fey, FB (ksi)]])</f>
        <v>64.450111668084361</v>
      </c>
      <c r="EW56" s="237">
        <f>Reinforcements[[#This Row],[Fcrx (ksi)]]*Reinforcements[[#This Row],[Gross Area (in2)]]</f>
        <v>320.66703978020814</v>
      </c>
      <c r="EX56" s="237">
        <f>Reinforcements[[#This Row],[Fcry (ksi)]]*Reinforcements[[#This Row],[Gross Area (in2)]]</f>
        <v>386.70067000850617</v>
      </c>
      <c r="EY56" s="237" t="str">
        <f>IF(Reinforcements[[#This Row],[Type]]="channel",0,"N/A")</f>
        <v>N/A</v>
      </c>
      <c r="EZ56" s="237" t="str">
        <f>IF(Reinforcements[[#This Row],[Type]]="channel",Reinforcements[[#This Row],[Channel Flange Width, b]]-(0.5*Reinforcements[[#This Row],[Channel web thickness, tw]]),"N/A")</f>
        <v>N/A</v>
      </c>
      <c r="FA56" s="237" t="str">
        <f>IF(Reinforcements[[#This Row],[Type]]="channel",Reinforcements[[#This Row],[Channel Height, h]]-Reinforcements[[#This Row],[Channel flange thickness, tf]],"N/A")</f>
        <v>N/A</v>
      </c>
      <c r="FB56" s="237" t="str">
        <f>IF(Reinforcements[[#This Row],[Type]]="channel",Reinforcements[[#This Row],[Channel web thickness, tw]],"N/A")</f>
        <v>N/A</v>
      </c>
      <c r="FC56" s="237" t="str">
        <f>IF(Reinforcements[[#This Row],[Type]]="channel",((3*Reinforcements[[#This Row],[b]]^2)/(Reinforcements[[#This Row],[h]]+(6*Reinforcements[[#This Row],[b]])))-Reinforcements[[#This Row],[t]]/2,"N/A")</f>
        <v>N/A</v>
      </c>
      <c r="FD56" s="237">
        <f>Reinforcements[[#This Row],[Pole Face to Centroid (in)]]</f>
        <v>0.5</v>
      </c>
      <c r="FE56" s="236" t="str">
        <f>IF(Reinforcements[[#This Row],[Type]]="channel",Reinforcements[[#This Row],[x(bar)]]+Reinforcements[[#This Row],['[Channel'] e0 (in)]],"N/A")</f>
        <v>N/A</v>
      </c>
      <c r="FF56" s="236" t="str">
        <f>IF(Reinforcements[[#This Row],[Type]]="channel",Reinforcements[[#This Row],[Ix]],"N/A")</f>
        <v>N/A</v>
      </c>
      <c r="FG56" s="236" t="str">
        <f>IF(Reinforcements[[#This Row],[Type]]="channel",Reinforcements[[#This Row],[Iy]],"N/A")</f>
        <v>N/A</v>
      </c>
      <c r="FH56" s="236" t="str">
        <f>IF(Reinforcements[[#This Row],[Type]]="channel",Reinforcements[[#This Row],[Gross Area (in2)]],"N/A")</f>
        <v>N/A</v>
      </c>
      <c r="FI56" s="236" t="str">
        <f>IF(Reinforcements[[#This Row],[Type]]="channel",(Reinforcements[[#This Row],[xo]]^2)+((Reinforcements[[#This Row],[Ix (FTB)]]+Reinforcements[[#This Row],[Iy (FTB)]])/Reinforcements[[#This Row],[Ag]]),"N/A")</f>
        <v>N/A</v>
      </c>
      <c r="FJ56" s="236" t="str">
        <f>IF(Reinforcements[[#This Row],[Type]]="channel",Reinforcements[[#This Row],[Lu (in)]],"N/A")</f>
        <v>N/A</v>
      </c>
      <c r="FK56" s="236" t="str">
        <f>IF(Reinforcements[[#This Row],[Type]]="channel",Reinforcements[[#This Row],[Effective Length Factor Kx]],"N/A")</f>
        <v>N/A</v>
      </c>
      <c r="FL56" s="236" t="str">
        <f>IF(Reinforcements[[#This Row],[Type]]="channel",Reinforcements[[#This Row],[Kz]]*Reinforcements[[#This Row],[Lz]],"N/A")</f>
        <v>N/A</v>
      </c>
      <c r="FM56" s="236" t="str">
        <f>IF(Reinforcements[[#This Row],[Type]]="channel",(((Reinforcements[[#This Row],[t]]^3)/3)*(Reinforcements[[#This Row],[h]]+(2*Reinforcements[[#This Row],[b]]))),"N/A")</f>
        <v>N/A</v>
      </c>
      <c r="FN56" s="236" t="str">
        <f>IF(Reinforcements[[#This Row],[Type]]="channel",(1-(((Reinforcements[[#This Row],[xo]]^2)+(Reinforcements[[#This Row],[yo]]^2))/Reinforcements[[#This Row],[ro^2(bar)]])),"N/A")</f>
        <v>N/A</v>
      </c>
      <c r="FO56" s="237">
        <v>11200</v>
      </c>
      <c r="FP56" s="236" t="str">
        <f>IF(Reinforcements[[#This Row],[Type]]="channel",(((Reinforcements[[#This Row],[h]]^2)*(Reinforcements[[#This Row],[b]]^3)*Reinforcements[[#This Row],[t]])/12)*(((2*Reinforcements[[#This Row],[h]])+(3*Reinforcements[[#This Row],[b]]))/(Reinforcements[[#This Row],[h]]+(6*Reinforcements[[#This Row],[b]]))),"N/A")</f>
        <v>N/A</v>
      </c>
      <c r="FQ56" s="236" t="str">
        <f>IF(Reinforcements[[#This Row],[Type]]="Channel",((((PI()^2)*Reinforcements[[#This Row],[E, (ksi)]]*Reinforcements[[#This Row],['[Channel'] CW (in6)]])/(Reinforcements[[#This Row],[Lcz]]^2))+(Reinforcements[[#This Row],[G]]*Reinforcements[[#This Row],['[Channel'] J (in4)]]))*(1/(Reinforcements[[#This Row],[Ag]]*Reinforcements[[#This Row],[ro^2(bar)]])),"N/A")</f>
        <v>N/A</v>
      </c>
      <c r="FR56" s="236" t="str">
        <f>IF(Reinforcements[[#This Row],[Type]]="channel",((PI()^2)*Reinforcements[[#This Row],[E, (ksi)]])/(Reinforcements[[#This Row],[Lcy/ry]]^2),"N/A")</f>
        <v>N/A</v>
      </c>
      <c r="FS56" s="236" t="str">
        <f>IF(Reinforcements[[#This Row],[Type]]="channel",((Reinforcements[[#This Row],[Fey]]+Reinforcements[[#This Row],[Fez]])/(2*Reinforcements[[#This Row],[H2]]))*(1-SQRT(1-((4*Reinforcements[[#This Row],[Fey]]*Reinforcements[[#This Row],[Fez]]*Reinforcements[[#This Row],[H2]])/(Reinforcements[[#This Row],[Fey]]+Reinforcements[[#This Row],[Fez]])^2))),"N/A")</f>
        <v>N/A</v>
      </c>
      <c r="FT56" s="236" t="str">
        <f>IF(Reinforcements[[#This Row],[Type]]="channel",IF(Reinforcements[[#This Row],[Lcx/rx]]&gt;(4.71*SQRT(Reinforcements[[#This Row],[E, (ksi)]]/Reinforcements[[#This Row],[Fy, (ksi)]])),0.877*Reinforcements[[#This Row],[Fe (FTB)]],0.658^(Reinforcements[[#This Row],[Fy, (ksi)]]/Reinforcements[[#This Row],[Fe (FTB)]])*Reinforcements[[#This Row],[Fy, (ksi)]]),"N/A")</f>
        <v>N/A</v>
      </c>
      <c r="FU56" s="236" t="str">
        <f>IF(Reinforcements[[#This Row],[Type]]="channel",MIN(Reinforcements[[#This Row],[Fcr(FTB)]],Reinforcements[[#This Row],[Fcry (ksi)]]),"N/A")</f>
        <v>N/A</v>
      </c>
      <c r="FV56" s="237">
        <v>0.22</v>
      </c>
      <c r="FW56" s="237">
        <v>1.49</v>
      </c>
      <c r="FX56" s="236" t="str">
        <f>IF(Reinforcements[[#This Row],[Type]]="channel",((Reinforcements[[#This Row],[c2]]*(Reinforcements[[#This Row],[λrf]]/Reinforcements[[#This Row],[λf]]))^2)*Reinforcements[[#This Row],[Fy, (ksi)]],"N/A")</f>
        <v>N/A</v>
      </c>
      <c r="FY56" s="236" t="str">
        <f>IF(Reinforcements[[#This Row],[Type]]="channel",((Reinforcements[[#This Row],[c2]]*(Reinforcements[[#This Row],[λrw]]/Reinforcements[[#This Row],[λw]]))^2)*Reinforcements[[#This Row],[Fy, (ksi)]],"N/A")</f>
        <v>N/A</v>
      </c>
      <c r="FZ56"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6"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6"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6" s="236" t="str">
        <f>IF(Reinforcements[[#This Row],[Type]]="channel",Reinforcements[[#This Row],[Fcr]]*Reinforcements[[#This Row],[Ae]],"N/A")</f>
        <v>N/A</v>
      </c>
      <c r="GD56" s="466">
        <f>IF(Reinforcements[[#This Row],[Reinforcement]]="","",φ_c*Reinforcements[[#This Row],[Pnx, FB (kip)]])</f>
        <v>288.60033580218732</v>
      </c>
      <c r="GE56" s="466">
        <f>IF(Reinforcements[[#This Row],[Reinforcement]]="","",IF(Reinforcements[[#This Row],[Type]]="channel",φ_c*Reinforcements[[#This Row],[Pn]],φ_c*Reinforcements[[#This Row],[Pny, FB (kip)]]))</f>
        <v>348.03060300765554</v>
      </c>
      <c r="GF56" s="466">
        <f>Reinforcements[[#This Row],[Rev. G Tension Yield Capacity (kips)]]</f>
        <v>351</v>
      </c>
      <c r="GG56" s="466">
        <f>Reinforcements[[#This Row],[Rev. G Tension Rupture Capacity (kips)]]</f>
        <v>281.25</v>
      </c>
      <c r="GH56" s="466">
        <f>Reinforcements[[#This Row],[Rev. G Shear Capacity (kips)]]</f>
        <v>175.5</v>
      </c>
      <c r="GI56" s="466">
        <f>IFERROR((Reinforcements[[#This Row],['# of End Connection Bolts          (Bottom)]]-1)*Reinforcements[[#This Row],[End Connection Bolt Spacing (in) (B)]],"-")</f>
        <v>21</v>
      </c>
      <c r="GJ56" s="466">
        <f>IFERROR(IF(VLOOKUP(Reinforcements[[#This Row],[Bottom End Connection Bolt Type]],Bolts[],COLUMN(Bolts[[#Headers],[Rev. H Apply Connection Length Reduction Factor (Rb)?]])-1,FALSE)="Yes",(IF(Reinforcements[[#This Row],[Lb(bottom)]]&lt;=16,1,IF(Reinforcements[[#This Row],[Lb(bottom)]]&gt;38,0.75,0.9))),1),"-")</f>
        <v>1</v>
      </c>
      <c r="GK56"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56" s="466">
        <f>IFERROR(IF(Reinforcements[[#This Row],[Top End Connection Same?]]="Yes",Reinforcements[[#This Row],[Lb(bottom)]],(Reinforcements[[#This Row],['# of End Connection Bolts          (Top)]]-1)*Reinforcements[[#This Row],[End Connection Bolt Spacing (in) (T)]]),"-")</f>
        <v>21</v>
      </c>
      <c r="GM56" s="466">
        <f>IFERROR(IF(VLOOKUP(Reinforcements[[#This Row],[Top End Connection Bolt Type]],Bolts[],COLUMN(Bolts[[#Headers],[Rev. H Apply Connection Length Reduction Factor (Rb)?]])-1,FALSE)="Yes",(IF(Reinforcements[[#This Row],[Lb(top)]]&lt;=16,1,IF(Reinforcements[[#This Row],[Lb(top)]]&gt;38,0.75,0.9))),1),"-")</f>
        <v>1</v>
      </c>
      <c r="GN56"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371.19712776654347</v>
      </c>
      <c r="GO56" s="466">
        <f>Reinforcements[[#This Row],[Rev. G Bolt-Shaft Bearing Capacity (Bottom)                No Deformation          (*t*Fu kips)]]</f>
        <v>15.450236220472441</v>
      </c>
      <c r="GP56" s="466">
        <f>Reinforcements[[#This Row],[Rev. G Bolt-Shaft Bearing Capacity (Bottom)                   Deformation          (*t*Fu kips)]]</f>
        <v>19.312795275590553</v>
      </c>
      <c r="GQ56" s="466">
        <f>Reinforcements[[#This Row],[Rev. G Bolt-Shaft Bearing Capacity (Top)                    No Deformation          (*t*Fu kips)]]</f>
        <v>15.450236220472441</v>
      </c>
      <c r="GR56" s="466">
        <f>Reinforcements[[#This Row],[Rev. G Bolt-Shaft Bearing Capacity (Top)                        Deformation          (*t*Fu kips)]]</f>
        <v>19.312795275590553</v>
      </c>
      <c r="GS56" s="466">
        <f>Reinforcements[[#This Row],[Rev. G Bolt-Reinf. Bearing Capacity (Bottom)            No Deformation (kips)]]</f>
        <v>1236.0188976377951</v>
      </c>
      <c r="GT56" s="466">
        <f>Reinforcements[[#This Row],[Rev. G Bolt-Reinf. Bearing Capacity (Bottom)               Deformation (kips)]]</f>
        <v>1545.0236220472443</v>
      </c>
      <c r="GU56" s="466">
        <f>Reinforcements[[#This Row],[Rev. G Bolt-Reinf. Bearing Capacity (Top)                  No Deformation (kips)]]</f>
        <v>1236.0188976377951</v>
      </c>
      <c r="GV56" s="466">
        <f>Reinforcements[[#This Row],[Rev. G Bolt-Reinf. Bearing Capacity (Top)               Deformation (kips)]]</f>
        <v>1545.0236220472443</v>
      </c>
      <c r="GW56" s="466" t="str">
        <f>Reinforcements[[#This Row],[Rev. G Bottom Transverse Weld Strength]]</f>
        <v>-</v>
      </c>
      <c r="GX56" s="466" t="str">
        <f>Reinforcements[[#This Row],[Rev. G Bottom Longitudinal Weld Strength]]</f>
        <v>-</v>
      </c>
      <c r="GY56" s="466" t="str">
        <f>Reinforcements[[#This Row],[Rev. G Top Transverse Weld Strength]]</f>
        <v>-</v>
      </c>
      <c r="GZ56" s="466" t="str">
        <f>Reinforcements[[#This Row],[Rev. G Top Longitudinal Weld Strength]]</f>
        <v>-</v>
      </c>
      <c r="HA56" s="552">
        <v>54</v>
      </c>
      <c r="HB56"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7" spans="2:210" x14ac:dyDescent="0.2">
      <c r="B57" s="72" t="s">
        <v>248</v>
      </c>
      <c r="C57" s="72" t="s">
        <v>146</v>
      </c>
      <c r="D57" s="185">
        <v>6.5</v>
      </c>
      <c r="E57" s="185">
        <v>1.25</v>
      </c>
      <c r="F57" s="185" t="str">
        <f>IF(Reinforcements[[#This Row],[Type]]="","",IF(Reinforcements[[#This Row],[Type]]="solid round","","n/a"))</f>
        <v>n/a</v>
      </c>
      <c r="G57" s="185" t="str">
        <f>IF(Reinforcements[[#This Row],[Type]]="","",IF(Reinforcements[[#This Row],[Type]]&lt;&gt;"channel","n/a",""))</f>
        <v>n/a</v>
      </c>
      <c r="H57" s="185" t="str">
        <f>IF(Reinforcements[[#This Row],[Type]]="","",IF(Reinforcements[[#This Row],[Type]]&lt;&gt;"channel","n/a",""))</f>
        <v>n/a</v>
      </c>
      <c r="I57" s="197" t="str">
        <f>IF(Reinforcements[[#This Row],[Type]]="","",IF(Reinforcements[[#This Row],[Type]]&lt;&gt;"channel","n/a",Reinforcements[[#This Row],[eo]]))</f>
        <v>n/a</v>
      </c>
      <c r="J57" s="197" t="str">
        <f>IF(Reinforcements[[#This Row],[Type]]="","",IF(Reinforcements[[#This Row],[Type]]&lt;&gt;"channel","n/a",Reinforcements[[#This Row],[J]]))</f>
        <v>n/a</v>
      </c>
      <c r="K57" s="197" t="str">
        <f>IF(Reinforcements[[#This Row],[Type]]="","",IF(Reinforcements[[#This Row],[Type]]&lt;&gt;"channel","n/a",Reinforcements[[#This Row],[Cw]]))</f>
        <v>n/a</v>
      </c>
      <c r="L57" s="185">
        <f>IFERROR(IF(Reinforcements[[#This Row],[Type]]="","",IF(Reinforcements[[#This Row],[Type]]="plate",Reinforcements[[#This Row],[B (in)]]*Reinforcements[[#This Row],[H (in)]],IF(Reinforcements[[#This Row],[Type]]="solid round",PI()/4*Reinforcements[[#This Row],[Diameter (in)]]^2,""))),"")</f>
        <v>8.125</v>
      </c>
      <c r="M57" s="185">
        <f>IFERROR(IF(Reinforcements[[#This Row],[Type]]="","",IF(Reinforcements[[#This Row],[Type]]="plate",Reinforcements[[#This Row],[H (in)]]/2,"")),"")</f>
        <v>0.625</v>
      </c>
      <c r="N57" s="186" t="s">
        <v>297</v>
      </c>
      <c r="O57" s="185" t="s">
        <v>60</v>
      </c>
      <c r="P57" s="187">
        <f>IFERROR(IF(Reinforcements[[#This Row],[Type]]="","",IF(Reinforcements[[#This Row],[Type]]="plate",Reinforcements[[#This Row],[B (in)]]*Reinforcements[[#This Row],[H (in)]]^3/12,IF(Reinforcements[[#This Row],[Type]]="solid round",PI()/64*Reinforcements[[#This Row],[Diameter (in)]]^4,""))),"")</f>
        <v>1.0579427083333333</v>
      </c>
      <c r="Q57" s="187">
        <f>IF(Reinforcements[[#This Row],[Reinforcement]]="","",SQRT(Reinforcements[[#This Row],[Ix]]/Reinforcements[[#This Row],[Gross Area (in2)]]))</f>
        <v>0.36084391824351608</v>
      </c>
      <c r="R57" s="187">
        <f>IFERROR(IF(Reinforcements[[#This Row],[Type]]="","",IF(Reinforcements[[#This Row],[Type]]="plate",Reinforcements[[#This Row],[B (in)]]^3*Reinforcements[[#This Row],[H (in)]]/12,IF(Reinforcements[[#This Row],[Type]]="solid round",PI()/64*Reinforcements[[#This Row],[Diameter (in)]]^4,""))),"")</f>
        <v>28.606770833333332</v>
      </c>
      <c r="S57" s="187">
        <f>IF(Reinforcements[[#This Row],[Reinforcement]]="","",SQRT(Reinforcements[[#This Row],[Iy]]/Reinforcements[[#This Row],[Gross Area (in2)]]))</f>
        <v>1.8763883748662837</v>
      </c>
      <c r="T57" s="190">
        <v>19.25</v>
      </c>
      <c r="U57" s="188">
        <v>0.8</v>
      </c>
      <c r="V57" s="188">
        <v>1</v>
      </c>
      <c r="W57" s="185">
        <v>1.1875</v>
      </c>
      <c r="X57" s="188">
        <f>IF(Reinforcements[[#This Row],[Bolt Hole Size (in)]]="","",IF(Reinforcements[[#This Row],[Bolt Hole Size (in)]]="n/a","n/a",Reinforcements[[#This Row],[Bolt Hole Size (in)]]*25.4))</f>
        <v>30.162499999999998</v>
      </c>
      <c r="Y57"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57" s="185">
        <f>IFERROR(IF(Reinforcements[[#This Row],[Reinforcement]]="","",IF(OR(Reinforcements[[#This Row],[Type]]="plate",Reinforcements[[#This Row],[Type]]="solid round"),1,IF(Reinforcements[[#This Row],[Type]]="arbitrary","",1-Reinforcements[[#This Row],[Pole Face to Centroid (in)]]/Reinforcements[[#This Row],[Connection Length (in) '[Channels']]]))),"")</f>
        <v>1</v>
      </c>
      <c r="AA57" s="189" t="s">
        <v>391</v>
      </c>
      <c r="AB57" s="189" t="str">
        <f>IF(Reinforcements[[#This Row],[Reinforcement]]="","",IF(Reinforcements[[#This Row],[Bottom End Connection Type]]&lt;&gt;"Capacity Input","-",""))</f>
        <v>-</v>
      </c>
      <c r="AC57" s="189" t="str">
        <f>IF(Reinforcements[[#This Row],[Reinforcement]]="","",IF(Reinforcements[[#This Row],[Bottom End Connection Type]]&lt;&gt;"Capacity Input","-",""))</f>
        <v>-</v>
      </c>
      <c r="AD57" s="461" t="str">
        <f>IF(Reinforcements[[#This Row],[Reinforcement]]="","",IF(Reinforcements[[#This Row],[Bottom End Connection Type]]&lt;&gt;"Capacity Input","-",""))</f>
        <v>-</v>
      </c>
      <c r="AE57" s="103" t="s">
        <v>416</v>
      </c>
      <c r="AF57" s="190" t="s">
        <v>296</v>
      </c>
      <c r="AG57" s="190">
        <v>11</v>
      </c>
      <c r="AH57" s="190">
        <v>3</v>
      </c>
      <c r="AI57" s="190">
        <v>3</v>
      </c>
      <c r="AJ57" s="190">
        <f>Reinforcements[[#This Row],[End Connection Edge Distance (in) (B)]]-(Reinforcements[[#This Row],[Bolt Hole Size (in)]]+1/16)/2</f>
        <v>2.375</v>
      </c>
      <c r="AK57" s="190">
        <f>Reinforcements[[#This Row],[End Connection Bolt Spacing (in) (B)]]-(Reinforcements[[#This Row],[Bolt Hole Size (in)]]+1/16)</f>
        <v>1.75</v>
      </c>
      <c r="AL57" s="190">
        <f>Reinforcements[[#This Row],[End Connection Edge Distance (in) (B)]]</f>
        <v>3</v>
      </c>
      <c r="AM57" s="190">
        <f>Reinforcements[[#This Row],[End Connection Bolt Spacing (in) (B)]]</f>
        <v>3</v>
      </c>
      <c r="AN57" s="190" t="str">
        <f>IF(Reinforcements[[#This Row],[Reinforcement]]="","",IF(OR(Reinforcements[[#This Row],[Bottom End Connection Type]]="Bolted",Reinforcements[[#This Row],[Bottom End Connection Type]]=""),"-",""))</f>
        <v>-</v>
      </c>
      <c r="AO57" s="191" t="str">
        <f>IF(Reinforcements[[#This Row],[Reinforcement]]="","",IF(OR(Reinforcements[[#This Row],[Bottom End Connection Type]]="Bolted",Reinforcements[[#This Row],[Bottom End Connection Type]]=""),"-",""))</f>
        <v>-</v>
      </c>
      <c r="AP57" s="191" t="str">
        <f>IF(Reinforcements[[#This Row],[Reinforcement]]="","",IF(OR(Reinforcements[[#This Row],[Bottom End Connection Type]]="Bolted",Reinforcements[[#This Row],[Bottom End Connection Type]]=""),"-",""))</f>
        <v>-</v>
      </c>
      <c r="AQ57" s="191" t="str">
        <f>IF(OR(Reinforcements[[#This Row],[Bottom End Connection Type]]="Bolted",Reinforcements[[#This Row],[Bottom Transverse (Horizontal) Weld]]="none"),"-","")</f>
        <v>-</v>
      </c>
      <c r="AR5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7" s="191" t="str">
        <f>IF(OR(Reinforcements[[#This Row],[Bottom Transverse (Horizontal) Weld]]="none",Reinforcements[[#This Row],[Bottom End Connection Type]]="Bolted"),"-","")</f>
        <v>-</v>
      </c>
      <c r="AU57"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7" s="191" t="str">
        <f>IF(Reinforcements[[#This Row],[Reinforcement]]="","",IF(OR(Reinforcements[[#This Row],[Bottom End Connection Type]]="Bolted",Reinforcements[[#This Row],[Bottom End Connection Type]]=""),"-",""))</f>
        <v>-</v>
      </c>
      <c r="AW57" s="191" t="str">
        <f>IF(Reinforcements[[#This Row],[Reinforcement]]="","",IF(OR(Reinforcements[[#This Row],[Bottom End Connection Type]]&lt;&gt;"Welded",Reinforcements[[#This Row],[Bottom Longitudinal (Vertical) Weld]]="None",Reinforcements[[#This Row],[Bottom Longitudinal (Vertical) Weld]]=""),"-",""))</f>
        <v>-</v>
      </c>
      <c r="AX57" s="191" t="str">
        <f>IF(Reinforcements[[#This Row],[Reinforcement]]="","",IF(OR(Reinforcements[[#This Row],[Bottom End Connection Type]]&lt;&gt;"Welded",Reinforcements[[#This Row],[Bottom Longitudinal (Vertical) Weld]]="None",Reinforcements[[#This Row],[Bottom Longitudinal (Vertical) Weld]]=""),"-",""))</f>
        <v>-</v>
      </c>
      <c r="AY57" s="190" t="str">
        <f>IF(Reinforcements[[#This Row],[Reinforcement]]="","",IF(OR(Reinforcements[[#This Row],[Bottom End Connection Type]]&lt;&gt;"Welded",Reinforcements[[#This Row],[Bottom Longitudinal (Vertical) Weld]]="None"),"-",SQRT(2)/2*Reinforcements[[#This Row],[Bottom Longitudinal Weld Fillet Size (in)]]))</f>
        <v>-</v>
      </c>
      <c r="AZ57" s="190" t="s">
        <v>295</v>
      </c>
      <c r="BA57" s="189" t="str">
        <f>IF(Reinforcements[[#This Row],[Top End Connection Same?]]="Yes",Reinforcements[[#This Row],[Bottom End Connection Type]],"")</f>
        <v>Bolted</v>
      </c>
      <c r="BB57" s="189" t="str">
        <f>IF(Reinforcements[[#This Row],[Reinforcement]]="","",IF(Reinforcements[[#This Row],[Top End Connection Same?]]="Yes",Reinforcements[[#This Row],[Rev. F Bottom Connection Capacity (kips)]],IF(Reinforcements[[#This Row],[Reinforcement]]="","",IF(Reinforcements[[#This Row],[Top End Connection Type]]&lt;&gt;"Capacity Input","-",""))))</f>
        <v>-</v>
      </c>
      <c r="BC57" s="189" t="str">
        <f>IF(Reinforcements[[#This Row],[Reinforcement]]="","",IF(Reinforcements[[#This Row],[Top End Connection Same?]]="Yes",Reinforcements[[#This Row],[Rev. G Bottom Connection Capacity (kips)]],IF(Reinforcements[[#This Row],[Reinforcement]]="","",IF(Reinforcements[[#This Row],[Top End Connection Type]]&lt;&gt;"Capacity Input","-",""))))</f>
        <v>-</v>
      </c>
      <c r="BD57" s="461" t="str">
        <f>IF(Reinforcements[[#This Row],[Reinforcement]]="","",IF(Reinforcements[[#This Row],[Top End Connection Same?]]="Yes",Reinforcements[[#This Row],[Rev. G Bottom Connection Capacity (kips)]],IF(Reinforcements[[#This Row],[Reinforcement]]="","",IF(Reinforcements[[#This Row],[Top End Connection Type]]&lt;&gt;"Capacity Input","-",""))))</f>
        <v>-</v>
      </c>
      <c r="BE57" s="103" t="str">
        <f>IF(Reinforcements[[#This Row],[Top End Connection Same?]]="Yes",Reinforcements[[#This Row],[Bottom End Connection Bolt Type]],IF(Reinforcements[[#This Row],[Top End Connection Type]]="Welded","-",""))</f>
        <v>PC 8.8 - M20 (100)</v>
      </c>
      <c r="BF57" s="190" t="str">
        <f>IF(Reinforcements[[#This Row],[Top End Connection Same?]]="Yes",Reinforcements[[#This Row],[Threads Included (N) or Excluded (X) (Bottom)]],IF(Reinforcements[[#This Row],[Top End Connection Type]]="Welded","-",""))</f>
        <v>N</v>
      </c>
      <c r="BG57" s="190">
        <f>IF(Reinforcements[[#This Row],[Top End Connection Same?]]="Yes",Reinforcements[[#This Row],['# of End Connection Bolts          (Bottom)]],IF(Reinforcements[[#This Row],[Top End Connection Type]]="Welded","-",""))</f>
        <v>11</v>
      </c>
      <c r="BH57" s="190">
        <f>IF(Reinforcements[[#This Row],[Top End Connection Same?]]="Yes",Reinforcements[[#This Row],[End Connection Bolt Spacing (in) (B)]],IF(Reinforcements[[#This Row],[Top End Connection Type]]="Welded","-",""))</f>
        <v>3</v>
      </c>
      <c r="BI57" s="190">
        <f>IF(Reinforcements[[#This Row],[Top End Connection Same?]]="Yes",Reinforcements[[#This Row],[End Connection Edge Distance (in) (B)]],IF(Reinforcements[[#This Row],[Top End Connection Type]]="Welded","-",""))</f>
        <v>3</v>
      </c>
      <c r="BJ57" s="190">
        <f>Reinforcements[[#This Row],[End Connection Edge Distance (in) (T)]]-(Reinforcements[[#This Row],[Bolt Hole Size (in)]]+1/16)/2</f>
        <v>2.375</v>
      </c>
      <c r="BK57" s="190">
        <f>Reinforcements[[#This Row],[End Connection Bolt Spacing (in) (T)]]-(Reinforcements[[#This Row],[Bolt Hole Size (in)]]+1/16)</f>
        <v>1.75</v>
      </c>
      <c r="BL57" s="190">
        <f>Reinforcements[[#This Row],[End Connection Edge Distance (in) (T)]]</f>
        <v>3</v>
      </c>
      <c r="BM57" s="190">
        <f>Reinforcements[[#This Row],[End Connection Bolt Spacing (in) (T)]]</f>
        <v>3</v>
      </c>
      <c r="BN57" s="190" t="str">
        <f>IF(Reinforcements[[#This Row],[Reinforcement]]="","",IF(Reinforcements[[#This Row],[Top End Connection Same?]]="Yes",Reinforcements[[#This Row],[Bottom Connected to Flange/Base Plate?]],IF(Reinforcements[[#This Row],[Top End Connection Type]]="Bolted","-","")))</f>
        <v>-</v>
      </c>
      <c r="BO57" s="190" t="str">
        <f>IF(Reinforcements[[#This Row],[Reinforcement]]="","",IF(Reinforcements[[#This Row],[Top End Connection Same?]]="Yes",Reinforcements[[#This Row],[Bottom Weld Grade (ksi)]],IF(OR(Reinforcements[[#This Row],[Top End Connection Type]]&lt;&gt;"Welded",Reinforcements[[#This Row],[Top End Connection Type]]=""),"-","")))</f>
        <v>-</v>
      </c>
      <c r="BP57" s="190" t="str">
        <f>IF($AZ57="Yes",AP57,IF(Reinforcements[[#This Row],[Reinforcement]]="","",IF(OR(Reinforcements[[#This Row],[Top End Connection Type]]&lt;&gt;"Welded",Reinforcements[[#This Row],[Top End Connection Type]]=""),"-","")))</f>
        <v>-</v>
      </c>
      <c r="BQ57" s="190" t="str">
        <f>IF(Reinforcements[[#This Row],[Reinforcement]]="","",IF($AZ57="Yes",AQ57,IF(OR(Reinforcements[[#This Row],[Top End Connection Type]]&lt;&gt;"Welded",Reinforcements[[#This Row],[Top Transverse (Horizontal) Weld]]="none",Reinforcements[[#This Row],[Top Transverse (Horizontal) Weld]]=""),"-","")))</f>
        <v>-</v>
      </c>
      <c r="BR57" s="190" t="str">
        <f>IF($AZ57="Yes",AR57,IF(Reinforcements[[#This Row],[Reinforcement]]="","",IF(OR(Reinforcements[[#This Row],[Top Transverse (Horizontal) Weld]]="none",Reinforcements[[#This Row],[Top End Connection Type]]&lt;&gt;"Welded",Reinforcements[[#This Row],[Top Transverse (Horizontal) Weld]]="",Reinforcements[[#This Row],[Top Transverse (Horizontal) Weld]]="Fillet"),"-","")))</f>
        <v>-</v>
      </c>
      <c r="BS57" s="190" t="str">
        <f>IF($AZ57="Yes",AS57,IF(Reinforcements[[#This Row],[Reinforcement]]="","",IF(OR(Reinforcements[[#This Row],[Top Transverse (Horizontal) Weld]]="none",Reinforcements[[#This Row],[Top End Connection Type]]&lt;&gt;"Welded",Reinforcements[[#This Row],[Top Transverse (Horizontal) Weld]]="",Reinforcements[[#This Row],[Top Transverse (Horizontal) Weld]]="Fillet"),"-","")))</f>
        <v>-</v>
      </c>
      <c r="BT57" s="190" t="str">
        <f>IF(Reinforcements[[#This Row],[Reinforcement]]="","",IF($AZ57="Yes",AT57,IF(OR(Reinforcements[[#This Row],[Top Transverse (Horizontal) Weld]]="none",Reinforcements[[#This Row],[Top End Connection Type]]&lt;&gt;"Welded",Reinforcements[[#This Row],[Top Transverse (Horizontal) Weld]]=""),"-","")))</f>
        <v>-</v>
      </c>
      <c r="BU57" s="190" t="str">
        <f>IF($AZ57="Yes",AU57,IF(Reinforcements[[#This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7" s="190" t="str">
        <f>IF($AZ57="Yes",AV57,IF(Reinforcements[[#This Row],[Reinforcement]]="","",IF(OR(Reinforcements[[#This Row],[Top End Connection Type]]&lt;&gt;"Welded",Reinforcements[[#This Row],[Top End Connection Type]]=""),"-","")))</f>
        <v>-</v>
      </c>
      <c r="BW57" s="190" t="str">
        <f>IF($AZ57="Yes",AW57,IF(Reinforcements[[#This Row],[Reinforcement]]="","",IF(OR(Reinforcements[[#This Row],[Top End Connection Type]]&lt;&gt;"Welded",Reinforcements[[#This Row],[Top End Connection Type]]="",Reinforcements[[#This Row],[Top Longitudinal (Vertical) Weld]]="",Reinforcements[[#This Row],[Top Longitudinal (Vertical) Weld]]="None"),"-","")))</f>
        <v>-</v>
      </c>
      <c r="BX57" s="190" t="str">
        <f>IF($AZ57="Yes",AX57,IF(Reinforcements[[#This Row],[Reinforcement]]="","",IF(OR(Reinforcements[[#This Row],[Top End Connection Type]]&lt;&gt;"Welded",Reinforcements[[#This Row],[Top End Connection Type]]="",Reinforcements[[#This Row],[Top Longitudinal (Vertical) Weld]]="",Reinforcements[[#This Row],[Top Longitudinal (Vertical) Weld]]="None"),"-","")))</f>
        <v>-</v>
      </c>
      <c r="BY57" s="190" t="str">
        <f>IF($AZ57="Yes",AY57,IF(Reinforcements[[#This Row],[Reinforcement]]="","",IF(OR(Reinforcements[[#This Row],[Top End Connection Type]]&lt;&gt;"Welded",Reinforcements[[#This Row],[Top Longitudinal (Vertical) Weld]]="none"),"-",SQRT(2)/2*Reinforcements[[#This Row],[Top Longitudinal Weld Fillet Size (in)]])))</f>
        <v>-</v>
      </c>
      <c r="BZ57"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7" s="192">
        <f>IF(Reinforcements[[#This Row],[Reinforcement]]="","",IF(Reinforcements[[#This Row],[Bottom End Connection Type]]&lt;&gt;"Bolted","n/a",(Reinforcements[[#This Row],['# of End Connection Bolts          (Bottom)]]-1)*Reinforcements[[#This Row],[End Connection Bolt Spacing (in) (B)]]+Reinforcements[[#This Row],[End Connection Edge Distance (in) (B)]]))</f>
        <v>33</v>
      </c>
      <c r="CB57" s="192">
        <f>IF(Reinforcements[[#This Row],[Reinforcement]]="","",IF(Reinforcements[[#This Row],[Top End Connection Type]]&lt;&gt;"Bolted","n/a",(Reinforcements[[#This Row],['# of End Connection Bolts          (Top)]]-1)*Reinforcements[[#This Row],[End Connection Bolt Spacing (in) (T)]]+Reinforcements[[#This Row],[End Connection Edge Distance (in) (T)]]))</f>
        <v>33</v>
      </c>
      <c r="CC57"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57"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57" s="185">
        <f>IFERROR(IF(Reinforcements[[#This Row],[Type]]="","",Reinforcements[[#This Row],[Effective B (in)]]*Reinforcements[[#This Row],[Effective H (in)]]^3/12),"")</f>
        <v>1.0579427083333333</v>
      </c>
      <c r="CF57" s="185">
        <f>IFERROR(IF(Reinforcements[[#This Row],[Type]]="","",Reinforcements[[#This Row],[Effective B (in)]]^3*Reinforcements[[#This Row],[Effective H (in)]]/12),"")</f>
        <v>28.606770833333332</v>
      </c>
      <c r="CG57" s="197">
        <f>SQRT(2*PI()^2*29000/VLOOKUP(Reinforcements[[#This Row],[Material]],Materials[],2,FALSE))</f>
        <v>93.844147005158973</v>
      </c>
      <c r="CH57"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31.925516243918089</v>
      </c>
      <c r="CI57"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37.839913787929227</v>
      </c>
      <c r="CJ57" s="239">
        <f>Reinforcements[[#This Row],[Effective Length Factor Kx]]*Reinforcements[[#This Row],[Lu (in)]]/(Reinforcements[[#This Row],[rx]]*PI())*SQRT(VLOOKUP(Reinforcements[[#This Row],[Material]],Materials[],2,FALSE)/29000)</f>
        <v>0.64314535523307104</v>
      </c>
      <c r="CK57" s="239">
        <f>Reinforcements[[#This Row],[Effective Length Factor Ky]]*Reinforcements[[#This Row],[Lu (in)]]/(Reinforcements[[#This Row],[ry]]*PI())*SQRT(VLOOKUP(Reinforcements[[#This Row],[Material]],Materials[],2,FALSE)/29000)</f>
        <v>0.15460224885410362</v>
      </c>
      <c r="CL57" s="239">
        <f>IF(Reinforcements[[#This Row],[λcx]]&lt;=1.5,0.658^(Reinforcements[[#This Row],[λcx]]^2)*Reinforcements[[#This Row],[F''y]],0.877/(Reinforcements[[#This Row],[λcx]]^2)*Reinforcements[[#This Row],[F''y]])</f>
        <v>54.666976131083018</v>
      </c>
      <c r="CM57" s="239">
        <f>IF(Reinforcements[[#This Row],[λcy]]&lt;=1.5,0.658^(Reinforcements[[#This Row],[λcy]]^2)*Reinforcements[[#This Row],[F''y]],0.877/(Reinforcements[[#This Row],[λcy]]^2)*Reinforcements[[#This Row],[F''y]])</f>
        <v>64.352973423945272</v>
      </c>
      <c r="CN57" s="236">
        <f>VLOOKUP(Reinforcements[[#This Row],[Material]],Materials[],2,FALSE)</f>
        <v>65</v>
      </c>
      <c r="CO57" s="235">
        <f>IF(Reinforcements[[#This Row],[Reinforcement]]="","",Reinforcements[[#This Row],[Fax]]*Reinforcements[[#This Row],[Gross Area (in2)]])</f>
        <v>259.39481948183447</v>
      </c>
      <c r="CP57" s="197">
        <f>IF(Reinforcements[[#This Row],[Reinforcement]]="","",Reinforcements[[#This Row],[Fay]]*Reinforcements[[#This Row],[Gross Area (in2)]])</f>
        <v>307.44929952692496</v>
      </c>
      <c r="CQ57" s="197">
        <f>IF(Reinforcements[[#This Row],[Reinforcement]]="","",0.6*VLOOKUP(Reinforcements[[#This Row],[Material]],Materials[],2,FALSE)*Reinforcements[[#This Row],[Gross Area (in2)]])</f>
        <v>316.875</v>
      </c>
      <c r="CR57" s="197">
        <f>IF(Reinforcements[[#This Row],[Reinforcement]]="","",0.5*VLOOKUP(Reinforcements[[#This Row],[Material]],Materials[],3,FALSE)*Reinforcements[[#This Row],[Net Area (in2)]]*Reinforcements[[#This Row],[Shear Lag (U)]])</f>
        <v>262.5</v>
      </c>
      <c r="CS57" s="197">
        <f>IF(Reinforcements[[#This Row],[Reinforcement]]="","",0.4*VLOOKUP(Reinforcements[[#This Row],[Material]],Materials[],2,FALSE)*Reinforcements[[#This Row],[Gross Area (in2)]])</f>
        <v>211.25</v>
      </c>
      <c r="CT57"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256.14194846712962</v>
      </c>
      <c r="CU57"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256.14194846712962</v>
      </c>
      <c r="CV57"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15.070866141732283</v>
      </c>
      <c r="CW57"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16.712598425196852</v>
      </c>
      <c r="CX57"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15.070866141732283</v>
      </c>
      <c r="CY57"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16.712598425196852</v>
      </c>
      <c r="CZ57"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1507.0866141732283</v>
      </c>
      <c r="DA57"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1671.259842519685</v>
      </c>
      <c r="DB57"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1507.0866141732283</v>
      </c>
      <c r="DC57"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1671.259842519685</v>
      </c>
      <c r="DD57"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7"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7" s="190" t="str">
        <f>IF($AZ57="Yes",DD57,IF(Reinforcements[[#This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7" s="190" t="str">
        <f>IF($AZ57="Yes",DE57,IF(Reinforcements[[#This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7" s="235">
        <f>IF(Reinforcements[[#This Row],[Reinforcement]]="","",φ_c*Reinforcements[[#This Row],[Fcr,x]]*Reinforcements[[#This Row],[Gross Area (in2)]])</f>
        <v>399.75226295854458</v>
      </c>
      <c r="DI57" s="235">
        <f>IF(Reinforcements[[#This Row],[Reinforcement]]="","",φ_c*Reinforcements[[#This Row],[Fcr,y]]*Reinforcements[[#This Row],[Gross Area (in2)]])</f>
        <v>470.58111816259981</v>
      </c>
      <c r="DJ57" s="197">
        <f>IF(Reinforcements[[#This Row],[Reinforcement]]="","",φ_t_y*VLOOKUP(Reinforcements[[#This Row],[Material]],Materials[],2,FALSE)*Reinforcements[[#This Row],[Gross Area (in2)]])</f>
        <v>475.3125</v>
      </c>
      <c r="DK57" s="197">
        <f>IF(Reinforcements[[#This Row],[Reinforcement]]="","",φ_t_r*VLOOKUP(Reinforcements[[#This Row],[Material]],Materials[],3,FALSE)*Reinforcements[[#This Row],[Net Area (in2)]]*Reinforcements[[#This Row],[Shear Lag (U)]])</f>
        <v>393.75</v>
      </c>
      <c r="DL57" s="197">
        <f>IF(Reinforcements[[#This Row],[Reinforcement]]="","",φ_v*0.5*Reinforcements[[#This Row],[F''y]]*Reinforcements[[#This Row],[Gross Area (in2)]])</f>
        <v>237.65625</v>
      </c>
      <c r="DM57"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453.96930816601832</v>
      </c>
      <c r="DN57"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453.96930816601832</v>
      </c>
      <c r="DO57"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21.73228346456693</v>
      </c>
      <c r="DP57"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27.165354330708666</v>
      </c>
      <c r="DQ57"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21.73228346456693</v>
      </c>
      <c r="DR57"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27.165354330708666</v>
      </c>
      <c r="DS57"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2173.2283464566931</v>
      </c>
      <c r="DT57"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2716.535433070866</v>
      </c>
      <c r="DU57"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2173.2283464566931</v>
      </c>
      <c r="DV57"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2716.535433070866</v>
      </c>
      <c r="DW57"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7"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7" s="190" t="str">
        <f>IF($AZ57="Yes",DW57,IF(Reinforcements[[#This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7" s="190" t="str">
        <f>IF($AZ57="Yes",DX57,IF(Reinforcements[[#This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7" s="238" t="str">
        <f>IF(OR(Reinforcements[[#This Row],[Type]]="plate",Reinforcements[[#This Row],[Type]]="solid round"),"N/A",Reinforcements[[#This Row],[B (in)]])</f>
        <v>N/A</v>
      </c>
      <c r="EB57" s="236" t="str">
        <f>IF(OR(Reinforcements[[#This Row],[Type]]="plate",Reinforcements[[#This Row],[Type]]="solid round"),"N/A",Reinforcements[[#This Row],[H (in)]])</f>
        <v>N/A</v>
      </c>
      <c r="EC57" s="236" t="str">
        <f>IF(OR(Reinforcements[[#This Row],[Type]]="plate",Reinforcements[[#This Row],[Type]]="solid round"),"N/A",Reinforcements[[#This Row],[B (in)]]-Reinforcements[[#This Row],['[Channel'] Flange Thickness (in)]])</f>
        <v>N/A</v>
      </c>
      <c r="ED57" s="236" t="str">
        <f>IF(OR(Reinforcements[[#This Row],[Type]]="plate",Reinforcements[[#This Row],[Type]]="solid round"),"N/A",Reinforcements[[#This Row],['[Channel']Web Thickness (in)]])</f>
        <v>N/A</v>
      </c>
      <c r="EE57" s="236" t="str">
        <f>IF(OR(Reinforcements[[#This Row],[Type]]="plate",Reinforcements[[#This Row],[Type]]="solid round"),"N/A",Reinforcements[[#This Row],['[Channel'] Flange Thickness (in)]])</f>
        <v>N/A</v>
      </c>
      <c r="EF57" s="236" t="str">
        <f>IF(Reinforcements[[#This Row],[Type]]="channel",Reinforcements[[#This Row],[Channel Flange Width, b]]/Reinforcements[[#This Row],[Channel flange thickness, tf]],"N/A")</f>
        <v>N/A</v>
      </c>
      <c r="EG57" s="236" t="str">
        <f>IF(Reinforcements[[#This Row],[Type]]="channel",Reinforcements[[#This Row],[Channel inside depth, T]]/Reinforcements[[#This Row],[Channel web thickness, tw]],"N/A")</f>
        <v>N/A</v>
      </c>
      <c r="EH57" s="237">
        <v>29000</v>
      </c>
      <c r="EI57" s="237" t="str">
        <f>IF(Reinforcements[[#This Row],[Type]]="channel",0.56*SQRT(Reinforcements[[#This Row],[E, (ksi)]]/Reinforcements[[#This Row],[Fy, (ksi)]]),"N/A")</f>
        <v>N/A</v>
      </c>
      <c r="EJ57" s="237" t="str">
        <f>IF(Reinforcements[[#This Row],[Type]]="channel",1.49*SQRT(Reinforcements[[#This Row],[E, (ksi)]]/Reinforcements[[#This Row],[Fy, (ksi)]]),"N/A")</f>
        <v>N/A</v>
      </c>
      <c r="EK57" s="237">
        <f>VLOOKUP(Reinforcements[[#This Row],[Material]],Materials!$B$2:$C$30,2,FALSE)</f>
        <v>65</v>
      </c>
      <c r="EL57" s="237">
        <f>Reinforcements[[#This Row],[Lu (in)]]*Reinforcements[[#This Row],[Effective Length Factor Kx]]</f>
        <v>15.4</v>
      </c>
      <c r="EM57" s="237">
        <f>Reinforcements[[#This Row],[Lu (in)]]*Reinforcements[[#This Row],[Effective Length Factor Ky]]</f>
        <v>19.25</v>
      </c>
      <c r="EN57" s="237">
        <f>Reinforcements[[#This Row],[rx]]</f>
        <v>0.36084391824351608</v>
      </c>
      <c r="EO57" s="237">
        <f>Reinforcements[[#This Row],[ry]]</f>
        <v>1.8763883748662837</v>
      </c>
      <c r="EP57" s="237">
        <f>Reinforcements[[#This Row],[Lcx (in)]]/Reinforcements[[#This Row],[rx (in)]]</f>
        <v>42.677731898497143</v>
      </c>
      <c r="EQ57" s="237">
        <f>Reinforcements[[#This Row],[Lcy (in)]]/Reinforcements[[#This Row],[ry (in)]]</f>
        <v>10.259070167907966</v>
      </c>
      <c r="ER57" s="237">
        <f>((PI()^2)*Reinforcements[[#This Row],[E, (ksi)]])/(Reinforcements[[#This Row],[Lcx/rx]]^2)</f>
        <v>157.1430150616888</v>
      </c>
      <c r="ES57" s="237">
        <f>((PI()^2)*Reinforcements[[#This Row],[E, (ksi)]])/(Reinforcements[[#This Row],[Lcy/ry]]^2)</f>
        <v>2719.454161451562</v>
      </c>
      <c r="ET57" s="237">
        <f>4.71*(SQRT(Reinforcements[[#This Row],[E, (ksi)]]/Reinforcements[[#This Row],[Fy, (ksi)]]))</f>
        <v>99.486288193205496</v>
      </c>
      <c r="EU57" s="237">
        <f>IF(Reinforcements[[#This Row],[Lcx/rx]]&lt;=Reinforcements[[#This Row],[Fcr Limit]],(0.658^(Reinforcements[[#This Row],[Fy, (ksi)]]/Reinforcements[[#This Row],[Fex, FB (ksi)]]))*Reinforcements[[#This Row],[Fy, (ksi)]],0.877*Reinforcements[[#This Row],[Fex, FB (ksi)]])</f>
        <v>54.666976131083011</v>
      </c>
      <c r="EV57" s="237">
        <f>IF(Reinforcements[[#This Row],[Lcy/ry]]&lt;=Reinforcements[[#This Row],[Fcr Limit]],(0.658^(Reinforcements[[#This Row],[Fy, (ksi)]]/Reinforcements[[#This Row],[Fey, FB (ksi)]]))*Reinforcements[[#This Row],[Fy, (ksi)]],0.877*Reinforcements[[#This Row],[Fey, FB (ksi)]])</f>
        <v>64.352973423945272</v>
      </c>
      <c r="EW57" s="237">
        <f>Reinforcements[[#This Row],[Fcrx (ksi)]]*Reinforcements[[#This Row],[Gross Area (in2)]]</f>
        <v>444.16918106504949</v>
      </c>
      <c r="EX57" s="237">
        <f>Reinforcements[[#This Row],[Fcry (ksi)]]*Reinforcements[[#This Row],[Gross Area (in2)]]</f>
        <v>522.86790906955537</v>
      </c>
      <c r="EY57" s="237" t="str">
        <f>IF(Reinforcements[[#This Row],[Type]]="channel",0,"N/A")</f>
        <v>N/A</v>
      </c>
      <c r="EZ57" s="237" t="str">
        <f>IF(Reinforcements[[#This Row],[Type]]="channel",Reinforcements[[#This Row],[Channel Flange Width, b]]-(0.5*Reinforcements[[#This Row],[Channel web thickness, tw]]),"N/A")</f>
        <v>N/A</v>
      </c>
      <c r="FA57" s="237" t="str">
        <f>IF(Reinforcements[[#This Row],[Type]]="channel",Reinforcements[[#This Row],[Channel Height, h]]-Reinforcements[[#This Row],[Channel flange thickness, tf]],"N/A")</f>
        <v>N/A</v>
      </c>
      <c r="FB57" s="237" t="str">
        <f>IF(Reinforcements[[#This Row],[Type]]="channel",Reinforcements[[#This Row],[Channel web thickness, tw]],"N/A")</f>
        <v>N/A</v>
      </c>
      <c r="FC57" s="237" t="str">
        <f>IF(Reinforcements[[#This Row],[Type]]="channel",((3*Reinforcements[[#This Row],[b]]^2)/(Reinforcements[[#This Row],[h]]+(6*Reinforcements[[#This Row],[b]])))-Reinforcements[[#This Row],[t]]/2,"N/A")</f>
        <v>N/A</v>
      </c>
      <c r="FD57" s="237">
        <f>Reinforcements[[#This Row],[Pole Face to Centroid (in)]]</f>
        <v>0.625</v>
      </c>
      <c r="FE57" s="236" t="str">
        <f>IF(Reinforcements[[#This Row],[Type]]="channel",Reinforcements[[#This Row],[x(bar)]]+Reinforcements[[#This Row],['[Channel'] e0 (in)]],"N/A")</f>
        <v>N/A</v>
      </c>
      <c r="FF57" s="236" t="str">
        <f>IF(Reinforcements[[#This Row],[Type]]="channel",Reinforcements[[#This Row],[Ix]],"N/A")</f>
        <v>N/A</v>
      </c>
      <c r="FG57" s="236" t="str">
        <f>IF(Reinforcements[[#This Row],[Type]]="channel",Reinforcements[[#This Row],[Iy]],"N/A")</f>
        <v>N/A</v>
      </c>
      <c r="FH57" s="236" t="str">
        <f>IF(Reinforcements[[#This Row],[Type]]="channel",Reinforcements[[#This Row],[Gross Area (in2)]],"N/A")</f>
        <v>N/A</v>
      </c>
      <c r="FI57" s="236" t="str">
        <f>IF(Reinforcements[[#This Row],[Type]]="channel",(Reinforcements[[#This Row],[xo]]^2)+((Reinforcements[[#This Row],[Ix (FTB)]]+Reinforcements[[#This Row],[Iy (FTB)]])/Reinforcements[[#This Row],[Ag]]),"N/A")</f>
        <v>N/A</v>
      </c>
      <c r="FJ57" s="236" t="str">
        <f>IF(Reinforcements[[#This Row],[Type]]="channel",Reinforcements[[#This Row],[Lu (in)]],"N/A")</f>
        <v>N/A</v>
      </c>
      <c r="FK57" s="236" t="str">
        <f>IF(Reinforcements[[#This Row],[Type]]="channel",Reinforcements[[#This Row],[Effective Length Factor Kx]],"N/A")</f>
        <v>N/A</v>
      </c>
      <c r="FL57" s="236" t="str">
        <f>IF(Reinforcements[[#This Row],[Type]]="channel",Reinforcements[[#This Row],[Kz]]*Reinforcements[[#This Row],[Lz]],"N/A")</f>
        <v>N/A</v>
      </c>
      <c r="FM57" s="236" t="str">
        <f>IF(Reinforcements[[#This Row],[Type]]="channel",(((Reinforcements[[#This Row],[t]]^3)/3)*(Reinforcements[[#This Row],[h]]+(2*Reinforcements[[#This Row],[b]]))),"N/A")</f>
        <v>N/A</v>
      </c>
      <c r="FN57" s="236" t="str">
        <f>IF(Reinforcements[[#This Row],[Type]]="channel",(1-(((Reinforcements[[#This Row],[xo]]^2)+(Reinforcements[[#This Row],[yo]]^2))/Reinforcements[[#This Row],[ro^2(bar)]])),"N/A")</f>
        <v>N/A</v>
      </c>
      <c r="FO57" s="237">
        <v>11200</v>
      </c>
      <c r="FP57" s="236" t="str">
        <f>IF(Reinforcements[[#This Row],[Type]]="channel",(((Reinforcements[[#This Row],[h]]^2)*(Reinforcements[[#This Row],[b]]^3)*Reinforcements[[#This Row],[t]])/12)*(((2*Reinforcements[[#This Row],[h]])+(3*Reinforcements[[#This Row],[b]]))/(Reinforcements[[#This Row],[h]]+(6*Reinforcements[[#This Row],[b]]))),"N/A")</f>
        <v>N/A</v>
      </c>
      <c r="FQ57" s="236" t="str">
        <f>IF(Reinforcements[[#This Row],[Type]]="Channel",((((PI()^2)*Reinforcements[[#This Row],[E, (ksi)]]*Reinforcements[[#This Row],['[Channel'] CW (in6)]])/(Reinforcements[[#This Row],[Lcz]]^2))+(Reinforcements[[#This Row],[G]]*Reinforcements[[#This Row],['[Channel'] J (in4)]]))*(1/(Reinforcements[[#This Row],[Ag]]*Reinforcements[[#This Row],[ro^2(bar)]])),"N/A")</f>
        <v>N/A</v>
      </c>
      <c r="FR57" s="236" t="str">
        <f>IF(Reinforcements[[#This Row],[Type]]="channel",((PI()^2)*Reinforcements[[#This Row],[E, (ksi)]])/(Reinforcements[[#This Row],[Lcy/ry]]^2),"N/A")</f>
        <v>N/A</v>
      </c>
      <c r="FS57" s="236" t="str">
        <f>IF(Reinforcements[[#This Row],[Type]]="channel",((Reinforcements[[#This Row],[Fey]]+Reinforcements[[#This Row],[Fez]])/(2*Reinforcements[[#This Row],[H2]]))*(1-SQRT(1-((4*Reinforcements[[#This Row],[Fey]]*Reinforcements[[#This Row],[Fez]]*Reinforcements[[#This Row],[H2]])/(Reinforcements[[#This Row],[Fey]]+Reinforcements[[#This Row],[Fez]])^2))),"N/A")</f>
        <v>N/A</v>
      </c>
      <c r="FT57" s="236" t="str">
        <f>IF(Reinforcements[[#This Row],[Type]]="channel",IF(Reinforcements[[#This Row],[Lcx/rx]]&gt;(4.71*SQRT(Reinforcements[[#This Row],[E, (ksi)]]/Reinforcements[[#This Row],[Fy, (ksi)]])),0.877*Reinforcements[[#This Row],[Fe (FTB)]],0.658^(Reinforcements[[#This Row],[Fy, (ksi)]]/Reinforcements[[#This Row],[Fe (FTB)]])*Reinforcements[[#This Row],[Fy, (ksi)]]),"N/A")</f>
        <v>N/A</v>
      </c>
      <c r="FU57" s="236" t="str">
        <f>IF(Reinforcements[[#This Row],[Type]]="channel",MIN(Reinforcements[[#This Row],[Fcr(FTB)]],Reinforcements[[#This Row],[Fcry (ksi)]]),"N/A")</f>
        <v>N/A</v>
      </c>
      <c r="FV57" s="237">
        <v>0.22</v>
      </c>
      <c r="FW57" s="237">
        <v>1.49</v>
      </c>
      <c r="FX57" s="236" t="str">
        <f>IF(Reinforcements[[#This Row],[Type]]="channel",((Reinforcements[[#This Row],[c2]]*(Reinforcements[[#This Row],[λrf]]/Reinforcements[[#This Row],[λf]]))^2)*Reinforcements[[#This Row],[Fy, (ksi)]],"N/A")</f>
        <v>N/A</v>
      </c>
      <c r="FY57" s="236" t="str">
        <f>IF(Reinforcements[[#This Row],[Type]]="channel",((Reinforcements[[#This Row],[c2]]*(Reinforcements[[#This Row],[λrw]]/Reinforcements[[#This Row],[λw]]))^2)*Reinforcements[[#This Row],[Fy, (ksi)]],"N/A")</f>
        <v>N/A</v>
      </c>
      <c r="FZ57"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7"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7"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7" s="236" t="str">
        <f>IF(Reinforcements[[#This Row],[Type]]="channel",Reinforcements[[#This Row],[Fcr]]*Reinforcements[[#This Row],[Ae]],"N/A")</f>
        <v>N/A</v>
      </c>
      <c r="GD57" s="466">
        <f>IF(Reinforcements[[#This Row],[Reinforcement]]="","",φ_c*Reinforcements[[#This Row],[Pnx, FB (kip)]])</f>
        <v>399.75226295854452</v>
      </c>
      <c r="GE57" s="466">
        <f>IF(Reinforcements[[#This Row],[Reinforcement]]="","",IF(Reinforcements[[#This Row],[Type]]="channel",φ_c*Reinforcements[[#This Row],[Pn]],φ_c*Reinforcements[[#This Row],[Pny, FB (kip)]]))</f>
        <v>470.58111816259986</v>
      </c>
      <c r="GF57" s="466">
        <f>Reinforcements[[#This Row],[Rev. G Tension Yield Capacity (kips)]]</f>
        <v>475.3125</v>
      </c>
      <c r="GG57" s="466">
        <f>Reinforcements[[#This Row],[Rev. G Tension Rupture Capacity (kips)]]</f>
        <v>393.75</v>
      </c>
      <c r="GH57" s="466">
        <f>Reinforcements[[#This Row],[Rev. G Shear Capacity (kips)]]</f>
        <v>237.65625</v>
      </c>
      <c r="GI57" s="466">
        <f>IFERROR((Reinforcements[[#This Row],['# of End Connection Bolts          (Bottom)]]-1)*Reinforcements[[#This Row],[End Connection Bolt Spacing (in) (B)]],"-")</f>
        <v>30</v>
      </c>
      <c r="GJ57" s="466">
        <f>IFERROR(IF(VLOOKUP(Reinforcements[[#This Row],[Bottom End Connection Bolt Type]],Bolts[],COLUMN(Bolts[[#Headers],[Rev. H Apply Connection Length Reduction Factor (Rb)?]])-1,FALSE)="Yes",(IF(Reinforcements[[#This Row],[Lb(bottom)]]&lt;=16,1,IF(Reinforcements[[#This Row],[Lb(bottom)]]&gt;38,0.75,0.9))),1),"-")</f>
        <v>1</v>
      </c>
      <c r="GK57"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510.39605067899726</v>
      </c>
      <c r="GL57" s="466">
        <f>IFERROR(IF(Reinforcements[[#This Row],[Top End Connection Same?]]="Yes",Reinforcements[[#This Row],[Lb(bottom)]],(Reinforcements[[#This Row],['# of End Connection Bolts          (Top)]]-1)*Reinforcements[[#This Row],[End Connection Bolt Spacing (in) (T)]]),"-")</f>
        <v>30</v>
      </c>
      <c r="GM57" s="466">
        <f>IFERROR(IF(VLOOKUP(Reinforcements[[#This Row],[Top End Connection Bolt Type]],Bolts[],COLUMN(Bolts[[#Headers],[Rev. H Apply Connection Length Reduction Factor (Rb)?]])-1,FALSE)="Yes",(IF(Reinforcements[[#This Row],[Lb(top)]]&lt;=16,1,IF(Reinforcements[[#This Row],[Lb(top)]]&gt;38,0.75,0.9))),1),"-")</f>
        <v>1</v>
      </c>
      <c r="GN57"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510.39605067899726</v>
      </c>
      <c r="GO57" s="466">
        <f>Reinforcements[[#This Row],[Rev. G Bolt-Shaft Bearing Capacity (Bottom)                No Deformation          (*t*Fu kips)]]</f>
        <v>21.73228346456693</v>
      </c>
      <c r="GP57" s="466">
        <f>Reinforcements[[#This Row],[Rev. G Bolt-Shaft Bearing Capacity (Bottom)                   Deformation          (*t*Fu kips)]]</f>
        <v>27.165354330708666</v>
      </c>
      <c r="GQ57" s="466">
        <f>Reinforcements[[#This Row],[Rev. G Bolt-Shaft Bearing Capacity (Top)                    No Deformation          (*t*Fu kips)]]</f>
        <v>21.73228346456693</v>
      </c>
      <c r="GR57" s="466">
        <f>Reinforcements[[#This Row],[Rev. G Bolt-Shaft Bearing Capacity (Top)                        Deformation          (*t*Fu kips)]]</f>
        <v>27.165354330708666</v>
      </c>
      <c r="GS57" s="466">
        <f>Reinforcements[[#This Row],[Rev. G Bolt-Reinf. Bearing Capacity (Bottom)            No Deformation (kips)]]</f>
        <v>2173.2283464566931</v>
      </c>
      <c r="GT57" s="466">
        <f>Reinforcements[[#This Row],[Rev. G Bolt-Reinf. Bearing Capacity (Bottom)               Deformation (kips)]]</f>
        <v>2716.535433070866</v>
      </c>
      <c r="GU57" s="466">
        <f>Reinforcements[[#This Row],[Rev. G Bolt-Reinf. Bearing Capacity (Top)                  No Deformation (kips)]]</f>
        <v>2173.2283464566931</v>
      </c>
      <c r="GV57" s="466">
        <f>Reinforcements[[#This Row],[Rev. G Bolt-Reinf. Bearing Capacity (Top)               Deformation (kips)]]</f>
        <v>2716.535433070866</v>
      </c>
      <c r="GW57" s="466" t="str">
        <f>Reinforcements[[#This Row],[Rev. G Bottom Transverse Weld Strength]]</f>
        <v>-</v>
      </c>
      <c r="GX57" s="466" t="str">
        <f>Reinforcements[[#This Row],[Rev. G Bottom Longitudinal Weld Strength]]</f>
        <v>-</v>
      </c>
      <c r="GY57" s="466" t="str">
        <f>Reinforcements[[#This Row],[Rev. G Top Transverse Weld Strength]]</f>
        <v>-</v>
      </c>
      <c r="GZ57" s="466" t="str">
        <f>Reinforcements[[#This Row],[Rev. G Top Longitudinal Weld Strength]]</f>
        <v>-</v>
      </c>
      <c r="HA57" s="552">
        <v>55</v>
      </c>
      <c r="HB57"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8" spans="2:210" x14ac:dyDescent="0.2">
      <c r="B58" s="72" t="s">
        <v>253</v>
      </c>
      <c r="C58" s="72" t="s">
        <v>146</v>
      </c>
      <c r="D58" s="185">
        <v>6.5</v>
      </c>
      <c r="E58" s="185">
        <v>1.25</v>
      </c>
      <c r="F58" s="185" t="str">
        <f>IF(Reinforcements[[#This Row],[Type]]="","",IF(Reinforcements[[#This Row],[Type]]="solid round","","n/a"))</f>
        <v>n/a</v>
      </c>
      <c r="G58" s="185" t="str">
        <f>IF(Reinforcements[[#This Row],[Type]]="","",IF(Reinforcements[[#This Row],[Type]]&lt;&gt;"channel","n/a",""))</f>
        <v>n/a</v>
      </c>
      <c r="H58" s="185" t="str">
        <f>IF(Reinforcements[[#This Row],[Type]]="","",IF(Reinforcements[[#This Row],[Type]]&lt;&gt;"channel","n/a",""))</f>
        <v>n/a</v>
      </c>
      <c r="I58" s="197" t="str">
        <f>IF(Reinforcements[[#This Row],[Type]]="","",IF(Reinforcements[[#This Row],[Type]]&lt;&gt;"channel","n/a",Reinforcements[[#This Row],[eo]]))</f>
        <v>n/a</v>
      </c>
      <c r="J58" s="197" t="str">
        <f>IF(Reinforcements[[#This Row],[Type]]="","",IF(Reinforcements[[#This Row],[Type]]&lt;&gt;"channel","n/a",Reinforcements[[#This Row],[J]]))</f>
        <v>n/a</v>
      </c>
      <c r="K58" s="197" t="str">
        <f>IF(Reinforcements[[#This Row],[Type]]="","",IF(Reinforcements[[#This Row],[Type]]&lt;&gt;"channel","n/a",Reinforcements[[#This Row],[Cw]]))</f>
        <v>n/a</v>
      </c>
      <c r="L58" s="185">
        <f>IFERROR(IF(Reinforcements[[#This Row],[Type]]="","",IF(Reinforcements[[#This Row],[Type]]="plate",Reinforcements[[#This Row],[B (in)]]*Reinforcements[[#This Row],[H (in)]],IF(Reinforcements[[#This Row],[Type]]="solid round",PI()/4*Reinforcements[[#This Row],[Diameter (in)]]^2,""))),"")</f>
        <v>8.125</v>
      </c>
      <c r="M58" s="185">
        <f>IFERROR(IF(Reinforcements[[#This Row],[Type]]="","",IF(Reinforcements[[#This Row],[Type]]="plate",Reinforcements[[#This Row],[H (in)]]/2,"")),"")</f>
        <v>0.625</v>
      </c>
      <c r="N58" s="186" t="s">
        <v>297</v>
      </c>
      <c r="O58" s="185" t="s">
        <v>60</v>
      </c>
      <c r="P58" s="187">
        <f>IFERROR(IF(Reinforcements[[#This Row],[Type]]="","",IF(Reinforcements[[#This Row],[Type]]="plate",Reinforcements[[#This Row],[B (in)]]*Reinforcements[[#This Row],[H (in)]]^3/12,IF(Reinforcements[[#This Row],[Type]]="solid round",PI()/64*Reinforcements[[#This Row],[Diameter (in)]]^4,""))),"")</f>
        <v>1.0579427083333333</v>
      </c>
      <c r="Q58" s="187">
        <f>IF(Reinforcements[[#This Row],[Reinforcement]]="","",SQRT(Reinforcements[[#This Row],[Ix]]/Reinforcements[[#This Row],[Gross Area (in2)]]))</f>
        <v>0.36084391824351608</v>
      </c>
      <c r="R58" s="187">
        <f>IFERROR(IF(Reinforcements[[#This Row],[Type]]="","",IF(Reinforcements[[#This Row],[Type]]="plate",Reinforcements[[#This Row],[B (in)]]^3*Reinforcements[[#This Row],[H (in)]]/12,IF(Reinforcements[[#This Row],[Type]]="solid round",PI()/64*Reinforcements[[#This Row],[Diameter (in)]]^4,""))),"")</f>
        <v>28.606770833333332</v>
      </c>
      <c r="S58" s="187">
        <f>IF(Reinforcements[[#This Row],[Reinforcement]]="","",SQRT(Reinforcements[[#This Row],[Iy]]/Reinforcements[[#This Row],[Gross Area (in2)]]))</f>
        <v>1.8763883748662837</v>
      </c>
      <c r="T58" s="190">
        <v>19.25</v>
      </c>
      <c r="U58" s="188">
        <v>0.8</v>
      </c>
      <c r="V58" s="188">
        <v>1</v>
      </c>
      <c r="W58" s="185">
        <v>1.25</v>
      </c>
      <c r="X58" s="188">
        <f>IF(Reinforcements[[#This Row],[Bolt Hole Size (in)]]="","",IF(Reinforcements[[#This Row],[Bolt Hole Size (in)]]="n/a","n/a",Reinforcements[[#This Row],[Bolt Hole Size (in)]]*25.4))</f>
        <v>31.75</v>
      </c>
      <c r="Y58"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6.484375</v>
      </c>
      <c r="Z58" s="185">
        <f>IFERROR(IF(Reinforcements[[#This Row],[Reinforcement]]="","",IF(OR(Reinforcements[[#This Row],[Type]]="plate",Reinforcements[[#This Row],[Type]]="solid round"),1,IF(Reinforcements[[#This Row],[Type]]="arbitrary","",1-Reinforcements[[#This Row],[Pole Face to Centroid (in)]]/Reinforcements[[#This Row],[Connection Length (in) '[Channels']]]))),"")</f>
        <v>1</v>
      </c>
      <c r="AA58" s="189" t="s">
        <v>391</v>
      </c>
      <c r="AB58" s="189" t="str">
        <f>IF(Reinforcements[[#This Row],[Reinforcement]]="","",IF(Reinforcements[[#This Row],[Bottom End Connection Type]]&lt;&gt;"Capacity Input","-",""))</f>
        <v>-</v>
      </c>
      <c r="AC58" s="189" t="str">
        <f>IF(Reinforcements[[#This Row],[Reinforcement]]="","",IF(Reinforcements[[#This Row],[Bottom End Connection Type]]&lt;&gt;"Capacity Input","-",""))</f>
        <v>-</v>
      </c>
      <c r="AD58" s="461" t="str">
        <f>IF(Reinforcements[[#This Row],[Reinforcement]]="","",IF(Reinforcements[[#This Row],[Bottom End Connection Type]]&lt;&gt;"Capacity Input","-",""))</f>
        <v>-</v>
      </c>
      <c r="AE58" s="103" t="s">
        <v>416</v>
      </c>
      <c r="AF58" s="190" t="s">
        <v>296</v>
      </c>
      <c r="AG58" s="190">
        <v>11</v>
      </c>
      <c r="AH58" s="190">
        <v>3</v>
      </c>
      <c r="AI58" s="190">
        <v>3</v>
      </c>
      <c r="AJ58" s="190">
        <f>Reinforcements[[#This Row],[End Connection Edge Distance (in) (B)]]-(Reinforcements[[#This Row],[Bolt Hole Size (in)]]+1/16)/2</f>
        <v>2.34375</v>
      </c>
      <c r="AK58" s="190">
        <f>Reinforcements[[#This Row],[End Connection Bolt Spacing (in) (B)]]-(Reinforcements[[#This Row],[Bolt Hole Size (in)]]+1/16)</f>
        <v>1.6875</v>
      </c>
      <c r="AL58" s="190">
        <f>Reinforcements[[#This Row],[End Connection Edge Distance (in) (B)]]</f>
        <v>3</v>
      </c>
      <c r="AM58" s="190">
        <f>Reinforcements[[#This Row],[End Connection Bolt Spacing (in) (B)]]</f>
        <v>3</v>
      </c>
      <c r="AN58" s="190" t="str">
        <f>IF(Reinforcements[[#This Row],[Reinforcement]]="","",IF(OR(Reinforcements[[#This Row],[Bottom End Connection Type]]="Bolted",Reinforcements[[#This Row],[Bottom End Connection Type]]=""),"-",""))</f>
        <v>-</v>
      </c>
      <c r="AO58" s="191" t="str">
        <f>IF(Reinforcements[[#This Row],[Reinforcement]]="","",IF(OR(Reinforcements[[#This Row],[Bottom End Connection Type]]="Bolted",Reinforcements[[#This Row],[Bottom End Connection Type]]=""),"-",""))</f>
        <v>-</v>
      </c>
      <c r="AP58" s="191" t="str">
        <f>IF(Reinforcements[[#This Row],[Reinforcement]]="","",IF(OR(Reinforcements[[#This Row],[Bottom End Connection Type]]="Bolted",Reinforcements[[#This Row],[Bottom End Connection Type]]=""),"-",""))</f>
        <v>-</v>
      </c>
      <c r="AQ58" s="191" t="str">
        <f>IF(OR(Reinforcements[[#This Row],[Bottom End Connection Type]]="Bolted",Reinforcements[[#This Row],[Bottom Transverse (Horizontal) Weld]]="none"),"-","")</f>
        <v>-</v>
      </c>
      <c r="AR5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8" s="191" t="str">
        <f>IF(OR(Reinforcements[[#This Row],[Bottom Transverse (Horizontal) Weld]]="none",Reinforcements[[#This Row],[Bottom End Connection Type]]="Bolted"),"-","")</f>
        <v>-</v>
      </c>
      <c r="AU58"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8" s="191" t="str">
        <f>IF(Reinforcements[[#This Row],[Reinforcement]]="","",IF(OR(Reinforcements[[#This Row],[Bottom End Connection Type]]="Bolted",Reinforcements[[#This Row],[Bottom End Connection Type]]=""),"-",""))</f>
        <v>-</v>
      </c>
      <c r="AW58" s="191" t="str">
        <f>IF(Reinforcements[[#This Row],[Reinforcement]]="","",IF(OR(Reinforcements[[#This Row],[Bottom End Connection Type]]&lt;&gt;"Welded",Reinforcements[[#This Row],[Bottom Longitudinal (Vertical) Weld]]="None",Reinforcements[[#This Row],[Bottom Longitudinal (Vertical) Weld]]=""),"-",""))</f>
        <v>-</v>
      </c>
      <c r="AX58" s="191" t="str">
        <f>IF(Reinforcements[[#This Row],[Reinforcement]]="","",IF(OR(Reinforcements[[#This Row],[Bottom End Connection Type]]&lt;&gt;"Welded",Reinforcements[[#This Row],[Bottom Longitudinal (Vertical) Weld]]="None",Reinforcements[[#This Row],[Bottom Longitudinal (Vertical) Weld]]=""),"-",""))</f>
        <v>-</v>
      </c>
      <c r="AY58" s="190" t="str">
        <f>IF(Reinforcements[[#This Row],[Reinforcement]]="","",IF(OR(Reinforcements[[#This Row],[Bottom End Connection Type]]&lt;&gt;"Welded",Reinforcements[[#This Row],[Bottom Longitudinal (Vertical) Weld]]="None"),"-",SQRT(2)/2*Reinforcements[[#This Row],[Bottom Longitudinal Weld Fillet Size (in)]]))</f>
        <v>-</v>
      </c>
      <c r="AZ58" s="190" t="s">
        <v>295</v>
      </c>
      <c r="BA58" s="189" t="str">
        <f>IF(Reinforcements[[#This Row],[Top End Connection Same?]]="Yes",Reinforcements[[#This Row],[Bottom End Connection Type]],"")</f>
        <v>Bolted</v>
      </c>
      <c r="BB58" s="189" t="str">
        <f>IF(Reinforcements[[#This Row],[Reinforcement]]="","",IF(Reinforcements[[#This Row],[Top End Connection Same?]]="Yes",Reinforcements[[#This Row],[Rev. F Bottom Connection Capacity (kips)]],IF(Reinforcements[[#This Row],[Reinforcement]]="","",IF(Reinforcements[[#This Row],[Top End Connection Type]]&lt;&gt;"Capacity Input","-",""))))</f>
        <v>-</v>
      </c>
      <c r="BC58" s="189" t="str">
        <f>IF(Reinforcements[[#This Row],[Reinforcement]]="","",IF(Reinforcements[[#This Row],[Top End Connection Same?]]="Yes",Reinforcements[[#This Row],[Rev. G Bottom Connection Capacity (kips)]],IF(Reinforcements[[#This Row],[Reinforcement]]="","",IF(Reinforcements[[#This Row],[Top End Connection Type]]&lt;&gt;"Capacity Input","-",""))))</f>
        <v>-</v>
      </c>
      <c r="BD58" s="461" t="str">
        <f>IF(Reinforcements[[#This Row],[Reinforcement]]="","",IF(Reinforcements[[#This Row],[Top End Connection Same?]]="Yes",Reinforcements[[#This Row],[Rev. G Bottom Connection Capacity (kips)]],IF(Reinforcements[[#This Row],[Reinforcement]]="","",IF(Reinforcements[[#This Row],[Top End Connection Type]]&lt;&gt;"Capacity Input","-",""))))</f>
        <v>-</v>
      </c>
      <c r="BE58" s="103" t="str">
        <f>IF(Reinforcements[[#This Row],[Top End Connection Same?]]="Yes",Reinforcements[[#This Row],[Bottom End Connection Bolt Type]],IF(Reinforcements[[#This Row],[Top End Connection Type]]="Welded","-",""))</f>
        <v>PC 8.8 - M20 (100)</v>
      </c>
      <c r="BF58" s="190" t="str">
        <f>IF(Reinforcements[[#This Row],[Top End Connection Same?]]="Yes",Reinforcements[[#This Row],[Threads Included (N) or Excluded (X) (Bottom)]],IF(Reinforcements[[#This Row],[Top End Connection Type]]="Welded","-",""))</f>
        <v>N</v>
      </c>
      <c r="BG58" s="190">
        <f>IF(Reinforcements[[#This Row],[Top End Connection Same?]]="Yes",Reinforcements[[#This Row],['# of End Connection Bolts          (Bottom)]],IF(Reinforcements[[#This Row],[Top End Connection Type]]="Welded","-",""))</f>
        <v>11</v>
      </c>
      <c r="BH58" s="190">
        <f>IF(Reinforcements[[#This Row],[Top End Connection Same?]]="Yes",Reinforcements[[#This Row],[End Connection Bolt Spacing (in) (B)]],IF(Reinforcements[[#This Row],[Top End Connection Type]]="Welded","-",""))</f>
        <v>3</v>
      </c>
      <c r="BI58" s="190">
        <f>IF(Reinforcements[[#This Row],[Top End Connection Same?]]="Yes",Reinforcements[[#This Row],[End Connection Edge Distance (in) (B)]],IF(Reinforcements[[#This Row],[Top End Connection Type]]="Welded","-",""))</f>
        <v>3</v>
      </c>
      <c r="BJ58" s="190">
        <f>Reinforcements[[#This Row],[End Connection Edge Distance (in) (T)]]-(Reinforcements[[#This Row],[Bolt Hole Size (in)]]+1/16)/2</f>
        <v>2.34375</v>
      </c>
      <c r="BK58" s="190">
        <f>Reinforcements[[#This Row],[End Connection Bolt Spacing (in) (T)]]-(Reinforcements[[#This Row],[Bolt Hole Size (in)]]+1/16)</f>
        <v>1.6875</v>
      </c>
      <c r="BL58" s="190">
        <f>Reinforcements[[#This Row],[End Connection Edge Distance (in) (T)]]</f>
        <v>3</v>
      </c>
      <c r="BM58" s="190">
        <f>Reinforcements[[#This Row],[End Connection Bolt Spacing (in) (T)]]</f>
        <v>3</v>
      </c>
      <c r="BN58" s="190" t="str">
        <f>IF(Reinforcements[[#This Row],[Reinforcement]]="","",IF(Reinforcements[[#This Row],[Top End Connection Same?]]="Yes",Reinforcements[[#This Row],[Bottom Connected to Flange/Base Plate?]],IF(Reinforcements[[#This Row],[Top End Connection Type]]="Bolted","-","")))</f>
        <v>-</v>
      </c>
      <c r="BO58" s="190" t="str">
        <f>IF(Reinforcements[[#This Row],[Reinforcement]]="","",IF(Reinforcements[[#This Row],[Top End Connection Same?]]="Yes",Reinforcements[[#This Row],[Bottom Weld Grade (ksi)]],IF(OR(Reinforcements[[#This Row],[Top End Connection Type]]&lt;&gt;"Welded",Reinforcements[[#This Row],[Top End Connection Type]]=""),"-","")))</f>
        <v>-</v>
      </c>
      <c r="BP58" s="190" t="str">
        <f>IF($AZ58="Yes",AP58,IF(Reinforcements[[#This Row],[Reinforcement]]="","",IF(OR(Reinforcements[[#This Row],[Top End Connection Type]]&lt;&gt;"Welded",Reinforcements[[#This Row],[Top End Connection Type]]=""),"-","")))</f>
        <v>-</v>
      </c>
      <c r="BQ58" s="190" t="str">
        <f>IF(Reinforcements[[#This Row],[Reinforcement]]="","",IF($AZ58="Yes",AQ58,IF(OR(Reinforcements[[#This Row],[Top End Connection Type]]&lt;&gt;"Welded",Reinforcements[[#This Row],[Top Transverse (Horizontal) Weld]]="none",Reinforcements[[#This Row],[Top Transverse (Horizontal) Weld]]=""),"-","")))</f>
        <v>-</v>
      </c>
      <c r="BR58" s="190" t="str">
        <f>IF($AZ58="Yes",AR58,IF(Reinforcements[[#This Row],[Reinforcement]]="","",IF(OR(Reinforcements[[#This Row],[Top Transverse (Horizontal) Weld]]="none",Reinforcements[[#This Row],[Top End Connection Type]]&lt;&gt;"Welded",Reinforcements[[#This Row],[Top Transverse (Horizontal) Weld]]="",Reinforcements[[#This Row],[Top Transverse (Horizontal) Weld]]="Fillet"),"-","")))</f>
        <v>-</v>
      </c>
      <c r="BS58" s="190" t="str">
        <f>IF($AZ58="Yes",AS58,IF(Reinforcements[[#This Row],[Reinforcement]]="","",IF(OR(Reinforcements[[#This Row],[Top Transverse (Horizontal) Weld]]="none",Reinforcements[[#This Row],[Top End Connection Type]]&lt;&gt;"Welded",Reinforcements[[#This Row],[Top Transverse (Horizontal) Weld]]="",Reinforcements[[#This Row],[Top Transverse (Horizontal) Weld]]="Fillet"),"-","")))</f>
        <v>-</v>
      </c>
      <c r="BT58" s="190" t="str">
        <f>IF(Reinforcements[[#This Row],[Reinforcement]]="","",IF($AZ58="Yes",AT58,IF(OR(Reinforcements[[#This Row],[Top Transverse (Horizontal) Weld]]="none",Reinforcements[[#This Row],[Top End Connection Type]]&lt;&gt;"Welded",Reinforcements[[#This Row],[Top Transverse (Horizontal) Weld]]=""),"-","")))</f>
        <v>-</v>
      </c>
      <c r="BU58" s="190" t="str">
        <f>IF($AZ58="Yes",AU58,IF(Reinforcements[[#This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8" s="190" t="str">
        <f>IF($AZ58="Yes",AV58,IF(Reinforcements[[#This Row],[Reinforcement]]="","",IF(OR(Reinforcements[[#This Row],[Top End Connection Type]]&lt;&gt;"Welded",Reinforcements[[#This Row],[Top End Connection Type]]=""),"-","")))</f>
        <v>-</v>
      </c>
      <c r="BW58" s="190" t="str">
        <f>IF($AZ58="Yes",AW58,IF(Reinforcements[[#This Row],[Reinforcement]]="","",IF(OR(Reinforcements[[#This Row],[Top End Connection Type]]&lt;&gt;"Welded",Reinforcements[[#This Row],[Top End Connection Type]]="",Reinforcements[[#This Row],[Top Longitudinal (Vertical) Weld]]="",Reinforcements[[#This Row],[Top Longitudinal (Vertical) Weld]]="None"),"-","")))</f>
        <v>-</v>
      </c>
      <c r="BX58" s="190" t="str">
        <f>IF($AZ58="Yes",AX58,IF(Reinforcements[[#This Row],[Reinforcement]]="","",IF(OR(Reinforcements[[#This Row],[Top End Connection Type]]&lt;&gt;"Welded",Reinforcements[[#This Row],[Top End Connection Type]]="",Reinforcements[[#This Row],[Top Longitudinal (Vertical) Weld]]="",Reinforcements[[#This Row],[Top Longitudinal (Vertical) Weld]]="None"),"-","")))</f>
        <v>-</v>
      </c>
      <c r="BY58" s="190" t="str">
        <f>IF($AZ58="Yes",AY58,IF(Reinforcements[[#This Row],[Reinforcement]]="","",IF(OR(Reinforcements[[#This Row],[Top End Connection Type]]&lt;&gt;"Welded",Reinforcements[[#This Row],[Top Longitudinal (Vertical) Weld]]="none"),"-",SQRT(2)/2*Reinforcements[[#This Row],[Top Longitudinal Weld Fillet Size (in)]])))</f>
        <v>-</v>
      </c>
      <c r="BZ58"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8" s="192">
        <f>IF(Reinforcements[[#This Row],[Reinforcement]]="","",IF(Reinforcements[[#This Row],[Bottom End Connection Type]]&lt;&gt;"Bolted","n/a",(Reinforcements[[#This Row],['# of End Connection Bolts          (Bottom)]]-1)*Reinforcements[[#This Row],[End Connection Bolt Spacing (in) (B)]]+Reinforcements[[#This Row],[End Connection Edge Distance (in) (B)]]))</f>
        <v>33</v>
      </c>
      <c r="CB58" s="192">
        <f>IF(Reinforcements[[#This Row],[Reinforcement]]="","",IF(Reinforcements[[#This Row],[Top End Connection Type]]&lt;&gt;"Bolted","n/a",(Reinforcements[[#This Row],['# of End Connection Bolts          (Top)]]-1)*Reinforcements[[#This Row],[End Connection Bolt Spacing (in) (T)]]+Reinforcements[[#This Row],[End Connection Edge Distance (in) (T)]]))</f>
        <v>33</v>
      </c>
      <c r="CC58"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58"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58" s="185">
        <f>IFERROR(IF(Reinforcements[[#This Row],[Type]]="","",Reinforcements[[#This Row],[Effective B (in)]]*Reinforcements[[#This Row],[Effective H (in)]]^3/12),"")</f>
        <v>1.0579427083333333</v>
      </c>
      <c r="CF58" s="185">
        <f>IFERROR(IF(Reinforcements[[#This Row],[Type]]="","",Reinforcements[[#This Row],[Effective B (in)]]^3*Reinforcements[[#This Row],[Effective H (in)]]/12),"")</f>
        <v>28.606770833333332</v>
      </c>
      <c r="CG58" s="197">
        <f>SQRT(2*PI()^2*29000/VLOOKUP(Reinforcements[[#This Row],[Material]],Materials[],2,FALSE))</f>
        <v>93.844147005158973</v>
      </c>
      <c r="CH58"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31.925516243918089</v>
      </c>
      <c r="CI58"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37.839913787929227</v>
      </c>
      <c r="CJ58" s="239">
        <f>Reinforcements[[#This Row],[Effective Length Factor Kx]]*Reinforcements[[#This Row],[Lu (in)]]/(Reinforcements[[#This Row],[rx]]*PI())*SQRT(VLOOKUP(Reinforcements[[#This Row],[Material]],Materials[],2,FALSE)/29000)</f>
        <v>0.64314535523307104</v>
      </c>
      <c r="CK58" s="239">
        <f>Reinforcements[[#This Row],[Effective Length Factor Ky]]*Reinforcements[[#This Row],[Lu (in)]]/(Reinforcements[[#This Row],[ry]]*PI())*SQRT(VLOOKUP(Reinforcements[[#This Row],[Material]],Materials[],2,FALSE)/29000)</f>
        <v>0.15460224885410362</v>
      </c>
      <c r="CL58" s="239">
        <f>IF(Reinforcements[[#This Row],[λcx]]&lt;=1.5,0.658^(Reinforcements[[#This Row],[λcx]]^2)*Reinforcements[[#This Row],[F''y]],0.877/(Reinforcements[[#This Row],[λcx]]^2)*Reinforcements[[#This Row],[F''y]])</f>
        <v>54.666976131083018</v>
      </c>
      <c r="CM58" s="239">
        <f>IF(Reinforcements[[#This Row],[λcy]]&lt;=1.5,0.658^(Reinforcements[[#This Row],[λcy]]^2)*Reinforcements[[#This Row],[F''y]],0.877/(Reinforcements[[#This Row],[λcy]]^2)*Reinforcements[[#This Row],[F''y]])</f>
        <v>64.352973423945272</v>
      </c>
      <c r="CN58" s="236">
        <f>VLOOKUP(Reinforcements[[#This Row],[Material]],Materials[],2,FALSE)</f>
        <v>65</v>
      </c>
      <c r="CO58" s="235">
        <f>IF(Reinforcements[[#This Row],[Reinforcement]]="","",Reinforcements[[#This Row],[Fax]]*Reinforcements[[#This Row],[Gross Area (in2)]])</f>
        <v>259.39481948183447</v>
      </c>
      <c r="CP58" s="197">
        <f>IF(Reinforcements[[#This Row],[Reinforcement]]="","",Reinforcements[[#This Row],[Fay]]*Reinforcements[[#This Row],[Gross Area (in2)]])</f>
        <v>307.44929952692496</v>
      </c>
      <c r="CQ58" s="197">
        <f>IF(Reinforcements[[#This Row],[Reinforcement]]="","",0.6*VLOOKUP(Reinforcements[[#This Row],[Material]],Materials[],2,FALSE)*Reinforcements[[#This Row],[Gross Area (in2)]])</f>
        <v>316.875</v>
      </c>
      <c r="CR58" s="197">
        <f>IF(Reinforcements[[#This Row],[Reinforcement]]="","",0.5*VLOOKUP(Reinforcements[[#This Row],[Material]],Materials[],3,FALSE)*Reinforcements[[#This Row],[Net Area (in2)]]*Reinforcements[[#This Row],[Shear Lag (U)]])</f>
        <v>259.375</v>
      </c>
      <c r="CS58" s="197">
        <f>IF(Reinforcements[[#This Row],[Reinforcement]]="","",0.4*VLOOKUP(Reinforcements[[#This Row],[Material]],Materials[],2,FALSE)*Reinforcements[[#This Row],[Gross Area (in2)]])</f>
        <v>211.25</v>
      </c>
      <c r="CT58"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256.14194846712962</v>
      </c>
      <c r="CU58"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256.14194846712962</v>
      </c>
      <c r="CV58"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15.070866141732283</v>
      </c>
      <c r="CW58"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16.712598425196852</v>
      </c>
      <c r="CX58"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15.070866141732283</v>
      </c>
      <c r="CY58"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16.712598425196852</v>
      </c>
      <c r="CZ58"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1507.0866141732283</v>
      </c>
      <c r="DA58"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1671.259842519685</v>
      </c>
      <c r="DB58"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1507.0866141732283</v>
      </c>
      <c r="DC58"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1671.259842519685</v>
      </c>
      <c r="DD58"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8"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8" s="190" t="str">
        <f>IF($AZ58="Yes",DD58,IF(Reinforcements[[#This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8" s="190" t="str">
        <f>IF($AZ58="Yes",DE58,IF(Reinforcements[[#This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8" s="235">
        <f>IF(Reinforcements[[#This Row],[Reinforcement]]="","",φ_c*Reinforcements[[#This Row],[Fcr,x]]*Reinforcements[[#This Row],[Gross Area (in2)]])</f>
        <v>399.75226295854458</v>
      </c>
      <c r="DI58" s="235">
        <f>IF(Reinforcements[[#This Row],[Reinforcement]]="","",φ_c*Reinforcements[[#This Row],[Fcr,y]]*Reinforcements[[#This Row],[Gross Area (in2)]])</f>
        <v>470.58111816259981</v>
      </c>
      <c r="DJ58" s="197">
        <f>IF(Reinforcements[[#This Row],[Reinforcement]]="","",φ_t_y*VLOOKUP(Reinforcements[[#This Row],[Material]],Materials[],2,FALSE)*Reinforcements[[#This Row],[Gross Area (in2)]])</f>
        <v>475.3125</v>
      </c>
      <c r="DK58" s="197">
        <f>IF(Reinforcements[[#This Row],[Reinforcement]]="","",φ_t_r*VLOOKUP(Reinforcements[[#This Row],[Material]],Materials[],3,FALSE)*Reinforcements[[#This Row],[Net Area (in2)]]*Reinforcements[[#This Row],[Shear Lag (U)]])</f>
        <v>389.0625</v>
      </c>
      <c r="DL58" s="197">
        <f>IF(Reinforcements[[#This Row],[Reinforcement]]="","",φ_v*0.5*Reinforcements[[#This Row],[F''y]]*Reinforcements[[#This Row],[Gross Area (in2)]])</f>
        <v>237.65625</v>
      </c>
      <c r="DM58"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453.96930816601832</v>
      </c>
      <c r="DN58"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453.96930816601832</v>
      </c>
      <c r="DO58"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21.132283464566925</v>
      </c>
      <c r="DP58"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26.415354330708666</v>
      </c>
      <c r="DQ58"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21.132283464566925</v>
      </c>
      <c r="DR58"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26.415354330708666</v>
      </c>
      <c r="DS58"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2113.2283464566926</v>
      </c>
      <c r="DT58"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2641.535433070866</v>
      </c>
      <c r="DU58"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2113.2283464566926</v>
      </c>
      <c r="DV58"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2641.535433070866</v>
      </c>
      <c r="DW58"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8"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8" s="190" t="str">
        <f>IF($AZ58="Yes",DW58,IF(Reinforcements[[#This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8" s="190" t="str">
        <f>IF($AZ58="Yes",DX58,IF(Reinforcements[[#This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8" s="238" t="str">
        <f>IF(OR(Reinforcements[[#This Row],[Type]]="plate",Reinforcements[[#This Row],[Type]]="solid round"),"N/A",Reinforcements[[#This Row],[B (in)]])</f>
        <v>N/A</v>
      </c>
      <c r="EB58" s="236" t="str">
        <f>IF(OR(Reinforcements[[#This Row],[Type]]="plate",Reinforcements[[#This Row],[Type]]="solid round"),"N/A",Reinforcements[[#This Row],[H (in)]])</f>
        <v>N/A</v>
      </c>
      <c r="EC58" s="236" t="str">
        <f>IF(OR(Reinforcements[[#This Row],[Type]]="plate",Reinforcements[[#This Row],[Type]]="solid round"),"N/A",Reinforcements[[#This Row],[B (in)]]-Reinforcements[[#This Row],['[Channel'] Flange Thickness (in)]])</f>
        <v>N/A</v>
      </c>
      <c r="ED58" s="236" t="str">
        <f>IF(OR(Reinforcements[[#This Row],[Type]]="plate",Reinforcements[[#This Row],[Type]]="solid round"),"N/A",Reinforcements[[#This Row],['[Channel']Web Thickness (in)]])</f>
        <v>N/A</v>
      </c>
      <c r="EE58" s="236" t="str">
        <f>IF(OR(Reinforcements[[#This Row],[Type]]="plate",Reinforcements[[#This Row],[Type]]="solid round"),"N/A",Reinforcements[[#This Row],['[Channel'] Flange Thickness (in)]])</f>
        <v>N/A</v>
      </c>
      <c r="EF58" s="236" t="str">
        <f>IF(Reinforcements[[#This Row],[Type]]="channel",Reinforcements[[#This Row],[Channel Flange Width, b]]/Reinforcements[[#This Row],[Channel flange thickness, tf]],"N/A")</f>
        <v>N/A</v>
      </c>
      <c r="EG58" s="236" t="str">
        <f>IF(Reinforcements[[#This Row],[Type]]="channel",Reinforcements[[#This Row],[Channel inside depth, T]]/Reinforcements[[#This Row],[Channel web thickness, tw]],"N/A")</f>
        <v>N/A</v>
      </c>
      <c r="EH58" s="237">
        <v>29000</v>
      </c>
      <c r="EI58" s="237" t="str">
        <f>IF(Reinforcements[[#This Row],[Type]]="channel",0.56*SQRT(Reinforcements[[#This Row],[E, (ksi)]]/Reinforcements[[#This Row],[Fy, (ksi)]]),"N/A")</f>
        <v>N/A</v>
      </c>
      <c r="EJ58" s="237" t="str">
        <f>IF(Reinforcements[[#This Row],[Type]]="channel",1.49*SQRT(Reinforcements[[#This Row],[E, (ksi)]]/Reinforcements[[#This Row],[Fy, (ksi)]]),"N/A")</f>
        <v>N/A</v>
      </c>
      <c r="EK58" s="237">
        <f>VLOOKUP(Reinforcements[[#This Row],[Material]],Materials!$B$2:$C$30,2,FALSE)</f>
        <v>65</v>
      </c>
      <c r="EL58" s="237">
        <f>Reinforcements[[#This Row],[Lu (in)]]*Reinforcements[[#This Row],[Effective Length Factor Kx]]</f>
        <v>15.4</v>
      </c>
      <c r="EM58" s="237">
        <f>Reinforcements[[#This Row],[Lu (in)]]*Reinforcements[[#This Row],[Effective Length Factor Ky]]</f>
        <v>19.25</v>
      </c>
      <c r="EN58" s="237">
        <f>Reinforcements[[#This Row],[rx]]</f>
        <v>0.36084391824351608</v>
      </c>
      <c r="EO58" s="237">
        <f>Reinforcements[[#This Row],[ry]]</f>
        <v>1.8763883748662837</v>
      </c>
      <c r="EP58" s="237">
        <f>Reinforcements[[#This Row],[Lcx (in)]]/Reinforcements[[#This Row],[rx (in)]]</f>
        <v>42.677731898497143</v>
      </c>
      <c r="EQ58" s="237">
        <f>Reinforcements[[#This Row],[Lcy (in)]]/Reinforcements[[#This Row],[ry (in)]]</f>
        <v>10.259070167907966</v>
      </c>
      <c r="ER58" s="237">
        <f>((PI()^2)*Reinforcements[[#This Row],[E, (ksi)]])/(Reinforcements[[#This Row],[Lcx/rx]]^2)</f>
        <v>157.1430150616888</v>
      </c>
      <c r="ES58" s="237">
        <f>((PI()^2)*Reinforcements[[#This Row],[E, (ksi)]])/(Reinforcements[[#This Row],[Lcy/ry]]^2)</f>
        <v>2719.454161451562</v>
      </c>
      <c r="ET58" s="237">
        <f>4.71*(SQRT(Reinforcements[[#This Row],[E, (ksi)]]/Reinforcements[[#This Row],[Fy, (ksi)]]))</f>
        <v>99.486288193205496</v>
      </c>
      <c r="EU58" s="237">
        <f>IF(Reinforcements[[#This Row],[Lcx/rx]]&lt;=Reinforcements[[#This Row],[Fcr Limit]],(0.658^(Reinforcements[[#This Row],[Fy, (ksi)]]/Reinforcements[[#This Row],[Fex, FB (ksi)]]))*Reinforcements[[#This Row],[Fy, (ksi)]],0.877*Reinforcements[[#This Row],[Fex, FB (ksi)]])</f>
        <v>54.666976131083011</v>
      </c>
      <c r="EV58" s="237">
        <f>IF(Reinforcements[[#This Row],[Lcy/ry]]&lt;=Reinforcements[[#This Row],[Fcr Limit]],(0.658^(Reinforcements[[#This Row],[Fy, (ksi)]]/Reinforcements[[#This Row],[Fey, FB (ksi)]]))*Reinforcements[[#This Row],[Fy, (ksi)]],0.877*Reinforcements[[#This Row],[Fey, FB (ksi)]])</f>
        <v>64.352973423945272</v>
      </c>
      <c r="EW58" s="237">
        <f>Reinforcements[[#This Row],[Fcrx (ksi)]]*Reinforcements[[#This Row],[Gross Area (in2)]]</f>
        <v>444.16918106504949</v>
      </c>
      <c r="EX58" s="237">
        <f>Reinforcements[[#This Row],[Fcry (ksi)]]*Reinforcements[[#This Row],[Gross Area (in2)]]</f>
        <v>522.86790906955537</v>
      </c>
      <c r="EY58" s="237" t="str">
        <f>IF(Reinforcements[[#This Row],[Type]]="channel",0,"N/A")</f>
        <v>N/A</v>
      </c>
      <c r="EZ58" s="237" t="str">
        <f>IF(Reinforcements[[#This Row],[Type]]="channel",Reinforcements[[#This Row],[Channel Flange Width, b]]-(0.5*Reinforcements[[#This Row],[Channel web thickness, tw]]),"N/A")</f>
        <v>N/A</v>
      </c>
      <c r="FA58" s="237" t="str">
        <f>IF(Reinforcements[[#This Row],[Type]]="channel",Reinforcements[[#This Row],[Channel Height, h]]-Reinforcements[[#This Row],[Channel flange thickness, tf]],"N/A")</f>
        <v>N/A</v>
      </c>
      <c r="FB58" s="237" t="str">
        <f>IF(Reinforcements[[#This Row],[Type]]="channel",Reinforcements[[#This Row],[Channel web thickness, tw]],"N/A")</f>
        <v>N/A</v>
      </c>
      <c r="FC58" s="237" t="str">
        <f>IF(Reinforcements[[#This Row],[Type]]="channel",((3*Reinforcements[[#This Row],[b]]^2)/(Reinforcements[[#This Row],[h]]+(6*Reinforcements[[#This Row],[b]])))-Reinforcements[[#This Row],[t]]/2,"N/A")</f>
        <v>N/A</v>
      </c>
      <c r="FD58" s="237">
        <f>Reinforcements[[#This Row],[Pole Face to Centroid (in)]]</f>
        <v>0.625</v>
      </c>
      <c r="FE58" s="236" t="str">
        <f>IF(Reinforcements[[#This Row],[Type]]="channel",Reinforcements[[#This Row],[x(bar)]]+Reinforcements[[#This Row],['[Channel'] e0 (in)]],"N/A")</f>
        <v>N/A</v>
      </c>
      <c r="FF58" s="236" t="str">
        <f>IF(Reinforcements[[#This Row],[Type]]="channel",Reinforcements[[#This Row],[Ix]],"N/A")</f>
        <v>N/A</v>
      </c>
      <c r="FG58" s="236" t="str">
        <f>IF(Reinforcements[[#This Row],[Type]]="channel",Reinforcements[[#This Row],[Iy]],"N/A")</f>
        <v>N/A</v>
      </c>
      <c r="FH58" s="236" t="str">
        <f>IF(Reinforcements[[#This Row],[Type]]="channel",Reinforcements[[#This Row],[Gross Area (in2)]],"N/A")</f>
        <v>N/A</v>
      </c>
      <c r="FI58" s="236" t="str">
        <f>IF(Reinforcements[[#This Row],[Type]]="channel",(Reinforcements[[#This Row],[xo]]^2)+((Reinforcements[[#This Row],[Ix (FTB)]]+Reinforcements[[#This Row],[Iy (FTB)]])/Reinforcements[[#This Row],[Ag]]),"N/A")</f>
        <v>N/A</v>
      </c>
      <c r="FJ58" s="236" t="str">
        <f>IF(Reinforcements[[#This Row],[Type]]="channel",Reinforcements[[#This Row],[Lu (in)]],"N/A")</f>
        <v>N/A</v>
      </c>
      <c r="FK58" s="236" t="str">
        <f>IF(Reinforcements[[#This Row],[Type]]="channel",Reinforcements[[#This Row],[Effective Length Factor Kx]],"N/A")</f>
        <v>N/A</v>
      </c>
      <c r="FL58" s="236" t="str">
        <f>IF(Reinforcements[[#This Row],[Type]]="channel",Reinforcements[[#This Row],[Kz]]*Reinforcements[[#This Row],[Lz]],"N/A")</f>
        <v>N/A</v>
      </c>
      <c r="FM58" s="236" t="str">
        <f>IF(Reinforcements[[#This Row],[Type]]="channel",(((Reinforcements[[#This Row],[t]]^3)/3)*(Reinforcements[[#This Row],[h]]+(2*Reinforcements[[#This Row],[b]]))),"N/A")</f>
        <v>N/A</v>
      </c>
      <c r="FN58" s="236" t="str">
        <f>IF(Reinforcements[[#This Row],[Type]]="channel",(1-(((Reinforcements[[#This Row],[xo]]^2)+(Reinforcements[[#This Row],[yo]]^2))/Reinforcements[[#This Row],[ro^2(bar)]])),"N/A")</f>
        <v>N/A</v>
      </c>
      <c r="FO58" s="237">
        <v>11200</v>
      </c>
      <c r="FP58" s="236" t="str">
        <f>IF(Reinforcements[[#This Row],[Type]]="channel",(((Reinforcements[[#This Row],[h]]^2)*(Reinforcements[[#This Row],[b]]^3)*Reinforcements[[#This Row],[t]])/12)*(((2*Reinforcements[[#This Row],[h]])+(3*Reinforcements[[#This Row],[b]]))/(Reinforcements[[#This Row],[h]]+(6*Reinforcements[[#This Row],[b]]))),"N/A")</f>
        <v>N/A</v>
      </c>
      <c r="FQ58" s="236" t="str">
        <f>IF(Reinforcements[[#This Row],[Type]]="Channel",((((PI()^2)*Reinforcements[[#This Row],[E, (ksi)]]*Reinforcements[[#This Row],['[Channel'] CW (in6)]])/(Reinforcements[[#This Row],[Lcz]]^2))+(Reinforcements[[#This Row],[G]]*Reinforcements[[#This Row],['[Channel'] J (in4)]]))*(1/(Reinforcements[[#This Row],[Ag]]*Reinforcements[[#This Row],[ro^2(bar)]])),"N/A")</f>
        <v>N/A</v>
      </c>
      <c r="FR58" s="236" t="str">
        <f>IF(Reinforcements[[#This Row],[Type]]="channel",((PI()^2)*Reinforcements[[#This Row],[E, (ksi)]])/(Reinforcements[[#This Row],[Lcy/ry]]^2),"N/A")</f>
        <v>N/A</v>
      </c>
      <c r="FS58" s="236" t="str">
        <f>IF(Reinforcements[[#This Row],[Type]]="channel",((Reinforcements[[#This Row],[Fey]]+Reinforcements[[#This Row],[Fez]])/(2*Reinforcements[[#This Row],[H2]]))*(1-SQRT(1-((4*Reinforcements[[#This Row],[Fey]]*Reinforcements[[#This Row],[Fez]]*Reinforcements[[#This Row],[H2]])/(Reinforcements[[#This Row],[Fey]]+Reinforcements[[#This Row],[Fez]])^2))),"N/A")</f>
        <v>N/A</v>
      </c>
      <c r="FT58" s="236" t="str">
        <f>IF(Reinforcements[[#This Row],[Type]]="channel",IF(Reinforcements[[#This Row],[Lcx/rx]]&gt;(4.71*SQRT(Reinforcements[[#This Row],[E, (ksi)]]/Reinforcements[[#This Row],[Fy, (ksi)]])),0.877*Reinforcements[[#This Row],[Fe (FTB)]],0.658^(Reinforcements[[#This Row],[Fy, (ksi)]]/Reinforcements[[#This Row],[Fe (FTB)]])*Reinforcements[[#This Row],[Fy, (ksi)]]),"N/A")</f>
        <v>N/A</v>
      </c>
      <c r="FU58" s="236" t="str">
        <f>IF(Reinforcements[[#This Row],[Type]]="channel",MIN(Reinforcements[[#This Row],[Fcr(FTB)]],Reinforcements[[#This Row],[Fcry (ksi)]]),"N/A")</f>
        <v>N/A</v>
      </c>
      <c r="FV58" s="237">
        <v>0.22</v>
      </c>
      <c r="FW58" s="237">
        <v>1.49</v>
      </c>
      <c r="FX58" s="236" t="str">
        <f>IF(Reinforcements[[#This Row],[Type]]="channel",((Reinforcements[[#This Row],[c2]]*(Reinforcements[[#This Row],[λrf]]/Reinforcements[[#This Row],[λf]]))^2)*Reinforcements[[#This Row],[Fy, (ksi)]],"N/A")</f>
        <v>N/A</v>
      </c>
      <c r="FY58" s="236" t="str">
        <f>IF(Reinforcements[[#This Row],[Type]]="channel",((Reinforcements[[#This Row],[c2]]*(Reinforcements[[#This Row],[λrw]]/Reinforcements[[#This Row],[λw]]))^2)*Reinforcements[[#This Row],[Fy, (ksi)]],"N/A")</f>
        <v>N/A</v>
      </c>
      <c r="FZ58"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8"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8"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8" s="236" t="str">
        <f>IF(Reinforcements[[#This Row],[Type]]="channel",Reinforcements[[#This Row],[Fcr]]*Reinforcements[[#This Row],[Ae]],"N/A")</f>
        <v>N/A</v>
      </c>
      <c r="GD58" s="466">
        <f>IF(Reinforcements[[#This Row],[Reinforcement]]="","",φ_c*Reinforcements[[#This Row],[Pnx, FB (kip)]])</f>
        <v>399.75226295854452</v>
      </c>
      <c r="GE58" s="466">
        <f>IF(Reinforcements[[#This Row],[Reinforcement]]="","",IF(Reinforcements[[#This Row],[Type]]="channel",φ_c*Reinforcements[[#This Row],[Pn]],φ_c*Reinforcements[[#This Row],[Pny, FB (kip)]]))</f>
        <v>470.58111816259986</v>
      </c>
      <c r="GF58" s="466">
        <f>Reinforcements[[#This Row],[Rev. G Tension Yield Capacity (kips)]]</f>
        <v>475.3125</v>
      </c>
      <c r="GG58" s="466">
        <f>Reinforcements[[#This Row],[Rev. G Tension Rupture Capacity (kips)]]</f>
        <v>389.0625</v>
      </c>
      <c r="GH58" s="466">
        <f>Reinforcements[[#This Row],[Rev. G Shear Capacity (kips)]]</f>
        <v>237.65625</v>
      </c>
      <c r="GI58" s="466">
        <f>IFERROR((Reinforcements[[#This Row],['# of End Connection Bolts          (Bottom)]]-1)*Reinforcements[[#This Row],[End Connection Bolt Spacing (in) (B)]],"-")</f>
        <v>30</v>
      </c>
      <c r="GJ58" s="466">
        <f>IFERROR(IF(VLOOKUP(Reinforcements[[#This Row],[Bottom End Connection Bolt Type]],Bolts[],COLUMN(Bolts[[#Headers],[Rev. H Apply Connection Length Reduction Factor (Rb)?]])-1,FALSE)="Yes",(IF(Reinforcements[[#This Row],[Lb(bottom)]]&lt;=16,1,IF(Reinforcements[[#This Row],[Lb(bottom)]]&gt;38,0.75,0.9))),1),"-")</f>
        <v>1</v>
      </c>
      <c r="GK58"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510.39605067899726</v>
      </c>
      <c r="GL58" s="466">
        <f>IFERROR(IF(Reinforcements[[#This Row],[Top End Connection Same?]]="Yes",Reinforcements[[#This Row],[Lb(bottom)]],(Reinforcements[[#This Row],['# of End Connection Bolts          (Top)]]-1)*Reinforcements[[#This Row],[End Connection Bolt Spacing (in) (T)]]),"-")</f>
        <v>30</v>
      </c>
      <c r="GM58" s="466">
        <f>IFERROR(IF(VLOOKUP(Reinforcements[[#This Row],[Top End Connection Bolt Type]],Bolts[],COLUMN(Bolts[[#Headers],[Rev. H Apply Connection Length Reduction Factor (Rb)?]])-1,FALSE)="Yes",(IF(Reinforcements[[#This Row],[Lb(top)]]&lt;=16,1,IF(Reinforcements[[#This Row],[Lb(top)]]&gt;38,0.75,0.9))),1),"-")</f>
        <v>1</v>
      </c>
      <c r="GN58"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510.39605067899726</v>
      </c>
      <c r="GO58" s="466">
        <f>Reinforcements[[#This Row],[Rev. G Bolt-Shaft Bearing Capacity (Bottom)                No Deformation          (*t*Fu kips)]]</f>
        <v>21.132283464566925</v>
      </c>
      <c r="GP58" s="466">
        <f>Reinforcements[[#This Row],[Rev. G Bolt-Shaft Bearing Capacity (Bottom)                   Deformation          (*t*Fu kips)]]</f>
        <v>26.415354330708666</v>
      </c>
      <c r="GQ58" s="466">
        <f>Reinforcements[[#This Row],[Rev. G Bolt-Shaft Bearing Capacity (Top)                    No Deformation          (*t*Fu kips)]]</f>
        <v>21.132283464566925</v>
      </c>
      <c r="GR58" s="466">
        <f>Reinforcements[[#This Row],[Rev. G Bolt-Shaft Bearing Capacity (Top)                        Deformation          (*t*Fu kips)]]</f>
        <v>26.415354330708666</v>
      </c>
      <c r="GS58" s="466">
        <f>Reinforcements[[#This Row],[Rev. G Bolt-Reinf. Bearing Capacity (Bottom)            No Deformation (kips)]]</f>
        <v>2113.2283464566926</v>
      </c>
      <c r="GT58" s="466">
        <f>Reinforcements[[#This Row],[Rev. G Bolt-Reinf. Bearing Capacity (Bottom)               Deformation (kips)]]</f>
        <v>2641.535433070866</v>
      </c>
      <c r="GU58" s="466">
        <f>Reinforcements[[#This Row],[Rev. G Bolt-Reinf. Bearing Capacity (Top)                  No Deformation (kips)]]</f>
        <v>2113.2283464566926</v>
      </c>
      <c r="GV58" s="466">
        <f>Reinforcements[[#This Row],[Rev. G Bolt-Reinf. Bearing Capacity (Top)               Deformation (kips)]]</f>
        <v>2641.535433070866</v>
      </c>
      <c r="GW58" s="466" t="str">
        <f>Reinforcements[[#This Row],[Rev. G Bottom Transverse Weld Strength]]</f>
        <v>-</v>
      </c>
      <c r="GX58" s="466" t="str">
        <f>Reinforcements[[#This Row],[Rev. G Bottom Longitudinal Weld Strength]]</f>
        <v>-</v>
      </c>
      <c r="GY58" s="466" t="str">
        <f>Reinforcements[[#This Row],[Rev. G Top Transverse Weld Strength]]</f>
        <v>-</v>
      </c>
      <c r="GZ58" s="466" t="str">
        <f>Reinforcements[[#This Row],[Rev. G Top Longitudinal Weld Strength]]</f>
        <v>-</v>
      </c>
      <c r="HA58" s="552">
        <v>56</v>
      </c>
      <c r="HB58"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9" spans="2:210" x14ac:dyDescent="0.2">
      <c r="B59" s="72" t="s">
        <v>249</v>
      </c>
      <c r="C59" s="72" t="s">
        <v>146</v>
      </c>
      <c r="D59" s="185">
        <v>8.5</v>
      </c>
      <c r="E59" s="185">
        <v>1.25</v>
      </c>
      <c r="F59" s="185" t="str">
        <f>IF(Reinforcements[[#This Row],[Type]]="","",IF(Reinforcements[[#This Row],[Type]]="solid round","","n/a"))</f>
        <v>n/a</v>
      </c>
      <c r="G59" s="185" t="str">
        <f>IF(Reinforcements[[#This Row],[Type]]="","",IF(Reinforcements[[#This Row],[Type]]&lt;&gt;"channel","n/a",""))</f>
        <v>n/a</v>
      </c>
      <c r="H59" s="185" t="str">
        <f>IF(Reinforcements[[#This Row],[Type]]="","",IF(Reinforcements[[#This Row],[Type]]&lt;&gt;"channel","n/a",""))</f>
        <v>n/a</v>
      </c>
      <c r="I59" s="197" t="str">
        <f>IF(Reinforcements[[#This Row],[Type]]="","",IF(Reinforcements[[#This Row],[Type]]&lt;&gt;"channel","n/a",Reinforcements[[#This Row],[eo]]))</f>
        <v>n/a</v>
      </c>
      <c r="J59" s="197" t="str">
        <f>IF(Reinforcements[[#This Row],[Type]]="","",IF(Reinforcements[[#This Row],[Type]]&lt;&gt;"channel","n/a",Reinforcements[[#This Row],[J]]))</f>
        <v>n/a</v>
      </c>
      <c r="K59" s="197" t="str">
        <f>IF(Reinforcements[[#This Row],[Type]]="","",IF(Reinforcements[[#This Row],[Type]]&lt;&gt;"channel","n/a",Reinforcements[[#This Row],[Cw]]))</f>
        <v>n/a</v>
      </c>
      <c r="L59" s="185">
        <f>IFERROR(IF(Reinforcements[[#This Row],[Type]]="","",IF(Reinforcements[[#This Row],[Type]]="plate",Reinforcements[[#This Row],[B (in)]]*Reinforcements[[#This Row],[H (in)]],IF(Reinforcements[[#This Row],[Type]]="solid round",PI()/4*Reinforcements[[#This Row],[Diameter (in)]]^2,""))),"")</f>
        <v>10.625</v>
      </c>
      <c r="M59" s="185">
        <f>IFERROR(IF(Reinforcements[[#This Row],[Type]]="","",IF(Reinforcements[[#This Row],[Type]]="plate",Reinforcements[[#This Row],[H (in)]]/2,"")),"")</f>
        <v>0.625</v>
      </c>
      <c r="N59" s="186" t="s">
        <v>297</v>
      </c>
      <c r="O59" s="185" t="s">
        <v>60</v>
      </c>
      <c r="P59" s="187">
        <f>IFERROR(IF(Reinforcements[[#This Row],[Type]]="","",IF(Reinforcements[[#This Row],[Type]]="plate",Reinforcements[[#This Row],[B (in)]]*Reinforcements[[#This Row],[H (in)]]^3/12,IF(Reinforcements[[#This Row],[Type]]="solid round",PI()/64*Reinforcements[[#This Row],[Diameter (in)]]^4,""))),"")</f>
        <v>1.3834635416666667</v>
      </c>
      <c r="Q59" s="187">
        <f>IF(Reinforcements[[#This Row],[Reinforcement]]="","",SQRT(Reinforcements[[#This Row],[Ix]]/Reinforcements[[#This Row],[Gross Area (in2)]]))</f>
        <v>0.36084391824351614</v>
      </c>
      <c r="R59" s="187">
        <f>IFERROR(IF(Reinforcements[[#This Row],[Type]]="","",IF(Reinforcements[[#This Row],[Type]]="plate",Reinforcements[[#This Row],[B (in)]]^3*Reinforcements[[#This Row],[H (in)]]/12,IF(Reinforcements[[#This Row],[Type]]="solid round",PI()/64*Reinforcements[[#This Row],[Diameter (in)]]^4,""))),"")</f>
        <v>63.971354166666664</v>
      </c>
      <c r="S59" s="187">
        <f>IF(Reinforcements[[#This Row],[Reinforcement]]="","",SQRT(Reinforcements[[#This Row],[Iy]]/Reinforcements[[#This Row],[Gross Area (in2)]]))</f>
        <v>2.4537386440559095</v>
      </c>
      <c r="T59" s="190">
        <v>17.25</v>
      </c>
      <c r="U59" s="188">
        <v>0.8</v>
      </c>
      <c r="V59" s="188">
        <v>1</v>
      </c>
      <c r="W59" s="185">
        <v>1.1875</v>
      </c>
      <c r="X59" s="188">
        <f>IF(Reinforcements[[#This Row],[Bolt Hole Size (in)]]="","",IF(Reinforcements[[#This Row],[Bolt Hole Size (in)]]="n/a","n/a",Reinforcements[[#This Row],[Bolt Hole Size (in)]]*25.4))</f>
        <v>30.162499999999998</v>
      </c>
      <c r="Y59"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59" s="185">
        <f>IFERROR(IF(Reinforcements[[#This Row],[Reinforcement]]="","",IF(OR(Reinforcements[[#This Row],[Type]]="plate",Reinforcements[[#This Row],[Type]]="solid round"),1,IF(Reinforcements[[#This Row],[Type]]="arbitrary","",1-Reinforcements[[#This Row],[Pole Face to Centroid (in)]]/Reinforcements[[#This Row],[Connection Length (in) '[Channels']]]))),"")</f>
        <v>1</v>
      </c>
      <c r="AA59" s="189" t="s">
        <v>391</v>
      </c>
      <c r="AB59" s="189" t="str">
        <f>IF(Reinforcements[[#This Row],[Reinforcement]]="","",IF(Reinforcements[[#This Row],[Bottom End Connection Type]]&lt;&gt;"Capacity Input","-",""))</f>
        <v>-</v>
      </c>
      <c r="AC59" s="189" t="str">
        <f>IF(Reinforcements[[#This Row],[Reinforcement]]="","",IF(Reinforcements[[#This Row],[Bottom End Connection Type]]&lt;&gt;"Capacity Input","-",""))</f>
        <v>-</v>
      </c>
      <c r="AD59" s="461" t="str">
        <f>IF(Reinforcements[[#This Row],[Reinforcement]]="","",IF(Reinforcements[[#This Row],[Bottom End Connection Type]]&lt;&gt;"Capacity Input","-",""))</f>
        <v>-</v>
      </c>
      <c r="AE59" s="103" t="s">
        <v>416</v>
      </c>
      <c r="AF59" s="190" t="s">
        <v>296</v>
      </c>
      <c r="AG59" s="190">
        <v>15</v>
      </c>
      <c r="AH59" s="190">
        <v>3</v>
      </c>
      <c r="AI59" s="190">
        <v>3</v>
      </c>
      <c r="AJ59" s="190">
        <f>Reinforcements[[#This Row],[End Connection Edge Distance (in) (B)]]-(Reinforcements[[#This Row],[Bolt Hole Size (in)]]+1/16)/2</f>
        <v>2.375</v>
      </c>
      <c r="AK59" s="190">
        <f>Reinforcements[[#This Row],[End Connection Bolt Spacing (in) (B)]]-(Reinforcements[[#This Row],[Bolt Hole Size (in)]]+1/16)</f>
        <v>1.75</v>
      </c>
      <c r="AL59" s="190">
        <f>Reinforcements[[#This Row],[End Connection Edge Distance (in) (B)]]</f>
        <v>3</v>
      </c>
      <c r="AM59" s="190">
        <f>Reinforcements[[#This Row],[End Connection Bolt Spacing (in) (B)]]</f>
        <v>3</v>
      </c>
      <c r="AN59" s="190" t="str">
        <f>IF(Reinforcements[[#This Row],[Reinforcement]]="","",IF(OR(Reinforcements[[#This Row],[Bottom End Connection Type]]="Bolted",Reinforcements[[#This Row],[Bottom End Connection Type]]=""),"-",""))</f>
        <v>-</v>
      </c>
      <c r="AO59" s="191" t="str">
        <f>IF(Reinforcements[[#This Row],[Reinforcement]]="","",IF(OR(Reinforcements[[#This Row],[Bottom End Connection Type]]="Bolted",Reinforcements[[#This Row],[Bottom End Connection Type]]=""),"-",""))</f>
        <v>-</v>
      </c>
      <c r="AP59" s="191" t="str">
        <f>IF(Reinforcements[[#This Row],[Reinforcement]]="","",IF(OR(Reinforcements[[#This Row],[Bottom End Connection Type]]="Bolted",Reinforcements[[#This Row],[Bottom End Connection Type]]=""),"-",""))</f>
        <v>-</v>
      </c>
      <c r="AQ59" s="191" t="str">
        <f>IF(OR(Reinforcements[[#This Row],[Bottom End Connection Type]]="Bolted",Reinforcements[[#This Row],[Bottom Transverse (Horizontal) Weld]]="none"),"-","")</f>
        <v>-</v>
      </c>
      <c r="AR59"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9"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9" s="191" t="str">
        <f>IF(OR(Reinforcements[[#This Row],[Bottom Transverse (Horizontal) Weld]]="none",Reinforcements[[#This Row],[Bottom End Connection Type]]="Bolted"),"-","")</f>
        <v>-</v>
      </c>
      <c r="AU59"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9" s="191" t="str">
        <f>IF(Reinforcements[[#This Row],[Reinforcement]]="","",IF(OR(Reinforcements[[#This Row],[Bottom End Connection Type]]="Bolted",Reinforcements[[#This Row],[Bottom End Connection Type]]=""),"-",""))</f>
        <v>-</v>
      </c>
      <c r="AW59" s="191" t="str">
        <f>IF(Reinforcements[[#This Row],[Reinforcement]]="","",IF(OR(Reinforcements[[#This Row],[Bottom End Connection Type]]&lt;&gt;"Welded",Reinforcements[[#This Row],[Bottom Longitudinal (Vertical) Weld]]="None",Reinforcements[[#This Row],[Bottom Longitudinal (Vertical) Weld]]=""),"-",""))</f>
        <v>-</v>
      </c>
      <c r="AX59" s="191" t="str">
        <f>IF(Reinforcements[[#This Row],[Reinforcement]]="","",IF(OR(Reinforcements[[#This Row],[Bottom End Connection Type]]&lt;&gt;"Welded",Reinforcements[[#This Row],[Bottom Longitudinal (Vertical) Weld]]="None",Reinforcements[[#This Row],[Bottom Longitudinal (Vertical) Weld]]=""),"-",""))</f>
        <v>-</v>
      </c>
      <c r="AY59" s="190" t="str">
        <f>IF(Reinforcements[[#This Row],[Reinforcement]]="","",IF(OR(Reinforcements[[#This Row],[Bottom End Connection Type]]&lt;&gt;"Welded",Reinforcements[[#This Row],[Bottom Longitudinal (Vertical) Weld]]="None"),"-",SQRT(2)/2*Reinforcements[[#This Row],[Bottom Longitudinal Weld Fillet Size (in)]]))</f>
        <v>-</v>
      </c>
      <c r="AZ59" s="190" t="s">
        <v>295</v>
      </c>
      <c r="BA59" s="189" t="str">
        <f>IF(Reinforcements[[#This Row],[Top End Connection Same?]]="Yes",Reinforcements[[#This Row],[Bottom End Connection Type]],"")</f>
        <v>Bolted</v>
      </c>
      <c r="BB59" s="189" t="str">
        <f>IF(Reinforcements[[#This Row],[Reinforcement]]="","",IF(Reinforcements[[#This Row],[Top End Connection Same?]]="Yes",Reinforcements[[#This Row],[Rev. F Bottom Connection Capacity (kips)]],IF(Reinforcements[[#This Row],[Reinforcement]]="","",IF(Reinforcements[[#This Row],[Top End Connection Type]]&lt;&gt;"Capacity Input","-",""))))</f>
        <v>-</v>
      </c>
      <c r="BC59" s="189" t="str">
        <f>IF(Reinforcements[[#This Row],[Reinforcement]]="","",IF(Reinforcements[[#This Row],[Top End Connection Same?]]="Yes",Reinforcements[[#This Row],[Rev. G Bottom Connection Capacity (kips)]],IF(Reinforcements[[#This Row],[Reinforcement]]="","",IF(Reinforcements[[#This Row],[Top End Connection Type]]&lt;&gt;"Capacity Input","-",""))))</f>
        <v>-</v>
      </c>
      <c r="BD59" s="461" t="str">
        <f>IF(Reinforcements[[#This Row],[Reinforcement]]="","",IF(Reinforcements[[#This Row],[Top End Connection Same?]]="Yes",Reinforcements[[#This Row],[Rev. G Bottom Connection Capacity (kips)]],IF(Reinforcements[[#This Row],[Reinforcement]]="","",IF(Reinforcements[[#This Row],[Top End Connection Type]]&lt;&gt;"Capacity Input","-",""))))</f>
        <v>-</v>
      </c>
      <c r="BE59" s="103" t="str">
        <f>IF(Reinforcements[[#This Row],[Top End Connection Same?]]="Yes",Reinforcements[[#This Row],[Bottom End Connection Bolt Type]],IF(Reinforcements[[#This Row],[Top End Connection Type]]="Welded","-",""))</f>
        <v>PC 8.8 - M20 (100)</v>
      </c>
      <c r="BF59" s="190" t="str">
        <f>IF(Reinforcements[[#This Row],[Top End Connection Same?]]="Yes",Reinforcements[[#This Row],[Threads Included (N) or Excluded (X) (Bottom)]],IF(Reinforcements[[#This Row],[Top End Connection Type]]="Welded","-",""))</f>
        <v>N</v>
      </c>
      <c r="BG59" s="190">
        <f>IF(Reinforcements[[#This Row],[Top End Connection Same?]]="Yes",Reinforcements[[#This Row],['# of End Connection Bolts          (Bottom)]],IF(Reinforcements[[#This Row],[Top End Connection Type]]="Welded","-",""))</f>
        <v>15</v>
      </c>
      <c r="BH59" s="190">
        <f>IF(Reinforcements[[#This Row],[Top End Connection Same?]]="Yes",Reinforcements[[#This Row],[End Connection Bolt Spacing (in) (B)]],IF(Reinforcements[[#This Row],[Top End Connection Type]]="Welded","-",""))</f>
        <v>3</v>
      </c>
      <c r="BI59" s="190">
        <f>IF(Reinforcements[[#This Row],[Top End Connection Same?]]="Yes",Reinforcements[[#This Row],[End Connection Edge Distance (in) (B)]],IF(Reinforcements[[#This Row],[Top End Connection Type]]="Welded","-",""))</f>
        <v>3</v>
      </c>
      <c r="BJ59" s="190">
        <f>Reinforcements[[#This Row],[End Connection Edge Distance (in) (T)]]-(Reinforcements[[#This Row],[Bolt Hole Size (in)]]+1/16)/2</f>
        <v>2.375</v>
      </c>
      <c r="BK59" s="190">
        <f>Reinforcements[[#This Row],[End Connection Bolt Spacing (in) (T)]]-(Reinforcements[[#This Row],[Bolt Hole Size (in)]]+1/16)</f>
        <v>1.75</v>
      </c>
      <c r="BL59" s="190">
        <f>Reinforcements[[#This Row],[End Connection Edge Distance (in) (T)]]</f>
        <v>3</v>
      </c>
      <c r="BM59" s="190">
        <f>Reinforcements[[#This Row],[End Connection Bolt Spacing (in) (T)]]</f>
        <v>3</v>
      </c>
      <c r="BN59" s="190" t="str">
        <f>IF(Reinforcements[[#This Row],[Reinforcement]]="","",IF(Reinforcements[[#This Row],[Top End Connection Same?]]="Yes",Reinforcements[[#This Row],[Bottom Connected to Flange/Base Plate?]],IF(Reinforcements[[#This Row],[Top End Connection Type]]="Bolted","-","")))</f>
        <v>-</v>
      </c>
      <c r="BO59" s="190" t="str">
        <f>IF(Reinforcements[[#This Row],[Reinforcement]]="","",IF(Reinforcements[[#This Row],[Top End Connection Same?]]="Yes",Reinforcements[[#This Row],[Bottom Weld Grade (ksi)]],IF(OR(Reinforcements[[#This Row],[Top End Connection Type]]&lt;&gt;"Welded",Reinforcements[[#This Row],[Top End Connection Type]]=""),"-","")))</f>
        <v>-</v>
      </c>
      <c r="BP59" s="190" t="str">
        <f>IF($AZ59="Yes",AP59,IF(Reinforcements[[#This Row],[Reinforcement]]="","",IF(OR(Reinforcements[[#This Row],[Top End Connection Type]]&lt;&gt;"Welded",Reinforcements[[#This Row],[Top End Connection Type]]=""),"-","")))</f>
        <v>-</v>
      </c>
      <c r="BQ59" s="190" t="str">
        <f>IF(Reinforcements[[#This Row],[Reinforcement]]="","",IF($AZ59="Yes",AQ59,IF(OR(Reinforcements[[#This Row],[Top End Connection Type]]&lt;&gt;"Welded",Reinforcements[[#This Row],[Top Transverse (Horizontal) Weld]]="none",Reinforcements[[#This Row],[Top Transverse (Horizontal) Weld]]=""),"-","")))</f>
        <v>-</v>
      </c>
      <c r="BR59" s="190" t="str">
        <f>IF($AZ59="Yes",AR59,IF(Reinforcements[[#This Row],[Reinforcement]]="","",IF(OR(Reinforcements[[#This Row],[Top Transverse (Horizontal) Weld]]="none",Reinforcements[[#This Row],[Top End Connection Type]]&lt;&gt;"Welded",Reinforcements[[#This Row],[Top Transverse (Horizontal) Weld]]="",Reinforcements[[#This Row],[Top Transverse (Horizontal) Weld]]="Fillet"),"-","")))</f>
        <v>-</v>
      </c>
      <c r="BS59" s="190" t="str">
        <f>IF($AZ59="Yes",AS59,IF(Reinforcements[[#This Row],[Reinforcement]]="","",IF(OR(Reinforcements[[#This Row],[Top Transverse (Horizontal) Weld]]="none",Reinforcements[[#This Row],[Top End Connection Type]]&lt;&gt;"Welded",Reinforcements[[#This Row],[Top Transverse (Horizontal) Weld]]="",Reinforcements[[#This Row],[Top Transverse (Horizontal) Weld]]="Fillet"),"-","")))</f>
        <v>-</v>
      </c>
      <c r="BT59" s="190" t="str">
        <f>IF(Reinforcements[[#This Row],[Reinforcement]]="","",IF($AZ59="Yes",AT59,IF(OR(Reinforcements[[#This Row],[Top Transverse (Horizontal) Weld]]="none",Reinforcements[[#This Row],[Top End Connection Type]]&lt;&gt;"Welded",Reinforcements[[#This Row],[Top Transverse (Horizontal) Weld]]=""),"-","")))</f>
        <v>-</v>
      </c>
      <c r="BU59" s="190" t="str">
        <f>IF($AZ59="Yes",AU59,IF(Reinforcements[[#This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9" s="190" t="str">
        <f>IF($AZ59="Yes",AV59,IF(Reinforcements[[#This Row],[Reinforcement]]="","",IF(OR(Reinforcements[[#This Row],[Top End Connection Type]]&lt;&gt;"Welded",Reinforcements[[#This Row],[Top End Connection Type]]=""),"-","")))</f>
        <v>-</v>
      </c>
      <c r="BW59" s="190" t="str">
        <f>IF($AZ59="Yes",AW59,IF(Reinforcements[[#This Row],[Reinforcement]]="","",IF(OR(Reinforcements[[#This Row],[Top End Connection Type]]&lt;&gt;"Welded",Reinforcements[[#This Row],[Top End Connection Type]]="",Reinforcements[[#This Row],[Top Longitudinal (Vertical) Weld]]="",Reinforcements[[#This Row],[Top Longitudinal (Vertical) Weld]]="None"),"-","")))</f>
        <v>-</v>
      </c>
      <c r="BX59" s="190" t="str">
        <f>IF($AZ59="Yes",AX59,IF(Reinforcements[[#This Row],[Reinforcement]]="","",IF(OR(Reinforcements[[#This Row],[Top End Connection Type]]&lt;&gt;"Welded",Reinforcements[[#This Row],[Top End Connection Type]]="",Reinforcements[[#This Row],[Top Longitudinal (Vertical) Weld]]="",Reinforcements[[#This Row],[Top Longitudinal (Vertical) Weld]]="None"),"-","")))</f>
        <v>-</v>
      </c>
      <c r="BY59" s="190" t="str">
        <f>IF($AZ59="Yes",AY59,IF(Reinforcements[[#This Row],[Reinforcement]]="","",IF(OR(Reinforcements[[#This Row],[Top End Connection Type]]&lt;&gt;"Welded",Reinforcements[[#This Row],[Top Longitudinal (Vertical) Weld]]="none"),"-",SQRT(2)/2*Reinforcements[[#This Row],[Top Longitudinal Weld Fillet Size (in)]])))</f>
        <v>-</v>
      </c>
      <c r="BZ59"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9" s="192">
        <f>IF(Reinforcements[[#This Row],[Reinforcement]]="","",IF(Reinforcements[[#This Row],[Bottom End Connection Type]]&lt;&gt;"Bolted","n/a",(Reinforcements[[#This Row],['# of End Connection Bolts          (Bottom)]]-1)*Reinforcements[[#This Row],[End Connection Bolt Spacing (in) (B)]]+Reinforcements[[#This Row],[End Connection Edge Distance (in) (B)]]))</f>
        <v>45</v>
      </c>
      <c r="CB59" s="192">
        <f>IF(Reinforcements[[#This Row],[Reinforcement]]="","",IF(Reinforcements[[#This Row],[Top End Connection Type]]&lt;&gt;"Bolted","n/a",(Reinforcements[[#This Row],['# of End Connection Bolts          (Top)]]-1)*Reinforcements[[#This Row],[End Connection Bolt Spacing (in) (T)]]+Reinforcements[[#This Row],[End Connection Edge Distance (in) (T)]]))</f>
        <v>45</v>
      </c>
      <c r="CC59"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59"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59" s="185">
        <f>IFERROR(IF(Reinforcements[[#This Row],[Type]]="","",Reinforcements[[#This Row],[Effective B (in)]]*Reinforcements[[#This Row],[Effective H (in)]]^3/12),"")</f>
        <v>1.3834635416666667</v>
      </c>
      <c r="CF59" s="185">
        <f>IFERROR(IF(Reinforcements[[#This Row],[Type]]="","",Reinforcements[[#This Row],[Effective B (in)]]^3*Reinforcements[[#This Row],[Effective H (in)]]/12),"")</f>
        <v>63.971354166666664</v>
      </c>
      <c r="CG59" s="197">
        <f>SQRT(2*PI()^2*29000/VLOOKUP(Reinforcements[[#This Row],[Material]],Materials[],2,FALSE))</f>
        <v>93.844147005158973</v>
      </c>
      <c r="CH59"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32.910895810867657</v>
      </c>
      <c r="CI59"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38.24710860876359</v>
      </c>
      <c r="CJ59" s="239">
        <f>Reinforcements[[#This Row],[Effective Length Factor Kx]]*Reinforcements[[#This Row],[Lu (in)]]/(Reinforcements[[#This Row],[rx]]*PI())*SQRT(VLOOKUP(Reinforcements[[#This Row],[Material]],Materials[],2,FALSE)/29000)</f>
        <v>0.57632505858547911</v>
      </c>
      <c r="CK59" s="239">
        <f>Reinforcements[[#This Row],[Effective Length Factor Ky]]*Reinforcements[[#This Row],[Lu (in)]]/(Reinforcements[[#This Row],[ry]]*PI())*SQRT(VLOOKUP(Reinforcements[[#This Row],[Material]],Materials[],2,FALSE)/29000)</f>
        <v>0.10594210635762485</v>
      </c>
      <c r="CL59" s="239">
        <f>IF(Reinforcements[[#This Row],[λcx]]&lt;=1.5,0.658^(Reinforcements[[#This Row],[λcx]]^2)*Reinforcements[[#This Row],[F''y]],0.877/(Reinforcements[[#This Row],[λcx]]^2)*Reinforcements[[#This Row],[F''y]])</f>
        <v>56.563592264529326</v>
      </c>
      <c r="CM59" s="239">
        <f>IF(Reinforcements[[#This Row],[λcy]]&lt;=1.5,0.658^(Reinforcements[[#This Row],[λcy]]^2)*Reinforcements[[#This Row],[F''y]],0.877/(Reinforcements[[#This Row],[λcy]]^2)*Reinforcements[[#This Row],[F''y]])</f>
        <v>64.695365856194599</v>
      </c>
      <c r="CN59" s="236">
        <f>VLOOKUP(Reinforcements[[#This Row],[Material]],Materials[],2,FALSE)</f>
        <v>65</v>
      </c>
      <c r="CO59" s="235">
        <f>IF(Reinforcements[[#This Row],[Reinforcement]]="","",Reinforcements[[#This Row],[Fax]]*Reinforcements[[#This Row],[Gross Area (in2)]])</f>
        <v>349.67826799046884</v>
      </c>
      <c r="CP59" s="197">
        <f>IF(Reinforcements[[#This Row],[Reinforcement]]="","",Reinforcements[[#This Row],[Fay]]*Reinforcements[[#This Row],[Gross Area (in2)]])</f>
        <v>406.37552896811314</v>
      </c>
      <c r="CQ59" s="197">
        <f>IF(Reinforcements[[#This Row],[Reinforcement]]="","",0.6*VLOOKUP(Reinforcements[[#This Row],[Material]],Materials[],2,FALSE)*Reinforcements[[#This Row],[Gross Area (in2)]])</f>
        <v>414.375</v>
      </c>
      <c r="CR59" s="197">
        <f>IF(Reinforcements[[#This Row],[Reinforcement]]="","",0.5*VLOOKUP(Reinforcements[[#This Row],[Material]],Materials[],3,FALSE)*Reinforcements[[#This Row],[Net Area (in2)]]*Reinforcements[[#This Row],[Shear Lag (U)]])</f>
        <v>362.5</v>
      </c>
      <c r="CS59" s="197">
        <f>IF(Reinforcements[[#This Row],[Reinforcement]]="","",0.4*VLOOKUP(Reinforcements[[#This Row],[Material]],Materials[],2,FALSE)*Reinforcements[[#This Row],[Gross Area (in2)]])</f>
        <v>276.25</v>
      </c>
      <c r="CT59"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349.28447518244946</v>
      </c>
      <c r="CU59"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59"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20.551181102362207</v>
      </c>
      <c r="CW59"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22.712598425196852</v>
      </c>
      <c r="CX59"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59"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59"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2055.1181102362207</v>
      </c>
      <c r="DA59"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2271.2598425196852</v>
      </c>
      <c r="DB59"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2055.1181102362207</v>
      </c>
      <c r="DC59"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2271.2598425196852</v>
      </c>
      <c r="DD59"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9"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9" s="190" t="str">
        <f>IF($AZ59="Yes",DD59,IF(Reinforcements[[#This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9" s="190" t="str">
        <f>IF($AZ59="Yes",DE59,IF(Reinforcements[[#This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9" s="235">
        <f>IF(Reinforcements[[#This Row],[Reinforcement]]="","",φ_c*Reinforcements[[#This Row],[Fcr,x]]*Reinforcements[[#This Row],[Gross Area (in2)]])</f>
        <v>540.88935102956168</v>
      </c>
      <c r="DI59" s="235">
        <f>IF(Reinforcements[[#This Row],[Reinforcement]]="","",φ_c*Reinforcements[[#This Row],[Fcr,y]]*Reinforcements[[#This Row],[Gross Area (in2)]])</f>
        <v>618.64943599986088</v>
      </c>
      <c r="DJ59" s="197">
        <f>IF(Reinforcements[[#This Row],[Reinforcement]]="","",φ_t_y*VLOOKUP(Reinforcements[[#This Row],[Material]],Materials[],2,FALSE)*Reinforcements[[#This Row],[Gross Area (in2)]])</f>
        <v>621.5625</v>
      </c>
      <c r="DK59" s="197">
        <f>IF(Reinforcements[[#This Row],[Reinforcement]]="","",φ_t_r*VLOOKUP(Reinforcements[[#This Row],[Material]],Materials[],3,FALSE)*Reinforcements[[#This Row],[Net Area (in2)]]*Reinforcements[[#This Row],[Shear Lag (U)]])</f>
        <v>543.75</v>
      </c>
      <c r="DL59" s="197">
        <f>IF(Reinforcements[[#This Row],[Reinforcement]]="","",φ_v*0.5*Reinforcements[[#This Row],[F''y]]*Reinforcements[[#This Row],[Gross Area (in2)]])</f>
        <v>310.78125</v>
      </c>
      <c r="DM59"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619.04905659002497</v>
      </c>
      <c r="DN59"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59"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29.548346456692911</v>
      </c>
      <c r="DP59"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36.935433070866146</v>
      </c>
      <c r="DQ59"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29.548346456692911</v>
      </c>
      <c r="DR59"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36.935433070866146</v>
      </c>
      <c r="DS59"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2954.8346456692916</v>
      </c>
      <c r="DT59"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3693.5433070866147</v>
      </c>
      <c r="DU59"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2954.8346456692916</v>
      </c>
      <c r="DV59"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3693.5433070866147</v>
      </c>
      <c r="DW59"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9"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9" s="190" t="str">
        <f>IF($AZ59="Yes",DW59,IF(Reinforcements[[#This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9" s="190" t="str">
        <f>IF($AZ59="Yes",DX59,IF(Reinforcements[[#This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9" s="238" t="str">
        <f>IF(OR(Reinforcements[[#This Row],[Type]]="plate",Reinforcements[[#This Row],[Type]]="solid round"),"N/A",Reinforcements[[#This Row],[B (in)]])</f>
        <v>N/A</v>
      </c>
      <c r="EB59" s="236" t="str">
        <f>IF(OR(Reinforcements[[#This Row],[Type]]="plate",Reinforcements[[#This Row],[Type]]="solid round"),"N/A",Reinforcements[[#This Row],[H (in)]])</f>
        <v>N/A</v>
      </c>
      <c r="EC59" s="236" t="str">
        <f>IF(OR(Reinforcements[[#This Row],[Type]]="plate",Reinforcements[[#This Row],[Type]]="solid round"),"N/A",Reinforcements[[#This Row],[B (in)]]-Reinforcements[[#This Row],['[Channel'] Flange Thickness (in)]])</f>
        <v>N/A</v>
      </c>
      <c r="ED59" s="236" t="str">
        <f>IF(OR(Reinforcements[[#This Row],[Type]]="plate",Reinforcements[[#This Row],[Type]]="solid round"),"N/A",Reinforcements[[#This Row],['[Channel']Web Thickness (in)]])</f>
        <v>N/A</v>
      </c>
      <c r="EE59" s="236" t="str">
        <f>IF(OR(Reinforcements[[#This Row],[Type]]="plate",Reinforcements[[#This Row],[Type]]="solid round"),"N/A",Reinforcements[[#This Row],['[Channel'] Flange Thickness (in)]])</f>
        <v>N/A</v>
      </c>
      <c r="EF59" s="236" t="str">
        <f>IF(Reinforcements[[#This Row],[Type]]="channel",Reinforcements[[#This Row],[Channel Flange Width, b]]/Reinforcements[[#This Row],[Channel flange thickness, tf]],"N/A")</f>
        <v>N/A</v>
      </c>
      <c r="EG59" s="236" t="str">
        <f>IF(Reinforcements[[#This Row],[Type]]="channel",Reinforcements[[#This Row],[Channel inside depth, T]]/Reinforcements[[#This Row],[Channel web thickness, tw]],"N/A")</f>
        <v>N/A</v>
      </c>
      <c r="EH59" s="237">
        <v>29000</v>
      </c>
      <c r="EI59" s="237" t="str">
        <f>IF(Reinforcements[[#This Row],[Type]]="channel",0.56*SQRT(Reinforcements[[#This Row],[E, (ksi)]]/Reinforcements[[#This Row],[Fy, (ksi)]]),"N/A")</f>
        <v>N/A</v>
      </c>
      <c r="EJ59" s="237" t="str">
        <f>IF(Reinforcements[[#This Row],[Type]]="channel",1.49*SQRT(Reinforcements[[#This Row],[E, (ksi)]]/Reinforcements[[#This Row],[Fy, (ksi)]]),"N/A")</f>
        <v>N/A</v>
      </c>
      <c r="EK59" s="237">
        <f>VLOOKUP(Reinforcements[[#This Row],[Material]],Materials!$B$2:$C$30,2,FALSE)</f>
        <v>65</v>
      </c>
      <c r="EL59" s="237">
        <f>Reinforcements[[#This Row],[Lu (in)]]*Reinforcements[[#This Row],[Effective Length Factor Kx]]</f>
        <v>13.8</v>
      </c>
      <c r="EM59" s="237">
        <f>Reinforcements[[#This Row],[Lu (in)]]*Reinforcements[[#This Row],[Effective Length Factor Ky]]</f>
        <v>17.25</v>
      </c>
      <c r="EN59" s="237">
        <f>Reinforcements[[#This Row],[rx]]</f>
        <v>0.36084391824351614</v>
      </c>
      <c r="EO59" s="237">
        <f>Reinforcements[[#This Row],[ry]]</f>
        <v>2.4537386440559095</v>
      </c>
      <c r="EP59" s="237">
        <f>Reinforcements[[#This Row],[Lcx (in)]]/Reinforcements[[#This Row],[rx (in)]]</f>
        <v>38.24368183112081</v>
      </c>
      <c r="EQ59" s="237">
        <f>Reinforcements[[#This Row],[Lcy (in)]]/Reinforcements[[#This Row],[ry (in)]]</f>
        <v>7.0300885718972079</v>
      </c>
      <c r="ER59" s="237">
        <f>((PI()^2)*Reinforcements[[#This Row],[E, (ksi)]])/(Reinforcements[[#This Row],[Lcx/rx]]^2)</f>
        <v>195.69437855508363</v>
      </c>
      <c r="ES59" s="237">
        <f>((PI()^2)*Reinforcements[[#This Row],[E, (ksi)]])/(Reinforcements[[#This Row],[Lcy/ry]]^2)</f>
        <v>5791.3011612077225</v>
      </c>
      <c r="ET59" s="237">
        <f>4.71*(SQRT(Reinforcements[[#This Row],[E, (ksi)]]/Reinforcements[[#This Row],[Fy, (ksi)]]))</f>
        <v>99.486288193205496</v>
      </c>
      <c r="EU59" s="237">
        <f>IF(Reinforcements[[#This Row],[Lcx/rx]]&lt;=Reinforcements[[#This Row],[Fcr Limit]],(0.658^(Reinforcements[[#This Row],[Fy, (ksi)]]/Reinforcements[[#This Row],[Fex, FB (ksi)]]))*Reinforcements[[#This Row],[Fy, (ksi)]],0.877*Reinforcements[[#This Row],[Fex, FB (ksi)]])</f>
        <v>56.563592264529319</v>
      </c>
      <c r="EV59" s="237">
        <f>IF(Reinforcements[[#This Row],[Lcy/ry]]&lt;=Reinforcements[[#This Row],[Fcr Limit]],(0.658^(Reinforcements[[#This Row],[Fy, (ksi)]]/Reinforcements[[#This Row],[Fey, FB (ksi)]]))*Reinforcements[[#This Row],[Fy, (ksi)]],0.877*Reinforcements[[#This Row],[Fey, FB (ksi)]])</f>
        <v>64.695365856194599</v>
      </c>
      <c r="EW59" s="237">
        <f>Reinforcements[[#This Row],[Fcrx (ksi)]]*Reinforcements[[#This Row],[Gross Area (in2)]]</f>
        <v>600.98816781062396</v>
      </c>
      <c r="EX59" s="237">
        <f>Reinforcements[[#This Row],[Fcry (ksi)]]*Reinforcements[[#This Row],[Gross Area (in2)]]</f>
        <v>687.38826222206762</v>
      </c>
      <c r="EY59" s="237" t="str">
        <f>IF(Reinforcements[[#This Row],[Type]]="channel",0,"N/A")</f>
        <v>N/A</v>
      </c>
      <c r="EZ59" s="237" t="str">
        <f>IF(Reinforcements[[#This Row],[Type]]="channel",Reinforcements[[#This Row],[Channel Flange Width, b]]-(0.5*Reinforcements[[#This Row],[Channel web thickness, tw]]),"N/A")</f>
        <v>N/A</v>
      </c>
      <c r="FA59" s="237" t="str">
        <f>IF(Reinforcements[[#This Row],[Type]]="channel",Reinforcements[[#This Row],[Channel Height, h]]-Reinforcements[[#This Row],[Channel flange thickness, tf]],"N/A")</f>
        <v>N/A</v>
      </c>
      <c r="FB59" s="237" t="str">
        <f>IF(Reinforcements[[#This Row],[Type]]="channel",Reinforcements[[#This Row],[Channel web thickness, tw]],"N/A")</f>
        <v>N/A</v>
      </c>
      <c r="FC59" s="237" t="str">
        <f>IF(Reinforcements[[#This Row],[Type]]="channel",((3*Reinforcements[[#This Row],[b]]^2)/(Reinforcements[[#This Row],[h]]+(6*Reinforcements[[#This Row],[b]])))-Reinforcements[[#This Row],[t]]/2,"N/A")</f>
        <v>N/A</v>
      </c>
      <c r="FD59" s="237">
        <f>Reinforcements[[#This Row],[Pole Face to Centroid (in)]]</f>
        <v>0.625</v>
      </c>
      <c r="FE59" s="236" t="str">
        <f>IF(Reinforcements[[#This Row],[Type]]="channel",Reinforcements[[#This Row],[x(bar)]]+Reinforcements[[#This Row],['[Channel'] e0 (in)]],"N/A")</f>
        <v>N/A</v>
      </c>
      <c r="FF59" s="236" t="str">
        <f>IF(Reinforcements[[#This Row],[Type]]="channel",Reinforcements[[#This Row],[Ix]],"N/A")</f>
        <v>N/A</v>
      </c>
      <c r="FG59" s="236" t="str">
        <f>IF(Reinforcements[[#This Row],[Type]]="channel",Reinforcements[[#This Row],[Iy]],"N/A")</f>
        <v>N/A</v>
      </c>
      <c r="FH59" s="236" t="str">
        <f>IF(Reinforcements[[#This Row],[Type]]="channel",Reinforcements[[#This Row],[Gross Area (in2)]],"N/A")</f>
        <v>N/A</v>
      </c>
      <c r="FI59" s="236" t="str">
        <f>IF(Reinforcements[[#This Row],[Type]]="channel",(Reinforcements[[#This Row],[xo]]^2)+((Reinforcements[[#This Row],[Ix (FTB)]]+Reinforcements[[#This Row],[Iy (FTB)]])/Reinforcements[[#This Row],[Ag]]),"N/A")</f>
        <v>N/A</v>
      </c>
      <c r="FJ59" s="236" t="str">
        <f>IF(Reinforcements[[#This Row],[Type]]="channel",Reinforcements[[#This Row],[Lu (in)]],"N/A")</f>
        <v>N/A</v>
      </c>
      <c r="FK59" s="236" t="str">
        <f>IF(Reinforcements[[#This Row],[Type]]="channel",Reinforcements[[#This Row],[Effective Length Factor Kx]],"N/A")</f>
        <v>N/A</v>
      </c>
      <c r="FL59" s="236" t="str">
        <f>IF(Reinforcements[[#This Row],[Type]]="channel",Reinforcements[[#This Row],[Kz]]*Reinforcements[[#This Row],[Lz]],"N/A")</f>
        <v>N/A</v>
      </c>
      <c r="FM59" s="236" t="str">
        <f>IF(Reinforcements[[#This Row],[Type]]="channel",(((Reinforcements[[#This Row],[t]]^3)/3)*(Reinforcements[[#This Row],[h]]+(2*Reinforcements[[#This Row],[b]]))),"N/A")</f>
        <v>N/A</v>
      </c>
      <c r="FN59" s="236" t="str">
        <f>IF(Reinforcements[[#This Row],[Type]]="channel",(1-(((Reinforcements[[#This Row],[xo]]^2)+(Reinforcements[[#This Row],[yo]]^2))/Reinforcements[[#This Row],[ro^2(bar)]])),"N/A")</f>
        <v>N/A</v>
      </c>
      <c r="FO59" s="237">
        <v>11200</v>
      </c>
      <c r="FP59" s="236" t="str">
        <f>IF(Reinforcements[[#This Row],[Type]]="channel",(((Reinforcements[[#This Row],[h]]^2)*(Reinforcements[[#This Row],[b]]^3)*Reinforcements[[#This Row],[t]])/12)*(((2*Reinforcements[[#This Row],[h]])+(3*Reinforcements[[#This Row],[b]]))/(Reinforcements[[#This Row],[h]]+(6*Reinforcements[[#This Row],[b]]))),"N/A")</f>
        <v>N/A</v>
      </c>
      <c r="FQ59" s="236" t="str">
        <f>IF(Reinforcements[[#This Row],[Type]]="Channel",((((PI()^2)*Reinforcements[[#This Row],[E, (ksi)]]*Reinforcements[[#This Row],['[Channel'] CW (in6)]])/(Reinforcements[[#This Row],[Lcz]]^2))+(Reinforcements[[#This Row],[G]]*Reinforcements[[#This Row],['[Channel'] J (in4)]]))*(1/(Reinforcements[[#This Row],[Ag]]*Reinforcements[[#This Row],[ro^2(bar)]])),"N/A")</f>
        <v>N/A</v>
      </c>
      <c r="FR59" s="236" t="str">
        <f>IF(Reinforcements[[#This Row],[Type]]="channel",((PI()^2)*Reinforcements[[#This Row],[E, (ksi)]])/(Reinforcements[[#This Row],[Lcy/ry]]^2),"N/A")</f>
        <v>N/A</v>
      </c>
      <c r="FS59" s="236" t="str">
        <f>IF(Reinforcements[[#This Row],[Type]]="channel",((Reinforcements[[#This Row],[Fey]]+Reinforcements[[#This Row],[Fez]])/(2*Reinforcements[[#This Row],[H2]]))*(1-SQRT(1-((4*Reinforcements[[#This Row],[Fey]]*Reinforcements[[#This Row],[Fez]]*Reinforcements[[#This Row],[H2]])/(Reinforcements[[#This Row],[Fey]]+Reinforcements[[#This Row],[Fez]])^2))),"N/A")</f>
        <v>N/A</v>
      </c>
      <c r="FT59" s="236" t="str">
        <f>IF(Reinforcements[[#This Row],[Type]]="channel",IF(Reinforcements[[#This Row],[Lcx/rx]]&gt;(4.71*SQRT(Reinforcements[[#This Row],[E, (ksi)]]/Reinforcements[[#This Row],[Fy, (ksi)]])),0.877*Reinforcements[[#This Row],[Fe (FTB)]],0.658^(Reinforcements[[#This Row],[Fy, (ksi)]]/Reinforcements[[#This Row],[Fe (FTB)]])*Reinforcements[[#This Row],[Fy, (ksi)]]),"N/A")</f>
        <v>N/A</v>
      </c>
      <c r="FU59" s="236" t="str">
        <f>IF(Reinforcements[[#This Row],[Type]]="channel",MIN(Reinforcements[[#This Row],[Fcr(FTB)]],Reinforcements[[#This Row],[Fcry (ksi)]]),"N/A")</f>
        <v>N/A</v>
      </c>
      <c r="FV59" s="237">
        <v>0.22</v>
      </c>
      <c r="FW59" s="237">
        <v>1.49</v>
      </c>
      <c r="FX59" s="236" t="str">
        <f>IF(Reinforcements[[#This Row],[Type]]="channel",((Reinforcements[[#This Row],[c2]]*(Reinforcements[[#This Row],[λrf]]/Reinforcements[[#This Row],[λf]]))^2)*Reinforcements[[#This Row],[Fy, (ksi)]],"N/A")</f>
        <v>N/A</v>
      </c>
      <c r="FY59" s="236" t="str">
        <f>IF(Reinforcements[[#This Row],[Type]]="channel",((Reinforcements[[#This Row],[c2]]*(Reinforcements[[#This Row],[λrw]]/Reinforcements[[#This Row],[λw]]))^2)*Reinforcements[[#This Row],[Fy, (ksi)]],"N/A")</f>
        <v>N/A</v>
      </c>
      <c r="FZ59"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9"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9"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9" s="236" t="str">
        <f>IF(Reinforcements[[#This Row],[Type]]="channel",Reinforcements[[#This Row],[Fcr]]*Reinforcements[[#This Row],[Ae]],"N/A")</f>
        <v>N/A</v>
      </c>
      <c r="GD59" s="466">
        <f>IF(Reinforcements[[#This Row],[Reinforcement]]="","",φ_c*Reinforcements[[#This Row],[Pnx, FB (kip)]])</f>
        <v>540.88935102956157</v>
      </c>
      <c r="GE59" s="466">
        <f>IF(Reinforcements[[#This Row],[Reinforcement]]="","",IF(Reinforcements[[#This Row],[Type]]="channel",φ_c*Reinforcements[[#This Row],[Pn]],φ_c*Reinforcements[[#This Row],[Pny, FB (kip)]]))</f>
        <v>618.64943599986088</v>
      </c>
      <c r="GF59" s="466">
        <f>Reinforcements[[#This Row],[Rev. G Tension Yield Capacity (kips)]]</f>
        <v>621.5625</v>
      </c>
      <c r="GG59" s="466">
        <f>Reinforcements[[#This Row],[Rev. G Tension Rupture Capacity (kips)]]</f>
        <v>543.75</v>
      </c>
      <c r="GH59" s="466">
        <f>Reinforcements[[#This Row],[Rev. G Shear Capacity (kips)]]</f>
        <v>310.78125</v>
      </c>
      <c r="GI59" s="466">
        <f>IFERROR((Reinforcements[[#This Row],['# of End Connection Bolts          (Bottom)]]-1)*Reinforcements[[#This Row],[End Connection Bolt Spacing (in) (B)]],"-")</f>
        <v>42</v>
      </c>
      <c r="GJ59" s="466">
        <f>IFERROR(IF(VLOOKUP(Reinforcements[[#This Row],[Bottom End Connection Bolt Type]],Bolts[],COLUMN(Bolts[[#Headers],[Rev. H Apply Connection Length Reduction Factor (Rb)?]])-1,FALSE)="Yes",(IF(Reinforcements[[#This Row],[Lb(bottom)]]&lt;=16,1,IF(Reinforcements[[#This Row],[Lb(bottom)]]&gt;38,0.75,0.9))),1),"-")</f>
        <v>1</v>
      </c>
      <c r="GK59"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695.99461456226902</v>
      </c>
      <c r="GL59" s="466">
        <f>IFERROR(IF(Reinforcements[[#This Row],[Top End Connection Same?]]="Yes",Reinforcements[[#This Row],[Lb(bottom)]],(Reinforcements[[#This Row],['# of End Connection Bolts          (Top)]]-1)*Reinforcements[[#This Row],[End Connection Bolt Spacing (in) (T)]]),"-")</f>
        <v>42</v>
      </c>
      <c r="GM59" s="466">
        <f>IFERROR(IF(VLOOKUP(Reinforcements[[#This Row],[Top End Connection Bolt Type]],Bolts[],COLUMN(Bolts[[#Headers],[Rev. H Apply Connection Length Reduction Factor (Rb)?]])-1,FALSE)="Yes",(IF(Reinforcements[[#This Row],[Lb(top)]]&lt;=16,1,IF(Reinforcements[[#This Row],[Lb(top)]]&gt;38,0.75,0.9))),1),"-")</f>
        <v>1</v>
      </c>
      <c r="GN59"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695.99461456226902</v>
      </c>
      <c r="GO59" s="466">
        <f>Reinforcements[[#This Row],[Rev. G Bolt-Shaft Bearing Capacity (Bottom)                No Deformation          (*t*Fu kips)]]</f>
        <v>29.548346456692911</v>
      </c>
      <c r="GP59" s="466">
        <f>Reinforcements[[#This Row],[Rev. G Bolt-Shaft Bearing Capacity (Bottom)                   Deformation          (*t*Fu kips)]]</f>
        <v>36.935433070866146</v>
      </c>
      <c r="GQ59" s="466">
        <f>Reinforcements[[#This Row],[Rev. G Bolt-Shaft Bearing Capacity (Top)                    No Deformation          (*t*Fu kips)]]</f>
        <v>29.548346456692911</v>
      </c>
      <c r="GR59" s="466">
        <f>Reinforcements[[#This Row],[Rev. G Bolt-Shaft Bearing Capacity (Top)                        Deformation          (*t*Fu kips)]]</f>
        <v>36.935433070866146</v>
      </c>
      <c r="GS59" s="466">
        <f>Reinforcements[[#This Row],[Rev. G Bolt-Reinf. Bearing Capacity (Bottom)            No Deformation (kips)]]</f>
        <v>2954.8346456692916</v>
      </c>
      <c r="GT59" s="466">
        <f>Reinforcements[[#This Row],[Rev. G Bolt-Reinf. Bearing Capacity (Bottom)               Deformation (kips)]]</f>
        <v>3693.5433070866147</v>
      </c>
      <c r="GU59" s="466">
        <f>Reinforcements[[#This Row],[Rev. G Bolt-Reinf. Bearing Capacity (Top)                  No Deformation (kips)]]</f>
        <v>2954.8346456692916</v>
      </c>
      <c r="GV59" s="466">
        <f>Reinforcements[[#This Row],[Rev. G Bolt-Reinf. Bearing Capacity (Top)               Deformation (kips)]]</f>
        <v>3693.5433070866147</v>
      </c>
      <c r="GW59" s="466" t="str">
        <f>Reinforcements[[#This Row],[Rev. G Bottom Transverse Weld Strength]]</f>
        <v>-</v>
      </c>
      <c r="GX59" s="466" t="str">
        <f>Reinforcements[[#This Row],[Rev. G Bottom Longitudinal Weld Strength]]</f>
        <v>-</v>
      </c>
      <c r="GY59" s="466" t="str">
        <f>Reinforcements[[#This Row],[Rev. G Top Transverse Weld Strength]]</f>
        <v>-</v>
      </c>
      <c r="GZ59" s="466" t="str">
        <f>Reinforcements[[#This Row],[Rev. G Top Longitudinal Weld Strength]]</f>
        <v>-</v>
      </c>
      <c r="HA59" s="552">
        <v>57</v>
      </c>
      <c r="HB59"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60" spans="2:210" x14ac:dyDescent="0.2">
      <c r="B60" s="72" t="s">
        <v>254</v>
      </c>
      <c r="C60" s="72" t="s">
        <v>146</v>
      </c>
      <c r="D60" s="185">
        <v>8.5</v>
      </c>
      <c r="E60" s="185">
        <v>1.25</v>
      </c>
      <c r="F60" s="185" t="str">
        <f>IF(Reinforcements[[#This Row],[Type]]="","",IF(Reinforcements[[#This Row],[Type]]="solid round","","n/a"))</f>
        <v>n/a</v>
      </c>
      <c r="G60" s="185" t="str">
        <f>IF(Reinforcements[[#This Row],[Type]]="","",IF(Reinforcements[[#This Row],[Type]]&lt;&gt;"channel","n/a",""))</f>
        <v>n/a</v>
      </c>
      <c r="H60" s="185" t="str">
        <f>IF(Reinforcements[[#This Row],[Type]]="","",IF(Reinforcements[[#This Row],[Type]]&lt;&gt;"channel","n/a",""))</f>
        <v>n/a</v>
      </c>
      <c r="I60" s="197" t="str">
        <f>IF(Reinforcements[[#This Row],[Type]]="","",IF(Reinforcements[[#This Row],[Type]]&lt;&gt;"channel","n/a",Reinforcements[[#This Row],[eo]]))</f>
        <v>n/a</v>
      </c>
      <c r="J60" s="197" t="str">
        <f>IF(Reinforcements[[#This Row],[Type]]="","",IF(Reinforcements[[#This Row],[Type]]&lt;&gt;"channel","n/a",Reinforcements[[#This Row],[J]]))</f>
        <v>n/a</v>
      </c>
      <c r="K60" s="197" t="str">
        <f>IF(Reinforcements[[#This Row],[Type]]="","",IF(Reinforcements[[#This Row],[Type]]&lt;&gt;"channel","n/a",Reinforcements[[#This Row],[Cw]]))</f>
        <v>n/a</v>
      </c>
      <c r="L60" s="185">
        <f>IFERROR(IF(Reinforcements[[#This Row],[Type]]="","",IF(Reinforcements[[#This Row],[Type]]="plate",Reinforcements[[#This Row],[B (in)]]*Reinforcements[[#This Row],[H (in)]],IF(Reinforcements[[#This Row],[Type]]="solid round",PI()/4*Reinforcements[[#This Row],[Diameter (in)]]^2,""))),"")</f>
        <v>10.625</v>
      </c>
      <c r="M60" s="185">
        <f>IFERROR(IF(Reinforcements[[#This Row],[Type]]="","",IF(Reinforcements[[#This Row],[Type]]="plate",Reinforcements[[#This Row],[H (in)]]/2,"")),"")</f>
        <v>0.625</v>
      </c>
      <c r="N60" s="186" t="s">
        <v>297</v>
      </c>
      <c r="O60" s="185" t="s">
        <v>60</v>
      </c>
      <c r="P60" s="187">
        <f>IFERROR(IF(Reinforcements[[#This Row],[Type]]="","",IF(Reinforcements[[#This Row],[Type]]="plate",Reinforcements[[#This Row],[B (in)]]*Reinforcements[[#This Row],[H (in)]]^3/12,IF(Reinforcements[[#This Row],[Type]]="solid round",PI()/64*Reinforcements[[#This Row],[Diameter (in)]]^4,""))),"")</f>
        <v>1.3834635416666667</v>
      </c>
      <c r="Q60" s="187">
        <f>IF(Reinforcements[[#This Row],[Reinforcement]]="","",SQRT(Reinforcements[[#This Row],[Ix]]/Reinforcements[[#This Row],[Gross Area (in2)]]))</f>
        <v>0.36084391824351614</v>
      </c>
      <c r="R60" s="187">
        <f>IFERROR(IF(Reinforcements[[#This Row],[Type]]="","",IF(Reinforcements[[#This Row],[Type]]="plate",Reinforcements[[#This Row],[B (in)]]^3*Reinforcements[[#This Row],[H (in)]]/12,IF(Reinforcements[[#This Row],[Type]]="solid round",PI()/64*Reinforcements[[#This Row],[Diameter (in)]]^4,""))),"")</f>
        <v>63.971354166666664</v>
      </c>
      <c r="S60" s="187">
        <f>IF(Reinforcements[[#This Row],[Reinforcement]]="","",SQRT(Reinforcements[[#This Row],[Iy]]/Reinforcements[[#This Row],[Gross Area (in2)]]))</f>
        <v>2.4537386440559095</v>
      </c>
      <c r="T60" s="190">
        <v>17.25</v>
      </c>
      <c r="U60" s="188">
        <v>0.8</v>
      </c>
      <c r="V60" s="188">
        <v>1</v>
      </c>
      <c r="W60" s="185">
        <v>1.25</v>
      </c>
      <c r="X60" s="188">
        <f>IF(Reinforcements[[#This Row],[Bolt Hole Size (in)]]="","",IF(Reinforcements[[#This Row],[Bolt Hole Size (in)]]="n/a","n/a",Reinforcements[[#This Row],[Bolt Hole Size (in)]]*25.4))</f>
        <v>31.75</v>
      </c>
      <c r="Y60"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8.984375</v>
      </c>
      <c r="Z60" s="185">
        <f>IFERROR(IF(Reinforcements[[#This Row],[Reinforcement]]="","",IF(OR(Reinforcements[[#This Row],[Type]]="plate",Reinforcements[[#This Row],[Type]]="solid round"),1,IF(Reinforcements[[#This Row],[Type]]="arbitrary","",1-Reinforcements[[#This Row],[Pole Face to Centroid (in)]]/Reinforcements[[#This Row],[Connection Length (in) '[Channels']]]))),"")</f>
        <v>1</v>
      </c>
      <c r="AA60" s="189" t="s">
        <v>391</v>
      </c>
      <c r="AB60" s="189" t="str">
        <f>IF(Reinforcements[[#This Row],[Reinforcement]]="","",IF(Reinforcements[[#This Row],[Bottom End Connection Type]]&lt;&gt;"Capacity Input","-",""))</f>
        <v>-</v>
      </c>
      <c r="AC60" s="189" t="str">
        <f>IF(Reinforcements[[#This Row],[Reinforcement]]="","",IF(Reinforcements[[#This Row],[Bottom End Connection Type]]&lt;&gt;"Capacity Input","-",""))</f>
        <v>-</v>
      </c>
      <c r="AD60" s="461" t="str">
        <f>IF(Reinforcements[[#This Row],[Reinforcement]]="","",IF(Reinforcements[[#This Row],[Bottom End Connection Type]]&lt;&gt;"Capacity Input","-",""))</f>
        <v>-</v>
      </c>
      <c r="AE60" s="103" t="s">
        <v>416</v>
      </c>
      <c r="AF60" s="190" t="s">
        <v>296</v>
      </c>
      <c r="AG60" s="190">
        <v>15</v>
      </c>
      <c r="AH60" s="190">
        <v>3</v>
      </c>
      <c r="AI60" s="190">
        <v>3</v>
      </c>
      <c r="AJ60" s="190">
        <f>Reinforcements[[#This Row],[End Connection Edge Distance (in) (B)]]-(Reinforcements[[#This Row],[Bolt Hole Size (in)]]+1/16)/2</f>
        <v>2.34375</v>
      </c>
      <c r="AK60" s="190">
        <f>Reinforcements[[#This Row],[End Connection Bolt Spacing (in) (B)]]-(Reinforcements[[#This Row],[Bolt Hole Size (in)]]+1/16)</f>
        <v>1.6875</v>
      </c>
      <c r="AL60" s="190">
        <f>Reinforcements[[#This Row],[End Connection Edge Distance (in) (B)]]</f>
        <v>3</v>
      </c>
      <c r="AM60" s="190">
        <f>Reinforcements[[#This Row],[End Connection Bolt Spacing (in) (B)]]</f>
        <v>3</v>
      </c>
      <c r="AN60" s="190" t="str">
        <f>IF(Reinforcements[[#This Row],[Reinforcement]]="","",IF(OR(Reinforcements[[#This Row],[Bottom End Connection Type]]="Bolted",Reinforcements[[#This Row],[Bottom End Connection Type]]=""),"-",""))</f>
        <v>-</v>
      </c>
      <c r="AO60" s="191" t="str">
        <f>IF(Reinforcements[[#This Row],[Reinforcement]]="","",IF(OR(Reinforcements[[#This Row],[Bottom End Connection Type]]="Bolted",Reinforcements[[#This Row],[Bottom End Connection Type]]=""),"-",""))</f>
        <v>-</v>
      </c>
      <c r="AP60" s="191" t="str">
        <f>IF(Reinforcements[[#This Row],[Reinforcement]]="","",IF(OR(Reinforcements[[#This Row],[Bottom End Connection Type]]="Bolted",Reinforcements[[#This Row],[Bottom End Connection Type]]=""),"-",""))</f>
        <v>-</v>
      </c>
      <c r="AQ60" s="191" t="str">
        <f>IF(OR(Reinforcements[[#This Row],[Bottom End Connection Type]]="Bolted",Reinforcements[[#This Row],[Bottom Transverse (Horizontal) Weld]]="none"),"-","")</f>
        <v>-</v>
      </c>
      <c r="AR6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6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60" s="191" t="str">
        <f>IF(OR(Reinforcements[[#This Row],[Bottom Transverse (Horizontal) Weld]]="none",Reinforcements[[#This Row],[Bottom End Connection Type]]="Bolted"),"-","")</f>
        <v>-</v>
      </c>
      <c r="AU60"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60" s="191" t="str">
        <f>IF(Reinforcements[[#This Row],[Reinforcement]]="","",IF(OR(Reinforcements[[#This Row],[Bottom End Connection Type]]="Bolted",Reinforcements[[#This Row],[Bottom End Connection Type]]=""),"-",""))</f>
        <v>-</v>
      </c>
      <c r="AW60" s="191" t="str">
        <f>IF(Reinforcements[[#This Row],[Reinforcement]]="","",IF(OR(Reinforcements[[#This Row],[Bottom End Connection Type]]&lt;&gt;"Welded",Reinforcements[[#This Row],[Bottom Longitudinal (Vertical) Weld]]="None",Reinforcements[[#This Row],[Bottom Longitudinal (Vertical) Weld]]=""),"-",""))</f>
        <v>-</v>
      </c>
      <c r="AX60" s="191" t="str">
        <f>IF(Reinforcements[[#This Row],[Reinforcement]]="","",IF(OR(Reinforcements[[#This Row],[Bottom End Connection Type]]&lt;&gt;"Welded",Reinforcements[[#This Row],[Bottom Longitudinal (Vertical) Weld]]="None",Reinforcements[[#This Row],[Bottom Longitudinal (Vertical) Weld]]=""),"-",""))</f>
        <v>-</v>
      </c>
      <c r="AY60" s="190" t="str">
        <f>IF(Reinforcements[[#This Row],[Reinforcement]]="","",IF(OR(Reinforcements[[#This Row],[Bottom End Connection Type]]&lt;&gt;"Welded",Reinforcements[[#This Row],[Bottom Longitudinal (Vertical) Weld]]="None"),"-",SQRT(2)/2*Reinforcements[[#This Row],[Bottom Longitudinal Weld Fillet Size (in)]]))</f>
        <v>-</v>
      </c>
      <c r="AZ60" s="190" t="s">
        <v>295</v>
      </c>
      <c r="BA60" s="189" t="str">
        <f>IF(Reinforcements[[#This Row],[Top End Connection Same?]]="Yes",Reinforcements[[#This Row],[Bottom End Connection Type]],"")</f>
        <v>Bolted</v>
      </c>
      <c r="BB60" s="189" t="str">
        <f>IF(Reinforcements[[#This Row],[Reinforcement]]="","",IF(Reinforcements[[#This Row],[Top End Connection Same?]]="Yes",Reinforcements[[#This Row],[Rev. F Bottom Connection Capacity (kips)]],IF(Reinforcements[[#This Row],[Reinforcement]]="","",IF(Reinforcements[[#This Row],[Top End Connection Type]]&lt;&gt;"Capacity Input","-",""))))</f>
        <v>-</v>
      </c>
      <c r="BC60" s="189" t="str">
        <f>IF(Reinforcements[[#This Row],[Reinforcement]]="","",IF(Reinforcements[[#This Row],[Top End Connection Same?]]="Yes",Reinforcements[[#This Row],[Rev. G Bottom Connection Capacity (kips)]],IF(Reinforcements[[#This Row],[Reinforcement]]="","",IF(Reinforcements[[#This Row],[Top End Connection Type]]&lt;&gt;"Capacity Input","-",""))))</f>
        <v>-</v>
      </c>
      <c r="BD60" s="461" t="str">
        <f>IF(Reinforcements[[#This Row],[Reinforcement]]="","",IF(Reinforcements[[#This Row],[Top End Connection Same?]]="Yes",Reinforcements[[#This Row],[Rev. G Bottom Connection Capacity (kips)]],IF(Reinforcements[[#This Row],[Reinforcement]]="","",IF(Reinforcements[[#This Row],[Top End Connection Type]]&lt;&gt;"Capacity Input","-",""))))</f>
        <v>-</v>
      </c>
      <c r="BE60" s="103" t="str">
        <f>IF(Reinforcements[[#This Row],[Top End Connection Same?]]="Yes",Reinforcements[[#This Row],[Bottom End Connection Bolt Type]],IF(Reinforcements[[#This Row],[Top End Connection Type]]="Welded","-",""))</f>
        <v>PC 8.8 - M20 (100)</v>
      </c>
      <c r="BF60" s="190" t="str">
        <f>IF(Reinforcements[[#This Row],[Top End Connection Same?]]="Yes",Reinforcements[[#This Row],[Threads Included (N) or Excluded (X) (Bottom)]],IF(Reinforcements[[#This Row],[Top End Connection Type]]="Welded","-",""))</f>
        <v>N</v>
      </c>
      <c r="BG60" s="190">
        <f>IF(Reinforcements[[#This Row],[Top End Connection Same?]]="Yes",Reinforcements[[#This Row],['# of End Connection Bolts          (Bottom)]],IF(Reinforcements[[#This Row],[Top End Connection Type]]="Welded","-",""))</f>
        <v>15</v>
      </c>
      <c r="BH60" s="190">
        <f>IF(Reinforcements[[#This Row],[Top End Connection Same?]]="Yes",Reinforcements[[#This Row],[End Connection Bolt Spacing (in) (B)]],IF(Reinforcements[[#This Row],[Top End Connection Type]]="Welded","-",""))</f>
        <v>3</v>
      </c>
      <c r="BI60" s="190">
        <f>IF(Reinforcements[[#This Row],[Top End Connection Same?]]="Yes",Reinforcements[[#This Row],[End Connection Edge Distance (in) (B)]],IF(Reinforcements[[#This Row],[Top End Connection Type]]="Welded","-",""))</f>
        <v>3</v>
      </c>
      <c r="BJ60" s="190">
        <f>Reinforcements[[#This Row],[End Connection Edge Distance (in) (T)]]-(Reinforcements[[#This Row],[Bolt Hole Size (in)]]+1/16)/2</f>
        <v>2.34375</v>
      </c>
      <c r="BK60" s="190">
        <f>Reinforcements[[#This Row],[End Connection Bolt Spacing (in) (T)]]-(Reinforcements[[#This Row],[Bolt Hole Size (in)]]+1/16)</f>
        <v>1.6875</v>
      </c>
      <c r="BL60" s="190">
        <f>Reinforcements[[#This Row],[End Connection Edge Distance (in) (T)]]</f>
        <v>3</v>
      </c>
      <c r="BM60" s="190">
        <f>Reinforcements[[#This Row],[End Connection Bolt Spacing (in) (T)]]</f>
        <v>3</v>
      </c>
      <c r="BN60" s="190" t="str">
        <f>IF(Reinforcements[[#This Row],[Reinforcement]]="","",IF(Reinforcements[[#This Row],[Top End Connection Same?]]="Yes",Reinforcements[[#This Row],[Bottom Connected to Flange/Base Plate?]],IF(Reinforcements[[#This Row],[Top End Connection Type]]="Bolted","-","")))</f>
        <v>-</v>
      </c>
      <c r="BO60" s="190" t="str">
        <f>IF(Reinforcements[[#This Row],[Reinforcement]]="","",IF(Reinforcements[[#This Row],[Top End Connection Same?]]="Yes",Reinforcements[[#This Row],[Bottom Weld Grade (ksi)]],IF(OR(Reinforcements[[#This Row],[Top End Connection Type]]&lt;&gt;"Welded",Reinforcements[[#This Row],[Top End Connection Type]]=""),"-","")))</f>
        <v>-</v>
      </c>
      <c r="BP60" s="190" t="str">
        <f>IF($AZ60="Yes",AP60,IF(Reinforcements[[#This Row],[Reinforcement]]="","",IF(OR(Reinforcements[[#This Row],[Top End Connection Type]]&lt;&gt;"Welded",Reinforcements[[#This Row],[Top End Connection Type]]=""),"-","")))</f>
        <v>-</v>
      </c>
      <c r="BQ60" s="190" t="str">
        <f>IF(Reinforcements[[#This Row],[Reinforcement]]="","",IF($AZ60="Yes",AQ60,IF(OR(Reinforcements[[#This Row],[Top End Connection Type]]&lt;&gt;"Welded",Reinforcements[[#This Row],[Top Transverse (Horizontal) Weld]]="none",Reinforcements[[#This Row],[Top Transverse (Horizontal) Weld]]=""),"-","")))</f>
        <v>-</v>
      </c>
      <c r="BR60" s="190" t="str">
        <f>IF($AZ60="Yes",AR60,IF(Reinforcements[[#This Row],[Reinforcement]]="","",IF(OR(Reinforcements[[#This Row],[Top Transverse (Horizontal) Weld]]="none",Reinforcements[[#This Row],[Top End Connection Type]]&lt;&gt;"Welded",Reinforcements[[#This Row],[Top Transverse (Horizontal) Weld]]="",Reinforcements[[#This Row],[Top Transverse (Horizontal) Weld]]="Fillet"),"-","")))</f>
        <v>-</v>
      </c>
      <c r="BS60" s="190" t="str">
        <f>IF($AZ60="Yes",AS60,IF(Reinforcements[[#This Row],[Reinforcement]]="","",IF(OR(Reinforcements[[#This Row],[Top Transverse (Horizontal) Weld]]="none",Reinforcements[[#This Row],[Top End Connection Type]]&lt;&gt;"Welded",Reinforcements[[#This Row],[Top Transverse (Horizontal) Weld]]="",Reinforcements[[#This Row],[Top Transverse (Horizontal) Weld]]="Fillet"),"-","")))</f>
        <v>-</v>
      </c>
      <c r="BT60" s="190" t="str">
        <f>IF(Reinforcements[[#This Row],[Reinforcement]]="","",IF($AZ60="Yes",AT60,IF(OR(Reinforcements[[#This Row],[Top Transverse (Horizontal) Weld]]="none",Reinforcements[[#This Row],[Top End Connection Type]]&lt;&gt;"Welded",Reinforcements[[#This Row],[Top Transverse (Horizontal) Weld]]=""),"-","")))</f>
        <v>-</v>
      </c>
      <c r="BU60" s="190" t="str">
        <f>IF($AZ60="Yes",AU60,IF(Reinforcements[[#This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60" s="190" t="str">
        <f>IF($AZ60="Yes",AV60,IF(Reinforcements[[#This Row],[Reinforcement]]="","",IF(OR(Reinforcements[[#This Row],[Top End Connection Type]]&lt;&gt;"Welded",Reinforcements[[#This Row],[Top End Connection Type]]=""),"-","")))</f>
        <v>-</v>
      </c>
      <c r="BW60" s="190" t="str">
        <f>IF($AZ60="Yes",AW60,IF(Reinforcements[[#This Row],[Reinforcement]]="","",IF(OR(Reinforcements[[#This Row],[Top End Connection Type]]&lt;&gt;"Welded",Reinforcements[[#This Row],[Top End Connection Type]]="",Reinforcements[[#This Row],[Top Longitudinal (Vertical) Weld]]="",Reinforcements[[#This Row],[Top Longitudinal (Vertical) Weld]]="None"),"-","")))</f>
        <v>-</v>
      </c>
      <c r="BX60" s="190" t="str">
        <f>IF($AZ60="Yes",AX60,IF(Reinforcements[[#This Row],[Reinforcement]]="","",IF(OR(Reinforcements[[#This Row],[Top End Connection Type]]&lt;&gt;"Welded",Reinforcements[[#This Row],[Top End Connection Type]]="",Reinforcements[[#This Row],[Top Longitudinal (Vertical) Weld]]="",Reinforcements[[#This Row],[Top Longitudinal (Vertical) Weld]]="None"),"-","")))</f>
        <v>-</v>
      </c>
      <c r="BY60" s="190" t="str">
        <f>IF($AZ60="Yes",AY60,IF(Reinforcements[[#This Row],[Reinforcement]]="","",IF(OR(Reinforcements[[#This Row],[Top End Connection Type]]&lt;&gt;"Welded",Reinforcements[[#This Row],[Top Longitudinal (Vertical) Weld]]="none"),"-",SQRT(2)/2*Reinforcements[[#This Row],[Top Longitudinal Weld Fillet Size (in)]])))</f>
        <v>-</v>
      </c>
      <c r="BZ60"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60" s="192">
        <f>IF(Reinforcements[[#This Row],[Reinforcement]]="","",IF(Reinforcements[[#This Row],[Bottom End Connection Type]]&lt;&gt;"Bolted","n/a",(Reinforcements[[#This Row],['# of End Connection Bolts          (Bottom)]]-1)*Reinforcements[[#This Row],[End Connection Bolt Spacing (in) (B)]]+Reinforcements[[#This Row],[End Connection Edge Distance (in) (B)]]))</f>
        <v>45</v>
      </c>
      <c r="CB60" s="192">
        <f>IF(Reinforcements[[#This Row],[Reinforcement]]="","",IF(Reinforcements[[#This Row],[Top End Connection Type]]&lt;&gt;"Bolted","n/a",(Reinforcements[[#This Row],['# of End Connection Bolts          (Top)]]-1)*Reinforcements[[#This Row],[End Connection Bolt Spacing (in) (T)]]+Reinforcements[[#This Row],[End Connection Edge Distance (in) (T)]]))</f>
        <v>45</v>
      </c>
      <c r="CC60"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60"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60" s="185">
        <f>IFERROR(IF(Reinforcements[[#This Row],[Type]]="","",Reinforcements[[#This Row],[Effective B (in)]]*Reinforcements[[#This Row],[Effective H (in)]]^3/12),"")</f>
        <v>1.3834635416666667</v>
      </c>
      <c r="CF60" s="185">
        <f>IFERROR(IF(Reinforcements[[#This Row],[Type]]="","",Reinforcements[[#This Row],[Effective B (in)]]^3*Reinforcements[[#This Row],[Effective H (in)]]/12),"")</f>
        <v>63.971354166666664</v>
      </c>
      <c r="CG60" s="197">
        <f>SQRT(2*PI()^2*29000/VLOOKUP(Reinforcements[[#This Row],[Material]],Materials[],2,FALSE))</f>
        <v>93.844147005158973</v>
      </c>
      <c r="CH60"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32.910895810867657</v>
      </c>
      <c r="CI60"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38.24710860876359</v>
      </c>
      <c r="CJ60" s="239">
        <f>Reinforcements[[#This Row],[Effective Length Factor Kx]]*Reinforcements[[#This Row],[Lu (in)]]/(Reinforcements[[#This Row],[rx]]*PI())*SQRT(VLOOKUP(Reinforcements[[#This Row],[Material]],Materials[],2,FALSE)/29000)</f>
        <v>0.57632505858547911</v>
      </c>
      <c r="CK60" s="239">
        <f>Reinforcements[[#This Row],[Effective Length Factor Ky]]*Reinforcements[[#This Row],[Lu (in)]]/(Reinforcements[[#This Row],[ry]]*PI())*SQRT(VLOOKUP(Reinforcements[[#This Row],[Material]],Materials[],2,FALSE)/29000)</f>
        <v>0.10594210635762485</v>
      </c>
      <c r="CL60" s="239">
        <f>IF(Reinforcements[[#This Row],[λcx]]&lt;=1.5,0.658^(Reinforcements[[#This Row],[λcx]]^2)*Reinforcements[[#This Row],[F''y]],0.877/(Reinforcements[[#This Row],[λcx]]^2)*Reinforcements[[#This Row],[F''y]])</f>
        <v>56.563592264529326</v>
      </c>
      <c r="CM60" s="239">
        <f>IF(Reinforcements[[#This Row],[λcy]]&lt;=1.5,0.658^(Reinforcements[[#This Row],[λcy]]^2)*Reinforcements[[#This Row],[F''y]],0.877/(Reinforcements[[#This Row],[λcy]]^2)*Reinforcements[[#This Row],[F''y]])</f>
        <v>64.695365856194599</v>
      </c>
      <c r="CN60" s="236">
        <f>VLOOKUP(Reinforcements[[#This Row],[Material]],Materials[],2,FALSE)</f>
        <v>65</v>
      </c>
      <c r="CO60" s="235">
        <f>IF(Reinforcements[[#This Row],[Reinforcement]]="","",Reinforcements[[#This Row],[Fax]]*Reinforcements[[#This Row],[Gross Area (in2)]])</f>
        <v>349.67826799046884</v>
      </c>
      <c r="CP60" s="197">
        <f>IF(Reinforcements[[#This Row],[Reinforcement]]="","",Reinforcements[[#This Row],[Fay]]*Reinforcements[[#This Row],[Gross Area (in2)]])</f>
        <v>406.37552896811314</v>
      </c>
      <c r="CQ60" s="197">
        <f>IF(Reinforcements[[#This Row],[Reinforcement]]="","",0.6*VLOOKUP(Reinforcements[[#This Row],[Material]],Materials[],2,FALSE)*Reinforcements[[#This Row],[Gross Area (in2)]])</f>
        <v>414.375</v>
      </c>
      <c r="CR60" s="197">
        <f>IF(Reinforcements[[#This Row],[Reinforcement]]="","",0.5*VLOOKUP(Reinforcements[[#This Row],[Material]],Materials[],3,FALSE)*Reinforcements[[#This Row],[Net Area (in2)]]*Reinforcements[[#This Row],[Shear Lag (U)]])</f>
        <v>359.375</v>
      </c>
      <c r="CS60" s="197">
        <f>IF(Reinforcements[[#This Row],[Reinforcement]]="","",0.4*VLOOKUP(Reinforcements[[#This Row],[Material]],Materials[],2,FALSE)*Reinforcements[[#This Row],[Gross Area (in2)]])</f>
        <v>276.25</v>
      </c>
      <c r="CT60"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349.28447518244946</v>
      </c>
      <c r="CU60"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60"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20.551181102362207</v>
      </c>
      <c r="CW60"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22.712598425196852</v>
      </c>
      <c r="CX60"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60"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60"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2055.1181102362207</v>
      </c>
      <c r="DA60"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2271.2598425196852</v>
      </c>
      <c r="DB60"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2055.1181102362207</v>
      </c>
      <c r="DC60"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2271.2598425196852</v>
      </c>
      <c r="DD60"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60"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60" s="190" t="str">
        <f>IF($AZ60="Yes",DD60,IF(Reinforcements[[#This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60" s="190" t="str">
        <f>IF($AZ60="Yes",DE60,IF(Reinforcements[[#This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60" s="235">
        <f>IF(Reinforcements[[#This Row],[Reinforcement]]="","",φ_c*Reinforcements[[#This Row],[Fcr,x]]*Reinforcements[[#This Row],[Gross Area (in2)]])</f>
        <v>540.88935102956168</v>
      </c>
      <c r="DI60" s="235">
        <f>IF(Reinforcements[[#This Row],[Reinforcement]]="","",φ_c*Reinforcements[[#This Row],[Fcr,y]]*Reinforcements[[#This Row],[Gross Area (in2)]])</f>
        <v>618.64943599986088</v>
      </c>
      <c r="DJ60" s="197">
        <f>IF(Reinforcements[[#This Row],[Reinforcement]]="","",φ_t_y*VLOOKUP(Reinforcements[[#This Row],[Material]],Materials[],2,FALSE)*Reinforcements[[#This Row],[Gross Area (in2)]])</f>
        <v>621.5625</v>
      </c>
      <c r="DK60" s="197">
        <f>IF(Reinforcements[[#This Row],[Reinforcement]]="","",φ_t_r*VLOOKUP(Reinforcements[[#This Row],[Material]],Materials[],3,FALSE)*Reinforcements[[#This Row],[Net Area (in2)]]*Reinforcements[[#This Row],[Shear Lag (U)]])</f>
        <v>539.0625</v>
      </c>
      <c r="DL60" s="197">
        <f>IF(Reinforcements[[#This Row],[Reinforcement]]="","",φ_v*0.5*Reinforcements[[#This Row],[F''y]]*Reinforcements[[#This Row],[Gross Area (in2)]])</f>
        <v>310.78125</v>
      </c>
      <c r="DM60"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619.04905659002497</v>
      </c>
      <c r="DN60"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60"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28.708346456692915</v>
      </c>
      <c r="DP60"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35.885433070866149</v>
      </c>
      <c r="DQ60"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28.708346456692915</v>
      </c>
      <c r="DR60"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35.885433070866149</v>
      </c>
      <c r="DS60"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2870.8346456692907</v>
      </c>
      <c r="DT60"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3588.5433070866147</v>
      </c>
      <c r="DU60"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2870.8346456692907</v>
      </c>
      <c r="DV60"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3588.5433070866147</v>
      </c>
      <c r="DW60"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60"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60" s="190" t="str">
        <f>IF($AZ60="Yes",DW60,IF(Reinforcements[[#This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60" s="190" t="str">
        <f>IF($AZ60="Yes",DX60,IF(Reinforcements[[#This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60" s="238" t="str">
        <f>IF(OR(Reinforcements[[#This Row],[Type]]="plate",Reinforcements[[#This Row],[Type]]="solid round"),"N/A",Reinforcements[[#This Row],[B (in)]])</f>
        <v>N/A</v>
      </c>
      <c r="EB60" s="236" t="str">
        <f>IF(OR(Reinforcements[[#This Row],[Type]]="plate",Reinforcements[[#This Row],[Type]]="solid round"),"N/A",Reinforcements[[#This Row],[H (in)]])</f>
        <v>N/A</v>
      </c>
      <c r="EC60" s="236" t="str">
        <f>IF(OR(Reinforcements[[#This Row],[Type]]="plate",Reinforcements[[#This Row],[Type]]="solid round"),"N/A",Reinforcements[[#This Row],[B (in)]]-Reinforcements[[#This Row],['[Channel'] Flange Thickness (in)]])</f>
        <v>N/A</v>
      </c>
      <c r="ED60" s="236" t="str">
        <f>IF(OR(Reinforcements[[#This Row],[Type]]="plate",Reinforcements[[#This Row],[Type]]="solid round"),"N/A",Reinforcements[[#This Row],['[Channel']Web Thickness (in)]])</f>
        <v>N/A</v>
      </c>
      <c r="EE60" s="236" t="str">
        <f>IF(OR(Reinforcements[[#This Row],[Type]]="plate",Reinforcements[[#This Row],[Type]]="solid round"),"N/A",Reinforcements[[#This Row],['[Channel'] Flange Thickness (in)]])</f>
        <v>N/A</v>
      </c>
      <c r="EF60" s="236" t="str">
        <f>IF(Reinforcements[[#This Row],[Type]]="channel",Reinforcements[[#This Row],[Channel Flange Width, b]]/Reinforcements[[#This Row],[Channel flange thickness, tf]],"N/A")</f>
        <v>N/A</v>
      </c>
      <c r="EG60" s="236" t="str">
        <f>IF(Reinforcements[[#This Row],[Type]]="channel",Reinforcements[[#This Row],[Channel inside depth, T]]/Reinforcements[[#This Row],[Channel web thickness, tw]],"N/A")</f>
        <v>N/A</v>
      </c>
      <c r="EH60" s="237">
        <v>29000</v>
      </c>
      <c r="EI60" s="237" t="str">
        <f>IF(Reinforcements[[#This Row],[Type]]="channel",0.56*SQRT(Reinforcements[[#This Row],[E, (ksi)]]/Reinforcements[[#This Row],[Fy, (ksi)]]),"N/A")</f>
        <v>N/A</v>
      </c>
      <c r="EJ60" s="237" t="str">
        <f>IF(Reinforcements[[#This Row],[Type]]="channel",1.49*SQRT(Reinforcements[[#This Row],[E, (ksi)]]/Reinforcements[[#This Row],[Fy, (ksi)]]),"N/A")</f>
        <v>N/A</v>
      </c>
      <c r="EK60" s="237">
        <f>VLOOKUP(Reinforcements[[#This Row],[Material]],Materials!$B$2:$C$30,2,FALSE)</f>
        <v>65</v>
      </c>
      <c r="EL60" s="237">
        <f>Reinforcements[[#This Row],[Lu (in)]]*Reinforcements[[#This Row],[Effective Length Factor Kx]]</f>
        <v>13.8</v>
      </c>
      <c r="EM60" s="237">
        <f>Reinforcements[[#This Row],[Lu (in)]]*Reinforcements[[#This Row],[Effective Length Factor Ky]]</f>
        <v>17.25</v>
      </c>
      <c r="EN60" s="237">
        <f>Reinforcements[[#This Row],[rx]]</f>
        <v>0.36084391824351614</v>
      </c>
      <c r="EO60" s="237">
        <f>Reinforcements[[#This Row],[ry]]</f>
        <v>2.4537386440559095</v>
      </c>
      <c r="EP60" s="237">
        <f>Reinforcements[[#This Row],[Lcx (in)]]/Reinforcements[[#This Row],[rx (in)]]</f>
        <v>38.24368183112081</v>
      </c>
      <c r="EQ60" s="237">
        <f>Reinforcements[[#This Row],[Lcy (in)]]/Reinforcements[[#This Row],[ry (in)]]</f>
        <v>7.0300885718972079</v>
      </c>
      <c r="ER60" s="237">
        <f>((PI()^2)*Reinforcements[[#This Row],[E, (ksi)]])/(Reinforcements[[#This Row],[Lcx/rx]]^2)</f>
        <v>195.69437855508363</v>
      </c>
      <c r="ES60" s="237">
        <f>((PI()^2)*Reinforcements[[#This Row],[E, (ksi)]])/(Reinforcements[[#This Row],[Lcy/ry]]^2)</f>
        <v>5791.3011612077225</v>
      </c>
      <c r="ET60" s="237">
        <f>4.71*(SQRT(Reinforcements[[#This Row],[E, (ksi)]]/Reinforcements[[#This Row],[Fy, (ksi)]]))</f>
        <v>99.486288193205496</v>
      </c>
      <c r="EU60" s="237">
        <f>IF(Reinforcements[[#This Row],[Lcx/rx]]&lt;=Reinforcements[[#This Row],[Fcr Limit]],(0.658^(Reinforcements[[#This Row],[Fy, (ksi)]]/Reinforcements[[#This Row],[Fex, FB (ksi)]]))*Reinforcements[[#This Row],[Fy, (ksi)]],0.877*Reinforcements[[#This Row],[Fex, FB (ksi)]])</f>
        <v>56.563592264529319</v>
      </c>
      <c r="EV60" s="237">
        <f>IF(Reinforcements[[#This Row],[Lcy/ry]]&lt;=Reinforcements[[#This Row],[Fcr Limit]],(0.658^(Reinforcements[[#This Row],[Fy, (ksi)]]/Reinforcements[[#This Row],[Fey, FB (ksi)]]))*Reinforcements[[#This Row],[Fy, (ksi)]],0.877*Reinforcements[[#This Row],[Fey, FB (ksi)]])</f>
        <v>64.695365856194599</v>
      </c>
      <c r="EW60" s="237">
        <f>Reinforcements[[#This Row],[Fcrx (ksi)]]*Reinforcements[[#This Row],[Gross Area (in2)]]</f>
        <v>600.98816781062396</v>
      </c>
      <c r="EX60" s="237">
        <f>Reinforcements[[#This Row],[Fcry (ksi)]]*Reinforcements[[#This Row],[Gross Area (in2)]]</f>
        <v>687.38826222206762</v>
      </c>
      <c r="EY60" s="237" t="str">
        <f>IF(Reinforcements[[#This Row],[Type]]="channel",0,"N/A")</f>
        <v>N/A</v>
      </c>
      <c r="EZ60" s="237" t="str">
        <f>IF(Reinforcements[[#This Row],[Type]]="channel",Reinforcements[[#This Row],[Channel Flange Width, b]]-(0.5*Reinforcements[[#This Row],[Channel web thickness, tw]]),"N/A")</f>
        <v>N/A</v>
      </c>
      <c r="FA60" s="237" t="str">
        <f>IF(Reinforcements[[#This Row],[Type]]="channel",Reinforcements[[#This Row],[Channel Height, h]]-Reinforcements[[#This Row],[Channel flange thickness, tf]],"N/A")</f>
        <v>N/A</v>
      </c>
      <c r="FB60" s="237" t="str">
        <f>IF(Reinforcements[[#This Row],[Type]]="channel",Reinforcements[[#This Row],[Channel web thickness, tw]],"N/A")</f>
        <v>N/A</v>
      </c>
      <c r="FC60" s="237" t="str">
        <f>IF(Reinforcements[[#This Row],[Type]]="channel",((3*Reinforcements[[#This Row],[b]]^2)/(Reinforcements[[#This Row],[h]]+(6*Reinforcements[[#This Row],[b]])))-Reinforcements[[#This Row],[t]]/2,"N/A")</f>
        <v>N/A</v>
      </c>
      <c r="FD60" s="237">
        <f>Reinforcements[[#This Row],[Pole Face to Centroid (in)]]</f>
        <v>0.625</v>
      </c>
      <c r="FE60" s="236" t="str">
        <f>IF(Reinforcements[[#This Row],[Type]]="channel",Reinforcements[[#This Row],[x(bar)]]+Reinforcements[[#This Row],['[Channel'] e0 (in)]],"N/A")</f>
        <v>N/A</v>
      </c>
      <c r="FF60" s="236" t="str">
        <f>IF(Reinforcements[[#This Row],[Type]]="channel",Reinforcements[[#This Row],[Ix]],"N/A")</f>
        <v>N/A</v>
      </c>
      <c r="FG60" s="236" t="str">
        <f>IF(Reinforcements[[#This Row],[Type]]="channel",Reinforcements[[#This Row],[Iy]],"N/A")</f>
        <v>N/A</v>
      </c>
      <c r="FH60" s="236" t="str">
        <f>IF(Reinforcements[[#This Row],[Type]]="channel",Reinforcements[[#This Row],[Gross Area (in2)]],"N/A")</f>
        <v>N/A</v>
      </c>
      <c r="FI60" s="236" t="str">
        <f>IF(Reinforcements[[#This Row],[Type]]="channel",(Reinforcements[[#This Row],[xo]]^2)+((Reinforcements[[#This Row],[Ix (FTB)]]+Reinforcements[[#This Row],[Iy (FTB)]])/Reinforcements[[#This Row],[Ag]]),"N/A")</f>
        <v>N/A</v>
      </c>
      <c r="FJ60" s="236" t="str">
        <f>IF(Reinforcements[[#This Row],[Type]]="channel",Reinforcements[[#This Row],[Lu (in)]],"N/A")</f>
        <v>N/A</v>
      </c>
      <c r="FK60" s="236" t="str">
        <f>IF(Reinforcements[[#This Row],[Type]]="channel",Reinforcements[[#This Row],[Effective Length Factor Kx]],"N/A")</f>
        <v>N/A</v>
      </c>
      <c r="FL60" s="236" t="str">
        <f>IF(Reinforcements[[#This Row],[Type]]="channel",Reinforcements[[#This Row],[Kz]]*Reinforcements[[#This Row],[Lz]],"N/A")</f>
        <v>N/A</v>
      </c>
      <c r="FM60" s="236" t="str">
        <f>IF(Reinforcements[[#This Row],[Type]]="channel",(((Reinforcements[[#This Row],[t]]^3)/3)*(Reinforcements[[#This Row],[h]]+(2*Reinforcements[[#This Row],[b]]))),"N/A")</f>
        <v>N/A</v>
      </c>
      <c r="FN60" s="236" t="str">
        <f>IF(Reinforcements[[#This Row],[Type]]="channel",(1-(((Reinforcements[[#This Row],[xo]]^2)+(Reinforcements[[#This Row],[yo]]^2))/Reinforcements[[#This Row],[ro^2(bar)]])),"N/A")</f>
        <v>N/A</v>
      </c>
      <c r="FO60" s="237">
        <v>11200</v>
      </c>
      <c r="FP60" s="236" t="str">
        <f>IF(Reinforcements[[#This Row],[Type]]="channel",(((Reinforcements[[#This Row],[h]]^2)*(Reinforcements[[#This Row],[b]]^3)*Reinforcements[[#This Row],[t]])/12)*(((2*Reinforcements[[#This Row],[h]])+(3*Reinforcements[[#This Row],[b]]))/(Reinforcements[[#This Row],[h]]+(6*Reinforcements[[#This Row],[b]]))),"N/A")</f>
        <v>N/A</v>
      </c>
      <c r="FQ60" s="236" t="str">
        <f>IF(Reinforcements[[#This Row],[Type]]="Channel",((((PI()^2)*Reinforcements[[#This Row],[E, (ksi)]]*Reinforcements[[#This Row],['[Channel'] CW (in6)]])/(Reinforcements[[#This Row],[Lcz]]^2))+(Reinforcements[[#This Row],[G]]*Reinforcements[[#This Row],['[Channel'] J (in4)]]))*(1/(Reinforcements[[#This Row],[Ag]]*Reinforcements[[#This Row],[ro^2(bar)]])),"N/A")</f>
        <v>N/A</v>
      </c>
      <c r="FR60" s="236" t="str">
        <f>IF(Reinforcements[[#This Row],[Type]]="channel",((PI()^2)*Reinforcements[[#This Row],[E, (ksi)]])/(Reinforcements[[#This Row],[Lcy/ry]]^2),"N/A")</f>
        <v>N/A</v>
      </c>
      <c r="FS60" s="236" t="str">
        <f>IF(Reinforcements[[#This Row],[Type]]="channel",((Reinforcements[[#This Row],[Fey]]+Reinforcements[[#This Row],[Fez]])/(2*Reinforcements[[#This Row],[H2]]))*(1-SQRT(1-((4*Reinforcements[[#This Row],[Fey]]*Reinforcements[[#This Row],[Fez]]*Reinforcements[[#This Row],[H2]])/(Reinforcements[[#This Row],[Fey]]+Reinforcements[[#This Row],[Fez]])^2))),"N/A")</f>
        <v>N/A</v>
      </c>
      <c r="FT60" s="236" t="str">
        <f>IF(Reinforcements[[#This Row],[Type]]="channel",IF(Reinforcements[[#This Row],[Lcx/rx]]&gt;(4.71*SQRT(Reinforcements[[#This Row],[E, (ksi)]]/Reinforcements[[#This Row],[Fy, (ksi)]])),0.877*Reinforcements[[#This Row],[Fe (FTB)]],0.658^(Reinforcements[[#This Row],[Fy, (ksi)]]/Reinforcements[[#This Row],[Fe (FTB)]])*Reinforcements[[#This Row],[Fy, (ksi)]]),"N/A")</f>
        <v>N/A</v>
      </c>
      <c r="FU60" s="236" t="str">
        <f>IF(Reinforcements[[#This Row],[Type]]="channel",MIN(Reinforcements[[#This Row],[Fcr(FTB)]],Reinforcements[[#This Row],[Fcry (ksi)]]),"N/A")</f>
        <v>N/A</v>
      </c>
      <c r="FV60" s="237">
        <v>0.22</v>
      </c>
      <c r="FW60" s="237">
        <v>1.49</v>
      </c>
      <c r="FX60" s="236" t="str">
        <f>IF(Reinforcements[[#This Row],[Type]]="channel",((Reinforcements[[#This Row],[c2]]*(Reinforcements[[#This Row],[λrf]]/Reinforcements[[#This Row],[λf]]))^2)*Reinforcements[[#This Row],[Fy, (ksi)]],"N/A")</f>
        <v>N/A</v>
      </c>
      <c r="FY60" s="236" t="str">
        <f>IF(Reinforcements[[#This Row],[Type]]="channel",((Reinforcements[[#This Row],[c2]]*(Reinforcements[[#This Row],[λrw]]/Reinforcements[[#This Row],[λw]]))^2)*Reinforcements[[#This Row],[Fy, (ksi)]],"N/A")</f>
        <v>N/A</v>
      </c>
      <c r="FZ60"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0"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0"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0" s="236" t="str">
        <f>IF(Reinforcements[[#This Row],[Type]]="channel",Reinforcements[[#This Row],[Fcr]]*Reinforcements[[#This Row],[Ae]],"N/A")</f>
        <v>N/A</v>
      </c>
      <c r="GD60" s="466">
        <f>IF(Reinforcements[[#This Row],[Reinforcement]]="","",φ_c*Reinforcements[[#This Row],[Pnx, FB (kip)]])</f>
        <v>540.88935102956157</v>
      </c>
      <c r="GE60" s="466">
        <f>IF(Reinforcements[[#This Row],[Reinforcement]]="","",IF(Reinforcements[[#This Row],[Type]]="channel",φ_c*Reinforcements[[#This Row],[Pn]],φ_c*Reinforcements[[#This Row],[Pny, FB (kip)]]))</f>
        <v>618.64943599986088</v>
      </c>
      <c r="GF60" s="466">
        <f>Reinforcements[[#This Row],[Rev. G Tension Yield Capacity (kips)]]</f>
        <v>621.5625</v>
      </c>
      <c r="GG60" s="466">
        <f>Reinforcements[[#This Row],[Rev. G Tension Rupture Capacity (kips)]]</f>
        <v>539.0625</v>
      </c>
      <c r="GH60" s="466">
        <f>Reinforcements[[#This Row],[Rev. G Shear Capacity (kips)]]</f>
        <v>310.78125</v>
      </c>
      <c r="GI60" s="466">
        <f>IFERROR((Reinforcements[[#This Row],['# of End Connection Bolts          (Bottom)]]-1)*Reinforcements[[#This Row],[End Connection Bolt Spacing (in) (B)]],"-")</f>
        <v>42</v>
      </c>
      <c r="GJ60" s="466">
        <f>IFERROR(IF(VLOOKUP(Reinforcements[[#This Row],[Bottom End Connection Bolt Type]],Bolts[],COLUMN(Bolts[[#Headers],[Rev. H Apply Connection Length Reduction Factor (Rb)?]])-1,FALSE)="Yes",(IF(Reinforcements[[#This Row],[Lb(bottom)]]&lt;=16,1,IF(Reinforcements[[#This Row],[Lb(bottom)]]&gt;38,0.75,0.9))),1),"-")</f>
        <v>1</v>
      </c>
      <c r="GK60"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695.99461456226902</v>
      </c>
      <c r="GL60" s="466">
        <f>IFERROR(IF(Reinforcements[[#This Row],[Top End Connection Same?]]="Yes",Reinforcements[[#This Row],[Lb(bottom)]],(Reinforcements[[#This Row],['# of End Connection Bolts          (Top)]]-1)*Reinforcements[[#This Row],[End Connection Bolt Spacing (in) (T)]]),"-")</f>
        <v>42</v>
      </c>
      <c r="GM60" s="466">
        <f>IFERROR(IF(VLOOKUP(Reinforcements[[#This Row],[Top End Connection Bolt Type]],Bolts[],COLUMN(Bolts[[#Headers],[Rev. H Apply Connection Length Reduction Factor (Rb)?]])-1,FALSE)="Yes",(IF(Reinforcements[[#This Row],[Lb(top)]]&lt;=16,1,IF(Reinforcements[[#This Row],[Lb(top)]]&gt;38,0.75,0.9))),1),"-")</f>
        <v>1</v>
      </c>
      <c r="GN60"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695.99461456226902</v>
      </c>
      <c r="GO60" s="466">
        <f>Reinforcements[[#This Row],[Rev. G Bolt-Shaft Bearing Capacity (Bottom)                No Deformation          (*t*Fu kips)]]</f>
        <v>28.708346456692915</v>
      </c>
      <c r="GP60" s="466">
        <f>Reinforcements[[#This Row],[Rev. G Bolt-Shaft Bearing Capacity (Bottom)                   Deformation          (*t*Fu kips)]]</f>
        <v>35.885433070866149</v>
      </c>
      <c r="GQ60" s="466">
        <f>Reinforcements[[#This Row],[Rev. G Bolt-Shaft Bearing Capacity (Top)                    No Deformation          (*t*Fu kips)]]</f>
        <v>28.708346456692915</v>
      </c>
      <c r="GR60" s="466">
        <f>Reinforcements[[#This Row],[Rev. G Bolt-Shaft Bearing Capacity (Top)                        Deformation          (*t*Fu kips)]]</f>
        <v>35.885433070866149</v>
      </c>
      <c r="GS60" s="466">
        <f>Reinforcements[[#This Row],[Rev. G Bolt-Reinf. Bearing Capacity (Bottom)            No Deformation (kips)]]</f>
        <v>2870.8346456692907</v>
      </c>
      <c r="GT60" s="466">
        <f>Reinforcements[[#This Row],[Rev. G Bolt-Reinf. Bearing Capacity (Bottom)               Deformation (kips)]]</f>
        <v>3588.5433070866147</v>
      </c>
      <c r="GU60" s="466">
        <f>Reinforcements[[#This Row],[Rev. G Bolt-Reinf. Bearing Capacity (Top)                  No Deformation (kips)]]</f>
        <v>2870.8346456692907</v>
      </c>
      <c r="GV60" s="466">
        <f>Reinforcements[[#This Row],[Rev. G Bolt-Reinf. Bearing Capacity (Top)               Deformation (kips)]]</f>
        <v>3588.5433070866147</v>
      </c>
      <c r="GW60" s="466" t="str">
        <f>Reinforcements[[#This Row],[Rev. G Bottom Transverse Weld Strength]]</f>
        <v>-</v>
      </c>
      <c r="GX60" s="466" t="str">
        <f>Reinforcements[[#This Row],[Rev. G Bottom Longitudinal Weld Strength]]</f>
        <v>-</v>
      </c>
      <c r="GY60" s="466" t="str">
        <f>Reinforcements[[#This Row],[Rev. G Top Transverse Weld Strength]]</f>
        <v>-</v>
      </c>
      <c r="GZ60" s="466" t="str">
        <f>Reinforcements[[#This Row],[Rev. G Top Longitudinal Weld Strength]]</f>
        <v>-</v>
      </c>
      <c r="HA60" s="552">
        <v>58</v>
      </c>
      <c r="HB60"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61" spans="2:210" x14ac:dyDescent="0.2">
      <c r="B61" s="129"/>
      <c r="C61" s="129"/>
      <c r="D61" s="201" t="str">
        <f>IF(Reinforcements[[#This Row],[Type]]="","",IF(Reinforcements[[#This Row],[Type]]="solid round","-",""))</f>
        <v/>
      </c>
      <c r="E61" s="201" t="str">
        <f>IF(Reinforcements[[#This Row],[Type]]="","",IF(Reinforcements[[#This Row],[Type]]="solid round","-",""))</f>
        <v/>
      </c>
      <c r="F61" s="201" t="str">
        <f>IF(Reinforcements[[#This Row],[Type]]="","",IF(Reinforcements[[#This Row],[Type]]="solid round","","n/a"))</f>
        <v/>
      </c>
      <c r="G61" s="201" t="str">
        <f>IF(Reinforcements[[#This Row],[Type]]="","",IF(Reinforcements[[#This Row],[Type]]&lt;&gt;"channel","n/a",""))</f>
        <v/>
      </c>
      <c r="H61" s="201" t="str">
        <f>IF(Reinforcements[[#This Row],[Type]]="","",IF(Reinforcements[[#This Row],[Type]]&lt;&gt;"channel","n/a",""))</f>
        <v/>
      </c>
      <c r="I61" s="224" t="str">
        <f>IF(Reinforcements[[#This Row],[Type]]="","",IF(Reinforcements[[#This Row],[Type]]&lt;&gt;"channel","n/a",Reinforcements[[#This Row],[eo]]))</f>
        <v/>
      </c>
      <c r="J61" s="224" t="str">
        <f>IF(Reinforcements[[#This Row],[Type]]="","",IF(Reinforcements[[#This Row],[Type]]&lt;&gt;"channel","n/a",Reinforcements[[#This Row],[J]]))</f>
        <v/>
      </c>
      <c r="K61" s="224" t="str">
        <f>IF(Reinforcements[[#This Row],[Type]]="","",IF(Reinforcements[[#This Row],[Type]]&lt;&gt;"channel","n/a",Reinforcements[[#This Row],[Cw]]))</f>
        <v/>
      </c>
      <c r="L61" s="201" t="str">
        <f>IFERROR(IF(Reinforcements[[#This Row],[Type]]="","",IF(Reinforcements[[#This Row],[Type]]="plate",Reinforcements[[#This Row],[B (in)]]*Reinforcements[[#This Row],[H (in)]],IF(Reinforcements[[#This Row],[Type]]="solid round",PI()/4*Reinforcements[[#This Row],[Diameter (in)]]^2,""))),"")</f>
        <v/>
      </c>
      <c r="M61" s="201" t="str">
        <f>IFERROR(IF(Reinforcements[[#This Row],[Type]]="","",IF(Reinforcements[[#This Row],[Type]]="plate",Reinforcements[[#This Row],[H (in)]]/2,"")),"")</f>
        <v/>
      </c>
      <c r="N61" s="202"/>
      <c r="O61" s="203"/>
      <c r="P61" s="215" t="str">
        <f>IFERROR(IF(Reinforcements[[#This Row],[Type]]="","",IF(Reinforcements[[#This Row],[Type]]="plate",Reinforcements[[#This Row],[B (in)]]*Reinforcements[[#This Row],[H (in)]]^3/12,IF(Reinforcements[[#This Row],[Type]]="solid round",PI()/64*Reinforcements[[#This Row],[Diameter (in)]]^4,""))),"")</f>
        <v/>
      </c>
      <c r="Q61" s="215" t="str">
        <f>IF(Reinforcements[[#This Row],[Reinforcement]]="","",SQRT(Reinforcements[[#This Row],[Ix]]/Reinforcements[[#This Row],[Gross Area (in2)]]))</f>
        <v/>
      </c>
      <c r="R61" s="215" t="str">
        <f>IFERROR(IF(Reinforcements[[#This Row],[Type]]="","",IF(Reinforcements[[#This Row],[Type]]="plate",Reinforcements[[#This Row],[B (in)]]^3*Reinforcements[[#This Row],[H (in)]]/12,IF(Reinforcements[[#This Row],[Type]]="solid round",PI()/64*Reinforcements[[#This Row],[Diameter (in)]]^4,""))),"")</f>
        <v/>
      </c>
      <c r="S61" s="215" t="str">
        <f>IF(Reinforcements[[#This Row],[Reinforcement]]="","",SQRT(Reinforcements[[#This Row],[Iy]]/Reinforcements[[#This Row],[Gross Area (in2)]]))</f>
        <v/>
      </c>
      <c r="T61" s="206"/>
      <c r="U61" s="204" t="str">
        <f>IF(Reinforcements[[#This Row],[Lu (in)]]="","",IF(Reinforcements[[#This Row],[Lu (in)]]=0,1,""))</f>
        <v/>
      </c>
      <c r="V61" s="204" t="str">
        <f>IF(Reinforcements[[#This Row],[Lu (in)]]="","",IF(Reinforcements[[#This Row],[Lu (in)]]=0,1,""))</f>
        <v/>
      </c>
      <c r="W61" s="201" t="str">
        <f>IF(Reinforcements[[#This Row],[Type]]="","",IF(Reinforcements[[#This Row],[Type]]="solid round",0,IF(Reinforcements[[#This Row],[Type]]="arbitrary","n/a","")))</f>
        <v/>
      </c>
      <c r="X61" s="204" t="str">
        <f>IF(Reinforcements[[#This Row],[Bolt Hole Size (in)]]="","",IF(Reinforcements[[#This Row],[Bolt Hole Size (in)]]="n/a","n/a",Reinforcements[[#This Row],[Bolt Hole Size (in)]]*25.4))</f>
        <v/>
      </c>
      <c r="Y61"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1" s="201" t="str">
        <f>IFERROR(IF(Reinforcements[[#This Row],[Reinforcement]]="","",IF(OR(Reinforcements[[#This Row],[Type]]="plate",Reinforcements[[#This Row],[Type]]="solid round"),1,IF(Reinforcements[[#This Row],[Type]]="arbitrary","",1-Reinforcements[[#This Row],[Pole Face to Centroid (in)]]/Reinforcements[[#This Row],[Connection Length (in) '[Channels']]]))),"")</f>
        <v/>
      </c>
      <c r="AA61" s="205"/>
      <c r="AB61" s="103" t="str">
        <f>IF(Reinforcements[[#This Row],[Reinforcement]]="","",IF(Reinforcements[[#This Row],[Bottom End Connection Type]]&lt;&gt;"Capacity Input","-",""))</f>
        <v/>
      </c>
      <c r="AC61" s="103" t="str">
        <f>IF(Reinforcements[[#This Row],[Reinforcement]]="","",IF(Reinforcements[[#This Row],[Bottom End Connection Type]]&lt;&gt;"Capacity Input","-",""))</f>
        <v/>
      </c>
      <c r="AD61" s="253" t="str">
        <f>IF(Reinforcements[[#This Row],[Reinforcement]]="","",IF(Reinforcements[[#This Row],[Bottom End Connection Type]]&lt;&gt;"Capacity Input","-",""))</f>
        <v/>
      </c>
      <c r="AE61" s="103" t="str">
        <f>IF(Reinforcements[[#This Row],[Reinforcement]]="","",IF(Reinforcements[[#This Row],[Bottom End Connection Type]]&lt;&gt;"Bolted","-",""))</f>
        <v/>
      </c>
      <c r="AF61" s="206" t="str">
        <f>IF(Reinforcements[[#This Row],[Reinforcement]]="","",IF(Reinforcements[[#This Row],[Bottom End Connection Type]]&lt;&gt;"Bolted","-",""))</f>
        <v/>
      </c>
      <c r="AG61" s="206" t="str">
        <f>IF(Reinforcements[[#This Row],[Reinforcement]]="","",IF(Reinforcements[[#This Row],[Bottom End Connection Type]]="","-",IF(Reinforcements[[#This Row],[Bottom End Connection Type]]&lt;&gt;"Bolted","-","")))</f>
        <v/>
      </c>
      <c r="AH61" s="206" t="str">
        <f>IF(Reinforcements[[#This Row],[Reinforcement]]="","",IF(Reinforcements[[#This Row],[Bottom End Connection Type]]="","-",IF(Reinforcements[[#This Row],[Bottom End Connection Type]]&lt;&gt;"Bolted","-","")))</f>
        <v/>
      </c>
      <c r="AI61" s="206" t="str">
        <f>IF(Reinforcements[[#This Row],[Reinforcement]]="","",IF(Reinforcements[[#This Row],[Bottom End Connection Type]]="","-",IF(Reinforcements[[#This Row],[Bottom End Connection Type]]&lt;&gt;"Bolted","-","")))</f>
        <v/>
      </c>
      <c r="AJ61" s="206" t="e">
        <f>Reinforcements[[#This Row],[End Connection Edge Distance (in) (B)]]-(Reinforcements[[#This Row],[Bolt Hole Size (in)]]+1/16)/2</f>
        <v>#VALUE!</v>
      </c>
      <c r="AK61" s="206" t="e">
        <f>Reinforcements[[#This Row],[End Connection Bolt Spacing (in) (B)]]-(Reinforcements[[#This Row],[Bolt Hole Size (in)]]+1/16)</f>
        <v>#VALUE!</v>
      </c>
      <c r="AL61" s="206" t="str">
        <f>Reinforcements[[#This Row],[End Connection Edge Distance (in) (B)]]</f>
        <v/>
      </c>
      <c r="AM61" s="206" t="str">
        <f>Reinforcements[[#This Row],[End Connection Bolt Spacing (in) (B)]]</f>
        <v/>
      </c>
      <c r="AN61" s="206" t="str">
        <f>IF(Reinforcements[[#This Row],[Reinforcement]]="","",IF(OR(Reinforcements[[#This Row],[Bottom End Connection Type]]="Bolted",Reinforcements[[#This Row],[Bottom End Connection Type]]=""),"-",""))</f>
        <v/>
      </c>
      <c r="AO61" s="214" t="str">
        <f>IF(Reinforcements[[#This Row],[Reinforcement]]="","",IF(Reinforcements[[#This Row],[Bottom End Connection Type]]&lt;&gt;"Welded","-",""))</f>
        <v/>
      </c>
      <c r="AP61" s="214" t="str">
        <f>IF(Reinforcements[[#This Row],[Reinforcement]]="","",IF(Reinforcements[[#This Row],[Bottom End Connection Type]]&lt;&gt;"Welded","-",""))</f>
        <v/>
      </c>
      <c r="AQ61" s="214" t="str">
        <f>IF(Reinforcements[[#This Row],[Reinforcement]]="","",IF(OR(Reinforcements[[#This Row],[Bottom End Connection Type]]&lt;&gt;"Welded",Reinforcements[[#This Row],[Bottom Transverse (Horizontal) Weld]]="None"),"-",""))</f>
        <v/>
      </c>
      <c r="AR61"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1"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1" s="214" t="str">
        <f>IF(Reinforcements[[#This Row],[Reinforcement]]="","",IF(OR(Reinforcements[[#This Row],[Bottom Transverse (Horizontal) Weld]]="None",Reinforcements[[#This Row],[Bottom End Connection Type]]&lt;&gt;"Welded"),"-",""))</f>
        <v/>
      </c>
      <c r="AU61"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1" s="214" t="str">
        <f>IF(Reinforcements[[#This Row],[Reinforcement]]="","",IF(OR(Reinforcements[[#This Row],[Bottom End Connection Type]]&lt;&gt;"Welded",Reinforcements[[#This Row],[Bottom End Connection Type]]=""),"-",""))</f>
        <v/>
      </c>
      <c r="AW61" s="214" t="str">
        <f>IF(Reinforcements[[#This Row],[Reinforcement]]="","",IF(OR(Reinforcements[[#This Row],[Bottom End Connection Type]]&lt;&gt;"Welded",Reinforcements[[#This Row],[Bottom Longitudinal (Vertical) Weld]]="None",Reinforcements[[#This Row],[Bottom Longitudinal (Vertical) Weld]]=""),"-",""))</f>
        <v/>
      </c>
      <c r="AX61" s="214" t="str">
        <f>IF(Reinforcements[[#This Row],[Reinforcement]]="","",IF(OR(Reinforcements[[#This Row],[Bottom End Connection Type]]&lt;&gt;"Welded",Reinforcements[[#This Row],[Bottom Longitudinal (Vertical) Weld]]="None",Reinforcements[[#This Row],[Bottom Longitudinal (Vertical) Weld]]=""),"-",""))</f>
        <v/>
      </c>
      <c r="AY61" s="206" t="str">
        <f>IF(Reinforcements[[#This Row],[Reinforcement]]="","",IF(OR(Reinforcements[[#This Row],[Bottom End Connection Type]]&lt;&gt;"Welded",Reinforcements[[#This Row],[Bottom Longitudinal (Vertical) Weld]]="None"),"-",SQRT(2)/2*Reinforcements[[#This Row],[Bottom Longitudinal Weld Fillet Size (in)]]))</f>
        <v/>
      </c>
      <c r="AZ61" s="206"/>
      <c r="BA61" s="103" t="str">
        <f>IF(Reinforcements[[#This Row],[Top End Connection Same?]]="Yes",Reinforcements[[#This Row],[Bottom End Connection Type]],"")</f>
        <v/>
      </c>
      <c r="BB61" s="103" t="str">
        <f>IF(Reinforcements[[#This Row],[Reinforcement]]="","",IF(Reinforcements[[#This Row],[Top End Connection Same?]]="Yes",Reinforcements[[#This Row],[Rev. F Bottom Connection Capacity (kips)]],IF(Reinforcements[[#This Row],[Reinforcement]]="","",IF(Reinforcements[[#This Row],[Top End Connection Type]]&lt;&gt;"Capacity Input","-",""))))</f>
        <v/>
      </c>
      <c r="BC61" s="103" t="str">
        <f>IF(Reinforcements[[#This Row],[Reinforcement]]="","",IF(Reinforcements[[#This Row],[Top End Connection Same?]]="Yes",Reinforcements[[#This Row],[Rev. G Bottom Connection Capacity (kips)]],IF(Reinforcements[[#This Row],[Reinforcement]]="","",IF(Reinforcements[[#This Row],[Top End Connection Type]]&lt;&gt;"Capacity Input","-",""))))</f>
        <v/>
      </c>
      <c r="BD61" s="253" t="str">
        <f>IF(Reinforcements[[#This Row],[Reinforcement]]="","",IF(Reinforcements[[#This Row],[Top End Connection Same?]]="Yes",Reinforcements[[#This Row],[Rev. G Bottom Connection Capacity (kips)]],IF(Reinforcements[[#This Row],[Reinforcement]]="","",IF(Reinforcements[[#This Row],[Top End Connection Type]]&lt;&gt;"Capacity Input","-",""))))</f>
        <v/>
      </c>
      <c r="BE61" s="103" t="str">
        <f>IF(Reinforcements[[#This Row],[Reinforcement]]="","",IF(Reinforcements[[#This Row],[Top End Connection Same?]]="Yes",Reinforcements[[#This Row],[Bottom End Connection Bolt Type]],IF(Reinforcements[[#This Row],[Top End Connection Type]]&lt;&gt;"Bolted","-","")))</f>
        <v/>
      </c>
      <c r="BF61" s="206" t="str">
        <f>IF(Reinforcements[[#This Row],[Reinforcement]]="","",IF(Reinforcements[[#This Row],[Top End Connection Same?]]="Yes",Reinforcements[[#This Row],[Threads Included (N) or Excluded (X) (Bottom)]],IF(Reinforcements[[#This Row],[Top End Connection Type]]&lt;&gt;"Bolted","-","")))</f>
        <v/>
      </c>
      <c r="BG61" s="206" t="str">
        <f>IF(Reinforcements[[#This Row],[Reinforcement]]="","",IF(Reinforcements[[#This Row],[Top End Connection Same?]]="Yes",Reinforcements[[#This Row],['# of End Connection Bolts          (Bottom)]],IF(Reinforcements[[#This Row],[Top End Connection Type]]&lt;&gt;"Bolted","-","")))</f>
        <v/>
      </c>
      <c r="BH61" s="206" t="str">
        <f>IF(Reinforcements[[#This Row],[Reinforcement]]="","",IF(Reinforcements[[#This Row],[Top End Connection Same?]]="Yes",Reinforcements[[#This Row],[End Connection Bolt Spacing (in) (B)]],IF(Reinforcements[[#This Row],[Top End Connection Type]]&lt;&gt;"Bolted","-","")))</f>
        <v/>
      </c>
      <c r="BI61" s="206" t="str">
        <f>IF(Reinforcements[[#This Row],[Reinforcement]]="","",IF(Reinforcements[[#This Row],[Top End Connection Same?]]="Yes",Reinforcements[[#This Row],[End Connection Edge Distance (in) (B)]],IF(Reinforcements[[#This Row],[Top End Connection Type]]&lt;&gt;"Bolted","-","")))</f>
        <v/>
      </c>
      <c r="BJ61" s="206" t="e">
        <f>Reinforcements[[#This Row],[End Connection Edge Distance (in) (T)]]-(Reinforcements[[#This Row],[Bolt Hole Size (in)]]+1/16)/2</f>
        <v>#VALUE!</v>
      </c>
      <c r="BK61" s="206" t="e">
        <f>Reinforcements[[#This Row],[End Connection Bolt Spacing (in) (T)]]-(Reinforcements[[#This Row],[Bolt Hole Size (in)]]+1/16)</f>
        <v>#VALUE!</v>
      </c>
      <c r="BL61" s="206" t="str">
        <f>Reinforcements[[#This Row],[End Connection Edge Distance (in) (T)]]</f>
        <v/>
      </c>
      <c r="BM61" s="206" t="str">
        <f>Reinforcements[[#This Row],[End Connection Bolt Spacing (in) (T)]]</f>
        <v/>
      </c>
      <c r="BN61" s="206" t="str">
        <f>IF(Reinforcements[[#This Row],[Reinforcement]]="","",IF(Reinforcements[[#This Row],[Top End Connection Same?]]="Yes",Reinforcements[[#This Row],[Bottom Connected to Flange/Base Plate?]],IF(Reinforcements[[#This Row],[Top End Connection Type]]="Bolted","-","")))</f>
        <v/>
      </c>
      <c r="BO61" s="206" t="str">
        <f>IF(Reinforcements[[#This Row],[Reinforcement]]="","",IF(Reinforcements[[#This Row],[Top End Connection Same?]]="Yes",Reinforcements[[#This Row],[Bottom Weld Grade (ksi)]],IF(OR(Reinforcements[[#This Row],[Top End Connection Type]]&lt;&gt;"Welded",Reinforcements[[#This Row],[Top End Connection Type]]=""),"-","")))</f>
        <v/>
      </c>
      <c r="BP61" s="206" t="str">
        <f>IF($AZ61="Yes",AP61,IF(Reinforcements[[#This Row],[Reinforcement]]="","",IF(OR(Reinforcements[[#This Row],[Top End Connection Type]]&lt;&gt;"Welded",Reinforcements[[#This Row],[Top End Connection Type]]=""),"-","")))</f>
        <v/>
      </c>
      <c r="BQ61" s="206" t="str">
        <f>IF(Reinforcements[[#This Row],[Reinforcement]]="","",IF($AZ61="Yes",AQ61,IF(OR(Reinforcements[[#This Row],[Top End Connection Type]]&lt;&gt;"Welded",Reinforcements[[#This Row],[Top Transverse (Horizontal) Weld]]="none",Reinforcements[[#This Row],[Top Transverse (Horizontal) Weld]]=""),"-","")))</f>
        <v/>
      </c>
      <c r="BR61" s="206" t="str">
        <f>IF($AZ61="Yes",AR61,IF(Reinforcements[[#This Row],[Reinforcement]]="","",IF(OR(Reinforcements[[#This Row],[Top Transverse (Horizontal) Weld]]="none",Reinforcements[[#This Row],[Top End Connection Type]]&lt;&gt;"Welded",Reinforcements[[#This Row],[Top Transverse (Horizontal) Weld]]="",Reinforcements[[#This Row],[Top Transverse (Horizontal) Weld]]="Fillet"),"-","")))</f>
        <v/>
      </c>
      <c r="BS61" s="206" t="str">
        <f>IF($AZ61="Yes",AS61,IF(Reinforcements[[#This Row],[Reinforcement]]="","",IF(OR(Reinforcements[[#This Row],[Top Transverse (Horizontal) Weld]]="none",Reinforcements[[#This Row],[Top End Connection Type]]&lt;&gt;"Welded",Reinforcements[[#This Row],[Top Transverse (Horizontal) Weld]]="",Reinforcements[[#This Row],[Top Transverse (Horizontal) Weld]]="Fillet"),"-","")))</f>
        <v/>
      </c>
      <c r="BT61" s="206" t="str">
        <f>IF(Reinforcements[[#This Row],[Reinforcement]]="","",IF($AZ61="Yes",AT61,IF(OR(Reinforcements[[#This Row],[Top Transverse (Horizontal) Weld]]="none",Reinforcements[[#This Row],[Top End Connection Type]]&lt;&gt;"Welded",Reinforcements[[#This Row],[Top Transverse (Horizontal) Weld]]=""),"-","")))</f>
        <v/>
      </c>
      <c r="BU61" s="206" t="str">
        <f>IF($AZ61="Yes",AU61,IF(Reinforcements[[#This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1" s="206" t="str">
        <f>IF($AZ61="Yes",AV61,IF(Reinforcements[[#This Row],[Reinforcement]]="","",IF(OR(Reinforcements[[#This Row],[Top End Connection Type]]&lt;&gt;"Welded",Reinforcements[[#This Row],[Top End Connection Type]]=""),"-","")))</f>
        <v/>
      </c>
      <c r="BW61" s="206" t="str">
        <f>IF($AZ61="Yes",AW61,IF(Reinforcements[[#This Row],[Reinforcement]]="","",IF(OR(Reinforcements[[#This Row],[Top End Connection Type]]&lt;&gt;"Welded",Reinforcements[[#This Row],[Top End Connection Type]]="",Reinforcements[[#This Row],[Top Longitudinal (Vertical) Weld]]="",Reinforcements[[#This Row],[Top Longitudinal (Vertical) Weld]]="None"),"-","")))</f>
        <v/>
      </c>
      <c r="BX61" s="206" t="str">
        <f>IF($AZ61="Yes",AX61,IF(Reinforcements[[#This Row],[Reinforcement]]="","",IF(OR(Reinforcements[[#This Row],[Top End Connection Type]]&lt;&gt;"Welded",Reinforcements[[#This Row],[Top End Connection Type]]="",Reinforcements[[#This Row],[Top Longitudinal (Vertical) Weld]]="",Reinforcements[[#This Row],[Top Longitudinal (Vertical) Weld]]="None"),"-","")))</f>
        <v/>
      </c>
      <c r="BY61" s="206" t="str">
        <f>IF($AZ61="Yes",AY61,IF(Reinforcements[[#This Row],[Reinforcement]]="","",IF(OR(Reinforcements[[#This Row],[Top End Connection Type]]&lt;&gt;"Welded",Reinforcements[[#This Row],[Top Longitudinal (Vertical) Weld]]="none"),"-",SQRT(2)/2*Reinforcements[[#This Row],[Top Longitudinal Weld Fillet Size (in)]])))</f>
        <v/>
      </c>
      <c r="BZ61"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1"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1"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1"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1"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1" s="201" t="str">
        <f>IFERROR(IF(Reinforcements[[#This Row],[Type]]="","",Reinforcements[[#This Row],[Effective B (in)]]*Reinforcements[[#This Row],[Effective H (in)]]^3/12),"")</f>
        <v/>
      </c>
      <c r="CF61" s="201" t="str">
        <f>IFERROR(IF(Reinforcements[[#This Row],[Type]]="","",Reinforcements[[#This Row],[Effective B (in)]]^3*Reinforcements[[#This Row],[Effective H (in)]]/12),"")</f>
        <v/>
      </c>
      <c r="CG61" s="224" t="e">
        <f>SQRT(2*PI()^2*29000/VLOOKUP(Reinforcements[[#This Row],[Material]],Materials[],2,FALSE))</f>
        <v>#N/A</v>
      </c>
      <c r="CH61"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1"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1" s="215" t="e">
        <f>Reinforcements[[#This Row],[Effective Length Factor Kx]]*Reinforcements[[#This Row],[Lu (in)]]/(Reinforcements[[#This Row],[rx]]*PI())*SQRT(VLOOKUP(Reinforcements[[#This Row],[Material]],Materials[],2,FALSE)/29000)</f>
        <v>#VALUE!</v>
      </c>
      <c r="CK61" s="215" t="e">
        <f>Reinforcements[[#This Row],[Effective Length Factor Ky]]*Reinforcements[[#This Row],[Lu (in)]]/(Reinforcements[[#This Row],[ry]]*PI())*SQRT(VLOOKUP(Reinforcements[[#This Row],[Material]],Materials[],2,FALSE)/29000)</f>
        <v>#VALUE!</v>
      </c>
      <c r="CL61" s="215" t="e">
        <f>IF(Reinforcements[[#This Row],[λcx]]&lt;=1.5,0.658^(Reinforcements[[#This Row],[λcx]]^2)*Reinforcements[[#This Row],[F''y]],0.877/(Reinforcements[[#This Row],[λcx]]^2)*Reinforcements[[#This Row],[F''y]])</f>
        <v>#VALUE!</v>
      </c>
      <c r="CM61" s="215" t="e">
        <f>IF(Reinforcements[[#This Row],[λcy]]&lt;=1.5,0.658^(Reinforcements[[#This Row],[λcy]]^2)*Reinforcements[[#This Row],[F''y]],0.877/(Reinforcements[[#This Row],[λcy]]^2)*Reinforcements[[#This Row],[F''y]])</f>
        <v>#VALUE!</v>
      </c>
      <c r="CN61" s="201" t="e">
        <f>VLOOKUP(Reinforcements[[#This Row],[Material]],Materials[],2,FALSE)</f>
        <v>#N/A</v>
      </c>
      <c r="CO61" s="224" t="str">
        <f>IF(Reinforcements[[#This Row],[Reinforcement]]="","",Reinforcements[[#This Row],[Fax]]*Reinforcements[[#This Row],[Gross Area (in2)]])</f>
        <v/>
      </c>
      <c r="CP61" s="224" t="str">
        <f>IF(Reinforcements[[#This Row],[Reinforcement]]="","",Reinforcements[[#This Row],[Fay]]*Reinforcements[[#This Row],[Gross Area (in2)]])</f>
        <v/>
      </c>
      <c r="CQ61" s="224" t="str">
        <f>IF(Reinforcements[[#This Row],[Reinforcement]]="","",0.6*VLOOKUP(Reinforcements[[#This Row],[Material]],Materials[],2,FALSE)*Reinforcements[[#This Row],[Gross Area (in2)]])</f>
        <v/>
      </c>
      <c r="CR61" s="224" t="str">
        <f>IF(Reinforcements[[#This Row],[Reinforcement]]="","",0.5*VLOOKUP(Reinforcements[[#This Row],[Material]],Materials[],3,FALSE)*Reinforcements[[#This Row],[Net Area (in2)]]*Reinforcements[[#This Row],[Shear Lag (U)]])</f>
        <v/>
      </c>
      <c r="CS61" s="224" t="str">
        <f>IF(Reinforcements[[#This Row],[Reinforcement]]="","",0.4*VLOOKUP(Reinforcements[[#This Row],[Material]],Materials[],2,FALSE)*Reinforcements[[#This Row],[Gross Area (in2)]])</f>
        <v/>
      </c>
      <c r="CT61"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1"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1"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1"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1"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1"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1"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1"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1"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1"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1"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1"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1" s="206" t="str">
        <f>IF($AZ61="Yes",DD61,IF(Reinforcements[[#This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1" s="206" t="str">
        <f>IF($AZ61="Yes",DE61,IF(Reinforcements[[#This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1" s="224" t="str">
        <f>IF(Reinforcements[[#This Row],[Reinforcement]]="","",φ_c*Reinforcements[[#This Row],[Fcr,x]]*Reinforcements[[#This Row],[Gross Area (in2)]])</f>
        <v/>
      </c>
      <c r="DI61" s="224" t="str">
        <f>IF(Reinforcements[[#This Row],[Reinforcement]]="","",φ_c*Reinforcements[[#This Row],[Fcr,y]]*Reinforcements[[#This Row],[Gross Area (in2)]])</f>
        <v/>
      </c>
      <c r="DJ61" s="224" t="str">
        <f>IF(Reinforcements[[#This Row],[Reinforcement]]="","",φ_t_y*VLOOKUP(Reinforcements[[#This Row],[Material]],Materials[],2,FALSE)*Reinforcements[[#This Row],[Gross Area (in2)]])</f>
        <v/>
      </c>
      <c r="DK61" s="224" t="str">
        <f>IF(Reinforcements[[#This Row],[Reinforcement]]="","",φ_t_r*VLOOKUP(Reinforcements[[#This Row],[Material]],Materials[],3,FALSE)*Reinforcements[[#This Row],[Net Area (in2)]]*Reinforcements[[#This Row],[Shear Lag (U)]])</f>
        <v/>
      </c>
      <c r="DL61" s="224" t="str">
        <f>IF(Reinforcements[[#This Row],[Reinforcement]]="","",φ_v*0.5*Reinforcements[[#This Row],[F''y]]*Reinforcements[[#This Row],[Gross Area (in2)]])</f>
        <v/>
      </c>
      <c r="DM61"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1"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1"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1"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1"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1"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1"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1"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1"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1"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1"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1"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1" s="206" t="str">
        <f>IF($AZ61="Yes",DW61,IF(Reinforcements[[#This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1" s="206" t="str">
        <f>IF($AZ61="Yes",DX61,IF(Reinforcements[[#This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1" s="507" t="str">
        <f>IF(OR(Reinforcements[[#This Row],[Type]]="plate",Reinforcements[[#This Row],[Type]]="solid round"),"N/A",Reinforcements[[#This Row],[B (in)]])</f>
        <v/>
      </c>
      <c r="EB61" s="508" t="str">
        <f>IF(OR(Reinforcements[[#This Row],[Type]]="plate",Reinforcements[[#This Row],[Type]]="solid round"),"N/A",Reinforcements[[#This Row],[H (in)]])</f>
        <v/>
      </c>
      <c r="EC61" s="508" t="e">
        <f>IF(OR(Reinforcements[[#This Row],[Type]]="plate",Reinforcements[[#This Row],[Type]]="solid round"),"N/A",Reinforcements[[#This Row],[B (in)]]-Reinforcements[[#This Row],['[Channel'] Flange Thickness (in)]])</f>
        <v>#VALUE!</v>
      </c>
      <c r="ED61" s="508" t="str">
        <f>IF(OR(Reinforcements[[#This Row],[Type]]="plate",Reinforcements[[#This Row],[Type]]="solid round"),"N/A",Reinforcements[[#This Row],['[Channel']Web Thickness (in)]])</f>
        <v/>
      </c>
      <c r="EE61" s="508" t="str">
        <f>IF(OR(Reinforcements[[#This Row],[Type]]="plate",Reinforcements[[#This Row],[Type]]="solid round"),"N/A",Reinforcements[[#This Row],['[Channel'] Flange Thickness (in)]])</f>
        <v/>
      </c>
      <c r="EF61" s="508" t="str">
        <f>IF(Reinforcements[[#This Row],[Type]]="channel",Reinforcements[[#This Row],[Channel Flange Width, b]]/Reinforcements[[#This Row],[Channel flange thickness, tf]],"N/A")</f>
        <v>N/A</v>
      </c>
      <c r="EG61" s="508" t="str">
        <f>IF(Reinforcements[[#This Row],[Type]]="channel",Reinforcements[[#This Row],[Channel inside depth, T]]/Reinforcements[[#This Row],[Channel web thickness, tw]],"N/A")</f>
        <v>N/A</v>
      </c>
      <c r="EH61" s="252">
        <v>28989</v>
      </c>
      <c r="EI61" s="252" t="str">
        <f>IF(Reinforcements[[#This Row],[Type]]="channel",0.56*SQRT(Reinforcements[[#This Row],[E, (ksi)]]/Reinforcements[[#This Row],[Fy, (ksi)]]),"N/A")</f>
        <v>N/A</v>
      </c>
      <c r="EJ61" s="252" t="str">
        <f>IF(Reinforcements[[#This Row],[Type]]="channel",1.49*SQRT(Reinforcements[[#This Row],[E, (ksi)]]/Reinforcements[[#This Row],[Fy, (ksi)]]),"N/A")</f>
        <v>N/A</v>
      </c>
      <c r="EK61" s="252" t="e">
        <f>VLOOKUP(Reinforcements[[#This Row],[Material]],Materials!$B$2:$C$30,2,FALSE)</f>
        <v>#N/A</v>
      </c>
      <c r="EL61" s="252" t="e">
        <f>Reinforcements[[#This Row],[Lu (in)]]*Reinforcements[[#This Row],[Effective Length Factor Kx]]</f>
        <v>#VALUE!</v>
      </c>
      <c r="EM61" s="252" t="e">
        <f>Reinforcements[[#This Row],[Lu (in)]]*Reinforcements[[#This Row],[Effective Length Factor Ky]]</f>
        <v>#VALUE!</v>
      </c>
      <c r="EN61" s="252" t="str">
        <f>Reinforcements[[#This Row],[rx]]</f>
        <v/>
      </c>
      <c r="EO61" s="252" t="str">
        <f>Reinforcements[[#This Row],[ry]]</f>
        <v/>
      </c>
      <c r="EP61" s="252" t="e">
        <f>Reinforcements[[#This Row],[Lcx (in)]]/Reinforcements[[#This Row],[rx (in)]]</f>
        <v>#VALUE!</v>
      </c>
      <c r="EQ61" s="252" t="e">
        <f>Reinforcements[[#This Row],[Lcy (in)]]/Reinforcements[[#This Row],[ry (in)]]</f>
        <v>#VALUE!</v>
      </c>
      <c r="ER61" s="252" t="e">
        <f>((PI()^2)*Reinforcements[[#This Row],[E, (ksi)]])/(Reinforcements[[#This Row],[Lcx/rx]]^2)</f>
        <v>#VALUE!</v>
      </c>
      <c r="ES61" s="252" t="e">
        <f>((PI()^2)*Reinforcements[[#This Row],[E, (ksi)]])/(Reinforcements[[#This Row],[Lcy/ry]]^2)</f>
        <v>#VALUE!</v>
      </c>
      <c r="ET61" s="252" t="e">
        <f>4.71*(SQRT(Reinforcements[[#This Row],[E, (ksi)]]/Reinforcements[[#This Row],[Fy, (ksi)]]))</f>
        <v>#N/A</v>
      </c>
      <c r="EU61" s="252" t="e">
        <f>IF(Reinforcements[[#This Row],[Lcx/rx]]&lt;=Reinforcements[[#This Row],[Fcr Limit]],(0.658^(Reinforcements[[#This Row],[Fy, (ksi)]]/Reinforcements[[#This Row],[Fex, FB (ksi)]]))*Reinforcements[[#This Row],[Fy, (ksi)]],0.877*Reinforcements[[#This Row],[Fex, FB (ksi)]])</f>
        <v>#VALUE!</v>
      </c>
      <c r="EV61" s="252" t="e">
        <f>IF(Reinforcements[[#This Row],[Lcy/ry]]&lt;=Reinforcements[[#This Row],[Fcr Limit]],(0.658^(Reinforcements[[#This Row],[Fy, (ksi)]]/Reinforcements[[#This Row],[Fey, FB (ksi)]]))*Reinforcements[[#This Row],[Fy, (ksi)]],0.877*Reinforcements[[#This Row],[Fey, FB (ksi)]])</f>
        <v>#VALUE!</v>
      </c>
      <c r="EW61" s="252" t="e">
        <f>Reinforcements[[#This Row],[Fcrx (ksi)]]*Reinforcements[[#This Row],[Gross Area (in2)]]</f>
        <v>#VALUE!</v>
      </c>
      <c r="EX61" s="252" t="e">
        <f>Reinforcements[[#This Row],[Fcry (ksi)]]*Reinforcements[[#This Row],[Gross Area (in2)]]</f>
        <v>#VALUE!</v>
      </c>
      <c r="EY61" s="252" t="str">
        <f>IF(Reinforcements[[#This Row],[Type]]="channel",0,"N/A")</f>
        <v>N/A</v>
      </c>
      <c r="EZ61" s="252" t="str">
        <f>IF(Reinforcements[[#This Row],[Type]]="channel",Reinforcements[[#This Row],[Channel Flange Width, b]]-(0.5*Reinforcements[[#This Row],[Channel web thickness, tw]]),"N/A")</f>
        <v>N/A</v>
      </c>
      <c r="FA61" s="252" t="str">
        <f>IF(Reinforcements[[#This Row],[Type]]="channel",Reinforcements[[#This Row],[Channel Height, h]]-Reinforcements[[#This Row],[Channel flange thickness, tf]],"N/A")</f>
        <v>N/A</v>
      </c>
      <c r="FB61" s="252" t="str">
        <f>IF(Reinforcements[[#This Row],[Type]]="channel",Reinforcements[[#This Row],[Channel web thickness, tw]],"N/A")</f>
        <v>N/A</v>
      </c>
      <c r="FC61" s="252" t="str">
        <f>IF(Reinforcements[[#This Row],[Type]]="channel",((3*Reinforcements[[#This Row],[b]]^2)/(Reinforcements[[#This Row],[h]]+(6*Reinforcements[[#This Row],[b]])))-Reinforcements[[#This Row],[t]]/2,"N/A")</f>
        <v>N/A</v>
      </c>
      <c r="FD61" s="252" t="str">
        <f>Reinforcements[[#This Row],[Pole Face to Centroid (in)]]</f>
        <v/>
      </c>
      <c r="FE61" s="508" t="str">
        <f>IF(Reinforcements[[#This Row],[Type]]="channel",Reinforcements[[#This Row],[x(bar)]]+Reinforcements[[#This Row],['[Channel'] e0 (in)]],"N/A")</f>
        <v>N/A</v>
      </c>
      <c r="FF61" s="508" t="str">
        <f>IF(Reinforcements[[#This Row],[Type]]="channel",Reinforcements[[#This Row],[Ix]],"N/A")</f>
        <v>N/A</v>
      </c>
      <c r="FG61" s="508" t="str">
        <f>IF(Reinforcements[[#This Row],[Type]]="channel",Reinforcements[[#This Row],[Iy]],"N/A")</f>
        <v>N/A</v>
      </c>
      <c r="FH61" s="508" t="str">
        <f>IF(Reinforcements[[#This Row],[Type]]="channel",Reinforcements[[#This Row],[Gross Area (in2)]],"N/A")</f>
        <v>N/A</v>
      </c>
      <c r="FI61" s="508" t="str">
        <f>IF(Reinforcements[[#This Row],[Type]]="channel",(Reinforcements[[#This Row],[xo]]^2)+((Reinforcements[[#This Row],[Ix (FTB)]]+Reinforcements[[#This Row],[Iy (FTB)]])/Reinforcements[[#This Row],[Ag]]),"N/A")</f>
        <v>N/A</v>
      </c>
      <c r="FJ61" s="508" t="str">
        <f>IF(Reinforcements[[#This Row],[Type]]="channel",Reinforcements[[#This Row],[Lu (in)]],"N/A")</f>
        <v>N/A</v>
      </c>
      <c r="FK61" s="508" t="str">
        <f>IF(Reinforcements[[#This Row],[Type]]="channel",Reinforcements[[#This Row],[Effective Length Factor Kx]],"N/A")</f>
        <v>N/A</v>
      </c>
      <c r="FL61" s="508" t="str">
        <f>IF(Reinforcements[[#This Row],[Type]]="channel",Reinforcements[[#This Row],[Kz]]*Reinforcements[[#This Row],[Lz]],"N/A")</f>
        <v>N/A</v>
      </c>
      <c r="FM61" s="508" t="str">
        <f>IF(Reinforcements[[#This Row],[Type]]="channel",(((Reinforcements[[#This Row],[t]]^3)/3)*(Reinforcements[[#This Row],[h]]+(2*Reinforcements[[#This Row],[b]]))),"N/A")</f>
        <v>N/A</v>
      </c>
      <c r="FN61" s="508" t="str">
        <f>IF(Reinforcements[[#This Row],[Type]]="channel",(1-(((Reinforcements[[#This Row],[xo]]^2)+(Reinforcements[[#This Row],[yo]]^2))/Reinforcements[[#This Row],[ro^2(bar)]])),"N/A")</f>
        <v>N/A</v>
      </c>
      <c r="FO61" s="252">
        <v>11188</v>
      </c>
      <c r="FP61" s="508" t="str">
        <f>IF(Reinforcements[[#This Row],[Type]]="channel",(((Reinforcements[[#This Row],[h]]^2)*(Reinforcements[[#This Row],[b]]^3)*Reinforcements[[#This Row],[t]])/12)*(((2*Reinforcements[[#This Row],[h]])+(3*Reinforcements[[#This Row],[b]]))/(Reinforcements[[#This Row],[h]]+(6*Reinforcements[[#This Row],[b]]))),"N/A")</f>
        <v>N/A</v>
      </c>
      <c r="FQ61" s="508" t="str">
        <f>IF(Reinforcements[[#This Row],[Type]]="Channel",((((PI()^2)*Reinforcements[[#This Row],[E, (ksi)]]*Reinforcements[[#This Row],['[Channel'] CW (in6)]])/(Reinforcements[[#This Row],[Lcz]]^2))+(Reinforcements[[#This Row],[G]]*Reinforcements[[#This Row],['[Channel'] J (in4)]]))*(1/(Reinforcements[[#This Row],[Ag]]*Reinforcements[[#This Row],[ro^2(bar)]])),"N/A")</f>
        <v>N/A</v>
      </c>
      <c r="FR61" s="508" t="str">
        <f>IF(Reinforcements[[#This Row],[Type]]="channel",((PI()^2)*Reinforcements[[#This Row],[E, (ksi)]])/(Reinforcements[[#This Row],[Lcy/ry]]^2),"N/A")</f>
        <v>N/A</v>
      </c>
      <c r="FS61" s="508" t="str">
        <f>IF(Reinforcements[[#This Row],[Type]]="channel",((Reinforcements[[#This Row],[Fey]]+Reinforcements[[#This Row],[Fez]])/(2*Reinforcements[[#This Row],[H2]]))*(1-SQRT(1-((4*Reinforcements[[#This Row],[Fey]]*Reinforcements[[#This Row],[Fez]]*Reinforcements[[#This Row],[H2]])/(Reinforcements[[#This Row],[Fey]]+Reinforcements[[#This Row],[Fez]])^2))),"N/A")</f>
        <v>N/A</v>
      </c>
      <c r="FT61" s="508" t="str">
        <f>IF(Reinforcements[[#This Row],[Type]]="channel",IF(Reinforcements[[#This Row],[Lcx/rx]]&gt;(4.71*SQRT(Reinforcements[[#This Row],[E, (ksi)]]/Reinforcements[[#This Row],[Fy, (ksi)]])),0.877*Reinforcements[[#This Row],[Fe (FTB)]],0.658^(Reinforcements[[#This Row],[Fy, (ksi)]]/Reinforcements[[#This Row],[Fe (FTB)]])*Reinforcements[[#This Row],[Fy, (ksi)]]),"N/A")</f>
        <v>N/A</v>
      </c>
      <c r="FU61" s="508" t="str">
        <f>IF(Reinforcements[[#This Row],[Type]]="channel",MIN(Reinforcements[[#This Row],[Fcr(FTB)]],Reinforcements[[#This Row],[Fcry (ksi)]]),"N/A")</f>
        <v>N/A</v>
      </c>
      <c r="FV61" s="252">
        <v>0.22</v>
      </c>
      <c r="FW61" s="252">
        <v>1.49</v>
      </c>
      <c r="FX61" s="508" t="str">
        <f>IF(Reinforcements[[#This Row],[Type]]="channel",((Reinforcements[[#This Row],[c2]]*(Reinforcements[[#This Row],[λrf]]/Reinforcements[[#This Row],[λf]]))^2)*Reinforcements[[#This Row],[Fy, (ksi)]],"N/A")</f>
        <v>N/A</v>
      </c>
      <c r="FY61" s="508" t="str">
        <f>IF(Reinforcements[[#This Row],[Type]]="channel",((Reinforcements[[#This Row],[c2]]*(Reinforcements[[#This Row],[λrw]]/Reinforcements[[#This Row],[λw]]))^2)*Reinforcements[[#This Row],[Fy, (ksi)]],"N/A")</f>
        <v>N/A</v>
      </c>
      <c r="FZ61"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1"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1"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1" s="508" t="str">
        <f>IF(Reinforcements[[#This Row],[Type]]="channel",Reinforcements[[#This Row],[Fcr]]*Reinforcements[[#This Row],[Ae]],"N/A")</f>
        <v>N/A</v>
      </c>
      <c r="GD61" s="462" t="str">
        <f>IF(Reinforcements[[#This Row],[Reinforcement]]="","",φ_c*Reinforcements[[#This Row],[Pnx, FB (kip)]])</f>
        <v/>
      </c>
      <c r="GE61" s="462" t="str">
        <f>IF(Reinforcements[[#This Row],[Reinforcement]]="","",IF(Reinforcements[[#This Row],[Type]]="channel",φ_c*Reinforcements[[#This Row],[Pn]],φ_c*Reinforcements[[#This Row],[Pny, FB (kip)]]))</f>
        <v/>
      </c>
      <c r="GF61" s="462" t="str">
        <f>Reinforcements[[#This Row],[Rev. G Tension Yield Capacity (kips)]]</f>
        <v/>
      </c>
      <c r="GG61" s="462" t="str">
        <f>Reinforcements[[#This Row],[Rev. G Tension Rupture Capacity (kips)]]</f>
        <v/>
      </c>
      <c r="GH61" s="462" t="str">
        <f>Reinforcements[[#This Row],[Rev. G Shear Capacity (kips)]]</f>
        <v/>
      </c>
      <c r="GI61" s="462" t="str">
        <f>IFERROR((Reinforcements[[#This Row],['# of End Connection Bolts          (Bottom)]]-1)*Reinforcements[[#This Row],[End Connection Bolt Spacing (in) (B)]],"-")</f>
        <v>-</v>
      </c>
      <c r="GJ61" s="462" t="str">
        <f>IFERROR(IF(VLOOKUP(Reinforcements[[#This Row],[Bottom End Connection Bolt Type]],Bolts[],COLUMN(Bolts[[#Headers],[Rev. H Apply Connection Length Reduction Factor (Rb)?]])-1,FALSE)="Yes",(IF(Reinforcements[[#This Row],[Lb(bottom)]]&lt;=16,1,IF(Reinforcements[[#This Row],[Lb(bottom)]]&gt;38,0.75,0.9))),1),"-")</f>
        <v>-</v>
      </c>
      <c r="GK61"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1" s="462" t="str">
        <f>IFERROR(IF(Reinforcements[[#This Row],[Top End Connection Same?]]="Yes",Reinforcements[[#This Row],[Lb(bottom)]],(Reinforcements[[#This Row],['# of End Connection Bolts          (Top)]]-1)*Reinforcements[[#This Row],[End Connection Bolt Spacing (in) (T)]]),"-")</f>
        <v>-</v>
      </c>
      <c r="GM61" s="462" t="str">
        <f>IFERROR(IF(VLOOKUP(Reinforcements[[#This Row],[Top End Connection Bolt Type]],Bolts[],COLUMN(Bolts[[#Headers],[Rev. H Apply Connection Length Reduction Factor (Rb)?]])-1,FALSE)="Yes",(IF(Reinforcements[[#This Row],[Lb(top)]]&lt;=16,1,IF(Reinforcements[[#This Row],[Lb(top)]]&gt;38,0.75,0.9))),1),"-")</f>
        <v>-</v>
      </c>
      <c r="GN61"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1" s="462" t="str">
        <f>Reinforcements[[#This Row],[Rev. G Bolt-Shaft Bearing Capacity (Bottom)                No Deformation          (*t*Fu kips)]]</f>
        <v>-</v>
      </c>
      <c r="GP61" s="462" t="str">
        <f>Reinforcements[[#This Row],[Rev. G Bolt-Shaft Bearing Capacity (Bottom)                   Deformation          (*t*Fu kips)]]</f>
        <v>-</v>
      </c>
      <c r="GQ61" s="462" t="str">
        <f>Reinforcements[[#This Row],[Rev. G Bolt-Shaft Bearing Capacity (Top)                    No Deformation          (*t*Fu kips)]]</f>
        <v>-</v>
      </c>
      <c r="GR61" s="462" t="str">
        <f>Reinforcements[[#This Row],[Rev. G Bolt-Shaft Bearing Capacity (Top)                        Deformation          (*t*Fu kips)]]</f>
        <v>-</v>
      </c>
      <c r="GS61" s="462" t="str">
        <f>Reinforcements[[#This Row],[Rev. G Bolt-Reinf. Bearing Capacity (Bottom)            No Deformation (kips)]]</f>
        <v>-</v>
      </c>
      <c r="GT61" s="462" t="str">
        <f>Reinforcements[[#This Row],[Rev. G Bolt-Reinf. Bearing Capacity (Bottom)               Deformation (kips)]]</f>
        <v>-</v>
      </c>
      <c r="GU61" s="462" t="str">
        <f>Reinforcements[[#This Row],[Rev. G Bolt-Reinf. Bearing Capacity (Top)                  No Deformation (kips)]]</f>
        <v>-</v>
      </c>
      <c r="GV61" s="462" t="str">
        <f>Reinforcements[[#This Row],[Rev. G Bolt-Reinf. Bearing Capacity (Top)               Deformation (kips)]]</f>
        <v>-</v>
      </c>
      <c r="GW61" s="462" t="str">
        <f>Reinforcements[[#This Row],[Rev. G Bottom Transverse Weld Strength]]</f>
        <v/>
      </c>
      <c r="GX61" s="462" t="str">
        <f>Reinforcements[[#This Row],[Rev. G Bottom Longitudinal Weld Strength]]</f>
        <v/>
      </c>
      <c r="GY61" s="462" t="str">
        <f>Reinforcements[[#This Row],[Rev. G Top Transverse Weld Strength]]</f>
        <v/>
      </c>
      <c r="GZ61" s="462" t="str">
        <f>Reinforcements[[#This Row],[Rev. G Top Longitudinal Weld Strength]]</f>
        <v/>
      </c>
      <c r="HA61" s="552">
        <v>59</v>
      </c>
      <c r="HB61"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2" spans="2:210" x14ac:dyDescent="0.2">
      <c r="B62" s="129"/>
      <c r="C62" s="129"/>
      <c r="D62" s="201" t="str">
        <f>IF(Reinforcements[[#This Row],[Type]]="","",IF(Reinforcements[[#This Row],[Type]]="solid round","-",""))</f>
        <v/>
      </c>
      <c r="E62" s="201" t="str">
        <f>IF(Reinforcements[[#This Row],[Type]]="","",IF(Reinforcements[[#This Row],[Type]]="solid round","-",""))</f>
        <v/>
      </c>
      <c r="F62" s="201" t="str">
        <f>IF(Reinforcements[[#This Row],[Type]]="","",IF(Reinforcements[[#This Row],[Type]]="solid round","","n/a"))</f>
        <v/>
      </c>
      <c r="G62" s="201" t="str">
        <f>IF(Reinforcements[[#This Row],[Type]]="","",IF(Reinforcements[[#This Row],[Type]]&lt;&gt;"channel","n/a",""))</f>
        <v/>
      </c>
      <c r="H62" s="201" t="str">
        <f>IF(Reinforcements[[#This Row],[Type]]="","",IF(Reinforcements[[#This Row],[Type]]&lt;&gt;"channel","n/a",""))</f>
        <v/>
      </c>
      <c r="I62" s="224" t="str">
        <f>IF(Reinforcements[[#This Row],[Type]]="","",IF(Reinforcements[[#This Row],[Type]]&lt;&gt;"channel","n/a",Reinforcements[[#This Row],[eo]]))</f>
        <v/>
      </c>
      <c r="J62" s="224" t="str">
        <f>IF(Reinforcements[[#This Row],[Type]]="","",IF(Reinforcements[[#This Row],[Type]]&lt;&gt;"channel","n/a",Reinforcements[[#This Row],[J]]))</f>
        <v/>
      </c>
      <c r="K62" s="224" t="str">
        <f>IF(Reinforcements[[#This Row],[Type]]="","",IF(Reinforcements[[#This Row],[Type]]&lt;&gt;"channel","n/a",Reinforcements[[#This Row],[Cw]]))</f>
        <v/>
      </c>
      <c r="L62" s="201" t="str">
        <f>IFERROR(IF(Reinforcements[[#This Row],[Type]]="","",IF(Reinforcements[[#This Row],[Type]]="plate",Reinforcements[[#This Row],[B (in)]]*Reinforcements[[#This Row],[H (in)]],IF(Reinforcements[[#This Row],[Type]]="solid round",PI()/4*Reinforcements[[#This Row],[Diameter (in)]]^2,""))),"")</f>
        <v/>
      </c>
      <c r="M62" s="201" t="str">
        <f>IFERROR(IF(Reinforcements[[#This Row],[Type]]="","",IF(Reinforcements[[#This Row],[Type]]="plate",Reinforcements[[#This Row],[H (in)]]/2,"")),"")</f>
        <v/>
      </c>
      <c r="N62" s="202"/>
      <c r="O62" s="203"/>
      <c r="P62" s="215" t="str">
        <f>IFERROR(IF(Reinforcements[[#This Row],[Type]]="","",IF(Reinforcements[[#This Row],[Type]]="plate",Reinforcements[[#This Row],[B (in)]]*Reinforcements[[#This Row],[H (in)]]^3/12,IF(Reinforcements[[#This Row],[Type]]="solid round",PI()/64*Reinforcements[[#This Row],[Diameter (in)]]^4,""))),"")</f>
        <v/>
      </c>
      <c r="Q62" s="215" t="str">
        <f>IF(Reinforcements[[#This Row],[Reinforcement]]="","",SQRT(Reinforcements[[#This Row],[Ix]]/Reinforcements[[#This Row],[Gross Area (in2)]]))</f>
        <v/>
      </c>
      <c r="R62" s="215" t="str">
        <f>IFERROR(IF(Reinforcements[[#This Row],[Type]]="","",IF(Reinforcements[[#This Row],[Type]]="plate",Reinforcements[[#This Row],[B (in)]]^3*Reinforcements[[#This Row],[H (in)]]/12,IF(Reinforcements[[#This Row],[Type]]="solid round",PI()/64*Reinforcements[[#This Row],[Diameter (in)]]^4,""))),"")</f>
        <v/>
      </c>
      <c r="S62" s="215" t="str">
        <f>IF(Reinforcements[[#This Row],[Reinforcement]]="","",SQRT(Reinforcements[[#This Row],[Iy]]/Reinforcements[[#This Row],[Gross Area (in2)]]))</f>
        <v/>
      </c>
      <c r="T62" s="206"/>
      <c r="U62" s="204" t="str">
        <f>IF(Reinforcements[[#This Row],[Lu (in)]]="","",IF(Reinforcements[[#This Row],[Lu (in)]]=0,1,""))</f>
        <v/>
      </c>
      <c r="V62" s="204" t="str">
        <f>IF(Reinforcements[[#This Row],[Lu (in)]]="","",IF(Reinforcements[[#This Row],[Lu (in)]]=0,1,""))</f>
        <v/>
      </c>
      <c r="W62" s="201" t="str">
        <f>IF(Reinforcements[[#This Row],[Type]]="","",IF(Reinforcements[[#This Row],[Type]]="solid round",0,IF(Reinforcements[[#This Row],[Type]]="arbitrary","n/a","")))</f>
        <v/>
      </c>
      <c r="X62" s="204" t="str">
        <f>IF(Reinforcements[[#This Row],[Bolt Hole Size (in)]]="","",IF(Reinforcements[[#This Row],[Bolt Hole Size (in)]]="n/a","n/a",Reinforcements[[#This Row],[Bolt Hole Size (in)]]*25.4))</f>
        <v/>
      </c>
      <c r="Y62"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2" s="201" t="str">
        <f>IFERROR(IF(Reinforcements[[#This Row],[Reinforcement]]="","",IF(OR(Reinforcements[[#This Row],[Type]]="plate",Reinforcements[[#This Row],[Type]]="solid round"),1,IF(Reinforcements[[#This Row],[Type]]="arbitrary","",1-Reinforcements[[#This Row],[Pole Face to Centroid (in)]]/Reinforcements[[#This Row],[Connection Length (in) '[Channels']]]))),"")</f>
        <v/>
      </c>
      <c r="AA62" s="205"/>
      <c r="AB62" s="103" t="str">
        <f>IF(Reinforcements[[#This Row],[Reinforcement]]="","",IF(Reinforcements[[#This Row],[Bottom End Connection Type]]&lt;&gt;"Capacity Input","-",""))</f>
        <v/>
      </c>
      <c r="AC62" s="103" t="str">
        <f>IF(Reinforcements[[#This Row],[Reinforcement]]="","",IF(Reinforcements[[#This Row],[Bottom End Connection Type]]&lt;&gt;"Capacity Input","-",""))</f>
        <v/>
      </c>
      <c r="AD62" s="253" t="str">
        <f>IF(Reinforcements[[#This Row],[Reinforcement]]="","",IF(Reinforcements[[#This Row],[Bottom End Connection Type]]&lt;&gt;"Capacity Input","-",""))</f>
        <v/>
      </c>
      <c r="AE62" s="103" t="str">
        <f>IF(Reinforcements[[#This Row],[Reinforcement]]="","",IF(Reinforcements[[#This Row],[Bottom End Connection Type]]&lt;&gt;"Bolted","-",""))</f>
        <v/>
      </c>
      <c r="AF62" s="206" t="str">
        <f>IF(Reinforcements[[#This Row],[Reinforcement]]="","",IF(Reinforcements[[#This Row],[Bottom End Connection Type]]&lt;&gt;"Bolted","-",""))</f>
        <v/>
      </c>
      <c r="AG62" s="206" t="str">
        <f>IF(Reinforcements[[#This Row],[Reinforcement]]="","",IF(Reinforcements[[#This Row],[Bottom End Connection Type]]="","-",IF(Reinforcements[[#This Row],[Bottom End Connection Type]]&lt;&gt;"Bolted","-","")))</f>
        <v/>
      </c>
      <c r="AH62" s="206" t="str">
        <f>IF(Reinforcements[[#This Row],[Reinforcement]]="","",IF(Reinforcements[[#This Row],[Bottom End Connection Type]]="","-",IF(Reinforcements[[#This Row],[Bottom End Connection Type]]&lt;&gt;"Bolted","-","")))</f>
        <v/>
      </c>
      <c r="AI62" s="206" t="str">
        <f>IF(Reinforcements[[#This Row],[Reinforcement]]="","",IF(Reinforcements[[#This Row],[Bottom End Connection Type]]="","-",IF(Reinforcements[[#This Row],[Bottom End Connection Type]]&lt;&gt;"Bolted","-","")))</f>
        <v/>
      </c>
      <c r="AJ62" s="206" t="e">
        <f>Reinforcements[[#This Row],[End Connection Edge Distance (in) (B)]]-(Reinforcements[[#This Row],[Bolt Hole Size (in)]]+1/16)/2</f>
        <v>#VALUE!</v>
      </c>
      <c r="AK62" s="206" t="e">
        <f>Reinforcements[[#This Row],[End Connection Bolt Spacing (in) (B)]]-(Reinforcements[[#This Row],[Bolt Hole Size (in)]]+1/16)</f>
        <v>#VALUE!</v>
      </c>
      <c r="AL62" s="206" t="str">
        <f>Reinforcements[[#This Row],[End Connection Edge Distance (in) (B)]]</f>
        <v/>
      </c>
      <c r="AM62" s="206" t="str">
        <f>Reinforcements[[#This Row],[End Connection Bolt Spacing (in) (B)]]</f>
        <v/>
      </c>
      <c r="AN62" s="206" t="str">
        <f>IF(Reinforcements[[#This Row],[Reinforcement]]="","",IF(OR(Reinforcements[[#This Row],[Bottom End Connection Type]]="Bolted",Reinforcements[[#This Row],[Bottom End Connection Type]]=""),"-",""))</f>
        <v/>
      </c>
      <c r="AO62" s="214" t="str">
        <f>IF(Reinforcements[[#This Row],[Reinforcement]]="","",IF(Reinforcements[[#This Row],[Bottom End Connection Type]]&lt;&gt;"Welded","-",""))</f>
        <v/>
      </c>
      <c r="AP62" s="214" t="str">
        <f>IF(Reinforcements[[#This Row],[Reinforcement]]="","",IF(Reinforcements[[#This Row],[Bottom End Connection Type]]&lt;&gt;"Welded","-",""))</f>
        <v/>
      </c>
      <c r="AQ62" s="214" t="str">
        <f>IF(Reinforcements[[#This Row],[Reinforcement]]="","",IF(OR(Reinforcements[[#This Row],[Bottom End Connection Type]]&lt;&gt;"Welded",Reinforcements[[#This Row],[Bottom Transverse (Horizontal) Weld]]="None"),"-",""))</f>
        <v/>
      </c>
      <c r="AR62"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2"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2" s="214" t="str">
        <f>IF(Reinforcements[[#This Row],[Reinforcement]]="","",IF(OR(Reinforcements[[#This Row],[Bottom Transverse (Horizontal) Weld]]="None",Reinforcements[[#This Row],[Bottom End Connection Type]]&lt;&gt;"Welded"),"-",""))</f>
        <v/>
      </c>
      <c r="AU62"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2" s="214" t="str">
        <f>IF(Reinforcements[[#This Row],[Reinforcement]]="","",IF(OR(Reinforcements[[#This Row],[Bottom End Connection Type]]&lt;&gt;"Welded",Reinforcements[[#This Row],[Bottom End Connection Type]]=""),"-",""))</f>
        <v/>
      </c>
      <c r="AW62" s="214" t="str">
        <f>IF(Reinforcements[[#This Row],[Reinforcement]]="","",IF(OR(Reinforcements[[#This Row],[Bottom End Connection Type]]&lt;&gt;"Welded",Reinforcements[[#This Row],[Bottom Longitudinal (Vertical) Weld]]="None",Reinforcements[[#This Row],[Bottom Longitudinal (Vertical) Weld]]=""),"-",""))</f>
        <v/>
      </c>
      <c r="AX62" s="214" t="str">
        <f>IF(Reinforcements[[#This Row],[Reinforcement]]="","",IF(OR(Reinforcements[[#This Row],[Bottom End Connection Type]]&lt;&gt;"Welded",Reinforcements[[#This Row],[Bottom Longitudinal (Vertical) Weld]]="None",Reinforcements[[#This Row],[Bottom Longitudinal (Vertical) Weld]]=""),"-",""))</f>
        <v/>
      </c>
      <c r="AY62" s="206" t="str">
        <f>IF(Reinforcements[[#This Row],[Reinforcement]]="","",IF(OR(Reinforcements[[#This Row],[Bottom End Connection Type]]&lt;&gt;"Welded",Reinforcements[[#This Row],[Bottom Longitudinal (Vertical) Weld]]="None"),"-",SQRT(2)/2*Reinforcements[[#This Row],[Bottom Longitudinal Weld Fillet Size (in)]]))</f>
        <v/>
      </c>
      <c r="AZ62" s="206"/>
      <c r="BA62" s="103" t="str">
        <f>IF(Reinforcements[[#This Row],[Top End Connection Same?]]="Yes",Reinforcements[[#This Row],[Bottom End Connection Type]],"")</f>
        <v/>
      </c>
      <c r="BB62" s="103" t="str">
        <f>IF(Reinforcements[[#This Row],[Reinforcement]]="","",IF(Reinforcements[[#This Row],[Top End Connection Same?]]="Yes",Reinforcements[[#This Row],[Rev. F Bottom Connection Capacity (kips)]],IF(Reinforcements[[#This Row],[Reinforcement]]="","",IF(Reinforcements[[#This Row],[Top End Connection Type]]&lt;&gt;"Capacity Input","-",""))))</f>
        <v/>
      </c>
      <c r="BC62" s="103" t="str">
        <f>IF(Reinforcements[[#This Row],[Reinforcement]]="","",IF(Reinforcements[[#This Row],[Top End Connection Same?]]="Yes",Reinforcements[[#This Row],[Rev. G Bottom Connection Capacity (kips)]],IF(Reinforcements[[#This Row],[Reinforcement]]="","",IF(Reinforcements[[#This Row],[Top End Connection Type]]&lt;&gt;"Capacity Input","-",""))))</f>
        <v/>
      </c>
      <c r="BD62" s="253" t="str">
        <f>IF(Reinforcements[[#This Row],[Reinforcement]]="","",IF(Reinforcements[[#This Row],[Top End Connection Same?]]="Yes",Reinforcements[[#This Row],[Rev. G Bottom Connection Capacity (kips)]],IF(Reinforcements[[#This Row],[Reinforcement]]="","",IF(Reinforcements[[#This Row],[Top End Connection Type]]&lt;&gt;"Capacity Input","-",""))))</f>
        <v/>
      </c>
      <c r="BE62" s="103" t="str">
        <f>IF(Reinforcements[[#This Row],[Reinforcement]]="","",IF(Reinforcements[[#This Row],[Top End Connection Same?]]="Yes",Reinforcements[[#This Row],[Bottom End Connection Bolt Type]],IF(Reinforcements[[#This Row],[Top End Connection Type]]&lt;&gt;"Bolted","-","")))</f>
        <v/>
      </c>
      <c r="BF62" s="206" t="str">
        <f>IF(Reinforcements[[#This Row],[Reinforcement]]="","",IF(Reinforcements[[#This Row],[Top End Connection Same?]]="Yes",Reinforcements[[#This Row],[Threads Included (N) or Excluded (X) (Bottom)]],IF(Reinforcements[[#This Row],[Top End Connection Type]]&lt;&gt;"Bolted","-","")))</f>
        <v/>
      </c>
      <c r="BG62" s="206" t="str">
        <f>IF(Reinforcements[[#This Row],[Reinforcement]]="","",IF(Reinforcements[[#This Row],[Top End Connection Same?]]="Yes",Reinforcements[[#This Row],['# of End Connection Bolts          (Bottom)]],IF(Reinforcements[[#This Row],[Top End Connection Type]]&lt;&gt;"Bolted","-","")))</f>
        <v/>
      </c>
      <c r="BH62" s="206" t="str">
        <f>IF(Reinforcements[[#This Row],[Reinforcement]]="","",IF(Reinforcements[[#This Row],[Top End Connection Same?]]="Yes",Reinforcements[[#This Row],[End Connection Bolt Spacing (in) (B)]],IF(Reinforcements[[#This Row],[Top End Connection Type]]&lt;&gt;"Bolted","-","")))</f>
        <v/>
      </c>
      <c r="BI62" s="206" t="str">
        <f>IF(Reinforcements[[#This Row],[Reinforcement]]="","",IF(Reinforcements[[#This Row],[Top End Connection Same?]]="Yes",Reinforcements[[#This Row],[End Connection Edge Distance (in) (B)]],IF(Reinforcements[[#This Row],[Top End Connection Type]]&lt;&gt;"Bolted","-","")))</f>
        <v/>
      </c>
      <c r="BJ62" s="206" t="e">
        <f>Reinforcements[[#This Row],[End Connection Edge Distance (in) (T)]]-(Reinforcements[[#This Row],[Bolt Hole Size (in)]]+1/16)/2</f>
        <v>#VALUE!</v>
      </c>
      <c r="BK62" s="206" t="e">
        <f>Reinforcements[[#This Row],[End Connection Bolt Spacing (in) (T)]]-(Reinforcements[[#This Row],[Bolt Hole Size (in)]]+1/16)</f>
        <v>#VALUE!</v>
      </c>
      <c r="BL62" s="206" t="str">
        <f>Reinforcements[[#This Row],[End Connection Edge Distance (in) (T)]]</f>
        <v/>
      </c>
      <c r="BM62" s="206" t="str">
        <f>Reinforcements[[#This Row],[End Connection Bolt Spacing (in) (T)]]</f>
        <v/>
      </c>
      <c r="BN62" s="206" t="str">
        <f>IF(Reinforcements[[#This Row],[Reinforcement]]="","",IF(Reinforcements[[#This Row],[Top End Connection Same?]]="Yes",Reinforcements[[#This Row],[Bottom Connected to Flange/Base Plate?]],IF(Reinforcements[[#This Row],[Top End Connection Type]]="Bolted","-","")))</f>
        <v/>
      </c>
      <c r="BO62" s="206" t="str">
        <f>IF(Reinforcements[[#This Row],[Reinforcement]]="","",IF(Reinforcements[[#This Row],[Top End Connection Same?]]="Yes",Reinforcements[[#This Row],[Bottom Weld Grade (ksi)]],IF(OR(Reinforcements[[#This Row],[Top End Connection Type]]&lt;&gt;"Welded",Reinforcements[[#This Row],[Top End Connection Type]]=""),"-","")))</f>
        <v/>
      </c>
      <c r="BP62" s="206" t="str">
        <f>IF($AZ62="Yes",AP62,IF(Reinforcements[[#This Row],[Reinforcement]]="","",IF(OR(Reinforcements[[#This Row],[Top End Connection Type]]&lt;&gt;"Welded",Reinforcements[[#This Row],[Top End Connection Type]]=""),"-","")))</f>
        <v/>
      </c>
      <c r="BQ62" s="206" t="str">
        <f>IF(Reinforcements[[#This Row],[Reinforcement]]="","",IF($AZ62="Yes",AQ62,IF(OR(Reinforcements[[#This Row],[Top End Connection Type]]&lt;&gt;"Welded",Reinforcements[[#This Row],[Top Transverse (Horizontal) Weld]]="none",Reinforcements[[#This Row],[Top Transverse (Horizontal) Weld]]=""),"-","")))</f>
        <v/>
      </c>
      <c r="BR62" s="206" t="str">
        <f>IF($AZ62="Yes",AR62,IF(Reinforcements[[#This Row],[Reinforcement]]="","",IF(OR(Reinforcements[[#This Row],[Top Transverse (Horizontal) Weld]]="none",Reinforcements[[#This Row],[Top End Connection Type]]&lt;&gt;"Welded",Reinforcements[[#This Row],[Top Transverse (Horizontal) Weld]]="",Reinforcements[[#This Row],[Top Transverse (Horizontal) Weld]]="Fillet"),"-","")))</f>
        <v/>
      </c>
      <c r="BS62" s="206" t="str">
        <f>IF($AZ62="Yes",AS62,IF(Reinforcements[[#This Row],[Reinforcement]]="","",IF(OR(Reinforcements[[#This Row],[Top Transverse (Horizontal) Weld]]="none",Reinforcements[[#This Row],[Top End Connection Type]]&lt;&gt;"Welded",Reinforcements[[#This Row],[Top Transverse (Horizontal) Weld]]="",Reinforcements[[#This Row],[Top Transverse (Horizontal) Weld]]="Fillet"),"-","")))</f>
        <v/>
      </c>
      <c r="BT62" s="206" t="str">
        <f>IF(Reinforcements[[#This Row],[Reinforcement]]="","",IF($AZ62="Yes",AT62,IF(OR(Reinforcements[[#This Row],[Top Transverse (Horizontal) Weld]]="none",Reinforcements[[#This Row],[Top End Connection Type]]&lt;&gt;"Welded",Reinforcements[[#This Row],[Top Transverse (Horizontal) Weld]]=""),"-","")))</f>
        <v/>
      </c>
      <c r="BU62" s="206" t="str">
        <f>IF($AZ62="Yes",AU62,IF(Reinforcements[[#This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2" s="206" t="str">
        <f>IF($AZ62="Yes",AV62,IF(Reinforcements[[#This Row],[Reinforcement]]="","",IF(OR(Reinforcements[[#This Row],[Top End Connection Type]]&lt;&gt;"Welded",Reinforcements[[#This Row],[Top End Connection Type]]=""),"-","")))</f>
        <v/>
      </c>
      <c r="BW62" s="206" t="str">
        <f>IF($AZ62="Yes",AW62,IF(Reinforcements[[#This Row],[Reinforcement]]="","",IF(OR(Reinforcements[[#This Row],[Top End Connection Type]]&lt;&gt;"Welded",Reinforcements[[#This Row],[Top End Connection Type]]="",Reinforcements[[#This Row],[Top Longitudinal (Vertical) Weld]]="",Reinforcements[[#This Row],[Top Longitudinal (Vertical) Weld]]="None"),"-","")))</f>
        <v/>
      </c>
      <c r="BX62" s="206" t="str">
        <f>IF($AZ62="Yes",AX62,IF(Reinforcements[[#This Row],[Reinforcement]]="","",IF(OR(Reinforcements[[#This Row],[Top End Connection Type]]&lt;&gt;"Welded",Reinforcements[[#This Row],[Top End Connection Type]]="",Reinforcements[[#This Row],[Top Longitudinal (Vertical) Weld]]="",Reinforcements[[#This Row],[Top Longitudinal (Vertical) Weld]]="None"),"-","")))</f>
        <v/>
      </c>
      <c r="BY62" s="206" t="str">
        <f>IF($AZ62="Yes",AY62,IF(Reinforcements[[#This Row],[Reinforcement]]="","",IF(OR(Reinforcements[[#This Row],[Top End Connection Type]]&lt;&gt;"Welded",Reinforcements[[#This Row],[Top Longitudinal (Vertical) Weld]]="none"),"-",SQRT(2)/2*Reinforcements[[#This Row],[Top Longitudinal Weld Fillet Size (in)]])))</f>
        <v/>
      </c>
      <c r="BZ62"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2"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2"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2"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2"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2" s="201" t="str">
        <f>IFERROR(IF(Reinforcements[[#This Row],[Type]]="","",Reinforcements[[#This Row],[Effective B (in)]]*Reinforcements[[#This Row],[Effective H (in)]]^3/12),"")</f>
        <v/>
      </c>
      <c r="CF62" s="201" t="str">
        <f>IFERROR(IF(Reinforcements[[#This Row],[Type]]="","",Reinforcements[[#This Row],[Effective B (in)]]^3*Reinforcements[[#This Row],[Effective H (in)]]/12),"")</f>
        <v/>
      </c>
      <c r="CG62" s="224" t="e">
        <f>SQRT(2*PI()^2*29000/VLOOKUP(Reinforcements[[#This Row],[Material]],Materials[],2,FALSE))</f>
        <v>#N/A</v>
      </c>
      <c r="CH62"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2"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2" s="215" t="e">
        <f>Reinforcements[[#This Row],[Effective Length Factor Kx]]*Reinforcements[[#This Row],[Lu (in)]]/(Reinforcements[[#This Row],[rx]]*PI())*SQRT(VLOOKUP(Reinforcements[[#This Row],[Material]],Materials[],2,FALSE)/29000)</f>
        <v>#VALUE!</v>
      </c>
      <c r="CK62" s="215" t="e">
        <f>Reinforcements[[#This Row],[Effective Length Factor Ky]]*Reinforcements[[#This Row],[Lu (in)]]/(Reinforcements[[#This Row],[ry]]*PI())*SQRT(VLOOKUP(Reinforcements[[#This Row],[Material]],Materials[],2,FALSE)/29000)</f>
        <v>#VALUE!</v>
      </c>
      <c r="CL62" s="215" t="e">
        <f>IF(Reinforcements[[#This Row],[λcx]]&lt;=1.5,0.658^(Reinforcements[[#This Row],[λcx]]^2)*Reinforcements[[#This Row],[F''y]],0.877/(Reinforcements[[#This Row],[λcx]]^2)*Reinforcements[[#This Row],[F''y]])</f>
        <v>#VALUE!</v>
      </c>
      <c r="CM62" s="215" t="e">
        <f>IF(Reinforcements[[#This Row],[λcy]]&lt;=1.5,0.658^(Reinforcements[[#This Row],[λcy]]^2)*Reinforcements[[#This Row],[F''y]],0.877/(Reinforcements[[#This Row],[λcy]]^2)*Reinforcements[[#This Row],[F''y]])</f>
        <v>#VALUE!</v>
      </c>
      <c r="CN62" s="201" t="e">
        <f>VLOOKUP(Reinforcements[[#This Row],[Material]],Materials[],2,FALSE)</f>
        <v>#N/A</v>
      </c>
      <c r="CO62" s="224" t="str">
        <f>IF(Reinforcements[[#This Row],[Reinforcement]]="","",Reinforcements[[#This Row],[Fax]]*Reinforcements[[#This Row],[Gross Area (in2)]])</f>
        <v/>
      </c>
      <c r="CP62" s="224" t="str">
        <f>IF(Reinforcements[[#This Row],[Reinforcement]]="","",Reinforcements[[#This Row],[Fay]]*Reinforcements[[#This Row],[Gross Area (in2)]])</f>
        <v/>
      </c>
      <c r="CQ62" s="224" t="str">
        <f>IF(Reinforcements[[#This Row],[Reinforcement]]="","",0.6*VLOOKUP(Reinforcements[[#This Row],[Material]],Materials[],2,FALSE)*Reinforcements[[#This Row],[Gross Area (in2)]])</f>
        <v/>
      </c>
      <c r="CR62" s="224" t="str">
        <f>IF(Reinforcements[[#This Row],[Reinforcement]]="","",0.5*VLOOKUP(Reinforcements[[#This Row],[Material]],Materials[],3,FALSE)*Reinforcements[[#This Row],[Net Area (in2)]]*Reinforcements[[#This Row],[Shear Lag (U)]])</f>
        <v/>
      </c>
      <c r="CS62" s="224" t="str">
        <f>IF(Reinforcements[[#This Row],[Reinforcement]]="","",0.4*VLOOKUP(Reinforcements[[#This Row],[Material]],Materials[],2,FALSE)*Reinforcements[[#This Row],[Gross Area (in2)]])</f>
        <v/>
      </c>
      <c r="CT62"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2"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2"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2"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2"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2"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2"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2"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2"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2"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2"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2"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2" s="206" t="str">
        <f>IF($AZ62="Yes",DD62,IF(Reinforcements[[#This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2" s="206" t="str">
        <f>IF($AZ62="Yes",DE62,IF(Reinforcements[[#This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2" s="224" t="str">
        <f>IF(Reinforcements[[#This Row],[Reinforcement]]="","",φ_c*Reinforcements[[#This Row],[Fcr,x]]*Reinforcements[[#This Row],[Gross Area (in2)]])</f>
        <v/>
      </c>
      <c r="DI62" s="224" t="str">
        <f>IF(Reinforcements[[#This Row],[Reinforcement]]="","",φ_c*Reinforcements[[#This Row],[Fcr,y]]*Reinforcements[[#This Row],[Gross Area (in2)]])</f>
        <v/>
      </c>
      <c r="DJ62" s="224" t="str">
        <f>IF(Reinforcements[[#This Row],[Reinforcement]]="","",φ_t_y*VLOOKUP(Reinforcements[[#This Row],[Material]],Materials[],2,FALSE)*Reinforcements[[#This Row],[Gross Area (in2)]])</f>
        <v/>
      </c>
      <c r="DK62" s="224" t="str">
        <f>IF(Reinforcements[[#This Row],[Reinforcement]]="","",φ_t_r*VLOOKUP(Reinforcements[[#This Row],[Material]],Materials[],3,FALSE)*Reinforcements[[#This Row],[Net Area (in2)]]*Reinforcements[[#This Row],[Shear Lag (U)]])</f>
        <v/>
      </c>
      <c r="DL62" s="224" t="str">
        <f>IF(Reinforcements[[#This Row],[Reinforcement]]="","",φ_v*0.5*Reinforcements[[#This Row],[F''y]]*Reinforcements[[#This Row],[Gross Area (in2)]])</f>
        <v/>
      </c>
      <c r="DM62"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2"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2"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2"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2"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2"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2"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2"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2"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2"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2"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2"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2" s="206" t="str">
        <f>IF($AZ62="Yes",DW62,IF(Reinforcements[[#This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2" s="206" t="str">
        <f>IF($AZ62="Yes",DX62,IF(Reinforcements[[#This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2" s="507" t="str">
        <f>IF(OR(Reinforcements[[#This Row],[Type]]="plate",Reinforcements[[#This Row],[Type]]="solid round"),"N/A",Reinforcements[[#This Row],[B (in)]])</f>
        <v/>
      </c>
      <c r="EB62" s="508" t="str">
        <f>IF(OR(Reinforcements[[#This Row],[Type]]="plate",Reinforcements[[#This Row],[Type]]="solid round"),"N/A",Reinforcements[[#This Row],[H (in)]])</f>
        <v/>
      </c>
      <c r="EC62" s="508" t="e">
        <f>IF(OR(Reinforcements[[#This Row],[Type]]="plate",Reinforcements[[#This Row],[Type]]="solid round"),"N/A",Reinforcements[[#This Row],[B (in)]]-Reinforcements[[#This Row],['[Channel'] Flange Thickness (in)]])</f>
        <v>#VALUE!</v>
      </c>
      <c r="ED62" s="508" t="str">
        <f>IF(OR(Reinforcements[[#This Row],[Type]]="plate",Reinforcements[[#This Row],[Type]]="solid round"),"N/A",Reinforcements[[#This Row],['[Channel']Web Thickness (in)]])</f>
        <v/>
      </c>
      <c r="EE62" s="508" t="str">
        <f>IF(OR(Reinforcements[[#This Row],[Type]]="plate",Reinforcements[[#This Row],[Type]]="solid round"),"N/A",Reinforcements[[#This Row],['[Channel'] Flange Thickness (in)]])</f>
        <v/>
      </c>
      <c r="EF62" s="508" t="str">
        <f>IF(Reinforcements[[#This Row],[Type]]="channel",Reinforcements[[#This Row],[Channel Flange Width, b]]/Reinforcements[[#This Row],[Channel flange thickness, tf]],"N/A")</f>
        <v>N/A</v>
      </c>
      <c r="EG62" s="508" t="str">
        <f>IF(Reinforcements[[#This Row],[Type]]="channel",Reinforcements[[#This Row],[Channel inside depth, T]]/Reinforcements[[#This Row],[Channel web thickness, tw]],"N/A")</f>
        <v>N/A</v>
      </c>
      <c r="EH62" s="252">
        <v>28990</v>
      </c>
      <c r="EI62" s="252" t="str">
        <f>IF(Reinforcements[[#This Row],[Type]]="channel",0.56*SQRT(Reinforcements[[#This Row],[E, (ksi)]]/Reinforcements[[#This Row],[Fy, (ksi)]]),"N/A")</f>
        <v>N/A</v>
      </c>
      <c r="EJ62" s="252" t="str">
        <f>IF(Reinforcements[[#This Row],[Type]]="channel",1.49*SQRT(Reinforcements[[#This Row],[E, (ksi)]]/Reinforcements[[#This Row],[Fy, (ksi)]]),"N/A")</f>
        <v>N/A</v>
      </c>
      <c r="EK62" s="252" t="e">
        <f>VLOOKUP(Reinforcements[[#This Row],[Material]],Materials!$B$2:$C$30,2,FALSE)</f>
        <v>#N/A</v>
      </c>
      <c r="EL62" s="252" t="e">
        <f>Reinforcements[[#This Row],[Lu (in)]]*Reinforcements[[#This Row],[Effective Length Factor Kx]]</f>
        <v>#VALUE!</v>
      </c>
      <c r="EM62" s="252" t="e">
        <f>Reinforcements[[#This Row],[Lu (in)]]*Reinforcements[[#This Row],[Effective Length Factor Ky]]</f>
        <v>#VALUE!</v>
      </c>
      <c r="EN62" s="252" t="str">
        <f>Reinforcements[[#This Row],[rx]]</f>
        <v/>
      </c>
      <c r="EO62" s="252" t="str">
        <f>Reinforcements[[#This Row],[ry]]</f>
        <v/>
      </c>
      <c r="EP62" s="252" t="e">
        <f>Reinforcements[[#This Row],[Lcx (in)]]/Reinforcements[[#This Row],[rx (in)]]</f>
        <v>#VALUE!</v>
      </c>
      <c r="EQ62" s="252" t="e">
        <f>Reinforcements[[#This Row],[Lcy (in)]]/Reinforcements[[#This Row],[ry (in)]]</f>
        <v>#VALUE!</v>
      </c>
      <c r="ER62" s="252" t="e">
        <f>((PI()^2)*Reinforcements[[#This Row],[E, (ksi)]])/(Reinforcements[[#This Row],[Lcx/rx]]^2)</f>
        <v>#VALUE!</v>
      </c>
      <c r="ES62" s="252" t="e">
        <f>((PI()^2)*Reinforcements[[#This Row],[E, (ksi)]])/(Reinforcements[[#This Row],[Lcy/ry]]^2)</f>
        <v>#VALUE!</v>
      </c>
      <c r="ET62" s="252" t="e">
        <f>4.71*(SQRT(Reinforcements[[#This Row],[E, (ksi)]]/Reinforcements[[#This Row],[Fy, (ksi)]]))</f>
        <v>#N/A</v>
      </c>
      <c r="EU62" s="252" t="e">
        <f>IF(Reinforcements[[#This Row],[Lcx/rx]]&lt;=Reinforcements[[#This Row],[Fcr Limit]],(0.658^(Reinforcements[[#This Row],[Fy, (ksi)]]/Reinforcements[[#This Row],[Fex, FB (ksi)]]))*Reinforcements[[#This Row],[Fy, (ksi)]],0.877*Reinforcements[[#This Row],[Fex, FB (ksi)]])</f>
        <v>#VALUE!</v>
      </c>
      <c r="EV62" s="252" t="e">
        <f>IF(Reinforcements[[#This Row],[Lcy/ry]]&lt;=Reinforcements[[#This Row],[Fcr Limit]],(0.658^(Reinforcements[[#This Row],[Fy, (ksi)]]/Reinforcements[[#This Row],[Fey, FB (ksi)]]))*Reinforcements[[#This Row],[Fy, (ksi)]],0.877*Reinforcements[[#This Row],[Fey, FB (ksi)]])</f>
        <v>#VALUE!</v>
      </c>
      <c r="EW62" s="252" t="e">
        <f>Reinforcements[[#This Row],[Fcrx (ksi)]]*Reinforcements[[#This Row],[Gross Area (in2)]]</f>
        <v>#VALUE!</v>
      </c>
      <c r="EX62" s="252" t="e">
        <f>Reinforcements[[#This Row],[Fcry (ksi)]]*Reinforcements[[#This Row],[Gross Area (in2)]]</f>
        <v>#VALUE!</v>
      </c>
      <c r="EY62" s="252" t="str">
        <f>IF(Reinforcements[[#This Row],[Type]]="channel",0,"N/A")</f>
        <v>N/A</v>
      </c>
      <c r="EZ62" s="252" t="str">
        <f>IF(Reinforcements[[#This Row],[Type]]="channel",Reinforcements[[#This Row],[Channel Flange Width, b]]-(0.5*Reinforcements[[#This Row],[Channel web thickness, tw]]),"N/A")</f>
        <v>N/A</v>
      </c>
      <c r="FA62" s="252" t="str">
        <f>IF(Reinforcements[[#This Row],[Type]]="channel",Reinforcements[[#This Row],[Channel Height, h]]-Reinforcements[[#This Row],[Channel flange thickness, tf]],"N/A")</f>
        <v>N/A</v>
      </c>
      <c r="FB62" s="252" t="str">
        <f>IF(Reinforcements[[#This Row],[Type]]="channel",Reinforcements[[#This Row],[Channel web thickness, tw]],"N/A")</f>
        <v>N/A</v>
      </c>
      <c r="FC62" s="252" t="str">
        <f>IF(Reinforcements[[#This Row],[Type]]="channel",((3*Reinforcements[[#This Row],[b]]^2)/(Reinforcements[[#This Row],[h]]+(6*Reinforcements[[#This Row],[b]])))-Reinforcements[[#This Row],[t]]/2,"N/A")</f>
        <v>N/A</v>
      </c>
      <c r="FD62" s="252" t="str">
        <f>Reinforcements[[#This Row],[Pole Face to Centroid (in)]]</f>
        <v/>
      </c>
      <c r="FE62" s="508" t="str">
        <f>IF(Reinforcements[[#This Row],[Type]]="channel",Reinforcements[[#This Row],[x(bar)]]+Reinforcements[[#This Row],['[Channel'] e0 (in)]],"N/A")</f>
        <v>N/A</v>
      </c>
      <c r="FF62" s="508" t="str">
        <f>IF(Reinforcements[[#This Row],[Type]]="channel",Reinforcements[[#This Row],[Ix]],"N/A")</f>
        <v>N/A</v>
      </c>
      <c r="FG62" s="508" t="str">
        <f>IF(Reinforcements[[#This Row],[Type]]="channel",Reinforcements[[#This Row],[Iy]],"N/A")</f>
        <v>N/A</v>
      </c>
      <c r="FH62" s="508" t="str">
        <f>IF(Reinforcements[[#This Row],[Type]]="channel",Reinforcements[[#This Row],[Gross Area (in2)]],"N/A")</f>
        <v>N/A</v>
      </c>
      <c r="FI62" s="508" t="str">
        <f>IF(Reinforcements[[#This Row],[Type]]="channel",(Reinforcements[[#This Row],[xo]]^2)+((Reinforcements[[#This Row],[Ix (FTB)]]+Reinforcements[[#This Row],[Iy (FTB)]])/Reinforcements[[#This Row],[Ag]]),"N/A")</f>
        <v>N/A</v>
      </c>
      <c r="FJ62" s="508" t="str">
        <f>IF(Reinforcements[[#This Row],[Type]]="channel",Reinforcements[[#This Row],[Lu (in)]],"N/A")</f>
        <v>N/A</v>
      </c>
      <c r="FK62" s="508" t="str">
        <f>IF(Reinforcements[[#This Row],[Type]]="channel",Reinforcements[[#This Row],[Effective Length Factor Kx]],"N/A")</f>
        <v>N/A</v>
      </c>
      <c r="FL62" s="508" t="str">
        <f>IF(Reinforcements[[#This Row],[Type]]="channel",Reinforcements[[#This Row],[Kz]]*Reinforcements[[#This Row],[Lz]],"N/A")</f>
        <v>N/A</v>
      </c>
      <c r="FM62" s="508" t="str">
        <f>IF(Reinforcements[[#This Row],[Type]]="channel",(((Reinforcements[[#This Row],[t]]^3)/3)*(Reinforcements[[#This Row],[h]]+(2*Reinforcements[[#This Row],[b]]))),"N/A")</f>
        <v>N/A</v>
      </c>
      <c r="FN62" s="508" t="str">
        <f>IF(Reinforcements[[#This Row],[Type]]="channel",(1-(((Reinforcements[[#This Row],[xo]]^2)+(Reinforcements[[#This Row],[yo]]^2))/Reinforcements[[#This Row],[ro^2(bar)]])),"N/A")</f>
        <v>N/A</v>
      </c>
      <c r="FO62" s="252">
        <v>11189</v>
      </c>
      <c r="FP62" s="508" t="str">
        <f>IF(Reinforcements[[#This Row],[Type]]="channel",(((Reinforcements[[#This Row],[h]]^2)*(Reinforcements[[#This Row],[b]]^3)*Reinforcements[[#This Row],[t]])/12)*(((2*Reinforcements[[#This Row],[h]])+(3*Reinforcements[[#This Row],[b]]))/(Reinforcements[[#This Row],[h]]+(6*Reinforcements[[#This Row],[b]]))),"N/A")</f>
        <v>N/A</v>
      </c>
      <c r="FQ62" s="508" t="str">
        <f>IF(Reinforcements[[#This Row],[Type]]="Channel",((((PI()^2)*Reinforcements[[#This Row],[E, (ksi)]]*Reinforcements[[#This Row],['[Channel'] CW (in6)]])/(Reinforcements[[#This Row],[Lcz]]^2))+(Reinforcements[[#This Row],[G]]*Reinforcements[[#This Row],['[Channel'] J (in4)]]))*(1/(Reinforcements[[#This Row],[Ag]]*Reinforcements[[#This Row],[ro^2(bar)]])),"N/A")</f>
        <v>N/A</v>
      </c>
      <c r="FR62" s="508" t="str">
        <f>IF(Reinforcements[[#This Row],[Type]]="channel",((PI()^2)*Reinforcements[[#This Row],[E, (ksi)]])/(Reinforcements[[#This Row],[Lcy/ry]]^2),"N/A")</f>
        <v>N/A</v>
      </c>
      <c r="FS62" s="508" t="str">
        <f>IF(Reinforcements[[#This Row],[Type]]="channel",((Reinforcements[[#This Row],[Fey]]+Reinforcements[[#This Row],[Fez]])/(2*Reinforcements[[#This Row],[H2]]))*(1-SQRT(1-((4*Reinforcements[[#This Row],[Fey]]*Reinforcements[[#This Row],[Fez]]*Reinforcements[[#This Row],[H2]])/(Reinforcements[[#This Row],[Fey]]+Reinforcements[[#This Row],[Fez]])^2))),"N/A")</f>
        <v>N/A</v>
      </c>
      <c r="FT62" s="508" t="str">
        <f>IF(Reinforcements[[#This Row],[Type]]="channel",IF(Reinforcements[[#This Row],[Lcx/rx]]&gt;(4.71*SQRT(Reinforcements[[#This Row],[E, (ksi)]]/Reinforcements[[#This Row],[Fy, (ksi)]])),0.877*Reinforcements[[#This Row],[Fe (FTB)]],0.658^(Reinforcements[[#This Row],[Fy, (ksi)]]/Reinforcements[[#This Row],[Fe (FTB)]])*Reinforcements[[#This Row],[Fy, (ksi)]]),"N/A")</f>
        <v>N/A</v>
      </c>
      <c r="FU62" s="508" t="str">
        <f>IF(Reinforcements[[#This Row],[Type]]="channel",MIN(Reinforcements[[#This Row],[Fcr(FTB)]],Reinforcements[[#This Row],[Fcry (ksi)]]),"N/A")</f>
        <v>N/A</v>
      </c>
      <c r="FV62" s="252">
        <v>0.22</v>
      </c>
      <c r="FW62" s="252">
        <v>1.49</v>
      </c>
      <c r="FX62" s="508" t="str">
        <f>IF(Reinforcements[[#This Row],[Type]]="channel",((Reinforcements[[#This Row],[c2]]*(Reinforcements[[#This Row],[λrf]]/Reinforcements[[#This Row],[λf]]))^2)*Reinforcements[[#This Row],[Fy, (ksi)]],"N/A")</f>
        <v>N/A</v>
      </c>
      <c r="FY62" s="508" t="str">
        <f>IF(Reinforcements[[#This Row],[Type]]="channel",((Reinforcements[[#This Row],[c2]]*(Reinforcements[[#This Row],[λrw]]/Reinforcements[[#This Row],[λw]]))^2)*Reinforcements[[#This Row],[Fy, (ksi)]],"N/A")</f>
        <v>N/A</v>
      </c>
      <c r="FZ62"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2"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2"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2" s="508" t="str">
        <f>IF(Reinforcements[[#This Row],[Type]]="channel",Reinforcements[[#This Row],[Fcr]]*Reinforcements[[#This Row],[Ae]],"N/A")</f>
        <v>N/A</v>
      </c>
      <c r="GD62" s="462" t="str">
        <f>IF(Reinforcements[[#This Row],[Reinforcement]]="","",φ_c*Reinforcements[[#This Row],[Pnx, FB (kip)]])</f>
        <v/>
      </c>
      <c r="GE62" s="462" t="str">
        <f>IF(Reinforcements[[#This Row],[Reinforcement]]="","",IF(Reinforcements[[#This Row],[Type]]="channel",φ_c*Reinforcements[[#This Row],[Pn]],φ_c*Reinforcements[[#This Row],[Pny, FB (kip)]]))</f>
        <v/>
      </c>
      <c r="GF62" s="462" t="str">
        <f>Reinforcements[[#This Row],[Rev. G Tension Yield Capacity (kips)]]</f>
        <v/>
      </c>
      <c r="GG62" s="462" t="str">
        <f>Reinforcements[[#This Row],[Rev. G Tension Rupture Capacity (kips)]]</f>
        <v/>
      </c>
      <c r="GH62" s="462" t="str">
        <f>Reinforcements[[#This Row],[Rev. G Shear Capacity (kips)]]</f>
        <v/>
      </c>
      <c r="GI62" s="462" t="str">
        <f>IFERROR((Reinforcements[[#This Row],['# of End Connection Bolts          (Bottom)]]-1)*Reinforcements[[#This Row],[End Connection Bolt Spacing (in) (B)]],"-")</f>
        <v>-</v>
      </c>
      <c r="GJ62" s="462" t="str">
        <f>IFERROR(IF(VLOOKUP(Reinforcements[[#This Row],[Bottom End Connection Bolt Type]],Bolts[],COLUMN(Bolts[[#Headers],[Rev. H Apply Connection Length Reduction Factor (Rb)?]])-1,FALSE)="Yes",(IF(Reinforcements[[#This Row],[Lb(bottom)]]&lt;=16,1,IF(Reinforcements[[#This Row],[Lb(bottom)]]&gt;38,0.75,0.9))),1),"-")</f>
        <v>-</v>
      </c>
      <c r="GK62"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2" s="462" t="str">
        <f>IFERROR(IF(Reinforcements[[#This Row],[Top End Connection Same?]]="Yes",Reinforcements[[#This Row],[Lb(bottom)]],(Reinforcements[[#This Row],['# of End Connection Bolts          (Top)]]-1)*Reinforcements[[#This Row],[End Connection Bolt Spacing (in) (T)]]),"-")</f>
        <v>-</v>
      </c>
      <c r="GM62" s="462" t="str">
        <f>IFERROR(IF(VLOOKUP(Reinforcements[[#This Row],[Top End Connection Bolt Type]],Bolts[],COLUMN(Bolts[[#Headers],[Rev. H Apply Connection Length Reduction Factor (Rb)?]])-1,FALSE)="Yes",(IF(Reinforcements[[#This Row],[Lb(top)]]&lt;=16,1,IF(Reinforcements[[#This Row],[Lb(top)]]&gt;38,0.75,0.9))),1),"-")</f>
        <v>-</v>
      </c>
      <c r="GN62"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2" s="462" t="str">
        <f>Reinforcements[[#This Row],[Rev. G Bolt-Shaft Bearing Capacity (Bottom)                No Deformation          (*t*Fu kips)]]</f>
        <v>-</v>
      </c>
      <c r="GP62" s="462" t="str">
        <f>Reinforcements[[#This Row],[Rev. G Bolt-Shaft Bearing Capacity (Bottom)                   Deformation          (*t*Fu kips)]]</f>
        <v>-</v>
      </c>
      <c r="GQ62" s="462" t="str">
        <f>Reinforcements[[#This Row],[Rev. G Bolt-Shaft Bearing Capacity (Top)                    No Deformation          (*t*Fu kips)]]</f>
        <v>-</v>
      </c>
      <c r="GR62" s="462" t="str">
        <f>Reinforcements[[#This Row],[Rev. G Bolt-Shaft Bearing Capacity (Top)                        Deformation          (*t*Fu kips)]]</f>
        <v>-</v>
      </c>
      <c r="GS62" s="462" t="str">
        <f>Reinforcements[[#This Row],[Rev. G Bolt-Reinf. Bearing Capacity (Bottom)            No Deformation (kips)]]</f>
        <v>-</v>
      </c>
      <c r="GT62" s="462" t="str">
        <f>Reinforcements[[#This Row],[Rev. G Bolt-Reinf. Bearing Capacity (Bottom)               Deformation (kips)]]</f>
        <v>-</v>
      </c>
      <c r="GU62" s="462" t="str">
        <f>Reinforcements[[#This Row],[Rev. G Bolt-Reinf. Bearing Capacity (Top)                  No Deformation (kips)]]</f>
        <v>-</v>
      </c>
      <c r="GV62" s="462" t="str">
        <f>Reinforcements[[#This Row],[Rev. G Bolt-Reinf. Bearing Capacity (Top)               Deformation (kips)]]</f>
        <v>-</v>
      </c>
      <c r="GW62" s="462" t="str">
        <f>Reinforcements[[#This Row],[Rev. G Bottom Transverse Weld Strength]]</f>
        <v/>
      </c>
      <c r="GX62" s="462" t="str">
        <f>Reinforcements[[#This Row],[Rev. G Bottom Longitudinal Weld Strength]]</f>
        <v/>
      </c>
      <c r="GY62" s="462" t="str">
        <f>Reinforcements[[#This Row],[Rev. G Top Transverse Weld Strength]]</f>
        <v/>
      </c>
      <c r="GZ62" s="462" t="str">
        <f>Reinforcements[[#This Row],[Rev. G Top Longitudinal Weld Strength]]</f>
        <v/>
      </c>
      <c r="HA62" s="552">
        <v>60</v>
      </c>
      <c r="HB62"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3" spans="2:210" x14ac:dyDescent="0.2">
      <c r="B63" s="129"/>
      <c r="C63" s="129"/>
      <c r="D63" s="201" t="str">
        <f>IF(Reinforcements[[#This Row],[Type]]="","",IF(Reinforcements[[#This Row],[Type]]="solid round","-",""))</f>
        <v/>
      </c>
      <c r="E63" s="201" t="str">
        <f>IF(Reinforcements[[#This Row],[Type]]="","",IF(Reinforcements[[#This Row],[Type]]="solid round","-",""))</f>
        <v/>
      </c>
      <c r="F63" s="201" t="str">
        <f>IF(Reinforcements[[#This Row],[Type]]="","",IF(Reinforcements[[#This Row],[Type]]="solid round","","n/a"))</f>
        <v/>
      </c>
      <c r="G63" s="201" t="str">
        <f>IF(Reinforcements[[#This Row],[Type]]="","",IF(Reinforcements[[#This Row],[Type]]&lt;&gt;"channel","n/a",""))</f>
        <v/>
      </c>
      <c r="H63" s="201" t="str">
        <f>IF(Reinforcements[[#This Row],[Type]]="","",IF(Reinforcements[[#This Row],[Type]]&lt;&gt;"channel","n/a",""))</f>
        <v/>
      </c>
      <c r="I63" s="224" t="str">
        <f>IF(Reinforcements[[#This Row],[Type]]="","",IF(Reinforcements[[#This Row],[Type]]&lt;&gt;"channel","n/a",Reinforcements[[#This Row],[eo]]))</f>
        <v/>
      </c>
      <c r="J63" s="224" t="str">
        <f>IF(Reinforcements[[#This Row],[Type]]="","",IF(Reinforcements[[#This Row],[Type]]&lt;&gt;"channel","n/a",Reinforcements[[#This Row],[J]]))</f>
        <v/>
      </c>
      <c r="K63" s="224" t="str">
        <f>IF(Reinforcements[[#This Row],[Type]]="","",IF(Reinforcements[[#This Row],[Type]]&lt;&gt;"channel","n/a",Reinforcements[[#This Row],[Cw]]))</f>
        <v/>
      </c>
      <c r="L63" s="201" t="str">
        <f>IFERROR(IF(Reinforcements[[#This Row],[Type]]="","",IF(Reinforcements[[#This Row],[Type]]="plate",Reinforcements[[#This Row],[B (in)]]*Reinforcements[[#This Row],[H (in)]],IF(Reinforcements[[#This Row],[Type]]="solid round",PI()/4*Reinforcements[[#This Row],[Diameter (in)]]^2,""))),"")</f>
        <v/>
      </c>
      <c r="M63" s="201" t="str">
        <f>IFERROR(IF(Reinforcements[[#This Row],[Type]]="","",IF(Reinforcements[[#This Row],[Type]]="plate",Reinforcements[[#This Row],[H (in)]]/2,"")),"")</f>
        <v/>
      </c>
      <c r="N63" s="202"/>
      <c r="O63" s="203"/>
      <c r="P63" s="215" t="str">
        <f>IFERROR(IF(Reinforcements[[#This Row],[Type]]="","",IF(Reinforcements[[#This Row],[Type]]="plate",Reinforcements[[#This Row],[B (in)]]*Reinforcements[[#This Row],[H (in)]]^3/12,IF(Reinforcements[[#This Row],[Type]]="solid round",PI()/64*Reinforcements[[#This Row],[Diameter (in)]]^4,""))),"")</f>
        <v/>
      </c>
      <c r="Q63" s="215" t="str">
        <f>IF(Reinforcements[[#This Row],[Reinforcement]]="","",SQRT(Reinforcements[[#This Row],[Ix]]/Reinforcements[[#This Row],[Gross Area (in2)]]))</f>
        <v/>
      </c>
      <c r="R63" s="215" t="str">
        <f>IFERROR(IF(Reinforcements[[#This Row],[Type]]="","",IF(Reinforcements[[#This Row],[Type]]="plate",Reinforcements[[#This Row],[B (in)]]^3*Reinforcements[[#This Row],[H (in)]]/12,IF(Reinforcements[[#This Row],[Type]]="solid round",PI()/64*Reinforcements[[#This Row],[Diameter (in)]]^4,""))),"")</f>
        <v/>
      </c>
      <c r="S63" s="215" t="str">
        <f>IF(Reinforcements[[#This Row],[Reinforcement]]="","",SQRT(Reinforcements[[#This Row],[Iy]]/Reinforcements[[#This Row],[Gross Area (in2)]]))</f>
        <v/>
      </c>
      <c r="T63" s="206"/>
      <c r="U63" s="204" t="str">
        <f>IF(Reinforcements[[#This Row],[Lu (in)]]="","",IF(Reinforcements[[#This Row],[Lu (in)]]=0,1,""))</f>
        <v/>
      </c>
      <c r="V63" s="204" t="str">
        <f>IF(Reinforcements[[#This Row],[Lu (in)]]="","",IF(Reinforcements[[#This Row],[Lu (in)]]=0,1,""))</f>
        <v/>
      </c>
      <c r="W63" s="201" t="str">
        <f>IF(Reinforcements[[#This Row],[Type]]="","",IF(Reinforcements[[#This Row],[Type]]="solid round",0,IF(Reinforcements[[#This Row],[Type]]="arbitrary","n/a","")))</f>
        <v/>
      </c>
      <c r="X63" s="204" t="str">
        <f>IF(Reinforcements[[#This Row],[Bolt Hole Size (in)]]="","",IF(Reinforcements[[#This Row],[Bolt Hole Size (in)]]="n/a","n/a",Reinforcements[[#This Row],[Bolt Hole Size (in)]]*25.4))</f>
        <v/>
      </c>
      <c r="Y63"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3" s="201" t="str">
        <f>IFERROR(IF(Reinforcements[[#This Row],[Reinforcement]]="","",IF(OR(Reinforcements[[#This Row],[Type]]="plate",Reinforcements[[#This Row],[Type]]="solid round"),1,IF(Reinforcements[[#This Row],[Type]]="arbitrary","",1-Reinforcements[[#This Row],[Pole Face to Centroid (in)]]/Reinforcements[[#This Row],[Connection Length (in) '[Channels']]]))),"")</f>
        <v/>
      </c>
      <c r="AA63" s="205"/>
      <c r="AB63" s="103" t="str">
        <f>IF(Reinforcements[[#This Row],[Reinforcement]]="","",IF(Reinforcements[[#This Row],[Bottom End Connection Type]]&lt;&gt;"Capacity Input","-",""))</f>
        <v/>
      </c>
      <c r="AC63" s="103" t="str">
        <f>IF(Reinforcements[[#This Row],[Reinforcement]]="","",IF(Reinforcements[[#This Row],[Bottom End Connection Type]]&lt;&gt;"Capacity Input","-",""))</f>
        <v/>
      </c>
      <c r="AD63" s="253" t="str">
        <f>IF(Reinforcements[[#This Row],[Reinforcement]]="","",IF(Reinforcements[[#This Row],[Bottom End Connection Type]]&lt;&gt;"Capacity Input","-",""))</f>
        <v/>
      </c>
      <c r="AE63" s="103" t="str">
        <f>IF(Reinforcements[[#This Row],[Reinforcement]]="","",IF(Reinforcements[[#This Row],[Bottom End Connection Type]]&lt;&gt;"Bolted","-",""))</f>
        <v/>
      </c>
      <c r="AF63" s="206" t="str">
        <f>IF(Reinforcements[[#This Row],[Reinforcement]]="","",IF(Reinforcements[[#This Row],[Bottom End Connection Type]]&lt;&gt;"Bolted","-",""))</f>
        <v/>
      </c>
      <c r="AG63" s="206" t="str">
        <f>IF(Reinforcements[[#This Row],[Reinforcement]]="","",IF(Reinforcements[[#This Row],[Bottom End Connection Type]]="","-",IF(Reinforcements[[#This Row],[Bottom End Connection Type]]&lt;&gt;"Bolted","-","")))</f>
        <v/>
      </c>
      <c r="AH63" s="206" t="str">
        <f>IF(Reinforcements[[#This Row],[Reinforcement]]="","",IF(Reinforcements[[#This Row],[Bottom End Connection Type]]="","-",IF(Reinforcements[[#This Row],[Bottom End Connection Type]]&lt;&gt;"Bolted","-","")))</f>
        <v/>
      </c>
      <c r="AI63" s="206" t="str">
        <f>IF(Reinforcements[[#This Row],[Reinforcement]]="","",IF(Reinforcements[[#This Row],[Bottom End Connection Type]]="","-",IF(Reinforcements[[#This Row],[Bottom End Connection Type]]&lt;&gt;"Bolted","-","")))</f>
        <v/>
      </c>
      <c r="AJ63" s="206" t="e">
        <f>Reinforcements[[#This Row],[End Connection Edge Distance (in) (B)]]-(Reinforcements[[#This Row],[Bolt Hole Size (in)]]+1/16)/2</f>
        <v>#VALUE!</v>
      </c>
      <c r="AK63" s="206" t="e">
        <f>Reinforcements[[#This Row],[End Connection Bolt Spacing (in) (B)]]-(Reinforcements[[#This Row],[Bolt Hole Size (in)]]+1/16)</f>
        <v>#VALUE!</v>
      </c>
      <c r="AL63" s="206" t="str">
        <f>Reinforcements[[#This Row],[End Connection Edge Distance (in) (B)]]</f>
        <v/>
      </c>
      <c r="AM63" s="206" t="str">
        <f>Reinforcements[[#This Row],[End Connection Bolt Spacing (in) (B)]]</f>
        <v/>
      </c>
      <c r="AN63" s="206" t="str">
        <f>IF(Reinforcements[[#This Row],[Reinforcement]]="","",IF(OR(Reinforcements[[#This Row],[Bottom End Connection Type]]="Bolted",Reinforcements[[#This Row],[Bottom End Connection Type]]=""),"-",""))</f>
        <v/>
      </c>
      <c r="AO63" s="214" t="str">
        <f>IF(Reinforcements[[#This Row],[Reinforcement]]="","",IF(Reinforcements[[#This Row],[Bottom End Connection Type]]&lt;&gt;"Welded","-",""))</f>
        <v/>
      </c>
      <c r="AP63" s="214" t="str">
        <f>IF(Reinforcements[[#This Row],[Reinforcement]]="","",IF(Reinforcements[[#This Row],[Bottom End Connection Type]]&lt;&gt;"Welded","-",""))</f>
        <v/>
      </c>
      <c r="AQ63" s="214" t="str">
        <f>IF(Reinforcements[[#This Row],[Reinforcement]]="","",IF(OR(Reinforcements[[#This Row],[Bottom End Connection Type]]&lt;&gt;"Welded",Reinforcements[[#This Row],[Bottom Transverse (Horizontal) Weld]]="None"),"-",""))</f>
        <v/>
      </c>
      <c r="AR63"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3"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3" s="214" t="str">
        <f>IF(Reinforcements[[#This Row],[Reinforcement]]="","",IF(OR(Reinforcements[[#This Row],[Bottom Transverse (Horizontal) Weld]]="None",Reinforcements[[#This Row],[Bottom End Connection Type]]&lt;&gt;"Welded"),"-",""))</f>
        <v/>
      </c>
      <c r="AU63"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3" s="214" t="str">
        <f>IF(Reinforcements[[#This Row],[Reinforcement]]="","",IF(OR(Reinforcements[[#This Row],[Bottom End Connection Type]]&lt;&gt;"Welded",Reinforcements[[#This Row],[Bottom End Connection Type]]=""),"-",""))</f>
        <v/>
      </c>
      <c r="AW63" s="214" t="str">
        <f>IF(Reinforcements[[#This Row],[Reinforcement]]="","",IF(OR(Reinforcements[[#This Row],[Bottom End Connection Type]]&lt;&gt;"Welded",Reinforcements[[#This Row],[Bottom Longitudinal (Vertical) Weld]]="None",Reinforcements[[#This Row],[Bottom Longitudinal (Vertical) Weld]]=""),"-",""))</f>
        <v/>
      </c>
      <c r="AX63" s="214" t="str">
        <f>IF(Reinforcements[[#This Row],[Reinforcement]]="","",IF(OR(Reinforcements[[#This Row],[Bottom End Connection Type]]&lt;&gt;"Welded",Reinforcements[[#This Row],[Bottom Longitudinal (Vertical) Weld]]="None",Reinforcements[[#This Row],[Bottom Longitudinal (Vertical) Weld]]=""),"-",""))</f>
        <v/>
      </c>
      <c r="AY63" s="206" t="str">
        <f>IF(Reinforcements[[#This Row],[Reinforcement]]="","",IF(OR(Reinforcements[[#This Row],[Bottom End Connection Type]]&lt;&gt;"Welded",Reinforcements[[#This Row],[Bottom Longitudinal (Vertical) Weld]]="None"),"-",SQRT(2)/2*Reinforcements[[#This Row],[Bottom Longitudinal Weld Fillet Size (in)]]))</f>
        <v/>
      </c>
      <c r="AZ63" s="206"/>
      <c r="BA63" s="103" t="str">
        <f>IF(Reinforcements[[#This Row],[Top End Connection Same?]]="Yes",Reinforcements[[#This Row],[Bottom End Connection Type]],"")</f>
        <v/>
      </c>
      <c r="BB63" s="103" t="str">
        <f>IF(Reinforcements[[#This Row],[Reinforcement]]="","",IF(Reinforcements[[#This Row],[Top End Connection Same?]]="Yes",Reinforcements[[#This Row],[Rev. F Bottom Connection Capacity (kips)]],IF(Reinforcements[[#This Row],[Reinforcement]]="","",IF(Reinforcements[[#This Row],[Top End Connection Type]]&lt;&gt;"Capacity Input","-",""))))</f>
        <v/>
      </c>
      <c r="BC63" s="103" t="str">
        <f>IF(Reinforcements[[#This Row],[Reinforcement]]="","",IF(Reinforcements[[#This Row],[Top End Connection Same?]]="Yes",Reinforcements[[#This Row],[Rev. G Bottom Connection Capacity (kips)]],IF(Reinforcements[[#This Row],[Reinforcement]]="","",IF(Reinforcements[[#This Row],[Top End Connection Type]]&lt;&gt;"Capacity Input","-",""))))</f>
        <v/>
      </c>
      <c r="BD63" s="253" t="str">
        <f>IF(Reinforcements[[#This Row],[Reinforcement]]="","",IF(Reinforcements[[#This Row],[Top End Connection Same?]]="Yes",Reinforcements[[#This Row],[Rev. G Bottom Connection Capacity (kips)]],IF(Reinforcements[[#This Row],[Reinforcement]]="","",IF(Reinforcements[[#This Row],[Top End Connection Type]]&lt;&gt;"Capacity Input","-",""))))</f>
        <v/>
      </c>
      <c r="BE63" s="103" t="str">
        <f>IF(Reinforcements[[#This Row],[Reinforcement]]="","",IF(Reinforcements[[#This Row],[Top End Connection Same?]]="Yes",Reinforcements[[#This Row],[Bottom End Connection Bolt Type]],IF(Reinforcements[[#This Row],[Top End Connection Type]]&lt;&gt;"Bolted","-","")))</f>
        <v/>
      </c>
      <c r="BF63" s="206" t="str">
        <f>IF(Reinforcements[[#This Row],[Reinforcement]]="","",IF(Reinforcements[[#This Row],[Top End Connection Same?]]="Yes",Reinforcements[[#This Row],[Threads Included (N) or Excluded (X) (Bottom)]],IF(Reinforcements[[#This Row],[Top End Connection Type]]&lt;&gt;"Bolted","-","")))</f>
        <v/>
      </c>
      <c r="BG63" s="206" t="str">
        <f>IF(Reinforcements[[#This Row],[Reinforcement]]="","",IF(Reinforcements[[#This Row],[Top End Connection Same?]]="Yes",Reinforcements[[#This Row],['# of End Connection Bolts          (Bottom)]],IF(Reinforcements[[#This Row],[Top End Connection Type]]&lt;&gt;"Bolted","-","")))</f>
        <v/>
      </c>
      <c r="BH63" s="206" t="str">
        <f>IF(Reinforcements[[#This Row],[Reinforcement]]="","",IF(Reinforcements[[#This Row],[Top End Connection Same?]]="Yes",Reinforcements[[#This Row],[End Connection Bolt Spacing (in) (B)]],IF(Reinforcements[[#This Row],[Top End Connection Type]]&lt;&gt;"Bolted","-","")))</f>
        <v/>
      </c>
      <c r="BI63" s="206" t="str">
        <f>IF(Reinforcements[[#This Row],[Reinforcement]]="","",IF(Reinforcements[[#This Row],[Top End Connection Same?]]="Yes",Reinforcements[[#This Row],[End Connection Edge Distance (in) (B)]],IF(Reinforcements[[#This Row],[Top End Connection Type]]&lt;&gt;"Bolted","-","")))</f>
        <v/>
      </c>
      <c r="BJ63" s="206" t="e">
        <f>Reinforcements[[#This Row],[End Connection Edge Distance (in) (T)]]-(Reinforcements[[#This Row],[Bolt Hole Size (in)]]+1/16)/2</f>
        <v>#VALUE!</v>
      </c>
      <c r="BK63" s="206" t="e">
        <f>Reinforcements[[#This Row],[End Connection Bolt Spacing (in) (T)]]-(Reinforcements[[#This Row],[Bolt Hole Size (in)]]+1/16)</f>
        <v>#VALUE!</v>
      </c>
      <c r="BL63" s="206" t="str">
        <f>Reinforcements[[#This Row],[End Connection Edge Distance (in) (T)]]</f>
        <v/>
      </c>
      <c r="BM63" s="206" t="str">
        <f>Reinforcements[[#This Row],[End Connection Bolt Spacing (in) (T)]]</f>
        <v/>
      </c>
      <c r="BN63" s="206" t="str">
        <f>IF(Reinforcements[[#This Row],[Reinforcement]]="","",IF(Reinforcements[[#This Row],[Top End Connection Same?]]="Yes",Reinforcements[[#This Row],[Bottom Connected to Flange/Base Plate?]],IF(Reinforcements[[#This Row],[Top End Connection Type]]="Bolted","-","")))</f>
        <v/>
      </c>
      <c r="BO63" s="206" t="str">
        <f>IF(Reinforcements[[#This Row],[Reinforcement]]="","",IF(Reinforcements[[#This Row],[Top End Connection Same?]]="Yes",Reinforcements[[#This Row],[Bottom Weld Grade (ksi)]],IF(OR(Reinforcements[[#This Row],[Top End Connection Type]]&lt;&gt;"Welded",Reinforcements[[#This Row],[Top End Connection Type]]=""),"-","")))</f>
        <v/>
      </c>
      <c r="BP63" s="206" t="str">
        <f>IF($AZ63="Yes",AP63,IF(Reinforcements[[#This Row],[Reinforcement]]="","",IF(OR(Reinforcements[[#This Row],[Top End Connection Type]]&lt;&gt;"Welded",Reinforcements[[#This Row],[Top End Connection Type]]=""),"-","")))</f>
        <v/>
      </c>
      <c r="BQ63" s="206" t="str">
        <f>IF(Reinforcements[[#This Row],[Reinforcement]]="","",IF($AZ63="Yes",AQ63,IF(OR(Reinforcements[[#This Row],[Top End Connection Type]]&lt;&gt;"Welded",Reinforcements[[#This Row],[Top Transverse (Horizontal) Weld]]="none",Reinforcements[[#This Row],[Top Transverse (Horizontal) Weld]]=""),"-","")))</f>
        <v/>
      </c>
      <c r="BR63" s="206" t="str">
        <f>IF($AZ63="Yes",AR63,IF(Reinforcements[[#This Row],[Reinforcement]]="","",IF(OR(Reinforcements[[#This Row],[Top Transverse (Horizontal) Weld]]="none",Reinforcements[[#This Row],[Top End Connection Type]]&lt;&gt;"Welded",Reinforcements[[#This Row],[Top Transverse (Horizontal) Weld]]="",Reinforcements[[#This Row],[Top Transverse (Horizontal) Weld]]="Fillet"),"-","")))</f>
        <v/>
      </c>
      <c r="BS63" s="206" t="str">
        <f>IF($AZ63="Yes",AS63,IF(Reinforcements[[#This Row],[Reinforcement]]="","",IF(OR(Reinforcements[[#This Row],[Top Transverse (Horizontal) Weld]]="none",Reinforcements[[#This Row],[Top End Connection Type]]&lt;&gt;"Welded",Reinforcements[[#This Row],[Top Transverse (Horizontal) Weld]]="",Reinforcements[[#This Row],[Top Transverse (Horizontal) Weld]]="Fillet"),"-","")))</f>
        <v/>
      </c>
      <c r="BT63" s="206" t="str">
        <f>IF(Reinforcements[[#This Row],[Reinforcement]]="","",IF($AZ63="Yes",AT63,IF(OR(Reinforcements[[#This Row],[Top Transverse (Horizontal) Weld]]="none",Reinforcements[[#This Row],[Top End Connection Type]]&lt;&gt;"Welded",Reinforcements[[#This Row],[Top Transverse (Horizontal) Weld]]=""),"-","")))</f>
        <v/>
      </c>
      <c r="BU63" s="206" t="str">
        <f>IF($AZ63="Yes",AU63,IF(Reinforcements[[#This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3" s="206" t="str">
        <f>IF($AZ63="Yes",AV63,IF(Reinforcements[[#This Row],[Reinforcement]]="","",IF(OR(Reinforcements[[#This Row],[Top End Connection Type]]&lt;&gt;"Welded",Reinforcements[[#This Row],[Top End Connection Type]]=""),"-","")))</f>
        <v/>
      </c>
      <c r="BW63" s="206" t="str">
        <f>IF($AZ63="Yes",AW63,IF(Reinforcements[[#This Row],[Reinforcement]]="","",IF(OR(Reinforcements[[#This Row],[Top End Connection Type]]&lt;&gt;"Welded",Reinforcements[[#This Row],[Top End Connection Type]]="",Reinforcements[[#This Row],[Top Longitudinal (Vertical) Weld]]="",Reinforcements[[#This Row],[Top Longitudinal (Vertical) Weld]]="None"),"-","")))</f>
        <v/>
      </c>
      <c r="BX63" s="206" t="str">
        <f>IF($AZ63="Yes",AX63,IF(Reinforcements[[#This Row],[Reinforcement]]="","",IF(OR(Reinforcements[[#This Row],[Top End Connection Type]]&lt;&gt;"Welded",Reinforcements[[#This Row],[Top End Connection Type]]="",Reinforcements[[#This Row],[Top Longitudinal (Vertical) Weld]]="",Reinforcements[[#This Row],[Top Longitudinal (Vertical) Weld]]="None"),"-","")))</f>
        <v/>
      </c>
      <c r="BY63" s="206" t="str">
        <f>IF($AZ63="Yes",AY63,IF(Reinforcements[[#This Row],[Reinforcement]]="","",IF(OR(Reinforcements[[#This Row],[Top End Connection Type]]&lt;&gt;"Welded",Reinforcements[[#This Row],[Top Longitudinal (Vertical) Weld]]="none"),"-",SQRT(2)/2*Reinforcements[[#This Row],[Top Longitudinal Weld Fillet Size (in)]])))</f>
        <v/>
      </c>
      <c r="BZ63"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3"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3"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3"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3"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3" s="201" t="str">
        <f>IFERROR(IF(Reinforcements[[#This Row],[Type]]="","",Reinforcements[[#This Row],[Effective B (in)]]*Reinforcements[[#This Row],[Effective H (in)]]^3/12),"")</f>
        <v/>
      </c>
      <c r="CF63" s="201" t="str">
        <f>IFERROR(IF(Reinforcements[[#This Row],[Type]]="","",Reinforcements[[#This Row],[Effective B (in)]]^3*Reinforcements[[#This Row],[Effective H (in)]]/12),"")</f>
        <v/>
      </c>
      <c r="CG63" s="224" t="e">
        <f>SQRT(2*PI()^2*29000/VLOOKUP(Reinforcements[[#This Row],[Material]],Materials[],2,FALSE))</f>
        <v>#N/A</v>
      </c>
      <c r="CH63"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3"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3" s="215" t="e">
        <f>Reinforcements[[#This Row],[Effective Length Factor Kx]]*Reinforcements[[#This Row],[Lu (in)]]/(Reinforcements[[#This Row],[rx]]*PI())*SQRT(VLOOKUP(Reinforcements[[#This Row],[Material]],Materials[],2,FALSE)/29000)</f>
        <v>#VALUE!</v>
      </c>
      <c r="CK63" s="215" t="e">
        <f>Reinforcements[[#This Row],[Effective Length Factor Ky]]*Reinforcements[[#This Row],[Lu (in)]]/(Reinforcements[[#This Row],[ry]]*PI())*SQRT(VLOOKUP(Reinforcements[[#This Row],[Material]],Materials[],2,FALSE)/29000)</f>
        <v>#VALUE!</v>
      </c>
      <c r="CL63" s="215" t="e">
        <f>IF(Reinforcements[[#This Row],[λcx]]&lt;=1.5,0.658^(Reinforcements[[#This Row],[λcx]]^2)*Reinforcements[[#This Row],[F''y]],0.877/(Reinforcements[[#This Row],[λcx]]^2)*Reinforcements[[#This Row],[F''y]])</f>
        <v>#VALUE!</v>
      </c>
      <c r="CM63" s="215" t="e">
        <f>IF(Reinforcements[[#This Row],[λcy]]&lt;=1.5,0.658^(Reinforcements[[#This Row],[λcy]]^2)*Reinforcements[[#This Row],[F''y]],0.877/(Reinforcements[[#This Row],[λcy]]^2)*Reinforcements[[#This Row],[F''y]])</f>
        <v>#VALUE!</v>
      </c>
      <c r="CN63" s="201" t="e">
        <f>VLOOKUP(Reinforcements[[#This Row],[Material]],Materials[],2,FALSE)</f>
        <v>#N/A</v>
      </c>
      <c r="CO63" s="224" t="str">
        <f>IF(Reinforcements[[#This Row],[Reinforcement]]="","",Reinforcements[[#This Row],[Fax]]*Reinforcements[[#This Row],[Gross Area (in2)]])</f>
        <v/>
      </c>
      <c r="CP63" s="224" t="str">
        <f>IF(Reinforcements[[#This Row],[Reinforcement]]="","",Reinforcements[[#This Row],[Fay]]*Reinforcements[[#This Row],[Gross Area (in2)]])</f>
        <v/>
      </c>
      <c r="CQ63" s="224" t="str">
        <f>IF(Reinforcements[[#This Row],[Reinforcement]]="","",0.6*VLOOKUP(Reinforcements[[#This Row],[Material]],Materials[],2,FALSE)*Reinforcements[[#This Row],[Gross Area (in2)]])</f>
        <v/>
      </c>
      <c r="CR63" s="224" t="str">
        <f>IF(Reinforcements[[#This Row],[Reinforcement]]="","",0.5*VLOOKUP(Reinforcements[[#This Row],[Material]],Materials[],3,FALSE)*Reinforcements[[#This Row],[Net Area (in2)]]*Reinforcements[[#This Row],[Shear Lag (U)]])</f>
        <v/>
      </c>
      <c r="CS63" s="224" t="str">
        <f>IF(Reinforcements[[#This Row],[Reinforcement]]="","",0.4*VLOOKUP(Reinforcements[[#This Row],[Material]],Materials[],2,FALSE)*Reinforcements[[#This Row],[Gross Area (in2)]])</f>
        <v/>
      </c>
      <c r="CT63"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3"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3"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3"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3"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3"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3"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3"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3"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3"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3"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3"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3" s="206" t="str">
        <f>IF($AZ63="Yes",DD63,IF(Reinforcements[[#This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3" s="206" t="str">
        <f>IF($AZ63="Yes",DE63,IF(Reinforcements[[#This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3" s="224" t="str">
        <f>IF(Reinforcements[[#This Row],[Reinforcement]]="","",φ_c*Reinforcements[[#This Row],[Fcr,x]]*Reinforcements[[#This Row],[Gross Area (in2)]])</f>
        <v/>
      </c>
      <c r="DI63" s="224" t="str">
        <f>IF(Reinforcements[[#This Row],[Reinforcement]]="","",φ_c*Reinforcements[[#This Row],[Fcr,y]]*Reinforcements[[#This Row],[Gross Area (in2)]])</f>
        <v/>
      </c>
      <c r="DJ63" s="224" t="str">
        <f>IF(Reinforcements[[#This Row],[Reinforcement]]="","",φ_t_y*VLOOKUP(Reinforcements[[#This Row],[Material]],Materials[],2,FALSE)*Reinforcements[[#This Row],[Gross Area (in2)]])</f>
        <v/>
      </c>
      <c r="DK63" s="224" t="str">
        <f>IF(Reinforcements[[#This Row],[Reinforcement]]="","",φ_t_r*VLOOKUP(Reinforcements[[#This Row],[Material]],Materials[],3,FALSE)*Reinforcements[[#This Row],[Net Area (in2)]]*Reinforcements[[#This Row],[Shear Lag (U)]])</f>
        <v/>
      </c>
      <c r="DL63" s="224" t="str">
        <f>IF(Reinforcements[[#This Row],[Reinforcement]]="","",φ_v*0.5*Reinforcements[[#This Row],[F''y]]*Reinforcements[[#This Row],[Gross Area (in2)]])</f>
        <v/>
      </c>
      <c r="DM63"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3"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3"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3"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3"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3"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3"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3"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3"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3"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3"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3"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3" s="206" t="str">
        <f>IF($AZ63="Yes",DW63,IF(Reinforcements[[#This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3" s="206" t="str">
        <f>IF($AZ63="Yes",DX63,IF(Reinforcements[[#This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3" s="507" t="str">
        <f>IF(OR(Reinforcements[[#This Row],[Type]]="plate",Reinforcements[[#This Row],[Type]]="solid round"),"N/A",Reinforcements[[#This Row],[B (in)]])</f>
        <v/>
      </c>
      <c r="EB63" s="508" t="str">
        <f>IF(OR(Reinforcements[[#This Row],[Type]]="plate",Reinforcements[[#This Row],[Type]]="solid round"),"N/A",Reinforcements[[#This Row],[H (in)]])</f>
        <v/>
      </c>
      <c r="EC63" s="508" t="e">
        <f>IF(OR(Reinforcements[[#This Row],[Type]]="plate",Reinforcements[[#This Row],[Type]]="solid round"),"N/A",Reinforcements[[#This Row],[B (in)]]-Reinforcements[[#This Row],['[Channel'] Flange Thickness (in)]])</f>
        <v>#VALUE!</v>
      </c>
      <c r="ED63" s="508" t="str">
        <f>IF(OR(Reinforcements[[#This Row],[Type]]="plate",Reinforcements[[#This Row],[Type]]="solid round"),"N/A",Reinforcements[[#This Row],['[Channel']Web Thickness (in)]])</f>
        <v/>
      </c>
      <c r="EE63" s="508" t="str">
        <f>IF(OR(Reinforcements[[#This Row],[Type]]="plate",Reinforcements[[#This Row],[Type]]="solid round"),"N/A",Reinforcements[[#This Row],['[Channel'] Flange Thickness (in)]])</f>
        <v/>
      </c>
      <c r="EF63" s="508" t="str">
        <f>IF(Reinforcements[[#This Row],[Type]]="channel",Reinforcements[[#This Row],[Channel Flange Width, b]]/Reinforcements[[#This Row],[Channel flange thickness, tf]],"N/A")</f>
        <v>N/A</v>
      </c>
      <c r="EG63" s="508" t="str">
        <f>IF(Reinforcements[[#This Row],[Type]]="channel",Reinforcements[[#This Row],[Channel inside depth, T]]/Reinforcements[[#This Row],[Channel web thickness, tw]],"N/A")</f>
        <v>N/A</v>
      </c>
      <c r="EH63" s="252">
        <v>28991</v>
      </c>
      <c r="EI63" s="252" t="str">
        <f>IF(Reinforcements[[#This Row],[Type]]="channel",0.56*SQRT(Reinforcements[[#This Row],[E, (ksi)]]/Reinforcements[[#This Row],[Fy, (ksi)]]),"N/A")</f>
        <v>N/A</v>
      </c>
      <c r="EJ63" s="252" t="str">
        <f>IF(Reinforcements[[#This Row],[Type]]="channel",1.49*SQRT(Reinforcements[[#This Row],[E, (ksi)]]/Reinforcements[[#This Row],[Fy, (ksi)]]),"N/A")</f>
        <v>N/A</v>
      </c>
      <c r="EK63" s="252" t="e">
        <f>VLOOKUP(Reinforcements[[#This Row],[Material]],Materials!$B$2:$C$30,2,FALSE)</f>
        <v>#N/A</v>
      </c>
      <c r="EL63" s="252" t="e">
        <f>Reinforcements[[#This Row],[Lu (in)]]*Reinforcements[[#This Row],[Effective Length Factor Kx]]</f>
        <v>#VALUE!</v>
      </c>
      <c r="EM63" s="252" t="e">
        <f>Reinforcements[[#This Row],[Lu (in)]]*Reinforcements[[#This Row],[Effective Length Factor Ky]]</f>
        <v>#VALUE!</v>
      </c>
      <c r="EN63" s="252" t="str">
        <f>Reinforcements[[#This Row],[rx]]</f>
        <v/>
      </c>
      <c r="EO63" s="252" t="str">
        <f>Reinforcements[[#This Row],[ry]]</f>
        <v/>
      </c>
      <c r="EP63" s="252" t="e">
        <f>Reinforcements[[#This Row],[Lcx (in)]]/Reinforcements[[#This Row],[rx (in)]]</f>
        <v>#VALUE!</v>
      </c>
      <c r="EQ63" s="252" t="e">
        <f>Reinforcements[[#This Row],[Lcy (in)]]/Reinforcements[[#This Row],[ry (in)]]</f>
        <v>#VALUE!</v>
      </c>
      <c r="ER63" s="252" t="e">
        <f>((PI()^2)*Reinforcements[[#This Row],[E, (ksi)]])/(Reinforcements[[#This Row],[Lcx/rx]]^2)</f>
        <v>#VALUE!</v>
      </c>
      <c r="ES63" s="252" t="e">
        <f>((PI()^2)*Reinforcements[[#This Row],[E, (ksi)]])/(Reinforcements[[#This Row],[Lcy/ry]]^2)</f>
        <v>#VALUE!</v>
      </c>
      <c r="ET63" s="252" t="e">
        <f>4.71*(SQRT(Reinforcements[[#This Row],[E, (ksi)]]/Reinforcements[[#This Row],[Fy, (ksi)]]))</f>
        <v>#N/A</v>
      </c>
      <c r="EU63" s="252" t="e">
        <f>IF(Reinforcements[[#This Row],[Lcx/rx]]&lt;=Reinforcements[[#This Row],[Fcr Limit]],(0.658^(Reinforcements[[#This Row],[Fy, (ksi)]]/Reinforcements[[#This Row],[Fex, FB (ksi)]]))*Reinforcements[[#This Row],[Fy, (ksi)]],0.877*Reinforcements[[#This Row],[Fex, FB (ksi)]])</f>
        <v>#VALUE!</v>
      </c>
      <c r="EV63" s="252" t="e">
        <f>IF(Reinforcements[[#This Row],[Lcy/ry]]&lt;=Reinforcements[[#This Row],[Fcr Limit]],(0.658^(Reinforcements[[#This Row],[Fy, (ksi)]]/Reinforcements[[#This Row],[Fey, FB (ksi)]]))*Reinforcements[[#This Row],[Fy, (ksi)]],0.877*Reinforcements[[#This Row],[Fey, FB (ksi)]])</f>
        <v>#VALUE!</v>
      </c>
      <c r="EW63" s="252" t="e">
        <f>Reinforcements[[#This Row],[Fcrx (ksi)]]*Reinforcements[[#This Row],[Gross Area (in2)]]</f>
        <v>#VALUE!</v>
      </c>
      <c r="EX63" s="252" t="e">
        <f>Reinforcements[[#This Row],[Fcry (ksi)]]*Reinforcements[[#This Row],[Gross Area (in2)]]</f>
        <v>#VALUE!</v>
      </c>
      <c r="EY63" s="252" t="str">
        <f>IF(Reinforcements[[#This Row],[Type]]="channel",0,"N/A")</f>
        <v>N/A</v>
      </c>
      <c r="EZ63" s="252" t="str">
        <f>IF(Reinforcements[[#This Row],[Type]]="channel",Reinforcements[[#This Row],[Channel Flange Width, b]]-(0.5*Reinforcements[[#This Row],[Channel web thickness, tw]]),"N/A")</f>
        <v>N/A</v>
      </c>
      <c r="FA63" s="252" t="str">
        <f>IF(Reinforcements[[#This Row],[Type]]="channel",Reinforcements[[#This Row],[Channel Height, h]]-Reinforcements[[#This Row],[Channel flange thickness, tf]],"N/A")</f>
        <v>N/A</v>
      </c>
      <c r="FB63" s="252" t="str">
        <f>IF(Reinforcements[[#This Row],[Type]]="channel",Reinforcements[[#This Row],[Channel web thickness, tw]],"N/A")</f>
        <v>N/A</v>
      </c>
      <c r="FC63" s="252" t="str">
        <f>IF(Reinforcements[[#This Row],[Type]]="channel",((3*Reinforcements[[#This Row],[b]]^2)/(Reinforcements[[#This Row],[h]]+(6*Reinforcements[[#This Row],[b]])))-Reinforcements[[#This Row],[t]]/2,"N/A")</f>
        <v>N/A</v>
      </c>
      <c r="FD63" s="252" t="str">
        <f>Reinforcements[[#This Row],[Pole Face to Centroid (in)]]</f>
        <v/>
      </c>
      <c r="FE63" s="508" t="str">
        <f>IF(Reinforcements[[#This Row],[Type]]="channel",Reinforcements[[#This Row],[x(bar)]]+Reinforcements[[#This Row],['[Channel'] e0 (in)]],"N/A")</f>
        <v>N/A</v>
      </c>
      <c r="FF63" s="508" t="str">
        <f>IF(Reinforcements[[#This Row],[Type]]="channel",Reinforcements[[#This Row],[Ix]],"N/A")</f>
        <v>N/A</v>
      </c>
      <c r="FG63" s="508" t="str">
        <f>IF(Reinforcements[[#This Row],[Type]]="channel",Reinforcements[[#This Row],[Iy]],"N/A")</f>
        <v>N/A</v>
      </c>
      <c r="FH63" s="508" t="str">
        <f>IF(Reinforcements[[#This Row],[Type]]="channel",Reinforcements[[#This Row],[Gross Area (in2)]],"N/A")</f>
        <v>N/A</v>
      </c>
      <c r="FI63" s="508" t="str">
        <f>IF(Reinforcements[[#This Row],[Type]]="channel",(Reinforcements[[#This Row],[xo]]^2)+((Reinforcements[[#This Row],[Ix (FTB)]]+Reinforcements[[#This Row],[Iy (FTB)]])/Reinforcements[[#This Row],[Ag]]),"N/A")</f>
        <v>N/A</v>
      </c>
      <c r="FJ63" s="508" t="str">
        <f>IF(Reinforcements[[#This Row],[Type]]="channel",Reinforcements[[#This Row],[Lu (in)]],"N/A")</f>
        <v>N/A</v>
      </c>
      <c r="FK63" s="508" t="str">
        <f>IF(Reinforcements[[#This Row],[Type]]="channel",Reinforcements[[#This Row],[Effective Length Factor Kx]],"N/A")</f>
        <v>N/A</v>
      </c>
      <c r="FL63" s="508" t="str">
        <f>IF(Reinforcements[[#This Row],[Type]]="channel",Reinforcements[[#This Row],[Kz]]*Reinforcements[[#This Row],[Lz]],"N/A")</f>
        <v>N/A</v>
      </c>
      <c r="FM63" s="508" t="str">
        <f>IF(Reinforcements[[#This Row],[Type]]="channel",(((Reinforcements[[#This Row],[t]]^3)/3)*(Reinforcements[[#This Row],[h]]+(2*Reinforcements[[#This Row],[b]]))),"N/A")</f>
        <v>N/A</v>
      </c>
      <c r="FN63" s="508" t="str">
        <f>IF(Reinforcements[[#This Row],[Type]]="channel",(1-(((Reinforcements[[#This Row],[xo]]^2)+(Reinforcements[[#This Row],[yo]]^2))/Reinforcements[[#This Row],[ro^2(bar)]])),"N/A")</f>
        <v>N/A</v>
      </c>
      <c r="FO63" s="252">
        <v>11190</v>
      </c>
      <c r="FP63" s="508" t="str">
        <f>IF(Reinforcements[[#This Row],[Type]]="channel",(((Reinforcements[[#This Row],[h]]^2)*(Reinforcements[[#This Row],[b]]^3)*Reinforcements[[#This Row],[t]])/12)*(((2*Reinforcements[[#This Row],[h]])+(3*Reinforcements[[#This Row],[b]]))/(Reinforcements[[#This Row],[h]]+(6*Reinforcements[[#This Row],[b]]))),"N/A")</f>
        <v>N/A</v>
      </c>
      <c r="FQ63" s="508" t="str">
        <f>IF(Reinforcements[[#This Row],[Type]]="Channel",((((PI()^2)*Reinforcements[[#This Row],[E, (ksi)]]*Reinforcements[[#This Row],['[Channel'] CW (in6)]])/(Reinforcements[[#This Row],[Lcz]]^2))+(Reinforcements[[#This Row],[G]]*Reinforcements[[#This Row],['[Channel'] J (in4)]]))*(1/(Reinforcements[[#This Row],[Ag]]*Reinforcements[[#This Row],[ro^2(bar)]])),"N/A")</f>
        <v>N/A</v>
      </c>
      <c r="FR63" s="508" t="str">
        <f>IF(Reinforcements[[#This Row],[Type]]="channel",((PI()^2)*Reinforcements[[#This Row],[E, (ksi)]])/(Reinforcements[[#This Row],[Lcy/ry]]^2),"N/A")</f>
        <v>N/A</v>
      </c>
      <c r="FS63" s="508" t="str">
        <f>IF(Reinforcements[[#This Row],[Type]]="channel",((Reinforcements[[#This Row],[Fey]]+Reinforcements[[#This Row],[Fez]])/(2*Reinforcements[[#This Row],[H2]]))*(1-SQRT(1-((4*Reinforcements[[#This Row],[Fey]]*Reinforcements[[#This Row],[Fez]]*Reinforcements[[#This Row],[H2]])/(Reinforcements[[#This Row],[Fey]]+Reinforcements[[#This Row],[Fez]])^2))),"N/A")</f>
        <v>N/A</v>
      </c>
      <c r="FT63" s="508" t="str">
        <f>IF(Reinforcements[[#This Row],[Type]]="channel",IF(Reinforcements[[#This Row],[Lcx/rx]]&gt;(4.71*SQRT(Reinforcements[[#This Row],[E, (ksi)]]/Reinforcements[[#This Row],[Fy, (ksi)]])),0.877*Reinforcements[[#This Row],[Fe (FTB)]],0.658^(Reinforcements[[#This Row],[Fy, (ksi)]]/Reinforcements[[#This Row],[Fe (FTB)]])*Reinforcements[[#This Row],[Fy, (ksi)]]),"N/A")</f>
        <v>N/A</v>
      </c>
      <c r="FU63" s="508" t="str">
        <f>IF(Reinforcements[[#This Row],[Type]]="channel",MIN(Reinforcements[[#This Row],[Fcr(FTB)]],Reinforcements[[#This Row],[Fcry (ksi)]]),"N/A")</f>
        <v>N/A</v>
      </c>
      <c r="FV63" s="252">
        <v>0.22</v>
      </c>
      <c r="FW63" s="252">
        <v>1.49</v>
      </c>
      <c r="FX63" s="508" t="str">
        <f>IF(Reinforcements[[#This Row],[Type]]="channel",((Reinforcements[[#This Row],[c2]]*(Reinforcements[[#This Row],[λrf]]/Reinforcements[[#This Row],[λf]]))^2)*Reinforcements[[#This Row],[Fy, (ksi)]],"N/A")</f>
        <v>N/A</v>
      </c>
      <c r="FY63" s="508" t="str">
        <f>IF(Reinforcements[[#This Row],[Type]]="channel",((Reinforcements[[#This Row],[c2]]*(Reinforcements[[#This Row],[λrw]]/Reinforcements[[#This Row],[λw]]))^2)*Reinforcements[[#This Row],[Fy, (ksi)]],"N/A")</f>
        <v>N/A</v>
      </c>
      <c r="FZ63"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3"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3"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3" s="508" t="str">
        <f>IF(Reinforcements[[#This Row],[Type]]="channel",Reinforcements[[#This Row],[Fcr]]*Reinforcements[[#This Row],[Ae]],"N/A")</f>
        <v>N/A</v>
      </c>
      <c r="GD63" s="462" t="str">
        <f>IF(Reinforcements[[#This Row],[Reinforcement]]="","",φ_c*Reinforcements[[#This Row],[Pnx, FB (kip)]])</f>
        <v/>
      </c>
      <c r="GE63" s="462" t="str">
        <f>IF(Reinforcements[[#This Row],[Reinforcement]]="","",IF(Reinforcements[[#This Row],[Type]]="channel",φ_c*Reinforcements[[#This Row],[Pn]],φ_c*Reinforcements[[#This Row],[Pny, FB (kip)]]))</f>
        <v/>
      </c>
      <c r="GF63" s="462" t="str">
        <f>Reinforcements[[#This Row],[Rev. G Tension Yield Capacity (kips)]]</f>
        <v/>
      </c>
      <c r="GG63" s="462" t="str">
        <f>Reinforcements[[#This Row],[Rev. G Tension Rupture Capacity (kips)]]</f>
        <v/>
      </c>
      <c r="GH63" s="462" t="str">
        <f>Reinforcements[[#This Row],[Rev. G Shear Capacity (kips)]]</f>
        <v/>
      </c>
      <c r="GI63" s="462" t="str">
        <f>IFERROR((Reinforcements[[#This Row],['# of End Connection Bolts          (Bottom)]]-1)*Reinforcements[[#This Row],[End Connection Bolt Spacing (in) (B)]],"-")</f>
        <v>-</v>
      </c>
      <c r="GJ63" s="462" t="str">
        <f>IFERROR(IF(VLOOKUP(Reinforcements[[#This Row],[Bottom End Connection Bolt Type]],Bolts[],COLUMN(Bolts[[#Headers],[Rev. H Apply Connection Length Reduction Factor (Rb)?]])-1,FALSE)="Yes",(IF(Reinforcements[[#This Row],[Lb(bottom)]]&lt;=16,1,IF(Reinforcements[[#This Row],[Lb(bottom)]]&gt;38,0.75,0.9))),1),"-")</f>
        <v>-</v>
      </c>
      <c r="GK63"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3" s="462" t="str">
        <f>IFERROR(IF(Reinforcements[[#This Row],[Top End Connection Same?]]="Yes",Reinforcements[[#This Row],[Lb(bottom)]],(Reinforcements[[#This Row],['# of End Connection Bolts          (Top)]]-1)*Reinforcements[[#This Row],[End Connection Bolt Spacing (in) (T)]]),"-")</f>
        <v>-</v>
      </c>
      <c r="GM63" s="462" t="str">
        <f>IFERROR(IF(VLOOKUP(Reinforcements[[#This Row],[Top End Connection Bolt Type]],Bolts[],COLUMN(Bolts[[#Headers],[Rev. H Apply Connection Length Reduction Factor (Rb)?]])-1,FALSE)="Yes",(IF(Reinforcements[[#This Row],[Lb(top)]]&lt;=16,1,IF(Reinforcements[[#This Row],[Lb(top)]]&gt;38,0.75,0.9))),1),"-")</f>
        <v>-</v>
      </c>
      <c r="GN63"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3" s="462" t="str">
        <f>Reinforcements[[#This Row],[Rev. G Bolt-Shaft Bearing Capacity (Bottom)                No Deformation          (*t*Fu kips)]]</f>
        <v>-</v>
      </c>
      <c r="GP63" s="462" t="str">
        <f>Reinforcements[[#This Row],[Rev. G Bolt-Shaft Bearing Capacity (Bottom)                   Deformation          (*t*Fu kips)]]</f>
        <v>-</v>
      </c>
      <c r="GQ63" s="462" t="str">
        <f>Reinforcements[[#This Row],[Rev. G Bolt-Shaft Bearing Capacity (Top)                    No Deformation          (*t*Fu kips)]]</f>
        <v>-</v>
      </c>
      <c r="GR63" s="462" t="str">
        <f>Reinforcements[[#This Row],[Rev. G Bolt-Shaft Bearing Capacity (Top)                        Deformation          (*t*Fu kips)]]</f>
        <v>-</v>
      </c>
      <c r="GS63" s="462" t="str">
        <f>Reinforcements[[#This Row],[Rev. G Bolt-Reinf. Bearing Capacity (Bottom)            No Deformation (kips)]]</f>
        <v>-</v>
      </c>
      <c r="GT63" s="462" t="str">
        <f>Reinforcements[[#This Row],[Rev. G Bolt-Reinf. Bearing Capacity (Bottom)               Deformation (kips)]]</f>
        <v>-</v>
      </c>
      <c r="GU63" s="462" t="str">
        <f>Reinforcements[[#This Row],[Rev. G Bolt-Reinf. Bearing Capacity (Top)                  No Deformation (kips)]]</f>
        <v>-</v>
      </c>
      <c r="GV63" s="462" t="str">
        <f>Reinforcements[[#This Row],[Rev. G Bolt-Reinf. Bearing Capacity (Top)               Deformation (kips)]]</f>
        <v>-</v>
      </c>
      <c r="GW63" s="462" t="str">
        <f>Reinforcements[[#This Row],[Rev. G Bottom Transverse Weld Strength]]</f>
        <v/>
      </c>
      <c r="GX63" s="462" t="str">
        <f>Reinforcements[[#This Row],[Rev. G Bottom Longitudinal Weld Strength]]</f>
        <v/>
      </c>
      <c r="GY63" s="462" t="str">
        <f>Reinforcements[[#This Row],[Rev. G Top Transverse Weld Strength]]</f>
        <v/>
      </c>
      <c r="GZ63" s="462" t="str">
        <f>Reinforcements[[#This Row],[Rev. G Top Longitudinal Weld Strength]]</f>
        <v/>
      </c>
      <c r="HA63" s="552">
        <v>61</v>
      </c>
      <c r="HB63"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4" spans="2:210" x14ac:dyDescent="0.2">
      <c r="B64" s="129"/>
      <c r="C64" s="129"/>
      <c r="D64" s="201" t="str">
        <f>IF(Reinforcements[[#This Row],[Type]]="","",IF(Reinforcements[[#This Row],[Type]]="solid round","-",""))</f>
        <v/>
      </c>
      <c r="E64" s="201" t="str">
        <f>IF(Reinforcements[[#This Row],[Type]]="","",IF(Reinforcements[[#This Row],[Type]]="solid round","-",""))</f>
        <v/>
      </c>
      <c r="F64" s="201" t="str">
        <f>IF(Reinforcements[[#This Row],[Type]]="","",IF(Reinforcements[[#This Row],[Type]]="solid round","","n/a"))</f>
        <v/>
      </c>
      <c r="G64" s="201" t="str">
        <f>IF(Reinforcements[[#This Row],[Type]]="","",IF(Reinforcements[[#This Row],[Type]]&lt;&gt;"channel","n/a",""))</f>
        <v/>
      </c>
      <c r="H64" s="201" t="str">
        <f>IF(Reinforcements[[#This Row],[Type]]="","",IF(Reinforcements[[#This Row],[Type]]&lt;&gt;"channel","n/a",""))</f>
        <v/>
      </c>
      <c r="I64" s="224" t="str">
        <f>IF(Reinforcements[[#This Row],[Type]]="","",IF(Reinforcements[[#This Row],[Type]]&lt;&gt;"channel","n/a",Reinforcements[[#This Row],[eo]]))</f>
        <v/>
      </c>
      <c r="J64" s="224" t="str">
        <f>IF(Reinforcements[[#This Row],[Type]]="","",IF(Reinforcements[[#This Row],[Type]]&lt;&gt;"channel","n/a",Reinforcements[[#This Row],[J]]))</f>
        <v/>
      </c>
      <c r="K64" s="224" t="str">
        <f>IF(Reinforcements[[#This Row],[Type]]="","",IF(Reinforcements[[#This Row],[Type]]&lt;&gt;"channel","n/a",Reinforcements[[#This Row],[Cw]]))</f>
        <v/>
      </c>
      <c r="L64" s="201" t="str">
        <f>IFERROR(IF(Reinforcements[[#This Row],[Type]]="","",IF(Reinforcements[[#This Row],[Type]]="plate",Reinforcements[[#This Row],[B (in)]]*Reinforcements[[#This Row],[H (in)]],IF(Reinforcements[[#This Row],[Type]]="solid round",PI()/4*Reinforcements[[#This Row],[Diameter (in)]]^2,""))),"")</f>
        <v/>
      </c>
      <c r="M64" s="201" t="str">
        <f>IFERROR(IF(Reinforcements[[#This Row],[Type]]="","",IF(Reinforcements[[#This Row],[Type]]="plate",Reinforcements[[#This Row],[H (in)]]/2,"")),"")</f>
        <v/>
      </c>
      <c r="N64" s="202"/>
      <c r="O64" s="203"/>
      <c r="P64" s="215" t="str">
        <f>IFERROR(IF(Reinforcements[[#This Row],[Type]]="","",IF(Reinforcements[[#This Row],[Type]]="plate",Reinforcements[[#This Row],[B (in)]]*Reinforcements[[#This Row],[H (in)]]^3/12,IF(Reinforcements[[#This Row],[Type]]="solid round",PI()/64*Reinforcements[[#This Row],[Diameter (in)]]^4,""))),"")</f>
        <v/>
      </c>
      <c r="Q64" s="215" t="str">
        <f>IF(Reinforcements[[#This Row],[Reinforcement]]="","",SQRT(Reinforcements[[#This Row],[Ix]]/Reinforcements[[#This Row],[Gross Area (in2)]]))</f>
        <v/>
      </c>
      <c r="R64" s="215" t="str">
        <f>IFERROR(IF(Reinforcements[[#This Row],[Type]]="","",IF(Reinforcements[[#This Row],[Type]]="plate",Reinforcements[[#This Row],[B (in)]]^3*Reinforcements[[#This Row],[H (in)]]/12,IF(Reinforcements[[#This Row],[Type]]="solid round",PI()/64*Reinforcements[[#This Row],[Diameter (in)]]^4,""))),"")</f>
        <v/>
      </c>
      <c r="S64" s="215" t="str">
        <f>IF(Reinforcements[[#This Row],[Reinforcement]]="","",SQRT(Reinforcements[[#This Row],[Iy]]/Reinforcements[[#This Row],[Gross Area (in2)]]))</f>
        <v/>
      </c>
      <c r="T64" s="206"/>
      <c r="U64" s="204" t="str">
        <f>IF(Reinforcements[[#This Row],[Lu (in)]]="","",IF(Reinforcements[[#This Row],[Lu (in)]]=0,1,""))</f>
        <v/>
      </c>
      <c r="V64" s="204" t="str">
        <f>IF(Reinforcements[[#This Row],[Lu (in)]]="","",IF(Reinforcements[[#This Row],[Lu (in)]]=0,1,""))</f>
        <v/>
      </c>
      <c r="W64" s="201" t="str">
        <f>IF(Reinforcements[[#This Row],[Type]]="","",IF(Reinforcements[[#This Row],[Type]]="solid round",0,IF(Reinforcements[[#This Row],[Type]]="arbitrary","n/a","")))</f>
        <v/>
      </c>
      <c r="X64" s="204" t="str">
        <f>IF(Reinforcements[[#This Row],[Bolt Hole Size (in)]]="","",IF(Reinforcements[[#This Row],[Bolt Hole Size (in)]]="n/a","n/a",Reinforcements[[#This Row],[Bolt Hole Size (in)]]*25.4))</f>
        <v/>
      </c>
      <c r="Y64"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4" s="201" t="str">
        <f>IFERROR(IF(Reinforcements[[#This Row],[Reinforcement]]="","",IF(OR(Reinforcements[[#This Row],[Type]]="plate",Reinforcements[[#This Row],[Type]]="solid round"),1,IF(Reinforcements[[#This Row],[Type]]="arbitrary","",1-Reinforcements[[#This Row],[Pole Face to Centroid (in)]]/Reinforcements[[#This Row],[Connection Length (in) '[Channels']]]))),"")</f>
        <v/>
      </c>
      <c r="AA64" s="205"/>
      <c r="AB64" s="103" t="str">
        <f>IF(Reinforcements[[#This Row],[Reinforcement]]="","",IF(Reinforcements[[#This Row],[Bottom End Connection Type]]&lt;&gt;"Capacity Input","-",""))</f>
        <v/>
      </c>
      <c r="AC64" s="103" t="str">
        <f>IF(Reinforcements[[#This Row],[Reinforcement]]="","",IF(Reinforcements[[#This Row],[Bottom End Connection Type]]&lt;&gt;"Capacity Input","-",""))</f>
        <v/>
      </c>
      <c r="AD64" s="253" t="str">
        <f>IF(Reinforcements[[#This Row],[Reinforcement]]="","",IF(Reinforcements[[#This Row],[Bottom End Connection Type]]&lt;&gt;"Capacity Input","-",""))</f>
        <v/>
      </c>
      <c r="AE64" s="103" t="str">
        <f>IF(Reinforcements[[#This Row],[Reinforcement]]="","",IF(Reinforcements[[#This Row],[Bottom End Connection Type]]&lt;&gt;"Bolted","-",""))</f>
        <v/>
      </c>
      <c r="AF64" s="206" t="str">
        <f>IF(Reinforcements[[#This Row],[Reinforcement]]="","",IF(Reinforcements[[#This Row],[Bottom End Connection Type]]&lt;&gt;"Bolted","-",""))</f>
        <v/>
      </c>
      <c r="AG64" s="206" t="str">
        <f>IF(Reinforcements[[#This Row],[Reinforcement]]="","",IF(Reinforcements[[#This Row],[Bottom End Connection Type]]="","-",IF(Reinforcements[[#This Row],[Bottom End Connection Type]]&lt;&gt;"Bolted","-","")))</f>
        <v/>
      </c>
      <c r="AH64" s="206" t="str">
        <f>IF(Reinforcements[[#This Row],[Reinforcement]]="","",IF(Reinforcements[[#This Row],[Bottom End Connection Type]]="","-",IF(Reinforcements[[#This Row],[Bottom End Connection Type]]&lt;&gt;"Bolted","-","")))</f>
        <v/>
      </c>
      <c r="AI64" s="206" t="str">
        <f>IF(Reinforcements[[#This Row],[Reinforcement]]="","",IF(Reinforcements[[#This Row],[Bottom End Connection Type]]="","-",IF(Reinforcements[[#This Row],[Bottom End Connection Type]]&lt;&gt;"Bolted","-","")))</f>
        <v/>
      </c>
      <c r="AJ64" s="206" t="e">
        <f>Reinforcements[[#This Row],[End Connection Edge Distance (in) (B)]]-(Reinforcements[[#This Row],[Bolt Hole Size (in)]]+1/16)/2</f>
        <v>#VALUE!</v>
      </c>
      <c r="AK64" s="206" t="e">
        <f>Reinforcements[[#This Row],[End Connection Bolt Spacing (in) (B)]]-(Reinforcements[[#This Row],[Bolt Hole Size (in)]]+1/16)</f>
        <v>#VALUE!</v>
      </c>
      <c r="AL64" s="206" t="str">
        <f>Reinforcements[[#This Row],[End Connection Edge Distance (in) (B)]]</f>
        <v/>
      </c>
      <c r="AM64" s="206" t="str">
        <f>Reinforcements[[#This Row],[End Connection Bolt Spacing (in) (B)]]</f>
        <v/>
      </c>
      <c r="AN64" s="206" t="str">
        <f>IF(Reinforcements[[#This Row],[Reinforcement]]="","",IF(OR(Reinforcements[[#This Row],[Bottom End Connection Type]]="Bolted",Reinforcements[[#This Row],[Bottom End Connection Type]]=""),"-",""))</f>
        <v/>
      </c>
      <c r="AO64" s="214" t="str">
        <f>IF(Reinforcements[[#This Row],[Reinforcement]]="","",IF(Reinforcements[[#This Row],[Bottom End Connection Type]]&lt;&gt;"Welded","-",""))</f>
        <v/>
      </c>
      <c r="AP64" s="214" t="str">
        <f>IF(Reinforcements[[#This Row],[Reinforcement]]="","",IF(Reinforcements[[#This Row],[Bottom End Connection Type]]&lt;&gt;"Welded","-",""))</f>
        <v/>
      </c>
      <c r="AQ64" s="214" t="str">
        <f>IF(Reinforcements[[#This Row],[Reinforcement]]="","",IF(OR(Reinforcements[[#This Row],[Bottom End Connection Type]]&lt;&gt;"Welded",Reinforcements[[#This Row],[Bottom Transverse (Horizontal) Weld]]="None"),"-",""))</f>
        <v/>
      </c>
      <c r="AR64"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4"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4" s="214" t="str">
        <f>IF(Reinforcements[[#This Row],[Reinforcement]]="","",IF(OR(Reinforcements[[#This Row],[Bottom Transverse (Horizontal) Weld]]="None",Reinforcements[[#This Row],[Bottom End Connection Type]]&lt;&gt;"Welded"),"-",""))</f>
        <v/>
      </c>
      <c r="AU64"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4" s="214" t="str">
        <f>IF(Reinforcements[[#This Row],[Reinforcement]]="","",IF(OR(Reinforcements[[#This Row],[Bottom End Connection Type]]&lt;&gt;"Welded",Reinforcements[[#This Row],[Bottom End Connection Type]]=""),"-",""))</f>
        <v/>
      </c>
      <c r="AW64" s="214" t="str">
        <f>IF(Reinforcements[[#This Row],[Reinforcement]]="","",IF(OR(Reinforcements[[#This Row],[Bottom End Connection Type]]&lt;&gt;"Welded",Reinforcements[[#This Row],[Bottom Longitudinal (Vertical) Weld]]="None",Reinforcements[[#This Row],[Bottom Longitudinal (Vertical) Weld]]=""),"-",""))</f>
        <v/>
      </c>
      <c r="AX64" s="214" t="str">
        <f>IF(Reinforcements[[#This Row],[Reinforcement]]="","",IF(OR(Reinforcements[[#This Row],[Bottom End Connection Type]]&lt;&gt;"Welded",Reinforcements[[#This Row],[Bottom Longitudinal (Vertical) Weld]]="None",Reinforcements[[#This Row],[Bottom Longitudinal (Vertical) Weld]]=""),"-",""))</f>
        <v/>
      </c>
      <c r="AY64" s="206" t="str">
        <f>IF(Reinforcements[[#This Row],[Reinforcement]]="","",IF(OR(Reinforcements[[#This Row],[Bottom End Connection Type]]&lt;&gt;"Welded",Reinforcements[[#This Row],[Bottom Longitudinal (Vertical) Weld]]="None"),"-",SQRT(2)/2*Reinforcements[[#This Row],[Bottom Longitudinal Weld Fillet Size (in)]]))</f>
        <v/>
      </c>
      <c r="AZ64" s="206"/>
      <c r="BA64" s="103" t="str">
        <f>IF(Reinforcements[[#This Row],[Top End Connection Same?]]="Yes",Reinforcements[[#This Row],[Bottom End Connection Type]],"")</f>
        <v/>
      </c>
      <c r="BB64" s="103" t="str">
        <f>IF(Reinforcements[[#This Row],[Reinforcement]]="","",IF(Reinforcements[[#This Row],[Top End Connection Same?]]="Yes",Reinforcements[[#This Row],[Rev. F Bottom Connection Capacity (kips)]],IF(Reinforcements[[#This Row],[Reinforcement]]="","",IF(Reinforcements[[#This Row],[Top End Connection Type]]&lt;&gt;"Capacity Input","-",""))))</f>
        <v/>
      </c>
      <c r="BC64" s="103" t="str">
        <f>IF(Reinforcements[[#This Row],[Reinforcement]]="","",IF(Reinforcements[[#This Row],[Top End Connection Same?]]="Yes",Reinforcements[[#This Row],[Rev. G Bottom Connection Capacity (kips)]],IF(Reinforcements[[#This Row],[Reinforcement]]="","",IF(Reinforcements[[#This Row],[Top End Connection Type]]&lt;&gt;"Capacity Input","-",""))))</f>
        <v/>
      </c>
      <c r="BD64" s="253" t="str">
        <f>IF(Reinforcements[[#This Row],[Reinforcement]]="","",IF(Reinforcements[[#This Row],[Top End Connection Same?]]="Yes",Reinforcements[[#This Row],[Rev. G Bottom Connection Capacity (kips)]],IF(Reinforcements[[#This Row],[Reinforcement]]="","",IF(Reinforcements[[#This Row],[Top End Connection Type]]&lt;&gt;"Capacity Input","-",""))))</f>
        <v/>
      </c>
      <c r="BE64" s="103" t="str">
        <f>IF(Reinforcements[[#This Row],[Reinforcement]]="","",IF(Reinforcements[[#This Row],[Top End Connection Same?]]="Yes",Reinforcements[[#This Row],[Bottom End Connection Bolt Type]],IF(Reinforcements[[#This Row],[Top End Connection Type]]&lt;&gt;"Bolted","-","")))</f>
        <v/>
      </c>
      <c r="BF64" s="206" t="str">
        <f>IF(Reinforcements[[#This Row],[Reinforcement]]="","",IF(Reinforcements[[#This Row],[Top End Connection Same?]]="Yes",Reinforcements[[#This Row],[Threads Included (N) or Excluded (X) (Bottom)]],IF(Reinforcements[[#This Row],[Top End Connection Type]]&lt;&gt;"Bolted","-","")))</f>
        <v/>
      </c>
      <c r="BG64" s="206" t="str">
        <f>IF(Reinforcements[[#This Row],[Reinforcement]]="","",IF(Reinforcements[[#This Row],[Top End Connection Same?]]="Yes",Reinforcements[[#This Row],['# of End Connection Bolts          (Bottom)]],IF(Reinforcements[[#This Row],[Top End Connection Type]]&lt;&gt;"Bolted","-","")))</f>
        <v/>
      </c>
      <c r="BH64" s="206" t="str">
        <f>IF(Reinforcements[[#This Row],[Reinforcement]]="","",IF(Reinforcements[[#This Row],[Top End Connection Same?]]="Yes",Reinforcements[[#This Row],[End Connection Bolt Spacing (in) (B)]],IF(Reinforcements[[#This Row],[Top End Connection Type]]&lt;&gt;"Bolted","-","")))</f>
        <v/>
      </c>
      <c r="BI64" s="206" t="str">
        <f>IF(Reinforcements[[#This Row],[Reinforcement]]="","",IF(Reinforcements[[#This Row],[Top End Connection Same?]]="Yes",Reinforcements[[#This Row],[End Connection Edge Distance (in) (B)]],IF(Reinforcements[[#This Row],[Top End Connection Type]]&lt;&gt;"Bolted","-","")))</f>
        <v/>
      </c>
      <c r="BJ64" s="206" t="e">
        <f>Reinforcements[[#This Row],[End Connection Edge Distance (in) (T)]]-(Reinforcements[[#This Row],[Bolt Hole Size (in)]]+1/16)/2</f>
        <v>#VALUE!</v>
      </c>
      <c r="BK64" s="206" t="e">
        <f>Reinforcements[[#This Row],[End Connection Bolt Spacing (in) (T)]]-(Reinforcements[[#This Row],[Bolt Hole Size (in)]]+1/16)</f>
        <v>#VALUE!</v>
      </c>
      <c r="BL64" s="206" t="str">
        <f>Reinforcements[[#This Row],[End Connection Edge Distance (in) (T)]]</f>
        <v/>
      </c>
      <c r="BM64" s="206" t="str">
        <f>Reinforcements[[#This Row],[End Connection Bolt Spacing (in) (T)]]</f>
        <v/>
      </c>
      <c r="BN64" s="206" t="str">
        <f>IF(Reinforcements[[#This Row],[Reinforcement]]="","",IF(Reinforcements[[#This Row],[Top End Connection Same?]]="Yes",Reinforcements[[#This Row],[Bottom Connected to Flange/Base Plate?]],IF(Reinforcements[[#This Row],[Top End Connection Type]]="Bolted","-","")))</f>
        <v/>
      </c>
      <c r="BO64" s="206" t="str">
        <f>IF(Reinforcements[[#This Row],[Reinforcement]]="","",IF(Reinforcements[[#This Row],[Top End Connection Same?]]="Yes",Reinforcements[[#This Row],[Bottom Weld Grade (ksi)]],IF(OR(Reinforcements[[#This Row],[Top End Connection Type]]&lt;&gt;"Welded",Reinforcements[[#This Row],[Top End Connection Type]]=""),"-","")))</f>
        <v/>
      </c>
      <c r="BP64" s="206" t="str">
        <f>IF($AZ64="Yes",AP64,IF(Reinforcements[[#This Row],[Reinforcement]]="","",IF(OR(Reinforcements[[#This Row],[Top End Connection Type]]&lt;&gt;"Welded",Reinforcements[[#This Row],[Top End Connection Type]]=""),"-","")))</f>
        <v/>
      </c>
      <c r="BQ64" s="206" t="str">
        <f>IF(Reinforcements[[#This Row],[Reinforcement]]="","",IF($AZ64="Yes",AQ64,IF(OR(Reinforcements[[#This Row],[Top End Connection Type]]&lt;&gt;"Welded",Reinforcements[[#This Row],[Top Transverse (Horizontal) Weld]]="none",Reinforcements[[#This Row],[Top Transverse (Horizontal) Weld]]=""),"-","")))</f>
        <v/>
      </c>
      <c r="BR64" s="206" t="str">
        <f>IF($AZ64="Yes",AR64,IF(Reinforcements[[#This Row],[Reinforcement]]="","",IF(OR(Reinforcements[[#This Row],[Top Transverse (Horizontal) Weld]]="none",Reinforcements[[#This Row],[Top End Connection Type]]&lt;&gt;"Welded",Reinforcements[[#This Row],[Top Transverse (Horizontal) Weld]]="",Reinforcements[[#This Row],[Top Transverse (Horizontal) Weld]]="Fillet"),"-","")))</f>
        <v/>
      </c>
      <c r="BS64" s="206" t="str">
        <f>IF($AZ64="Yes",AS64,IF(Reinforcements[[#This Row],[Reinforcement]]="","",IF(OR(Reinforcements[[#This Row],[Top Transverse (Horizontal) Weld]]="none",Reinforcements[[#This Row],[Top End Connection Type]]&lt;&gt;"Welded",Reinforcements[[#This Row],[Top Transverse (Horizontal) Weld]]="",Reinforcements[[#This Row],[Top Transverse (Horizontal) Weld]]="Fillet"),"-","")))</f>
        <v/>
      </c>
      <c r="BT64" s="206" t="str">
        <f>IF(Reinforcements[[#This Row],[Reinforcement]]="","",IF($AZ64="Yes",AT64,IF(OR(Reinforcements[[#This Row],[Top Transverse (Horizontal) Weld]]="none",Reinforcements[[#This Row],[Top End Connection Type]]&lt;&gt;"Welded",Reinforcements[[#This Row],[Top Transverse (Horizontal) Weld]]=""),"-","")))</f>
        <v/>
      </c>
      <c r="BU64" s="206" t="str">
        <f>IF($AZ64="Yes",AU64,IF(Reinforcements[[#This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4" s="206" t="str">
        <f>IF($AZ64="Yes",AV64,IF(Reinforcements[[#This Row],[Reinforcement]]="","",IF(OR(Reinforcements[[#This Row],[Top End Connection Type]]&lt;&gt;"Welded",Reinforcements[[#This Row],[Top End Connection Type]]=""),"-","")))</f>
        <v/>
      </c>
      <c r="BW64" s="206" t="str">
        <f>IF($AZ64="Yes",AW64,IF(Reinforcements[[#This Row],[Reinforcement]]="","",IF(OR(Reinforcements[[#This Row],[Top End Connection Type]]&lt;&gt;"Welded",Reinforcements[[#This Row],[Top End Connection Type]]="",Reinforcements[[#This Row],[Top Longitudinal (Vertical) Weld]]="",Reinforcements[[#This Row],[Top Longitudinal (Vertical) Weld]]="None"),"-","")))</f>
        <v/>
      </c>
      <c r="BX64" s="206" t="str">
        <f>IF($AZ64="Yes",AX64,IF(Reinforcements[[#This Row],[Reinforcement]]="","",IF(OR(Reinforcements[[#This Row],[Top End Connection Type]]&lt;&gt;"Welded",Reinforcements[[#This Row],[Top End Connection Type]]="",Reinforcements[[#This Row],[Top Longitudinal (Vertical) Weld]]="",Reinforcements[[#This Row],[Top Longitudinal (Vertical) Weld]]="None"),"-","")))</f>
        <v/>
      </c>
      <c r="BY64" s="206" t="str">
        <f>IF($AZ64="Yes",AY64,IF(Reinforcements[[#This Row],[Reinforcement]]="","",IF(OR(Reinforcements[[#This Row],[Top End Connection Type]]&lt;&gt;"Welded",Reinforcements[[#This Row],[Top Longitudinal (Vertical) Weld]]="none"),"-",SQRT(2)/2*Reinforcements[[#This Row],[Top Longitudinal Weld Fillet Size (in)]])))</f>
        <v/>
      </c>
      <c r="BZ64"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4"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4"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4"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4"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4" s="201" t="str">
        <f>IFERROR(IF(Reinforcements[[#This Row],[Type]]="","",Reinforcements[[#This Row],[Effective B (in)]]*Reinforcements[[#This Row],[Effective H (in)]]^3/12),"")</f>
        <v/>
      </c>
      <c r="CF64" s="201" t="str">
        <f>IFERROR(IF(Reinforcements[[#This Row],[Type]]="","",Reinforcements[[#This Row],[Effective B (in)]]^3*Reinforcements[[#This Row],[Effective H (in)]]/12),"")</f>
        <v/>
      </c>
      <c r="CG64" s="224" t="e">
        <f>SQRT(2*PI()^2*29000/VLOOKUP(Reinforcements[[#This Row],[Material]],Materials[],2,FALSE))</f>
        <v>#N/A</v>
      </c>
      <c r="CH64"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4"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4" s="215" t="e">
        <f>Reinforcements[[#This Row],[Effective Length Factor Kx]]*Reinforcements[[#This Row],[Lu (in)]]/(Reinforcements[[#This Row],[rx]]*PI())*SQRT(VLOOKUP(Reinforcements[[#This Row],[Material]],Materials[],2,FALSE)/29000)</f>
        <v>#VALUE!</v>
      </c>
      <c r="CK64" s="215" t="e">
        <f>Reinforcements[[#This Row],[Effective Length Factor Ky]]*Reinforcements[[#This Row],[Lu (in)]]/(Reinforcements[[#This Row],[ry]]*PI())*SQRT(VLOOKUP(Reinforcements[[#This Row],[Material]],Materials[],2,FALSE)/29000)</f>
        <v>#VALUE!</v>
      </c>
      <c r="CL64" s="215" t="e">
        <f>IF(Reinforcements[[#This Row],[λcx]]&lt;=1.5,0.658^(Reinforcements[[#This Row],[λcx]]^2)*Reinforcements[[#This Row],[F''y]],0.877/(Reinforcements[[#This Row],[λcx]]^2)*Reinforcements[[#This Row],[F''y]])</f>
        <v>#VALUE!</v>
      </c>
      <c r="CM64" s="215" t="e">
        <f>IF(Reinforcements[[#This Row],[λcy]]&lt;=1.5,0.658^(Reinforcements[[#This Row],[λcy]]^2)*Reinforcements[[#This Row],[F''y]],0.877/(Reinforcements[[#This Row],[λcy]]^2)*Reinforcements[[#This Row],[F''y]])</f>
        <v>#VALUE!</v>
      </c>
      <c r="CN64" s="201" t="e">
        <f>VLOOKUP(Reinforcements[[#This Row],[Material]],Materials[],2,FALSE)</f>
        <v>#N/A</v>
      </c>
      <c r="CO64" s="224" t="str">
        <f>IF(Reinforcements[[#This Row],[Reinforcement]]="","",Reinforcements[[#This Row],[Fax]]*Reinforcements[[#This Row],[Gross Area (in2)]])</f>
        <v/>
      </c>
      <c r="CP64" s="224" t="str">
        <f>IF(Reinforcements[[#This Row],[Reinforcement]]="","",Reinforcements[[#This Row],[Fay]]*Reinforcements[[#This Row],[Gross Area (in2)]])</f>
        <v/>
      </c>
      <c r="CQ64" s="224" t="str">
        <f>IF(Reinforcements[[#This Row],[Reinforcement]]="","",0.6*VLOOKUP(Reinforcements[[#This Row],[Material]],Materials[],2,FALSE)*Reinforcements[[#This Row],[Gross Area (in2)]])</f>
        <v/>
      </c>
      <c r="CR64" s="224" t="str">
        <f>IF(Reinforcements[[#This Row],[Reinforcement]]="","",0.5*VLOOKUP(Reinforcements[[#This Row],[Material]],Materials[],3,FALSE)*Reinforcements[[#This Row],[Net Area (in2)]]*Reinforcements[[#This Row],[Shear Lag (U)]])</f>
        <v/>
      </c>
      <c r="CS64" s="224" t="str">
        <f>IF(Reinforcements[[#This Row],[Reinforcement]]="","",0.4*VLOOKUP(Reinforcements[[#This Row],[Material]],Materials[],2,FALSE)*Reinforcements[[#This Row],[Gross Area (in2)]])</f>
        <v/>
      </c>
      <c r="CT64"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4"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4"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4"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4"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4"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4"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4"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4"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4"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4"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4"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4" s="206" t="str">
        <f>IF($AZ64="Yes",DD64,IF(Reinforcements[[#This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4" s="206" t="str">
        <f>IF($AZ64="Yes",DE64,IF(Reinforcements[[#This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4" s="224" t="str">
        <f>IF(Reinforcements[[#This Row],[Reinforcement]]="","",φ_c*Reinforcements[[#This Row],[Fcr,x]]*Reinforcements[[#This Row],[Gross Area (in2)]])</f>
        <v/>
      </c>
      <c r="DI64" s="224" t="str">
        <f>IF(Reinforcements[[#This Row],[Reinforcement]]="","",φ_c*Reinforcements[[#This Row],[Fcr,y]]*Reinforcements[[#This Row],[Gross Area (in2)]])</f>
        <v/>
      </c>
      <c r="DJ64" s="224" t="str">
        <f>IF(Reinforcements[[#This Row],[Reinforcement]]="","",φ_t_y*VLOOKUP(Reinforcements[[#This Row],[Material]],Materials[],2,FALSE)*Reinforcements[[#This Row],[Gross Area (in2)]])</f>
        <v/>
      </c>
      <c r="DK64" s="224" t="str">
        <f>IF(Reinforcements[[#This Row],[Reinforcement]]="","",φ_t_r*VLOOKUP(Reinforcements[[#This Row],[Material]],Materials[],3,FALSE)*Reinforcements[[#This Row],[Net Area (in2)]]*Reinforcements[[#This Row],[Shear Lag (U)]])</f>
        <v/>
      </c>
      <c r="DL64" s="224" t="str">
        <f>IF(Reinforcements[[#This Row],[Reinforcement]]="","",φ_v*0.5*Reinforcements[[#This Row],[F''y]]*Reinforcements[[#This Row],[Gross Area (in2)]])</f>
        <v/>
      </c>
      <c r="DM64"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4"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4"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4"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4"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4"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4"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4"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4"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4"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4"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4"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4" s="206" t="str">
        <f>IF($AZ64="Yes",DW64,IF(Reinforcements[[#This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4" s="206" t="str">
        <f>IF($AZ64="Yes",DX64,IF(Reinforcements[[#This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4" s="507" t="str">
        <f>IF(OR(Reinforcements[[#This Row],[Type]]="plate",Reinforcements[[#This Row],[Type]]="solid round"),"N/A",Reinforcements[[#This Row],[B (in)]])</f>
        <v/>
      </c>
      <c r="EB64" s="508" t="str">
        <f>IF(OR(Reinforcements[[#This Row],[Type]]="plate",Reinforcements[[#This Row],[Type]]="solid round"),"N/A",Reinforcements[[#This Row],[H (in)]])</f>
        <v/>
      </c>
      <c r="EC64" s="508" t="e">
        <f>IF(OR(Reinforcements[[#This Row],[Type]]="plate",Reinforcements[[#This Row],[Type]]="solid round"),"N/A",Reinforcements[[#This Row],[B (in)]]-Reinforcements[[#This Row],['[Channel'] Flange Thickness (in)]])</f>
        <v>#VALUE!</v>
      </c>
      <c r="ED64" s="508" t="str">
        <f>IF(OR(Reinforcements[[#This Row],[Type]]="plate",Reinforcements[[#This Row],[Type]]="solid round"),"N/A",Reinforcements[[#This Row],['[Channel']Web Thickness (in)]])</f>
        <v/>
      </c>
      <c r="EE64" s="508" t="str">
        <f>IF(OR(Reinforcements[[#This Row],[Type]]="plate",Reinforcements[[#This Row],[Type]]="solid round"),"N/A",Reinforcements[[#This Row],['[Channel'] Flange Thickness (in)]])</f>
        <v/>
      </c>
      <c r="EF64" s="508" t="str">
        <f>IF(Reinforcements[[#This Row],[Type]]="channel",Reinforcements[[#This Row],[Channel Flange Width, b]]/Reinforcements[[#This Row],[Channel flange thickness, tf]],"N/A")</f>
        <v>N/A</v>
      </c>
      <c r="EG64" s="508" t="str">
        <f>IF(Reinforcements[[#This Row],[Type]]="channel",Reinforcements[[#This Row],[Channel inside depth, T]]/Reinforcements[[#This Row],[Channel web thickness, tw]],"N/A")</f>
        <v>N/A</v>
      </c>
      <c r="EH64" s="252">
        <v>28992</v>
      </c>
      <c r="EI64" s="252" t="str">
        <f>IF(Reinforcements[[#This Row],[Type]]="channel",0.56*SQRT(Reinforcements[[#This Row],[E, (ksi)]]/Reinforcements[[#This Row],[Fy, (ksi)]]),"N/A")</f>
        <v>N/A</v>
      </c>
      <c r="EJ64" s="252" t="str">
        <f>IF(Reinforcements[[#This Row],[Type]]="channel",1.49*SQRT(Reinforcements[[#This Row],[E, (ksi)]]/Reinforcements[[#This Row],[Fy, (ksi)]]),"N/A")</f>
        <v>N/A</v>
      </c>
      <c r="EK64" s="252" t="e">
        <f>VLOOKUP(Reinforcements[[#This Row],[Material]],Materials!$B$2:$C$30,2,FALSE)</f>
        <v>#N/A</v>
      </c>
      <c r="EL64" s="252" t="e">
        <f>Reinforcements[[#This Row],[Lu (in)]]*Reinforcements[[#This Row],[Effective Length Factor Kx]]</f>
        <v>#VALUE!</v>
      </c>
      <c r="EM64" s="252" t="e">
        <f>Reinforcements[[#This Row],[Lu (in)]]*Reinforcements[[#This Row],[Effective Length Factor Ky]]</f>
        <v>#VALUE!</v>
      </c>
      <c r="EN64" s="252" t="str">
        <f>Reinforcements[[#This Row],[rx]]</f>
        <v/>
      </c>
      <c r="EO64" s="252" t="str">
        <f>Reinforcements[[#This Row],[ry]]</f>
        <v/>
      </c>
      <c r="EP64" s="252" t="e">
        <f>Reinforcements[[#This Row],[Lcx (in)]]/Reinforcements[[#This Row],[rx (in)]]</f>
        <v>#VALUE!</v>
      </c>
      <c r="EQ64" s="252" t="e">
        <f>Reinforcements[[#This Row],[Lcy (in)]]/Reinforcements[[#This Row],[ry (in)]]</f>
        <v>#VALUE!</v>
      </c>
      <c r="ER64" s="252" t="e">
        <f>((PI()^2)*Reinforcements[[#This Row],[E, (ksi)]])/(Reinforcements[[#This Row],[Lcx/rx]]^2)</f>
        <v>#VALUE!</v>
      </c>
      <c r="ES64" s="252" t="e">
        <f>((PI()^2)*Reinforcements[[#This Row],[E, (ksi)]])/(Reinforcements[[#This Row],[Lcy/ry]]^2)</f>
        <v>#VALUE!</v>
      </c>
      <c r="ET64" s="252" t="e">
        <f>4.71*(SQRT(Reinforcements[[#This Row],[E, (ksi)]]/Reinforcements[[#This Row],[Fy, (ksi)]]))</f>
        <v>#N/A</v>
      </c>
      <c r="EU64" s="252" t="e">
        <f>IF(Reinforcements[[#This Row],[Lcx/rx]]&lt;=Reinforcements[[#This Row],[Fcr Limit]],(0.658^(Reinforcements[[#This Row],[Fy, (ksi)]]/Reinforcements[[#This Row],[Fex, FB (ksi)]]))*Reinforcements[[#This Row],[Fy, (ksi)]],0.877*Reinforcements[[#This Row],[Fex, FB (ksi)]])</f>
        <v>#VALUE!</v>
      </c>
      <c r="EV64" s="252" t="e">
        <f>IF(Reinforcements[[#This Row],[Lcy/ry]]&lt;=Reinforcements[[#This Row],[Fcr Limit]],(0.658^(Reinforcements[[#This Row],[Fy, (ksi)]]/Reinforcements[[#This Row],[Fey, FB (ksi)]]))*Reinforcements[[#This Row],[Fy, (ksi)]],0.877*Reinforcements[[#This Row],[Fey, FB (ksi)]])</f>
        <v>#VALUE!</v>
      </c>
      <c r="EW64" s="252" t="e">
        <f>Reinforcements[[#This Row],[Fcrx (ksi)]]*Reinforcements[[#This Row],[Gross Area (in2)]]</f>
        <v>#VALUE!</v>
      </c>
      <c r="EX64" s="252" t="e">
        <f>Reinforcements[[#This Row],[Fcry (ksi)]]*Reinforcements[[#This Row],[Gross Area (in2)]]</f>
        <v>#VALUE!</v>
      </c>
      <c r="EY64" s="252" t="str">
        <f>IF(Reinforcements[[#This Row],[Type]]="channel",0,"N/A")</f>
        <v>N/A</v>
      </c>
      <c r="EZ64" s="252" t="str">
        <f>IF(Reinforcements[[#This Row],[Type]]="channel",Reinforcements[[#This Row],[Channel Flange Width, b]]-(0.5*Reinforcements[[#This Row],[Channel web thickness, tw]]),"N/A")</f>
        <v>N/A</v>
      </c>
      <c r="FA64" s="252" t="str">
        <f>IF(Reinforcements[[#This Row],[Type]]="channel",Reinforcements[[#This Row],[Channel Height, h]]-Reinforcements[[#This Row],[Channel flange thickness, tf]],"N/A")</f>
        <v>N/A</v>
      </c>
      <c r="FB64" s="252" t="str">
        <f>IF(Reinforcements[[#This Row],[Type]]="channel",Reinforcements[[#This Row],[Channel web thickness, tw]],"N/A")</f>
        <v>N/A</v>
      </c>
      <c r="FC64" s="252" t="str">
        <f>IF(Reinforcements[[#This Row],[Type]]="channel",((3*Reinforcements[[#This Row],[b]]^2)/(Reinforcements[[#This Row],[h]]+(6*Reinforcements[[#This Row],[b]])))-Reinforcements[[#This Row],[t]]/2,"N/A")</f>
        <v>N/A</v>
      </c>
      <c r="FD64" s="252" t="str">
        <f>Reinforcements[[#This Row],[Pole Face to Centroid (in)]]</f>
        <v/>
      </c>
      <c r="FE64" s="508" t="str">
        <f>IF(Reinforcements[[#This Row],[Type]]="channel",Reinforcements[[#This Row],[x(bar)]]+Reinforcements[[#This Row],['[Channel'] e0 (in)]],"N/A")</f>
        <v>N/A</v>
      </c>
      <c r="FF64" s="508" t="str">
        <f>IF(Reinforcements[[#This Row],[Type]]="channel",Reinforcements[[#This Row],[Ix]],"N/A")</f>
        <v>N/A</v>
      </c>
      <c r="FG64" s="508" t="str">
        <f>IF(Reinforcements[[#This Row],[Type]]="channel",Reinforcements[[#This Row],[Iy]],"N/A")</f>
        <v>N/A</v>
      </c>
      <c r="FH64" s="508" t="str">
        <f>IF(Reinforcements[[#This Row],[Type]]="channel",Reinforcements[[#This Row],[Gross Area (in2)]],"N/A")</f>
        <v>N/A</v>
      </c>
      <c r="FI64" s="508" t="str">
        <f>IF(Reinforcements[[#This Row],[Type]]="channel",(Reinforcements[[#This Row],[xo]]^2)+((Reinforcements[[#This Row],[Ix (FTB)]]+Reinforcements[[#This Row],[Iy (FTB)]])/Reinforcements[[#This Row],[Ag]]),"N/A")</f>
        <v>N/A</v>
      </c>
      <c r="FJ64" s="508" t="str">
        <f>IF(Reinforcements[[#This Row],[Type]]="channel",Reinforcements[[#This Row],[Lu (in)]],"N/A")</f>
        <v>N/A</v>
      </c>
      <c r="FK64" s="508" t="str">
        <f>IF(Reinforcements[[#This Row],[Type]]="channel",Reinforcements[[#This Row],[Effective Length Factor Kx]],"N/A")</f>
        <v>N/A</v>
      </c>
      <c r="FL64" s="508" t="str">
        <f>IF(Reinforcements[[#This Row],[Type]]="channel",Reinforcements[[#This Row],[Kz]]*Reinforcements[[#This Row],[Lz]],"N/A")</f>
        <v>N/A</v>
      </c>
      <c r="FM64" s="508" t="str">
        <f>IF(Reinforcements[[#This Row],[Type]]="channel",(((Reinforcements[[#This Row],[t]]^3)/3)*(Reinforcements[[#This Row],[h]]+(2*Reinforcements[[#This Row],[b]]))),"N/A")</f>
        <v>N/A</v>
      </c>
      <c r="FN64" s="508" t="str">
        <f>IF(Reinforcements[[#This Row],[Type]]="channel",(1-(((Reinforcements[[#This Row],[xo]]^2)+(Reinforcements[[#This Row],[yo]]^2))/Reinforcements[[#This Row],[ro^2(bar)]])),"N/A")</f>
        <v>N/A</v>
      </c>
      <c r="FO64" s="252">
        <v>11191</v>
      </c>
      <c r="FP64" s="508" t="str">
        <f>IF(Reinforcements[[#This Row],[Type]]="channel",(((Reinforcements[[#This Row],[h]]^2)*(Reinforcements[[#This Row],[b]]^3)*Reinforcements[[#This Row],[t]])/12)*(((2*Reinforcements[[#This Row],[h]])+(3*Reinforcements[[#This Row],[b]]))/(Reinforcements[[#This Row],[h]]+(6*Reinforcements[[#This Row],[b]]))),"N/A")</f>
        <v>N/A</v>
      </c>
      <c r="FQ64" s="508" t="str">
        <f>IF(Reinforcements[[#This Row],[Type]]="Channel",((((PI()^2)*Reinforcements[[#This Row],[E, (ksi)]]*Reinforcements[[#This Row],['[Channel'] CW (in6)]])/(Reinforcements[[#This Row],[Lcz]]^2))+(Reinforcements[[#This Row],[G]]*Reinforcements[[#This Row],['[Channel'] J (in4)]]))*(1/(Reinforcements[[#This Row],[Ag]]*Reinforcements[[#This Row],[ro^2(bar)]])),"N/A")</f>
        <v>N/A</v>
      </c>
      <c r="FR64" s="508" t="str">
        <f>IF(Reinforcements[[#This Row],[Type]]="channel",((PI()^2)*Reinforcements[[#This Row],[E, (ksi)]])/(Reinforcements[[#This Row],[Lcy/ry]]^2),"N/A")</f>
        <v>N/A</v>
      </c>
      <c r="FS64" s="508" t="str">
        <f>IF(Reinforcements[[#This Row],[Type]]="channel",((Reinforcements[[#This Row],[Fey]]+Reinforcements[[#This Row],[Fez]])/(2*Reinforcements[[#This Row],[H2]]))*(1-SQRT(1-((4*Reinforcements[[#This Row],[Fey]]*Reinforcements[[#This Row],[Fez]]*Reinforcements[[#This Row],[H2]])/(Reinforcements[[#This Row],[Fey]]+Reinforcements[[#This Row],[Fez]])^2))),"N/A")</f>
        <v>N/A</v>
      </c>
      <c r="FT64" s="508" t="str">
        <f>IF(Reinforcements[[#This Row],[Type]]="channel",IF(Reinforcements[[#This Row],[Lcx/rx]]&gt;(4.71*SQRT(Reinforcements[[#This Row],[E, (ksi)]]/Reinforcements[[#This Row],[Fy, (ksi)]])),0.877*Reinforcements[[#This Row],[Fe (FTB)]],0.658^(Reinforcements[[#This Row],[Fy, (ksi)]]/Reinforcements[[#This Row],[Fe (FTB)]])*Reinforcements[[#This Row],[Fy, (ksi)]]),"N/A")</f>
        <v>N/A</v>
      </c>
      <c r="FU64" s="508" t="str">
        <f>IF(Reinforcements[[#This Row],[Type]]="channel",MIN(Reinforcements[[#This Row],[Fcr(FTB)]],Reinforcements[[#This Row],[Fcry (ksi)]]),"N/A")</f>
        <v>N/A</v>
      </c>
      <c r="FV64" s="252">
        <v>0.22</v>
      </c>
      <c r="FW64" s="252">
        <v>1.49</v>
      </c>
      <c r="FX64" s="508" t="str">
        <f>IF(Reinforcements[[#This Row],[Type]]="channel",((Reinforcements[[#This Row],[c2]]*(Reinforcements[[#This Row],[λrf]]/Reinforcements[[#This Row],[λf]]))^2)*Reinforcements[[#This Row],[Fy, (ksi)]],"N/A")</f>
        <v>N/A</v>
      </c>
      <c r="FY64" s="508" t="str">
        <f>IF(Reinforcements[[#This Row],[Type]]="channel",((Reinforcements[[#This Row],[c2]]*(Reinforcements[[#This Row],[λrw]]/Reinforcements[[#This Row],[λw]]))^2)*Reinforcements[[#This Row],[Fy, (ksi)]],"N/A")</f>
        <v>N/A</v>
      </c>
      <c r="FZ64"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4"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4"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4" s="508" t="str">
        <f>IF(Reinforcements[[#This Row],[Type]]="channel",Reinforcements[[#This Row],[Fcr]]*Reinforcements[[#This Row],[Ae]],"N/A")</f>
        <v>N/A</v>
      </c>
      <c r="GD64" s="462" t="str">
        <f>IF(Reinforcements[[#This Row],[Reinforcement]]="","",φ_c*Reinforcements[[#This Row],[Pnx, FB (kip)]])</f>
        <v/>
      </c>
      <c r="GE64" s="462" t="str">
        <f>IF(Reinforcements[[#This Row],[Reinforcement]]="","",IF(Reinforcements[[#This Row],[Type]]="channel",φ_c*Reinforcements[[#This Row],[Pn]],φ_c*Reinforcements[[#This Row],[Pny, FB (kip)]]))</f>
        <v/>
      </c>
      <c r="GF64" s="462" t="str">
        <f>Reinforcements[[#This Row],[Rev. G Tension Yield Capacity (kips)]]</f>
        <v/>
      </c>
      <c r="GG64" s="462" t="str">
        <f>Reinforcements[[#This Row],[Rev. G Tension Rupture Capacity (kips)]]</f>
        <v/>
      </c>
      <c r="GH64" s="462" t="str">
        <f>Reinforcements[[#This Row],[Rev. G Shear Capacity (kips)]]</f>
        <v/>
      </c>
      <c r="GI64" s="462" t="str">
        <f>IFERROR((Reinforcements[[#This Row],['# of End Connection Bolts          (Bottom)]]-1)*Reinforcements[[#This Row],[End Connection Bolt Spacing (in) (B)]],"-")</f>
        <v>-</v>
      </c>
      <c r="GJ64" s="462" t="str">
        <f>IFERROR(IF(VLOOKUP(Reinforcements[[#This Row],[Bottom End Connection Bolt Type]],Bolts[],COLUMN(Bolts[[#Headers],[Rev. H Apply Connection Length Reduction Factor (Rb)?]])-1,FALSE)="Yes",(IF(Reinforcements[[#This Row],[Lb(bottom)]]&lt;=16,1,IF(Reinforcements[[#This Row],[Lb(bottom)]]&gt;38,0.75,0.9))),1),"-")</f>
        <v>-</v>
      </c>
      <c r="GK64"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4" s="462" t="str">
        <f>IFERROR(IF(Reinforcements[[#This Row],[Top End Connection Same?]]="Yes",Reinforcements[[#This Row],[Lb(bottom)]],(Reinforcements[[#This Row],['# of End Connection Bolts          (Top)]]-1)*Reinforcements[[#This Row],[End Connection Bolt Spacing (in) (T)]]),"-")</f>
        <v>-</v>
      </c>
      <c r="GM64" s="462" t="str">
        <f>IFERROR(IF(VLOOKUP(Reinforcements[[#This Row],[Top End Connection Bolt Type]],Bolts[],COLUMN(Bolts[[#Headers],[Rev. H Apply Connection Length Reduction Factor (Rb)?]])-1,FALSE)="Yes",(IF(Reinforcements[[#This Row],[Lb(top)]]&lt;=16,1,IF(Reinforcements[[#This Row],[Lb(top)]]&gt;38,0.75,0.9))),1),"-")</f>
        <v>-</v>
      </c>
      <c r="GN64"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4" s="462" t="str">
        <f>Reinforcements[[#This Row],[Rev. G Bolt-Shaft Bearing Capacity (Bottom)                No Deformation          (*t*Fu kips)]]</f>
        <v>-</v>
      </c>
      <c r="GP64" s="462" t="str">
        <f>Reinforcements[[#This Row],[Rev. G Bolt-Shaft Bearing Capacity (Bottom)                   Deformation          (*t*Fu kips)]]</f>
        <v>-</v>
      </c>
      <c r="GQ64" s="462" t="str">
        <f>Reinforcements[[#This Row],[Rev. G Bolt-Shaft Bearing Capacity (Top)                    No Deformation          (*t*Fu kips)]]</f>
        <v>-</v>
      </c>
      <c r="GR64" s="462" t="str">
        <f>Reinforcements[[#This Row],[Rev. G Bolt-Shaft Bearing Capacity (Top)                        Deformation          (*t*Fu kips)]]</f>
        <v>-</v>
      </c>
      <c r="GS64" s="462" t="str">
        <f>Reinforcements[[#This Row],[Rev. G Bolt-Reinf. Bearing Capacity (Bottom)            No Deformation (kips)]]</f>
        <v>-</v>
      </c>
      <c r="GT64" s="462" t="str">
        <f>Reinforcements[[#This Row],[Rev. G Bolt-Reinf. Bearing Capacity (Bottom)               Deformation (kips)]]</f>
        <v>-</v>
      </c>
      <c r="GU64" s="462" t="str">
        <f>Reinforcements[[#This Row],[Rev. G Bolt-Reinf. Bearing Capacity (Top)                  No Deformation (kips)]]</f>
        <v>-</v>
      </c>
      <c r="GV64" s="462" t="str">
        <f>Reinforcements[[#This Row],[Rev. G Bolt-Reinf. Bearing Capacity (Top)               Deformation (kips)]]</f>
        <v>-</v>
      </c>
      <c r="GW64" s="462" t="str">
        <f>Reinforcements[[#This Row],[Rev. G Bottom Transverse Weld Strength]]</f>
        <v/>
      </c>
      <c r="GX64" s="462" t="str">
        <f>Reinforcements[[#This Row],[Rev. G Bottom Longitudinal Weld Strength]]</f>
        <v/>
      </c>
      <c r="GY64" s="462" t="str">
        <f>Reinforcements[[#This Row],[Rev. G Top Transverse Weld Strength]]</f>
        <v/>
      </c>
      <c r="GZ64" s="462" t="str">
        <f>Reinforcements[[#This Row],[Rev. G Top Longitudinal Weld Strength]]</f>
        <v/>
      </c>
      <c r="HA64" s="552">
        <v>62</v>
      </c>
      <c r="HB64"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5" spans="2:210" x14ac:dyDescent="0.2">
      <c r="B65" s="129"/>
      <c r="C65" s="129"/>
      <c r="D65" s="201" t="str">
        <f>IF(Reinforcements[[#This Row],[Type]]="","",IF(Reinforcements[[#This Row],[Type]]="solid round","-",""))</f>
        <v/>
      </c>
      <c r="E65" s="201" t="str">
        <f>IF(Reinforcements[[#This Row],[Type]]="","",IF(Reinforcements[[#This Row],[Type]]="solid round","-",""))</f>
        <v/>
      </c>
      <c r="F65" s="201" t="str">
        <f>IF(Reinforcements[[#This Row],[Type]]="","",IF(Reinforcements[[#This Row],[Type]]="solid round","","n/a"))</f>
        <v/>
      </c>
      <c r="G65" s="201" t="str">
        <f>IF(Reinforcements[[#This Row],[Type]]="","",IF(Reinforcements[[#This Row],[Type]]&lt;&gt;"channel","n/a",""))</f>
        <v/>
      </c>
      <c r="H65" s="201" t="str">
        <f>IF(Reinforcements[[#This Row],[Type]]="","",IF(Reinforcements[[#This Row],[Type]]&lt;&gt;"channel","n/a",""))</f>
        <v/>
      </c>
      <c r="I65" s="224" t="str">
        <f>IF(Reinforcements[[#This Row],[Type]]="","",IF(Reinforcements[[#This Row],[Type]]&lt;&gt;"channel","n/a",Reinforcements[[#This Row],[eo]]))</f>
        <v/>
      </c>
      <c r="J65" s="224" t="str">
        <f>IF(Reinforcements[[#This Row],[Type]]="","",IF(Reinforcements[[#This Row],[Type]]&lt;&gt;"channel","n/a",Reinforcements[[#This Row],[J]]))</f>
        <v/>
      </c>
      <c r="K65" s="224" t="str">
        <f>IF(Reinforcements[[#This Row],[Type]]="","",IF(Reinforcements[[#This Row],[Type]]&lt;&gt;"channel","n/a",Reinforcements[[#This Row],[Cw]]))</f>
        <v/>
      </c>
      <c r="L65" s="201" t="str">
        <f>IFERROR(IF(Reinforcements[[#This Row],[Type]]="","",IF(Reinforcements[[#This Row],[Type]]="plate",Reinforcements[[#This Row],[B (in)]]*Reinforcements[[#This Row],[H (in)]],IF(Reinforcements[[#This Row],[Type]]="solid round",PI()/4*Reinforcements[[#This Row],[Diameter (in)]]^2,""))),"")</f>
        <v/>
      </c>
      <c r="M65" s="201" t="str">
        <f>IFERROR(IF(Reinforcements[[#This Row],[Type]]="","",IF(Reinforcements[[#This Row],[Type]]="plate",Reinforcements[[#This Row],[H (in)]]/2,"")),"")</f>
        <v/>
      </c>
      <c r="N65" s="202"/>
      <c r="O65" s="203"/>
      <c r="P65" s="215" t="str">
        <f>IFERROR(IF(Reinforcements[[#This Row],[Type]]="","",IF(Reinforcements[[#This Row],[Type]]="plate",Reinforcements[[#This Row],[B (in)]]*Reinforcements[[#This Row],[H (in)]]^3/12,IF(Reinforcements[[#This Row],[Type]]="solid round",PI()/64*Reinforcements[[#This Row],[Diameter (in)]]^4,""))),"")</f>
        <v/>
      </c>
      <c r="Q65" s="215" t="str">
        <f>IF(Reinforcements[[#This Row],[Reinforcement]]="","",SQRT(Reinforcements[[#This Row],[Ix]]/Reinforcements[[#This Row],[Gross Area (in2)]]))</f>
        <v/>
      </c>
      <c r="R65" s="215" t="str">
        <f>IFERROR(IF(Reinforcements[[#This Row],[Type]]="","",IF(Reinforcements[[#This Row],[Type]]="plate",Reinforcements[[#This Row],[B (in)]]^3*Reinforcements[[#This Row],[H (in)]]/12,IF(Reinforcements[[#This Row],[Type]]="solid round",PI()/64*Reinforcements[[#This Row],[Diameter (in)]]^4,""))),"")</f>
        <v/>
      </c>
      <c r="S65" s="215" t="str">
        <f>IF(Reinforcements[[#This Row],[Reinforcement]]="","",SQRT(Reinforcements[[#This Row],[Iy]]/Reinforcements[[#This Row],[Gross Area (in2)]]))</f>
        <v/>
      </c>
      <c r="T65" s="206"/>
      <c r="U65" s="204" t="str">
        <f>IF(Reinforcements[[#This Row],[Lu (in)]]="","",IF(Reinforcements[[#This Row],[Lu (in)]]=0,1,""))</f>
        <v/>
      </c>
      <c r="V65" s="204" t="str">
        <f>IF(Reinforcements[[#This Row],[Lu (in)]]="","",IF(Reinforcements[[#This Row],[Lu (in)]]=0,1,""))</f>
        <v/>
      </c>
      <c r="W65" s="201" t="str">
        <f>IF(Reinforcements[[#This Row],[Type]]="","",IF(Reinforcements[[#This Row],[Type]]="solid round",0,IF(Reinforcements[[#This Row],[Type]]="arbitrary","n/a","")))</f>
        <v/>
      </c>
      <c r="X65" s="204" t="str">
        <f>IF(Reinforcements[[#This Row],[Bolt Hole Size (in)]]="","",IF(Reinforcements[[#This Row],[Bolt Hole Size (in)]]="n/a","n/a",Reinforcements[[#This Row],[Bolt Hole Size (in)]]*25.4))</f>
        <v/>
      </c>
      <c r="Y65"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5" s="201" t="str">
        <f>IFERROR(IF(Reinforcements[[#This Row],[Reinforcement]]="","",IF(OR(Reinforcements[[#This Row],[Type]]="plate",Reinforcements[[#This Row],[Type]]="solid round"),1,IF(Reinforcements[[#This Row],[Type]]="arbitrary","",1-Reinforcements[[#This Row],[Pole Face to Centroid (in)]]/Reinforcements[[#This Row],[Connection Length (in) '[Channels']]]))),"")</f>
        <v/>
      </c>
      <c r="AA65" s="205"/>
      <c r="AB65" s="103" t="str">
        <f>IF(Reinforcements[[#This Row],[Reinforcement]]="","",IF(Reinforcements[[#This Row],[Bottom End Connection Type]]&lt;&gt;"Capacity Input","-",""))</f>
        <v/>
      </c>
      <c r="AC65" s="103" t="str">
        <f>IF(Reinforcements[[#This Row],[Reinforcement]]="","",IF(Reinforcements[[#This Row],[Bottom End Connection Type]]&lt;&gt;"Capacity Input","-",""))</f>
        <v/>
      </c>
      <c r="AD65" s="253" t="str">
        <f>IF(Reinforcements[[#This Row],[Reinforcement]]="","",IF(Reinforcements[[#This Row],[Bottom End Connection Type]]&lt;&gt;"Capacity Input","-",""))</f>
        <v/>
      </c>
      <c r="AE65" s="103" t="str">
        <f>IF(Reinforcements[[#This Row],[Reinforcement]]="","",IF(Reinforcements[[#This Row],[Bottom End Connection Type]]&lt;&gt;"Bolted","-",""))</f>
        <v/>
      </c>
      <c r="AF65" s="206" t="str">
        <f>IF(Reinforcements[[#This Row],[Reinforcement]]="","",IF(Reinforcements[[#This Row],[Bottom End Connection Type]]&lt;&gt;"Bolted","-",""))</f>
        <v/>
      </c>
      <c r="AG65" s="206" t="str">
        <f>IF(Reinforcements[[#This Row],[Reinforcement]]="","",IF(Reinforcements[[#This Row],[Bottom End Connection Type]]="","-",IF(Reinforcements[[#This Row],[Bottom End Connection Type]]&lt;&gt;"Bolted","-","")))</f>
        <v/>
      </c>
      <c r="AH65" s="206" t="str">
        <f>IF(Reinforcements[[#This Row],[Reinforcement]]="","",IF(Reinforcements[[#This Row],[Bottom End Connection Type]]="","-",IF(Reinforcements[[#This Row],[Bottom End Connection Type]]&lt;&gt;"Bolted","-","")))</f>
        <v/>
      </c>
      <c r="AI65" s="206" t="str">
        <f>IF(Reinforcements[[#This Row],[Reinforcement]]="","",IF(Reinforcements[[#This Row],[Bottom End Connection Type]]="","-",IF(Reinforcements[[#This Row],[Bottom End Connection Type]]&lt;&gt;"Bolted","-","")))</f>
        <v/>
      </c>
      <c r="AJ65" s="206" t="e">
        <f>Reinforcements[[#This Row],[End Connection Edge Distance (in) (B)]]-(Reinforcements[[#This Row],[Bolt Hole Size (in)]]+1/16)/2</f>
        <v>#VALUE!</v>
      </c>
      <c r="AK65" s="206" t="e">
        <f>Reinforcements[[#This Row],[End Connection Bolt Spacing (in) (B)]]-(Reinforcements[[#This Row],[Bolt Hole Size (in)]]+1/16)</f>
        <v>#VALUE!</v>
      </c>
      <c r="AL65" s="206" t="str">
        <f>Reinforcements[[#This Row],[End Connection Edge Distance (in) (B)]]</f>
        <v/>
      </c>
      <c r="AM65" s="206" t="str">
        <f>Reinforcements[[#This Row],[End Connection Bolt Spacing (in) (B)]]</f>
        <v/>
      </c>
      <c r="AN65" s="206" t="str">
        <f>IF(Reinforcements[[#This Row],[Reinforcement]]="","",IF(OR(Reinforcements[[#This Row],[Bottom End Connection Type]]="Bolted",Reinforcements[[#This Row],[Bottom End Connection Type]]=""),"-",""))</f>
        <v/>
      </c>
      <c r="AO65" s="214" t="str">
        <f>IF(Reinforcements[[#This Row],[Reinforcement]]="","",IF(Reinforcements[[#This Row],[Bottom End Connection Type]]&lt;&gt;"Welded","-",""))</f>
        <v/>
      </c>
      <c r="AP65" s="214" t="str">
        <f>IF(Reinforcements[[#This Row],[Reinforcement]]="","",IF(Reinforcements[[#This Row],[Bottom End Connection Type]]&lt;&gt;"Welded","-",""))</f>
        <v/>
      </c>
      <c r="AQ65" s="214" t="str">
        <f>IF(Reinforcements[[#This Row],[Reinforcement]]="","",IF(OR(Reinforcements[[#This Row],[Bottom End Connection Type]]&lt;&gt;"Welded",Reinforcements[[#This Row],[Bottom Transverse (Horizontal) Weld]]="None"),"-",""))</f>
        <v/>
      </c>
      <c r="AR65"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5"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5" s="214" t="str">
        <f>IF(Reinforcements[[#This Row],[Reinforcement]]="","",IF(OR(Reinforcements[[#This Row],[Bottom Transverse (Horizontal) Weld]]="None",Reinforcements[[#This Row],[Bottom End Connection Type]]&lt;&gt;"Welded"),"-",""))</f>
        <v/>
      </c>
      <c r="AU65"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5" s="214" t="str">
        <f>IF(Reinforcements[[#This Row],[Reinforcement]]="","",IF(OR(Reinforcements[[#This Row],[Bottom End Connection Type]]&lt;&gt;"Welded",Reinforcements[[#This Row],[Bottom End Connection Type]]=""),"-",""))</f>
        <v/>
      </c>
      <c r="AW65" s="214" t="str">
        <f>IF(Reinforcements[[#This Row],[Reinforcement]]="","",IF(OR(Reinforcements[[#This Row],[Bottom End Connection Type]]&lt;&gt;"Welded",Reinforcements[[#This Row],[Bottom Longitudinal (Vertical) Weld]]="None",Reinforcements[[#This Row],[Bottom Longitudinal (Vertical) Weld]]=""),"-",""))</f>
        <v/>
      </c>
      <c r="AX65" s="214" t="str">
        <f>IF(Reinforcements[[#This Row],[Reinforcement]]="","",IF(OR(Reinforcements[[#This Row],[Bottom End Connection Type]]&lt;&gt;"Welded",Reinforcements[[#This Row],[Bottom Longitudinal (Vertical) Weld]]="None",Reinforcements[[#This Row],[Bottom Longitudinal (Vertical) Weld]]=""),"-",""))</f>
        <v/>
      </c>
      <c r="AY65" s="206" t="str">
        <f>IF(Reinforcements[[#This Row],[Reinforcement]]="","",IF(OR(Reinforcements[[#This Row],[Bottom End Connection Type]]&lt;&gt;"Welded",Reinforcements[[#This Row],[Bottom Longitudinal (Vertical) Weld]]="None"),"-",SQRT(2)/2*Reinforcements[[#This Row],[Bottom Longitudinal Weld Fillet Size (in)]]))</f>
        <v/>
      </c>
      <c r="AZ65" s="206"/>
      <c r="BA65" s="103" t="str">
        <f>IF(Reinforcements[[#This Row],[Top End Connection Same?]]="Yes",Reinforcements[[#This Row],[Bottom End Connection Type]],"")</f>
        <v/>
      </c>
      <c r="BB65" s="103" t="str">
        <f>IF(Reinforcements[[#This Row],[Reinforcement]]="","",IF(Reinforcements[[#This Row],[Top End Connection Same?]]="Yes",Reinforcements[[#This Row],[Rev. F Bottom Connection Capacity (kips)]],IF(Reinforcements[[#This Row],[Reinforcement]]="","",IF(Reinforcements[[#This Row],[Top End Connection Type]]&lt;&gt;"Capacity Input","-",""))))</f>
        <v/>
      </c>
      <c r="BC65" s="103" t="str">
        <f>IF(Reinforcements[[#This Row],[Reinforcement]]="","",IF(Reinforcements[[#This Row],[Top End Connection Same?]]="Yes",Reinforcements[[#This Row],[Rev. G Bottom Connection Capacity (kips)]],IF(Reinforcements[[#This Row],[Reinforcement]]="","",IF(Reinforcements[[#This Row],[Top End Connection Type]]&lt;&gt;"Capacity Input","-",""))))</f>
        <v/>
      </c>
      <c r="BD65" s="253" t="str">
        <f>IF(Reinforcements[[#This Row],[Reinforcement]]="","",IF(Reinforcements[[#This Row],[Top End Connection Same?]]="Yes",Reinforcements[[#This Row],[Rev. G Bottom Connection Capacity (kips)]],IF(Reinforcements[[#This Row],[Reinforcement]]="","",IF(Reinforcements[[#This Row],[Top End Connection Type]]&lt;&gt;"Capacity Input","-",""))))</f>
        <v/>
      </c>
      <c r="BE65" s="103" t="str">
        <f>IF(Reinforcements[[#This Row],[Reinforcement]]="","",IF(Reinforcements[[#This Row],[Top End Connection Same?]]="Yes",Reinforcements[[#This Row],[Bottom End Connection Bolt Type]],IF(Reinforcements[[#This Row],[Top End Connection Type]]&lt;&gt;"Bolted","-","")))</f>
        <v/>
      </c>
      <c r="BF65" s="206" t="str">
        <f>IF(Reinforcements[[#This Row],[Reinforcement]]="","",IF(Reinforcements[[#This Row],[Top End Connection Same?]]="Yes",Reinforcements[[#This Row],[Threads Included (N) or Excluded (X) (Bottom)]],IF(Reinforcements[[#This Row],[Top End Connection Type]]&lt;&gt;"Bolted","-","")))</f>
        <v/>
      </c>
      <c r="BG65" s="206" t="str">
        <f>IF(Reinforcements[[#This Row],[Reinforcement]]="","",IF(Reinforcements[[#This Row],[Top End Connection Same?]]="Yes",Reinforcements[[#This Row],['# of End Connection Bolts          (Bottom)]],IF(Reinforcements[[#This Row],[Top End Connection Type]]&lt;&gt;"Bolted","-","")))</f>
        <v/>
      </c>
      <c r="BH65" s="206" t="str">
        <f>IF(Reinforcements[[#This Row],[Reinforcement]]="","",IF(Reinforcements[[#This Row],[Top End Connection Same?]]="Yes",Reinforcements[[#This Row],[End Connection Bolt Spacing (in) (B)]],IF(Reinforcements[[#This Row],[Top End Connection Type]]&lt;&gt;"Bolted","-","")))</f>
        <v/>
      </c>
      <c r="BI65" s="206" t="str">
        <f>IF(Reinforcements[[#This Row],[Reinforcement]]="","",IF(Reinforcements[[#This Row],[Top End Connection Same?]]="Yes",Reinforcements[[#This Row],[End Connection Edge Distance (in) (B)]],IF(Reinforcements[[#This Row],[Top End Connection Type]]&lt;&gt;"Bolted","-","")))</f>
        <v/>
      </c>
      <c r="BJ65" s="206" t="e">
        <f>Reinforcements[[#This Row],[End Connection Edge Distance (in) (T)]]-(Reinforcements[[#This Row],[Bolt Hole Size (in)]]+1/16)/2</f>
        <v>#VALUE!</v>
      </c>
      <c r="BK65" s="206" t="e">
        <f>Reinforcements[[#This Row],[End Connection Bolt Spacing (in) (T)]]-(Reinforcements[[#This Row],[Bolt Hole Size (in)]]+1/16)</f>
        <v>#VALUE!</v>
      </c>
      <c r="BL65" s="206" t="str">
        <f>Reinforcements[[#This Row],[End Connection Edge Distance (in) (T)]]</f>
        <v/>
      </c>
      <c r="BM65" s="206" t="str">
        <f>Reinforcements[[#This Row],[End Connection Bolt Spacing (in) (T)]]</f>
        <v/>
      </c>
      <c r="BN65" s="206" t="str">
        <f>IF(Reinforcements[[#This Row],[Reinforcement]]="","",IF(Reinforcements[[#This Row],[Top End Connection Same?]]="Yes",Reinforcements[[#This Row],[Bottom Connected to Flange/Base Plate?]],IF(Reinforcements[[#This Row],[Top End Connection Type]]="Bolted","-","")))</f>
        <v/>
      </c>
      <c r="BO65" s="206" t="str">
        <f>IF(Reinforcements[[#This Row],[Reinforcement]]="","",IF(Reinforcements[[#This Row],[Top End Connection Same?]]="Yes",Reinforcements[[#This Row],[Bottom Weld Grade (ksi)]],IF(OR(Reinforcements[[#This Row],[Top End Connection Type]]&lt;&gt;"Welded",Reinforcements[[#This Row],[Top End Connection Type]]=""),"-","")))</f>
        <v/>
      </c>
      <c r="BP65" s="206" t="str">
        <f>IF($AZ65="Yes",AP65,IF(Reinforcements[[#This Row],[Reinforcement]]="","",IF(OR(Reinforcements[[#This Row],[Top End Connection Type]]&lt;&gt;"Welded",Reinforcements[[#This Row],[Top End Connection Type]]=""),"-","")))</f>
        <v/>
      </c>
      <c r="BQ65" s="206" t="str">
        <f>IF(Reinforcements[[#This Row],[Reinforcement]]="","",IF($AZ65="Yes",AQ65,IF(OR(Reinforcements[[#This Row],[Top End Connection Type]]&lt;&gt;"Welded",Reinforcements[[#This Row],[Top Transverse (Horizontal) Weld]]="none",Reinforcements[[#This Row],[Top Transverse (Horizontal) Weld]]=""),"-","")))</f>
        <v/>
      </c>
      <c r="BR65" s="206" t="str">
        <f>IF($AZ65="Yes",AR65,IF(Reinforcements[[#This Row],[Reinforcement]]="","",IF(OR(Reinforcements[[#This Row],[Top Transverse (Horizontal) Weld]]="none",Reinforcements[[#This Row],[Top End Connection Type]]&lt;&gt;"Welded",Reinforcements[[#This Row],[Top Transverse (Horizontal) Weld]]="",Reinforcements[[#This Row],[Top Transverse (Horizontal) Weld]]="Fillet"),"-","")))</f>
        <v/>
      </c>
      <c r="BS65" s="206" t="str">
        <f>IF($AZ65="Yes",AS65,IF(Reinforcements[[#This Row],[Reinforcement]]="","",IF(OR(Reinforcements[[#This Row],[Top Transverse (Horizontal) Weld]]="none",Reinforcements[[#This Row],[Top End Connection Type]]&lt;&gt;"Welded",Reinforcements[[#This Row],[Top Transverse (Horizontal) Weld]]="",Reinforcements[[#This Row],[Top Transverse (Horizontal) Weld]]="Fillet"),"-","")))</f>
        <v/>
      </c>
      <c r="BT65" s="206" t="str">
        <f>IF(Reinforcements[[#This Row],[Reinforcement]]="","",IF($AZ65="Yes",AT65,IF(OR(Reinforcements[[#This Row],[Top Transverse (Horizontal) Weld]]="none",Reinforcements[[#This Row],[Top End Connection Type]]&lt;&gt;"Welded",Reinforcements[[#This Row],[Top Transverse (Horizontal) Weld]]=""),"-","")))</f>
        <v/>
      </c>
      <c r="BU65" s="206" t="str">
        <f>IF($AZ65="Yes",AU65,IF(Reinforcements[[#This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5" s="206" t="str">
        <f>IF($AZ65="Yes",AV65,IF(Reinforcements[[#This Row],[Reinforcement]]="","",IF(OR(Reinforcements[[#This Row],[Top End Connection Type]]&lt;&gt;"Welded",Reinforcements[[#This Row],[Top End Connection Type]]=""),"-","")))</f>
        <v/>
      </c>
      <c r="BW65" s="206" t="str">
        <f>IF($AZ65="Yes",AW65,IF(Reinforcements[[#This Row],[Reinforcement]]="","",IF(OR(Reinforcements[[#This Row],[Top End Connection Type]]&lt;&gt;"Welded",Reinforcements[[#This Row],[Top End Connection Type]]="",Reinforcements[[#This Row],[Top Longitudinal (Vertical) Weld]]="",Reinforcements[[#This Row],[Top Longitudinal (Vertical) Weld]]="None"),"-","")))</f>
        <v/>
      </c>
      <c r="BX65" s="206" t="str">
        <f>IF($AZ65="Yes",AX65,IF(Reinforcements[[#This Row],[Reinforcement]]="","",IF(OR(Reinforcements[[#This Row],[Top End Connection Type]]&lt;&gt;"Welded",Reinforcements[[#This Row],[Top End Connection Type]]="",Reinforcements[[#This Row],[Top Longitudinal (Vertical) Weld]]="",Reinforcements[[#This Row],[Top Longitudinal (Vertical) Weld]]="None"),"-","")))</f>
        <v/>
      </c>
      <c r="BY65" s="206" t="str">
        <f>IF($AZ65="Yes",AY65,IF(Reinforcements[[#This Row],[Reinforcement]]="","",IF(OR(Reinforcements[[#This Row],[Top End Connection Type]]&lt;&gt;"Welded",Reinforcements[[#This Row],[Top Longitudinal (Vertical) Weld]]="none"),"-",SQRT(2)/2*Reinforcements[[#This Row],[Top Longitudinal Weld Fillet Size (in)]])))</f>
        <v/>
      </c>
      <c r="BZ65"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5"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5"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5"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5"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5" s="201" t="str">
        <f>IFERROR(IF(Reinforcements[[#This Row],[Type]]="","",Reinforcements[[#This Row],[Effective B (in)]]*Reinforcements[[#This Row],[Effective H (in)]]^3/12),"")</f>
        <v/>
      </c>
      <c r="CF65" s="201" t="str">
        <f>IFERROR(IF(Reinforcements[[#This Row],[Type]]="","",Reinforcements[[#This Row],[Effective B (in)]]^3*Reinforcements[[#This Row],[Effective H (in)]]/12),"")</f>
        <v/>
      </c>
      <c r="CG65" s="224" t="e">
        <f>SQRT(2*PI()^2*29000/VLOOKUP(Reinforcements[[#This Row],[Material]],Materials[],2,FALSE))</f>
        <v>#N/A</v>
      </c>
      <c r="CH65"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5"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5" s="215" t="e">
        <f>Reinforcements[[#This Row],[Effective Length Factor Kx]]*Reinforcements[[#This Row],[Lu (in)]]/(Reinforcements[[#This Row],[rx]]*PI())*SQRT(VLOOKUP(Reinforcements[[#This Row],[Material]],Materials[],2,FALSE)/29000)</f>
        <v>#VALUE!</v>
      </c>
      <c r="CK65" s="215" t="e">
        <f>Reinforcements[[#This Row],[Effective Length Factor Ky]]*Reinforcements[[#This Row],[Lu (in)]]/(Reinforcements[[#This Row],[ry]]*PI())*SQRT(VLOOKUP(Reinforcements[[#This Row],[Material]],Materials[],2,FALSE)/29000)</f>
        <v>#VALUE!</v>
      </c>
      <c r="CL65" s="215" t="e">
        <f>IF(Reinforcements[[#This Row],[λcx]]&lt;=1.5,0.658^(Reinforcements[[#This Row],[λcx]]^2)*Reinforcements[[#This Row],[F''y]],0.877/(Reinforcements[[#This Row],[λcx]]^2)*Reinforcements[[#This Row],[F''y]])</f>
        <v>#VALUE!</v>
      </c>
      <c r="CM65" s="215" t="e">
        <f>IF(Reinforcements[[#This Row],[λcy]]&lt;=1.5,0.658^(Reinforcements[[#This Row],[λcy]]^2)*Reinforcements[[#This Row],[F''y]],0.877/(Reinforcements[[#This Row],[λcy]]^2)*Reinforcements[[#This Row],[F''y]])</f>
        <v>#VALUE!</v>
      </c>
      <c r="CN65" s="201" t="e">
        <f>VLOOKUP(Reinforcements[[#This Row],[Material]],Materials[],2,FALSE)</f>
        <v>#N/A</v>
      </c>
      <c r="CO65" s="224" t="str">
        <f>IF(Reinforcements[[#This Row],[Reinforcement]]="","",Reinforcements[[#This Row],[Fax]]*Reinforcements[[#This Row],[Gross Area (in2)]])</f>
        <v/>
      </c>
      <c r="CP65" s="224" t="str">
        <f>IF(Reinforcements[[#This Row],[Reinforcement]]="","",Reinforcements[[#This Row],[Fay]]*Reinforcements[[#This Row],[Gross Area (in2)]])</f>
        <v/>
      </c>
      <c r="CQ65" s="224" t="str">
        <f>IF(Reinforcements[[#This Row],[Reinforcement]]="","",0.6*VLOOKUP(Reinforcements[[#This Row],[Material]],Materials[],2,FALSE)*Reinforcements[[#This Row],[Gross Area (in2)]])</f>
        <v/>
      </c>
      <c r="CR65" s="224" t="str">
        <f>IF(Reinforcements[[#This Row],[Reinforcement]]="","",0.5*VLOOKUP(Reinforcements[[#This Row],[Material]],Materials[],3,FALSE)*Reinforcements[[#This Row],[Net Area (in2)]]*Reinforcements[[#This Row],[Shear Lag (U)]])</f>
        <v/>
      </c>
      <c r="CS65" s="224" t="str">
        <f>IF(Reinforcements[[#This Row],[Reinforcement]]="","",0.4*VLOOKUP(Reinforcements[[#This Row],[Material]],Materials[],2,FALSE)*Reinforcements[[#This Row],[Gross Area (in2)]])</f>
        <v/>
      </c>
      <c r="CT65"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5"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5"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5"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5"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5"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5"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5"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5"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5"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5"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5"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5" s="206" t="str">
        <f>IF($AZ65="Yes",DD65,IF(Reinforcements[[#This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5" s="206" t="str">
        <f>IF($AZ65="Yes",DE65,IF(Reinforcements[[#This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5" s="224" t="str">
        <f>IF(Reinforcements[[#This Row],[Reinforcement]]="","",φ_c*Reinforcements[[#This Row],[Fcr,x]]*Reinforcements[[#This Row],[Gross Area (in2)]])</f>
        <v/>
      </c>
      <c r="DI65" s="224" t="str">
        <f>IF(Reinforcements[[#This Row],[Reinforcement]]="","",φ_c*Reinforcements[[#This Row],[Fcr,y]]*Reinforcements[[#This Row],[Gross Area (in2)]])</f>
        <v/>
      </c>
      <c r="DJ65" s="224" t="str">
        <f>IF(Reinforcements[[#This Row],[Reinforcement]]="","",φ_t_y*VLOOKUP(Reinforcements[[#This Row],[Material]],Materials[],2,FALSE)*Reinforcements[[#This Row],[Gross Area (in2)]])</f>
        <v/>
      </c>
      <c r="DK65" s="224" t="str">
        <f>IF(Reinforcements[[#This Row],[Reinforcement]]="","",φ_t_r*VLOOKUP(Reinforcements[[#This Row],[Material]],Materials[],3,FALSE)*Reinforcements[[#This Row],[Net Area (in2)]]*Reinforcements[[#This Row],[Shear Lag (U)]])</f>
        <v/>
      </c>
      <c r="DL65" s="224" t="str">
        <f>IF(Reinforcements[[#This Row],[Reinforcement]]="","",φ_v*0.5*Reinforcements[[#This Row],[F''y]]*Reinforcements[[#This Row],[Gross Area (in2)]])</f>
        <v/>
      </c>
      <c r="DM65"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5"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5"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5"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5"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5"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5"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5"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5"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5"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5"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5"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5" s="206" t="str">
        <f>IF($AZ65="Yes",DW65,IF(Reinforcements[[#This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5" s="206" t="str">
        <f>IF($AZ65="Yes",DX65,IF(Reinforcements[[#This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5" s="507" t="str">
        <f>IF(OR(Reinforcements[[#This Row],[Type]]="plate",Reinforcements[[#This Row],[Type]]="solid round"),"N/A",Reinforcements[[#This Row],[B (in)]])</f>
        <v/>
      </c>
      <c r="EB65" s="508" t="str">
        <f>IF(OR(Reinforcements[[#This Row],[Type]]="plate",Reinforcements[[#This Row],[Type]]="solid round"),"N/A",Reinforcements[[#This Row],[H (in)]])</f>
        <v/>
      </c>
      <c r="EC65" s="508" t="e">
        <f>IF(OR(Reinforcements[[#This Row],[Type]]="plate",Reinforcements[[#This Row],[Type]]="solid round"),"N/A",Reinforcements[[#This Row],[B (in)]]-Reinforcements[[#This Row],['[Channel'] Flange Thickness (in)]])</f>
        <v>#VALUE!</v>
      </c>
      <c r="ED65" s="508" t="str">
        <f>IF(OR(Reinforcements[[#This Row],[Type]]="plate",Reinforcements[[#This Row],[Type]]="solid round"),"N/A",Reinforcements[[#This Row],['[Channel']Web Thickness (in)]])</f>
        <v/>
      </c>
      <c r="EE65" s="508" t="str">
        <f>IF(OR(Reinforcements[[#This Row],[Type]]="plate",Reinforcements[[#This Row],[Type]]="solid round"),"N/A",Reinforcements[[#This Row],['[Channel'] Flange Thickness (in)]])</f>
        <v/>
      </c>
      <c r="EF65" s="508" t="str">
        <f>IF(Reinforcements[[#This Row],[Type]]="channel",Reinforcements[[#This Row],[Channel Flange Width, b]]/Reinforcements[[#This Row],[Channel flange thickness, tf]],"N/A")</f>
        <v>N/A</v>
      </c>
      <c r="EG65" s="508" t="str">
        <f>IF(Reinforcements[[#This Row],[Type]]="channel",Reinforcements[[#This Row],[Channel inside depth, T]]/Reinforcements[[#This Row],[Channel web thickness, tw]],"N/A")</f>
        <v>N/A</v>
      </c>
      <c r="EH65" s="252">
        <v>28993</v>
      </c>
      <c r="EI65" s="252" t="str">
        <f>IF(Reinforcements[[#This Row],[Type]]="channel",0.56*SQRT(Reinforcements[[#This Row],[E, (ksi)]]/Reinforcements[[#This Row],[Fy, (ksi)]]),"N/A")</f>
        <v>N/A</v>
      </c>
      <c r="EJ65" s="252" t="str">
        <f>IF(Reinforcements[[#This Row],[Type]]="channel",1.49*SQRT(Reinforcements[[#This Row],[E, (ksi)]]/Reinforcements[[#This Row],[Fy, (ksi)]]),"N/A")</f>
        <v>N/A</v>
      </c>
      <c r="EK65" s="252" t="e">
        <f>VLOOKUP(Reinforcements[[#This Row],[Material]],Materials!$B$2:$C$30,2,FALSE)</f>
        <v>#N/A</v>
      </c>
      <c r="EL65" s="252" t="e">
        <f>Reinforcements[[#This Row],[Lu (in)]]*Reinforcements[[#This Row],[Effective Length Factor Kx]]</f>
        <v>#VALUE!</v>
      </c>
      <c r="EM65" s="252" t="e">
        <f>Reinforcements[[#This Row],[Lu (in)]]*Reinforcements[[#This Row],[Effective Length Factor Ky]]</f>
        <v>#VALUE!</v>
      </c>
      <c r="EN65" s="252" t="str">
        <f>Reinforcements[[#This Row],[rx]]</f>
        <v/>
      </c>
      <c r="EO65" s="252" t="str">
        <f>Reinforcements[[#This Row],[ry]]</f>
        <v/>
      </c>
      <c r="EP65" s="252" t="e">
        <f>Reinforcements[[#This Row],[Lcx (in)]]/Reinforcements[[#This Row],[rx (in)]]</f>
        <v>#VALUE!</v>
      </c>
      <c r="EQ65" s="252" t="e">
        <f>Reinforcements[[#This Row],[Lcy (in)]]/Reinforcements[[#This Row],[ry (in)]]</f>
        <v>#VALUE!</v>
      </c>
      <c r="ER65" s="252" t="e">
        <f>((PI()^2)*Reinforcements[[#This Row],[E, (ksi)]])/(Reinforcements[[#This Row],[Lcx/rx]]^2)</f>
        <v>#VALUE!</v>
      </c>
      <c r="ES65" s="252" t="e">
        <f>((PI()^2)*Reinforcements[[#This Row],[E, (ksi)]])/(Reinforcements[[#This Row],[Lcy/ry]]^2)</f>
        <v>#VALUE!</v>
      </c>
      <c r="ET65" s="252" t="e">
        <f>4.71*(SQRT(Reinforcements[[#This Row],[E, (ksi)]]/Reinforcements[[#This Row],[Fy, (ksi)]]))</f>
        <v>#N/A</v>
      </c>
      <c r="EU65" s="252" t="e">
        <f>IF(Reinforcements[[#This Row],[Lcx/rx]]&lt;=Reinforcements[[#This Row],[Fcr Limit]],(0.658^(Reinforcements[[#This Row],[Fy, (ksi)]]/Reinforcements[[#This Row],[Fex, FB (ksi)]]))*Reinforcements[[#This Row],[Fy, (ksi)]],0.877*Reinforcements[[#This Row],[Fex, FB (ksi)]])</f>
        <v>#VALUE!</v>
      </c>
      <c r="EV65" s="252" t="e">
        <f>IF(Reinforcements[[#This Row],[Lcy/ry]]&lt;=Reinforcements[[#This Row],[Fcr Limit]],(0.658^(Reinforcements[[#This Row],[Fy, (ksi)]]/Reinforcements[[#This Row],[Fey, FB (ksi)]]))*Reinforcements[[#This Row],[Fy, (ksi)]],0.877*Reinforcements[[#This Row],[Fey, FB (ksi)]])</f>
        <v>#VALUE!</v>
      </c>
      <c r="EW65" s="252" t="e">
        <f>Reinforcements[[#This Row],[Fcrx (ksi)]]*Reinforcements[[#This Row],[Gross Area (in2)]]</f>
        <v>#VALUE!</v>
      </c>
      <c r="EX65" s="252" t="e">
        <f>Reinforcements[[#This Row],[Fcry (ksi)]]*Reinforcements[[#This Row],[Gross Area (in2)]]</f>
        <v>#VALUE!</v>
      </c>
      <c r="EY65" s="252" t="str">
        <f>IF(Reinforcements[[#This Row],[Type]]="channel",0,"N/A")</f>
        <v>N/A</v>
      </c>
      <c r="EZ65" s="252" t="str">
        <f>IF(Reinforcements[[#This Row],[Type]]="channel",Reinforcements[[#This Row],[Channel Flange Width, b]]-(0.5*Reinforcements[[#This Row],[Channel web thickness, tw]]),"N/A")</f>
        <v>N/A</v>
      </c>
      <c r="FA65" s="252" t="str">
        <f>IF(Reinforcements[[#This Row],[Type]]="channel",Reinforcements[[#This Row],[Channel Height, h]]-Reinforcements[[#This Row],[Channel flange thickness, tf]],"N/A")</f>
        <v>N/A</v>
      </c>
      <c r="FB65" s="252" t="str">
        <f>IF(Reinforcements[[#This Row],[Type]]="channel",Reinforcements[[#This Row],[Channel web thickness, tw]],"N/A")</f>
        <v>N/A</v>
      </c>
      <c r="FC65" s="252" t="str">
        <f>IF(Reinforcements[[#This Row],[Type]]="channel",((3*Reinforcements[[#This Row],[b]]^2)/(Reinforcements[[#This Row],[h]]+(6*Reinforcements[[#This Row],[b]])))-Reinforcements[[#This Row],[t]]/2,"N/A")</f>
        <v>N/A</v>
      </c>
      <c r="FD65" s="252" t="str">
        <f>Reinforcements[[#This Row],[Pole Face to Centroid (in)]]</f>
        <v/>
      </c>
      <c r="FE65" s="508" t="str">
        <f>IF(Reinforcements[[#This Row],[Type]]="channel",Reinforcements[[#This Row],[x(bar)]]+Reinforcements[[#This Row],['[Channel'] e0 (in)]],"N/A")</f>
        <v>N/A</v>
      </c>
      <c r="FF65" s="508" t="str">
        <f>IF(Reinforcements[[#This Row],[Type]]="channel",Reinforcements[[#This Row],[Ix]],"N/A")</f>
        <v>N/A</v>
      </c>
      <c r="FG65" s="508" t="str">
        <f>IF(Reinforcements[[#This Row],[Type]]="channel",Reinforcements[[#This Row],[Iy]],"N/A")</f>
        <v>N/A</v>
      </c>
      <c r="FH65" s="508" t="str">
        <f>IF(Reinforcements[[#This Row],[Type]]="channel",Reinforcements[[#This Row],[Gross Area (in2)]],"N/A")</f>
        <v>N/A</v>
      </c>
      <c r="FI65" s="508" t="str">
        <f>IF(Reinforcements[[#This Row],[Type]]="channel",(Reinforcements[[#This Row],[xo]]^2)+((Reinforcements[[#This Row],[Ix (FTB)]]+Reinforcements[[#This Row],[Iy (FTB)]])/Reinforcements[[#This Row],[Ag]]),"N/A")</f>
        <v>N/A</v>
      </c>
      <c r="FJ65" s="508" t="str">
        <f>IF(Reinforcements[[#This Row],[Type]]="channel",Reinforcements[[#This Row],[Lu (in)]],"N/A")</f>
        <v>N/A</v>
      </c>
      <c r="FK65" s="508" t="str">
        <f>IF(Reinforcements[[#This Row],[Type]]="channel",Reinforcements[[#This Row],[Effective Length Factor Kx]],"N/A")</f>
        <v>N/A</v>
      </c>
      <c r="FL65" s="508" t="str">
        <f>IF(Reinforcements[[#This Row],[Type]]="channel",Reinforcements[[#This Row],[Kz]]*Reinforcements[[#This Row],[Lz]],"N/A")</f>
        <v>N/A</v>
      </c>
      <c r="FM65" s="508" t="str">
        <f>IF(Reinforcements[[#This Row],[Type]]="channel",(((Reinforcements[[#This Row],[t]]^3)/3)*(Reinforcements[[#This Row],[h]]+(2*Reinforcements[[#This Row],[b]]))),"N/A")</f>
        <v>N/A</v>
      </c>
      <c r="FN65" s="508" t="str">
        <f>IF(Reinforcements[[#This Row],[Type]]="channel",(1-(((Reinforcements[[#This Row],[xo]]^2)+(Reinforcements[[#This Row],[yo]]^2))/Reinforcements[[#This Row],[ro^2(bar)]])),"N/A")</f>
        <v>N/A</v>
      </c>
      <c r="FO65" s="252">
        <v>11192</v>
      </c>
      <c r="FP65" s="508" t="str">
        <f>IF(Reinforcements[[#This Row],[Type]]="channel",(((Reinforcements[[#This Row],[h]]^2)*(Reinforcements[[#This Row],[b]]^3)*Reinforcements[[#This Row],[t]])/12)*(((2*Reinforcements[[#This Row],[h]])+(3*Reinforcements[[#This Row],[b]]))/(Reinforcements[[#This Row],[h]]+(6*Reinforcements[[#This Row],[b]]))),"N/A")</f>
        <v>N/A</v>
      </c>
      <c r="FQ65" s="508" t="str">
        <f>IF(Reinforcements[[#This Row],[Type]]="Channel",((((PI()^2)*Reinforcements[[#This Row],[E, (ksi)]]*Reinforcements[[#This Row],['[Channel'] CW (in6)]])/(Reinforcements[[#This Row],[Lcz]]^2))+(Reinforcements[[#This Row],[G]]*Reinforcements[[#This Row],['[Channel'] J (in4)]]))*(1/(Reinforcements[[#This Row],[Ag]]*Reinforcements[[#This Row],[ro^2(bar)]])),"N/A")</f>
        <v>N/A</v>
      </c>
      <c r="FR65" s="508" t="str">
        <f>IF(Reinforcements[[#This Row],[Type]]="channel",((PI()^2)*Reinforcements[[#This Row],[E, (ksi)]])/(Reinforcements[[#This Row],[Lcy/ry]]^2),"N/A")</f>
        <v>N/A</v>
      </c>
      <c r="FS65" s="508" t="str">
        <f>IF(Reinforcements[[#This Row],[Type]]="channel",((Reinforcements[[#This Row],[Fey]]+Reinforcements[[#This Row],[Fez]])/(2*Reinforcements[[#This Row],[H2]]))*(1-SQRT(1-((4*Reinforcements[[#This Row],[Fey]]*Reinforcements[[#This Row],[Fez]]*Reinforcements[[#This Row],[H2]])/(Reinforcements[[#This Row],[Fey]]+Reinforcements[[#This Row],[Fez]])^2))),"N/A")</f>
        <v>N/A</v>
      </c>
      <c r="FT65" s="508" t="str">
        <f>IF(Reinforcements[[#This Row],[Type]]="channel",IF(Reinforcements[[#This Row],[Lcx/rx]]&gt;(4.71*SQRT(Reinforcements[[#This Row],[E, (ksi)]]/Reinforcements[[#This Row],[Fy, (ksi)]])),0.877*Reinforcements[[#This Row],[Fe (FTB)]],0.658^(Reinforcements[[#This Row],[Fy, (ksi)]]/Reinforcements[[#This Row],[Fe (FTB)]])*Reinforcements[[#This Row],[Fy, (ksi)]]),"N/A")</f>
        <v>N/A</v>
      </c>
      <c r="FU65" s="508" t="str">
        <f>IF(Reinforcements[[#This Row],[Type]]="channel",MIN(Reinforcements[[#This Row],[Fcr(FTB)]],Reinforcements[[#This Row],[Fcry (ksi)]]),"N/A")</f>
        <v>N/A</v>
      </c>
      <c r="FV65" s="252">
        <v>0.22</v>
      </c>
      <c r="FW65" s="252">
        <v>1.49</v>
      </c>
      <c r="FX65" s="508" t="str">
        <f>IF(Reinforcements[[#This Row],[Type]]="channel",((Reinforcements[[#This Row],[c2]]*(Reinforcements[[#This Row],[λrf]]/Reinforcements[[#This Row],[λf]]))^2)*Reinforcements[[#This Row],[Fy, (ksi)]],"N/A")</f>
        <v>N/A</v>
      </c>
      <c r="FY65" s="508" t="str">
        <f>IF(Reinforcements[[#This Row],[Type]]="channel",((Reinforcements[[#This Row],[c2]]*(Reinforcements[[#This Row],[λrw]]/Reinforcements[[#This Row],[λw]]))^2)*Reinforcements[[#This Row],[Fy, (ksi)]],"N/A")</f>
        <v>N/A</v>
      </c>
      <c r="FZ65"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5"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5"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5" s="508" t="str">
        <f>IF(Reinforcements[[#This Row],[Type]]="channel",Reinforcements[[#This Row],[Fcr]]*Reinforcements[[#This Row],[Ae]],"N/A")</f>
        <v>N/A</v>
      </c>
      <c r="GD65" s="462" t="str">
        <f>IF(Reinforcements[[#This Row],[Reinforcement]]="","",φ_c*Reinforcements[[#This Row],[Pnx, FB (kip)]])</f>
        <v/>
      </c>
      <c r="GE65" s="462" t="str">
        <f>IF(Reinforcements[[#This Row],[Reinforcement]]="","",IF(Reinforcements[[#This Row],[Type]]="channel",φ_c*Reinforcements[[#This Row],[Pn]],φ_c*Reinforcements[[#This Row],[Pny, FB (kip)]]))</f>
        <v/>
      </c>
      <c r="GF65" s="462" t="str">
        <f>Reinforcements[[#This Row],[Rev. G Tension Yield Capacity (kips)]]</f>
        <v/>
      </c>
      <c r="GG65" s="462" t="str">
        <f>Reinforcements[[#This Row],[Rev. G Tension Rupture Capacity (kips)]]</f>
        <v/>
      </c>
      <c r="GH65" s="462" t="str">
        <f>Reinforcements[[#This Row],[Rev. G Shear Capacity (kips)]]</f>
        <v/>
      </c>
      <c r="GI65" s="462" t="str">
        <f>IFERROR((Reinforcements[[#This Row],['# of End Connection Bolts          (Bottom)]]-1)*Reinforcements[[#This Row],[End Connection Bolt Spacing (in) (B)]],"-")</f>
        <v>-</v>
      </c>
      <c r="GJ65" s="462" t="str">
        <f>IFERROR(IF(VLOOKUP(Reinforcements[[#This Row],[Bottom End Connection Bolt Type]],Bolts[],COLUMN(Bolts[[#Headers],[Rev. H Apply Connection Length Reduction Factor (Rb)?]])-1,FALSE)="Yes",(IF(Reinforcements[[#This Row],[Lb(bottom)]]&lt;=16,1,IF(Reinforcements[[#This Row],[Lb(bottom)]]&gt;38,0.75,0.9))),1),"-")</f>
        <v>-</v>
      </c>
      <c r="GK65"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5" s="462" t="str">
        <f>IFERROR(IF(Reinforcements[[#This Row],[Top End Connection Same?]]="Yes",Reinforcements[[#This Row],[Lb(bottom)]],(Reinforcements[[#This Row],['# of End Connection Bolts          (Top)]]-1)*Reinforcements[[#This Row],[End Connection Bolt Spacing (in) (T)]]),"-")</f>
        <v>-</v>
      </c>
      <c r="GM65" s="462" t="str">
        <f>IFERROR(IF(VLOOKUP(Reinforcements[[#This Row],[Top End Connection Bolt Type]],Bolts[],COLUMN(Bolts[[#Headers],[Rev. H Apply Connection Length Reduction Factor (Rb)?]])-1,FALSE)="Yes",(IF(Reinforcements[[#This Row],[Lb(top)]]&lt;=16,1,IF(Reinforcements[[#This Row],[Lb(top)]]&gt;38,0.75,0.9))),1),"-")</f>
        <v>-</v>
      </c>
      <c r="GN65"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5" s="462" t="str">
        <f>Reinforcements[[#This Row],[Rev. G Bolt-Shaft Bearing Capacity (Bottom)                No Deformation          (*t*Fu kips)]]</f>
        <v>-</v>
      </c>
      <c r="GP65" s="462" t="str">
        <f>Reinforcements[[#This Row],[Rev. G Bolt-Shaft Bearing Capacity (Bottom)                   Deformation          (*t*Fu kips)]]</f>
        <v>-</v>
      </c>
      <c r="GQ65" s="462" t="str">
        <f>Reinforcements[[#This Row],[Rev. G Bolt-Shaft Bearing Capacity (Top)                    No Deformation          (*t*Fu kips)]]</f>
        <v>-</v>
      </c>
      <c r="GR65" s="462" t="str">
        <f>Reinforcements[[#This Row],[Rev. G Bolt-Shaft Bearing Capacity (Top)                        Deformation          (*t*Fu kips)]]</f>
        <v>-</v>
      </c>
      <c r="GS65" s="462" t="str">
        <f>Reinforcements[[#This Row],[Rev. G Bolt-Reinf. Bearing Capacity (Bottom)            No Deformation (kips)]]</f>
        <v>-</v>
      </c>
      <c r="GT65" s="462" t="str">
        <f>Reinforcements[[#This Row],[Rev. G Bolt-Reinf. Bearing Capacity (Bottom)               Deformation (kips)]]</f>
        <v>-</v>
      </c>
      <c r="GU65" s="462" t="str">
        <f>Reinforcements[[#This Row],[Rev. G Bolt-Reinf. Bearing Capacity (Top)                  No Deformation (kips)]]</f>
        <v>-</v>
      </c>
      <c r="GV65" s="462" t="str">
        <f>Reinforcements[[#This Row],[Rev. G Bolt-Reinf. Bearing Capacity (Top)               Deformation (kips)]]</f>
        <v>-</v>
      </c>
      <c r="GW65" s="462" t="str">
        <f>Reinforcements[[#This Row],[Rev. G Bottom Transverse Weld Strength]]</f>
        <v/>
      </c>
      <c r="GX65" s="462" t="str">
        <f>Reinforcements[[#This Row],[Rev. G Bottom Longitudinal Weld Strength]]</f>
        <v/>
      </c>
      <c r="GY65" s="462" t="str">
        <f>Reinforcements[[#This Row],[Rev. G Top Transverse Weld Strength]]</f>
        <v/>
      </c>
      <c r="GZ65" s="462" t="str">
        <f>Reinforcements[[#This Row],[Rev. G Top Longitudinal Weld Strength]]</f>
        <v/>
      </c>
      <c r="HA65" s="552">
        <v>63</v>
      </c>
      <c r="HB65"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6" spans="2:210" x14ac:dyDescent="0.2">
      <c r="B66" s="129"/>
      <c r="C66" s="129"/>
      <c r="D66" s="201" t="str">
        <f>IF(Reinforcements[[#This Row],[Type]]="","",IF(Reinforcements[[#This Row],[Type]]="solid round","-",""))</f>
        <v/>
      </c>
      <c r="E66" s="201" t="str">
        <f>IF(Reinforcements[[#This Row],[Type]]="","",IF(Reinforcements[[#This Row],[Type]]="solid round","-",""))</f>
        <v/>
      </c>
      <c r="F66" s="201" t="str">
        <f>IF(Reinforcements[[#This Row],[Type]]="","",IF(Reinforcements[[#This Row],[Type]]="solid round","","n/a"))</f>
        <v/>
      </c>
      <c r="G66" s="201" t="str">
        <f>IF(Reinforcements[[#This Row],[Type]]="","",IF(Reinforcements[[#This Row],[Type]]&lt;&gt;"channel","n/a",""))</f>
        <v/>
      </c>
      <c r="H66" s="201" t="str">
        <f>IF(Reinforcements[[#This Row],[Type]]="","",IF(Reinforcements[[#This Row],[Type]]&lt;&gt;"channel","n/a",""))</f>
        <v/>
      </c>
      <c r="I66" s="224" t="str">
        <f>IF(Reinforcements[[#This Row],[Type]]="","",IF(Reinforcements[[#This Row],[Type]]&lt;&gt;"channel","n/a",Reinforcements[[#This Row],[eo]]))</f>
        <v/>
      </c>
      <c r="J66" s="224" t="str">
        <f>IF(Reinforcements[[#This Row],[Type]]="","",IF(Reinforcements[[#This Row],[Type]]&lt;&gt;"channel","n/a",Reinforcements[[#This Row],[J]]))</f>
        <v/>
      </c>
      <c r="K66" s="224" t="str">
        <f>IF(Reinforcements[[#This Row],[Type]]="","",IF(Reinforcements[[#This Row],[Type]]&lt;&gt;"channel","n/a",Reinforcements[[#This Row],[Cw]]))</f>
        <v/>
      </c>
      <c r="L66" s="201" t="str">
        <f>IFERROR(IF(Reinforcements[[#This Row],[Type]]="","",IF(Reinforcements[[#This Row],[Type]]="plate",Reinforcements[[#This Row],[B (in)]]*Reinforcements[[#This Row],[H (in)]],IF(Reinforcements[[#This Row],[Type]]="solid round",PI()/4*Reinforcements[[#This Row],[Diameter (in)]]^2,""))),"")</f>
        <v/>
      </c>
      <c r="M66" s="201" t="str">
        <f>IFERROR(IF(Reinforcements[[#This Row],[Type]]="","",IF(Reinforcements[[#This Row],[Type]]="plate",Reinforcements[[#This Row],[H (in)]]/2,"")),"")</f>
        <v/>
      </c>
      <c r="N66" s="202"/>
      <c r="O66" s="203"/>
      <c r="P66" s="215" t="str">
        <f>IFERROR(IF(Reinforcements[[#This Row],[Type]]="","",IF(Reinforcements[[#This Row],[Type]]="plate",Reinforcements[[#This Row],[B (in)]]*Reinforcements[[#This Row],[H (in)]]^3/12,IF(Reinforcements[[#This Row],[Type]]="solid round",PI()/64*Reinforcements[[#This Row],[Diameter (in)]]^4,""))),"")</f>
        <v/>
      </c>
      <c r="Q66" s="215" t="str">
        <f>IF(Reinforcements[[#This Row],[Reinforcement]]="","",SQRT(Reinforcements[[#This Row],[Ix]]/Reinforcements[[#This Row],[Gross Area (in2)]]))</f>
        <v/>
      </c>
      <c r="R66" s="215" t="str">
        <f>IFERROR(IF(Reinforcements[[#This Row],[Type]]="","",IF(Reinforcements[[#This Row],[Type]]="plate",Reinforcements[[#This Row],[B (in)]]^3*Reinforcements[[#This Row],[H (in)]]/12,IF(Reinforcements[[#This Row],[Type]]="solid round",PI()/64*Reinforcements[[#This Row],[Diameter (in)]]^4,""))),"")</f>
        <v/>
      </c>
      <c r="S66" s="215" t="str">
        <f>IF(Reinforcements[[#This Row],[Reinforcement]]="","",SQRT(Reinforcements[[#This Row],[Iy]]/Reinforcements[[#This Row],[Gross Area (in2)]]))</f>
        <v/>
      </c>
      <c r="T66" s="206"/>
      <c r="U66" s="204" t="str">
        <f>IF(Reinforcements[[#This Row],[Lu (in)]]="","",IF(Reinforcements[[#This Row],[Lu (in)]]=0,1,""))</f>
        <v/>
      </c>
      <c r="V66" s="204" t="str">
        <f>IF(Reinforcements[[#This Row],[Lu (in)]]="","",IF(Reinforcements[[#This Row],[Lu (in)]]=0,1,""))</f>
        <v/>
      </c>
      <c r="W66" s="201" t="str">
        <f>IF(Reinforcements[[#This Row],[Type]]="","",IF(Reinforcements[[#This Row],[Type]]="solid round",0,IF(Reinforcements[[#This Row],[Type]]="arbitrary","n/a","")))</f>
        <v/>
      </c>
      <c r="X66" s="204" t="str">
        <f>IF(Reinforcements[[#This Row],[Bolt Hole Size (in)]]="","",IF(Reinforcements[[#This Row],[Bolt Hole Size (in)]]="n/a","n/a",Reinforcements[[#This Row],[Bolt Hole Size (in)]]*25.4))</f>
        <v/>
      </c>
      <c r="Y66"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6" s="201" t="str">
        <f>IFERROR(IF(Reinforcements[[#This Row],[Reinforcement]]="","",IF(OR(Reinforcements[[#This Row],[Type]]="plate",Reinforcements[[#This Row],[Type]]="solid round"),1,IF(Reinforcements[[#This Row],[Type]]="arbitrary","",1-Reinforcements[[#This Row],[Pole Face to Centroid (in)]]/Reinforcements[[#This Row],[Connection Length (in) '[Channels']]]))),"")</f>
        <v/>
      </c>
      <c r="AA66" s="205"/>
      <c r="AB66" s="103" t="str">
        <f>IF(Reinforcements[[#This Row],[Reinforcement]]="","",IF(Reinforcements[[#This Row],[Bottom End Connection Type]]&lt;&gt;"Capacity Input","-",""))</f>
        <v/>
      </c>
      <c r="AC66" s="103" t="str">
        <f>IF(Reinforcements[[#This Row],[Reinforcement]]="","",IF(Reinforcements[[#This Row],[Bottom End Connection Type]]&lt;&gt;"Capacity Input","-",""))</f>
        <v/>
      </c>
      <c r="AD66" s="253" t="str">
        <f>IF(Reinforcements[[#This Row],[Reinforcement]]="","",IF(Reinforcements[[#This Row],[Bottom End Connection Type]]&lt;&gt;"Capacity Input","-",""))</f>
        <v/>
      </c>
      <c r="AE66" s="103" t="str">
        <f>IF(Reinforcements[[#This Row],[Reinforcement]]="","",IF(Reinforcements[[#This Row],[Bottom End Connection Type]]&lt;&gt;"Bolted","-",""))</f>
        <v/>
      </c>
      <c r="AF66" s="206" t="str">
        <f>IF(Reinforcements[[#This Row],[Reinforcement]]="","",IF(Reinforcements[[#This Row],[Bottom End Connection Type]]&lt;&gt;"Bolted","-",""))</f>
        <v/>
      </c>
      <c r="AG66" s="206" t="str">
        <f>IF(Reinforcements[[#This Row],[Reinforcement]]="","",IF(Reinforcements[[#This Row],[Bottom End Connection Type]]="","-",IF(Reinforcements[[#This Row],[Bottom End Connection Type]]&lt;&gt;"Bolted","-","")))</f>
        <v/>
      </c>
      <c r="AH66" s="206" t="str">
        <f>IF(Reinforcements[[#This Row],[Reinforcement]]="","",IF(Reinforcements[[#This Row],[Bottom End Connection Type]]="","-",IF(Reinforcements[[#This Row],[Bottom End Connection Type]]&lt;&gt;"Bolted","-","")))</f>
        <v/>
      </c>
      <c r="AI66" s="206" t="str">
        <f>IF(Reinforcements[[#This Row],[Reinforcement]]="","",IF(Reinforcements[[#This Row],[Bottom End Connection Type]]="","-",IF(Reinforcements[[#This Row],[Bottom End Connection Type]]&lt;&gt;"Bolted","-","")))</f>
        <v/>
      </c>
      <c r="AJ66" s="206" t="e">
        <f>Reinforcements[[#This Row],[End Connection Edge Distance (in) (B)]]-(Reinforcements[[#This Row],[Bolt Hole Size (in)]]+1/16)/2</f>
        <v>#VALUE!</v>
      </c>
      <c r="AK66" s="206" t="e">
        <f>Reinforcements[[#This Row],[End Connection Bolt Spacing (in) (B)]]-(Reinforcements[[#This Row],[Bolt Hole Size (in)]]+1/16)</f>
        <v>#VALUE!</v>
      </c>
      <c r="AL66" s="206" t="str">
        <f>Reinforcements[[#This Row],[End Connection Edge Distance (in) (B)]]</f>
        <v/>
      </c>
      <c r="AM66" s="206" t="str">
        <f>Reinforcements[[#This Row],[End Connection Bolt Spacing (in) (B)]]</f>
        <v/>
      </c>
      <c r="AN66" s="206" t="str">
        <f>IF(Reinforcements[[#This Row],[Reinforcement]]="","",IF(OR(Reinforcements[[#This Row],[Bottom End Connection Type]]="Bolted",Reinforcements[[#This Row],[Bottom End Connection Type]]=""),"-",""))</f>
        <v/>
      </c>
      <c r="AO66" s="214" t="str">
        <f>IF(Reinforcements[[#This Row],[Reinforcement]]="","",IF(Reinforcements[[#This Row],[Bottom End Connection Type]]&lt;&gt;"Welded","-",""))</f>
        <v/>
      </c>
      <c r="AP66" s="214" t="str">
        <f>IF(Reinforcements[[#This Row],[Reinforcement]]="","",IF(Reinforcements[[#This Row],[Bottom End Connection Type]]&lt;&gt;"Welded","-",""))</f>
        <v/>
      </c>
      <c r="AQ66" s="214" t="str">
        <f>IF(Reinforcements[[#This Row],[Reinforcement]]="","",IF(OR(Reinforcements[[#This Row],[Bottom End Connection Type]]&lt;&gt;"Welded",Reinforcements[[#This Row],[Bottom Transverse (Horizontal) Weld]]="None"),"-",""))</f>
        <v/>
      </c>
      <c r="AR66"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6"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6" s="214" t="str">
        <f>IF(Reinforcements[[#This Row],[Reinforcement]]="","",IF(OR(Reinforcements[[#This Row],[Bottom Transverse (Horizontal) Weld]]="None",Reinforcements[[#This Row],[Bottom End Connection Type]]&lt;&gt;"Welded"),"-",""))</f>
        <v/>
      </c>
      <c r="AU66"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6" s="214" t="str">
        <f>IF(Reinforcements[[#This Row],[Reinforcement]]="","",IF(OR(Reinforcements[[#This Row],[Bottom End Connection Type]]&lt;&gt;"Welded",Reinforcements[[#This Row],[Bottom End Connection Type]]=""),"-",""))</f>
        <v/>
      </c>
      <c r="AW66" s="214" t="str">
        <f>IF(Reinforcements[[#This Row],[Reinforcement]]="","",IF(OR(Reinforcements[[#This Row],[Bottom End Connection Type]]&lt;&gt;"Welded",Reinforcements[[#This Row],[Bottom Longitudinal (Vertical) Weld]]="None",Reinforcements[[#This Row],[Bottom Longitudinal (Vertical) Weld]]=""),"-",""))</f>
        <v/>
      </c>
      <c r="AX66" s="214" t="str">
        <f>IF(Reinforcements[[#This Row],[Reinforcement]]="","",IF(OR(Reinforcements[[#This Row],[Bottom End Connection Type]]&lt;&gt;"Welded",Reinforcements[[#This Row],[Bottom Longitudinal (Vertical) Weld]]="None",Reinforcements[[#This Row],[Bottom Longitudinal (Vertical) Weld]]=""),"-",""))</f>
        <v/>
      </c>
      <c r="AY66" s="206" t="str">
        <f>IF(Reinforcements[[#This Row],[Reinforcement]]="","",IF(OR(Reinforcements[[#This Row],[Bottom End Connection Type]]&lt;&gt;"Welded",Reinforcements[[#This Row],[Bottom Longitudinal (Vertical) Weld]]="None"),"-",SQRT(2)/2*Reinforcements[[#This Row],[Bottom Longitudinal Weld Fillet Size (in)]]))</f>
        <v/>
      </c>
      <c r="AZ66" s="206"/>
      <c r="BA66" s="103" t="str">
        <f>IF(Reinforcements[[#This Row],[Top End Connection Same?]]="Yes",Reinforcements[[#This Row],[Bottom End Connection Type]],"")</f>
        <v/>
      </c>
      <c r="BB66" s="103" t="str">
        <f>IF(Reinforcements[[#This Row],[Reinforcement]]="","",IF(Reinforcements[[#This Row],[Top End Connection Same?]]="Yes",Reinforcements[[#This Row],[Rev. F Bottom Connection Capacity (kips)]],IF(Reinforcements[[#This Row],[Reinforcement]]="","",IF(Reinforcements[[#This Row],[Top End Connection Type]]&lt;&gt;"Capacity Input","-",""))))</f>
        <v/>
      </c>
      <c r="BC66" s="103" t="str">
        <f>IF(Reinforcements[[#This Row],[Reinforcement]]="","",IF(Reinforcements[[#This Row],[Top End Connection Same?]]="Yes",Reinforcements[[#This Row],[Rev. G Bottom Connection Capacity (kips)]],IF(Reinforcements[[#This Row],[Reinforcement]]="","",IF(Reinforcements[[#This Row],[Top End Connection Type]]&lt;&gt;"Capacity Input","-",""))))</f>
        <v/>
      </c>
      <c r="BD66" s="253" t="str">
        <f>IF(Reinforcements[[#This Row],[Reinforcement]]="","",IF(Reinforcements[[#This Row],[Top End Connection Same?]]="Yes",Reinforcements[[#This Row],[Rev. G Bottom Connection Capacity (kips)]],IF(Reinforcements[[#This Row],[Reinforcement]]="","",IF(Reinforcements[[#This Row],[Top End Connection Type]]&lt;&gt;"Capacity Input","-",""))))</f>
        <v/>
      </c>
      <c r="BE66" s="103" t="str">
        <f>IF(Reinforcements[[#This Row],[Reinforcement]]="","",IF(Reinforcements[[#This Row],[Top End Connection Same?]]="Yes",Reinforcements[[#This Row],[Bottom End Connection Bolt Type]],IF(Reinforcements[[#This Row],[Top End Connection Type]]&lt;&gt;"Bolted","-","")))</f>
        <v/>
      </c>
      <c r="BF66" s="206" t="str">
        <f>IF(Reinforcements[[#This Row],[Reinforcement]]="","",IF(Reinforcements[[#This Row],[Top End Connection Same?]]="Yes",Reinforcements[[#This Row],[Threads Included (N) or Excluded (X) (Bottom)]],IF(Reinforcements[[#This Row],[Top End Connection Type]]&lt;&gt;"Bolted","-","")))</f>
        <v/>
      </c>
      <c r="BG66" s="206" t="str">
        <f>IF(Reinforcements[[#This Row],[Reinforcement]]="","",IF(Reinforcements[[#This Row],[Top End Connection Same?]]="Yes",Reinforcements[[#This Row],['# of End Connection Bolts          (Bottom)]],IF(Reinforcements[[#This Row],[Top End Connection Type]]&lt;&gt;"Bolted","-","")))</f>
        <v/>
      </c>
      <c r="BH66" s="206" t="str">
        <f>IF(Reinforcements[[#This Row],[Reinforcement]]="","",IF(Reinforcements[[#This Row],[Top End Connection Same?]]="Yes",Reinforcements[[#This Row],[End Connection Bolt Spacing (in) (B)]],IF(Reinforcements[[#This Row],[Top End Connection Type]]&lt;&gt;"Bolted","-","")))</f>
        <v/>
      </c>
      <c r="BI66" s="206" t="str">
        <f>IF(Reinforcements[[#This Row],[Reinforcement]]="","",IF(Reinforcements[[#This Row],[Top End Connection Same?]]="Yes",Reinforcements[[#This Row],[End Connection Edge Distance (in) (B)]],IF(Reinforcements[[#This Row],[Top End Connection Type]]&lt;&gt;"Bolted","-","")))</f>
        <v/>
      </c>
      <c r="BJ66" s="206" t="e">
        <f>Reinforcements[[#This Row],[End Connection Edge Distance (in) (T)]]-(Reinforcements[[#This Row],[Bolt Hole Size (in)]]+1/16)/2</f>
        <v>#VALUE!</v>
      </c>
      <c r="BK66" s="206" t="e">
        <f>Reinforcements[[#This Row],[End Connection Bolt Spacing (in) (T)]]-(Reinforcements[[#This Row],[Bolt Hole Size (in)]]+1/16)</f>
        <v>#VALUE!</v>
      </c>
      <c r="BL66" s="206" t="str">
        <f>Reinforcements[[#This Row],[End Connection Edge Distance (in) (T)]]</f>
        <v/>
      </c>
      <c r="BM66" s="206" t="str">
        <f>Reinforcements[[#This Row],[End Connection Bolt Spacing (in) (T)]]</f>
        <v/>
      </c>
      <c r="BN66" s="206" t="str">
        <f>IF(Reinforcements[[#This Row],[Reinforcement]]="","",IF(Reinforcements[[#This Row],[Top End Connection Same?]]="Yes",Reinforcements[[#This Row],[Bottom Connected to Flange/Base Plate?]],IF(Reinforcements[[#This Row],[Top End Connection Type]]="Bolted","-","")))</f>
        <v/>
      </c>
      <c r="BO66" s="206" t="str">
        <f>IF(Reinforcements[[#This Row],[Reinforcement]]="","",IF(Reinforcements[[#This Row],[Top End Connection Same?]]="Yes",Reinforcements[[#This Row],[Bottom Weld Grade (ksi)]],IF(OR(Reinforcements[[#This Row],[Top End Connection Type]]&lt;&gt;"Welded",Reinforcements[[#This Row],[Top End Connection Type]]=""),"-","")))</f>
        <v/>
      </c>
      <c r="BP66" s="206" t="str">
        <f>IF($AZ66="Yes",AP66,IF(Reinforcements[[#This Row],[Reinforcement]]="","",IF(OR(Reinforcements[[#This Row],[Top End Connection Type]]&lt;&gt;"Welded",Reinforcements[[#This Row],[Top End Connection Type]]=""),"-","")))</f>
        <v/>
      </c>
      <c r="BQ66" s="206" t="str">
        <f>IF(Reinforcements[[#This Row],[Reinforcement]]="","",IF($AZ66="Yes",AQ66,IF(OR(Reinforcements[[#This Row],[Top End Connection Type]]&lt;&gt;"Welded",Reinforcements[[#This Row],[Top Transverse (Horizontal) Weld]]="none",Reinforcements[[#This Row],[Top Transverse (Horizontal) Weld]]=""),"-","")))</f>
        <v/>
      </c>
      <c r="BR66" s="206" t="str">
        <f>IF($AZ66="Yes",AR66,IF(Reinforcements[[#This Row],[Reinforcement]]="","",IF(OR(Reinforcements[[#This Row],[Top Transverse (Horizontal) Weld]]="none",Reinforcements[[#This Row],[Top End Connection Type]]&lt;&gt;"Welded",Reinforcements[[#This Row],[Top Transverse (Horizontal) Weld]]="",Reinforcements[[#This Row],[Top Transverse (Horizontal) Weld]]="Fillet"),"-","")))</f>
        <v/>
      </c>
      <c r="BS66" s="206" t="str">
        <f>IF($AZ66="Yes",AS66,IF(Reinforcements[[#This Row],[Reinforcement]]="","",IF(OR(Reinforcements[[#This Row],[Top Transverse (Horizontal) Weld]]="none",Reinforcements[[#This Row],[Top End Connection Type]]&lt;&gt;"Welded",Reinforcements[[#This Row],[Top Transverse (Horizontal) Weld]]="",Reinforcements[[#This Row],[Top Transverse (Horizontal) Weld]]="Fillet"),"-","")))</f>
        <v/>
      </c>
      <c r="BT66" s="206" t="str">
        <f>IF(Reinforcements[[#This Row],[Reinforcement]]="","",IF($AZ66="Yes",AT66,IF(OR(Reinforcements[[#This Row],[Top Transverse (Horizontal) Weld]]="none",Reinforcements[[#This Row],[Top End Connection Type]]&lt;&gt;"Welded",Reinforcements[[#This Row],[Top Transverse (Horizontal) Weld]]=""),"-","")))</f>
        <v/>
      </c>
      <c r="BU66" s="206" t="str">
        <f>IF($AZ66="Yes",AU66,IF(Reinforcements[[#This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6" s="206" t="str">
        <f>IF($AZ66="Yes",AV66,IF(Reinforcements[[#This Row],[Reinforcement]]="","",IF(OR(Reinforcements[[#This Row],[Top End Connection Type]]&lt;&gt;"Welded",Reinforcements[[#This Row],[Top End Connection Type]]=""),"-","")))</f>
        <v/>
      </c>
      <c r="BW66" s="206" t="str">
        <f>IF($AZ66="Yes",AW66,IF(Reinforcements[[#This Row],[Reinforcement]]="","",IF(OR(Reinforcements[[#This Row],[Top End Connection Type]]&lt;&gt;"Welded",Reinforcements[[#This Row],[Top End Connection Type]]="",Reinforcements[[#This Row],[Top Longitudinal (Vertical) Weld]]="",Reinforcements[[#This Row],[Top Longitudinal (Vertical) Weld]]="None"),"-","")))</f>
        <v/>
      </c>
      <c r="BX66" s="206" t="str">
        <f>IF($AZ66="Yes",AX66,IF(Reinforcements[[#This Row],[Reinforcement]]="","",IF(OR(Reinforcements[[#This Row],[Top End Connection Type]]&lt;&gt;"Welded",Reinforcements[[#This Row],[Top End Connection Type]]="",Reinforcements[[#This Row],[Top Longitudinal (Vertical) Weld]]="",Reinforcements[[#This Row],[Top Longitudinal (Vertical) Weld]]="None"),"-","")))</f>
        <v/>
      </c>
      <c r="BY66" s="206" t="str">
        <f>IF($AZ66="Yes",AY66,IF(Reinforcements[[#This Row],[Reinforcement]]="","",IF(OR(Reinforcements[[#This Row],[Top End Connection Type]]&lt;&gt;"Welded",Reinforcements[[#This Row],[Top Longitudinal (Vertical) Weld]]="none"),"-",SQRT(2)/2*Reinforcements[[#This Row],[Top Longitudinal Weld Fillet Size (in)]])))</f>
        <v/>
      </c>
      <c r="BZ66"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6"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6"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6"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6"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6" s="201" t="str">
        <f>IFERROR(IF(Reinforcements[[#This Row],[Type]]="","",Reinforcements[[#This Row],[Effective B (in)]]*Reinforcements[[#This Row],[Effective H (in)]]^3/12),"")</f>
        <v/>
      </c>
      <c r="CF66" s="201" t="str">
        <f>IFERROR(IF(Reinforcements[[#This Row],[Type]]="","",Reinforcements[[#This Row],[Effective B (in)]]^3*Reinforcements[[#This Row],[Effective H (in)]]/12),"")</f>
        <v/>
      </c>
      <c r="CG66" s="224" t="e">
        <f>SQRT(2*PI()^2*29000/VLOOKUP(Reinforcements[[#This Row],[Material]],Materials[],2,FALSE))</f>
        <v>#N/A</v>
      </c>
      <c r="CH66"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6"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6" s="215" t="e">
        <f>Reinforcements[[#This Row],[Effective Length Factor Kx]]*Reinforcements[[#This Row],[Lu (in)]]/(Reinforcements[[#This Row],[rx]]*PI())*SQRT(VLOOKUP(Reinforcements[[#This Row],[Material]],Materials[],2,FALSE)/29000)</f>
        <v>#VALUE!</v>
      </c>
      <c r="CK66" s="215" t="e">
        <f>Reinforcements[[#This Row],[Effective Length Factor Ky]]*Reinforcements[[#This Row],[Lu (in)]]/(Reinforcements[[#This Row],[ry]]*PI())*SQRT(VLOOKUP(Reinforcements[[#This Row],[Material]],Materials[],2,FALSE)/29000)</f>
        <v>#VALUE!</v>
      </c>
      <c r="CL66" s="215" t="e">
        <f>IF(Reinforcements[[#This Row],[λcx]]&lt;=1.5,0.658^(Reinforcements[[#This Row],[λcx]]^2)*Reinforcements[[#This Row],[F''y]],0.877/(Reinforcements[[#This Row],[λcx]]^2)*Reinforcements[[#This Row],[F''y]])</f>
        <v>#VALUE!</v>
      </c>
      <c r="CM66" s="215" t="e">
        <f>IF(Reinforcements[[#This Row],[λcy]]&lt;=1.5,0.658^(Reinforcements[[#This Row],[λcy]]^2)*Reinforcements[[#This Row],[F''y]],0.877/(Reinforcements[[#This Row],[λcy]]^2)*Reinforcements[[#This Row],[F''y]])</f>
        <v>#VALUE!</v>
      </c>
      <c r="CN66" s="201" t="e">
        <f>VLOOKUP(Reinforcements[[#This Row],[Material]],Materials[],2,FALSE)</f>
        <v>#N/A</v>
      </c>
      <c r="CO66" s="224" t="str">
        <f>IF(Reinforcements[[#This Row],[Reinforcement]]="","",Reinforcements[[#This Row],[Fax]]*Reinforcements[[#This Row],[Gross Area (in2)]])</f>
        <v/>
      </c>
      <c r="CP66" s="224" t="str">
        <f>IF(Reinforcements[[#This Row],[Reinforcement]]="","",Reinforcements[[#This Row],[Fay]]*Reinforcements[[#This Row],[Gross Area (in2)]])</f>
        <v/>
      </c>
      <c r="CQ66" s="224" t="str">
        <f>IF(Reinforcements[[#This Row],[Reinforcement]]="","",0.6*VLOOKUP(Reinforcements[[#This Row],[Material]],Materials[],2,FALSE)*Reinforcements[[#This Row],[Gross Area (in2)]])</f>
        <v/>
      </c>
      <c r="CR66" s="224" t="str">
        <f>IF(Reinforcements[[#This Row],[Reinforcement]]="","",0.5*VLOOKUP(Reinforcements[[#This Row],[Material]],Materials[],3,FALSE)*Reinforcements[[#This Row],[Net Area (in2)]]*Reinforcements[[#This Row],[Shear Lag (U)]])</f>
        <v/>
      </c>
      <c r="CS66" s="224" t="str">
        <f>IF(Reinforcements[[#This Row],[Reinforcement]]="","",0.4*VLOOKUP(Reinforcements[[#This Row],[Material]],Materials[],2,FALSE)*Reinforcements[[#This Row],[Gross Area (in2)]])</f>
        <v/>
      </c>
      <c r="CT66"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6"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6"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6"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6"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6"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6"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6"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6"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6"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6"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6"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6" s="206" t="str">
        <f>IF($AZ66="Yes",DD66,IF(Reinforcements[[#This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6" s="206" t="str">
        <f>IF($AZ66="Yes",DE66,IF(Reinforcements[[#This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6" s="224" t="str">
        <f>IF(Reinforcements[[#This Row],[Reinforcement]]="","",φ_c*Reinforcements[[#This Row],[Fcr,x]]*Reinforcements[[#This Row],[Gross Area (in2)]])</f>
        <v/>
      </c>
      <c r="DI66" s="224" t="str">
        <f>IF(Reinforcements[[#This Row],[Reinforcement]]="","",φ_c*Reinforcements[[#This Row],[Fcr,y]]*Reinforcements[[#This Row],[Gross Area (in2)]])</f>
        <v/>
      </c>
      <c r="DJ66" s="224" t="str">
        <f>IF(Reinforcements[[#This Row],[Reinforcement]]="","",φ_t_y*VLOOKUP(Reinforcements[[#This Row],[Material]],Materials[],2,FALSE)*Reinforcements[[#This Row],[Gross Area (in2)]])</f>
        <v/>
      </c>
      <c r="DK66" s="224" t="str">
        <f>IF(Reinforcements[[#This Row],[Reinforcement]]="","",φ_t_r*VLOOKUP(Reinforcements[[#This Row],[Material]],Materials[],3,FALSE)*Reinforcements[[#This Row],[Net Area (in2)]]*Reinforcements[[#This Row],[Shear Lag (U)]])</f>
        <v/>
      </c>
      <c r="DL66" s="224" t="str">
        <f>IF(Reinforcements[[#This Row],[Reinforcement]]="","",φ_v*0.5*Reinforcements[[#This Row],[F''y]]*Reinforcements[[#This Row],[Gross Area (in2)]])</f>
        <v/>
      </c>
      <c r="DM66"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6"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6"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6"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6"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6"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6"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6"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6"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6"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6"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6"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6" s="206" t="str">
        <f>IF($AZ66="Yes",DW66,IF(Reinforcements[[#This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6" s="206" t="str">
        <f>IF($AZ66="Yes",DX66,IF(Reinforcements[[#This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6" s="507" t="str">
        <f>IF(OR(Reinforcements[[#This Row],[Type]]="plate",Reinforcements[[#This Row],[Type]]="solid round"),"N/A",Reinforcements[[#This Row],[B (in)]])</f>
        <v/>
      </c>
      <c r="EB66" s="508" t="str">
        <f>IF(OR(Reinforcements[[#This Row],[Type]]="plate",Reinforcements[[#This Row],[Type]]="solid round"),"N/A",Reinforcements[[#This Row],[H (in)]])</f>
        <v/>
      </c>
      <c r="EC66" s="508" t="e">
        <f>IF(OR(Reinforcements[[#This Row],[Type]]="plate",Reinforcements[[#This Row],[Type]]="solid round"),"N/A",Reinforcements[[#This Row],[B (in)]]-Reinforcements[[#This Row],['[Channel'] Flange Thickness (in)]])</f>
        <v>#VALUE!</v>
      </c>
      <c r="ED66" s="508" t="str">
        <f>IF(OR(Reinforcements[[#This Row],[Type]]="plate",Reinforcements[[#This Row],[Type]]="solid round"),"N/A",Reinforcements[[#This Row],['[Channel']Web Thickness (in)]])</f>
        <v/>
      </c>
      <c r="EE66" s="508" t="str">
        <f>IF(OR(Reinforcements[[#This Row],[Type]]="plate",Reinforcements[[#This Row],[Type]]="solid round"),"N/A",Reinforcements[[#This Row],['[Channel'] Flange Thickness (in)]])</f>
        <v/>
      </c>
      <c r="EF66" s="508" t="str">
        <f>IF(Reinforcements[[#This Row],[Type]]="channel",Reinforcements[[#This Row],[Channel Flange Width, b]]/Reinforcements[[#This Row],[Channel flange thickness, tf]],"N/A")</f>
        <v>N/A</v>
      </c>
      <c r="EG66" s="508" t="str">
        <f>IF(Reinforcements[[#This Row],[Type]]="channel",Reinforcements[[#This Row],[Channel inside depth, T]]/Reinforcements[[#This Row],[Channel web thickness, tw]],"N/A")</f>
        <v>N/A</v>
      </c>
      <c r="EH66" s="252">
        <v>28994</v>
      </c>
      <c r="EI66" s="252" t="str">
        <f>IF(Reinforcements[[#This Row],[Type]]="channel",0.56*SQRT(Reinforcements[[#This Row],[E, (ksi)]]/Reinforcements[[#This Row],[Fy, (ksi)]]),"N/A")</f>
        <v>N/A</v>
      </c>
      <c r="EJ66" s="252" t="str">
        <f>IF(Reinforcements[[#This Row],[Type]]="channel",1.49*SQRT(Reinforcements[[#This Row],[E, (ksi)]]/Reinforcements[[#This Row],[Fy, (ksi)]]),"N/A")</f>
        <v>N/A</v>
      </c>
      <c r="EK66" s="252" t="e">
        <f>VLOOKUP(Reinforcements[[#This Row],[Material]],Materials!$B$2:$C$30,2,FALSE)</f>
        <v>#N/A</v>
      </c>
      <c r="EL66" s="252" t="e">
        <f>Reinforcements[[#This Row],[Lu (in)]]*Reinforcements[[#This Row],[Effective Length Factor Kx]]</f>
        <v>#VALUE!</v>
      </c>
      <c r="EM66" s="252" t="e">
        <f>Reinforcements[[#This Row],[Lu (in)]]*Reinforcements[[#This Row],[Effective Length Factor Ky]]</f>
        <v>#VALUE!</v>
      </c>
      <c r="EN66" s="252" t="str">
        <f>Reinforcements[[#This Row],[rx]]</f>
        <v/>
      </c>
      <c r="EO66" s="252" t="str">
        <f>Reinforcements[[#This Row],[ry]]</f>
        <v/>
      </c>
      <c r="EP66" s="252" t="e">
        <f>Reinforcements[[#This Row],[Lcx (in)]]/Reinforcements[[#This Row],[rx (in)]]</f>
        <v>#VALUE!</v>
      </c>
      <c r="EQ66" s="252" t="e">
        <f>Reinforcements[[#This Row],[Lcy (in)]]/Reinforcements[[#This Row],[ry (in)]]</f>
        <v>#VALUE!</v>
      </c>
      <c r="ER66" s="252" t="e">
        <f>((PI()^2)*Reinforcements[[#This Row],[E, (ksi)]])/(Reinforcements[[#This Row],[Lcx/rx]]^2)</f>
        <v>#VALUE!</v>
      </c>
      <c r="ES66" s="252" t="e">
        <f>((PI()^2)*Reinforcements[[#This Row],[E, (ksi)]])/(Reinforcements[[#This Row],[Lcy/ry]]^2)</f>
        <v>#VALUE!</v>
      </c>
      <c r="ET66" s="252" t="e">
        <f>4.71*(SQRT(Reinforcements[[#This Row],[E, (ksi)]]/Reinforcements[[#This Row],[Fy, (ksi)]]))</f>
        <v>#N/A</v>
      </c>
      <c r="EU66" s="252" t="e">
        <f>IF(Reinforcements[[#This Row],[Lcx/rx]]&lt;=Reinforcements[[#This Row],[Fcr Limit]],(0.658^(Reinforcements[[#This Row],[Fy, (ksi)]]/Reinforcements[[#This Row],[Fex, FB (ksi)]]))*Reinforcements[[#This Row],[Fy, (ksi)]],0.877*Reinforcements[[#This Row],[Fex, FB (ksi)]])</f>
        <v>#VALUE!</v>
      </c>
      <c r="EV66" s="252" t="e">
        <f>IF(Reinforcements[[#This Row],[Lcy/ry]]&lt;=Reinforcements[[#This Row],[Fcr Limit]],(0.658^(Reinforcements[[#This Row],[Fy, (ksi)]]/Reinforcements[[#This Row],[Fey, FB (ksi)]]))*Reinforcements[[#This Row],[Fy, (ksi)]],0.877*Reinforcements[[#This Row],[Fey, FB (ksi)]])</f>
        <v>#VALUE!</v>
      </c>
      <c r="EW66" s="252" t="e">
        <f>Reinforcements[[#This Row],[Fcrx (ksi)]]*Reinforcements[[#This Row],[Gross Area (in2)]]</f>
        <v>#VALUE!</v>
      </c>
      <c r="EX66" s="252" t="e">
        <f>Reinforcements[[#This Row],[Fcry (ksi)]]*Reinforcements[[#This Row],[Gross Area (in2)]]</f>
        <v>#VALUE!</v>
      </c>
      <c r="EY66" s="252" t="str">
        <f>IF(Reinforcements[[#This Row],[Type]]="channel",0,"N/A")</f>
        <v>N/A</v>
      </c>
      <c r="EZ66" s="252" t="str">
        <f>IF(Reinforcements[[#This Row],[Type]]="channel",Reinforcements[[#This Row],[Channel Flange Width, b]]-(0.5*Reinforcements[[#This Row],[Channel web thickness, tw]]),"N/A")</f>
        <v>N/A</v>
      </c>
      <c r="FA66" s="252" t="str">
        <f>IF(Reinforcements[[#This Row],[Type]]="channel",Reinforcements[[#This Row],[Channel Height, h]]-Reinforcements[[#This Row],[Channel flange thickness, tf]],"N/A")</f>
        <v>N/A</v>
      </c>
      <c r="FB66" s="252" t="str">
        <f>IF(Reinforcements[[#This Row],[Type]]="channel",Reinforcements[[#This Row],[Channel web thickness, tw]],"N/A")</f>
        <v>N/A</v>
      </c>
      <c r="FC66" s="252" t="str">
        <f>IF(Reinforcements[[#This Row],[Type]]="channel",((3*Reinforcements[[#This Row],[b]]^2)/(Reinforcements[[#This Row],[h]]+(6*Reinforcements[[#This Row],[b]])))-Reinforcements[[#This Row],[t]]/2,"N/A")</f>
        <v>N/A</v>
      </c>
      <c r="FD66" s="252" t="str">
        <f>Reinforcements[[#This Row],[Pole Face to Centroid (in)]]</f>
        <v/>
      </c>
      <c r="FE66" s="508" t="str">
        <f>IF(Reinforcements[[#This Row],[Type]]="channel",Reinforcements[[#This Row],[x(bar)]]+Reinforcements[[#This Row],['[Channel'] e0 (in)]],"N/A")</f>
        <v>N/A</v>
      </c>
      <c r="FF66" s="508" t="str">
        <f>IF(Reinforcements[[#This Row],[Type]]="channel",Reinforcements[[#This Row],[Ix]],"N/A")</f>
        <v>N/A</v>
      </c>
      <c r="FG66" s="508" t="str">
        <f>IF(Reinforcements[[#This Row],[Type]]="channel",Reinforcements[[#This Row],[Iy]],"N/A")</f>
        <v>N/A</v>
      </c>
      <c r="FH66" s="508" t="str">
        <f>IF(Reinforcements[[#This Row],[Type]]="channel",Reinforcements[[#This Row],[Gross Area (in2)]],"N/A")</f>
        <v>N/A</v>
      </c>
      <c r="FI66" s="508" t="str">
        <f>IF(Reinforcements[[#This Row],[Type]]="channel",(Reinforcements[[#This Row],[xo]]^2)+((Reinforcements[[#This Row],[Ix (FTB)]]+Reinforcements[[#This Row],[Iy (FTB)]])/Reinforcements[[#This Row],[Ag]]),"N/A")</f>
        <v>N/A</v>
      </c>
      <c r="FJ66" s="508" t="str">
        <f>IF(Reinforcements[[#This Row],[Type]]="channel",Reinforcements[[#This Row],[Lu (in)]],"N/A")</f>
        <v>N/A</v>
      </c>
      <c r="FK66" s="508" t="str">
        <f>IF(Reinforcements[[#This Row],[Type]]="channel",Reinforcements[[#This Row],[Effective Length Factor Kx]],"N/A")</f>
        <v>N/A</v>
      </c>
      <c r="FL66" s="508" t="str">
        <f>IF(Reinforcements[[#This Row],[Type]]="channel",Reinforcements[[#This Row],[Kz]]*Reinforcements[[#This Row],[Lz]],"N/A")</f>
        <v>N/A</v>
      </c>
      <c r="FM66" s="508" t="str">
        <f>IF(Reinforcements[[#This Row],[Type]]="channel",(((Reinforcements[[#This Row],[t]]^3)/3)*(Reinforcements[[#This Row],[h]]+(2*Reinforcements[[#This Row],[b]]))),"N/A")</f>
        <v>N/A</v>
      </c>
      <c r="FN66" s="508" t="str">
        <f>IF(Reinforcements[[#This Row],[Type]]="channel",(1-(((Reinforcements[[#This Row],[xo]]^2)+(Reinforcements[[#This Row],[yo]]^2))/Reinforcements[[#This Row],[ro^2(bar)]])),"N/A")</f>
        <v>N/A</v>
      </c>
      <c r="FO66" s="252">
        <v>11193</v>
      </c>
      <c r="FP66" s="508" t="str">
        <f>IF(Reinforcements[[#This Row],[Type]]="channel",(((Reinforcements[[#This Row],[h]]^2)*(Reinforcements[[#This Row],[b]]^3)*Reinforcements[[#This Row],[t]])/12)*(((2*Reinforcements[[#This Row],[h]])+(3*Reinforcements[[#This Row],[b]]))/(Reinforcements[[#This Row],[h]]+(6*Reinforcements[[#This Row],[b]]))),"N/A")</f>
        <v>N/A</v>
      </c>
      <c r="FQ66" s="508" t="str">
        <f>IF(Reinforcements[[#This Row],[Type]]="Channel",((((PI()^2)*Reinforcements[[#This Row],[E, (ksi)]]*Reinforcements[[#This Row],['[Channel'] CW (in6)]])/(Reinforcements[[#This Row],[Lcz]]^2))+(Reinforcements[[#This Row],[G]]*Reinforcements[[#This Row],['[Channel'] J (in4)]]))*(1/(Reinforcements[[#This Row],[Ag]]*Reinforcements[[#This Row],[ro^2(bar)]])),"N/A")</f>
        <v>N/A</v>
      </c>
      <c r="FR66" s="508" t="str">
        <f>IF(Reinforcements[[#This Row],[Type]]="channel",((PI()^2)*Reinforcements[[#This Row],[E, (ksi)]])/(Reinforcements[[#This Row],[Lcy/ry]]^2),"N/A")</f>
        <v>N/A</v>
      </c>
      <c r="FS66" s="508" t="str">
        <f>IF(Reinforcements[[#This Row],[Type]]="channel",((Reinforcements[[#This Row],[Fey]]+Reinforcements[[#This Row],[Fez]])/(2*Reinforcements[[#This Row],[H2]]))*(1-SQRT(1-((4*Reinforcements[[#This Row],[Fey]]*Reinforcements[[#This Row],[Fez]]*Reinforcements[[#This Row],[H2]])/(Reinforcements[[#This Row],[Fey]]+Reinforcements[[#This Row],[Fez]])^2))),"N/A")</f>
        <v>N/A</v>
      </c>
      <c r="FT66" s="508" t="str">
        <f>IF(Reinforcements[[#This Row],[Type]]="channel",IF(Reinforcements[[#This Row],[Lcx/rx]]&gt;(4.71*SQRT(Reinforcements[[#This Row],[E, (ksi)]]/Reinforcements[[#This Row],[Fy, (ksi)]])),0.877*Reinforcements[[#This Row],[Fe (FTB)]],0.658^(Reinforcements[[#This Row],[Fy, (ksi)]]/Reinforcements[[#This Row],[Fe (FTB)]])*Reinforcements[[#This Row],[Fy, (ksi)]]),"N/A")</f>
        <v>N/A</v>
      </c>
      <c r="FU66" s="508" t="str">
        <f>IF(Reinforcements[[#This Row],[Type]]="channel",MIN(Reinforcements[[#This Row],[Fcr(FTB)]],Reinforcements[[#This Row],[Fcry (ksi)]]),"N/A")</f>
        <v>N/A</v>
      </c>
      <c r="FV66" s="252">
        <v>0.22</v>
      </c>
      <c r="FW66" s="252">
        <v>1.49</v>
      </c>
      <c r="FX66" s="508" t="str">
        <f>IF(Reinforcements[[#This Row],[Type]]="channel",((Reinforcements[[#This Row],[c2]]*(Reinforcements[[#This Row],[λrf]]/Reinforcements[[#This Row],[λf]]))^2)*Reinforcements[[#This Row],[Fy, (ksi)]],"N/A")</f>
        <v>N/A</v>
      </c>
      <c r="FY66" s="508" t="str">
        <f>IF(Reinforcements[[#This Row],[Type]]="channel",((Reinforcements[[#This Row],[c2]]*(Reinforcements[[#This Row],[λrw]]/Reinforcements[[#This Row],[λw]]))^2)*Reinforcements[[#This Row],[Fy, (ksi)]],"N/A")</f>
        <v>N/A</v>
      </c>
      <c r="FZ66"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6"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6"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6" s="508" t="str">
        <f>IF(Reinforcements[[#This Row],[Type]]="channel",Reinforcements[[#This Row],[Fcr]]*Reinforcements[[#This Row],[Ae]],"N/A")</f>
        <v>N/A</v>
      </c>
      <c r="GD66" s="462" t="str">
        <f>IF(Reinforcements[[#This Row],[Reinforcement]]="","",φ_c*Reinforcements[[#This Row],[Pnx, FB (kip)]])</f>
        <v/>
      </c>
      <c r="GE66" s="462" t="str">
        <f>IF(Reinforcements[[#This Row],[Reinforcement]]="","",IF(Reinforcements[[#This Row],[Type]]="channel",φ_c*Reinforcements[[#This Row],[Pn]],φ_c*Reinforcements[[#This Row],[Pny, FB (kip)]]))</f>
        <v/>
      </c>
      <c r="GF66" s="462" t="str">
        <f>Reinforcements[[#This Row],[Rev. G Tension Yield Capacity (kips)]]</f>
        <v/>
      </c>
      <c r="GG66" s="462" t="str">
        <f>Reinforcements[[#This Row],[Rev. G Tension Rupture Capacity (kips)]]</f>
        <v/>
      </c>
      <c r="GH66" s="462" t="str">
        <f>Reinforcements[[#This Row],[Rev. G Shear Capacity (kips)]]</f>
        <v/>
      </c>
      <c r="GI66" s="462" t="str">
        <f>IFERROR((Reinforcements[[#This Row],['# of End Connection Bolts          (Bottom)]]-1)*Reinforcements[[#This Row],[End Connection Bolt Spacing (in) (B)]],"-")</f>
        <v>-</v>
      </c>
      <c r="GJ66" s="462" t="str">
        <f>IFERROR(IF(VLOOKUP(Reinforcements[[#This Row],[Bottom End Connection Bolt Type]],Bolts[],COLUMN(Bolts[[#Headers],[Rev. H Apply Connection Length Reduction Factor (Rb)?]])-1,FALSE)="Yes",(IF(Reinforcements[[#This Row],[Lb(bottom)]]&lt;=16,1,IF(Reinforcements[[#This Row],[Lb(bottom)]]&gt;38,0.75,0.9))),1),"-")</f>
        <v>-</v>
      </c>
      <c r="GK66"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6" s="462" t="str">
        <f>IFERROR(IF(Reinforcements[[#This Row],[Top End Connection Same?]]="Yes",Reinforcements[[#This Row],[Lb(bottom)]],(Reinforcements[[#This Row],['# of End Connection Bolts          (Top)]]-1)*Reinforcements[[#This Row],[End Connection Bolt Spacing (in) (T)]]),"-")</f>
        <v>-</v>
      </c>
      <c r="GM66" s="462" t="str">
        <f>IFERROR(IF(VLOOKUP(Reinforcements[[#This Row],[Top End Connection Bolt Type]],Bolts[],COLUMN(Bolts[[#Headers],[Rev. H Apply Connection Length Reduction Factor (Rb)?]])-1,FALSE)="Yes",(IF(Reinforcements[[#This Row],[Lb(top)]]&lt;=16,1,IF(Reinforcements[[#This Row],[Lb(top)]]&gt;38,0.75,0.9))),1),"-")</f>
        <v>-</v>
      </c>
      <c r="GN66"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6" s="462" t="str">
        <f>Reinforcements[[#This Row],[Rev. G Bolt-Shaft Bearing Capacity (Bottom)                No Deformation          (*t*Fu kips)]]</f>
        <v>-</v>
      </c>
      <c r="GP66" s="462" t="str">
        <f>Reinforcements[[#This Row],[Rev. G Bolt-Shaft Bearing Capacity (Bottom)                   Deformation          (*t*Fu kips)]]</f>
        <v>-</v>
      </c>
      <c r="GQ66" s="462" t="str">
        <f>Reinforcements[[#This Row],[Rev. G Bolt-Shaft Bearing Capacity (Top)                    No Deformation          (*t*Fu kips)]]</f>
        <v>-</v>
      </c>
      <c r="GR66" s="462" t="str">
        <f>Reinforcements[[#This Row],[Rev. G Bolt-Shaft Bearing Capacity (Top)                        Deformation          (*t*Fu kips)]]</f>
        <v>-</v>
      </c>
      <c r="GS66" s="462" t="str">
        <f>Reinforcements[[#This Row],[Rev. G Bolt-Reinf. Bearing Capacity (Bottom)            No Deformation (kips)]]</f>
        <v>-</v>
      </c>
      <c r="GT66" s="462" t="str">
        <f>Reinforcements[[#This Row],[Rev. G Bolt-Reinf. Bearing Capacity (Bottom)               Deformation (kips)]]</f>
        <v>-</v>
      </c>
      <c r="GU66" s="462" t="str">
        <f>Reinforcements[[#This Row],[Rev. G Bolt-Reinf. Bearing Capacity (Top)                  No Deformation (kips)]]</f>
        <v>-</v>
      </c>
      <c r="GV66" s="462" t="str">
        <f>Reinforcements[[#This Row],[Rev. G Bolt-Reinf. Bearing Capacity (Top)               Deformation (kips)]]</f>
        <v>-</v>
      </c>
      <c r="GW66" s="462" t="str">
        <f>Reinforcements[[#This Row],[Rev. G Bottom Transverse Weld Strength]]</f>
        <v/>
      </c>
      <c r="GX66" s="462" t="str">
        <f>Reinforcements[[#This Row],[Rev. G Bottom Longitudinal Weld Strength]]</f>
        <v/>
      </c>
      <c r="GY66" s="462" t="str">
        <f>Reinforcements[[#This Row],[Rev. G Top Transverse Weld Strength]]</f>
        <v/>
      </c>
      <c r="GZ66" s="462" t="str">
        <f>Reinforcements[[#This Row],[Rev. G Top Longitudinal Weld Strength]]</f>
        <v/>
      </c>
      <c r="HA66" s="552">
        <v>64</v>
      </c>
      <c r="HB66"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7" spans="2:210" x14ac:dyDescent="0.2">
      <c r="B67" s="129"/>
      <c r="C67" s="129"/>
      <c r="D67" s="201" t="str">
        <f>IF(Reinforcements[[#This Row],[Type]]="","",IF(Reinforcements[[#This Row],[Type]]="solid round","-",""))</f>
        <v/>
      </c>
      <c r="E67" s="201" t="str">
        <f>IF(Reinforcements[[#This Row],[Type]]="","",IF(Reinforcements[[#This Row],[Type]]="solid round","-",""))</f>
        <v/>
      </c>
      <c r="F67" s="201" t="str">
        <f>IF(Reinforcements[[#This Row],[Type]]="","",IF(Reinforcements[[#This Row],[Type]]="solid round","","n/a"))</f>
        <v/>
      </c>
      <c r="G67" s="201" t="str">
        <f>IF(Reinforcements[[#This Row],[Type]]="","",IF(Reinforcements[[#This Row],[Type]]&lt;&gt;"channel","n/a",""))</f>
        <v/>
      </c>
      <c r="H67" s="201" t="str">
        <f>IF(Reinforcements[[#This Row],[Type]]="","",IF(Reinforcements[[#This Row],[Type]]&lt;&gt;"channel","n/a",""))</f>
        <v/>
      </c>
      <c r="I67" s="224" t="str">
        <f>IF(Reinforcements[[#This Row],[Type]]="","",IF(Reinforcements[[#This Row],[Type]]&lt;&gt;"channel","n/a",Reinforcements[[#This Row],[eo]]))</f>
        <v/>
      </c>
      <c r="J67" s="224" t="str">
        <f>IF(Reinforcements[[#This Row],[Type]]="","",IF(Reinforcements[[#This Row],[Type]]&lt;&gt;"channel","n/a",Reinforcements[[#This Row],[J]]))</f>
        <v/>
      </c>
      <c r="K67" s="224" t="str">
        <f>IF(Reinforcements[[#This Row],[Type]]="","",IF(Reinforcements[[#This Row],[Type]]&lt;&gt;"channel","n/a",Reinforcements[[#This Row],[Cw]]))</f>
        <v/>
      </c>
      <c r="L67" s="201" t="str">
        <f>IFERROR(IF(Reinforcements[[#This Row],[Type]]="","",IF(Reinforcements[[#This Row],[Type]]="plate",Reinforcements[[#This Row],[B (in)]]*Reinforcements[[#This Row],[H (in)]],IF(Reinforcements[[#This Row],[Type]]="solid round",PI()/4*Reinforcements[[#This Row],[Diameter (in)]]^2,""))),"")</f>
        <v/>
      </c>
      <c r="M67" s="201" t="str">
        <f>IFERROR(IF(Reinforcements[[#This Row],[Type]]="","",IF(Reinforcements[[#This Row],[Type]]="plate",Reinforcements[[#This Row],[H (in)]]/2,"")),"")</f>
        <v/>
      </c>
      <c r="N67" s="202"/>
      <c r="O67" s="203"/>
      <c r="P67" s="215" t="str">
        <f>IFERROR(IF(Reinforcements[[#This Row],[Type]]="","",IF(Reinforcements[[#This Row],[Type]]="plate",Reinforcements[[#This Row],[B (in)]]*Reinforcements[[#This Row],[H (in)]]^3/12,IF(Reinforcements[[#This Row],[Type]]="solid round",PI()/64*Reinforcements[[#This Row],[Diameter (in)]]^4,""))),"")</f>
        <v/>
      </c>
      <c r="Q67" s="215" t="str">
        <f>IF(Reinforcements[[#This Row],[Reinforcement]]="","",SQRT(Reinforcements[[#This Row],[Ix]]/Reinforcements[[#This Row],[Gross Area (in2)]]))</f>
        <v/>
      </c>
      <c r="R67" s="215" t="str">
        <f>IFERROR(IF(Reinforcements[[#This Row],[Type]]="","",IF(Reinforcements[[#This Row],[Type]]="plate",Reinforcements[[#This Row],[B (in)]]^3*Reinforcements[[#This Row],[H (in)]]/12,IF(Reinforcements[[#This Row],[Type]]="solid round",PI()/64*Reinforcements[[#This Row],[Diameter (in)]]^4,""))),"")</f>
        <v/>
      </c>
      <c r="S67" s="215" t="str">
        <f>IF(Reinforcements[[#This Row],[Reinforcement]]="","",SQRT(Reinforcements[[#This Row],[Iy]]/Reinforcements[[#This Row],[Gross Area (in2)]]))</f>
        <v/>
      </c>
      <c r="T67" s="206"/>
      <c r="U67" s="204" t="str">
        <f>IF(Reinforcements[[#This Row],[Lu (in)]]="","",IF(Reinforcements[[#This Row],[Lu (in)]]=0,1,""))</f>
        <v/>
      </c>
      <c r="V67" s="204" t="str">
        <f>IF(Reinforcements[[#This Row],[Lu (in)]]="","",IF(Reinforcements[[#This Row],[Lu (in)]]=0,1,""))</f>
        <v/>
      </c>
      <c r="W67" s="201" t="str">
        <f>IF(Reinforcements[[#This Row],[Type]]="","",IF(Reinforcements[[#This Row],[Type]]="solid round",0,IF(Reinforcements[[#This Row],[Type]]="arbitrary","n/a","")))</f>
        <v/>
      </c>
      <c r="X67" s="204" t="str">
        <f>IF(Reinforcements[[#This Row],[Bolt Hole Size (in)]]="","",IF(Reinforcements[[#This Row],[Bolt Hole Size (in)]]="n/a","n/a",Reinforcements[[#This Row],[Bolt Hole Size (in)]]*25.4))</f>
        <v/>
      </c>
      <c r="Y67"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7" s="201" t="str">
        <f>IFERROR(IF(Reinforcements[[#This Row],[Reinforcement]]="","",IF(OR(Reinforcements[[#This Row],[Type]]="plate",Reinforcements[[#This Row],[Type]]="solid round"),1,IF(Reinforcements[[#This Row],[Type]]="arbitrary","",1-Reinforcements[[#This Row],[Pole Face to Centroid (in)]]/Reinforcements[[#This Row],[Connection Length (in) '[Channels']]]))),"")</f>
        <v/>
      </c>
      <c r="AA67" s="205"/>
      <c r="AB67" s="103" t="str">
        <f>IF(Reinforcements[[#This Row],[Reinforcement]]="","",IF(Reinforcements[[#This Row],[Bottom End Connection Type]]&lt;&gt;"Capacity Input","-",""))</f>
        <v/>
      </c>
      <c r="AC67" s="103" t="str">
        <f>IF(Reinforcements[[#This Row],[Reinforcement]]="","",IF(Reinforcements[[#This Row],[Bottom End Connection Type]]&lt;&gt;"Capacity Input","-",""))</f>
        <v/>
      </c>
      <c r="AD67" s="253" t="str">
        <f>IF(Reinforcements[[#This Row],[Reinforcement]]="","",IF(Reinforcements[[#This Row],[Bottom End Connection Type]]&lt;&gt;"Capacity Input","-",""))</f>
        <v/>
      </c>
      <c r="AE67" s="103" t="str">
        <f>IF(Reinforcements[[#This Row],[Reinforcement]]="","",IF(Reinforcements[[#This Row],[Bottom End Connection Type]]&lt;&gt;"Bolted","-",""))</f>
        <v/>
      </c>
      <c r="AF67" s="206" t="str">
        <f>IF(Reinforcements[[#This Row],[Reinforcement]]="","",IF(Reinforcements[[#This Row],[Bottom End Connection Type]]&lt;&gt;"Bolted","-",""))</f>
        <v/>
      </c>
      <c r="AG67" s="206" t="str">
        <f>IF(Reinforcements[[#This Row],[Reinforcement]]="","",IF(Reinforcements[[#This Row],[Bottom End Connection Type]]="","-",IF(Reinforcements[[#This Row],[Bottom End Connection Type]]&lt;&gt;"Bolted","-","")))</f>
        <v/>
      </c>
      <c r="AH67" s="206" t="str">
        <f>IF(Reinforcements[[#This Row],[Reinforcement]]="","",IF(Reinforcements[[#This Row],[Bottom End Connection Type]]="","-",IF(Reinforcements[[#This Row],[Bottom End Connection Type]]&lt;&gt;"Bolted","-","")))</f>
        <v/>
      </c>
      <c r="AI67" s="206" t="str">
        <f>IF(Reinforcements[[#This Row],[Reinforcement]]="","",IF(Reinforcements[[#This Row],[Bottom End Connection Type]]="","-",IF(Reinforcements[[#This Row],[Bottom End Connection Type]]&lt;&gt;"Bolted","-","")))</f>
        <v/>
      </c>
      <c r="AJ67" s="206" t="e">
        <f>Reinforcements[[#This Row],[End Connection Edge Distance (in) (B)]]-(Reinforcements[[#This Row],[Bolt Hole Size (in)]]+1/16)/2</f>
        <v>#VALUE!</v>
      </c>
      <c r="AK67" s="206" t="e">
        <f>Reinforcements[[#This Row],[End Connection Bolt Spacing (in) (B)]]-(Reinforcements[[#This Row],[Bolt Hole Size (in)]]+1/16)</f>
        <v>#VALUE!</v>
      </c>
      <c r="AL67" s="206" t="str">
        <f>Reinforcements[[#This Row],[End Connection Edge Distance (in) (B)]]</f>
        <v/>
      </c>
      <c r="AM67" s="206" t="str">
        <f>Reinforcements[[#This Row],[End Connection Bolt Spacing (in) (B)]]</f>
        <v/>
      </c>
      <c r="AN67" s="206" t="str">
        <f>IF(Reinforcements[[#This Row],[Reinforcement]]="","",IF(OR(Reinforcements[[#This Row],[Bottom End Connection Type]]="Bolted",Reinforcements[[#This Row],[Bottom End Connection Type]]=""),"-",""))</f>
        <v/>
      </c>
      <c r="AO67" s="214" t="str">
        <f>IF(Reinforcements[[#This Row],[Reinforcement]]="","",IF(Reinforcements[[#This Row],[Bottom End Connection Type]]&lt;&gt;"Welded","-",""))</f>
        <v/>
      </c>
      <c r="AP67" s="214" t="str">
        <f>IF(Reinforcements[[#This Row],[Reinforcement]]="","",IF(Reinforcements[[#This Row],[Bottom End Connection Type]]&lt;&gt;"Welded","-",""))</f>
        <v/>
      </c>
      <c r="AQ67" s="214" t="str">
        <f>IF(Reinforcements[[#This Row],[Reinforcement]]="","",IF(OR(Reinforcements[[#This Row],[Bottom End Connection Type]]&lt;&gt;"Welded",Reinforcements[[#This Row],[Bottom Transverse (Horizontal) Weld]]="None"),"-",""))</f>
        <v/>
      </c>
      <c r="AR67"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7"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7" s="214" t="str">
        <f>IF(Reinforcements[[#This Row],[Reinforcement]]="","",IF(OR(Reinforcements[[#This Row],[Bottom Transverse (Horizontal) Weld]]="None",Reinforcements[[#This Row],[Bottom End Connection Type]]&lt;&gt;"Welded"),"-",""))</f>
        <v/>
      </c>
      <c r="AU67"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7" s="214" t="str">
        <f>IF(Reinforcements[[#This Row],[Reinforcement]]="","",IF(OR(Reinforcements[[#This Row],[Bottom End Connection Type]]&lt;&gt;"Welded",Reinforcements[[#This Row],[Bottom End Connection Type]]=""),"-",""))</f>
        <v/>
      </c>
      <c r="AW67" s="214" t="str">
        <f>IF(Reinforcements[[#This Row],[Reinforcement]]="","",IF(OR(Reinforcements[[#This Row],[Bottom End Connection Type]]&lt;&gt;"Welded",Reinforcements[[#This Row],[Bottom Longitudinal (Vertical) Weld]]="None",Reinforcements[[#This Row],[Bottom Longitudinal (Vertical) Weld]]=""),"-",""))</f>
        <v/>
      </c>
      <c r="AX67" s="214" t="str">
        <f>IF(Reinforcements[[#This Row],[Reinforcement]]="","",IF(OR(Reinforcements[[#This Row],[Bottom End Connection Type]]&lt;&gt;"Welded",Reinforcements[[#This Row],[Bottom Longitudinal (Vertical) Weld]]="None",Reinforcements[[#This Row],[Bottom Longitudinal (Vertical) Weld]]=""),"-",""))</f>
        <v/>
      </c>
      <c r="AY67" s="206" t="str">
        <f>IF(Reinforcements[[#This Row],[Reinforcement]]="","",IF(OR(Reinforcements[[#This Row],[Bottom End Connection Type]]&lt;&gt;"Welded",Reinforcements[[#This Row],[Bottom Longitudinal (Vertical) Weld]]="None"),"-",SQRT(2)/2*Reinforcements[[#This Row],[Bottom Longitudinal Weld Fillet Size (in)]]))</f>
        <v/>
      </c>
      <c r="AZ67" s="206"/>
      <c r="BA67" s="103" t="str">
        <f>IF(Reinforcements[[#This Row],[Top End Connection Same?]]="Yes",Reinforcements[[#This Row],[Bottom End Connection Type]],"")</f>
        <v/>
      </c>
      <c r="BB67" s="103" t="str">
        <f>IF(Reinforcements[[#This Row],[Reinforcement]]="","",IF(Reinforcements[[#This Row],[Top End Connection Same?]]="Yes",Reinforcements[[#This Row],[Rev. F Bottom Connection Capacity (kips)]],IF(Reinforcements[[#This Row],[Reinforcement]]="","",IF(Reinforcements[[#This Row],[Top End Connection Type]]&lt;&gt;"Capacity Input","-",""))))</f>
        <v/>
      </c>
      <c r="BC67" s="103" t="str">
        <f>IF(Reinforcements[[#This Row],[Reinforcement]]="","",IF(Reinforcements[[#This Row],[Top End Connection Same?]]="Yes",Reinforcements[[#This Row],[Rev. G Bottom Connection Capacity (kips)]],IF(Reinforcements[[#This Row],[Reinforcement]]="","",IF(Reinforcements[[#This Row],[Top End Connection Type]]&lt;&gt;"Capacity Input","-",""))))</f>
        <v/>
      </c>
      <c r="BD67" s="253" t="str">
        <f>IF(Reinforcements[[#This Row],[Reinforcement]]="","",IF(Reinforcements[[#This Row],[Top End Connection Same?]]="Yes",Reinforcements[[#This Row],[Rev. G Bottom Connection Capacity (kips)]],IF(Reinforcements[[#This Row],[Reinforcement]]="","",IF(Reinforcements[[#This Row],[Top End Connection Type]]&lt;&gt;"Capacity Input","-",""))))</f>
        <v/>
      </c>
      <c r="BE67" s="103" t="str">
        <f>IF(Reinforcements[[#This Row],[Reinforcement]]="","",IF(Reinforcements[[#This Row],[Top End Connection Same?]]="Yes",Reinforcements[[#This Row],[Bottom End Connection Bolt Type]],IF(Reinforcements[[#This Row],[Top End Connection Type]]&lt;&gt;"Bolted","-","")))</f>
        <v/>
      </c>
      <c r="BF67" s="206" t="str">
        <f>IF(Reinforcements[[#This Row],[Reinforcement]]="","",IF(Reinforcements[[#This Row],[Top End Connection Same?]]="Yes",Reinforcements[[#This Row],[Threads Included (N) or Excluded (X) (Bottom)]],IF(Reinforcements[[#This Row],[Top End Connection Type]]&lt;&gt;"Bolted","-","")))</f>
        <v/>
      </c>
      <c r="BG67" s="206" t="str">
        <f>IF(Reinforcements[[#This Row],[Reinforcement]]="","",IF(Reinforcements[[#This Row],[Top End Connection Same?]]="Yes",Reinforcements[[#This Row],['# of End Connection Bolts          (Bottom)]],IF(Reinforcements[[#This Row],[Top End Connection Type]]&lt;&gt;"Bolted","-","")))</f>
        <v/>
      </c>
      <c r="BH67" s="206" t="str">
        <f>IF(Reinforcements[[#This Row],[Reinforcement]]="","",IF(Reinforcements[[#This Row],[Top End Connection Same?]]="Yes",Reinforcements[[#This Row],[End Connection Bolt Spacing (in) (B)]],IF(Reinforcements[[#This Row],[Top End Connection Type]]&lt;&gt;"Bolted","-","")))</f>
        <v/>
      </c>
      <c r="BI67" s="206" t="str">
        <f>IF(Reinforcements[[#This Row],[Reinforcement]]="","",IF(Reinforcements[[#This Row],[Top End Connection Same?]]="Yes",Reinforcements[[#This Row],[End Connection Edge Distance (in) (B)]],IF(Reinforcements[[#This Row],[Top End Connection Type]]&lt;&gt;"Bolted","-","")))</f>
        <v/>
      </c>
      <c r="BJ67" s="206" t="e">
        <f>Reinforcements[[#This Row],[End Connection Edge Distance (in) (T)]]-(Reinforcements[[#This Row],[Bolt Hole Size (in)]]+1/16)/2</f>
        <v>#VALUE!</v>
      </c>
      <c r="BK67" s="206" t="e">
        <f>Reinforcements[[#This Row],[End Connection Bolt Spacing (in) (T)]]-(Reinforcements[[#This Row],[Bolt Hole Size (in)]]+1/16)</f>
        <v>#VALUE!</v>
      </c>
      <c r="BL67" s="206" t="str">
        <f>Reinforcements[[#This Row],[End Connection Edge Distance (in) (T)]]</f>
        <v/>
      </c>
      <c r="BM67" s="206" t="str">
        <f>Reinforcements[[#This Row],[End Connection Bolt Spacing (in) (T)]]</f>
        <v/>
      </c>
      <c r="BN67" s="206" t="str">
        <f>IF(Reinforcements[[#This Row],[Reinforcement]]="","",IF(Reinforcements[[#This Row],[Top End Connection Same?]]="Yes",Reinforcements[[#This Row],[Bottom Connected to Flange/Base Plate?]],IF(Reinforcements[[#This Row],[Top End Connection Type]]="Bolted","-","")))</f>
        <v/>
      </c>
      <c r="BO67" s="206" t="str">
        <f>IF(Reinforcements[[#This Row],[Reinforcement]]="","",IF(Reinforcements[[#This Row],[Top End Connection Same?]]="Yes",Reinforcements[[#This Row],[Bottom Weld Grade (ksi)]],IF(OR(Reinforcements[[#This Row],[Top End Connection Type]]&lt;&gt;"Welded",Reinforcements[[#This Row],[Top End Connection Type]]=""),"-","")))</f>
        <v/>
      </c>
      <c r="BP67" s="206" t="str">
        <f>IF($AZ67="Yes",AP67,IF(Reinforcements[[#This Row],[Reinforcement]]="","",IF(OR(Reinforcements[[#This Row],[Top End Connection Type]]&lt;&gt;"Welded",Reinforcements[[#This Row],[Top End Connection Type]]=""),"-","")))</f>
        <v/>
      </c>
      <c r="BQ67" s="206" t="str">
        <f>IF(Reinforcements[[#This Row],[Reinforcement]]="","",IF($AZ67="Yes",AQ67,IF(OR(Reinforcements[[#This Row],[Top End Connection Type]]&lt;&gt;"Welded",Reinforcements[[#This Row],[Top Transverse (Horizontal) Weld]]="none",Reinforcements[[#This Row],[Top Transverse (Horizontal) Weld]]=""),"-","")))</f>
        <v/>
      </c>
      <c r="BR67" s="206" t="str">
        <f>IF($AZ67="Yes",AR67,IF(Reinforcements[[#This Row],[Reinforcement]]="","",IF(OR(Reinforcements[[#This Row],[Top Transverse (Horizontal) Weld]]="none",Reinforcements[[#This Row],[Top End Connection Type]]&lt;&gt;"Welded",Reinforcements[[#This Row],[Top Transverse (Horizontal) Weld]]="",Reinforcements[[#This Row],[Top Transverse (Horizontal) Weld]]="Fillet"),"-","")))</f>
        <v/>
      </c>
      <c r="BS67" s="206" t="str">
        <f>IF($AZ67="Yes",AS67,IF(Reinforcements[[#This Row],[Reinforcement]]="","",IF(OR(Reinforcements[[#This Row],[Top Transverse (Horizontal) Weld]]="none",Reinforcements[[#This Row],[Top End Connection Type]]&lt;&gt;"Welded",Reinforcements[[#This Row],[Top Transverse (Horizontal) Weld]]="",Reinforcements[[#This Row],[Top Transverse (Horizontal) Weld]]="Fillet"),"-","")))</f>
        <v/>
      </c>
      <c r="BT67" s="206" t="str">
        <f>IF(Reinforcements[[#This Row],[Reinforcement]]="","",IF($AZ67="Yes",AT67,IF(OR(Reinforcements[[#This Row],[Top Transverse (Horizontal) Weld]]="none",Reinforcements[[#This Row],[Top End Connection Type]]&lt;&gt;"Welded",Reinforcements[[#This Row],[Top Transverse (Horizontal) Weld]]=""),"-","")))</f>
        <v/>
      </c>
      <c r="BU67" s="206" t="str">
        <f>IF($AZ67="Yes",AU67,IF(Reinforcements[[#This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7" s="206" t="str">
        <f>IF($AZ67="Yes",AV67,IF(Reinforcements[[#This Row],[Reinforcement]]="","",IF(OR(Reinforcements[[#This Row],[Top End Connection Type]]&lt;&gt;"Welded",Reinforcements[[#This Row],[Top End Connection Type]]=""),"-","")))</f>
        <v/>
      </c>
      <c r="BW67" s="206" t="str">
        <f>IF($AZ67="Yes",AW67,IF(Reinforcements[[#This Row],[Reinforcement]]="","",IF(OR(Reinforcements[[#This Row],[Top End Connection Type]]&lt;&gt;"Welded",Reinforcements[[#This Row],[Top End Connection Type]]="",Reinforcements[[#This Row],[Top Longitudinal (Vertical) Weld]]="",Reinforcements[[#This Row],[Top Longitudinal (Vertical) Weld]]="None"),"-","")))</f>
        <v/>
      </c>
      <c r="BX67" s="206" t="str">
        <f>IF($AZ67="Yes",AX67,IF(Reinforcements[[#This Row],[Reinforcement]]="","",IF(OR(Reinforcements[[#This Row],[Top End Connection Type]]&lt;&gt;"Welded",Reinforcements[[#This Row],[Top End Connection Type]]="",Reinforcements[[#This Row],[Top Longitudinal (Vertical) Weld]]="",Reinforcements[[#This Row],[Top Longitudinal (Vertical) Weld]]="None"),"-","")))</f>
        <v/>
      </c>
      <c r="BY67" s="206" t="str">
        <f>IF($AZ67="Yes",AY67,IF(Reinforcements[[#This Row],[Reinforcement]]="","",IF(OR(Reinforcements[[#This Row],[Top End Connection Type]]&lt;&gt;"Welded",Reinforcements[[#This Row],[Top Longitudinal (Vertical) Weld]]="none"),"-",SQRT(2)/2*Reinforcements[[#This Row],[Top Longitudinal Weld Fillet Size (in)]])))</f>
        <v/>
      </c>
      <c r="BZ67"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7"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7"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7"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7"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7" s="201" t="str">
        <f>IFERROR(IF(Reinforcements[[#This Row],[Type]]="","",Reinforcements[[#This Row],[Effective B (in)]]*Reinforcements[[#This Row],[Effective H (in)]]^3/12),"")</f>
        <v/>
      </c>
      <c r="CF67" s="201" t="str">
        <f>IFERROR(IF(Reinforcements[[#This Row],[Type]]="","",Reinforcements[[#This Row],[Effective B (in)]]^3*Reinforcements[[#This Row],[Effective H (in)]]/12),"")</f>
        <v/>
      </c>
      <c r="CG67" s="224" t="e">
        <f>SQRT(2*PI()^2*29000/VLOOKUP(Reinforcements[[#This Row],[Material]],Materials[],2,FALSE))</f>
        <v>#N/A</v>
      </c>
      <c r="CH67"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7"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7" s="215" t="e">
        <f>Reinforcements[[#This Row],[Effective Length Factor Kx]]*Reinforcements[[#This Row],[Lu (in)]]/(Reinforcements[[#This Row],[rx]]*PI())*SQRT(VLOOKUP(Reinforcements[[#This Row],[Material]],Materials[],2,FALSE)/29000)</f>
        <v>#VALUE!</v>
      </c>
      <c r="CK67" s="215" t="e">
        <f>Reinforcements[[#This Row],[Effective Length Factor Ky]]*Reinforcements[[#This Row],[Lu (in)]]/(Reinforcements[[#This Row],[ry]]*PI())*SQRT(VLOOKUP(Reinforcements[[#This Row],[Material]],Materials[],2,FALSE)/29000)</f>
        <v>#VALUE!</v>
      </c>
      <c r="CL67" s="215" t="e">
        <f>IF(Reinforcements[[#This Row],[λcx]]&lt;=1.5,0.658^(Reinforcements[[#This Row],[λcx]]^2)*Reinforcements[[#This Row],[F''y]],0.877/(Reinforcements[[#This Row],[λcx]]^2)*Reinforcements[[#This Row],[F''y]])</f>
        <v>#VALUE!</v>
      </c>
      <c r="CM67" s="215" t="e">
        <f>IF(Reinforcements[[#This Row],[λcy]]&lt;=1.5,0.658^(Reinforcements[[#This Row],[λcy]]^2)*Reinforcements[[#This Row],[F''y]],0.877/(Reinforcements[[#This Row],[λcy]]^2)*Reinforcements[[#This Row],[F''y]])</f>
        <v>#VALUE!</v>
      </c>
      <c r="CN67" s="201" t="e">
        <f>VLOOKUP(Reinforcements[[#This Row],[Material]],Materials[],2,FALSE)</f>
        <v>#N/A</v>
      </c>
      <c r="CO67" s="224" t="str">
        <f>IF(Reinforcements[[#This Row],[Reinforcement]]="","",Reinforcements[[#This Row],[Fax]]*Reinforcements[[#This Row],[Gross Area (in2)]])</f>
        <v/>
      </c>
      <c r="CP67" s="224" t="str">
        <f>IF(Reinforcements[[#This Row],[Reinforcement]]="","",Reinforcements[[#This Row],[Fay]]*Reinforcements[[#This Row],[Gross Area (in2)]])</f>
        <v/>
      </c>
      <c r="CQ67" s="224" t="str">
        <f>IF(Reinforcements[[#This Row],[Reinforcement]]="","",0.6*VLOOKUP(Reinforcements[[#This Row],[Material]],Materials[],2,FALSE)*Reinforcements[[#This Row],[Gross Area (in2)]])</f>
        <v/>
      </c>
      <c r="CR67" s="224" t="str">
        <f>IF(Reinforcements[[#This Row],[Reinforcement]]="","",0.5*VLOOKUP(Reinforcements[[#This Row],[Material]],Materials[],3,FALSE)*Reinforcements[[#This Row],[Net Area (in2)]]*Reinforcements[[#This Row],[Shear Lag (U)]])</f>
        <v/>
      </c>
      <c r="CS67" s="224" t="str">
        <f>IF(Reinforcements[[#This Row],[Reinforcement]]="","",0.4*VLOOKUP(Reinforcements[[#This Row],[Material]],Materials[],2,FALSE)*Reinforcements[[#This Row],[Gross Area (in2)]])</f>
        <v/>
      </c>
      <c r="CT67"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7"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7"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7"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7"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7"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7"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7"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7"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7"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7"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7"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7" s="206" t="str">
        <f>IF($AZ67="Yes",DD67,IF(Reinforcements[[#This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7" s="206" t="str">
        <f>IF($AZ67="Yes",DE67,IF(Reinforcements[[#This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7" s="224" t="str">
        <f>IF(Reinforcements[[#This Row],[Reinforcement]]="","",φ_c*Reinforcements[[#This Row],[Fcr,x]]*Reinforcements[[#This Row],[Gross Area (in2)]])</f>
        <v/>
      </c>
      <c r="DI67" s="224" t="str">
        <f>IF(Reinforcements[[#This Row],[Reinforcement]]="","",φ_c*Reinforcements[[#This Row],[Fcr,y]]*Reinforcements[[#This Row],[Gross Area (in2)]])</f>
        <v/>
      </c>
      <c r="DJ67" s="224" t="str">
        <f>IF(Reinforcements[[#This Row],[Reinforcement]]="","",φ_t_y*VLOOKUP(Reinforcements[[#This Row],[Material]],Materials[],2,FALSE)*Reinforcements[[#This Row],[Gross Area (in2)]])</f>
        <v/>
      </c>
      <c r="DK67" s="224" t="str">
        <f>IF(Reinforcements[[#This Row],[Reinforcement]]="","",φ_t_r*VLOOKUP(Reinforcements[[#This Row],[Material]],Materials[],3,FALSE)*Reinforcements[[#This Row],[Net Area (in2)]]*Reinforcements[[#This Row],[Shear Lag (U)]])</f>
        <v/>
      </c>
      <c r="DL67" s="224" t="str">
        <f>IF(Reinforcements[[#This Row],[Reinforcement]]="","",φ_v*0.5*Reinforcements[[#This Row],[F''y]]*Reinforcements[[#This Row],[Gross Area (in2)]])</f>
        <v/>
      </c>
      <c r="DM67"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7"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7"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7"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7"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7"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7"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7"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7"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7"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7"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7"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7" s="206" t="str">
        <f>IF($AZ67="Yes",DW67,IF(Reinforcements[[#This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7" s="206" t="str">
        <f>IF($AZ67="Yes",DX67,IF(Reinforcements[[#This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7" s="507" t="str">
        <f>IF(OR(Reinforcements[[#This Row],[Type]]="plate",Reinforcements[[#This Row],[Type]]="solid round"),"N/A",Reinforcements[[#This Row],[B (in)]])</f>
        <v/>
      </c>
      <c r="EB67" s="508" t="str">
        <f>IF(OR(Reinforcements[[#This Row],[Type]]="plate",Reinforcements[[#This Row],[Type]]="solid round"),"N/A",Reinforcements[[#This Row],[H (in)]])</f>
        <v/>
      </c>
      <c r="EC67" s="508" t="e">
        <f>IF(OR(Reinforcements[[#This Row],[Type]]="plate",Reinforcements[[#This Row],[Type]]="solid round"),"N/A",Reinforcements[[#This Row],[B (in)]]-Reinforcements[[#This Row],['[Channel'] Flange Thickness (in)]])</f>
        <v>#VALUE!</v>
      </c>
      <c r="ED67" s="508" t="str">
        <f>IF(OR(Reinforcements[[#This Row],[Type]]="plate",Reinforcements[[#This Row],[Type]]="solid round"),"N/A",Reinforcements[[#This Row],['[Channel']Web Thickness (in)]])</f>
        <v/>
      </c>
      <c r="EE67" s="508" t="str">
        <f>IF(OR(Reinforcements[[#This Row],[Type]]="plate",Reinforcements[[#This Row],[Type]]="solid round"),"N/A",Reinforcements[[#This Row],['[Channel'] Flange Thickness (in)]])</f>
        <v/>
      </c>
      <c r="EF67" s="508" t="str">
        <f>IF(Reinforcements[[#This Row],[Type]]="channel",Reinforcements[[#This Row],[Channel Flange Width, b]]/Reinforcements[[#This Row],[Channel flange thickness, tf]],"N/A")</f>
        <v>N/A</v>
      </c>
      <c r="EG67" s="508" t="str">
        <f>IF(Reinforcements[[#This Row],[Type]]="channel",Reinforcements[[#This Row],[Channel inside depth, T]]/Reinforcements[[#This Row],[Channel web thickness, tw]],"N/A")</f>
        <v>N/A</v>
      </c>
      <c r="EH67" s="252">
        <v>28995</v>
      </c>
      <c r="EI67" s="252" t="str">
        <f>IF(Reinforcements[[#This Row],[Type]]="channel",0.56*SQRT(Reinforcements[[#This Row],[E, (ksi)]]/Reinforcements[[#This Row],[Fy, (ksi)]]),"N/A")</f>
        <v>N/A</v>
      </c>
      <c r="EJ67" s="252" t="str">
        <f>IF(Reinforcements[[#This Row],[Type]]="channel",1.49*SQRT(Reinforcements[[#This Row],[E, (ksi)]]/Reinforcements[[#This Row],[Fy, (ksi)]]),"N/A")</f>
        <v>N/A</v>
      </c>
      <c r="EK67" s="252" t="e">
        <f>VLOOKUP(Reinforcements[[#This Row],[Material]],Materials!$B$2:$C$30,2,FALSE)</f>
        <v>#N/A</v>
      </c>
      <c r="EL67" s="252" t="e">
        <f>Reinforcements[[#This Row],[Lu (in)]]*Reinforcements[[#This Row],[Effective Length Factor Kx]]</f>
        <v>#VALUE!</v>
      </c>
      <c r="EM67" s="252" t="e">
        <f>Reinforcements[[#This Row],[Lu (in)]]*Reinforcements[[#This Row],[Effective Length Factor Ky]]</f>
        <v>#VALUE!</v>
      </c>
      <c r="EN67" s="252" t="str">
        <f>Reinforcements[[#This Row],[rx]]</f>
        <v/>
      </c>
      <c r="EO67" s="252" t="str">
        <f>Reinforcements[[#This Row],[ry]]</f>
        <v/>
      </c>
      <c r="EP67" s="252" t="e">
        <f>Reinforcements[[#This Row],[Lcx (in)]]/Reinforcements[[#This Row],[rx (in)]]</f>
        <v>#VALUE!</v>
      </c>
      <c r="EQ67" s="252" t="e">
        <f>Reinforcements[[#This Row],[Lcy (in)]]/Reinforcements[[#This Row],[ry (in)]]</f>
        <v>#VALUE!</v>
      </c>
      <c r="ER67" s="252" t="e">
        <f>((PI()^2)*Reinforcements[[#This Row],[E, (ksi)]])/(Reinforcements[[#This Row],[Lcx/rx]]^2)</f>
        <v>#VALUE!</v>
      </c>
      <c r="ES67" s="252" t="e">
        <f>((PI()^2)*Reinforcements[[#This Row],[E, (ksi)]])/(Reinforcements[[#This Row],[Lcy/ry]]^2)</f>
        <v>#VALUE!</v>
      </c>
      <c r="ET67" s="252" t="e">
        <f>4.71*(SQRT(Reinforcements[[#This Row],[E, (ksi)]]/Reinforcements[[#This Row],[Fy, (ksi)]]))</f>
        <v>#N/A</v>
      </c>
      <c r="EU67" s="252" t="e">
        <f>IF(Reinforcements[[#This Row],[Lcx/rx]]&lt;=Reinforcements[[#This Row],[Fcr Limit]],(0.658^(Reinforcements[[#This Row],[Fy, (ksi)]]/Reinforcements[[#This Row],[Fex, FB (ksi)]]))*Reinforcements[[#This Row],[Fy, (ksi)]],0.877*Reinforcements[[#This Row],[Fex, FB (ksi)]])</f>
        <v>#VALUE!</v>
      </c>
      <c r="EV67" s="252" t="e">
        <f>IF(Reinforcements[[#This Row],[Lcy/ry]]&lt;=Reinforcements[[#This Row],[Fcr Limit]],(0.658^(Reinforcements[[#This Row],[Fy, (ksi)]]/Reinforcements[[#This Row],[Fey, FB (ksi)]]))*Reinforcements[[#This Row],[Fy, (ksi)]],0.877*Reinforcements[[#This Row],[Fey, FB (ksi)]])</f>
        <v>#VALUE!</v>
      </c>
      <c r="EW67" s="252" t="e">
        <f>Reinforcements[[#This Row],[Fcrx (ksi)]]*Reinforcements[[#This Row],[Gross Area (in2)]]</f>
        <v>#VALUE!</v>
      </c>
      <c r="EX67" s="252" t="e">
        <f>Reinforcements[[#This Row],[Fcry (ksi)]]*Reinforcements[[#This Row],[Gross Area (in2)]]</f>
        <v>#VALUE!</v>
      </c>
      <c r="EY67" s="252" t="str">
        <f>IF(Reinforcements[[#This Row],[Type]]="channel",0,"N/A")</f>
        <v>N/A</v>
      </c>
      <c r="EZ67" s="252" t="str">
        <f>IF(Reinforcements[[#This Row],[Type]]="channel",Reinforcements[[#This Row],[Channel Flange Width, b]]-(0.5*Reinforcements[[#This Row],[Channel web thickness, tw]]),"N/A")</f>
        <v>N/A</v>
      </c>
      <c r="FA67" s="252" t="str">
        <f>IF(Reinforcements[[#This Row],[Type]]="channel",Reinforcements[[#This Row],[Channel Height, h]]-Reinforcements[[#This Row],[Channel flange thickness, tf]],"N/A")</f>
        <v>N/A</v>
      </c>
      <c r="FB67" s="252" t="str">
        <f>IF(Reinforcements[[#This Row],[Type]]="channel",Reinforcements[[#This Row],[Channel web thickness, tw]],"N/A")</f>
        <v>N/A</v>
      </c>
      <c r="FC67" s="252" t="str">
        <f>IF(Reinforcements[[#This Row],[Type]]="channel",((3*Reinforcements[[#This Row],[b]]^2)/(Reinforcements[[#This Row],[h]]+(6*Reinforcements[[#This Row],[b]])))-Reinforcements[[#This Row],[t]]/2,"N/A")</f>
        <v>N/A</v>
      </c>
      <c r="FD67" s="252" t="str">
        <f>Reinforcements[[#This Row],[Pole Face to Centroid (in)]]</f>
        <v/>
      </c>
      <c r="FE67" s="508" t="str">
        <f>IF(Reinforcements[[#This Row],[Type]]="channel",Reinforcements[[#This Row],[x(bar)]]+Reinforcements[[#This Row],['[Channel'] e0 (in)]],"N/A")</f>
        <v>N/A</v>
      </c>
      <c r="FF67" s="508" t="str">
        <f>IF(Reinforcements[[#This Row],[Type]]="channel",Reinforcements[[#This Row],[Ix]],"N/A")</f>
        <v>N/A</v>
      </c>
      <c r="FG67" s="508" t="str">
        <f>IF(Reinforcements[[#This Row],[Type]]="channel",Reinforcements[[#This Row],[Iy]],"N/A")</f>
        <v>N/A</v>
      </c>
      <c r="FH67" s="508" t="str">
        <f>IF(Reinforcements[[#This Row],[Type]]="channel",Reinforcements[[#This Row],[Gross Area (in2)]],"N/A")</f>
        <v>N/A</v>
      </c>
      <c r="FI67" s="508" t="str">
        <f>IF(Reinforcements[[#This Row],[Type]]="channel",(Reinforcements[[#This Row],[xo]]^2)+((Reinforcements[[#This Row],[Ix (FTB)]]+Reinforcements[[#This Row],[Iy (FTB)]])/Reinforcements[[#This Row],[Ag]]),"N/A")</f>
        <v>N/A</v>
      </c>
      <c r="FJ67" s="508" t="str">
        <f>IF(Reinforcements[[#This Row],[Type]]="channel",Reinforcements[[#This Row],[Lu (in)]],"N/A")</f>
        <v>N/A</v>
      </c>
      <c r="FK67" s="508" t="str">
        <f>IF(Reinforcements[[#This Row],[Type]]="channel",Reinforcements[[#This Row],[Effective Length Factor Kx]],"N/A")</f>
        <v>N/A</v>
      </c>
      <c r="FL67" s="508" t="str">
        <f>IF(Reinforcements[[#This Row],[Type]]="channel",Reinforcements[[#This Row],[Kz]]*Reinforcements[[#This Row],[Lz]],"N/A")</f>
        <v>N/A</v>
      </c>
      <c r="FM67" s="508" t="str">
        <f>IF(Reinforcements[[#This Row],[Type]]="channel",(((Reinforcements[[#This Row],[t]]^3)/3)*(Reinforcements[[#This Row],[h]]+(2*Reinforcements[[#This Row],[b]]))),"N/A")</f>
        <v>N/A</v>
      </c>
      <c r="FN67" s="508" t="str">
        <f>IF(Reinforcements[[#This Row],[Type]]="channel",(1-(((Reinforcements[[#This Row],[xo]]^2)+(Reinforcements[[#This Row],[yo]]^2))/Reinforcements[[#This Row],[ro^2(bar)]])),"N/A")</f>
        <v>N/A</v>
      </c>
      <c r="FO67" s="252">
        <v>11194</v>
      </c>
      <c r="FP67" s="508" t="str">
        <f>IF(Reinforcements[[#This Row],[Type]]="channel",(((Reinforcements[[#This Row],[h]]^2)*(Reinforcements[[#This Row],[b]]^3)*Reinforcements[[#This Row],[t]])/12)*(((2*Reinforcements[[#This Row],[h]])+(3*Reinforcements[[#This Row],[b]]))/(Reinforcements[[#This Row],[h]]+(6*Reinforcements[[#This Row],[b]]))),"N/A")</f>
        <v>N/A</v>
      </c>
      <c r="FQ67" s="508" t="str">
        <f>IF(Reinforcements[[#This Row],[Type]]="Channel",((((PI()^2)*Reinforcements[[#This Row],[E, (ksi)]]*Reinforcements[[#This Row],['[Channel'] CW (in6)]])/(Reinforcements[[#This Row],[Lcz]]^2))+(Reinforcements[[#This Row],[G]]*Reinforcements[[#This Row],['[Channel'] J (in4)]]))*(1/(Reinforcements[[#This Row],[Ag]]*Reinforcements[[#This Row],[ro^2(bar)]])),"N/A")</f>
        <v>N/A</v>
      </c>
      <c r="FR67" s="508" t="str">
        <f>IF(Reinforcements[[#This Row],[Type]]="channel",((PI()^2)*Reinforcements[[#This Row],[E, (ksi)]])/(Reinforcements[[#This Row],[Lcy/ry]]^2),"N/A")</f>
        <v>N/A</v>
      </c>
      <c r="FS67" s="508" t="str">
        <f>IF(Reinforcements[[#This Row],[Type]]="channel",((Reinforcements[[#This Row],[Fey]]+Reinforcements[[#This Row],[Fez]])/(2*Reinforcements[[#This Row],[H2]]))*(1-SQRT(1-((4*Reinforcements[[#This Row],[Fey]]*Reinforcements[[#This Row],[Fez]]*Reinforcements[[#This Row],[H2]])/(Reinforcements[[#This Row],[Fey]]+Reinforcements[[#This Row],[Fez]])^2))),"N/A")</f>
        <v>N/A</v>
      </c>
      <c r="FT67" s="508" t="str">
        <f>IF(Reinforcements[[#This Row],[Type]]="channel",IF(Reinforcements[[#This Row],[Lcx/rx]]&gt;(4.71*SQRT(Reinforcements[[#This Row],[E, (ksi)]]/Reinforcements[[#This Row],[Fy, (ksi)]])),0.877*Reinforcements[[#This Row],[Fe (FTB)]],0.658^(Reinforcements[[#This Row],[Fy, (ksi)]]/Reinforcements[[#This Row],[Fe (FTB)]])*Reinforcements[[#This Row],[Fy, (ksi)]]),"N/A")</f>
        <v>N/A</v>
      </c>
      <c r="FU67" s="508" t="str">
        <f>IF(Reinforcements[[#This Row],[Type]]="channel",MIN(Reinforcements[[#This Row],[Fcr(FTB)]],Reinforcements[[#This Row],[Fcry (ksi)]]),"N/A")</f>
        <v>N/A</v>
      </c>
      <c r="FV67" s="252">
        <v>0.22</v>
      </c>
      <c r="FW67" s="252">
        <v>1.49</v>
      </c>
      <c r="FX67" s="508" t="str">
        <f>IF(Reinforcements[[#This Row],[Type]]="channel",((Reinforcements[[#This Row],[c2]]*(Reinforcements[[#This Row],[λrf]]/Reinforcements[[#This Row],[λf]]))^2)*Reinforcements[[#This Row],[Fy, (ksi)]],"N/A")</f>
        <v>N/A</v>
      </c>
      <c r="FY67" s="508" t="str">
        <f>IF(Reinforcements[[#This Row],[Type]]="channel",((Reinforcements[[#This Row],[c2]]*(Reinforcements[[#This Row],[λrw]]/Reinforcements[[#This Row],[λw]]))^2)*Reinforcements[[#This Row],[Fy, (ksi)]],"N/A")</f>
        <v>N/A</v>
      </c>
      <c r="FZ67"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7"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7"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7" s="508" t="str">
        <f>IF(Reinforcements[[#This Row],[Type]]="channel",Reinforcements[[#This Row],[Fcr]]*Reinforcements[[#This Row],[Ae]],"N/A")</f>
        <v>N/A</v>
      </c>
      <c r="GD67" s="462" t="str">
        <f>IF(Reinforcements[[#This Row],[Reinforcement]]="","",φ_c*Reinforcements[[#This Row],[Pnx, FB (kip)]])</f>
        <v/>
      </c>
      <c r="GE67" s="462" t="str">
        <f>IF(Reinforcements[[#This Row],[Reinforcement]]="","",IF(Reinforcements[[#This Row],[Type]]="channel",φ_c*Reinforcements[[#This Row],[Pn]],φ_c*Reinforcements[[#This Row],[Pny, FB (kip)]]))</f>
        <v/>
      </c>
      <c r="GF67" s="462" t="str">
        <f>Reinforcements[[#This Row],[Rev. G Tension Yield Capacity (kips)]]</f>
        <v/>
      </c>
      <c r="GG67" s="462" t="str">
        <f>Reinforcements[[#This Row],[Rev. G Tension Rupture Capacity (kips)]]</f>
        <v/>
      </c>
      <c r="GH67" s="462" t="str">
        <f>Reinforcements[[#This Row],[Rev. G Shear Capacity (kips)]]</f>
        <v/>
      </c>
      <c r="GI67" s="462" t="str">
        <f>IFERROR((Reinforcements[[#This Row],['# of End Connection Bolts          (Bottom)]]-1)*Reinforcements[[#This Row],[End Connection Bolt Spacing (in) (B)]],"-")</f>
        <v>-</v>
      </c>
      <c r="GJ67" s="462" t="str">
        <f>IFERROR(IF(VLOOKUP(Reinforcements[[#This Row],[Bottom End Connection Bolt Type]],Bolts[],COLUMN(Bolts[[#Headers],[Rev. H Apply Connection Length Reduction Factor (Rb)?]])-1,FALSE)="Yes",(IF(Reinforcements[[#This Row],[Lb(bottom)]]&lt;=16,1,IF(Reinforcements[[#This Row],[Lb(bottom)]]&gt;38,0.75,0.9))),1),"-")</f>
        <v>-</v>
      </c>
      <c r="GK67"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7" s="462" t="str">
        <f>IFERROR(IF(Reinforcements[[#This Row],[Top End Connection Same?]]="Yes",Reinforcements[[#This Row],[Lb(bottom)]],(Reinforcements[[#This Row],['# of End Connection Bolts          (Top)]]-1)*Reinforcements[[#This Row],[End Connection Bolt Spacing (in) (T)]]),"-")</f>
        <v>-</v>
      </c>
      <c r="GM67" s="462" t="str">
        <f>IFERROR(IF(VLOOKUP(Reinforcements[[#This Row],[Top End Connection Bolt Type]],Bolts[],COLUMN(Bolts[[#Headers],[Rev. H Apply Connection Length Reduction Factor (Rb)?]])-1,FALSE)="Yes",(IF(Reinforcements[[#This Row],[Lb(top)]]&lt;=16,1,IF(Reinforcements[[#This Row],[Lb(top)]]&gt;38,0.75,0.9))),1),"-")</f>
        <v>-</v>
      </c>
      <c r="GN67"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7" s="462" t="str">
        <f>Reinforcements[[#This Row],[Rev. G Bolt-Shaft Bearing Capacity (Bottom)                No Deformation          (*t*Fu kips)]]</f>
        <v>-</v>
      </c>
      <c r="GP67" s="462" t="str">
        <f>Reinforcements[[#This Row],[Rev. G Bolt-Shaft Bearing Capacity (Bottom)                   Deformation          (*t*Fu kips)]]</f>
        <v>-</v>
      </c>
      <c r="GQ67" s="462" t="str">
        <f>Reinforcements[[#This Row],[Rev. G Bolt-Shaft Bearing Capacity (Top)                    No Deformation          (*t*Fu kips)]]</f>
        <v>-</v>
      </c>
      <c r="GR67" s="462" t="str">
        <f>Reinforcements[[#This Row],[Rev. G Bolt-Shaft Bearing Capacity (Top)                        Deformation          (*t*Fu kips)]]</f>
        <v>-</v>
      </c>
      <c r="GS67" s="462" t="str">
        <f>Reinforcements[[#This Row],[Rev. G Bolt-Reinf. Bearing Capacity (Bottom)            No Deformation (kips)]]</f>
        <v>-</v>
      </c>
      <c r="GT67" s="462" t="str">
        <f>Reinforcements[[#This Row],[Rev. G Bolt-Reinf. Bearing Capacity (Bottom)               Deformation (kips)]]</f>
        <v>-</v>
      </c>
      <c r="GU67" s="462" t="str">
        <f>Reinforcements[[#This Row],[Rev. G Bolt-Reinf. Bearing Capacity (Top)                  No Deformation (kips)]]</f>
        <v>-</v>
      </c>
      <c r="GV67" s="462" t="str">
        <f>Reinforcements[[#This Row],[Rev. G Bolt-Reinf. Bearing Capacity (Top)               Deformation (kips)]]</f>
        <v>-</v>
      </c>
      <c r="GW67" s="462" t="str">
        <f>Reinforcements[[#This Row],[Rev. G Bottom Transverse Weld Strength]]</f>
        <v/>
      </c>
      <c r="GX67" s="462" t="str">
        <f>Reinforcements[[#This Row],[Rev. G Bottom Longitudinal Weld Strength]]</f>
        <v/>
      </c>
      <c r="GY67" s="462" t="str">
        <f>Reinforcements[[#This Row],[Rev. G Top Transverse Weld Strength]]</f>
        <v/>
      </c>
      <c r="GZ67" s="462" t="str">
        <f>Reinforcements[[#This Row],[Rev. G Top Longitudinal Weld Strength]]</f>
        <v/>
      </c>
      <c r="HA67" s="552">
        <v>65</v>
      </c>
      <c r="HB67"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8" spans="2:210" x14ac:dyDescent="0.2">
      <c r="B68" s="129"/>
      <c r="C68" s="129"/>
      <c r="D68" s="201" t="str">
        <f>IF(Reinforcements[[#This Row],[Type]]="","",IF(Reinforcements[[#This Row],[Type]]="solid round","-",""))</f>
        <v/>
      </c>
      <c r="E68" s="201" t="str">
        <f>IF(Reinforcements[[#This Row],[Type]]="","",IF(Reinforcements[[#This Row],[Type]]="solid round","-",""))</f>
        <v/>
      </c>
      <c r="F68" s="201" t="str">
        <f>IF(Reinforcements[[#This Row],[Type]]="","",IF(Reinforcements[[#This Row],[Type]]="solid round","","n/a"))</f>
        <v/>
      </c>
      <c r="G68" s="201" t="str">
        <f>IF(Reinforcements[[#This Row],[Type]]="","",IF(Reinforcements[[#This Row],[Type]]&lt;&gt;"channel","n/a",""))</f>
        <v/>
      </c>
      <c r="H68" s="201" t="str">
        <f>IF(Reinforcements[[#This Row],[Type]]="","",IF(Reinforcements[[#This Row],[Type]]&lt;&gt;"channel","n/a",""))</f>
        <v/>
      </c>
      <c r="I68" s="224" t="str">
        <f>IF(Reinforcements[[#This Row],[Type]]="","",IF(Reinforcements[[#This Row],[Type]]&lt;&gt;"channel","n/a",Reinforcements[[#This Row],[eo]]))</f>
        <v/>
      </c>
      <c r="J68" s="224" t="str">
        <f>IF(Reinforcements[[#This Row],[Type]]="","",IF(Reinforcements[[#This Row],[Type]]&lt;&gt;"channel","n/a",Reinforcements[[#This Row],[J]]))</f>
        <v/>
      </c>
      <c r="K68" s="224" t="str">
        <f>IF(Reinforcements[[#This Row],[Type]]="","",IF(Reinforcements[[#This Row],[Type]]&lt;&gt;"channel","n/a",Reinforcements[[#This Row],[Cw]]))</f>
        <v/>
      </c>
      <c r="L68" s="201" t="str">
        <f>IFERROR(IF(Reinforcements[[#This Row],[Type]]="","",IF(Reinforcements[[#This Row],[Type]]="plate",Reinforcements[[#This Row],[B (in)]]*Reinforcements[[#This Row],[H (in)]],IF(Reinforcements[[#This Row],[Type]]="solid round",PI()/4*Reinforcements[[#This Row],[Diameter (in)]]^2,""))),"")</f>
        <v/>
      </c>
      <c r="M68" s="201" t="str">
        <f>IFERROR(IF(Reinforcements[[#This Row],[Type]]="","",IF(Reinforcements[[#This Row],[Type]]="plate",Reinforcements[[#This Row],[H (in)]]/2,"")),"")</f>
        <v/>
      </c>
      <c r="N68" s="202"/>
      <c r="O68" s="203"/>
      <c r="P68" s="215" t="str">
        <f>IFERROR(IF(Reinforcements[[#This Row],[Type]]="","",IF(Reinforcements[[#This Row],[Type]]="plate",Reinforcements[[#This Row],[B (in)]]*Reinforcements[[#This Row],[H (in)]]^3/12,IF(Reinforcements[[#This Row],[Type]]="solid round",PI()/64*Reinforcements[[#This Row],[Diameter (in)]]^4,""))),"")</f>
        <v/>
      </c>
      <c r="Q68" s="215" t="str">
        <f>IF(Reinforcements[[#This Row],[Reinforcement]]="","",SQRT(Reinforcements[[#This Row],[Ix]]/Reinforcements[[#This Row],[Gross Area (in2)]]))</f>
        <v/>
      </c>
      <c r="R68" s="215" t="str">
        <f>IFERROR(IF(Reinforcements[[#This Row],[Type]]="","",IF(Reinforcements[[#This Row],[Type]]="plate",Reinforcements[[#This Row],[B (in)]]^3*Reinforcements[[#This Row],[H (in)]]/12,IF(Reinforcements[[#This Row],[Type]]="solid round",PI()/64*Reinforcements[[#This Row],[Diameter (in)]]^4,""))),"")</f>
        <v/>
      </c>
      <c r="S68" s="215" t="str">
        <f>IF(Reinforcements[[#This Row],[Reinforcement]]="","",SQRT(Reinforcements[[#This Row],[Iy]]/Reinforcements[[#This Row],[Gross Area (in2)]]))</f>
        <v/>
      </c>
      <c r="T68" s="206"/>
      <c r="U68" s="204" t="str">
        <f>IF(Reinforcements[[#This Row],[Lu (in)]]="","",IF(Reinforcements[[#This Row],[Lu (in)]]=0,1,""))</f>
        <v/>
      </c>
      <c r="V68" s="204" t="str">
        <f>IF(Reinforcements[[#This Row],[Lu (in)]]="","",IF(Reinforcements[[#This Row],[Lu (in)]]=0,1,""))</f>
        <v/>
      </c>
      <c r="W68" s="201" t="str">
        <f>IF(Reinforcements[[#This Row],[Type]]="","",IF(Reinforcements[[#This Row],[Type]]="solid round",0,IF(Reinforcements[[#This Row],[Type]]="arbitrary","n/a","")))</f>
        <v/>
      </c>
      <c r="X68" s="204" t="str">
        <f>IF(Reinforcements[[#This Row],[Bolt Hole Size (in)]]="","",IF(Reinforcements[[#This Row],[Bolt Hole Size (in)]]="n/a","n/a",Reinforcements[[#This Row],[Bolt Hole Size (in)]]*25.4))</f>
        <v/>
      </c>
      <c r="Y68"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8" s="201" t="str">
        <f>IFERROR(IF(Reinforcements[[#This Row],[Reinforcement]]="","",IF(OR(Reinforcements[[#This Row],[Type]]="plate",Reinforcements[[#This Row],[Type]]="solid round"),1,IF(Reinforcements[[#This Row],[Type]]="arbitrary","",1-Reinforcements[[#This Row],[Pole Face to Centroid (in)]]/Reinforcements[[#This Row],[Connection Length (in) '[Channels']]]))),"")</f>
        <v/>
      </c>
      <c r="AA68" s="205"/>
      <c r="AB68" s="103" t="str">
        <f>IF(Reinforcements[[#This Row],[Reinforcement]]="","",IF(Reinforcements[[#This Row],[Bottom End Connection Type]]&lt;&gt;"Capacity Input","-",""))</f>
        <v/>
      </c>
      <c r="AC68" s="103" t="str">
        <f>IF(Reinforcements[[#This Row],[Reinforcement]]="","",IF(Reinforcements[[#This Row],[Bottom End Connection Type]]&lt;&gt;"Capacity Input","-",""))</f>
        <v/>
      </c>
      <c r="AD68" s="253" t="str">
        <f>IF(Reinforcements[[#This Row],[Reinforcement]]="","",IF(Reinforcements[[#This Row],[Bottom End Connection Type]]&lt;&gt;"Capacity Input","-",""))</f>
        <v/>
      </c>
      <c r="AE68" s="103" t="str">
        <f>IF(Reinforcements[[#This Row],[Reinforcement]]="","",IF(Reinforcements[[#This Row],[Bottom End Connection Type]]&lt;&gt;"Bolted","-",""))</f>
        <v/>
      </c>
      <c r="AF68" s="206" t="str">
        <f>IF(Reinforcements[[#This Row],[Reinforcement]]="","",IF(Reinforcements[[#This Row],[Bottom End Connection Type]]&lt;&gt;"Bolted","-",""))</f>
        <v/>
      </c>
      <c r="AG68" s="206" t="str">
        <f>IF(Reinforcements[[#This Row],[Reinforcement]]="","",IF(Reinforcements[[#This Row],[Bottom End Connection Type]]="","-",IF(Reinforcements[[#This Row],[Bottom End Connection Type]]&lt;&gt;"Bolted","-","")))</f>
        <v/>
      </c>
      <c r="AH68" s="206" t="str">
        <f>IF(Reinforcements[[#This Row],[Reinforcement]]="","",IF(Reinforcements[[#This Row],[Bottom End Connection Type]]="","-",IF(Reinforcements[[#This Row],[Bottom End Connection Type]]&lt;&gt;"Bolted","-","")))</f>
        <v/>
      </c>
      <c r="AI68" s="206" t="str">
        <f>IF(Reinforcements[[#This Row],[Reinforcement]]="","",IF(Reinforcements[[#This Row],[Bottom End Connection Type]]="","-",IF(Reinforcements[[#This Row],[Bottom End Connection Type]]&lt;&gt;"Bolted","-","")))</f>
        <v/>
      </c>
      <c r="AJ68" s="206" t="e">
        <f>Reinforcements[[#This Row],[End Connection Edge Distance (in) (B)]]-(Reinforcements[[#This Row],[Bolt Hole Size (in)]]+1/16)/2</f>
        <v>#VALUE!</v>
      </c>
      <c r="AK68" s="206" t="e">
        <f>Reinforcements[[#This Row],[End Connection Bolt Spacing (in) (B)]]-(Reinforcements[[#This Row],[Bolt Hole Size (in)]]+1/16)</f>
        <v>#VALUE!</v>
      </c>
      <c r="AL68" s="206" t="str">
        <f>Reinforcements[[#This Row],[End Connection Edge Distance (in) (B)]]</f>
        <v/>
      </c>
      <c r="AM68" s="206" t="str">
        <f>Reinforcements[[#This Row],[End Connection Bolt Spacing (in) (B)]]</f>
        <v/>
      </c>
      <c r="AN68" s="206" t="str">
        <f>IF(Reinforcements[[#This Row],[Reinforcement]]="","",IF(OR(Reinforcements[[#This Row],[Bottom End Connection Type]]="Bolted",Reinforcements[[#This Row],[Bottom End Connection Type]]=""),"-",""))</f>
        <v/>
      </c>
      <c r="AO68" s="214" t="str">
        <f>IF(Reinforcements[[#This Row],[Reinforcement]]="","",IF(Reinforcements[[#This Row],[Bottom End Connection Type]]&lt;&gt;"Welded","-",""))</f>
        <v/>
      </c>
      <c r="AP68" s="214" t="str">
        <f>IF(Reinforcements[[#This Row],[Reinforcement]]="","",IF(Reinforcements[[#This Row],[Bottom End Connection Type]]&lt;&gt;"Welded","-",""))</f>
        <v/>
      </c>
      <c r="AQ68" s="214" t="str">
        <f>IF(Reinforcements[[#This Row],[Reinforcement]]="","",IF(OR(Reinforcements[[#This Row],[Bottom End Connection Type]]&lt;&gt;"Welded",Reinforcements[[#This Row],[Bottom Transverse (Horizontal) Weld]]="None"),"-",""))</f>
        <v/>
      </c>
      <c r="AR68"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8"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8" s="214" t="str">
        <f>IF(Reinforcements[[#This Row],[Reinforcement]]="","",IF(OR(Reinforcements[[#This Row],[Bottom Transverse (Horizontal) Weld]]="None",Reinforcements[[#This Row],[Bottom End Connection Type]]&lt;&gt;"Welded"),"-",""))</f>
        <v/>
      </c>
      <c r="AU68"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8" s="214" t="str">
        <f>IF(Reinforcements[[#This Row],[Reinforcement]]="","",IF(OR(Reinforcements[[#This Row],[Bottom End Connection Type]]&lt;&gt;"Welded",Reinforcements[[#This Row],[Bottom End Connection Type]]=""),"-",""))</f>
        <v/>
      </c>
      <c r="AW68" s="214" t="str">
        <f>IF(Reinforcements[[#This Row],[Reinforcement]]="","",IF(OR(Reinforcements[[#This Row],[Bottom End Connection Type]]&lt;&gt;"Welded",Reinforcements[[#This Row],[Bottom Longitudinal (Vertical) Weld]]="None",Reinforcements[[#This Row],[Bottom Longitudinal (Vertical) Weld]]=""),"-",""))</f>
        <v/>
      </c>
      <c r="AX68" s="214" t="str">
        <f>IF(Reinforcements[[#This Row],[Reinforcement]]="","",IF(OR(Reinforcements[[#This Row],[Bottom End Connection Type]]&lt;&gt;"Welded",Reinforcements[[#This Row],[Bottom Longitudinal (Vertical) Weld]]="None",Reinforcements[[#This Row],[Bottom Longitudinal (Vertical) Weld]]=""),"-",""))</f>
        <v/>
      </c>
      <c r="AY68" s="206" t="str">
        <f>IF(Reinforcements[[#This Row],[Reinforcement]]="","",IF(OR(Reinforcements[[#This Row],[Bottom End Connection Type]]&lt;&gt;"Welded",Reinforcements[[#This Row],[Bottom Longitudinal (Vertical) Weld]]="None"),"-",SQRT(2)/2*Reinforcements[[#This Row],[Bottom Longitudinal Weld Fillet Size (in)]]))</f>
        <v/>
      </c>
      <c r="AZ68" s="206"/>
      <c r="BA68" s="103" t="str">
        <f>IF(Reinforcements[[#This Row],[Top End Connection Same?]]="Yes",Reinforcements[[#This Row],[Bottom End Connection Type]],"")</f>
        <v/>
      </c>
      <c r="BB68" s="103" t="str">
        <f>IF(Reinforcements[[#This Row],[Reinforcement]]="","",IF(Reinforcements[[#This Row],[Top End Connection Same?]]="Yes",Reinforcements[[#This Row],[Rev. F Bottom Connection Capacity (kips)]],IF(Reinforcements[[#This Row],[Reinforcement]]="","",IF(Reinforcements[[#This Row],[Top End Connection Type]]&lt;&gt;"Capacity Input","-",""))))</f>
        <v/>
      </c>
      <c r="BC68" s="103" t="str">
        <f>IF(Reinforcements[[#This Row],[Reinforcement]]="","",IF(Reinforcements[[#This Row],[Top End Connection Same?]]="Yes",Reinforcements[[#This Row],[Rev. G Bottom Connection Capacity (kips)]],IF(Reinforcements[[#This Row],[Reinforcement]]="","",IF(Reinforcements[[#This Row],[Top End Connection Type]]&lt;&gt;"Capacity Input","-",""))))</f>
        <v/>
      </c>
      <c r="BD68" s="253" t="str">
        <f>IF(Reinforcements[[#This Row],[Reinforcement]]="","",IF(Reinforcements[[#This Row],[Top End Connection Same?]]="Yes",Reinforcements[[#This Row],[Rev. G Bottom Connection Capacity (kips)]],IF(Reinforcements[[#This Row],[Reinforcement]]="","",IF(Reinforcements[[#This Row],[Top End Connection Type]]&lt;&gt;"Capacity Input","-",""))))</f>
        <v/>
      </c>
      <c r="BE68" s="103" t="str">
        <f>IF(Reinforcements[[#This Row],[Reinforcement]]="","",IF(Reinforcements[[#This Row],[Top End Connection Same?]]="Yes",Reinforcements[[#This Row],[Bottom End Connection Bolt Type]],IF(Reinforcements[[#This Row],[Top End Connection Type]]&lt;&gt;"Bolted","-","")))</f>
        <v/>
      </c>
      <c r="BF68" s="206" t="str">
        <f>IF(Reinforcements[[#This Row],[Reinforcement]]="","",IF(Reinforcements[[#This Row],[Top End Connection Same?]]="Yes",Reinforcements[[#This Row],[Threads Included (N) or Excluded (X) (Bottom)]],IF(Reinforcements[[#This Row],[Top End Connection Type]]&lt;&gt;"Bolted","-","")))</f>
        <v/>
      </c>
      <c r="BG68" s="206" t="str">
        <f>IF(Reinforcements[[#This Row],[Reinforcement]]="","",IF(Reinforcements[[#This Row],[Top End Connection Same?]]="Yes",Reinforcements[[#This Row],['# of End Connection Bolts          (Bottom)]],IF(Reinforcements[[#This Row],[Top End Connection Type]]&lt;&gt;"Bolted","-","")))</f>
        <v/>
      </c>
      <c r="BH68" s="206" t="str">
        <f>IF(Reinforcements[[#This Row],[Reinforcement]]="","",IF(Reinforcements[[#This Row],[Top End Connection Same?]]="Yes",Reinforcements[[#This Row],[End Connection Bolt Spacing (in) (B)]],IF(Reinforcements[[#This Row],[Top End Connection Type]]&lt;&gt;"Bolted","-","")))</f>
        <v/>
      </c>
      <c r="BI68" s="206" t="str">
        <f>IF(Reinforcements[[#This Row],[Reinforcement]]="","",IF(Reinforcements[[#This Row],[Top End Connection Same?]]="Yes",Reinforcements[[#This Row],[End Connection Edge Distance (in) (B)]],IF(Reinforcements[[#This Row],[Top End Connection Type]]&lt;&gt;"Bolted","-","")))</f>
        <v/>
      </c>
      <c r="BJ68" s="206" t="e">
        <f>Reinforcements[[#This Row],[End Connection Edge Distance (in) (T)]]-(Reinforcements[[#This Row],[Bolt Hole Size (in)]]+1/16)/2</f>
        <v>#VALUE!</v>
      </c>
      <c r="BK68" s="206" t="e">
        <f>Reinforcements[[#This Row],[End Connection Bolt Spacing (in) (T)]]-(Reinforcements[[#This Row],[Bolt Hole Size (in)]]+1/16)</f>
        <v>#VALUE!</v>
      </c>
      <c r="BL68" s="206" t="str">
        <f>Reinforcements[[#This Row],[End Connection Edge Distance (in) (T)]]</f>
        <v/>
      </c>
      <c r="BM68" s="206" t="str">
        <f>Reinforcements[[#This Row],[End Connection Bolt Spacing (in) (T)]]</f>
        <v/>
      </c>
      <c r="BN68" s="206" t="str">
        <f>IF(Reinforcements[[#This Row],[Reinforcement]]="","",IF(Reinforcements[[#This Row],[Top End Connection Same?]]="Yes",Reinforcements[[#This Row],[Bottom Connected to Flange/Base Plate?]],IF(Reinforcements[[#This Row],[Top End Connection Type]]="Bolted","-","")))</f>
        <v/>
      </c>
      <c r="BO68" s="206" t="str">
        <f>IF(Reinforcements[[#This Row],[Reinforcement]]="","",IF(Reinforcements[[#This Row],[Top End Connection Same?]]="Yes",Reinforcements[[#This Row],[Bottom Weld Grade (ksi)]],IF(OR(Reinforcements[[#This Row],[Top End Connection Type]]&lt;&gt;"Welded",Reinforcements[[#This Row],[Top End Connection Type]]=""),"-","")))</f>
        <v/>
      </c>
      <c r="BP68" s="206" t="str">
        <f>IF($AZ68="Yes",AP68,IF(Reinforcements[[#This Row],[Reinforcement]]="","",IF(OR(Reinforcements[[#This Row],[Top End Connection Type]]&lt;&gt;"Welded",Reinforcements[[#This Row],[Top End Connection Type]]=""),"-","")))</f>
        <v/>
      </c>
      <c r="BQ68" s="206" t="str">
        <f>IF(Reinforcements[[#This Row],[Reinforcement]]="","",IF($AZ68="Yes",AQ68,IF(OR(Reinforcements[[#This Row],[Top End Connection Type]]&lt;&gt;"Welded",Reinforcements[[#This Row],[Top Transverse (Horizontal) Weld]]="none",Reinforcements[[#This Row],[Top Transverse (Horizontal) Weld]]=""),"-","")))</f>
        <v/>
      </c>
      <c r="BR68" s="206" t="str">
        <f>IF($AZ68="Yes",AR68,IF(Reinforcements[[#This Row],[Reinforcement]]="","",IF(OR(Reinforcements[[#This Row],[Top Transverse (Horizontal) Weld]]="none",Reinforcements[[#This Row],[Top End Connection Type]]&lt;&gt;"Welded",Reinforcements[[#This Row],[Top Transverse (Horizontal) Weld]]="",Reinforcements[[#This Row],[Top Transverse (Horizontal) Weld]]="Fillet"),"-","")))</f>
        <v/>
      </c>
      <c r="BS68" s="206" t="str">
        <f>IF($AZ68="Yes",AS68,IF(Reinforcements[[#This Row],[Reinforcement]]="","",IF(OR(Reinforcements[[#This Row],[Top Transverse (Horizontal) Weld]]="none",Reinforcements[[#This Row],[Top End Connection Type]]&lt;&gt;"Welded",Reinforcements[[#This Row],[Top Transverse (Horizontal) Weld]]="",Reinforcements[[#This Row],[Top Transverse (Horizontal) Weld]]="Fillet"),"-","")))</f>
        <v/>
      </c>
      <c r="BT68" s="206" t="str">
        <f>IF(Reinforcements[[#This Row],[Reinforcement]]="","",IF($AZ68="Yes",AT68,IF(OR(Reinforcements[[#This Row],[Top Transverse (Horizontal) Weld]]="none",Reinforcements[[#This Row],[Top End Connection Type]]&lt;&gt;"Welded",Reinforcements[[#This Row],[Top Transverse (Horizontal) Weld]]=""),"-","")))</f>
        <v/>
      </c>
      <c r="BU68" s="206" t="str">
        <f>IF($AZ68="Yes",AU68,IF(Reinforcements[[#This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8" s="206" t="str">
        <f>IF($AZ68="Yes",AV68,IF(Reinforcements[[#This Row],[Reinforcement]]="","",IF(OR(Reinforcements[[#This Row],[Top End Connection Type]]&lt;&gt;"Welded",Reinforcements[[#This Row],[Top End Connection Type]]=""),"-","")))</f>
        <v/>
      </c>
      <c r="BW68" s="206" t="str">
        <f>IF($AZ68="Yes",AW68,IF(Reinforcements[[#This Row],[Reinforcement]]="","",IF(OR(Reinforcements[[#This Row],[Top End Connection Type]]&lt;&gt;"Welded",Reinforcements[[#This Row],[Top End Connection Type]]="",Reinforcements[[#This Row],[Top Longitudinal (Vertical) Weld]]="",Reinforcements[[#This Row],[Top Longitudinal (Vertical) Weld]]="None"),"-","")))</f>
        <v/>
      </c>
      <c r="BX68" s="206" t="str">
        <f>IF($AZ68="Yes",AX68,IF(Reinforcements[[#This Row],[Reinforcement]]="","",IF(OR(Reinforcements[[#This Row],[Top End Connection Type]]&lt;&gt;"Welded",Reinforcements[[#This Row],[Top End Connection Type]]="",Reinforcements[[#This Row],[Top Longitudinal (Vertical) Weld]]="",Reinforcements[[#This Row],[Top Longitudinal (Vertical) Weld]]="None"),"-","")))</f>
        <v/>
      </c>
      <c r="BY68" s="206" t="str">
        <f>IF($AZ68="Yes",AY68,IF(Reinforcements[[#This Row],[Reinforcement]]="","",IF(OR(Reinforcements[[#This Row],[Top End Connection Type]]&lt;&gt;"Welded",Reinforcements[[#This Row],[Top Longitudinal (Vertical) Weld]]="none"),"-",SQRT(2)/2*Reinforcements[[#This Row],[Top Longitudinal Weld Fillet Size (in)]])))</f>
        <v/>
      </c>
      <c r="BZ68"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8"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8"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8"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8"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8" s="201" t="str">
        <f>IFERROR(IF(Reinforcements[[#This Row],[Type]]="","",Reinforcements[[#This Row],[Effective B (in)]]*Reinforcements[[#This Row],[Effective H (in)]]^3/12),"")</f>
        <v/>
      </c>
      <c r="CF68" s="201" t="str">
        <f>IFERROR(IF(Reinforcements[[#This Row],[Type]]="","",Reinforcements[[#This Row],[Effective B (in)]]^3*Reinforcements[[#This Row],[Effective H (in)]]/12),"")</f>
        <v/>
      </c>
      <c r="CG68" s="224" t="e">
        <f>SQRT(2*PI()^2*29000/VLOOKUP(Reinforcements[[#This Row],[Material]],Materials[],2,FALSE))</f>
        <v>#N/A</v>
      </c>
      <c r="CH68"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8"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8" s="215" t="e">
        <f>Reinforcements[[#This Row],[Effective Length Factor Kx]]*Reinforcements[[#This Row],[Lu (in)]]/(Reinforcements[[#This Row],[rx]]*PI())*SQRT(VLOOKUP(Reinforcements[[#This Row],[Material]],Materials[],2,FALSE)/29000)</f>
        <v>#VALUE!</v>
      </c>
      <c r="CK68" s="215" t="e">
        <f>Reinforcements[[#This Row],[Effective Length Factor Ky]]*Reinforcements[[#This Row],[Lu (in)]]/(Reinforcements[[#This Row],[ry]]*PI())*SQRT(VLOOKUP(Reinforcements[[#This Row],[Material]],Materials[],2,FALSE)/29000)</f>
        <v>#VALUE!</v>
      </c>
      <c r="CL68" s="215" t="e">
        <f>IF(Reinforcements[[#This Row],[λcx]]&lt;=1.5,0.658^(Reinforcements[[#This Row],[λcx]]^2)*Reinforcements[[#This Row],[F''y]],0.877/(Reinforcements[[#This Row],[λcx]]^2)*Reinforcements[[#This Row],[F''y]])</f>
        <v>#VALUE!</v>
      </c>
      <c r="CM68" s="215" t="e">
        <f>IF(Reinforcements[[#This Row],[λcy]]&lt;=1.5,0.658^(Reinforcements[[#This Row],[λcy]]^2)*Reinforcements[[#This Row],[F''y]],0.877/(Reinforcements[[#This Row],[λcy]]^2)*Reinforcements[[#This Row],[F''y]])</f>
        <v>#VALUE!</v>
      </c>
      <c r="CN68" s="201" t="e">
        <f>VLOOKUP(Reinforcements[[#This Row],[Material]],Materials[],2,FALSE)</f>
        <v>#N/A</v>
      </c>
      <c r="CO68" s="224" t="str">
        <f>IF(Reinforcements[[#This Row],[Reinforcement]]="","",Reinforcements[[#This Row],[Fax]]*Reinforcements[[#This Row],[Gross Area (in2)]])</f>
        <v/>
      </c>
      <c r="CP68" s="224" t="str">
        <f>IF(Reinforcements[[#This Row],[Reinforcement]]="","",Reinforcements[[#This Row],[Fay]]*Reinforcements[[#This Row],[Gross Area (in2)]])</f>
        <v/>
      </c>
      <c r="CQ68" s="224" t="str">
        <f>IF(Reinforcements[[#This Row],[Reinforcement]]="","",0.6*VLOOKUP(Reinforcements[[#This Row],[Material]],Materials[],2,FALSE)*Reinforcements[[#This Row],[Gross Area (in2)]])</f>
        <v/>
      </c>
      <c r="CR68" s="224" t="str">
        <f>IF(Reinforcements[[#This Row],[Reinforcement]]="","",0.5*VLOOKUP(Reinforcements[[#This Row],[Material]],Materials[],3,FALSE)*Reinforcements[[#This Row],[Net Area (in2)]]*Reinforcements[[#This Row],[Shear Lag (U)]])</f>
        <v/>
      </c>
      <c r="CS68" s="224" t="str">
        <f>IF(Reinforcements[[#This Row],[Reinforcement]]="","",0.4*VLOOKUP(Reinforcements[[#This Row],[Material]],Materials[],2,FALSE)*Reinforcements[[#This Row],[Gross Area (in2)]])</f>
        <v/>
      </c>
      <c r="CT68"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8"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8"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8"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8"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8"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8"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8"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8"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8"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8"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8"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8" s="206" t="str">
        <f>IF($AZ68="Yes",DD68,IF(Reinforcements[[#This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8" s="206" t="str">
        <f>IF($AZ68="Yes",DE68,IF(Reinforcements[[#This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8" s="224" t="str">
        <f>IF(Reinforcements[[#This Row],[Reinforcement]]="","",φ_c*Reinforcements[[#This Row],[Fcr,x]]*Reinforcements[[#This Row],[Gross Area (in2)]])</f>
        <v/>
      </c>
      <c r="DI68" s="224" t="str">
        <f>IF(Reinforcements[[#This Row],[Reinforcement]]="","",φ_c*Reinforcements[[#This Row],[Fcr,y]]*Reinforcements[[#This Row],[Gross Area (in2)]])</f>
        <v/>
      </c>
      <c r="DJ68" s="224" t="str">
        <f>IF(Reinforcements[[#This Row],[Reinforcement]]="","",φ_t_y*VLOOKUP(Reinforcements[[#This Row],[Material]],Materials[],2,FALSE)*Reinforcements[[#This Row],[Gross Area (in2)]])</f>
        <v/>
      </c>
      <c r="DK68" s="224" t="str">
        <f>IF(Reinforcements[[#This Row],[Reinforcement]]="","",φ_t_r*VLOOKUP(Reinforcements[[#This Row],[Material]],Materials[],3,FALSE)*Reinforcements[[#This Row],[Net Area (in2)]]*Reinforcements[[#This Row],[Shear Lag (U)]])</f>
        <v/>
      </c>
      <c r="DL68" s="224" t="str">
        <f>IF(Reinforcements[[#This Row],[Reinforcement]]="","",φ_v*0.5*Reinforcements[[#This Row],[F''y]]*Reinforcements[[#This Row],[Gross Area (in2)]])</f>
        <v/>
      </c>
      <c r="DM68"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8"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8"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8"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8"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8"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8"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8"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8"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8"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8"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8"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8" s="206" t="str">
        <f>IF($AZ68="Yes",DW68,IF(Reinforcements[[#This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8" s="206" t="str">
        <f>IF($AZ68="Yes",DX68,IF(Reinforcements[[#This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8" s="507" t="str">
        <f>IF(OR(Reinforcements[[#This Row],[Type]]="plate",Reinforcements[[#This Row],[Type]]="solid round"),"N/A",Reinforcements[[#This Row],[B (in)]])</f>
        <v/>
      </c>
      <c r="EB68" s="508" t="str">
        <f>IF(OR(Reinforcements[[#This Row],[Type]]="plate",Reinforcements[[#This Row],[Type]]="solid round"),"N/A",Reinforcements[[#This Row],[H (in)]])</f>
        <v/>
      </c>
      <c r="EC68" s="508" t="e">
        <f>IF(OR(Reinforcements[[#This Row],[Type]]="plate",Reinforcements[[#This Row],[Type]]="solid round"),"N/A",Reinforcements[[#This Row],[B (in)]]-Reinforcements[[#This Row],['[Channel'] Flange Thickness (in)]])</f>
        <v>#VALUE!</v>
      </c>
      <c r="ED68" s="508" t="str">
        <f>IF(OR(Reinforcements[[#This Row],[Type]]="plate",Reinforcements[[#This Row],[Type]]="solid round"),"N/A",Reinforcements[[#This Row],['[Channel']Web Thickness (in)]])</f>
        <v/>
      </c>
      <c r="EE68" s="508" t="str">
        <f>IF(OR(Reinforcements[[#This Row],[Type]]="plate",Reinforcements[[#This Row],[Type]]="solid round"),"N/A",Reinforcements[[#This Row],['[Channel'] Flange Thickness (in)]])</f>
        <v/>
      </c>
      <c r="EF68" s="508" t="str">
        <f>IF(Reinforcements[[#This Row],[Type]]="channel",Reinforcements[[#This Row],[Channel Flange Width, b]]/Reinforcements[[#This Row],[Channel flange thickness, tf]],"N/A")</f>
        <v>N/A</v>
      </c>
      <c r="EG68" s="508" t="str">
        <f>IF(Reinforcements[[#This Row],[Type]]="channel",Reinforcements[[#This Row],[Channel inside depth, T]]/Reinforcements[[#This Row],[Channel web thickness, tw]],"N/A")</f>
        <v>N/A</v>
      </c>
      <c r="EH68" s="252">
        <v>28996</v>
      </c>
      <c r="EI68" s="252" t="str">
        <f>IF(Reinforcements[[#This Row],[Type]]="channel",0.56*SQRT(Reinforcements[[#This Row],[E, (ksi)]]/Reinforcements[[#This Row],[Fy, (ksi)]]),"N/A")</f>
        <v>N/A</v>
      </c>
      <c r="EJ68" s="252" t="str">
        <f>IF(Reinforcements[[#This Row],[Type]]="channel",1.49*SQRT(Reinforcements[[#This Row],[E, (ksi)]]/Reinforcements[[#This Row],[Fy, (ksi)]]),"N/A")</f>
        <v>N/A</v>
      </c>
      <c r="EK68" s="252" t="e">
        <f>VLOOKUP(Reinforcements[[#This Row],[Material]],Materials!$B$2:$C$30,2,FALSE)</f>
        <v>#N/A</v>
      </c>
      <c r="EL68" s="252" t="e">
        <f>Reinforcements[[#This Row],[Lu (in)]]*Reinforcements[[#This Row],[Effective Length Factor Kx]]</f>
        <v>#VALUE!</v>
      </c>
      <c r="EM68" s="252" t="e">
        <f>Reinforcements[[#This Row],[Lu (in)]]*Reinforcements[[#This Row],[Effective Length Factor Ky]]</f>
        <v>#VALUE!</v>
      </c>
      <c r="EN68" s="252" t="str">
        <f>Reinforcements[[#This Row],[rx]]</f>
        <v/>
      </c>
      <c r="EO68" s="252" t="str">
        <f>Reinforcements[[#This Row],[ry]]</f>
        <v/>
      </c>
      <c r="EP68" s="252" t="e">
        <f>Reinforcements[[#This Row],[Lcx (in)]]/Reinforcements[[#This Row],[rx (in)]]</f>
        <v>#VALUE!</v>
      </c>
      <c r="EQ68" s="252" t="e">
        <f>Reinforcements[[#This Row],[Lcy (in)]]/Reinforcements[[#This Row],[ry (in)]]</f>
        <v>#VALUE!</v>
      </c>
      <c r="ER68" s="252" t="e">
        <f>((PI()^2)*Reinforcements[[#This Row],[E, (ksi)]])/(Reinforcements[[#This Row],[Lcx/rx]]^2)</f>
        <v>#VALUE!</v>
      </c>
      <c r="ES68" s="252" t="e">
        <f>((PI()^2)*Reinforcements[[#This Row],[E, (ksi)]])/(Reinforcements[[#This Row],[Lcy/ry]]^2)</f>
        <v>#VALUE!</v>
      </c>
      <c r="ET68" s="252" t="e">
        <f>4.71*(SQRT(Reinforcements[[#This Row],[E, (ksi)]]/Reinforcements[[#This Row],[Fy, (ksi)]]))</f>
        <v>#N/A</v>
      </c>
      <c r="EU68" s="252" t="e">
        <f>IF(Reinforcements[[#This Row],[Lcx/rx]]&lt;=Reinforcements[[#This Row],[Fcr Limit]],(0.658^(Reinforcements[[#This Row],[Fy, (ksi)]]/Reinforcements[[#This Row],[Fex, FB (ksi)]]))*Reinforcements[[#This Row],[Fy, (ksi)]],0.877*Reinforcements[[#This Row],[Fex, FB (ksi)]])</f>
        <v>#VALUE!</v>
      </c>
      <c r="EV68" s="252" t="e">
        <f>IF(Reinforcements[[#This Row],[Lcy/ry]]&lt;=Reinforcements[[#This Row],[Fcr Limit]],(0.658^(Reinforcements[[#This Row],[Fy, (ksi)]]/Reinforcements[[#This Row],[Fey, FB (ksi)]]))*Reinforcements[[#This Row],[Fy, (ksi)]],0.877*Reinforcements[[#This Row],[Fey, FB (ksi)]])</f>
        <v>#VALUE!</v>
      </c>
      <c r="EW68" s="252" t="e">
        <f>Reinforcements[[#This Row],[Fcrx (ksi)]]*Reinforcements[[#This Row],[Gross Area (in2)]]</f>
        <v>#VALUE!</v>
      </c>
      <c r="EX68" s="252" t="e">
        <f>Reinforcements[[#This Row],[Fcry (ksi)]]*Reinforcements[[#This Row],[Gross Area (in2)]]</f>
        <v>#VALUE!</v>
      </c>
      <c r="EY68" s="252" t="str">
        <f>IF(Reinforcements[[#This Row],[Type]]="channel",0,"N/A")</f>
        <v>N/A</v>
      </c>
      <c r="EZ68" s="252" t="str">
        <f>IF(Reinforcements[[#This Row],[Type]]="channel",Reinforcements[[#This Row],[Channel Flange Width, b]]-(0.5*Reinforcements[[#This Row],[Channel web thickness, tw]]),"N/A")</f>
        <v>N/A</v>
      </c>
      <c r="FA68" s="252" t="str">
        <f>IF(Reinforcements[[#This Row],[Type]]="channel",Reinforcements[[#This Row],[Channel Height, h]]-Reinforcements[[#This Row],[Channel flange thickness, tf]],"N/A")</f>
        <v>N/A</v>
      </c>
      <c r="FB68" s="252" t="str">
        <f>IF(Reinforcements[[#This Row],[Type]]="channel",Reinforcements[[#This Row],[Channel web thickness, tw]],"N/A")</f>
        <v>N/A</v>
      </c>
      <c r="FC68" s="252" t="str">
        <f>IF(Reinforcements[[#This Row],[Type]]="channel",((3*Reinforcements[[#This Row],[b]]^2)/(Reinforcements[[#This Row],[h]]+(6*Reinforcements[[#This Row],[b]])))-Reinforcements[[#This Row],[t]]/2,"N/A")</f>
        <v>N/A</v>
      </c>
      <c r="FD68" s="252" t="str">
        <f>Reinforcements[[#This Row],[Pole Face to Centroid (in)]]</f>
        <v/>
      </c>
      <c r="FE68" s="508" t="str">
        <f>IF(Reinforcements[[#This Row],[Type]]="channel",Reinforcements[[#This Row],[x(bar)]]+Reinforcements[[#This Row],['[Channel'] e0 (in)]],"N/A")</f>
        <v>N/A</v>
      </c>
      <c r="FF68" s="508" t="str">
        <f>IF(Reinforcements[[#This Row],[Type]]="channel",Reinforcements[[#This Row],[Ix]],"N/A")</f>
        <v>N/A</v>
      </c>
      <c r="FG68" s="508" t="str">
        <f>IF(Reinforcements[[#This Row],[Type]]="channel",Reinforcements[[#This Row],[Iy]],"N/A")</f>
        <v>N/A</v>
      </c>
      <c r="FH68" s="508" t="str">
        <f>IF(Reinforcements[[#This Row],[Type]]="channel",Reinforcements[[#This Row],[Gross Area (in2)]],"N/A")</f>
        <v>N/A</v>
      </c>
      <c r="FI68" s="508" t="str">
        <f>IF(Reinforcements[[#This Row],[Type]]="channel",(Reinforcements[[#This Row],[xo]]^2)+((Reinforcements[[#This Row],[Ix (FTB)]]+Reinforcements[[#This Row],[Iy (FTB)]])/Reinforcements[[#This Row],[Ag]]),"N/A")</f>
        <v>N/A</v>
      </c>
      <c r="FJ68" s="508" t="str">
        <f>IF(Reinforcements[[#This Row],[Type]]="channel",Reinforcements[[#This Row],[Lu (in)]],"N/A")</f>
        <v>N/A</v>
      </c>
      <c r="FK68" s="508" t="str">
        <f>IF(Reinforcements[[#This Row],[Type]]="channel",Reinforcements[[#This Row],[Effective Length Factor Kx]],"N/A")</f>
        <v>N/A</v>
      </c>
      <c r="FL68" s="508" t="str">
        <f>IF(Reinforcements[[#This Row],[Type]]="channel",Reinforcements[[#This Row],[Kz]]*Reinforcements[[#This Row],[Lz]],"N/A")</f>
        <v>N/A</v>
      </c>
      <c r="FM68" s="508" t="str">
        <f>IF(Reinforcements[[#This Row],[Type]]="channel",(((Reinforcements[[#This Row],[t]]^3)/3)*(Reinforcements[[#This Row],[h]]+(2*Reinforcements[[#This Row],[b]]))),"N/A")</f>
        <v>N/A</v>
      </c>
      <c r="FN68" s="508" t="str">
        <f>IF(Reinforcements[[#This Row],[Type]]="channel",(1-(((Reinforcements[[#This Row],[xo]]^2)+(Reinforcements[[#This Row],[yo]]^2))/Reinforcements[[#This Row],[ro^2(bar)]])),"N/A")</f>
        <v>N/A</v>
      </c>
      <c r="FO68" s="252">
        <v>11195</v>
      </c>
      <c r="FP68" s="508" t="str">
        <f>IF(Reinforcements[[#This Row],[Type]]="channel",(((Reinforcements[[#This Row],[h]]^2)*(Reinforcements[[#This Row],[b]]^3)*Reinforcements[[#This Row],[t]])/12)*(((2*Reinforcements[[#This Row],[h]])+(3*Reinforcements[[#This Row],[b]]))/(Reinforcements[[#This Row],[h]]+(6*Reinforcements[[#This Row],[b]]))),"N/A")</f>
        <v>N/A</v>
      </c>
      <c r="FQ68" s="508" t="str">
        <f>IF(Reinforcements[[#This Row],[Type]]="Channel",((((PI()^2)*Reinforcements[[#This Row],[E, (ksi)]]*Reinforcements[[#This Row],['[Channel'] CW (in6)]])/(Reinforcements[[#This Row],[Lcz]]^2))+(Reinforcements[[#This Row],[G]]*Reinforcements[[#This Row],['[Channel'] J (in4)]]))*(1/(Reinforcements[[#This Row],[Ag]]*Reinforcements[[#This Row],[ro^2(bar)]])),"N/A")</f>
        <v>N/A</v>
      </c>
      <c r="FR68" s="508" t="str">
        <f>IF(Reinforcements[[#This Row],[Type]]="channel",((PI()^2)*Reinforcements[[#This Row],[E, (ksi)]])/(Reinforcements[[#This Row],[Lcy/ry]]^2),"N/A")</f>
        <v>N/A</v>
      </c>
      <c r="FS68" s="508" t="str">
        <f>IF(Reinforcements[[#This Row],[Type]]="channel",((Reinforcements[[#This Row],[Fey]]+Reinforcements[[#This Row],[Fez]])/(2*Reinforcements[[#This Row],[H2]]))*(1-SQRT(1-((4*Reinforcements[[#This Row],[Fey]]*Reinforcements[[#This Row],[Fez]]*Reinforcements[[#This Row],[H2]])/(Reinforcements[[#This Row],[Fey]]+Reinforcements[[#This Row],[Fez]])^2))),"N/A")</f>
        <v>N/A</v>
      </c>
      <c r="FT68" s="508" t="str">
        <f>IF(Reinforcements[[#This Row],[Type]]="channel",IF(Reinforcements[[#This Row],[Lcx/rx]]&gt;(4.71*SQRT(Reinforcements[[#This Row],[E, (ksi)]]/Reinforcements[[#This Row],[Fy, (ksi)]])),0.877*Reinforcements[[#This Row],[Fe (FTB)]],0.658^(Reinforcements[[#This Row],[Fy, (ksi)]]/Reinforcements[[#This Row],[Fe (FTB)]])*Reinforcements[[#This Row],[Fy, (ksi)]]),"N/A")</f>
        <v>N/A</v>
      </c>
      <c r="FU68" s="508" t="str">
        <f>IF(Reinforcements[[#This Row],[Type]]="channel",MIN(Reinforcements[[#This Row],[Fcr(FTB)]],Reinforcements[[#This Row],[Fcry (ksi)]]),"N/A")</f>
        <v>N/A</v>
      </c>
      <c r="FV68" s="252">
        <v>0.22</v>
      </c>
      <c r="FW68" s="252">
        <v>1.49</v>
      </c>
      <c r="FX68" s="508" t="str">
        <f>IF(Reinforcements[[#This Row],[Type]]="channel",((Reinforcements[[#This Row],[c2]]*(Reinforcements[[#This Row],[λrf]]/Reinforcements[[#This Row],[λf]]))^2)*Reinforcements[[#This Row],[Fy, (ksi)]],"N/A")</f>
        <v>N/A</v>
      </c>
      <c r="FY68" s="508" t="str">
        <f>IF(Reinforcements[[#This Row],[Type]]="channel",((Reinforcements[[#This Row],[c2]]*(Reinforcements[[#This Row],[λrw]]/Reinforcements[[#This Row],[λw]]))^2)*Reinforcements[[#This Row],[Fy, (ksi)]],"N/A")</f>
        <v>N/A</v>
      </c>
      <c r="FZ68"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8"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8"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8" s="508" t="str">
        <f>IF(Reinforcements[[#This Row],[Type]]="channel",Reinforcements[[#This Row],[Fcr]]*Reinforcements[[#This Row],[Ae]],"N/A")</f>
        <v>N/A</v>
      </c>
      <c r="GD68" s="462" t="str">
        <f>IF(Reinforcements[[#This Row],[Reinforcement]]="","",φ_c*Reinforcements[[#This Row],[Pnx, FB (kip)]])</f>
        <v/>
      </c>
      <c r="GE68" s="462" t="str">
        <f>IF(Reinforcements[[#This Row],[Reinforcement]]="","",IF(Reinforcements[[#This Row],[Type]]="channel",φ_c*Reinforcements[[#This Row],[Pn]],φ_c*Reinforcements[[#This Row],[Pny, FB (kip)]]))</f>
        <v/>
      </c>
      <c r="GF68" s="462" t="str">
        <f>Reinforcements[[#This Row],[Rev. G Tension Yield Capacity (kips)]]</f>
        <v/>
      </c>
      <c r="GG68" s="462" t="str">
        <f>Reinforcements[[#This Row],[Rev. G Tension Rupture Capacity (kips)]]</f>
        <v/>
      </c>
      <c r="GH68" s="462" t="str">
        <f>Reinforcements[[#This Row],[Rev. G Shear Capacity (kips)]]</f>
        <v/>
      </c>
      <c r="GI68" s="462" t="str">
        <f>IFERROR((Reinforcements[[#This Row],['# of End Connection Bolts          (Bottom)]]-1)*Reinforcements[[#This Row],[End Connection Bolt Spacing (in) (B)]],"-")</f>
        <v>-</v>
      </c>
      <c r="GJ68" s="462" t="str">
        <f>IFERROR(IF(VLOOKUP(Reinforcements[[#This Row],[Bottom End Connection Bolt Type]],Bolts[],COLUMN(Bolts[[#Headers],[Rev. H Apply Connection Length Reduction Factor (Rb)?]])-1,FALSE)="Yes",(IF(Reinforcements[[#This Row],[Lb(bottom)]]&lt;=16,1,IF(Reinforcements[[#This Row],[Lb(bottom)]]&gt;38,0.75,0.9))),1),"-")</f>
        <v>-</v>
      </c>
      <c r="GK68"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8" s="462" t="str">
        <f>IFERROR(IF(Reinforcements[[#This Row],[Top End Connection Same?]]="Yes",Reinforcements[[#This Row],[Lb(bottom)]],(Reinforcements[[#This Row],['# of End Connection Bolts          (Top)]]-1)*Reinforcements[[#This Row],[End Connection Bolt Spacing (in) (T)]]),"-")</f>
        <v>-</v>
      </c>
      <c r="GM68" s="462" t="str">
        <f>IFERROR(IF(VLOOKUP(Reinforcements[[#This Row],[Top End Connection Bolt Type]],Bolts[],COLUMN(Bolts[[#Headers],[Rev. H Apply Connection Length Reduction Factor (Rb)?]])-1,FALSE)="Yes",(IF(Reinforcements[[#This Row],[Lb(top)]]&lt;=16,1,IF(Reinforcements[[#This Row],[Lb(top)]]&gt;38,0.75,0.9))),1),"-")</f>
        <v>-</v>
      </c>
      <c r="GN68"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8" s="462" t="str">
        <f>Reinforcements[[#This Row],[Rev. G Bolt-Shaft Bearing Capacity (Bottom)                No Deformation          (*t*Fu kips)]]</f>
        <v>-</v>
      </c>
      <c r="GP68" s="462" t="str">
        <f>Reinforcements[[#This Row],[Rev. G Bolt-Shaft Bearing Capacity (Bottom)                   Deformation          (*t*Fu kips)]]</f>
        <v>-</v>
      </c>
      <c r="GQ68" s="462" t="str">
        <f>Reinforcements[[#This Row],[Rev. G Bolt-Shaft Bearing Capacity (Top)                    No Deformation          (*t*Fu kips)]]</f>
        <v>-</v>
      </c>
      <c r="GR68" s="462" t="str">
        <f>Reinforcements[[#This Row],[Rev. G Bolt-Shaft Bearing Capacity (Top)                        Deformation          (*t*Fu kips)]]</f>
        <v>-</v>
      </c>
      <c r="GS68" s="462" t="str">
        <f>Reinforcements[[#This Row],[Rev. G Bolt-Reinf. Bearing Capacity (Bottom)            No Deformation (kips)]]</f>
        <v>-</v>
      </c>
      <c r="GT68" s="462" t="str">
        <f>Reinforcements[[#This Row],[Rev. G Bolt-Reinf. Bearing Capacity (Bottom)               Deformation (kips)]]</f>
        <v>-</v>
      </c>
      <c r="GU68" s="462" t="str">
        <f>Reinforcements[[#This Row],[Rev. G Bolt-Reinf. Bearing Capacity (Top)                  No Deformation (kips)]]</f>
        <v>-</v>
      </c>
      <c r="GV68" s="462" t="str">
        <f>Reinforcements[[#This Row],[Rev. G Bolt-Reinf. Bearing Capacity (Top)               Deformation (kips)]]</f>
        <v>-</v>
      </c>
      <c r="GW68" s="462" t="str">
        <f>Reinforcements[[#This Row],[Rev. G Bottom Transverse Weld Strength]]</f>
        <v/>
      </c>
      <c r="GX68" s="462" t="str">
        <f>Reinforcements[[#This Row],[Rev. G Bottom Longitudinal Weld Strength]]</f>
        <v/>
      </c>
      <c r="GY68" s="462" t="str">
        <f>Reinforcements[[#This Row],[Rev. G Top Transverse Weld Strength]]</f>
        <v/>
      </c>
      <c r="GZ68" s="462" t="str">
        <f>Reinforcements[[#This Row],[Rev. G Top Longitudinal Weld Strength]]</f>
        <v/>
      </c>
      <c r="HA68" s="552">
        <v>66</v>
      </c>
      <c r="HB68"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9" spans="2:210" x14ac:dyDescent="0.2">
      <c r="B69" s="129"/>
      <c r="C69" s="129"/>
      <c r="D69" s="201" t="str">
        <f>IF(Reinforcements[[#This Row],[Type]]="","",IF(Reinforcements[[#This Row],[Type]]="solid round","-",""))</f>
        <v/>
      </c>
      <c r="E69" s="201" t="str">
        <f>IF(Reinforcements[[#This Row],[Type]]="","",IF(Reinforcements[[#This Row],[Type]]="solid round","-",""))</f>
        <v/>
      </c>
      <c r="F69" s="201" t="str">
        <f>IF(Reinforcements[[#This Row],[Type]]="","",IF(Reinforcements[[#This Row],[Type]]="solid round","","n/a"))</f>
        <v/>
      </c>
      <c r="G69" s="201" t="str">
        <f>IF(Reinforcements[[#This Row],[Type]]="","",IF(Reinforcements[[#This Row],[Type]]&lt;&gt;"channel","n/a",""))</f>
        <v/>
      </c>
      <c r="H69" s="201" t="str">
        <f>IF(Reinforcements[[#This Row],[Type]]="","",IF(Reinforcements[[#This Row],[Type]]&lt;&gt;"channel","n/a",""))</f>
        <v/>
      </c>
      <c r="I69" s="224" t="str">
        <f>IF(Reinforcements[[#This Row],[Type]]="","",IF(Reinforcements[[#This Row],[Type]]&lt;&gt;"channel","n/a",Reinforcements[[#This Row],[eo]]))</f>
        <v/>
      </c>
      <c r="J69" s="224" t="str">
        <f>IF(Reinforcements[[#This Row],[Type]]="","",IF(Reinforcements[[#This Row],[Type]]&lt;&gt;"channel","n/a",Reinforcements[[#This Row],[J]]))</f>
        <v/>
      </c>
      <c r="K69" s="224" t="str">
        <f>IF(Reinforcements[[#This Row],[Type]]="","",IF(Reinforcements[[#This Row],[Type]]&lt;&gt;"channel","n/a",Reinforcements[[#This Row],[Cw]]))</f>
        <v/>
      </c>
      <c r="L69" s="201" t="str">
        <f>IFERROR(IF(Reinforcements[[#This Row],[Type]]="","",IF(Reinforcements[[#This Row],[Type]]="plate",Reinforcements[[#This Row],[B (in)]]*Reinforcements[[#This Row],[H (in)]],IF(Reinforcements[[#This Row],[Type]]="solid round",PI()/4*Reinforcements[[#This Row],[Diameter (in)]]^2,""))),"")</f>
        <v/>
      </c>
      <c r="M69" s="201" t="str">
        <f>IFERROR(IF(Reinforcements[[#This Row],[Type]]="","",IF(Reinforcements[[#This Row],[Type]]="plate",Reinforcements[[#This Row],[H (in)]]/2,"")),"")</f>
        <v/>
      </c>
      <c r="N69" s="202"/>
      <c r="O69" s="203"/>
      <c r="P69" s="215" t="str">
        <f>IFERROR(IF(Reinforcements[[#This Row],[Type]]="","",IF(Reinforcements[[#This Row],[Type]]="plate",Reinforcements[[#This Row],[B (in)]]*Reinforcements[[#This Row],[H (in)]]^3/12,IF(Reinforcements[[#This Row],[Type]]="solid round",PI()/64*Reinforcements[[#This Row],[Diameter (in)]]^4,""))),"")</f>
        <v/>
      </c>
      <c r="Q69" s="215" t="str">
        <f>IF(Reinforcements[[#This Row],[Reinforcement]]="","",SQRT(Reinforcements[[#This Row],[Ix]]/Reinforcements[[#This Row],[Gross Area (in2)]]))</f>
        <v/>
      </c>
      <c r="R69" s="215" t="str">
        <f>IFERROR(IF(Reinforcements[[#This Row],[Type]]="","",IF(Reinforcements[[#This Row],[Type]]="plate",Reinforcements[[#This Row],[B (in)]]^3*Reinforcements[[#This Row],[H (in)]]/12,IF(Reinforcements[[#This Row],[Type]]="solid round",PI()/64*Reinforcements[[#This Row],[Diameter (in)]]^4,""))),"")</f>
        <v/>
      </c>
      <c r="S69" s="215" t="str">
        <f>IF(Reinforcements[[#This Row],[Reinforcement]]="","",SQRT(Reinforcements[[#This Row],[Iy]]/Reinforcements[[#This Row],[Gross Area (in2)]]))</f>
        <v/>
      </c>
      <c r="T69" s="206"/>
      <c r="U69" s="204" t="str">
        <f>IF(Reinforcements[[#This Row],[Lu (in)]]="","",IF(Reinforcements[[#This Row],[Lu (in)]]=0,1,""))</f>
        <v/>
      </c>
      <c r="V69" s="204" t="str">
        <f>IF(Reinforcements[[#This Row],[Lu (in)]]="","",IF(Reinforcements[[#This Row],[Lu (in)]]=0,1,""))</f>
        <v/>
      </c>
      <c r="W69" s="201" t="str">
        <f>IF(Reinforcements[[#This Row],[Type]]="","",IF(Reinforcements[[#This Row],[Type]]="solid round",0,IF(Reinforcements[[#This Row],[Type]]="arbitrary","n/a","")))</f>
        <v/>
      </c>
      <c r="X69" s="204" t="str">
        <f>IF(Reinforcements[[#This Row],[Bolt Hole Size (in)]]="","",IF(Reinforcements[[#This Row],[Bolt Hole Size (in)]]="n/a","n/a",Reinforcements[[#This Row],[Bolt Hole Size (in)]]*25.4))</f>
        <v/>
      </c>
      <c r="Y69"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9" s="201" t="str">
        <f>IFERROR(IF(Reinforcements[[#This Row],[Reinforcement]]="","",IF(OR(Reinforcements[[#This Row],[Type]]="plate",Reinforcements[[#This Row],[Type]]="solid round"),1,IF(Reinforcements[[#This Row],[Type]]="arbitrary","",1-Reinforcements[[#This Row],[Pole Face to Centroid (in)]]/Reinforcements[[#This Row],[Connection Length (in) '[Channels']]]))),"")</f>
        <v/>
      </c>
      <c r="AA69" s="205"/>
      <c r="AB69" s="103" t="str">
        <f>IF(Reinforcements[[#This Row],[Reinforcement]]="","",IF(Reinforcements[[#This Row],[Bottom End Connection Type]]&lt;&gt;"Capacity Input","-",""))</f>
        <v/>
      </c>
      <c r="AC69" s="103" t="str">
        <f>IF(Reinforcements[[#This Row],[Reinforcement]]="","",IF(Reinforcements[[#This Row],[Bottom End Connection Type]]&lt;&gt;"Capacity Input","-",""))</f>
        <v/>
      </c>
      <c r="AD69" s="253" t="str">
        <f>IF(Reinforcements[[#This Row],[Reinforcement]]="","",IF(Reinforcements[[#This Row],[Bottom End Connection Type]]&lt;&gt;"Capacity Input","-",""))</f>
        <v/>
      </c>
      <c r="AE69" s="103" t="str">
        <f>IF(Reinforcements[[#This Row],[Reinforcement]]="","",IF(Reinforcements[[#This Row],[Bottom End Connection Type]]&lt;&gt;"Bolted","-",""))</f>
        <v/>
      </c>
      <c r="AF69" s="206" t="str">
        <f>IF(Reinforcements[[#This Row],[Reinforcement]]="","",IF(Reinforcements[[#This Row],[Bottom End Connection Type]]&lt;&gt;"Bolted","-",""))</f>
        <v/>
      </c>
      <c r="AG69" s="206" t="str">
        <f>IF(Reinforcements[[#This Row],[Reinforcement]]="","",IF(Reinforcements[[#This Row],[Bottom End Connection Type]]="","-",IF(Reinforcements[[#This Row],[Bottom End Connection Type]]&lt;&gt;"Bolted","-","")))</f>
        <v/>
      </c>
      <c r="AH69" s="206" t="str">
        <f>IF(Reinforcements[[#This Row],[Reinforcement]]="","",IF(Reinforcements[[#This Row],[Bottom End Connection Type]]="","-",IF(Reinforcements[[#This Row],[Bottom End Connection Type]]&lt;&gt;"Bolted","-","")))</f>
        <v/>
      </c>
      <c r="AI69" s="206" t="str">
        <f>IF(Reinforcements[[#This Row],[Reinforcement]]="","",IF(Reinforcements[[#This Row],[Bottom End Connection Type]]="","-",IF(Reinforcements[[#This Row],[Bottom End Connection Type]]&lt;&gt;"Bolted","-","")))</f>
        <v/>
      </c>
      <c r="AJ69" s="206" t="e">
        <f>Reinforcements[[#This Row],[End Connection Edge Distance (in) (B)]]-(Reinforcements[[#This Row],[Bolt Hole Size (in)]]+1/16)/2</f>
        <v>#VALUE!</v>
      </c>
      <c r="AK69" s="206" t="e">
        <f>Reinforcements[[#This Row],[End Connection Bolt Spacing (in) (B)]]-(Reinforcements[[#This Row],[Bolt Hole Size (in)]]+1/16)</f>
        <v>#VALUE!</v>
      </c>
      <c r="AL69" s="206" t="str">
        <f>Reinforcements[[#This Row],[End Connection Edge Distance (in) (B)]]</f>
        <v/>
      </c>
      <c r="AM69" s="206" t="str">
        <f>Reinforcements[[#This Row],[End Connection Bolt Spacing (in) (B)]]</f>
        <v/>
      </c>
      <c r="AN69" s="206" t="str">
        <f>IF(Reinforcements[[#This Row],[Reinforcement]]="","",IF(OR(Reinforcements[[#This Row],[Bottom End Connection Type]]="Bolted",Reinforcements[[#This Row],[Bottom End Connection Type]]=""),"-",""))</f>
        <v/>
      </c>
      <c r="AO69" s="214" t="str">
        <f>IF(Reinforcements[[#This Row],[Reinforcement]]="","",IF(Reinforcements[[#This Row],[Bottom End Connection Type]]&lt;&gt;"Welded","-",""))</f>
        <v/>
      </c>
      <c r="AP69" s="214" t="str">
        <f>IF(Reinforcements[[#This Row],[Reinforcement]]="","",IF(Reinforcements[[#This Row],[Bottom End Connection Type]]&lt;&gt;"Welded","-",""))</f>
        <v/>
      </c>
      <c r="AQ69" s="214" t="str">
        <f>IF(Reinforcements[[#This Row],[Reinforcement]]="","",IF(OR(Reinforcements[[#This Row],[Bottom End Connection Type]]&lt;&gt;"Welded",Reinforcements[[#This Row],[Bottom Transverse (Horizontal) Weld]]="None"),"-",""))</f>
        <v/>
      </c>
      <c r="AR69"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9"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9" s="214" t="str">
        <f>IF(Reinforcements[[#This Row],[Reinforcement]]="","",IF(OR(Reinforcements[[#This Row],[Bottom Transverse (Horizontal) Weld]]="None",Reinforcements[[#This Row],[Bottom End Connection Type]]&lt;&gt;"Welded"),"-",""))</f>
        <v/>
      </c>
      <c r="AU69"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9" s="214" t="str">
        <f>IF(Reinforcements[[#This Row],[Reinforcement]]="","",IF(OR(Reinforcements[[#This Row],[Bottom End Connection Type]]&lt;&gt;"Welded",Reinforcements[[#This Row],[Bottom End Connection Type]]=""),"-",""))</f>
        <v/>
      </c>
      <c r="AW69" s="214" t="str">
        <f>IF(Reinforcements[[#This Row],[Reinforcement]]="","",IF(OR(Reinforcements[[#This Row],[Bottom End Connection Type]]&lt;&gt;"Welded",Reinforcements[[#This Row],[Bottom Longitudinal (Vertical) Weld]]="None",Reinforcements[[#This Row],[Bottom Longitudinal (Vertical) Weld]]=""),"-",""))</f>
        <v/>
      </c>
      <c r="AX69" s="214" t="str">
        <f>IF(Reinforcements[[#This Row],[Reinforcement]]="","",IF(OR(Reinforcements[[#This Row],[Bottom End Connection Type]]&lt;&gt;"Welded",Reinforcements[[#This Row],[Bottom Longitudinal (Vertical) Weld]]="None",Reinforcements[[#This Row],[Bottom Longitudinal (Vertical) Weld]]=""),"-",""))</f>
        <v/>
      </c>
      <c r="AY69" s="206" t="str">
        <f>IF(Reinforcements[[#This Row],[Reinforcement]]="","",IF(OR(Reinforcements[[#This Row],[Bottom End Connection Type]]&lt;&gt;"Welded",Reinforcements[[#This Row],[Bottom Longitudinal (Vertical) Weld]]="None"),"-",SQRT(2)/2*Reinforcements[[#This Row],[Bottom Longitudinal Weld Fillet Size (in)]]))</f>
        <v/>
      </c>
      <c r="AZ69" s="206"/>
      <c r="BA69" s="103" t="str">
        <f>IF(Reinforcements[[#This Row],[Top End Connection Same?]]="Yes",Reinforcements[[#This Row],[Bottom End Connection Type]],"")</f>
        <v/>
      </c>
      <c r="BB69" s="103" t="str">
        <f>IF(Reinforcements[[#This Row],[Reinforcement]]="","",IF(Reinforcements[[#This Row],[Top End Connection Same?]]="Yes",Reinforcements[[#This Row],[Rev. F Bottom Connection Capacity (kips)]],IF(Reinforcements[[#This Row],[Reinforcement]]="","",IF(Reinforcements[[#This Row],[Top End Connection Type]]&lt;&gt;"Capacity Input","-",""))))</f>
        <v/>
      </c>
      <c r="BC69" s="103" t="str">
        <f>IF(Reinforcements[[#This Row],[Reinforcement]]="","",IF(Reinforcements[[#This Row],[Top End Connection Same?]]="Yes",Reinforcements[[#This Row],[Rev. G Bottom Connection Capacity (kips)]],IF(Reinforcements[[#This Row],[Reinforcement]]="","",IF(Reinforcements[[#This Row],[Top End Connection Type]]&lt;&gt;"Capacity Input","-",""))))</f>
        <v/>
      </c>
      <c r="BD69" s="253" t="str">
        <f>IF(Reinforcements[[#This Row],[Reinforcement]]="","",IF(Reinforcements[[#This Row],[Top End Connection Same?]]="Yes",Reinforcements[[#This Row],[Rev. G Bottom Connection Capacity (kips)]],IF(Reinforcements[[#This Row],[Reinforcement]]="","",IF(Reinforcements[[#This Row],[Top End Connection Type]]&lt;&gt;"Capacity Input","-",""))))</f>
        <v/>
      </c>
      <c r="BE69" s="103" t="str">
        <f>IF(Reinforcements[[#This Row],[Reinforcement]]="","",IF(Reinforcements[[#This Row],[Top End Connection Same?]]="Yes",Reinforcements[[#This Row],[Bottom End Connection Bolt Type]],IF(Reinforcements[[#This Row],[Top End Connection Type]]&lt;&gt;"Bolted","-","")))</f>
        <v/>
      </c>
      <c r="BF69" s="206" t="str">
        <f>IF(Reinforcements[[#This Row],[Reinforcement]]="","",IF(Reinforcements[[#This Row],[Top End Connection Same?]]="Yes",Reinforcements[[#This Row],[Threads Included (N) or Excluded (X) (Bottom)]],IF(Reinforcements[[#This Row],[Top End Connection Type]]&lt;&gt;"Bolted","-","")))</f>
        <v/>
      </c>
      <c r="BG69" s="206" t="str">
        <f>IF(Reinforcements[[#This Row],[Reinforcement]]="","",IF(Reinforcements[[#This Row],[Top End Connection Same?]]="Yes",Reinforcements[[#This Row],['# of End Connection Bolts          (Bottom)]],IF(Reinforcements[[#This Row],[Top End Connection Type]]&lt;&gt;"Bolted","-","")))</f>
        <v/>
      </c>
      <c r="BH69" s="206" t="str">
        <f>IF(Reinforcements[[#This Row],[Reinforcement]]="","",IF(Reinforcements[[#This Row],[Top End Connection Same?]]="Yes",Reinforcements[[#This Row],[End Connection Bolt Spacing (in) (B)]],IF(Reinforcements[[#This Row],[Top End Connection Type]]&lt;&gt;"Bolted","-","")))</f>
        <v/>
      </c>
      <c r="BI69" s="206" t="str">
        <f>IF(Reinforcements[[#This Row],[Reinforcement]]="","",IF(Reinforcements[[#This Row],[Top End Connection Same?]]="Yes",Reinforcements[[#This Row],[End Connection Edge Distance (in) (B)]],IF(Reinforcements[[#This Row],[Top End Connection Type]]&lt;&gt;"Bolted","-","")))</f>
        <v/>
      </c>
      <c r="BJ69" s="206" t="e">
        <f>Reinforcements[[#This Row],[End Connection Edge Distance (in) (T)]]-(Reinforcements[[#This Row],[Bolt Hole Size (in)]]+1/16)/2</f>
        <v>#VALUE!</v>
      </c>
      <c r="BK69" s="206" t="e">
        <f>Reinforcements[[#This Row],[End Connection Bolt Spacing (in) (T)]]-(Reinforcements[[#This Row],[Bolt Hole Size (in)]]+1/16)</f>
        <v>#VALUE!</v>
      </c>
      <c r="BL69" s="206" t="str">
        <f>Reinforcements[[#This Row],[End Connection Edge Distance (in) (T)]]</f>
        <v/>
      </c>
      <c r="BM69" s="206" t="str">
        <f>Reinforcements[[#This Row],[End Connection Bolt Spacing (in) (T)]]</f>
        <v/>
      </c>
      <c r="BN69" s="206" t="str">
        <f>IF(Reinforcements[[#This Row],[Reinforcement]]="","",IF(Reinforcements[[#This Row],[Top End Connection Same?]]="Yes",Reinforcements[[#This Row],[Bottom Connected to Flange/Base Plate?]],IF(Reinforcements[[#This Row],[Top End Connection Type]]="Bolted","-","")))</f>
        <v/>
      </c>
      <c r="BO69" s="206" t="str">
        <f>IF(Reinforcements[[#This Row],[Reinforcement]]="","",IF(Reinforcements[[#This Row],[Top End Connection Same?]]="Yes",Reinforcements[[#This Row],[Bottom Weld Grade (ksi)]],IF(OR(Reinforcements[[#This Row],[Top End Connection Type]]&lt;&gt;"Welded",Reinforcements[[#This Row],[Top End Connection Type]]=""),"-","")))</f>
        <v/>
      </c>
      <c r="BP69" s="206" t="str">
        <f>IF($AZ69="Yes",AP69,IF(Reinforcements[[#This Row],[Reinforcement]]="","",IF(OR(Reinforcements[[#This Row],[Top End Connection Type]]&lt;&gt;"Welded",Reinforcements[[#This Row],[Top End Connection Type]]=""),"-","")))</f>
        <v/>
      </c>
      <c r="BQ69" s="206" t="str">
        <f>IF(Reinforcements[[#This Row],[Reinforcement]]="","",IF($AZ69="Yes",AQ69,IF(OR(Reinforcements[[#This Row],[Top End Connection Type]]&lt;&gt;"Welded",Reinforcements[[#This Row],[Top Transverse (Horizontal) Weld]]="none",Reinforcements[[#This Row],[Top Transverse (Horizontal) Weld]]=""),"-","")))</f>
        <v/>
      </c>
      <c r="BR69" s="206" t="str">
        <f>IF($AZ69="Yes",AR69,IF(Reinforcements[[#This Row],[Reinforcement]]="","",IF(OR(Reinforcements[[#This Row],[Top Transverse (Horizontal) Weld]]="none",Reinforcements[[#This Row],[Top End Connection Type]]&lt;&gt;"Welded",Reinforcements[[#This Row],[Top Transverse (Horizontal) Weld]]="",Reinforcements[[#This Row],[Top Transverse (Horizontal) Weld]]="Fillet"),"-","")))</f>
        <v/>
      </c>
      <c r="BS69" s="206" t="str">
        <f>IF($AZ69="Yes",AS69,IF(Reinforcements[[#This Row],[Reinforcement]]="","",IF(OR(Reinforcements[[#This Row],[Top Transverse (Horizontal) Weld]]="none",Reinforcements[[#This Row],[Top End Connection Type]]&lt;&gt;"Welded",Reinforcements[[#This Row],[Top Transverse (Horizontal) Weld]]="",Reinforcements[[#This Row],[Top Transverse (Horizontal) Weld]]="Fillet"),"-","")))</f>
        <v/>
      </c>
      <c r="BT69" s="206" t="str">
        <f>IF(Reinforcements[[#This Row],[Reinforcement]]="","",IF($AZ69="Yes",AT69,IF(OR(Reinforcements[[#This Row],[Top Transverse (Horizontal) Weld]]="none",Reinforcements[[#This Row],[Top End Connection Type]]&lt;&gt;"Welded",Reinforcements[[#This Row],[Top Transverse (Horizontal) Weld]]=""),"-","")))</f>
        <v/>
      </c>
      <c r="BU69" s="206" t="str">
        <f>IF($AZ69="Yes",AU69,IF(Reinforcements[[#This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9" s="206" t="str">
        <f>IF($AZ69="Yes",AV69,IF(Reinforcements[[#This Row],[Reinforcement]]="","",IF(OR(Reinforcements[[#This Row],[Top End Connection Type]]&lt;&gt;"Welded",Reinforcements[[#This Row],[Top End Connection Type]]=""),"-","")))</f>
        <v/>
      </c>
      <c r="BW69" s="206" t="str">
        <f>IF($AZ69="Yes",AW69,IF(Reinforcements[[#This Row],[Reinforcement]]="","",IF(OR(Reinforcements[[#This Row],[Top End Connection Type]]&lt;&gt;"Welded",Reinforcements[[#This Row],[Top End Connection Type]]="",Reinforcements[[#This Row],[Top Longitudinal (Vertical) Weld]]="",Reinforcements[[#This Row],[Top Longitudinal (Vertical) Weld]]="None"),"-","")))</f>
        <v/>
      </c>
      <c r="BX69" s="206" t="str">
        <f>IF($AZ69="Yes",AX69,IF(Reinforcements[[#This Row],[Reinforcement]]="","",IF(OR(Reinforcements[[#This Row],[Top End Connection Type]]&lt;&gt;"Welded",Reinforcements[[#This Row],[Top End Connection Type]]="",Reinforcements[[#This Row],[Top Longitudinal (Vertical) Weld]]="",Reinforcements[[#This Row],[Top Longitudinal (Vertical) Weld]]="None"),"-","")))</f>
        <v/>
      </c>
      <c r="BY69" s="206" t="str">
        <f>IF($AZ69="Yes",AY69,IF(Reinforcements[[#This Row],[Reinforcement]]="","",IF(OR(Reinforcements[[#This Row],[Top End Connection Type]]&lt;&gt;"Welded",Reinforcements[[#This Row],[Top Longitudinal (Vertical) Weld]]="none"),"-",SQRT(2)/2*Reinforcements[[#This Row],[Top Longitudinal Weld Fillet Size (in)]])))</f>
        <v/>
      </c>
      <c r="BZ69"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9"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9"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9"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9"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9" s="201" t="str">
        <f>IFERROR(IF(Reinforcements[[#This Row],[Type]]="","",Reinforcements[[#This Row],[Effective B (in)]]*Reinforcements[[#This Row],[Effective H (in)]]^3/12),"")</f>
        <v/>
      </c>
      <c r="CF69" s="201" t="str">
        <f>IFERROR(IF(Reinforcements[[#This Row],[Type]]="","",Reinforcements[[#This Row],[Effective B (in)]]^3*Reinforcements[[#This Row],[Effective H (in)]]/12),"")</f>
        <v/>
      </c>
      <c r="CG69" s="224" t="e">
        <f>SQRT(2*PI()^2*29000/VLOOKUP(Reinforcements[[#This Row],[Material]],Materials[],2,FALSE))</f>
        <v>#N/A</v>
      </c>
      <c r="CH69"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9"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9" s="215" t="e">
        <f>Reinforcements[[#This Row],[Effective Length Factor Kx]]*Reinforcements[[#This Row],[Lu (in)]]/(Reinforcements[[#This Row],[rx]]*PI())*SQRT(VLOOKUP(Reinforcements[[#This Row],[Material]],Materials[],2,FALSE)/29000)</f>
        <v>#VALUE!</v>
      </c>
      <c r="CK69" s="215" t="e">
        <f>Reinforcements[[#This Row],[Effective Length Factor Ky]]*Reinforcements[[#This Row],[Lu (in)]]/(Reinforcements[[#This Row],[ry]]*PI())*SQRT(VLOOKUP(Reinforcements[[#This Row],[Material]],Materials[],2,FALSE)/29000)</f>
        <v>#VALUE!</v>
      </c>
      <c r="CL69" s="215" t="e">
        <f>IF(Reinforcements[[#This Row],[λcx]]&lt;=1.5,0.658^(Reinforcements[[#This Row],[λcx]]^2)*Reinforcements[[#This Row],[F''y]],0.877/(Reinforcements[[#This Row],[λcx]]^2)*Reinforcements[[#This Row],[F''y]])</f>
        <v>#VALUE!</v>
      </c>
      <c r="CM69" s="215" t="e">
        <f>IF(Reinforcements[[#This Row],[λcy]]&lt;=1.5,0.658^(Reinforcements[[#This Row],[λcy]]^2)*Reinforcements[[#This Row],[F''y]],0.877/(Reinforcements[[#This Row],[λcy]]^2)*Reinforcements[[#This Row],[F''y]])</f>
        <v>#VALUE!</v>
      </c>
      <c r="CN69" s="201" t="e">
        <f>VLOOKUP(Reinforcements[[#This Row],[Material]],Materials[],2,FALSE)</f>
        <v>#N/A</v>
      </c>
      <c r="CO69" s="224" t="str">
        <f>IF(Reinforcements[[#This Row],[Reinforcement]]="","",Reinforcements[[#This Row],[Fax]]*Reinforcements[[#This Row],[Gross Area (in2)]])</f>
        <v/>
      </c>
      <c r="CP69" s="224" t="str">
        <f>IF(Reinforcements[[#This Row],[Reinforcement]]="","",Reinforcements[[#This Row],[Fay]]*Reinforcements[[#This Row],[Gross Area (in2)]])</f>
        <v/>
      </c>
      <c r="CQ69" s="224" t="str">
        <f>IF(Reinforcements[[#This Row],[Reinforcement]]="","",0.6*VLOOKUP(Reinforcements[[#This Row],[Material]],Materials[],2,FALSE)*Reinforcements[[#This Row],[Gross Area (in2)]])</f>
        <v/>
      </c>
      <c r="CR69" s="224" t="str">
        <f>IF(Reinforcements[[#This Row],[Reinforcement]]="","",0.5*VLOOKUP(Reinforcements[[#This Row],[Material]],Materials[],3,FALSE)*Reinforcements[[#This Row],[Net Area (in2)]]*Reinforcements[[#This Row],[Shear Lag (U)]])</f>
        <v/>
      </c>
      <c r="CS69" s="224" t="str">
        <f>IF(Reinforcements[[#This Row],[Reinforcement]]="","",0.4*VLOOKUP(Reinforcements[[#This Row],[Material]],Materials[],2,FALSE)*Reinforcements[[#This Row],[Gross Area (in2)]])</f>
        <v/>
      </c>
      <c r="CT69"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9"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9"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9"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9"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9"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9"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9"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9"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9"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9"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9"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9" s="206" t="str">
        <f>IF($AZ69="Yes",DD69,IF(Reinforcements[[#This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9" s="206" t="str">
        <f>IF($AZ69="Yes",DE69,IF(Reinforcements[[#This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9" s="224" t="str">
        <f>IF(Reinforcements[[#This Row],[Reinforcement]]="","",φ_c*Reinforcements[[#This Row],[Fcr,x]]*Reinforcements[[#This Row],[Gross Area (in2)]])</f>
        <v/>
      </c>
      <c r="DI69" s="224" t="str">
        <f>IF(Reinforcements[[#This Row],[Reinforcement]]="","",φ_c*Reinforcements[[#This Row],[Fcr,y]]*Reinforcements[[#This Row],[Gross Area (in2)]])</f>
        <v/>
      </c>
      <c r="DJ69" s="224" t="str">
        <f>IF(Reinforcements[[#This Row],[Reinforcement]]="","",φ_t_y*VLOOKUP(Reinforcements[[#This Row],[Material]],Materials[],2,FALSE)*Reinforcements[[#This Row],[Gross Area (in2)]])</f>
        <v/>
      </c>
      <c r="DK69" s="224" t="str">
        <f>IF(Reinforcements[[#This Row],[Reinforcement]]="","",φ_t_r*VLOOKUP(Reinforcements[[#This Row],[Material]],Materials[],3,FALSE)*Reinforcements[[#This Row],[Net Area (in2)]]*Reinforcements[[#This Row],[Shear Lag (U)]])</f>
        <v/>
      </c>
      <c r="DL69" s="224" t="str">
        <f>IF(Reinforcements[[#This Row],[Reinforcement]]="","",φ_v*0.5*Reinforcements[[#This Row],[F''y]]*Reinforcements[[#This Row],[Gross Area (in2)]])</f>
        <v/>
      </c>
      <c r="DM69"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9"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9"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9"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9"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9"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9"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9"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9"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9"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9"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9"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9" s="206" t="str">
        <f>IF($AZ69="Yes",DW69,IF(Reinforcements[[#This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9" s="206" t="str">
        <f>IF($AZ69="Yes",DX69,IF(Reinforcements[[#This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9" s="507" t="str">
        <f>IF(OR(Reinforcements[[#This Row],[Type]]="plate",Reinforcements[[#This Row],[Type]]="solid round"),"N/A",Reinforcements[[#This Row],[B (in)]])</f>
        <v/>
      </c>
      <c r="EB69" s="508" t="str">
        <f>IF(OR(Reinforcements[[#This Row],[Type]]="plate",Reinforcements[[#This Row],[Type]]="solid round"),"N/A",Reinforcements[[#This Row],[H (in)]])</f>
        <v/>
      </c>
      <c r="EC69" s="508" t="e">
        <f>IF(OR(Reinforcements[[#This Row],[Type]]="plate",Reinforcements[[#This Row],[Type]]="solid round"),"N/A",Reinforcements[[#This Row],[B (in)]]-Reinforcements[[#This Row],['[Channel'] Flange Thickness (in)]])</f>
        <v>#VALUE!</v>
      </c>
      <c r="ED69" s="508" t="str">
        <f>IF(OR(Reinforcements[[#This Row],[Type]]="plate",Reinforcements[[#This Row],[Type]]="solid round"),"N/A",Reinforcements[[#This Row],['[Channel']Web Thickness (in)]])</f>
        <v/>
      </c>
      <c r="EE69" s="508" t="str">
        <f>IF(OR(Reinforcements[[#This Row],[Type]]="plate",Reinforcements[[#This Row],[Type]]="solid round"),"N/A",Reinforcements[[#This Row],['[Channel'] Flange Thickness (in)]])</f>
        <v/>
      </c>
      <c r="EF69" s="508" t="str">
        <f>IF(Reinforcements[[#This Row],[Type]]="channel",Reinforcements[[#This Row],[Channel Flange Width, b]]/Reinforcements[[#This Row],[Channel flange thickness, tf]],"N/A")</f>
        <v>N/A</v>
      </c>
      <c r="EG69" s="508" t="str">
        <f>IF(Reinforcements[[#This Row],[Type]]="channel",Reinforcements[[#This Row],[Channel inside depth, T]]/Reinforcements[[#This Row],[Channel web thickness, tw]],"N/A")</f>
        <v>N/A</v>
      </c>
      <c r="EH69" s="252">
        <v>28997</v>
      </c>
      <c r="EI69" s="252" t="str">
        <f>IF(Reinforcements[[#This Row],[Type]]="channel",0.56*SQRT(Reinforcements[[#This Row],[E, (ksi)]]/Reinforcements[[#This Row],[Fy, (ksi)]]),"N/A")</f>
        <v>N/A</v>
      </c>
      <c r="EJ69" s="252" t="str">
        <f>IF(Reinforcements[[#This Row],[Type]]="channel",1.49*SQRT(Reinforcements[[#This Row],[E, (ksi)]]/Reinforcements[[#This Row],[Fy, (ksi)]]),"N/A")</f>
        <v>N/A</v>
      </c>
      <c r="EK69" s="252" t="e">
        <f>VLOOKUP(Reinforcements[[#This Row],[Material]],Materials!$B$2:$C$30,2,FALSE)</f>
        <v>#N/A</v>
      </c>
      <c r="EL69" s="252" t="e">
        <f>Reinforcements[[#This Row],[Lu (in)]]*Reinforcements[[#This Row],[Effective Length Factor Kx]]</f>
        <v>#VALUE!</v>
      </c>
      <c r="EM69" s="252" t="e">
        <f>Reinforcements[[#This Row],[Lu (in)]]*Reinforcements[[#This Row],[Effective Length Factor Ky]]</f>
        <v>#VALUE!</v>
      </c>
      <c r="EN69" s="252" t="str">
        <f>Reinforcements[[#This Row],[rx]]</f>
        <v/>
      </c>
      <c r="EO69" s="252" t="str">
        <f>Reinforcements[[#This Row],[ry]]</f>
        <v/>
      </c>
      <c r="EP69" s="252" t="e">
        <f>Reinforcements[[#This Row],[Lcx (in)]]/Reinforcements[[#This Row],[rx (in)]]</f>
        <v>#VALUE!</v>
      </c>
      <c r="EQ69" s="252" t="e">
        <f>Reinforcements[[#This Row],[Lcy (in)]]/Reinforcements[[#This Row],[ry (in)]]</f>
        <v>#VALUE!</v>
      </c>
      <c r="ER69" s="252" t="e">
        <f>((PI()^2)*Reinforcements[[#This Row],[E, (ksi)]])/(Reinforcements[[#This Row],[Lcx/rx]]^2)</f>
        <v>#VALUE!</v>
      </c>
      <c r="ES69" s="252" t="e">
        <f>((PI()^2)*Reinforcements[[#This Row],[E, (ksi)]])/(Reinforcements[[#This Row],[Lcy/ry]]^2)</f>
        <v>#VALUE!</v>
      </c>
      <c r="ET69" s="252" t="e">
        <f>4.71*(SQRT(Reinforcements[[#This Row],[E, (ksi)]]/Reinforcements[[#This Row],[Fy, (ksi)]]))</f>
        <v>#N/A</v>
      </c>
      <c r="EU69" s="252" t="e">
        <f>IF(Reinforcements[[#This Row],[Lcx/rx]]&lt;=Reinforcements[[#This Row],[Fcr Limit]],(0.658^(Reinforcements[[#This Row],[Fy, (ksi)]]/Reinforcements[[#This Row],[Fex, FB (ksi)]]))*Reinforcements[[#This Row],[Fy, (ksi)]],0.877*Reinforcements[[#This Row],[Fex, FB (ksi)]])</f>
        <v>#VALUE!</v>
      </c>
      <c r="EV69" s="252" t="e">
        <f>IF(Reinforcements[[#This Row],[Lcy/ry]]&lt;=Reinforcements[[#This Row],[Fcr Limit]],(0.658^(Reinforcements[[#This Row],[Fy, (ksi)]]/Reinforcements[[#This Row],[Fey, FB (ksi)]]))*Reinforcements[[#This Row],[Fy, (ksi)]],0.877*Reinforcements[[#This Row],[Fey, FB (ksi)]])</f>
        <v>#VALUE!</v>
      </c>
      <c r="EW69" s="252" t="e">
        <f>Reinforcements[[#This Row],[Fcrx (ksi)]]*Reinforcements[[#This Row],[Gross Area (in2)]]</f>
        <v>#VALUE!</v>
      </c>
      <c r="EX69" s="252" t="e">
        <f>Reinforcements[[#This Row],[Fcry (ksi)]]*Reinforcements[[#This Row],[Gross Area (in2)]]</f>
        <v>#VALUE!</v>
      </c>
      <c r="EY69" s="252" t="str">
        <f>IF(Reinforcements[[#This Row],[Type]]="channel",0,"N/A")</f>
        <v>N/A</v>
      </c>
      <c r="EZ69" s="252" t="str">
        <f>IF(Reinforcements[[#This Row],[Type]]="channel",Reinforcements[[#This Row],[Channel Flange Width, b]]-(0.5*Reinforcements[[#This Row],[Channel web thickness, tw]]),"N/A")</f>
        <v>N/A</v>
      </c>
      <c r="FA69" s="252" t="str">
        <f>IF(Reinforcements[[#This Row],[Type]]="channel",Reinforcements[[#This Row],[Channel Height, h]]-Reinforcements[[#This Row],[Channel flange thickness, tf]],"N/A")</f>
        <v>N/A</v>
      </c>
      <c r="FB69" s="252" t="str">
        <f>IF(Reinforcements[[#This Row],[Type]]="channel",Reinforcements[[#This Row],[Channel web thickness, tw]],"N/A")</f>
        <v>N/A</v>
      </c>
      <c r="FC69" s="252" t="str">
        <f>IF(Reinforcements[[#This Row],[Type]]="channel",((3*Reinforcements[[#This Row],[b]]^2)/(Reinforcements[[#This Row],[h]]+(6*Reinforcements[[#This Row],[b]])))-Reinforcements[[#This Row],[t]]/2,"N/A")</f>
        <v>N/A</v>
      </c>
      <c r="FD69" s="252" t="str">
        <f>Reinforcements[[#This Row],[Pole Face to Centroid (in)]]</f>
        <v/>
      </c>
      <c r="FE69" s="508" t="str">
        <f>IF(Reinforcements[[#This Row],[Type]]="channel",Reinforcements[[#This Row],[x(bar)]]+Reinforcements[[#This Row],['[Channel'] e0 (in)]],"N/A")</f>
        <v>N/A</v>
      </c>
      <c r="FF69" s="508" t="str">
        <f>IF(Reinforcements[[#This Row],[Type]]="channel",Reinforcements[[#This Row],[Ix]],"N/A")</f>
        <v>N/A</v>
      </c>
      <c r="FG69" s="508" t="str">
        <f>IF(Reinforcements[[#This Row],[Type]]="channel",Reinforcements[[#This Row],[Iy]],"N/A")</f>
        <v>N/A</v>
      </c>
      <c r="FH69" s="508" t="str">
        <f>IF(Reinforcements[[#This Row],[Type]]="channel",Reinforcements[[#This Row],[Gross Area (in2)]],"N/A")</f>
        <v>N/A</v>
      </c>
      <c r="FI69" s="508" t="str">
        <f>IF(Reinforcements[[#This Row],[Type]]="channel",(Reinforcements[[#This Row],[xo]]^2)+((Reinforcements[[#This Row],[Ix (FTB)]]+Reinforcements[[#This Row],[Iy (FTB)]])/Reinforcements[[#This Row],[Ag]]),"N/A")</f>
        <v>N/A</v>
      </c>
      <c r="FJ69" s="508" t="str">
        <f>IF(Reinforcements[[#This Row],[Type]]="channel",Reinforcements[[#This Row],[Lu (in)]],"N/A")</f>
        <v>N/A</v>
      </c>
      <c r="FK69" s="508" t="str">
        <f>IF(Reinforcements[[#This Row],[Type]]="channel",Reinforcements[[#This Row],[Effective Length Factor Kx]],"N/A")</f>
        <v>N/A</v>
      </c>
      <c r="FL69" s="508" t="str">
        <f>IF(Reinforcements[[#This Row],[Type]]="channel",Reinforcements[[#This Row],[Kz]]*Reinforcements[[#This Row],[Lz]],"N/A")</f>
        <v>N/A</v>
      </c>
      <c r="FM69" s="508" t="str">
        <f>IF(Reinforcements[[#This Row],[Type]]="channel",(((Reinforcements[[#This Row],[t]]^3)/3)*(Reinforcements[[#This Row],[h]]+(2*Reinforcements[[#This Row],[b]]))),"N/A")</f>
        <v>N/A</v>
      </c>
      <c r="FN69" s="508" t="str">
        <f>IF(Reinforcements[[#This Row],[Type]]="channel",(1-(((Reinforcements[[#This Row],[xo]]^2)+(Reinforcements[[#This Row],[yo]]^2))/Reinforcements[[#This Row],[ro^2(bar)]])),"N/A")</f>
        <v>N/A</v>
      </c>
      <c r="FO69" s="252">
        <v>11196</v>
      </c>
      <c r="FP69" s="508" t="str">
        <f>IF(Reinforcements[[#This Row],[Type]]="channel",(((Reinforcements[[#This Row],[h]]^2)*(Reinforcements[[#This Row],[b]]^3)*Reinforcements[[#This Row],[t]])/12)*(((2*Reinforcements[[#This Row],[h]])+(3*Reinforcements[[#This Row],[b]]))/(Reinforcements[[#This Row],[h]]+(6*Reinforcements[[#This Row],[b]]))),"N/A")</f>
        <v>N/A</v>
      </c>
      <c r="FQ69" s="508" t="str">
        <f>IF(Reinforcements[[#This Row],[Type]]="Channel",((((PI()^2)*Reinforcements[[#This Row],[E, (ksi)]]*Reinforcements[[#This Row],['[Channel'] CW (in6)]])/(Reinforcements[[#This Row],[Lcz]]^2))+(Reinforcements[[#This Row],[G]]*Reinforcements[[#This Row],['[Channel'] J (in4)]]))*(1/(Reinforcements[[#This Row],[Ag]]*Reinforcements[[#This Row],[ro^2(bar)]])),"N/A")</f>
        <v>N/A</v>
      </c>
      <c r="FR69" s="508" t="str">
        <f>IF(Reinforcements[[#This Row],[Type]]="channel",((PI()^2)*Reinforcements[[#This Row],[E, (ksi)]])/(Reinforcements[[#This Row],[Lcy/ry]]^2),"N/A")</f>
        <v>N/A</v>
      </c>
      <c r="FS69" s="508" t="str">
        <f>IF(Reinforcements[[#This Row],[Type]]="channel",((Reinforcements[[#This Row],[Fey]]+Reinforcements[[#This Row],[Fez]])/(2*Reinforcements[[#This Row],[H2]]))*(1-SQRT(1-((4*Reinforcements[[#This Row],[Fey]]*Reinforcements[[#This Row],[Fez]]*Reinforcements[[#This Row],[H2]])/(Reinforcements[[#This Row],[Fey]]+Reinforcements[[#This Row],[Fez]])^2))),"N/A")</f>
        <v>N/A</v>
      </c>
      <c r="FT69" s="508" t="str">
        <f>IF(Reinforcements[[#This Row],[Type]]="channel",IF(Reinforcements[[#This Row],[Lcx/rx]]&gt;(4.71*SQRT(Reinforcements[[#This Row],[E, (ksi)]]/Reinforcements[[#This Row],[Fy, (ksi)]])),0.877*Reinforcements[[#This Row],[Fe (FTB)]],0.658^(Reinforcements[[#This Row],[Fy, (ksi)]]/Reinforcements[[#This Row],[Fe (FTB)]])*Reinforcements[[#This Row],[Fy, (ksi)]]),"N/A")</f>
        <v>N/A</v>
      </c>
      <c r="FU69" s="508" t="str">
        <f>IF(Reinforcements[[#This Row],[Type]]="channel",MIN(Reinforcements[[#This Row],[Fcr(FTB)]],Reinforcements[[#This Row],[Fcry (ksi)]]),"N/A")</f>
        <v>N/A</v>
      </c>
      <c r="FV69" s="252">
        <v>0.22</v>
      </c>
      <c r="FW69" s="252">
        <v>1.49</v>
      </c>
      <c r="FX69" s="508" t="str">
        <f>IF(Reinforcements[[#This Row],[Type]]="channel",((Reinforcements[[#This Row],[c2]]*(Reinforcements[[#This Row],[λrf]]/Reinforcements[[#This Row],[λf]]))^2)*Reinforcements[[#This Row],[Fy, (ksi)]],"N/A")</f>
        <v>N/A</v>
      </c>
      <c r="FY69" s="508" t="str">
        <f>IF(Reinforcements[[#This Row],[Type]]="channel",((Reinforcements[[#This Row],[c2]]*(Reinforcements[[#This Row],[λrw]]/Reinforcements[[#This Row],[λw]]))^2)*Reinforcements[[#This Row],[Fy, (ksi)]],"N/A")</f>
        <v>N/A</v>
      </c>
      <c r="FZ69"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9"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9"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9" s="508" t="str">
        <f>IF(Reinforcements[[#This Row],[Type]]="channel",Reinforcements[[#This Row],[Fcr]]*Reinforcements[[#This Row],[Ae]],"N/A")</f>
        <v>N/A</v>
      </c>
      <c r="GD69" s="462" t="str">
        <f>IF(Reinforcements[[#This Row],[Reinforcement]]="","",φ_c*Reinforcements[[#This Row],[Pnx, FB (kip)]])</f>
        <v/>
      </c>
      <c r="GE69" s="462" t="str">
        <f>IF(Reinforcements[[#This Row],[Reinforcement]]="","",IF(Reinforcements[[#This Row],[Type]]="channel",φ_c*Reinforcements[[#This Row],[Pn]],φ_c*Reinforcements[[#This Row],[Pny, FB (kip)]]))</f>
        <v/>
      </c>
      <c r="GF69" s="462" t="str">
        <f>Reinforcements[[#This Row],[Rev. G Tension Yield Capacity (kips)]]</f>
        <v/>
      </c>
      <c r="GG69" s="462" t="str">
        <f>Reinforcements[[#This Row],[Rev. G Tension Rupture Capacity (kips)]]</f>
        <v/>
      </c>
      <c r="GH69" s="462" t="str">
        <f>Reinforcements[[#This Row],[Rev. G Shear Capacity (kips)]]</f>
        <v/>
      </c>
      <c r="GI69" s="462" t="str">
        <f>IFERROR((Reinforcements[[#This Row],['# of End Connection Bolts          (Bottom)]]-1)*Reinforcements[[#This Row],[End Connection Bolt Spacing (in) (B)]],"-")</f>
        <v>-</v>
      </c>
      <c r="GJ69" s="462" t="str">
        <f>IFERROR(IF(VLOOKUP(Reinforcements[[#This Row],[Bottom End Connection Bolt Type]],Bolts[],COLUMN(Bolts[[#Headers],[Rev. H Apply Connection Length Reduction Factor (Rb)?]])-1,FALSE)="Yes",(IF(Reinforcements[[#This Row],[Lb(bottom)]]&lt;=16,1,IF(Reinforcements[[#This Row],[Lb(bottom)]]&gt;38,0.75,0.9))),1),"-")</f>
        <v>-</v>
      </c>
      <c r="GK69"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9" s="462" t="str">
        <f>IFERROR(IF(Reinforcements[[#This Row],[Top End Connection Same?]]="Yes",Reinforcements[[#This Row],[Lb(bottom)]],(Reinforcements[[#This Row],['# of End Connection Bolts          (Top)]]-1)*Reinforcements[[#This Row],[End Connection Bolt Spacing (in) (T)]]),"-")</f>
        <v>-</v>
      </c>
      <c r="GM69" s="462" t="str">
        <f>IFERROR(IF(VLOOKUP(Reinforcements[[#This Row],[Top End Connection Bolt Type]],Bolts[],COLUMN(Bolts[[#Headers],[Rev. H Apply Connection Length Reduction Factor (Rb)?]])-1,FALSE)="Yes",(IF(Reinforcements[[#This Row],[Lb(top)]]&lt;=16,1,IF(Reinforcements[[#This Row],[Lb(top)]]&gt;38,0.75,0.9))),1),"-")</f>
        <v>-</v>
      </c>
      <c r="GN69"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9" s="462" t="str">
        <f>Reinforcements[[#This Row],[Rev. G Bolt-Shaft Bearing Capacity (Bottom)                No Deformation          (*t*Fu kips)]]</f>
        <v>-</v>
      </c>
      <c r="GP69" s="462" t="str">
        <f>Reinforcements[[#This Row],[Rev. G Bolt-Shaft Bearing Capacity (Bottom)                   Deformation          (*t*Fu kips)]]</f>
        <v>-</v>
      </c>
      <c r="GQ69" s="462" t="str">
        <f>Reinforcements[[#This Row],[Rev. G Bolt-Shaft Bearing Capacity (Top)                    No Deformation          (*t*Fu kips)]]</f>
        <v>-</v>
      </c>
      <c r="GR69" s="462" t="str">
        <f>Reinforcements[[#This Row],[Rev. G Bolt-Shaft Bearing Capacity (Top)                        Deformation          (*t*Fu kips)]]</f>
        <v>-</v>
      </c>
      <c r="GS69" s="462" t="str">
        <f>Reinforcements[[#This Row],[Rev. G Bolt-Reinf. Bearing Capacity (Bottom)            No Deformation (kips)]]</f>
        <v>-</v>
      </c>
      <c r="GT69" s="462" t="str">
        <f>Reinforcements[[#This Row],[Rev. G Bolt-Reinf. Bearing Capacity (Bottom)               Deformation (kips)]]</f>
        <v>-</v>
      </c>
      <c r="GU69" s="462" t="str">
        <f>Reinforcements[[#This Row],[Rev. G Bolt-Reinf. Bearing Capacity (Top)                  No Deformation (kips)]]</f>
        <v>-</v>
      </c>
      <c r="GV69" s="462" t="str">
        <f>Reinforcements[[#This Row],[Rev. G Bolt-Reinf. Bearing Capacity (Top)               Deformation (kips)]]</f>
        <v>-</v>
      </c>
      <c r="GW69" s="462" t="str">
        <f>Reinforcements[[#This Row],[Rev. G Bottom Transverse Weld Strength]]</f>
        <v/>
      </c>
      <c r="GX69" s="462" t="str">
        <f>Reinforcements[[#This Row],[Rev. G Bottom Longitudinal Weld Strength]]</f>
        <v/>
      </c>
      <c r="GY69" s="462" t="str">
        <f>Reinforcements[[#This Row],[Rev. G Top Transverse Weld Strength]]</f>
        <v/>
      </c>
      <c r="GZ69" s="462" t="str">
        <f>Reinforcements[[#This Row],[Rev. G Top Longitudinal Weld Strength]]</f>
        <v/>
      </c>
      <c r="HA69" s="552">
        <v>67</v>
      </c>
      <c r="HB69"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0" spans="2:210" x14ac:dyDescent="0.2">
      <c r="B70" s="129"/>
      <c r="C70" s="129"/>
      <c r="D70" s="201" t="str">
        <f>IF(Reinforcements[[#This Row],[Type]]="","",IF(Reinforcements[[#This Row],[Type]]="solid round","-",""))</f>
        <v/>
      </c>
      <c r="E70" s="201" t="str">
        <f>IF(Reinforcements[[#This Row],[Type]]="","",IF(Reinforcements[[#This Row],[Type]]="solid round","-",""))</f>
        <v/>
      </c>
      <c r="F70" s="201" t="str">
        <f>IF(Reinforcements[[#This Row],[Type]]="","",IF(Reinforcements[[#This Row],[Type]]="solid round","","n/a"))</f>
        <v/>
      </c>
      <c r="G70" s="201" t="str">
        <f>IF(Reinforcements[[#This Row],[Type]]="","",IF(Reinforcements[[#This Row],[Type]]&lt;&gt;"channel","n/a",""))</f>
        <v/>
      </c>
      <c r="H70" s="201" t="str">
        <f>IF(Reinforcements[[#This Row],[Type]]="","",IF(Reinforcements[[#This Row],[Type]]&lt;&gt;"channel","n/a",""))</f>
        <v/>
      </c>
      <c r="I70" s="224" t="str">
        <f>IF(Reinforcements[[#This Row],[Type]]="","",IF(Reinforcements[[#This Row],[Type]]&lt;&gt;"channel","n/a",Reinforcements[[#This Row],[eo]]))</f>
        <v/>
      </c>
      <c r="J70" s="224" t="str">
        <f>IF(Reinforcements[[#This Row],[Type]]="","",IF(Reinforcements[[#This Row],[Type]]&lt;&gt;"channel","n/a",Reinforcements[[#This Row],[J]]))</f>
        <v/>
      </c>
      <c r="K70" s="224" t="str">
        <f>IF(Reinforcements[[#This Row],[Type]]="","",IF(Reinforcements[[#This Row],[Type]]&lt;&gt;"channel","n/a",Reinforcements[[#This Row],[Cw]]))</f>
        <v/>
      </c>
      <c r="L70" s="201" t="str">
        <f>IFERROR(IF(Reinforcements[[#This Row],[Type]]="","",IF(Reinforcements[[#This Row],[Type]]="plate",Reinforcements[[#This Row],[B (in)]]*Reinforcements[[#This Row],[H (in)]],IF(Reinforcements[[#This Row],[Type]]="solid round",PI()/4*Reinforcements[[#This Row],[Diameter (in)]]^2,""))),"")</f>
        <v/>
      </c>
      <c r="M70" s="201" t="str">
        <f>IFERROR(IF(Reinforcements[[#This Row],[Type]]="","",IF(Reinforcements[[#This Row],[Type]]="plate",Reinforcements[[#This Row],[H (in)]]/2,"")),"")</f>
        <v/>
      </c>
      <c r="N70" s="202"/>
      <c r="O70" s="203"/>
      <c r="P70" s="215" t="str">
        <f>IFERROR(IF(Reinforcements[[#This Row],[Type]]="","",IF(Reinforcements[[#This Row],[Type]]="plate",Reinforcements[[#This Row],[B (in)]]*Reinforcements[[#This Row],[H (in)]]^3/12,IF(Reinforcements[[#This Row],[Type]]="solid round",PI()/64*Reinforcements[[#This Row],[Diameter (in)]]^4,""))),"")</f>
        <v/>
      </c>
      <c r="Q70" s="215" t="str">
        <f>IF(Reinforcements[[#This Row],[Reinforcement]]="","",SQRT(Reinforcements[[#This Row],[Ix]]/Reinforcements[[#This Row],[Gross Area (in2)]]))</f>
        <v/>
      </c>
      <c r="R70" s="215" t="str">
        <f>IFERROR(IF(Reinforcements[[#This Row],[Type]]="","",IF(Reinforcements[[#This Row],[Type]]="plate",Reinforcements[[#This Row],[B (in)]]^3*Reinforcements[[#This Row],[H (in)]]/12,IF(Reinforcements[[#This Row],[Type]]="solid round",PI()/64*Reinforcements[[#This Row],[Diameter (in)]]^4,""))),"")</f>
        <v/>
      </c>
      <c r="S70" s="215" t="str">
        <f>IF(Reinforcements[[#This Row],[Reinforcement]]="","",SQRT(Reinforcements[[#This Row],[Iy]]/Reinforcements[[#This Row],[Gross Area (in2)]]))</f>
        <v/>
      </c>
      <c r="T70" s="206"/>
      <c r="U70" s="204" t="str">
        <f>IF(Reinforcements[[#This Row],[Lu (in)]]="","",IF(Reinforcements[[#This Row],[Lu (in)]]=0,1,""))</f>
        <v/>
      </c>
      <c r="V70" s="204" t="str">
        <f>IF(Reinforcements[[#This Row],[Lu (in)]]="","",IF(Reinforcements[[#This Row],[Lu (in)]]=0,1,""))</f>
        <v/>
      </c>
      <c r="W70" s="201" t="str">
        <f>IF(Reinforcements[[#This Row],[Type]]="","",IF(Reinforcements[[#This Row],[Type]]="solid round",0,IF(Reinforcements[[#This Row],[Type]]="arbitrary","n/a","")))</f>
        <v/>
      </c>
      <c r="X70" s="204" t="str">
        <f>IF(Reinforcements[[#This Row],[Bolt Hole Size (in)]]="","",IF(Reinforcements[[#This Row],[Bolt Hole Size (in)]]="n/a","n/a",Reinforcements[[#This Row],[Bolt Hole Size (in)]]*25.4))</f>
        <v/>
      </c>
      <c r="Y70"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0" s="201" t="str">
        <f>IFERROR(IF(Reinforcements[[#This Row],[Reinforcement]]="","",IF(OR(Reinforcements[[#This Row],[Type]]="plate",Reinforcements[[#This Row],[Type]]="solid round"),1,IF(Reinforcements[[#This Row],[Type]]="arbitrary","",1-Reinforcements[[#This Row],[Pole Face to Centroid (in)]]/Reinforcements[[#This Row],[Connection Length (in) '[Channels']]]))),"")</f>
        <v/>
      </c>
      <c r="AA70" s="205"/>
      <c r="AB70" s="103" t="str">
        <f>IF(Reinforcements[[#This Row],[Reinforcement]]="","",IF(Reinforcements[[#This Row],[Bottom End Connection Type]]&lt;&gt;"Capacity Input","-",""))</f>
        <v/>
      </c>
      <c r="AC70" s="103" t="str">
        <f>IF(Reinforcements[[#This Row],[Reinforcement]]="","",IF(Reinforcements[[#This Row],[Bottom End Connection Type]]&lt;&gt;"Capacity Input","-",""))</f>
        <v/>
      </c>
      <c r="AD70" s="253" t="str">
        <f>IF(Reinforcements[[#This Row],[Reinforcement]]="","",IF(Reinforcements[[#This Row],[Bottom End Connection Type]]&lt;&gt;"Capacity Input","-",""))</f>
        <v/>
      </c>
      <c r="AE70" s="103" t="str">
        <f>IF(Reinforcements[[#This Row],[Reinforcement]]="","",IF(Reinforcements[[#This Row],[Bottom End Connection Type]]&lt;&gt;"Bolted","-",""))</f>
        <v/>
      </c>
      <c r="AF70" s="206" t="str">
        <f>IF(Reinforcements[[#This Row],[Reinforcement]]="","",IF(Reinforcements[[#This Row],[Bottom End Connection Type]]&lt;&gt;"Bolted","-",""))</f>
        <v/>
      </c>
      <c r="AG70" s="206" t="str">
        <f>IF(Reinforcements[[#This Row],[Reinforcement]]="","",IF(Reinforcements[[#This Row],[Bottom End Connection Type]]="","-",IF(Reinforcements[[#This Row],[Bottom End Connection Type]]&lt;&gt;"Bolted","-","")))</f>
        <v/>
      </c>
      <c r="AH70" s="206" t="str">
        <f>IF(Reinforcements[[#This Row],[Reinforcement]]="","",IF(Reinforcements[[#This Row],[Bottom End Connection Type]]="","-",IF(Reinforcements[[#This Row],[Bottom End Connection Type]]&lt;&gt;"Bolted","-","")))</f>
        <v/>
      </c>
      <c r="AI70" s="206" t="str">
        <f>IF(Reinforcements[[#This Row],[Reinforcement]]="","",IF(Reinforcements[[#This Row],[Bottom End Connection Type]]="","-",IF(Reinforcements[[#This Row],[Bottom End Connection Type]]&lt;&gt;"Bolted","-","")))</f>
        <v/>
      </c>
      <c r="AJ70" s="206" t="e">
        <f>Reinforcements[[#This Row],[End Connection Edge Distance (in) (B)]]-(Reinforcements[[#This Row],[Bolt Hole Size (in)]]+1/16)/2</f>
        <v>#VALUE!</v>
      </c>
      <c r="AK70" s="206" t="e">
        <f>Reinforcements[[#This Row],[End Connection Bolt Spacing (in) (B)]]-(Reinforcements[[#This Row],[Bolt Hole Size (in)]]+1/16)</f>
        <v>#VALUE!</v>
      </c>
      <c r="AL70" s="206" t="str">
        <f>Reinforcements[[#This Row],[End Connection Edge Distance (in) (B)]]</f>
        <v/>
      </c>
      <c r="AM70" s="206" t="str">
        <f>Reinforcements[[#This Row],[End Connection Bolt Spacing (in) (B)]]</f>
        <v/>
      </c>
      <c r="AN70" s="206" t="str">
        <f>IF(Reinforcements[[#This Row],[Reinforcement]]="","",IF(OR(Reinforcements[[#This Row],[Bottom End Connection Type]]="Bolted",Reinforcements[[#This Row],[Bottom End Connection Type]]=""),"-",""))</f>
        <v/>
      </c>
      <c r="AO70" s="214" t="str">
        <f>IF(Reinforcements[[#This Row],[Reinforcement]]="","",IF(Reinforcements[[#This Row],[Bottom End Connection Type]]&lt;&gt;"Welded","-",""))</f>
        <v/>
      </c>
      <c r="AP70" s="214" t="str">
        <f>IF(Reinforcements[[#This Row],[Reinforcement]]="","",IF(Reinforcements[[#This Row],[Bottom End Connection Type]]&lt;&gt;"Welded","-",""))</f>
        <v/>
      </c>
      <c r="AQ70" s="214" t="str">
        <f>IF(Reinforcements[[#This Row],[Reinforcement]]="","",IF(OR(Reinforcements[[#This Row],[Bottom End Connection Type]]&lt;&gt;"Welded",Reinforcements[[#This Row],[Bottom Transverse (Horizontal) Weld]]="None"),"-",""))</f>
        <v/>
      </c>
      <c r="AR70"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0"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0" s="214" t="str">
        <f>IF(Reinforcements[[#This Row],[Reinforcement]]="","",IF(OR(Reinforcements[[#This Row],[Bottom Transverse (Horizontal) Weld]]="None",Reinforcements[[#This Row],[Bottom End Connection Type]]&lt;&gt;"Welded"),"-",""))</f>
        <v/>
      </c>
      <c r="AU70"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0" s="214" t="str">
        <f>IF(Reinforcements[[#This Row],[Reinforcement]]="","",IF(OR(Reinforcements[[#This Row],[Bottom End Connection Type]]&lt;&gt;"Welded",Reinforcements[[#This Row],[Bottom End Connection Type]]=""),"-",""))</f>
        <v/>
      </c>
      <c r="AW70" s="214" t="str">
        <f>IF(Reinforcements[[#This Row],[Reinforcement]]="","",IF(OR(Reinforcements[[#This Row],[Bottom End Connection Type]]&lt;&gt;"Welded",Reinforcements[[#This Row],[Bottom Longitudinal (Vertical) Weld]]="None",Reinforcements[[#This Row],[Bottom Longitudinal (Vertical) Weld]]=""),"-",""))</f>
        <v/>
      </c>
      <c r="AX70" s="214" t="str">
        <f>IF(Reinforcements[[#This Row],[Reinforcement]]="","",IF(OR(Reinforcements[[#This Row],[Bottom End Connection Type]]&lt;&gt;"Welded",Reinforcements[[#This Row],[Bottom Longitudinal (Vertical) Weld]]="None",Reinforcements[[#This Row],[Bottom Longitudinal (Vertical) Weld]]=""),"-",""))</f>
        <v/>
      </c>
      <c r="AY70" s="206" t="str">
        <f>IF(Reinforcements[[#This Row],[Reinforcement]]="","",IF(OR(Reinforcements[[#This Row],[Bottom End Connection Type]]&lt;&gt;"Welded",Reinforcements[[#This Row],[Bottom Longitudinal (Vertical) Weld]]="None"),"-",SQRT(2)/2*Reinforcements[[#This Row],[Bottom Longitudinal Weld Fillet Size (in)]]))</f>
        <v/>
      </c>
      <c r="AZ70" s="206"/>
      <c r="BA70" s="103" t="str">
        <f>IF(Reinforcements[[#This Row],[Top End Connection Same?]]="Yes",Reinforcements[[#This Row],[Bottom End Connection Type]],"")</f>
        <v/>
      </c>
      <c r="BB70" s="103" t="str">
        <f>IF(Reinforcements[[#This Row],[Reinforcement]]="","",IF(Reinforcements[[#This Row],[Top End Connection Same?]]="Yes",Reinforcements[[#This Row],[Rev. F Bottom Connection Capacity (kips)]],IF(Reinforcements[[#This Row],[Reinforcement]]="","",IF(Reinforcements[[#This Row],[Top End Connection Type]]&lt;&gt;"Capacity Input","-",""))))</f>
        <v/>
      </c>
      <c r="BC70" s="103" t="str">
        <f>IF(Reinforcements[[#This Row],[Reinforcement]]="","",IF(Reinforcements[[#This Row],[Top End Connection Same?]]="Yes",Reinforcements[[#This Row],[Rev. G Bottom Connection Capacity (kips)]],IF(Reinforcements[[#This Row],[Reinforcement]]="","",IF(Reinforcements[[#This Row],[Top End Connection Type]]&lt;&gt;"Capacity Input","-",""))))</f>
        <v/>
      </c>
      <c r="BD70" s="253" t="str">
        <f>IF(Reinforcements[[#This Row],[Reinforcement]]="","",IF(Reinforcements[[#This Row],[Top End Connection Same?]]="Yes",Reinforcements[[#This Row],[Rev. G Bottom Connection Capacity (kips)]],IF(Reinforcements[[#This Row],[Reinforcement]]="","",IF(Reinforcements[[#This Row],[Top End Connection Type]]&lt;&gt;"Capacity Input","-",""))))</f>
        <v/>
      </c>
      <c r="BE70" s="103" t="str">
        <f>IF(Reinforcements[[#This Row],[Reinforcement]]="","",IF(Reinforcements[[#This Row],[Top End Connection Same?]]="Yes",Reinforcements[[#This Row],[Bottom End Connection Bolt Type]],IF(Reinforcements[[#This Row],[Top End Connection Type]]&lt;&gt;"Bolted","-","")))</f>
        <v/>
      </c>
      <c r="BF70" s="206" t="str">
        <f>IF(Reinforcements[[#This Row],[Reinforcement]]="","",IF(Reinforcements[[#This Row],[Top End Connection Same?]]="Yes",Reinforcements[[#This Row],[Threads Included (N) or Excluded (X) (Bottom)]],IF(Reinforcements[[#This Row],[Top End Connection Type]]&lt;&gt;"Bolted","-","")))</f>
        <v/>
      </c>
      <c r="BG70" s="206" t="str">
        <f>IF(Reinforcements[[#This Row],[Reinforcement]]="","",IF(Reinforcements[[#This Row],[Top End Connection Same?]]="Yes",Reinforcements[[#This Row],['# of End Connection Bolts          (Bottom)]],IF(Reinforcements[[#This Row],[Top End Connection Type]]&lt;&gt;"Bolted","-","")))</f>
        <v/>
      </c>
      <c r="BH70" s="206" t="str">
        <f>IF(Reinforcements[[#This Row],[Reinforcement]]="","",IF(Reinforcements[[#This Row],[Top End Connection Same?]]="Yes",Reinforcements[[#This Row],[End Connection Bolt Spacing (in) (B)]],IF(Reinforcements[[#This Row],[Top End Connection Type]]&lt;&gt;"Bolted","-","")))</f>
        <v/>
      </c>
      <c r="BI70" s="206" t="str">
        <f>IF(Reinforcements[[#This Row],[Reinforcement]]="","",IF(Reinforcements[[#This Row],[Top End Connection Same?]]="Yes",Reinforcements[[#This Row],[End Connection Edge Distance (in) (B)]],IF(Reinforcements[[#This Row],[Top End Connection Type]]&lt;&gt;"Bolted","-","")))</f>
        <v/>
      </c>
      <c r="BJ70" s="206" t="e">
        <f>Reinforcements[[#This Row],[End Connection Edge Distance (in) (T)]]-(Reinforcements[[#This Row],[Bolt Hole Size (in)]]+1/16)/2</f>
        <v>#VALUE!</v>
      </c>
      <c r="BK70" s="206" t="e">
        <f>Reinforcements[[#This Row],[End Connection Bolt Spacing (in) (T)]]-(Reinforcements[[#This Row],[Bolt Hole Size (in)]]+1/16)</f>
        <v>#VALUE!</v>
      </c>
      <c r="BL70" s="206" t="str">
        <f>Reinforcements[[#This Row],[End Connection Edge Distance (in) (T)]]</f>
        <v/>
      </c>
      <c r="BM70" s="206" t="str">
        <f>Reinforcements[[#This Row],[End Connection Bolt Spacing (in) (T)]]</f>
        <v/>
      </c>
      <c r="BN70" s="206" t="str">
        <f>IF(Reinforcements[[#This Row],[Reinforcement]]="","",IF(Reinforcements[[#This Row],[Top End Connection Same?]]="Yes",Reinforcements[[#This Row],[Bottom Connected to Flange/Base Plate?]],IF(Reinforcements[[#This Row],[Top End Connection Type]]="Bolted","-","")))</f>
        <v/>
      </c>
      <c r="BO70" s="206" t="str">
        <f>IF(Reinforcements[[#This Row],[Reinforcement]]="","",IF(Reinforcements[[#This Row],[Top End Connection Same?]]="Yes",Reinforcements[[#This Row],[Bottom Weld Grade (ksi)]],IF(OR(Reinforcements[[#This Row],[Top End Connection Type]]&lt;&gt;"Welded",Reinforcements[[#This Row],[Top End Connection Type]]=""),"-","")))</f>
        <v/>
      </c>
      <c r="BP70" s="206" t="str">
        <f>IF($AZ70="Yes",AP70,IF(Reinforcements[[#This Row],[Reinforcement]]="","",IF(OR(Reinforcements[[#This Row],[Top End Connection Type]]&lt;&gt;"Welded",Reinforcements[[#This Row],[Top End Connection Type]]=""),"-","")))</f>
        <v/>
      </c>
      <c r="BQ70" s="206" t="str">
        <f>IF(Reinforcements[[#This Row],[Reinforcement]]="","",IF($AZ70="Yes",AQ70,IF(OR(Reinforcements[[#This Row],[Top End Connection Type]]&lt;&gt;"Welded",Reinforcements[[#This Row],[Top Transverse (Horizontal) Weld]]="none",Reinforcements[[#This Row],[Top Transverse (Horizontal) Weld]]=""),"-","")))</f>
        <v/>
      </c>
      <c r="BR70" s="206" t="str">
        <f>IF($AZ70="Yes",AR70,IF(Reinforcements[[#This Row],[Reinforcement]]="","",IF(OR(Reinforcements[[#This Row],[Top Transverse (Horizontal) Weld]]="none",Reinforcements[[#This Row],[Top End Connection Type]]&lt;&gt;"Welded",Reinforcements[[#This Row],[Top Transverse (Horizontal) Weld]]="",Reinforcements[[#This Row],[Top Transverse (Horizontal) Weld]]="Fillet"),"-","")))</f>
        <v/>
      </c>
      <c r="BS70" s="206" t="str">
        <f>IF($AZ70="Yes",AS70,IF(Reinforcements[[#This Row],[Reinforcement]]="","",IF(OR(Reinforcements[[#This Row],[Top Transverse (Horizontal) Weld]]="none",Reinforcements[[#This Row],[Top End Connection Type]]&lt;&gt;"Welded",Reinforcements[[#This Row],[Top Transverse (Horizontal) Weld]]="",Reinforcements[[#This Row],[Top Transverse (Horizontal) Weld]]="Fillet"),"-","")))</f>
        <v/>
      </c>
      <c r="BT70" s="206" t="str">
        <f>IF(Reinforcements[[#This Row],[Reinforcement]]="","",IF($AZ70="Yes",AT70,IF(OR(Reinforcements[[#This Row],[Top Transverse (Horizontal) Weld]]="none",Reinforcements[[#This Row],[Top End Connection Type]]&lt;&gt;"Welded",Reinforcements[[#This Row],[Top Transverse (Horizontal) Weld]]=""),"-","")))</f>
        <v/>
      </c>
      <c r="BU70" s="206" t="str">
        <f>IF($AZ70="Yes",AU70,IF(Reinforcements[[#This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0" s="206" t="str">
        <f>IF($AZ70="Yes",AV70,IF(Reinforcements[[#This Row],[Reinforcement]]="","",IF(OR(Reinforcements[[#This Row],[Top End Connection Type]]&lt;&gt;"Welded",Reinforcements[[#This Row],[Top End Connection Type]]=""),"-","")))</f>
        <v/>
      </c>
      <c r="BW70" s="206" t="str">
        <f>IF($AZ70="Yes",AW70,IF(Reinforcements[[#This Row],[Reinforcement]]="","",IF(OR(Reinforcements[[#This Row],[Top End Connection Type]]&lt;&gt;"Welded",Reinforcements[[#This Row],[Top End Connection Type]]="",Reinforcements[[#This Row],[Top Longitudinal (Vertical) Weld]]="",Reinforcements[[#This Row],[Top Longitudinal (Vertical) Weld]]="None"),"-","")))</f>
        <v/>
      </c>
      <c r="BX70" s="206" t="str">
        <f>IF($AZ70="Yes",AX70,IF(Reinforcements[[#This Row],[Reinforcement]]="","",IF(OR(Reinforcements[[#This Row],[Top End Connection Type]]&lt;&gt;"Welded",Reinforcements[[#This Row],[Top End Connection Type]]="",Reinforcements[[#This Row],[Top Longitudinal (Vertical) Weld]]="",Reinforcements[[#This Row],[Top Longitudinal (Vertical) Weld]]="None"),"-","")))</f>
        <v/>
      </c>
      <c r="BY70" s="206" t="str">
        <f>IF($AZ70="Yes",AY70,IF(Reinforcements[[#This Row],[Reinforcement]]="","",IF(OR(Reinforcements[[#This Row],[Top End Connection Type]]&lt;&gt;"Welded",Reinforcements[[#This Row],[Top Longitudinal (Vertical) Weld]]="none"),"-",SQRT(2)/2*Reinforcements[[#This Row],[Top Longitudinal Weld Fillet Size (in)]])))</f>
        <v/>
      </c>
      <c r="BZ70"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0"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0"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0"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0"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0" s="201" t="str">
        <f>IFERROR(IF(Reinforcements[[#This Row],[Type]]="","",Reinforcements[[#This Row],[Effective B (in)]]*Reinforcements[[#This Row],[Effective H (in)]]^3/12),"")</f>
        <v/>
      </c>
      <c r="CF70" s="201" t="str">
        <f>IFERROR(IF(Reinforcements[[#This Row],[Type]]="","",Reinforcements[[#This Row],[Effective B (in)]]^3*Reinforcements[[#This Row],[Effective H (in)]]/12),"")</f>
        <v/>
      </c>
      <c r="CG70" s="224" t="e">
        <f>SQRT(2*PI()^2*29000/VLOOKUP(Reinforcements[[#This Row],[Material]],Materials[],2,FALSE))</f>
        <v>#N/A</v>
      </c>
      <c r="CH70"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0"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0" s="215" t="e">
        <f>Reinforcements[[#This Row],[Effective Length Factor Kx]]*Reinforcements[[#This Row],[Lu (in)]]/(Reinforcements[[#This Row],[rx]]*PI())*SQRT(VLOOKUP(Reinforcements[[#This Row],[Material]],Materials[],2,FALSE)/29000)</f>
        <v>#VALUE!</v>
      </c>
      <c r="CK70" s="215" t="e">
        <f>Reinforcements[[#This Row],[Effective Length Factor Ky]]*Reinforcements[[#This Row],[Lu (in)]]/(Reinforcements[[#This Row],[ry]]*PI())*SQRT(VLOOKUP(Reinforcements[[#This Row],[Material]],Materials[],2,FALSE)/29000)</f>
        <v>#VALUE!</v>
      </c>
      <c r="CL70" s="215" t="e">
        <f>IF(Reinforcements[[#This Row],[λcx]]&lt;=1.5,0.658^(Reinforcements[[#This Row],[λcx]]^2)*Reinforcements[[#This Row],[F''y]],0.877/(Reinforcements[[#This Row],[λcx]]^2)*Reinforcements[[#This Row],[F''y]])</f>
        <v>#VALUE!</v>
      </c>
      <c r="CM70" s="215" t="e">
        <f>IF(Reinforcements[[#This Row],[λcy]]&lt;=1.5,0.658^(Reinforcements[[#This Row],[λcy]]^2)*Reinforcements[[#This Row],[F''y]],0.877/(Reinforcements[[#This Row],[λcy]]^2)*Reinforcements[[#This Row],[F''y]])</f>
        <v>#VALUE!</v>
      </c>
      <c r="CN70" s="201" t="e">
        <f>VLOOKUP(Reinforcements[[#This Row],[Material]],Materials[],2,FALSE)</f>
        <v>#N/A</v>
      </c>
      <c r="CO70" s="224" t="str">
        <f>IF(Reinforcements[[#This Row],[Reinforcement]]="","",Reinforcements[[#This Row],[Fax]]*Reinforcements[[#This Row],[Gross Area (in2)]])</f>
        <v/>
      </c>
      <c r="CP70" s="224" t="str">
        <f>IF(Reinforcements[[#This Row],[Reinforcement]]="","",Reinforcements[[#This Row],[Fay]]*Reinforcements[[#This Row],[Gross Area (in2)]])</f>
        <v/>
      </c>
      <c r="CQ70" s="224" t="str">
        <f>IF(Reinforcements[[#This Row],[Reinforcement]]="","",0.6*VLOOKUP(Reinforcements[[#This Row],[Material]],Materials[],2,FALSE)*Reinforcements[[#This Row],[Gross Area (in2)]])</f>
        <v/>
      </c>
      <c r="CR70" s="224" t="str">
        <f>IF(Reinforcements[[#This Row],[Reinforcement]]="","",0.5*VLOOKUP(Reinforcements[[#This Row],[Material]],Materials[],3,FALSE)*Reinforcements[[#This Row],[Net Area (in2)]]*Reinforcements[[#This Row],[Shear Lag (U)]])</f>
        <v/>
      </c>
      <c r="CS70" s="224" t="str">
        <f>IF(Reinforcements[[#This Row],[Reinforcement]]="","",0.4*VLOOKUP(Reinforcements[[#This Row],[Material]],Materials[],2,FALSE)*Reinforcements[[#This Row],[Gross Area (in2)]])</f>
        <v/>
      </c>
      <c r="CT70"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0"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0"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0"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0"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0"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0"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0"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0"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0"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0"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0"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0" s="206" t="str">
        <f>IF($AZ70="Yes",DD70,IF(Reinforcements[[#This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0" s="206" t="str">
        <f>IF($AZ70="Yes",DE70,IF(Reinforcements[[#This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0" s="224" t="str">
        <f>IF(Reinforcements[[#This Row],[Reinforcement]]="","",φ_c*Reinforcements[[#This Row],[Fcr,x]]*Reinforcements[[#This Row],[Gross Area (in2)]])</f>
        <v/>
      </c>
      <c r="DI70" s="224" t="str">
        <f>IF(Reinforcements[[#This Row],[Reinforcement]]="","",φ_c*Reinforcements[[#This Row],[Fcr,y]]*Reinforcements[[#This Row],[Gross Area (in2)]])</f>
        <v/>
      </c>
      <c r="DJ70" s="224" t="str">
        <f>IF(Reinforcements[[#This Row],[Reinforcement]]="","",φ_t_y*VLOOKUP(Reinforcements[[#This Row],[Material]],Materials[],2,FALSE)*Reinforcements[[#This Row],[Gross Area (in2)]])</f>
        <v/>
      </c>
      <c r="DK70" s="224" t="str">
        <f>IF(Reinforcements[[#This Row],[Reinforcement]]="","",φ_t_r*VLOOKUP(Reinforcements[[#This Row],[Material]],Materials[],3,FALSE)*Reinforcements[[#This Row],[Net Area (in2)]]*Reinforcements[[#This Row],[Shear Lag (U)]])</f>
        <v/>
      </c>
      <c r="DL70" s="224" t="str">
        <f>IF(Reinforcements[[#This Row],[Reinforcement]]="","",φ_v*0.5*Reinforcements[[#This Row],[F''y]]*Reinforcements[[#This Row],[Gross Area (in2)]])</f>
        <v/>
      </c>
      <c r="DM70"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0"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0"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0"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0"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0"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0"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0"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0"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0"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0"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0"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0" s="206" t="str">
        <f>IF($AZ70="Yes",DW70,IF(Reinforcements[[#This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0" s="206" t="str">
        <f>IF($AZ70="Yes",DX70,IF(Reinforcements[[#This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0" s="507" t="str">
        <f>IF(OR(Reinforcements[[#This Row],[Type]]="plate",Reinforcements[[#This Row],[Type]]="solid round"),"N/A",Reinforcements[[#This Row],[B (in)]])</f>
        <v/>
      </c>
      <c r="EB70" s="508" t="str">
        <f>IF(OR(Reinforcements[[#This Row],[Type]]="plate",Reinforcements[[#This Row],[Type]]="solid round"),"N/A",Reinforcements[[#This Row],[H (in)]])</f>
        <v/>
      </c>
      <c r="EC70" s="508" t="e">
        <f>IF(OR(Reinforcements[[#This Row],[Type]]="plate",Reinforcements[[#This Row],[Type]]="solid round"),"N/A",Reinforcements[[#This Row],[B (in)]]-Reinforcements[[#This Row],['[Channel'] Flange Thickness (in)]])</f>
        <v>#VALUE!</v>
      </c>
      <c r="ED70" s="508" t="str">
        <f>IF(OR(Reinforcements[[#This Row],[Type]]="plate",Reinforcements[[#This Row],[Type]]="solid round"),"N/A",Reinforcements[[#This Row],['[Channel']Web Thickness (in)]])</f>
        <v/>
      </c>
      <c r="EE70" s="508" t="str">
        <f>IF(OR(Reinforcements[[#This Row],[Type]]="plate",Reinforcements[[#This Row],[Type]]="solid round"),"N/A",Reinforcements[[#This Row],['[Channel'] Flange Thickness (in)]])</f>
        <v/>
      </c>
      <c r="EF70" s="508" t="str">
        <f>IF(Reinforcements[[#This Row],[Type]]="channel",Reinforcements[[#This Row],[Channel Flange Width, b]]/Reinforcements[[#This Row],[Channel flange thickness, tf]],"N/A")</f>
        <v>N/A</v>
      </c>
      <c r="EG70" s="508" t="str">
        <f>IF(Reinforcements[[#This Row],[Type]]="channel",Reinforcements[[#This Row],[Channel inside depth, T]]/Reinforcements[[#This Row],[Channel web thickness, tw]],"N/A")</f>
        <v>N/A</v>
      </c>
      <c r="EH70" s="252">
        <v>28998</v>
      </c>
      <c r="EI70" s="252" t="str">
        <f>IF(Reinforcements[[#This Row],[Type]]="channel",0.56*SQRT(Reinforcements[[#This Row],[E, (ksi)]]/Reinforcements[[#This Row],[Fy, (ksi)]]),"N/A")</f>
        <v>N/A</v>
      </c>
      <c r="EJ70" s="252" t="str">
        <f>IF(Reinforcements[[#This Row],[Type]]="channel",1.49*SQRT(Reinforcements[[#This Row],[E, (ksi)]]/Reinforcements[[#This Row],[Fy, (ksi)]]),"N/A")</f>
        <v>N/A</v>
      </c>
      <c r="EK70" s="252" t="e">
        <f>VLOOKUP(Reinforcements[[#This Row],[Material]],Materials!$B$2:$C$30,2,FALSE)</f>
        <v>#N/A</v>
      </c>
      <c r="EL70" s="252" t="e">
        <f>Reinforcements[[#This Row],[Lu (in)]]*Reinforcements[[#This Row],[Effective Length Factor Kx]]</f>
        <v>#VALUE!</v>
      </c>
      <c r="EM70" s="252" t="e">
        <f>Reinforcements[[#This Row],[Lu (in)]]*Reinforcements[[#This Row],[Effective Length Factor Ky]]</f>
        <v>#VALUE!</v>
      </c>
      <c r="EN70" s="252" t="str">
        <f>Reinforcements[[#This Row],[rx]]</f>
        <v/>
      </c>
      <c r="EO70" s="252" t="str">
        <f>Reinforcements[[#This Row],[ry]]</f>
        <v/>
      </c>
      <c r="EP70" s="252" t="e">
        <f>Reinforcements[[#This Row],[Lcx (in)]]/Reinforcements[[#This Row],[rx (in)]]</f>
        <v>#VALUE!</v>
      </c>
      <c r="EQ70" s="252" t="e">
        <f>Reinforcements[[#This Row],[Lcy (in)]]/Reinforcements[[#This Row],[ry (in)]]</f>
        <v>#VALUE!</v>
      </c>
      <c r="ER70" s="252" t="e">
        <f>((PI()^2)*Reinforcements[[#This Row],[E, (ksi)]])/(Reinforcements[[#This Row],[Lcx/rx]]^2)</f>
        <v>#VALUE!</v>
      </c>
      <c r="ES70" s="252" t="e">
        <f>((PI()^2)*Reinforcements[[#This Row],[E, (ksi)]])/(Reinforcements[[#This Row],[Lcy/ry]]^2)</f>
        <v>#VALUE!</v>
      </c>
      <c r="ET70" s="252" t="e">
        <f>4.71*(SQRT(Reinforcements[[#This Row],[E, (ksi)]]/Reinforcements[[#This Row],[Fy, (ksi)]]))</f>
        <v>#N/A</v>
      </c>
      <c r="EU70" s="252" t="e">
        <f>IF(Reinforcements[[#This Row],[Lcx/rx]]&lt;=Reinforcements[[#This Row],[Fcr Limit]],(0.658^(Reinforcements[[#This Row],[Fy, (ksi)]]/Reinforcements[[#This Row],[Fex, FB (ksi)]]))*Reinforcements[[#This Row],[Fy, (ksi)]],0.877*Reinforcements[[#This Row],[Fex, FB (ksi)]])</f>
        <v>#VALUE!</v>
      </c>
      <c r="EV70" s="252" t="e">
        <f>IF(Reinforcements[[#This Row],[Lcy/ry]]&lt;=Reinforcements[[#This Row],[Fcr Limit]],(0.658^(Reinforcements[[#This Row],[Fy, (ksi)]]/Reinforcements[[#This Row],[Fey, FB (ksi)]]))*Reinforcements[[#This Row],[Fy, (ksi)]],0.877*Reinforcements[[#This Row],[Fey, FB (ksi)]])</f>
        <v>#VALUE!</v>
      </c>
      <c r="EW70" s="252" t="e">
        <f>Reinforcements[[#This Row],[Fcrx (ksi)]]*Reinforcements[[#This Row],[Gross Area (in2)]]</f>
        <v>#VALUE!</v>
      </c>
      <c r="EX70" s="252" t="e">
        <f>Reinforcements[[#This Row],[Fcry (ksi)]]*Reinforcements[[#This Row],[Gross Area (in2)]]</f>
        <v>#VALUE!</v>
      </c>
      <c r="EY70" s="252" t="str">
        <f>IF(Reinforcements[[#This Row],[Type]]="channel",0,"N/A")</f>
        <v>N/A</v>
      </c>
      <c r="EZ70" s="252" t="str">
        <f>IF(Reinforcements[[#This Row],[Type]]="channel",Reinforcements[[#This Row],[Channel Flange Width, b]]-(0.5*Reinforcements[[#This Row],[Channel web thickness, tw]]),"N/A")</f>
        <v>N/A</v>
      </c>
      <c r="FA70" s="252" t="str">
        <f>IF(Reinforcements[[#This Row],[Type]]="channel",Reinforcements[[#This Row],[Channel Height, h]]-Reinforcements[[#This Row],[Channel flange thickness, tf]],"N/A")</f>
        <v>N/A</v>
      </c>
      <c r="FB70" s="252" t="str">
        <f>IF(Reinforcements[[#This Row],[Type]]="channel",Reinforcements[[#This Row],[Channel web thickness, tw]],"N/A")</f>
        <v>N/A</v>
      </c>
      <c r="FC70" s="252" t="str">
        <f>IF(Reinforcements[[#This Row],[Type]]="channel",((3*Reinforcements[[#This Row],[b]]^2)/(Reinforcements[[#This Row],[h]]+(6*Reinforcements[[#This Row],[b]])))-Reinforcements[[#This Row],[t]]/2,"N/A")</f>
        <v>N/A</v>
      </c>
      <c r="FD70" s="252" t="str">
        <f>Reinforcements[[#This Row],[Pole Face to Centroid (in)]]</f>
        <v/>
      </c>
      <c r="FE70" s="508" t="str">
        <f>IF(Reinforcements[[#This Row],[Type]]="channel",Reinforcements[[#This Row],[x(bar)]]+Reinforcements[[#This Row],['[Channel'] e0 (in)]],"N/A")</f>
        <v>N/A</v>
      </c>
      <c r="FF70" s="508" t="str">
        <f>IF(Reinforcements[[#This Row],[Type]]="channel",Reinforcements[[#This Row],[Ix]],"N/A")</f>
        <v>N/A</v>
      </c>
      <c r="FG70" s="508" t="str">
        <f>IF(Reinforcements[[#This Row],[Type]]="channel",Reinforcements[[#This Row],[Iy]],"N/A")</f>
        <v>N/A</v>
      </c>
      <c r="FH70" s="508" t="str">
        <f>IF(Reinforcements[[#This Row],[Type]]="channel",Reinforcements[[#This Row],[Gross Area (in2)]],"N/A")</f>
        <v>N/A</v>
      </c>
      <c r="FI70" s="508" t="str">
        <f>IF(Reinforcements[[#This Row],[Type]]="channel",(Reinforcements[[#This Row],[xo]]^2)+((Reinforcements[[#This Row],[Ix (FTB)]]+Reinforcements[[#This Row],[Iy (FTB)]])/Reinforcements[[#This Row],[Ag]]),"N/A")</f>
        <v>N/A</v>
      </c>
      <c r="FJ70" s="508" t="str">
        <f>IF(Reinforcements[[#This Row],[Type]]="channel",Reinforcements[[#This Row],[Lu (in)]],"N/A")</f>
        <v>N/A</v>
      </c>
      <c r="FK70" s="508" t="str">
        <f>IF(Reinforcements[[#This Row],[Type]]="channel",Reinforcements[[#This Row],[Effective Length Factor Kx]],"N/A")</f>
        <v>N/A</v>
      </c>
      <c r="FL70" s="508" t="str">
        <f>IF(Reinforcements[[#This Row],[Type]]="channel",Reinforcements[[#This Row],[Kz]]*Reinforcements[[#This Row],[Lz]],"N/A")</f>
        <v>N/A</v>
      </c>
      <c r="FM70" s="508" t="str">
        <f>IF(Reinforcements[[#This Row],[Type]]="channel",(((Reinforcements[[#This Row],[t]]^3)/3)*(Reinforcements[[#This Row],[h]]+(2*Reinforcements[[#This Row],[b]]))),"N/A")</f>
        <v>N/A</v>
      </c>
      <c r="FN70" s="508" t="str">
        <f>IF(Reinforcements[[#This Row],[Type]]="channel",(1-(((Reinforcements[[#This Row],[xo]]^2)+(Reinforcements[[#This Row],[yo]]^2))/Reinforcements[[#This Row],[ro^2(bar)]])),"N/A")</f>
        <v>N/A</v>
      </c>
      <c r="FO70" s="252">
        <v>11197</v>
      </c>
      <c r="FP70" s="508" t="str">
        <f>IF(Reinforcements[[#This Row],[Type]]="channel",(((Reinforcements[[#This Row],[h]]^2)*(Reinforcements[[#This Row],[b]]^3)*Reinforcements[[#This Row],[t]])/12)*(((2*Reinforcements[[#This Row],[h]])+(3*Reinforcements[[#This Row],[b]]))/(Reinforcements[[#This Row],[h]]+(6*Reinforcements[[#This Row],[b]]))),"N/A")</f>
        <v>N/A</v>
      </c>
      <c r="FQ70" s="508" t="str">
        <f>IF(Reinforcements[[#This Row],[Type]]="Channel",((((PI()^2)*Reinforcements[[#This Row],[E, (ksi)]]*Reinforcements[[#This Row],['[Channel'] CW (in6)]])/(Reinforcements[[#This Row],[Lcz]]^2))+(Reinforcements[[#This Row],[G]]*Reinforcements[[#This Row],['[Channel'] J (in4)]]))*(1/(Reinforcements[[#This Row],[Ag]]*Reinforcements[[#This Row],[ro^2(bar)]])),"N/A")</f>
        <v>N/A</v>
      </c>
      <c r="FR70" s="508" t="str">
        <f>IF(Reinforcements[[#This Row],[Type]]="channel",((PI()^2)*Reinforcements[[#This Row],[E, (ksi)]])/(Reinforcements[[#This Row],[Lcy/ry]]^2),"N/A")</f>
        <v>N/A</v>
      </c>
      <c r="FS70" s="508" t="str">
        <f>IF(Reinforcements[[#This Row],[Type]]="channel",((Reinforcements[[#This Row],[Fey]]+Reinforcements[[#This Row],[Fez]])/(2*Reinforcements[[#This Row],[H2]]))*(1-SQRT(1-((4*Reinforcements[[#This Row],[Fey]]*Reinforcements[[#This Row],[Fez]]*Reinforcements[[#This Row],[H2]])/(Reinforcements[[#This Row],[Fey]]+Reinforcements[[#This Row],[Fez]])^2))),"N/A")</f>
        <v>N/A</v>
      </c>
      <c r="FT70" s="508" t="str">
        <f>IF(Reinforcements[[#This Row],[Type]]="channel",IF(Reinforcements[[#This Row],[Lcx/rx]]&gt;(4.71*SQRT(Reinforcements[[#This Row],[E, (ksi)]]/Reinforcements[[#This Row],[Fy, (ksi)]])),0.877*Reinforcements[[#This Row],[Fe (FTB)]],0.658^(Reinforcements[[#This Row],[Fy, (ksi)]]/Reinforcements[[#This Row],[Fe (FTB)]])*Reinforcements[[#This Row],[Fy, (ksi)]]),"N/A")</f>
        <v>N/A</v>
      </c>
      <c r="FU70" s="508" t="str">
        <f>IF(Reinforcements[[#This Row],[Type]]="channel",MIN(Reinforcements[[#This Row],[Fcr(FTB)]],Reinforcements[[#This Row],[Fcry (ksi)]]),"N/A")</f>
        <v>N/A</v>
      </c>
      <c r="FV70" s="252">
        <v>0.22</v>
      </c>
      <c r="FW70" s="252">
        <v>1.49</v>
      </c>
      <c r="FX70" s="508" t="str">
        <f>IF(Reinforcements[[#This Row],[Type]]="channel",((Reinforcements[[#This Row],[c2]]*(Reinforcements[[#This Row],[λrf]]/Reinforcements[[#This Row],[λf]]))^2)*Reinforcements[[#This Row],[Fy, (ksi)]],"N/A")</f>
        <v>N/A</v>
      </c>
      <c r="FY70" s="508" t="str">
        <f>IF(Reinforcements[[#This Row],[Type]]="channel",((Reinforcements[[#This Row],[c2]]*(Reinforcements[[#This Row],[λrw]]/Reinforcements[[#This Row],[λw]]))^2)*Reinforcements[[#This Row],[Fy, (ksi)]],"N/A")</f>
        <v>N/A</v>
      </c>
      <c r="FZ70"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0"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0"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0" s="508" t="str">
        <f>IF(Reinforcements[[#This Row],[Type]]="channel",Reinforcements[[#This Row],[Fcr]]*Reinforcements[[#This Row],[Ae]],"N/A")</f>
        <v>N/A</v>
      </c>
      <c r="GD70" s="462" t="str">
        <f>IF(Reinforcements[[#This Row],[Reinforcement]]="","",φ_c*Reinforcements[[#This Row],[Pnx, FB (kip)]])</f>
        <v/>
      </c>
      <c r="GE70" s="462" t="str">
        <f>IF(Reinforcements[[#This Row],[Reinforcement]]="","",IF(Reinforcements[[#This Row],[Type]]="channel",φ_c*Reinforcements[[#This Row],[Pn]],φ_c*Reinforcements[[#This Row],[Pny, FB (kip)]]))</f>
        <v/>
      </c>
      <c r="GF70" s="462" t="str">
        <f>Reinforcements[[#This Row],[Rev. G Tension Yield Capacity (kips)]]</f>
        <v/>
      </c>
      <c r="GG70" s="462" t="str">
        <f>Reinforcements[[#This Row],[Rev. G Tension Rupture Capacity (kips)]]</f>
        <v/>
      </c>
      <c r="GH70" s="462" t="str">
        <f>Reinforcements[[#This Row],[Rev. G Shear Capacity (kips)]]</f>
        <v/>
      </c>
      <c r="GI70" s="462" t="str">
        <f>IFERROR((Reinforcements[[#This Row],['# of End Connection Bolts          (Bottom)]]-1)*Reinforcements[[#This Row],[End Connection Bolt Spacing (in) (B)]],"-")</f>
        <v>-</v>
      </c>
      <c r="GJ70" s="462" t="str">
        <f>IFERROR(IF(VLOOKUP(Reinforcements[[#This Row],[Bottom End Connection Bolt Type]],Bolts[],COLUMN(Bolts[[#Headers],[Rev. H Apply Connection Length Reduction Factor (Rb)?]])-1,FALSE)="Yes",(IF(Reinforcements[[#This Row],[Lb(bottom)]]&lt;=16,1,IF(Reinforcements[[#This Row],[Lb(bottom)]]&gt;38,0.75,0.9))),1),"-")</f>
        <v>-</v>
      </c>
      <c r="GK70"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0" s="462" t="str">
        <f>IFERROR(IF(Reinforcements[[#This Row],[Top End Connection Same?]]="Yes",Reinforcements[[#This Row],[Lb(bottom)]],(Reinforcements[[#This Row],['# of End Connection Bolts          (Top)]]-1)*Reinforcements[[#This Row],[End Connection Bolt Spacing (in) (T)]]),"-")</f>
        <v>-</v>
      </c>
      <c r="GM70" s="462" t="str">
        <f>IFERROR(IF(VLOOKUP(Reinforcements[[#This Row],[Top End Connection Bolt Type]],Bolts[],COLUMN(Bolts[[#Headers],[Rev. H Apply Connection Length Reduction Factor (Rb)?]])-1,FALSE)="Yes",(IF(Reinforcements[[#This Row],[Lb(top)]]&lt;=16,1,IF(Reinforcements[[#This Row],[Lb(top)]]&gt;38,0.75,0.9))),1),"-")</f>
        <v>-</v>
      </c>
      <c r="GN70"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0" s="462" t="str">
        <f>Reinforcements[[#This Row],[Rev. G Bolt-Shaft Bearing Capacity (Bottom)                No Deformation          (*t*Fu kips)]]</f>
        <v>-</v>
      </c>
      <c r="GP70" s="462" t="str">
        <f>Reinforcements[[#This Row],[Rev. G Bolt-Shaft Bearing Capacity (Bottom)                   Deformation          (*t*Fu kips)]]</f>
        <v>-</v>
      </c>
      <c r="GQ70" s="462" t="str">
        <f>Reinforcements[[#This Row],[Rev. G Bolt-Shaft Bearing Capacity (Top)                    No Deformation          (*t*Fu kips)]]</f>
        <v>-</v>
      </c>
      <c r="GR70" s="462" t="str">
        <f>Reinforcements[[#This Row],[Rev. G Bolt-Shaft Bearing Capacity (Top)                        Deformation          (*t*Fu kips)]]</f>
        <v>-</v>
      </c>
      <c r="GS70" s="462" t="str">
        <f>Reinforcements[[#This Row],[Rev. G Bolt-Reinf. Bearing Capacity (Bottom)            No Deformation (kips)]]</f>
        <v>-</v>
      </c>
      <c r="GT70" s="462" t="str">
        <f>Reinforcements[[#This Row],[Rev. G Bolt-Reinf. Bearing Capacity (Bottom)               Deformation (kips)]]</f>
        <v>-</v>
      </c>
      <c r="GU70" s="462" t="str">
        <f>Reinforcements[[#This Row],[Rev. G Bolt-Reinf. Bearing Capacity (Top)                  No Deformation (kips)]]</f>
        <v>-</v>
      </c>
      <c r="GV70" s="462" t="str">
        <f>Reinforcements[[#This Row],[Rev. G Bolt-Reinf. Bearing Capacity (Top)               Deformation (kips)]]</f>
        <v>-</v>
      </c>
      <c r="GW70" s="462" t="str">
        <f>Reinforcements[[#This Row],[Rev. G Bottom Transverse Weld Strength]]</f>
        <v/>
      </c>
      <c r="GX70" s="462" t="str">
        <f>Reinforcements[[#This Row],[Rev. G Bottom Longitudinal Weld Strength]]</f>
        <v/>
      </c>
      <c r="GY70" s="462" t="str">
        <f>Reinforcements[[#This Row],[Rev. G Top Transverse Weld Strength]]</f>
        <v/>
      </c>
      <c r="GZ70" s="462" t="str">
        <f>Reinforcements[[#This Row],[Rev. G Top Longitudinal Weld Strength]]</f>
        <v/>
      </c>
      <c r="HA70" s="552">
        <v>68</v>
      </c>
      <c r="HB70"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1" spans="2:210" x14ac:dyDescent="0.2">
      <c r="B71" s="129"/>
      <c r="C71" s="129"/>
      <c r="D71" s="201" t="str">
        <f>IF(Reinforcements[[#This Row],[Type]]="","",IF(Reinforcements[[#This Row],[Type]]="solid round","-",""))</f>
        <v/>
      </c>
      <c r="E71" s="201" t="str">
        <f>IF(Reinforcements[[#This Row],[Type]]="","",IF(Reinforcements[[#This Row],[Type]]="solid round","-",""))</f>
        <v/>
      </c>
      <c r="F71" s="201" t="str">
        <f>IF(Reinforcements[[#This Row],[Type]]="","",IF(Reinforcements[[#This Row],[Type]]="solid round","","n/a"))</f>
        <v/>
      </c>
      <c r="G71" s="201" t="str">
        <f>IF(Reinforcements[[#This Row],[Type]]="","",IF(Reinforcements[[#This Row],[Type]]&lt;&gt;"channel","n/a",""))</f>
        <v/>
      </c>
      <c r="H71" s="201" t="str">
        <f>IF(Reinforcements[[#This Row],[Type]]="","",IF(Reinforcements[[#This Row],[Type]]&lt;&gt;"channel","n/a",""))</f>
        <v/>
      </c>
      <c r="I71" s="224" t="str">
        <f>IF(Reinforcements[[#This Row],[Type]]="","",IF(Reinforcements[[#This Row],[Type]]&lt;&gt;"channel","n/a",Reinforcements[[#This Row],[eo]]))</f>
        <v/>
      </c>
      <c r="J71" s="224" t="str">
        <f>IF(Reinforcements[[#This Row],[Type]]="","",IF(Reinforcements[[#This Row],[Type]]&lt;&gt;"channel","n/a",Reinforcements[[#This Row],[J]]))</f>
        <v/>
      </c>
      <c r="K71" s="224" t="str">
        <f>IF(Reinforcements[[#This Row],[Type]]="","",IF(Reinforcements[[#This Row],[Type]]&lt;&gt;"channel","n/a",Reinforcements[[#This Row],[Cw]]))</f>
        <v/>
      </c>
      <c r="L71" s="201" t="str">
        <f>IFERROR(IF(Reinforcements[[#This Row],[Type]]="","",IF(Reinforcements[[#This Row],[Type]]="plate",Reinforcements[[#This Row],[B (in)]]*Reinforcements[[#This Row],[H (in)]],IF(Reinforcements[[#This Row],[Type]]="solid round",PI()/4*Reinforcements[[#This Row],[Diameter (in)]]^2,""))),"")</f>
        <v/>
      </c>
      <c r="M71" s="201" t="str">
        <f>IFERROR(IF(Reinforcements[[#This Row],[Type]]="","",IF(Reinforcements[[#This Row],[Type]]="plate",Reinforcements[[#This Row],[H (in)]]/2,"")),"")</f>
        <v/>
      </c>
      <c r="N71" s="202"/>
      <c r="O71" s="203"/>
      <c r="P71" s="215" t="str">
        <f>IFERROR(IF(Reinforcements[[#This Row],[Type]]="","",IF(Reinforcements[[#This Row],[Type]]="plate",Reinforcements[[#This Row],[B (in)]]*Reinforcements[[#This Row],[H (in)]]^3/12,IF(Reinforcements[[#This Row],[Type]]="solid round",PI()/64*Reinforcements[[#This Row],[Diameter (in)]]^4,""))),"")</f>
        <v/>
      </c>
      <c r="Q71" s="215" t="str">
        <f>IF(Reinforcements[[#This Row],[Reinforcement]]="","",SQRT(Reinforcements[[#This Row],[Ix]]/Reinforcements[[#This Row],[Gross Area (in2)]]))</f>
        <v/>
      </c>
      <c r="R71" s="215" t="str">
        <f>IFERROR(IF(Reinforcements[[#This Row],[Type]]="","",IF(Reinforcements[[#This Row],[Type]]="plate",Reinforcements[[#This Row],[B (in)]]^3*Reinforcements[[#This Row],[H (in)]]/12,IF(Reinforcements[[#This Row],[Type]]="solid round",PI()/64*Reinforcements[[#This Row],[Diameter (in)]]^4,""))),"")</f>
        <v/>
      </c>
      <c r="S71" s="215" t="str">
        <f>IF(Reinforcements[[#This Row],[Reinforcement]]="","",SQRT(Reinforcements[[#This Row],[Iy]]/Reinforcements[[#This Row],[Gross Area (in2)]]))</f>
        <v/>
      </c>
      <c r="T71" s="206"/>
      <c r="U71" s="204" t="str">
        <f>IF(Reinforcements[[#This Row],[Lu (in)]]="","",IF(Reinforcements[[#This Row],[Lu (in)]]=0,1,""))</f>
        <v/>
      </c>
      <c r="V71" s="204" t="str">
        <f>IF(Reinforcements[[#This Row],[Lu (in)]]="","",IF(Reinforcements[[#This Row],[Lu (in)]]=0,1,""))</f>
        <v/>
      </c>
      <c r="W71" s="201" t="str">
        <f>IF(Reinforcements[[#This Row],[Type]]="","",IF(Reinforcements[[#This Row],[Type]]="solid round",0,IF(Reinforcements[[#This Row],[Type]]="arbitrary","n/a","")))</f>
        <v/>
      </c>
      <c r="X71" s="204" t="str">
        <f>IF(Reinforcements[[#This Row],[Bolt Hole Size (in)]]="","",IF(Reinforcements[[#This Row],[Bolt Hole Size (in)]]="n/a","n/a",Reinforcements[[#This Row],[Bolt Hole Size (in)]]*25.4))</f>
        <v/>
      </c>
      <c r="Y71"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1" s="201" t="str">
        <f>IFERROR(IF(Reinforcements[[#This Row],[Reinforcement]]="","",IF(OR(Reinforcements[[#This Row],[Type]]="plate",Reinforcements[[#This Row],[Type]]="solid round"),1,IF(Reinforcements[[#This Row],[Type]]="arbitrary","",1-Reinforcements[[#This Row],[Pole Face to Centroid (in)]]/Reinforcements[[#This Row],[Connection Length (in) '[Channels']]]))),"")</f>
        <v/>
      </c>
      <c r="AA71" s="205"/>
      <c r="AB71" s="103" t="str">
        <f>IF(Reinforcements[[#This Row],[Reinforcement]]="","",IF(Reinforcements[[#This Row],[Bottom End Connection Type]]&lt;&gt;"Capacity Input","-",""))</f>
        <v/>
      </c>
      <c r="AC71" s="103" t="str">
        <f>IF(Reinforcements[[#This Row],[Reinforcement]]="","",IF(Reinforcements[[#This Row],[Bottom End Connection Type]]&lt;&gt;"Capacity Input","-",""))</f>
        <v/>
      </c>
      <c r="AD71" s="253" t="str">
        <f>IF(Reinforcements[[#This Row],[Reinforcement]]="","",IF(Reinforcements[[#This Row],[Bottom End Connection Type]]&lt;&gt;"Capacity Input","-",""))</f>
        <v/>
      </c>
      <c r="AE71" s="103" t="str">
        <f>IF(Reinforcements[[#This Row],[Reinforcement]]="","",IF(Reinforcements[[#This Row],[Bottom End Connection Type]]&lt;&gt;"Bolted","-",""))</f>
        <v/>
      </c>
      <c r="AF71" s="206" t="str">
        <f>IF(Reinforcements[[#This Row],[Reinforcement]]="","",IF(Reinforcements[[#This Row],[Bottom End Connection Type]]&lt;&gt;"Bolted","-",""))</f>
        <v/>
      </c>
      <c r="AG71" s="206" t="str">
        <f>IF(Reinforcements[[#This Row],[Reinforcement]]="","",IF(Reinforcements[[#This Row],[Bottom End Connection Type]]="","-",IF(Reinforcements[[#This Row],[Bottom End Connection Type]]&lt;&gt;"Bolted","-","")))</f>
        <v/>
      </c>
      <c r="AH71" s="206" t="str">
        <f>IF(Reinforcements[[#This Row],[Reinforcement]]="","",IF(Reinforcements[[#This Row],[Bottom End Connection Type]]="","-",IF(Reinforcements[[#This Row],[Bottom End Connection Type]]&lt;&gt;"Bolted","-","")))</f>
        <v/>
      </c>
      <c r="AI71" s="206" t="str">
        <f>IF(Reinforcements[[#This Row],[Reinforcement]]="","",IF(Reinforcements[[#This Row],[Bottom End Connection Type]]="","-",IF(Reinforcements[[#This Row],[Bottom End Connection Type]]&lt;&gt;"Bolted","-","")))</f>
        <v/>
      </c>
      <c r="AJ71" s="206" t="e">
        <f>Reinforcements[[#This Row],[End Connection Edge Distance (in) (B)]]-(Reinforcements[[#This Row],[Bolt Hole Size (in)]]+1/16)/2</f>
        <v>#VALUE!</v>
      </c>
      <c r="AK71" s="206" t="e">
        <f>Reinforcements[[#This Row],[End Connection Bolt Spacing (in) (B)]]-(Reinforcements[[#This Row],[Bolt Hole Size (in)]]+1/16)</f>
        <v>#VALUE!</v>
      </c>
      <c r="AL71" s="206" t="str">
        <f>Reinforcements[[#This Row],[End Connection Edge Distance (in) (B)]]</f>
        <v/>
      </c>
      <c r="AM71" s="206" t="str">
        <f>Reinforcements[[#This Row],[End Connection Bolt Spacing (in) (B)]]</f>
        <v/>
      </c>
      <c r="AN71" s="206" t="str">
        <f>IF(Reinforcements[[#This Row],[Reinforcement]]="","",IF(OR(Reinforcements[[#This Row],[Bottom End Connection Type]]="Bolted",Reinforcements[[#This Row],[Bottom End Connection Type]]=""),"-",""))</f>
        <v/>
      </c>
      <c r="AO71" s="214" t="str">
        <f>IF(Reinforcements[[#This Row],[Reinforcement]]="","",IF(Reinforcements[[#This Row],[Bottom End Connection Type]]&lt;&gt;"Welded","-",""))</f>
        <v/>
      </c>
      <c r="AP71" s="214" t="str">
        <f>IF(Reinforcements[[#This Row],[Reinforcement]]="","",IF(Reinforcements[[#This Row],[Bottom End Connection Type]]&lt;&gt;"Welded","-",""))</f>
        <v/>
      </c>
      <c r="AQ71" s="214" t="str">
        <f>IF(Reinforcements[[#This Row],[Reinforcement]]="","",IF(OR(Reinforcements[[#This Row],[Bottom End Connection Type]]&lt;&gt;"Welded",Reinforcements[[#This Row],[Bottom Transverse (Horizontal) Weld]]="None"),"-",""))</f>
        <v/>
      </c>
      <c r="AR71"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1"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1" s="214" t="str">
        <f>IF(Reinforcements[[#This Row],[Reinforcement]]="","",IF(OR(Reinforcements[[#This Row],[Bottom Transverse (Horizontal) Weld]]="None",Reinforcements[[#This Row],[Bottom End Connection Type]]&lt;&gt;"Welded"),"-",""))</f>
        <v/>
      </c>
      <c r="AU71"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1" s="214" t="str">
        <f>IF(Reinforcements[[#This Row],[Reinforcement]]="","",IF(OR(Reinforcements[[#This Row],[Bottom End Connection Type]]&lt;&gt;"Welded",Reinforcements[[#This Row],[Bottom End Connection Type]]=""),"-",""))</f>
        <v/>
      </c>
      <c r="AW71" s="214" t="str">
        <f>IF(Reinforcements[[#This Row],[Reinforcement]]="","",IF(OR(Reinforcements[[#This Row],[Bottom End Connection Type]]&lt;&gt;"Welded",Reinforcements[[#This Row],[Bottom Longitudinal (Vertical) Weld]]="None",Reinforcements[[#This Row],[Bottom Longitudinal (Vertical) Weld]]=""),"-",""))</f>
        <v/>
      </c>
      <c r="AX71" s="214" t="str">
        <f>IF(Reinforcements[[#This Row],[Reinforcement]]="","",IF(OR(Reinforcements[[#This Row],[Bottom End Connection Type]]&lt;&gt;"Welded",Reinforcements[[#This Row],[Bottom Longitudinal (Vertical) Weld]]="None",Reinforcements[[#This Row],[Bottom Longitudinal (Vertical) Weld]]=""),"-",""))</f>
        <v/>
      </c>
      <c r="AY71" s="206" t="str">
        <f>IF(Reinforcements[[#This Row],[Reinforcement]]="","",IF(OR(Reinforcements[[#This Row],[Bottom End Connection Type]]&lt;&gt;"Welded",Reinforcements[[#This Row],[Bottom Longitudinal (Vertical) Weld]]="None"),"-",SQRT(2)/2*Reinforcements[[#This Row],[Bottom Longitudinal Weld Fillet Size (in)]]))</f>
        <v/>
      </c>
      <c r="AZ71" s="206"/>
      <c r="BA71" s="103" t="str">
        <f>IF(Reinforcements[[#This Row],[Top End Connection Same?]]="Yes",Reinforcements[[#This Row],[Bottom End Connection Type]],"")</f>
        <v/>
      </c>
      <c r="BB71" s="103" t="str">
        <f>IF(Reinforcements[[#This Row],[Reinforcement]]="","",IF(Reinforcements[[#This Row],[Top End Connection Same?]]="Yes",Reinforcements[[#This Row],[Rev. F Bottom Connection Capacity (kips)]],IF(Reinforcements[[#This Row],[Reinforcement]]="","",IF(Reinforcements[[#This Row],[Top End Connection Type]]&lt;&gt;"Capacity Input","-",""))))</f>
        <v/>
      </c>
      <c r="BC71" s="103" t="str">
        <f>IF(Reinforcements[[#This Row],[Reinforcement]]="","",IF(Reinforcements[[#This Row],[Top End Connection Same?]]="Yes",Reinforcements[[#This Row],[Rev. G Bottom Connection Capacity (kips)]],IF(Reinforcements[[#This Row],[Reinforcement]]="","",IF(Reinforcements[[#This Row],[Top End Connection Type]]&lt;&gt;"Capacity Input","-",""))))</f>
        <v/>
      </c>
      <c r="BD71" s="253" t="str">
        <f>IF(Reinforcements[[#This Row],[Reinforcement]]="","",IF(Reinforcements[[#This Row],[Top End Connection Same?]]="Yes",Reinforcements[[#This Row],[Rev. G Bottom Connection Capacity (kips)]],IF(Reinforcements[[#This Row],[Reinforcement]]="","",IF(Reinforcements[[#This Row],[Top End Connection Type]]&lt;&gt;"Capacity Input","-",""))))</f>
        <v/>
      </c>
      <c r="BE71" s="103" t="str">
        <f>IF(Reinforcements[[#This Row],[Reinforcement]]="","",IF(Reinforcements[[#This Row],[Top End Connection Same?]]="Yes",Reinforcements[[#This Row],[Bottom End Connection Bolt Type]],IF(Reinforcements[[#This Row],[Top End Connection Type]]&lt;&gt;"Bolted","-","")))</f>
        <v/>
      </c>
      <c r="BF71" s="206" t="str">
        <f>IF(Reinforcements[[#This Row],[Reinforcement]]="","",IF(Reinforcements[[#This Row],[Top End Connection Same?]]="Yes",Reinforcements[[#This Row],[Threads Included (N) or Excluded (X) (Bottom)]],IF(Reinforcements[[#This Row],[Top End Connection Type]]&lt;&gt;"Bolted","-","")))</f>
        <v/>
      </c>
      <c r="BG71" s="206" t="str">
        <f>IF(Reinforcements[[#This Row],[Reinforcement]]="","",IF(Reinforcements[[#This Row],[Top End Connection Same?]]="Yes",Reinforcements[[#This Row],['# of End Connection Bolts          (Bottom)]],IF(Reinforcements[[#This Row],[Top End Connection Type]]&lt;&gt;"Bolted","-","")))</f>
        <v/>
      </c>
      <c r="BH71" s="206" t="str">
        <f>IF(Reinforcements[[#This Row],[Reinforcement]]="","",IF(Reinforcements[[#This Row],[Top End Connection Same?]]="Yes",Reinforcements[[#This Row],[End Connection Bolt Spacing (in) (B)]],IF(Reinforcements[[#This Row],[Top End Connection Type]]&lt;&gt;"Bolted","-","")))</f>
        <v/>
      </c>
      <c r="BI71" s="206" t="str">
        <f>IF(Reinforcements[[#This Row],[Reinforcement]]="","",IF(Reinforcements[[#This Row],[Top End Connection Same?]]="Yes",Reinforcements[[#This Row],[End Connection Edge Distance (in) (B)]],IF(Reinforcements[[#This Row],[Top End Connection Type]]&lt;&gt;"Bolted","-","")))</f>
        <v/>
      </c>
      <c r="BJ71" s="206" t="e">
        <f>Reinforcements[[#This Row],[End Connection Edge Distance (in) (T)]]-(Reinforcements[[#This Row],[Bolt Hole Size (in)]]+1/16)/2</f>
        <v>#VALUE!</v>
      </c>
      <c r="BK71" s="206" t="e">
        <f>Reinforcements[[#This Row],[End Connection Bolt Spacing (in) (T)]]-(Reinforcements[[#This Row],[Bolt Hole Size (in)]]+1/16)</f>
        <v>#VALUE!</v>
      </c>
      <c r="BL71" s="206" t="str">
        <f>Reinforcements[[#This Row],[End Connection Edge Distance (in) (T)]]</f>
        <v/>
      </c>
      <c r="BM71" s="206" t="str">
        <f>Reinforcements[[#This Row],[End Connection Bolt Spacing (in) (T)]]</f>
        <v/>
      </c>
      <c r="BN71" s="206" t="str">
        <f>IF(Reinforcements[[#This Row],[Reinforcement]]="","",IF(Reinforcements[[#This Row],[Top End Connection Same?]]="Yes",Reinforcements[[#This Row],[Bottom Connected to Flange/Base Plate?]],IF(Reinforcements[[#This Row],[Top End Connection Type]]="Bolted","-","")))</f>
        <v/>
      </c>
      <c r="BO71" s="206" t="str">
        <f>IF(Reinforcements[[#This Row],[Reinforcement]]="","",IF(Reinforcements[[#This Row],[Top End Connection Same?]]="Yes",Reinforcements[[#This Row],[Bottom Weld Grade (ksi)]],IF(OR(Reinforcements[[#This Row],[Top End Connection Type]]&lt;&gt;"Welded",Reinforcements[[#This Row],[Top End Connection Type]]=""),"-","")))</f>
        <v/>
      </c>
      <c r="BP71" s="206" t="str">
        <f>IF($AZ71="Yes",AP71,IF(Reinforcements[[#This Row],[Reinforcement]]="","",IF(OR(Reinforcements[[#This Row],[Top End Connection Type]]&lt;&gt;"Welded",Reinforcements[[#This Row],[Top End Connection Type]]=""),"-","")))</f>
        <v/>
      </c>
      <c r="BQ71" s="206" t="str">
        <f>IF(Reinforcements[[#This Row],[Reinforcement]]="","",IF($AZ71="Yes",AQ71,IF(OR(Reinforcements[[#This Row],[Top End Connection Type]]&lt;&gt;"Welded",Reinforcements[[#This Row],[Top Transverse (Horizontal) Weld]]="none",Reinforcements[[#This Row],[Top Transverse (Horizontal) Weld]]=""),"-","")))</f>
        <v/>
      </c>
      <c r="BR71" s="206" t="str">
        <f>IF($AZ71="Yes",AR71,IF(Reinforcements[[#This Row],[Reinforcement]]="","",IF(OR(Reinforcements[[#This Row],[Top Transverse (Horizontal) Weld]]="none",Reinforcements[[#This Row],[Top End Connection Type]]&lt;&gt;"Welded",Reinforcements[[#This Row],[Top Transverse (Horizontal) Weld]]="",Reinforcements[[#This Row],[Top Transverse (Horizontal) Weld]]="Fillet"),"-","")))</f>
        <v/>
      </c>
      <c r="BS71" s="206" t="str">
        <f>IF($AZ71="Yes",AS71,IF(Reinforcements[[#This Row],[Reinforcement]]="","",IF(OR(Reinforcements[[#This Row],[Top Transverse (Horizontal) Weld]]="none",Reinforcements[[#This Row],[Top End Connection Type]]&lt;&gt;"Welded",Reinforcements[[#This Row],[Top Transverse (Horizontal) Weld]]="",Reinforcements[[#This Row],[Top Transverse (Horizontal) Weld]]="Fillet"),"-","")))</f>
        <v/>
      </c>
      <c r="BT71" s="206" t="str">
        <f>IF(Reinforcements[[#This Row],[Reinforcement]]="","",IF($AZ71="Yes",AT71,IF(OR(Reinforcements[[#This Row],[Top Transverse (Horizontal) Weld]]="none",Reinforcements[[#This Row],[Top End Connection Type]]&lt;&gt;"Welded",Reinforcements[[#This Row],[Top Transverse (Horizontal) Weld]]=""),"-","")))</f>
        <v/>
      </c>
      <c r="BU71" s="206" t="str">
        <f>IF($AZ71="Yes",AU71,IF(Reinforcements[[#This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1" s="206" t="str">
        <f>IF($AZ71="Yes",AV71,IF(Reinforcements[[#This Row],[Reinforcement]]="","",IF(OR(Reinforcements[[#This Row],[Top End Connection Type]]&lt;&gt;"Welded",Reinforcements[[#This Row],[Top End Connection Type]]=""),"-","")))</f>
        <v/>
      </c>
      <c r="BW71" s="206" t="str">
        <f>IF($AZ71="Yes",AW71,IF(Reinforcements[[#This Row],[Reinforcement]]="","",IF(OR(Reinforcements[[#This Row],[Top End Connection Type]]&lt;&gt;"Welded",Reinforcements[[#This Row],[Top End Connection Type]]="",Reinforcements[[#This Row],[Top Longitudinal (Vertical) Weld]]="",Reinforcements[[#This Row],[Top Longitudinal (Vertical) Weld]]="None"),"-","")))</f>
        <v/>
      </c>
      <c r="BX71" s="206" t="str">
        <f>IF($AZ71="Yes",AX71,IF(Reinforcements[[#This Row],[Reinforcement]]="","",IF(OR(Reinforcements[[#This Row],[Top End Connection Type]]&lt;&gt;"Welded",Reinforcements[[#This Row],[Top End Connection Type]]="",Reinforcements[[#This Row],[Top Longitudinal (Vertical) Weld]]="",Reinforcements[[#This Row],[Top Longitudinal (Vertical) Weld]]="None"),"-","")))</f>
        <v/>
      </c>
      <c r="BY71" s="206" t="str">
        <f>IF($AZ71="Yes",AY71,IF(Reinforcements[[#This Row],[Reinforcement]]="","",IF(OR(Reinforcements[[#This Row],[Top End Connection Type]]&lt;&gt;"Welded",Reinforcements[[#This Row],[Top Longitudinal (Vertical) Weld]]="none"),"-",SQRT(2)/2*Reinforcements[[#This Row],[Top Longitudinal Weld Fillet Size (in)]])))</f>
        <v/>
      </c>
      <c r="BZ71"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1"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1"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1"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1"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1" s="201" t="str">
        <f>IFERROR(IF(Reinforcements[[#This Row],[Type]]="","",Reinforcements[[#This Row],[Effective B (in)]]*Reinforcements[[#This Row],[Effective H (in)]]^3/12),"")</f>
        <v/>
      </c>
      <c r="CF71" s="201" t="str">
        <f>IFERROR(IF(Reinforcements[[#This Row],[Type]]="","",Reinforcements[[#This Row],[Effective B (in)]]^3*Reinforcements[[#This Row],[Effective H (in)]]/12),"")</f>
        <v/>
      </c>
      <c r="CG71" s="224" t="e">
        <f>SQRT(2*PI()^2*29000/VLOOKUP(Reinforcements[[#This Row],[Material]],Materials[],2,FALSE))</f>
        <v>#N/A</v>
      </c>
      <c r="CH71"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1"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1" s="215" t="e">
        <f>Reinforcements[[#This Row],[Effective Length Factor Kx]]*Reinforcements[[#This Row],[Lu (in)]]/(Reinforcements[[#This Row],[rx]]*PI())*SQRT(VLOOKUP(Reinforcements[[#This Row],[Material]],Materials[],2,FALSE)/29000)</f>
        <v>#VALUE!</v>
      </c>
      <c r="CK71" s="215" t="e">
        <f>Reinforcements[[#This Row],[Effective Length Factor Ky]]*Reinforcements[[#This Row],[Lu (in)]]/(Reinforcements[[#This Row],[ry]]*PI())*SQRT(VLOOKUP(Reinforcements[[#This Row],[Material]],Materials[],2,FALSE)/29000)</f>
        <v>#VALUE!</v>
      </c>
      <c r="CL71" s="215" t="e">
        <f>IF(Reinforcements[[#This Row],[λcx]]&lt;=1.5,0.658^(Reinforcements[[#This Row],[λcx]]^2)*Reinforcements[[#This Row],[F''y]],0.877/(Reinforcements[[#This Row],[λcx]]^2)*Reinforcements[[#This Row],[F''y]])</f>
        <v>#VALUE!</v>
      </c>
      <c r="CM71" s="215" t="e">
        <f>IF(Reinforcements[[#This Row],[λcy]]&lt;=1.5,0.658^(Reinforcements[[#This Row],[λcy]]^2)*Reinforcements[[#This Row],[F''y]],0.877/(Reinforcements[[#This Row],[λcy]]^2)*Reinforcements[[#This Row],[F''y]])</f>
        <v>#VALUE!</v>
      </c>
      <c r="CN71" s="201" t="e">
        <f>VLOOKUP(Reinforcements[[#This Row],[Material]],Materials[],2,FALSE)</f>
        <v>#N/A</v>
      </c>
      <c r="CO71" s="224" t="str">
        <f>IF(Reinforcements[[#This Row],[Reinforcement]]="","",Reinforcements[[#This Row],[Fax]]*Reinforcements[[#This Row],[Gross Area (in2)]])</f>
        <v/>
      </c>
      <c r="CP71" s="224" t="str">
        <f>IF(Reinforcements[[#This Row],[Reinforcement]]="","",Reinforcements[[#This Row],[Fay]]*Reinforcements[[#This Row],[Gross Area (in2)]])</f>
        <v/>
      </c>
      <c r="CQ71" s="224" t="str">
        <f>IF(Reinforcements[[#This Row],[Reinforcement]]="","",0.6*VLOOKUP(Reinforcements[[#This Row],[Material]],Materials[],2,FALSE)*Reinforcements[[#This Row],[Gross Area (in2)]])</f>
        <v/>
      </c>
      <c r="CR71" s="224" t="str">
        <f>IF(Reinforcements[[#This Row],[Reinforcement]]="","",0.5*VLOOKUP(Reinforcements[[#This Row],[Material]],Materials[],3,FALSE)*Reinforcements[[#This Row],[Net Area (in2)]]*Reinforcements[[#This Row],[Shear Lag (U)]])</f>
        <v/>
      </c>
      <c r="CS71" s="224" t="str">
        <f>IF(Reinforcements[[#This Row],[Reinforcement]]="","",0.4*VLOOKUP(Reinforcements[[#This Row],[Material]],Materials[],2,FALSE)*Reinforcements[[#This Row],[Gross Area (in2)]])</f>
        <v/>
      </c>
      <c r="CT71"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1"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1"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1"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1"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1"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1"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1"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1"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1"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1"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1"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1" s="206" t="str">
        <f>IF($AZ71="Yes",DD71,IF(Reinforcements[[#This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1" s="206" t="str">
        <f>IF($AZ71="Yes",DE71,IF(Reinforcements[[#This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1" s="224" t="str">
        <f>IF(Reinforcements[[#This Row],[Reinforcement]]="","",φ_c*Reinforcements[[#This Row],[Fcr,x]]*Reinforcements[[#This Row],[Gross Area (in2)]])</f>
        <v/>
      </c>
      <c r="DI71" s="224" t="str">
        <f>IF(Reinforcements[[#This Row],[Reinforcement]]="","",φ_c*Reinforcements[[#This Row],[Fcr,y]]*Reinforcements[[#This Row],[Gross Area (in2)]])</f>
        <v/>
      </c>
      <c r="DJ71" s="224" t="str">
        <f>IF(Reinforcements[[#This Row],[Reinforcement]]="","",φ_t_y*VLOOKUP(Reinforcements[[#This Row],[Material]],Materials[],2,FALSE)*Reinforcements[[#This Row],[Gross Area (in2)]])</f>
        <v/>
      </c>
      <c r="DK71" s="224" t="str">
        <f>IF(Reinforcements[[#This Row],[Reinforcement]]="","",φ_t_r*VLOOKUP(Reinforcements[[#This Row],[Material]],Materials[],3,FALSE)*Reinforcements[[#This Row],[Net Area (in2)]]*Reinforcements[[#This Row],[Shear Lag (U)]])</f>
        <v/>
      </c>
      <c r="DL71" s="224" t="str">
        <f>IF(Reinforcements[[#This Row],[Reinforcement]]="","",φ_v*0.5*Reinforcements[[#This Row],[F''y]]*Reinforcements[[#This Row],[Gross Area (in2)]])</f>
        <v/>
      </c>
      <c r="DM71"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1"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1"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1"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1"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1"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1"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1"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1"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1"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1"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1"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1" s="206" t="str">
        <f>IF($AZ71="Yes",DW71,IF(Reinforcements[[#This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1" s="206" t="str">
        <f>IF($AZ71="Yes",DX71,IF(Reinforcements[[#This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1" s="507" t="str">
        <f>IF(OR(Reinforcements[[#This Row],[Type]]="plate",Reinforcements[[#This Row],[Type]]="solid round"),"N/A",Reinforcements[[#This Row],[B (in)]])</f>
        <v/>
      </c>
      <c r="EB71" s="508" t="str">
        <f>IF(OR(Reinforcements[[#This Row],[Type]]="plate",Reinforcements[[#This Row],[Type]]="solid round"),"N/A",Reinforcements[[#This Row],[H (in)]])</f>
        <v/>
      </c>
      <c r="EC71" s="508" t="e">
        <f>IF(OR(Reinforcements[[#This Row],[Type]]="plate",Reinforcements[[#This Row],[Type]]="solid round"),"N/A",Reinforcements[[#This Row],[B (in)]]-Reinforcements[[#This Row],['[Channel'] Flange Thickness (in)]])</f>
        <v>#VALUE!</v>
      </c>
      <c r="ED71" s="508" t="str">
        <f>IF(OR(Reinforcements[[#This Row],[Type]]="plate",Reinforcements[[#This Row],[Type]]="solid round"),"N/A",Reinforcements[[#This Row],['[Channel']Web Thickness (in)]])</f>
        <v/>
      </c>
      <c r="EE71" s="508" t="str">
        <f>IF(OR(Reinforcements[[#This Row],[Type]]="plate",Reinforcements[[#This Row],[Type]]="solid round"),"N/A",Reinforcements[[#This Row],['[Channel'] Flange Thickness (in)]])</f>
        <v/>
      </c>
      <c r="EF71" s="508" t="str">
        <f>IF(Reinforcements[[#This Row],[Type]]="channel",Reinforcements[[#This Row],[Channel Flange Width, b]]/Reinforcements[[#This Row],[Channel flange thickness, tf]],"N/A")</f>
        <v>N/A</v>
      </c>
      <c r="EG71" s="508" t="str">
        <f>IF(Reinforcements[[#This Row],[Type]]="channel",Reinforcements[[#This Row],[Channel inside depth, T]]/Reinforcements[[#This Row],[Channel web thickness, tw]],"N/A")</f>
        <v>N/A</v>
      </c>
      <c r="EH71" s="252">
        <v>28999</v>
      </c>
      <c r="EI71" s="252" t="str">
        <f>IF(Reinforcements[[#This Row],[Type]]="channel",0.56*SQRT(Reinforcements[[#This Row],[E, (ksi)]]/Reinforcements[[#This Row],[Fy, (ksi)]]),"N/A")</f>
        <v>N/A</v>
      </c>
      <c r="EJ71" s="252" t="str">
        <f>IF(Reinforcements[[#This Row],[Type]]="channel",1.49*SQRT(Reinforcements[[#This Row],[E, (ksi)]]/Reinforcements[[#This Row],[Fy, (ksi)]]),"N/A")</f>
        <v>N/A</v>
      </c>
      <c r="EK71" s="252" t="e">
        <f>VLOOKUP(Reinforcements[[#This Row],[Material]],Materials!$B$2:$C$30,2,FALSE)</f>
        <v>#N/A</v>
      </c>
      <c r="EL71" s="252" t="e">
        <f>Reinforcements[[#This Row],[Lu (in)]]*Reinforcements[[#This Row],[Effective Length Factor Kx]]</f>
        <v>#VALUE!</v>
      </c>
      <c r="EM71" s="252" t="e">
        <f>Reinforcements[[#This Row],[Lu (in)]]*Reinforcements[[#This Row],[Effective Length Factor Ky]]</f>
        <v>#VALUE!</v>
      </c>
      <c r="EN71" s="252" t="str">
        <f>Reinforcements[[#This Row],[rx]]</f>
        <v/>
      </c>
      <c r="EO71" s="252" t="str">
        <f>Reinforcements[[#This Row],[ry]]</f>
        <v/>
      </c>
      <c r="EP71" s="252" t="e">
        <f>Reinforcements[[#This Row],[Lcx (in)]]/Reinforcements[[#This Row],[rx (in)]]</f>
        <v>#VALUE!</v>
      </c>
      <c r="EQ71" s="252" t="e">
        <f>Reinforcements[[#This Row],[Lcy (in)]]/Reinforcements[[#This Row],[ry (in)]]</f>
        <v>#VALUE!</v>
      </c>
      <c r="ER71" s="252" t="e">
        <f>((PI()^2)*Reinforcements[[#This Row],[E, (ksi)]])/(Reinforcements[[#This Row],[Lcx/rx]]^2)</f>
        <v>#VALUE!</v>
      </c>
      <c r="ES71" s="252" t="e">
        <f>((PI()^2)*Reinforcements[[#This Row],[E, (ksi)]])/(Reinforcements[[#This Row],[Lcy/ry]]^2)</f>
        <v>#VALUE!</v>
      </c>
      <c r="ET71" s="252" t="e">
        <f>4.71*(SQRT(Reinforcements[[#This Row],[E, (ksi)]]/Reinforcements[[#This Row],[Fy, (ksi)]]))</f>
        <v>#N/A</v>
      </c>
      <c r="EU71" s="252" t="e">
        <f>IF(Reinforcements[[#This Row],[Lcx/rx]]&lt;=Reinforcements[[#This Row],[Fcr Limit]],(0.658^(Reinforcements[[#This Row],[Fy, (ksi)]]/Reinforcements[[#This Row],[Fex, FB (ksi)]]))*Reinforcements[[#This Row],[Fy, (ksi)]],0.877*Reinforcements[[#This Row],[Fex, FB (ksi)]])</f>
        <v>#VALUE!</v>
      </c>
      <c r="EV71" s="252" t="e">
        <f>IF(Reinforcements[[#This Row],[Lcy/ry]]&lt;=Reinforcements[[#This Row],[Fcr Limit]],(0.658^(Reinforcements[[#This Row],[Fy, (ksi)]]/Reinforcements[[#This Row],[Fey, FB (ksi)]]))*Reinforcements[[#This Row],[Fy, (ksi)]],0.877*Reinforcements[[#This Row],[Fey, FB (ksi)]])</f>
        <v>#VALUE!</v>
      </c>
      <c r="EW71" s="252" t="e">
        <f>Reinforcements[[#This Row],[Fcrx (ksi)]]*Reinforcements[[#This Row],[Gross Area (in2)]]</f>
        <v>#VALUE!</v>
      </c>
      <c r="EX71" s="252" t="e">
        <f>Reinforcements[[#This Row],[Fcry (ksi)]]*Reinforcements[[#This Row],[Gross Area (in2)]]</f>
        <v>#VALUE!</v>
      </c>
      <c r="EY71" s="252" t="str">
        <f>IF(Reinforcements[[#This Row],[Type]]="channel",0,"N/A")</f>
        <v>N/A</v>
      </c>
      <c r="EZ71" s="252" t="str">
        <f>IF(Reinforcements[[#This Row],[Type]]="channel",Reinforcements[[#This Row],[Channel Flange Width, b]]-(0.5*Reinforcements[[#This Row],[Channel web thickness, tw]]),"N/A")</f>
        <v>N/A</v>
      </c>
      <c r="FA71" s="252" t="str">
        <f>IF(Reinforcements[[#This Row],[Type]]="channel",Reinforcements[[#This Row],[Channel Height, h]]-Reinforcements[[#This Row],[Channel flange thickness, tf]],"N/A")</f>
        <v>N/A</v>
      </c>
      <c r="FB71" s="252" t="str">
        <f>IF(Reinforcements[[#This Row],[Type]]="channel",Reinforcements[[#This Row],[Channel web thickness, tw]],"N/A")</f>
        <v>N/A</v>
      </c>
      <c r="FC71" s="252" t="str">
        <f>IF(Reinforcements[[#This Row],[Type]]="channel",((3*Reinforcements[[#This Row],[b]]^2)/(Reinforcements[[#This Row],[h]]+(6*Reinforcements[[#This Row],[b]])))-Reinforcements[[#This Row],[t]]/2,"N/A")</f>
        <v>N/A</v>
      </c>
      <c r="FD71" s="252" t="str">
        <f>Reinforcements[[#This Row],[Pole Face to Centroid (in)]]</f>
        <v/>
      </c>
      <c r="FE71" s="508" t="str">
        <f>IF(Reinforcements[[#This Row],[Type]]="channel",Reinforcements[[#This Row],[x(bar)]]+Reinforcements[[#This Row],['[Channel'] e0 (in)]],"N/A")</f>
        <v>N/A</v>
      </c>
      <c r="FF71" s="508" t="str">
        <f>IF(Reinforcements[[#This Row],[Type]]="channel",Reinforcements[[#This Row],[Ix]],"N/A")</f>
        <v>N/A</v>
      </c>
      <c r="FG71" s="508" t="str">
        <f>IF(Reinforcements[[#This Row],[Type]]="channel",Reinforcements[[#This Row],[Iy]],"N/A")</f>
        <v>N/A</v>
      </c>
      <c r="FH71" s="508" t="str">
        <f>IF(Reinforcements[[#This Row],[Type]]="channel",Reinforcements[[#This Row],[Gross Area (in2)]],"N/A")</f>
        <v>N/A</v>
      </c>
      <c r="FI71" s="508" t="str">
        <f>IF(Reinforcements[[#This Row],[Type]]="channel",(Reinforcements[[#This Row],[xo]]^2)+((Reinforcements[[#This Row],[Ix (FTB)]]+Reinforcements[[#This Row],[Iy (FTB)]])/Reinforcements[[#This Row],[Ag]]),"N/A")</f>
        <v>N/A</v>
      </c>
      <c r="FJ71" s="508" t="str">
        <f>IF(Reinforcements[[#This Row],[Type]]="channel",Reinforcements[[#This Row],[Lu (in)]],"N/A")</f>
        <v>N/A</v>
      </c>
      <c r="FK71" s="508" t="str">
        <f>IF(Reinforcements[[#This Row],[Type]]="channel",Reinforcements[[#This Row],[Effective Length Factor Kx]],"N/A")</f>
        <v>N/A</v>
      </c>
      <c r="FL71" s="508" t="str">
        <f>IF(Reinforcements[[#This Row],[Type]]="channel",Reinforcements[[#This Row],[Kz]]*Reinforcements[[#This Row],[Lz]],"N/A")</f>
        <v>N/A</v>
      </c>
      <c r="FM71" s="508" t="str">
        <f>IF(Reinforcements[[#This Row],[Type]]="channel",(((Reinforcements[[#This Row],[t]]^3)/3)*(Reinforcements[[#This Row],[h]]+(2*Reinforcements[[#This Row],[b]]))),"N/A")</f>
        <v>N/A</v>
      </c>
      <c r="FN71" s="508" t="str">
        <f>IF(Reinforcements[[#This Row],[Type]]="channel",(1-(((Reinforcements[[#This Row],[xo]]^2)+(Reinforcements[[#This Row],[yo]]^2))/Reinforcements[[#This Row],[ro^2(bar)]])),"N/A")</f>
        <v>N/A</v>
      </c>
      <c r="FO71" s="252">
        <v>11198</v>
      </c>
      <c r="FP71" s="508" t="str">
        <f>IF(Reinforcements[[#This Row],[Type]]="channel",(((Reinforcements[[#This Row],[h]]^2)*(Reinforcements[[#This Row],[b]]^3)*Reinforcements[[#This Row],[t]])/12)*(((2*Reinforcements[[#This Row],[h]])+(3*Reinforcements[[#This Row],[b]]))/(Reinforcements[[#This Row],[h]]+(6*Reinforcements[[#This Row],[b]]))),"N/A")</f>
        <v>N/A</v>
      </c>
      <c r="FQ71" s="508" t="str">
        <f>IF(Reinforcements[[#This Row],[Type]]="Channel",((((PI()^2)*Reinforcements[[#This Row],[E, (ksi)]]*Reinforcements[[#This Row],['[Channel'] CW (in6)]])/(Reinforcements[[#This Row],[Lcz]]^2))+(Reinforcements[[#This Row],[G]]*Reinforcements[[#This Row],['[Channel'] J (in4)]]))*(1/(Reinforcements[[#This Row],[Ag]]*Reinforcements[[#This Row],[ro^2(bar)]])),"N/A")</f>
        <v>N/A</v>
      </c>
      <c r="FR71" s="508" t="str">
        <f>IF(Reinforcements[[#This Row],[Type]]="channel",((PI()^2)*Reinforcements[[#This Row],[E, (ksi)]])/(Reinforcements[[#This Row],[Lcy/ry]]^2),"N/A")</f>
        <v>N/A</v>
      </c>
      <c r="FS71" s="508" t="str">
        <f>IF(Reinforcements[[#This Row],[Type]]="channel",((Reinforcements[[#This Row],[Fey]]+Reinforcements[[#This Row],[Fez]])/(2*Reinforcements[[#This Row],[H2]]))*(1-SQRT(1-((4*Reinforcements[[#This Row],[Fey]]*Reinforcements[[#This Row],[Fez]]*Reinforcements[[#This Row],[H2]])/(Reinforcements[[#This Row],[Fey]]+Reinforcements[[#This Row],[Fez]])^2))),"N/A")</f>
        <v>N/A</v>
      </c>
      <c r="FT71" s="508" t="str">
        <f>IF(Reinforcements[[#This Row],[Type]]="channel",IF(Reinforcements[[#This Row],[Lcx/rx]]&gt;(4.71*SQRT(Reinforcements[[#This Row],[E, (ksi)]]/Reinforcements[[#This Row],[Fy, (ksi)]])),0.877*Reinforcements[[#This Row],[Fe (FTB)]],0.658^(Reinforcements[[#This Row],[Fy, (ksi)]]/Reinforcements[[#This Row],[Fe (FTB)]])*Reinforcements[[#This Row],[Fy, (ksi)]]),"N/A")</f>
        <v>N/A</v>
      </c>
      <c r="FU71" s="508" t="str">
        <f>IF(Reinforcements[[#This Row],[Type]]="channel",MIN(Reinforcements[[#This Row],[Fcr(FTB)]],Reinforcements[[#This Row],[Fcry (ksi)]]),"N/A")</f>
        <v>N/A</v>
      </c>
      <c r="FV71" s="252">
        <v>0.22</v>
      </c>
      <c r="FW71" s="252">
        <v>1.49</v>
      </c>
      <c r="FX71" s="508" t="str">
        <f>IF(Reinforcements[[#This Row],[Type]]="channel",((Reinforcements[[#This Row],[c2]]*(Reinforcements[[#This Row],[λrf]]/Reinforcements[[#This Row],[λf]]))^2)*Reinforcements[[#This Row],[Fy, (ksi)]],"N/A")</f>
        <v>N/A</v>
      </c>
      <c r="FY71" s="508" t="str">
        <f>IF(Reinforcements[[#This Row],[Type]]="channel",((Reinforcements[[#This Row],[c2]]*(Reinforcements[[#This Row],[λrw]]/Reinforcements[[#This Row],[λw]]))^2)*Reinforcements[[#This Row],[Fy, (ksi)]],"N/A")</f>
        <v>N/A</v>
      </c>
      <c r="FZ71"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1"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1"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1" s="508" t="str">
        <f>IF(Reinforcements[[#This Row],[Type]]="channel",Reinforcements[[#This Row],[Fcr]]*Reinforcements[[#This Row],[Ae]],"N/A")</f>
        <v>N/A</v>
      </c>
      <c r="GD71" s="462" t="str">
        <f>IF(Reinforcements[[#This Row],[Reinforcement]]="","",φ_c*Reinforcements[[#This Row],[Pnx, FB (kip)]])</f>
        <v/>
      </c>
      <c r="GE71" s="462" t="str">
        <f>IF(Reinforcements[[#This Row],[Reinforcement]]="","",IF(Reinforcements[[#This Row],[Type]]="channel",φ_c*Reinforcements[[#This Row],[Pn]],φ_c*Reinforcements[[#This Row],[Pny, FB (kip)]]))</f>
        <v/>
      </c>
      <c r="GF71" s="462" t="str">
        <f>Reinforcements[[#This Row],[Rev. G Tension Yield Capacity (kips)]]</f>
        <v/>
      </c>
      <c r="GG71" s="462" t="str">
        <f>Reinforcements[[#This Row],[Rev. G Tension Rupture Capacity (kips)]]</f>
        <v/>
      </c>
      <c r="GH71" s="462" t="str">
        <f>Reinforcements[[#This Row],[Rev. G Shear Capacity (kips)]]</f>
        <v/>
      </c>
      <c r="GI71" s="462" t="str">
        <f>IFERROR((Reinforcements[[#This Row],['# of End Connection Bolts          (Bottom)]]-1)*Reinforcements[[#This Row],[End Connection Bolt Spacing (in) (B)]],"-")</f>
        <v>-</v>
      </c>
      <c r="GJ71" s="462" t="str">
        <f>IFERROR(IF(VLOOKUP(Reinforcements[[#This Row],[Bottom End Connection Bolt Type]],Bolts[],COLUMN(Bolts[[#Headers],[Rev. H Apply Connection Length Reduction Factor (Rb)?]])-1,FALSE)="Yes",(IF(Reinforcements[[#This Row],[Lb(bottom)]]&lt;=16,1,IF(Reinforcements[[#This Row],[Lb(bottom)]]&gt;38,0.75,0.9))),1),"-")</f>
        <v>-</v>
      </c>
      <c r="GK71"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1" s="462" t="str">
        <f>IFERROR(IF(Reinforcements[[#This Row],[Top End Connection Same?]]="Yes",Reinforcements[[#This Row],[Lb(bottom)]],(Reinforcements[[#This Row],['# of End Connection Bolts          (Top)]]-1)*Reinforcements[[#This Row],[End Connection Bolt Spacing (in) (T)]]),"-")</f>
        <v>-</v>
      </c>
      <c r="GM71" s="462" t="str">
        <f>IFERROR(IF(VLOOKUP(Reinforcements[[#This Row],[Top End Connection Bolt Type]],Bolts[],COLUMN(Bolts[[#Headers],[Rev. H Apply Connection Length Reduction Factor (Rb)?]])-1,FALSE)="Yes",(IF(Reinforcements[[#This Row],[Lb(top)]]&lt;=16,1,IF(Reinforcements[[#This Row],[Lb(top)]]&gt;38,0.75,0.9))),1),"-")</f>
        <v>-</v>
      </c>
      <c r="GN71"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1" s="462" t="str">
        <f>Reinforcements[[#This Row],[Rev. G Bolt-Shaft Bearing Capacity (Bottom)                No Deformation          (*t*Fu kips)]]</f>
        <v>-</v>
      </c>
      <c r="GP71" s="462" t="str">
        <f>Reinforcements[[#This Row],[Rev. G Bolt-Shaft Bearing Capacity (Bottom)                   Deformation          (*t*Fu kips)]]</f>
        <v>-</v>
      </c>
      <c r="GQ71" s="462" t="str">
        <f>Reinforcements[[#This Row],[Rev. G Bolt-Shaft Bearing Capacity (Top)                    No Deformation          (*t*Fu kips)]]</f>
        <v>-</v>
      </c>
      <c r="GR71" s="462" t="str">
        <f>Reinforcements[[#This Row],[Rev. G Bolt-Shaft Bearing Capacity (Top)                        Deformation          (*t*Fu kips)]]</f>
        <v>-</v>
      </c>
      <c r="GS71" s="462" t="str">
        <f>Reinforcements[[#This Row],[Rev. G Bolt-Reinf. Bearing Capacity (Bottom)            No Deformation (kips)]]</f>
        <v>-</v>
      </c>
      <c r="GT71" s="462" t="str">
        <f>Reinforcements[[#This Row],[Rev. G Bolt-Reinf. Bearing Capacity (Bottom)               Deformation (kips)]]</f>
        <v>-</v>
      </c>
      <c r="GU71" s="462" t="str">
        <f>Reinforcements[[#This Row],[Rev. G Bolt-Reinf. Bearing Capacity (Top)                  No Deformation (kips)]]</f>
        <v>-</v>
      </c>
      <c r="GV71" s="462" t="str">
        <f>Reinforcements[[#This Row],[Rev. G Bolt-Reinf. Bearing Capacity (Top)               Deformation (kips)]]</f>
        <v>-</v>
      </c>
      <c r="GW71" s="462" t="str">
        <f>Reinforcements[[#This Row],[Rev. G Bottom Transverse Weld Strength]]</f>
        <v/>
      </c>
      <c r="GX71" s="462" t="str">
        <f>Reinforcements[[#This Row],[Rev. G Bottom Longitudinal Weld Strength]]</f>
        <v/>
      </c>
      <c r="GY71" s="462" t="str">
        <f>Reinforcements[[#This Row],[Rev. G Top Transverse Weld Strength]]</f>
        <v/>
      </c>
      <c r="GZ71" s="462" t="str">
        <f>Reinforcements[[#This Row],[Rev. G Top Longitudinal Weld Strength]]</f>
        <v/>
      </c>
      <c r="HA71" s="552">
        <v>69</v>
      </c>
      <c r="HB71"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2" spans="2:210" x14ac:dyDescent="0.2">
      <c r="B72" s="129"/>
      <c r="C72" s="129"/>
      <c r="D72" s="201" t="str">
        <f>IF(Reinforcements[[#This Row],[Type]]="","",IF(Reinforcements[[#This Row],[Type]]="solid round","-",""))</f>
        <v/>
      </c>
      <c r="E72" s="201" t="str">
        <f>IF(Reinforcements[[#This Row],[Type]]="","",IF(Reinforcements[[#This Row],[Type]]="solid round","-",""))</f>
        <v/>
      </c>
      <c r="F72" s="201" t="str">
        <f>IF(Reinforcements[[#This Row],[Type]]="","",IF(Reinforcements[[#This Row],[Type]]="solid round","","n/a"))</f>
        <v/>
      </c>
      <c r="G72" s="201" t="str">
        <f>IF(Reinforcements[[#This Row],[Type]]="","",IF(Reinforcements[[#This Row],[Type]]&lt;&gt;"channel","n/a",""))</f>
        <v/>
      </c>
      <c r="H72" s="201" t="str">
        <f>IF(Reinforcements[[#This Row],[Type]]="","",IF(Reinforcements[[#This Row],[Type]]&lt;&gt;"channel","n/a",""))</f>
        <v/>
      </c>
      <c r="I72" s="224" t="str">
        <f>IF(Reinforcements[[#This Row],[Type]]="","",IF(Reinforcements[[#This Row],[Type]]&lt;&gt;"channel","n/a",Reinforcements[[#This Row],[eo]]))</f>
        <v/>
      </c>
      <c r="J72" s="224" t="str">
        <f>IF(Reinforcements[[#This Row],[Type]]="","",IF(Reinforcements[[#This Row],[Type]]&lt;&gt;"channel","n/a",Reinforcements[[#This Row],[J]]))</f>
        <v/>
      </c>
      <c r="K72" s="224" t="str">
        <f>IF(Reinforcements[[#This Row],[Type]]="","",IF(Reinforcements[[#This Row],[Type]]&lt;&gt;"channel","n/a",Reinforcements[[#This Row],[Cw]]))</f>
        <v/>
      </c>
      <c r="L72" s="201" t="str">
        <f>IFERROR(IF(Reinforcements[[#This Row],[Type]]="","",IF(Reinforcements[[#This Row],[Type]]="plate",Reinforcements[[#This Row],[B (in)]]*Reinforcements[[#This Row],[H (in)]],IF(Reinforcements[[#This Row],[Type]]="solid round",PI()/4*Reinforcements[[#This Row],[Diameter (in)]]^2,""))),"")</f>
        <v/>
      </c>
      <c r="M72" s="201" t="str">
        <f>IFERROR(IF(Reinforcements[[#This Row],[Type]]="","",IF(Reinforcements[[#This Row],[Type]]="plate",Reinforcements[[#This Row],[H (in)]]/2,"")),"")</f>
        <v/>
      </c>
      <c r="N72" s="202"/>
      <c r="O72" s="203"/>
      <c r="P72" s="215" t="str">
        <f>IFERROR(IF(Reinforcements[[#This Row],[Type]]="","",IF(Reinforcements[[#This Row],[Type]]="plate",Reinforcements[[#This Row],[B (in)]]*Reinforcements[[#This Row],[H (in)]]^3/12,IF(Reinforcements[[#This Row],[Type]]="solid round",PI()/64*Reinforcements[[#This Row],[Diameter (in)]]^4,""))),"")</f>
        <v/>
      </c>
      <c r="Q72" s="215" t="str">
        <f>IF(Reinforcements[[#This Row],[Reinforcement]]="","",SQRT(Reinforcements[[#This Row],[Ix]]/Reinforcements[[#This Row],[Gross Area (in2)]]))</f>
        <v/>
      </c>
      <c r="R72" s="215" t="str">
        <f>IFERROR(IF(Reinforcements[[#This Row],[Type]]="","",IF(Reinforcements[[#This Row],[Type]]="plate",Reinforcements[[#This Row],[B (in)]]^3*Reinforcements[[#This Row],[H (in)]]/12,IF(Reinforcements[[#This Row],[Type]]="solid round",PI()/64*Reinforcements[[#This Row],[Diameter (in)]]^4,""))),"")</f>
        <v/>
      </c>
      <c r="S72" s="215" t="str">
        <f>IF(Reinforcements[[#This Row],[Reinforcement]]="","",SQRT(Reinforcements[[#This Row],[Iy]]/Reinforcements[[#This Row],[Gross Area (in2)]]))</f>
        <v/>
      </c>
      <c r="T72" s="206"/>
      <c r="U72" s="204" t="str">
        <f>IF(Reinforcements[[#This Row],[Lu (in)]]="","",IF(Reinforcements[[#This Row],[Lu (in)]]=0,1,""))</f>
        <v/>
      </c>
      <c r="V72" s="204" t="str">
        <f>IF(Reinforcements[[#This Row],[Lu (in)]]="","",IF(Reinforcements[[#This Row],[Lu (in)]]=0,1,""))</f>
        <v/>
      </c>
      <c r="W72" s="201" t="str">
        <f>IF(Reinforcements[[#This Row],[Type]]="","",IF(Reinforcements[[#This Row],[Type]]="solid round",0,IF(Reinforcements[[#This Row],[Type]]="arbitrary","n/a","")))</f>
        <v/>
      </c>
      <c r="X72" s="204" t="str">
        <f>IF(Reinforcements[[#This Row],[Bolt Hole Size (in)]]="","",IF(Reinforcements[[#This Row],[Bolt Hole Size (in)]]="n/a","n/a",Reinforcements[[#This Row],[Bolt Hole Size (in)]]*25.4))</f>
        <v/>
      </c>
      <c r="Y72"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2" s="201" t="str">
        <f>IFERROR(IF(Reinforcements[[#This Row],[Reinforcement]]="","",IF(OR(Reinforcements[[#This Row],[Type]]="plate",Reinforcements[[#This Row],[Type]]="solid round"),1,IF(Reinforcements[[#This Row],[Type]]="arbitrary","",1-Reinforcements[[#This Row],[Pole Face to Centroid (in)]]/Reinforcements[[#This Row],[Connection Length (in) '[Channels']]]))),"")</f>
        <v/>
      </c>
      <c r="AA72" s="205"/>
      <c r="AB72" s="103" t="str">
        <f>IF(Reinforcements[[#This Row],[Reinforcement]]="","",IF(Reinforcements[[#This Row],[Bottom End Connection Type]]&lt;&gt;"Capacity Input","-",""))</f>
        <v/>
      </c>
      <c r="AC72" s="103" t="str">
        <f>IF(Reinforcements[[#This Row],[Reinforcement]]="","",IF(Reinforcements[[#This Row],[Bottom End Connection Type]]&lt;&gt;"Capacity Input","-",""))</f>
        <v/>
      </c>
      <c r="AD72" s="253" t="str">
        <f>IF(Reinforcements[[#This Row],[Reinforcement]]="","",IF(Reinforcements[[#This Row],[Bottom End Connection Type]]&lt;&gt;"Capacity Input","-",""))</f>
        <v/>
      </c>
      <c r="AE72" s="103" t="str">
        <f>IF(Reinforcements[[#This Row],[Reinforcement]]="","",IF(Reinforcements[[#This Row],[Bottom End Connection Type]]&lt;&gt;"Bolted","-",""))</f>
        <v/>
      </c>
      <c r="AF72" s="206" t="str">
        <f>IF(Reinforcements[[#This Row],[Reinforcement]]="","",IF(Reinforcements[[#This Row],[Bottom End Connection Type]]&lt;&gt;"Bolted","-",""))</f>
        <v/>
      </c>
      <c r="AG72" s="206" t="str">
        <f>IF(Reinforcements[[#This Row],[Reinforcement]]="","",IF(Reinforcements[[#This Row],[Bottom End Connection Type]]="","-",IF(Reinforcements[[#This Row],[Bottom End Connection Type]]&lt;&gt;"Bolted","-","")))</f>
        <v/>
      </c>
      <c r="AH72" s="206" t="str">
        <f>IF(Reinforcements[[#This Row],[Reinforcement]]="","",IF(Reinforcements[[#This Row],[Bottom End Connection Type]]="","-",IF(Reinforcements[[#This Row],[Bottom End Connection Type]]&lt;&gt;"Bolted","-","")))</f>
        <v/>
      </c>
      <c r="AI72" s="206" t="str">
        <f>IF(Reinforcements[[#This Row],[Reinforcement]]="","",IF(Reinforcements[[#This Row],[Bottom End Connection Type]]="","-",IF(Reinforcements[[#This Row],[Bottom End Connection Type]]&lt;&gt;"Bolted","-","")))</f>
        <v/>
      </c>
      <c r="AJ72" s="206" t="e">
        <f>Reinforcements[[#This Row],[End Connection Edge Distance (in) (B)]]-(Reinforcements[[#This Row],[Bolt Hole Size (in)]]+1/16)/2</f>
        <v>#VALUE!</v>
      </c>
      <c r="AK72" s="206" t="e">
        <f>Reinforcements[[#This Row],[End Connection Bolt Spacing (in) (B)]]-(Reinforcements[[#This Row],[Bolt Hole Size (in)]]+1/16)</f>
        <v>#VALUE!</v>
      </c>
      <c r="AL72" s="206" t="str">
        <f>Reinforcements[[#This Row],[End Connection Edge Distance (in) (B)]]</f>
        <v/>
      </c>
      <c r="AM72" s="206" t="str">
        <f>Reinforcements[[#This Row],[End Connection Bolt Spacing (in) (B)]]</f>
        <v/>
      </c>
      <c r="AN72" s="206" t="str">
        <f>IF(Reinforcements[[#This Row],[Reinforcement]]="","",IF(OR(Reinforcements[[#This Row],[Bottom End Connection Type]]="Bolted",Reinforcements[[#This Row],[Bottom End Connection Type]]=""),"-",""))</f>
        <v/>
      </c>
      <c r="AO72" s="214" t="str">
        <f>IF(Reinforcements[[#This Row],[Reinforcement]]="","",IF(Reinforcements[[#This Row],[Bottom End Connection Type]]&lt;&gt;"Welded","-",""))</f>
        <v/>
      </c>
      <c r="AP72" s="214" t="str">
        <f>IF(Reinforcements[[#This Row],[Reinforcement]]="","",IF(Reinforcements[[#This Row],[Bottom End Connection Type]]&lt;&gt;"Welded","-",""))</f>
        <v/>
      </c>
      <c r="AQ72" s="214" t="str">
        <f>IF(Reinforcements[[#This Row],[Reinforcement]]="","",IF(OR(Reinforcements[[#This Row],[Bottom End Connection Type]]&lt;&gt;"Welded",Reinforcements[[#This Row],[Bottom Transverse (Horizontal) Weld]]="None"),"-",""))</f>
        <v/>
      </c>
      <c r="AR72"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2"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2" s="214" t="str">
        <f>IF(Reinforcements[[#This Row],[Reinforcement]]="","",IF(OR(Reinforcements[[#This Row],[Bottom Transverse (Horizontal) Weld]]="None",Reinforcements[[#This Row],[Bottom End Connection Type]]&lt;&gt;"Welded"),"-",""))</f>
        <v/>
      </c>
      <c r="AU72"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2" s="214" t="str">
        <f>IF(Reinforcements[[#This Row],[Reinforcement]]="","",IF(OR(Reinforcements[[#This Row],[Bottom End Connection Type]]&lt;&gt;"Welded",Reinforcements[[#This Row],[Bottom End Connection Type]]=""),"-",""))</f>
        <v/>
      </c>
      <c r="AW72" s="214" t="str">
        <f>IF(Reinforcements[[#This Row],[Reinforcement]]="","",IF(OR(Reinforcements[[#This Row],[Bottom End Connection Type]]&lt;&gt;"Welded",Reinforcements[[#This Row],[Bottom Longitudinal (Vertical) Weld]]="None",Reinforcements[[#This Row],[Bottom Longitudinal (Vertical) Weld]]=""),"-",""))</f>
        <v/>
      </c>
      <c r="AX72" s="214" t="str">
        <f>IF(Reinforcements[[#This Row],[Reinforcement]]="","",IF(OR(Reinforcements[[#This Row],[Bottom End Connection Type]]&lt;&gt;"Welded",Reinforcements[[#This Row],[Bottom Longitudinal (Vertical) Weld]]="None",Reinforcements[[#This Row],[Bottom Longitudinal (Vertical) Weld]]=""),"-",""))</f>
        <v/>
      </c>
      <c r="AY72" s="206" t="str">
        <f>IF(Reinforcements[[#This Row],[Reinforcement]]="","",IF(OR(Reinforcements[[#This Row],[Bottom End Connection Type]]&lt;&gt;"Welded",Reinforcements[[#This Row],[Bottom Longitudinal (Vertical) Weld]]="None"),"-",SQRT(2)/2*Reinforcements[[#This Row],[Bottom Longitudinal Weld Fillet Size (in)]]))</f>
        <v/>
      </c>
      <c r="AZ72" s="206"/>
      <c r="BA72" s="103" t="str">
        <f>IF(Reinforcements[[#This Row],[Top End Connection Same?]]="Yes",Reinforcements[[#This Row],[Bottom End Connection Type]],"")</f>
        <v/>
      </c>
      <c r="BB72" s="103" t="str">
        <f>IF(Reinforcements[[#This Row],[Reinforcement]]="","",IF(Reinforcements[[#This Row],[Top End Connection Same?]]="Yes",Reinforcements[[#This Row],[Rev. F Bottom Connection Capacity (kips)]],IF(Reinforcements[[#This Row],[Reinforcement]]="","",IF(Reinforcements[[#This Row],[Top End Connection Type]]&lt;&gt;"Capacity Input","-",""))))</f>
        <v/>
      </c>
      <c r="BC72" s="103" t="str">
        <f>IF(Reinforcements[[#This Row],[Reinforcement]]="","",IF(Reinforcements[[#This Row],[Top End Connection Same?]]="Yes",Reinforcements[[#This Row],[Rev. G Bottom Connection Capacity (kips)]],IF(Reinforcements[[#This Row],[Reinforcement]]="","",IF(Reinforcements[[#This Row],[Top End Connection Type]]&lt;&gt;"Capacity Input","-",""))))</f>
        <v/>
      </c>
      <c r="BD72" s="253" t="str">
        <f>IF(Reinforcements[[#This Row],[Reinforcement]]="","",IF(Reinforcements[[#This Row],[Top End Connection Same?]]="Yes",Reinforcements[[#This Row],[Rev. G Bottom Connection Capacity (kips)]],IF(Reinforcements[[#This Row],[Reinforcement]]="","",IF(Reinforcements[[#This Row],[Top End Connection Type]]&lt;&gt;"Capacity Input","-",""))))</f>
        <v/>
      </c>
      <c r="BE72" s="103" t="str">
        <f>IF(Reinforcements[[#This Row],[Reinforcement]]="","",IF(Reinforcements[[#This Row],[Top End Connection Same?]]="Yes",Reinforcements[[#This Row],[Bottom End Connection Bolt Type]],IF(Reinforcements[[#This Row],[Top End Connection Type]]&lt;&gt;"Bolted","-","")))</f>
        <v/>
      </c>
      <c r="BF72" s="206" t="str">
        <f>IF(Reinforcements[[#This Row],[Reinforcement]]="","",IF(Reinforcements[[#This Row],[Top End Connection Same?]]="Yes",Reinforcements[[#This Row],[Threads Included (N) or Excluded (X) (Bottom)]],IF(Reinforcements[[#This Row],[Top End Connection Type]]&lt;&gt;"Bolted","-","")))</f>
        <v/>
      </c>
      <c r="BG72" s="206" t="str">
        <f>IF(Reinforcements[[#This Row],[Reinforcement]]="","",IF(Reinforcements[[#This Row],[Top End Connection Same?]]="Yes",Reinforcements[[#This Row],['# of End Connection Bolts          (Bottom)]],IF(Reinforcements[[#This Row],[Top End Connection Type]]&lt;&gt;"Bolted","-","")))</f>
        <v/>
      </c>
      <c r="BH72" s="206" t="str">
        <f>IF(Reinforcements[[#This Row],[Reinforcement]]="","",IF(Reinforcements[[#This Row],[Top End Connection Same?]]="Yes",Reinforcements[[#This Row],[End Connection Bolt Spacing (in) (B)]],IF(Reinforcements[[#This Row],[Top End Connection Type]]&lt;&gt;"Bolted","-","")))</f>
        <v/>
      </c>
      <c r="BI72" s="206" t="str">
        <f>IF(Reinforcements[[#This Row],[Reinforcement]]="","",IF(Reinforcements[[#This Row],[Top End Connection Same?]]="Yes",Reinforcements[[#This Row],[End Connection Edge Distance (in) (B)]],IF(Reinforcements[[#This Row],[Top End Connection Type]]&lt;&gt;"Bolted","-","")))</f>
        <v/>
      </c>
      <c r="BJ72" s="206" t="e">
        <f>Reinforcements[[#This Row],[End Connection Edge Distance (in) (T)]]-(Reinforcements[[#This Row],[Bolt Hole Size (in)]]+1/16)/2</f>
        <v>#VALUE!</v>
      </c>
      <c r="BK72" s="206" t="e">
        <f>Reinforcements[[#This Row],[End Connection Bolt Spacing (in) (T)]]-(Reinforcements[[#This Row],[Bolt Hole Size (in)]]+1/16)</f>
        <v>#VALUE!</v>
      </c>
      <c r="BL72" s="206" t="str">
        <f>Reinforcements[[#This Row],[End Connection Edge Distance (in) (T)]]</f>
        <v/>
      </c>
      <c r="BM72" s="206" t="str">
        <f>Reinforcements[[#This Row],[End Connection Bolt Spacing (in) (T)]]</f>
        <v/>
      </c>
      <c r="BN72" s="206" t="str">
        <f>IF(Reinforcements[[#This Row],[Reinforcement]]="","",IF(Reinforcements[[#This Row],[Top End Connection Same?]]="Yes",Reinforcements[[#This Row],[Bottom Connected to Flange/Base Plate?]],IF(Reinforcements[[#This Row],[Top End Connection Type]]="Bolted","-","")))</f>
        <v/>
      </c>
      <c r="BO72" s="206" t="str">
        <f>IF(Reinforcements[[#This Row],[Reinforcement]]="","",IF(Reinforcements[[#This Row],[Top End Connection Same?]]="Yes",Reinforcements[[#This Row],[Bottom Weld Grade (ksi)]],IF(OR(Reinforcements[[#This Row],[Top End Connection Type]]&lt;&gt;"Welded",Reinforcements[[#This Row],[Top End Connection Type]]=""),"-","")))</f>
        <v/>
      </c>
      <c r="BP72" s="206" t="str">
        <f>IF($AZ72="Yes",AP72,IF(Reinforcements[[#This Row],[Reinforcement]]="","",IF(OR(Reinforcements[[#This Row],[Top End Connection Type]]&lt;&gt;"Welded",Reinforcements[[#This Row],[Top End Connection Type]]=""),"-","")))</f>
        <v/>
      </c>
      <c r="BQ72" s="206" t="str">
        <f>IF(Reinforcements[[#This Row],[Reinforcement]]="","",IF($AZ72="Yes",AQ72,IF(OR(Reinforcements[[#This Row],[Top End Connection Type]]&lt;&gt;"Welded",Reinforcements[[#This Row],[Top Transverse (Horizontal) Weld]]="none",Reinforcements[[#This Row],[Top Transverse (Horizontal) Weld]]=""),"-","")))</f>
        <v/>
      </c>
      <c r="BR72" s="206" t="str">
        <f>IF($AZ72="Yes",AR72,IF(Reinforcements[[#This Row],[Reinforcement]]="","",IF(OR(Reinforcements[[#This Row],[Top Transverse (Horizontal) Weld]]="none",Reinforcements[[#This Row],[Top End Connection Type]]&lt;&gt;"Welded",Reinforcements[[#This Row],[Top Transverse (Horizontal) Weld]]="",Reinforcements[[#This Row],[Top Transverse (Horizontal) Weld]]="Fillet"),"-","")))</f>
        <v/>
      </c>
      <c r="BS72" s="206" t="str">
        <f>IF($AZ72="Yes",AS72,IF(Reinforcements[[#This Row],[Reinforcement]]="","",IF(OR(Reinforcements[[#This Row],[Top Transverse (Horizontal) Weld]]="none",Reinforcements[[#This Row],[Top End Connection Type]]&lt;&gt;"Welded",Reinforcements[[#This Row],[Top Transverse (Horizontal) Weld]]="",Reinforcements[[#This Row],[Top Transverse (Horizontal) Weld]]="Fillet"),"-","")))</f>
        <v/>
      </c>
      <c r="BT72" s="206" t="str">
        <f>IF(Reinforcements[[#This Row],[Reinforcement]]="","",IF($AZ72="Yes",AT72,IF(OR(Reinforcements[[#This Row],[Top Transverse (Horizontal) Weld]]="none",Reinforcements[[#This Row],[Top End Connection Type]]&lt;&gt;"Welded",Reinforcements[[#This Row],[Top Transverse (Horizontal) Weld]]=""),"-","")))</f>
        <v/>
      </c>
      <c r="BU72" s="206" t="str">
        <f>IF($AZ72="Yes",AU72,IF(Reinforcements[[#This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2" s="206" t="str">
        <f>IF($AZ72="Yes",AV72,IF(Reinforcements[[#This Row],[Reinforcement]]="","",IF(OR(Reinforcements[[#This Row],[Top End Connection Type]]&lt;&gt;"Welded",Reinforcements[[#This Row],[Top End Connection Type]]=""),"-","")))</f>
        <v/>
      </c>
      <c r="BW72" s="206" t="str">
        <f>IF($AZ72="Yes",AW72,IF(Reinforcements[[#This Row],[Reinforcement]]="","",IF(OR(Reinforcements[[#This Row],[Top End Connection Type]]&lt;&gt;"Welded",Reinforcements[[#This Row],[Top End Connection Type]]="",Reinforcements[[#This Row],[Top Longitudinal (Vertical) Weld]]="",Reinforcements[[#This Row],[Top Longitudinal (Vertical) Weld]]="None"),"-","")))</f>
        <v/>
      </c>
      <c r="BX72" s="206" t="str">
        <f>IF($AZ72="Yes",AX72,IF(Reinforcements[[#This Row],[Reinforcement]]="","",IF(OR(Reinforcements[[#This Row],[Top End Connection Type]]&lt;&gt;"Welded",Reinforcements[[#This Row],[Top End Connection Type]]="",Reinforcements[[#This Row],[Top Longitudinal (Vertical) Weld]]="",Reinforcements[[#This Row],[Top Longitudinal (Vertical) Weld]]="None"),"-","")))</f>
        <v/>
      </c>
      <c r="BY72" s="206" t="str">
        <f>IF($AZ72="Yes",AY72,IF(Reinforcements[[#This Row],[Reinforcement]]="","",IF(OR(Reinforcements[[#This Row],[Top End Connection Type]]&lt;&gt;"Welded",Reinforcements[[#This Row],[Top Longitudinal (Vertical) Weld]]="none"),"-",SQRT(2)/2*Reinforcements[[#This Row],[Top Longitudinal Weld Fillet Size (in)]])))</f>
        <v/>
      </c>
      <c r="BZ72"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2"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2"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2"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2"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2" s="201" t="str">
        <f>IFERROR(IF(Reinforcements[[#This Row],[Type]]="","",Reinforcements[[#This Row],[Effective B (in)]]*Reinforcements[[#This Row],[Effective H (in)]]^3/12),"")</f>
        <v/>
      </c>
      <c r="CF72" s="201" t="str">
        <f>IFERROR(IF(Reinforcements[[#This Row],[Type]]="","",Reinforcements[[#This Row],[Effective B (in)]]^3*Reinforcements[[#This Row],[Effective H (in)]]/12),"")</f>
        <v/>
      </c>
      <c r="CG72" s="224" t="e">
        <f>SQRT(2*PI()^2*29000/VLOOKUP(Reinforcements[[#This Row],[Material]],Materials[],2,FALSE))</f>
        <v>#N/A</v>
      </c>
      <c r="CH72"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2"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2" s="215" t="e">
        <f>Reinforcements[[#This Row],[Effective Length Factor Kx]]*Reinforcements[[#This Row],[Lu (in)]]/(Reinforcements[[#This Row],[rx]]*PI())*SQRT(VLOOKUP(Reinforcements[[#This Row],[Material]],Materials[],2,FALSE)/29000)</f>
        <v>#VALUE!</v>
      </c>
      <c r="CK72" s="215" t="e">
        <f>Reinforcements[[#This Row],[Effective Length Factor Ky]]*Reinforcements[[#This Row],[Lu (in)]]/(Reinforcements[[#This Row],[ry]]*PI())*SQRT(VLOOKUP(Reinforcements[[#This Row],[Material]],Materials[],2,FALSE)/29000)</f>
        <v>#VALUE!</v>
      </c>
      <c r="CL72" s="215" t="e">
        <f>IF(Reinforcements[[#This Row],[λcx]]&lt;=1.5,0.658^(Reinforcements[[#This Row],[λcx]]^2)*Reinforcements[[#This Row],[F''y]],0.877/(Reinforcements[[#This Row],[λcx]]^2)*Reinforcements[[#This Row],[F''y]])</f>
        <v>#VALUE!</v>
      </c>
      <c r="CM72" s="215" t="e">
        <f>IF(Reinforcements[[#This Row],[λcy]]&lt;=1.5,0.658^(Reinforcements[[#This Row],[λcy]]^2)*Reinforcements[[#This Row],[F''y]],0.877/(Reinforcements[[#This Row],[λcy]]^2)*Reinforcements[[#This Row],[F''y]])</f>
        <v>#VALUE!</v>
      </c>
      <c r="CN72" s="201" t="e">
        <f>VLOOKUP(Reinforcements[[#This Row],[Material]],Materials[],2,FALSE)</f>
        <v>#N/A</v>
      </c>
      <c r="CO72" s="224" t="str">
        <f>IF(Reinforcements[[#This Row],[Reinforcement]]="","",Reinforcements[[#This Row],[Fax]]*Reinforcements[[#This Row],[Gross Area (in2)]])</f>
        <v/>
      </c>
      <c r="CP72" s="224" t="str">
        <f>IF(Reinforcements[[#This Row],[Reinforcement]]="","",Reinforcements[[#This Row],[Fay]]*Reinforcements[[#This Row],[Gross Area (in2)]])</f>
        <v/>
      </c>
      <c r="CQ72" s="224" t="str">
        <f>IF(Reinforcements[[#This Row],[Reinforcement]]="","",0.6*VLOOKUP(Reinforcements[[#This Row],[Material]],Materials[],2,FALSE)*Reinforcements[[#This Row],[Gross Area (in2)]])</f>
        <v/>
      </c>
      <c r="CR72" s="224" t="str">
        <f>IF(Reinforcements[[#This Row],[Reinforcement]]="","",0.5*VLOOKUP(Reinforcements[[#This Row],[Material]],Materials[],3,FALSE)*Reinforcements[[#This Row],[Net Area (in2)]]*Reinforcements[[#This Row],[Shear Lag (U)]])</f>
        <v/>
      </c>
      <c r="CS72" s="224" t="str">
        <f>IF(Reinforcements[[#This Row],[Reinforcement]]="","",0.4*VLOOKUP(Reinforcements[[#This Row],[Material]],Materials[],2,FALSE)*Reinforcements[[#This Row],[Gross Area (in2)]])</f>
        <v/>
      </c>
      <c r="CT72"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2"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2"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2"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2"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2"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2"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2"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2"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2"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2"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2"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2" s="206" t="str">
        <f>IF($AZ72="Yes",DD72,IF(Reinforcements[[#This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2" s="206" t="str">
        <f>IF($AZ72="Yes",DE72,IF(Reinforcements[[#This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2" s="224" t="str">
        <f>IF(Reinforcements[[#This Row],[Reinforcement]]="","",φ_c*Reinforcements[[#This Row],[Fcr,x]]*Reinforcements[[#This Row],[Gross Area (in2)]])</f>
        <v/>
      </c>
      <c r="DI72" s="224" t="str">
        <f>IF(Reinforcements[[#This Row],[Reinforcement]]="","",φ_c*Reinforcements[[#This Row],[Fcr,y]]*Reinforcements[[#This Row],[Gross Area (in2)]])</f>
        <v/>
      </c>
      <c r="DJ72" s="224" t="str">
        <f>IF(Reinforcements[[#This Row],[Reinforcement]]="","",φ_t_y*VLOOKUP(Reinforcements[[#This Row],[Material]],Materials[],2,FALSE)*Reinforcements[[#This Row],[Gross Area (in2)]])</f>
        <v/>
      </c>
      <c r="DK72" s="224" t="str">
        <f>IF(Reinforcements[[#This Row],[Reinforcement]]="","",φ_t_r*VLOOKUP(Reinforcements[[#This Row],[Material]],Materials[],3,FALSE)*Reinforcements[[#This Row],[Net Area (in2)]]*Reinforcements[[#This Row],[Shear Lag (U)]])</f>
        <v/>
      </c>
      <c r="DL72" s="224" t="str">
        <f>IF(Reinforcements[[#This Row],[Reinforcement]]="","",φ_v*0.5*Reinforcements[[#This Row],[F''y]]*Reinforcements[[#This Row],[Gross Area (in2)]])</f>
        <v/>
      </c>
      <c r="DM72"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2"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2"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2"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2"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2"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2"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2"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2"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2"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2"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2"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2" s="206" t="str">
        <f>IF($AZ72="Yes",DW72,IF(Reinforcements[[#This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2" s="206" t="str">
        <f>IF($AZ72="Yes",DX72,IF(Reinforcements[[#This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2" s="507" t="str">
        <f>IF(OR(Reinforcements[[#This Row],[Type]]="plate",Reinforcements[[#This Row],[Type]]="solid round"),"N/A",Reinforcements[[#This Row],[B (in)]])</f>
        <v/>
      </c>
      <c r="EB72" s="508" t="str">
        <f>IF(OR(Reinforcements[[#This Row],[Type]]="plate",Reinforcements[[#This Row],[Type]]="solid round"),"N/A",Reinforcements[[#This Row],[H (in)]])</f>
        <v/>
      </c>
      <c r="EC72" s="508" t="e">
        <f>IF(OR(Reinforcements[[#This Row],[Type]]="plate",Reinforcements[[#This Row],[Type]]="solid round"),"N/A",Reinforcements[[#This Row],[B (in)]]-Reinforcements[[#This Row],['[Channel'] Flange Thickness (in)]])</f>
        <v>#VALUE!</v>
      </c>
      <c r="ED72" s="508" t="str">
        <f>IF(OR(Reinforcements[[#This Row],[Type]]="plate",Reinforcements[[#This Row],[Type]]="solid round"),"N/A",Reinforcements[[#This Row],['[Channel']Web Thickness (in)]])</f>
        <v/>
      </c>
      <c r="EE72" s="508" t="str">
        <f>IF(OR(Reinforcements[[#This Row],[Type]]="plate",Reinforcements[[#This Row],[Type]]="solid round"),"N/A",Reinforcements[[#This Row],['[Channel'] Flange Thickness (in)]])</f>
        <v/>
      </c>
      <c r="EF72" s="508" t="str">
        <f>IF(Reinforcements[[#This Row],[Type]]="channel",Reinforcements[[#This Row],[Channel Flange Width, b]]/Reinforcements[[#This Row],[Channel flange thickness, tf]],"N/A")</f>
        <v>N/A</v>
      </c>
      <c r="EG72" s="508" t="str">
        <f>IF(Reinforcements[[#This Row],[Type]]="channel",Reinforcements[[#This Row],[Channel inside depth, T]]/Reinforcements[[#This Row],[Channel web thickness, tw]],"N/A")</f>
        <v>N/A</v>
      </c>
      <c r="EH72" s="252">
        <v>29000</v>
      </c>
      <c r="EI72" s="252" t="str">
        <f>IF(Reinforcements[[#This Row],[Type]]="channel",0.56*SQRT(Reinforcements[[#This Row],[E, (ksi)]]/Reinforcements[[#This Row],[Fy, (ksi)]]),"N/A")</f>
        <v>N/A</v>
      </c>
      <c r="EJ72" s="252" t="str">
        <f>IF(Reinforcements[[#This Row],[Type]]="channel",1.49*SQRT(Reinforcements[[#This Row],[E, (ksi)]]/Reinforcements[[#This Row],[Fy, (ksi)]]),"N/A")</f>
        <v>N/A</v>
      </c>
      <c r="EK72" s="252" t="e">
        <f>VLOOKUP(Reinforcements[[#This Row],[Material]],Materials!$B$2:$C$30,2,FALSE)</f>
        <v>#N/A</v>
      </c>
      <c r="EL72" s="252" t="e">
        <f>Reinforcements[[#This Row],[Lu (in)]]*Reinforcements[[#This Row],[Effective Length Factor Kx]]</f>
        <v>#VALUE!</v>
      </c>
      <c r="EM72" s="252" t="e">
        <f>Reinforcements[[#This Row],[Lu (in)]]*Reinforcements[[#This Row],[Effective Length Factor Ky]]</f>
        <v>#VALUE!</v>
      </c>
      <c r="EN72" s="252" t="str">
        <f>Reinforcements[[#This Row],[rx]]</f>
        <v/>
      </c>
      <c r="EO72" s="252" t="str">
        <f>Reinforcements[[#This Row],[ry]]</f>
        <v/>
      </c>
      <c r="EP72" s="252" t="e">
        <f>Reinforcements[[#This Row],[Lcx (in)]]/Reinforcements[[#This Row],[rx (in)]]</f>
        <v>#VALUE!</v>
      </c>
      <c r="EQ72" s="252" t="e">
        <f>Reinforcements[[#This Row],[Lcy (in)]]/Reinforcements[[#This Row],[ry (in)]]</f>
        <v>#VALUE!</v>
      </c>
      <c r="ER72" s="252" t="e">
        <f>((PI()^2)*Reinforcements[[#This Row],[E, (ksi)]])/(Reinforcements[[#This Row],[Lcx/rx]]^2)</f>
        <v>#VALUE!</v>
      </c>
      <c r="ES72" s="252" t="e">
        <f>((PI()^2)*Reinforcements[[#This Row],[E, (ksi)]])/(Reinforcements[[#This Row],[Lcy/ry]]^2)</f>
        <v>#VALUE!</v>
      </c>
      <c r="ET72" s="252" t="e">
        <f>4.71*(SQRT(Reinforcements[[#This Row],[E, (ksi)]]/Reinforcements[[#This Row],[Fy, (ksi)]]))</f>
        <v>#N/A</v>
      </c>
      <c r="EU72" s="252" t="e">
        <f>IF(Reinforcements[[#This Row],[Lcx/rx]]&lt;=Reinforcements[[#This Row],[Fcr Limit]],(0.658^(Reinforcements[[#This Row],[Fy, (ksi)]]/Reinforcements[[#This Row],[Fex, FB (ksi)]]))*Reinforcements[[#This Row],[Fy, (ksi)]],0.877*Reinforcements[[#This Row],[Fex, FB (ksi)]])</f>
        <v>#VALUE!</v>
      </c>
      <c r="EV72" s="252" t="e">
        <f>IF(Reinforcements[[#This Row],[Lcy/ry]]&lt;=Reinforcements[[#This Row],[Fcr Limit]],(0.658^(Reinforcements[[#This Row],[Fy, (ksi)]]/Reinforcements[[#This Row],[Fey, FB (ksi)]]))*Reinforcements[[#This Row],[Fy, (ksi)]],0.877*Reinforcements[[#This Row],[Fey, FB (ksi)]])</f>
        <v>#VALUE!</v>
      </c>
      <c r="EW72" s="252" t="e">
        <f>Reinforcements[[#This Row],[Fcrx (ksi)]]*Reinforcements[[#This Row],[Gross Area (in2)]]</f>
        <v>#VALUE!</v>
      </c>
      <c r="EX72" s="252" t="e">
        <f>Reinforcements[[#This Row],[Fcry (ksi)]]*Reinforcements[[#This Row],[Gross Area (in2)]]</f>
        <v>#VALUE!</v>
      </c>
      <c r="EY72" s="252" t="str">
        <f>IF(Reinforcements[[#This Row],[Type]]="channel",0,"N/A")</f>
        <v>N/A</v>
      </c>
      <c r="EZ72" s="252" t="str">
        <f>IF(Reinforcements[[#This Row],[Type]]="channel",Reinforcements[[#This Row],[Channel Flange Width, b]]-(0.5*Reinforcements[[#This Row],[Channel web thickness, tw]]),"N/A")</f>
        <v>N/A</v>
      </c>
      <c r="FA72" s="252" t="str">
        <f>IF(Reinforcements[[#This Row],[Type]]="channel",Reinforcements[[#This Row],[Channel Height, h]]-Reinforcements[[#This Row],[Channel flange thickness, tf]],"N/A")</f>
        <v>N/A</v>
      </c>
      <c r="FB72" s="252" t="str">
        <f>IF(Reinforcements[[#This Row],[Type]]="channel",Reinforcements[[#This Row],[Channel web thickness, tw]],"N/A")</f>
        <v>N/A</v>
      </c>
      <c r="FC72" s="252" t="str">
        <f>IF(Reinforcements[[#This Row],[Type]]="channel",((3*Reinforcements[[#This Row],[b]]^2)/(Reinforcements[[#This Row],[h]]+(6*Reinforcements[[#This Row],[b]])))-Reinforcements[[#This Row],[t]]/2,"N/A")</f>
        <v>N/A</v>
      </c>
      <c r="FD72" s="252" t="str">
        <f>Reinforcements[[#This Row],[Pole Face to Centroid (in)]]</f>
        <v/>
      </c>
      <c r="FE72" s="508" t="str">
        <f>IF(Reinforcements[[#This Row],[Type]]="channel",Reinforcements[[#This Row],[x(bar)]]+Reinforcements[[#This Row],['[Channel'] e0 (in)]],"N/A")</f>
        <v>N/A</v>
      </c>
      <c r="FF72" s="508" t="str">
        <f>IF(Reinforcements[[#This Row],[Type]]="channel",Reinforcements[[#This Row],[Ix]],"N/A")</f>
        <v>N/A</v>
      </c>
      <c r="FG72" s="508" t="str">
        <f>IF(Reinforcements[[#This Row],[Type]]="channel",Reinforcements[[#This Row],[Iy]],"N/A")</f>
        <v>N/A</v>
      </c>
      <c r="FH72" s="508" t="str">
        <f>IF(Reinforcements[[#This Row],[Type]]="channel",Reinforcements[[#This Row],[Gross Area (in2)]],"N/A")</f>
        <v>N/A</v>
      </c>
      <c r="FI72" s="508" t="str">
        <f>IF(Reinforcements[[#This Row],[Type]]="channel",(Reinforcements[[#This Row],[xo]]^2)+((Reinforcements[[#This Row],[Ix (FTB)]]+Reinforcements[[#This Row],[Iy (FTB)]])/Reinforcements[[#This Row],[Ag]]),"N/A")</f>
        <v>N/A</v>
      </c>
      <c r="FJ72" s="508" t="str">
        <f>IF(Reinforcements[[#This Row],[Type]]="channel",Reinforcements[[#This Row],[Lu (in)]],"N/A")</f>
        <v>N/A</v>
      </c>
      <c r="FK72" s="508" t="str">
        <f>IF(Reinforcements[[#This Row],[Type]]="channel",Reinforcements[[#This Row],[Effective Length Factor Kx]],"N/A")</f>
        <v>N/A</v>
      </c>
      <c r="FL72" s="508" t="str">
        <f>IF(Reinforcements[[#This Row],[Type]]="channel",Reinforcements[[#This Row],[Kz]]*Reinforcements[[#This Row],[Lz]],"N/A")</f>
        <v>N/A</v>
      </c>
      <c r="FM72" s="508" t="str">
        <f>IF(Reinforcements[[#This Row],[Type]]="channel",(((Reinforcements[[#This Row],[t]]^3)/3)*(Reinforcements[[#This Row],[h]]+(2*Reinforcements[[#This Row],[b]]))),"N/A")</f>
        <v>N/A</v>
      </c>
      <c r="FN72" s="508" t="str">
        <f>IF(Reinforcements[[#This Row],[Type]]="channel",(1-(((Reinforcements[[#This Row],[xo]]^2)+(Reinforcements[[#This Row],[yo]]^2))/Reinforcements[[#This Row],[ro^2(bar)]])),"N/A")</f>
        <v>N/A</v>
      </c>
      <c r="FO72" s="252">
        <v>11199</v>
      </c>
      <c r="FP72" s="508" t="str">
        <f>IF(Reinforcements[[#This Row],[Type]]="channel",(((Reinforcements[[#This Row],[h]]^2)*(Reinforcements[[#This Row],[b]]^3)*Reinforcements[[#This Row],[t]])/12)*(((2*Reinforcements[[#This Row],[h]])+(3*Reinforcements[[#This Row],[b]]))/(Reinforcements[[#This Row],[h]]+(6*Reinforcements[[#This Row],[b]]))),"N/A")</f>
        <v>N/A</v>
      </c>
      <c r="FQ72" s="508" t="str">
        <f>IF(Reinforcements[[#This Row],[Type]]="Channel",((((PI()^2)*Reinforcements[[#This Row],[E, (ksi)]]*Reinforcements[[#This Row],['[Channel'] CW (in6)]])/(Reinforcements[[#This Row],[Lcz]]^2))+(Reinforcements[[#This Row],[G]]*Reinforcements[[#This Row],['[Channel'] J (in4)]]))*(1/(Reinforcements[[#This Row],[Ag]]*Reinforcements[[#This Row],[ro^2(bar)]])),"N/A")</f>
        <v>N/A</v>
      </c>
      <c r="FR72" s="508" t="str">
        <f>IF(Reinforcements[[#This Row],[Type]]="channel",((PI()^2)*Reinforcements[[#This Row],[E, (ksi)]])/(Reinforcements[[#This Row],[Lcy/ry]]^2),"N/A")</f>
        <v>N/A</v>
      </c>
      <c r="FS72" s="508" t="str">
        <f>IF(Reinforcements[[#This Row],[Type]]="channel",((Reinforcements[[#This Row],[Fey]]+Reinforcements[[#This Row],[Fez]])/(2*Reinforcements[[#This Row],[H2]]))*(1-SQRT(1-((4*Reinforcements[[#This Row],[Fey]]*Reinforcements[[#This Row],[Fez]]*Reinforcements[[#This Row],[H2]])/(Reinforcements[[#This Row],[Fey]]+Reinforcements[[#This Row],[Fez]])^2))),"N/A")</f>
        <v>N/A</v>
      </c>
      <c r="FT72" s="508" t="str">
        <f>IF(Reinforcements[[#This Row],[Type]]="channel",IF(Reinforcements[[#This Row],[Lcx/rx]]&gt;(4.71*SQRT(Reinforcements[[#This Row],[E, (ksi)]]/Reinforcements[[#This Row],[Fy, (ksi)]])),0.877*Reinforcements[[#This Row],[Fe (FTB)]],0.658^(Reinforcements[[#This Row],[Fy, (ksi)]]/Reinforcements[[#This Row],[Fe (FTB)]])*Reinforcements[[#This Row],[Fy, (ksi)]]),"N/A")</f>
        <v>N/A</v>
      </c>
      <c r="FU72" s="508" t="str">
        <f>IF(Reinforcements[[#This Row],[Type]]="channel",MIN(Reinforcements[[#This Row],[Fcr(FTB)]],Reinforcements[[#This Row],[Fcry (ksi)]]),"N/A")</f>
        <v>N/A</v>
      </c>
      <c r="FV72" s="252">
        <v>0.22</v>
      </c>
      <c r="FW72" s="252">
        <v>1.49</v>
      </c>
      <c r="FX72" s="508" t="str">
        <f>IF(Reinforcements[[#This Row],[Type]]="channel",((Reinforcements[[#This Row],[c2]]*(Reinforcements[[#This Row],[λrf]]/Reinforcements[[#This Row],[λf]]))^2)*Reinforcements[[#This Row],[Fy, (ksi)]],"N/A")</f>
        <v>N/A</v>
      </c>
      <c r="FY72" s="508" t="str">
        <f>IF(Reinforcements[[#This Row],[Type]]="channel",((Reinforcements[[#This Row],[c2]]*(Reinforcements[[#This Row],[λrw]]/Reinforcements[[#This Row],[λw]]))^2)*Reinforcements[[#This Row],[Fy, (ksi)]],"N/A")</f>
        <v>N/A</v>
      </c>
      <c r="FZ72"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2"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2"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2" s="508" t="str">
        <f>IF(Reinforcements[[#This Row],[Type]]="channel",Reinforcements[[#This Row],[Fcr]]*Reinforcements[[#This Row],[Ae]],"N/A")</f>
        <v>N/A</v>
      </c>
      <c r="GD72" s="462" t="str">
        <f>IF(Reinforcements[[#This Row],[Reinforcement]]="","",φ_c*Reinforcements[[#This Row],[Pnx, FB (kip)]])</f>
        <v/>
      </c>
      <c r="GE72" s="462" t="str">
        <f>IF(Reinforcements[[#This Row],[Reinforcement]]="","",IF(Reinforcements[[#This Row],[Type]]="channel",φ_c*Reinforcements[[#This Row],[Pn]],φ_c*Reinforcements[[#This Row],[Pny, FB (kip)]]))</f>
        <v/>
      </c>
      <c r="GF72" s="462" t="str">
        <f>Reinforcements[[#This Row],[Rev. G Tension Yield Capacity (kips)]]</f>
        <v/>
      </c>
      <c r="GG72" s="462" t="str">
        <f>Reinforcements[[#This Row],[Rev. G Tension Rupture Capacity (kips)]]</f>
        <v/>
      </c>
      <c r="GH72" s="462" t="str">
        <f>Reinforcements[[#This Row],[Rev. G Shear Capacity (kips)]]</f>
        <v/>
      </c>
      <c r="GI72" s="462" t="str">
        <f>IFERROR((Reinforcements[[#This Row],['# of End Connection Bolts          (Bottom)]]-1)*Reinforcements[[#This Row],[End Connection Bolt Spacing (in) (B)]],"-")</f>
        <v>-</v>
      </c>
      <c r="GJ72" s="462" t="str">
        <f>IFERROR(IF(VLOOKUP(Reinforcements[[#This Row],[Bottom End Connection Bolt Type]],Bolts[],COLUMN(Bolts[[#Headers],[Rev. H Apply Connection Length Reduction Factor (Rb)?]])-1,FALSE)="Yes",(IF(Reinforcements[[#This Row],[Lb(bottom)]]&lt;=16,1,IF(Reinforcements[[#This Row],[Lb(bottom)]]&gt;38,0.75,0.9))),1),"-")</f>
        <v>-</v>
      </c>
      <c r="GK72"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2" s="462" t="str">
        <f>IFERROR(IF(Reinforcements[[#This Row],[Top End Connection Same?]]="Yes",Reinforcements[[#This Row],[Lb(bottom)]],(Reinforcements[[#This Row],['# of End Connection Bolts          (Top)]]-1)*Reinforcements[[#This Row],[End Connection Bolt Spacing (in) (T)]]),"-")</f>
        <v>-</v>
      </c>
      <c r="GM72" s="462" t="str">
        <f>IFERROR(IF(VLOOKUP(Reinforcements[[#This Row],[Top End Connection Bolt Type]],Bolts[],COLUMN(Bolts[[#Headers],[Rev. H Apply Connection Length Reduction Factor (Rb)?]])-1,FALSE)="Yes",(IF(Reinforcements[[#This Row],[Lb(top)]]&lt;=16,1,IF(Reinforcements[[#This Row],[Lb(top)]]&gt;38,0.75,0.9))),1),"-")</f>
        <v>-</v>
      </c>
      <c r="GN72"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2" s="462" t="str">
        <f>Reinforcements[[#This Row],[Rev. G Bolt-Shaft Bearing Capacity (Bottom)                No Deformation          (*t*Fu kips)]]</f>
        <v>-</v>
      </c>
      <c r="GP72" s="462" t="str">
        <f>Reinforcements[[#This Row],[Rev. G Bolt-Shaft Bearing Capacity (Bottom)                   Deformation          (*t*Fu kips)]]</f>
        <v>-</v>
      </c>
      <c r="GQ72" s="462" t="str">
        <f>Reinforcements[[#This Row],[Rev. G Bolt-Shaft Bearing Capacity (Top)                    No Deformation          (*t*Fu kips)]]</f>
        <v>-</v>
      </c>
      <c r="GR72" s="462" t="str">
        <f>Reinforcements[[#This Row],[Rev. G Bolt-Shaft Bearing Capacity (Top)                        Deformation          (*t*Fu kips)]]</f>
        <v>-</v>
      </c>
      <c r="GS72" s="462" t="str">
        <f>Reinforcements[[#This Row],[Rev. G Bolt-Reinf. Bearing Capacity (Bottom)            No Deformation (kips)]]</f>
        <v>-</v>
      </c>
      <c r="GT72" s="462" t="str">
        <f>Reinforcements[[#This Row],[Rev. G Bolt-Reinf. Bearing Capacity (Bottom)               Deformation (kips)]]</f>
        <v>-</v>
      </c>
      <c r="GU72" s="462" t="str">
        <f>Reinforcements[[#This Row],[Rev. G Bolt-Reinf. Bearing Capacity (Top)                  No Deformation (kips)]]</f>
        <v>-</v>
      </c>
      <c r="GV72" s="462" t="str">
        <f>Reinforcements[[#This Row],[Rev. G Bolt-Reinf. Bearing Capacity (Top)               Deformation (kips)]]</f>
        <v>-</v>
      </c>
      <c r="GW72" s="462" t="str">
        <f>Reinforcements[[#This Row],[Rev. G Bottom Transverse Weld Strength]]</f>
        <v/>
      </c>
      <c r="GX72" s="462" t="str">
        <f>Reinforcements[[#This Row],[Rev. G Bottom Longitudinal Weld Strength]]</f>
        <v/>
      </c>
      <c r="GY72" s="462" t="str">
        <f>Reinforcements[[#This Row],[Rev. G Top Transverse Weld Strength]]</f>
        <v/>
      </c>
      <c r="GZ72" s="462" t="str">
        <f>Reinforcements[[#This Row],[Rev. G Top Longitudinal Weld Strength]]</f>
        <v/>
      </c>
      <c r="HA72" s="552">
        <v>70</v>
      </c>
      <c r="HB72"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3" spans="2:210" x14ac:dyDescent="0.2">
      <c r="B73" s="129"/>
      <c r="C73" s="129"/>
      <c r="D73" s="201" t="str">
        <f>IF(Reinforcements[[#This Row],[Type]]="","",IF(Reinforcements[[#This Row],[Type]]="solid round","-",""))</f>
        <v/>
      </c>
      <c r="E73" s="201" t="str">
        <f>IF(Reinforcements[[#This Row],[Type]]="","",IF(Reinforcements[[#This Row],[Type]]="solid round","-",""))</f>
        <v/>
      </c>
      <c r="F73" s="201" t="str">
        <f>IF(Reinforcements[[#This Row],[Type]]="","",IF(Reinforcements[[#This Row],[Type]]="solid round","","n/a"))</f>
        <v/>
      </c>
      <c r="G73" s="201" t="str">
        <f>IF(Reinforcements[[#This Row],[Type]]="","",IF(Reinforcements[[#This Row],[Type]]&lt;&gt;"channel","n/a",""))</f>
        <v/>
      </c>
      <c r="H73" s="201" t="str">
        <f>IF(Reinforcements[[#This Row],[Type]]="","",IF(Reinforcements[[#This Row],[Type]]&lt;&gt;"channel","n/a",""))</f>
        <v/>
      </c>
      <c r="I73" s="224" t="str">
        <f>IF(Reinforcements[[#This Row],[Type]]="","",IF(Reinforcements[[#This Row],[Type]]&lt;&gt;"channel","n/a",Reinforcements[[#This Row],[eo]]))</f>
        <v/>
      </c>
      <c r="J73" s="224" t="str">
        <f>IF(Reinforcements[[#This Row],[Type]]="","",IF(Reinforcements[[#This Row],[Type]]&lt;&gt;"channel","n/a",Reinforcements[[#This Row],[J]]))</f>
        <v/>
      </c>
      <c r="K73" s="224" t="str">
        <f>IF(Reinforcements[[#This Row],[Type]]="","",IF(Reinforcements[[#This Row],[Type]]&lt;&gt;"channel","n/a",Reinforcements[[#This Row],[Cw]]))</f>
        <v/>
      </c>
      <c r="L73" s="201" t="str">
        <f>IFERROR(IF(Reinforcements[[#This Row],[Type]]="","",IF(Reinforcements[[#This Row],[Type]]="plate",Reinforcements[[#This Row],[B (in)]]*Reinforcements[[#This Row],[H (in)]],IF(Reinforcements[[#This Row],[Type]]="solid round",PI()/4*Reinforcements[[#This Row],[Diameter (in)]]^2,""))),"")</f>
        <v/>
      </c>
      <c r="M73" s="201" t="str">
        <f>IFERROR(IF(Reinforcements[[#This Row],[Type]]="","",IF(Reinforcements[[#This Row],[Type]]="plate",Reinforcements[[#This Row],[H (in)]]/2,"")),"")</f>
        <v/>
      </c>
      <c r="N73" s="202"/>
      <c r="O73" s="203"/>
      <c r="P73" s="215" t="str">
        <f>IFERROR(IF(Reinforcements[[#This Row],[Type]]="","",IF(Reinforcements[[#This Row],[Type]]="plate",Reinforcements[[#This Row],[B (in)]]*Reinforcements[[#This Row],[H (in)]]^3/12,IF(Reinforcements[[#This Row],[Type]]="solid round",PI()/64*Reinforcements[[#This Row],[Diameter (in)]]^4,""))),"")</f>
        <v/>
      </c>
      <c r="Q73" s="215" t="str">
        <f>IF(Reinforcements[[#This Row],[Reinforcement]]="","",SQRT(Reinforcements[[#This Row],[Ix]]/Reinforcements[[#This Row],[Gross Area (in2)]]))</f>
        <v/>
      </c>
      <c r="R73" s="215" t="str">
        <f>IFERROR(IF(Reinforcements[[#This Row],[Type]]="","",IF(Reinforcements[[#This Row],[Type]]="plate",Reinforcements[[#This Row],[B (in)]]^3*Reinforcements[[#This Row],[H (in)]]/12,IF(Reinforcements[[#This Row],[Type]]="solid round",PI()/64*Reinforcements[[#This Row],[Diameter (in)]]^4,""))),"")</f>
        <v/>
      </c>
      <c r="S73" s="215" t="str">
        <f>IF(Reinforcements[[#This Row],[Reinforcement]]="","",SQRT(Reinforcements[[#This Row],[Iy]]/Reinforcements[[#This Row],[Gross Area (in2)]]))</f>
        <v/>
      </c>
      <c r="T73" s="206"/>
      <c r="U73" s="204" t="str">
        <f>IF(Reinforcements[[#This Row],[Lu (in)]]="","",IF(Reinforcements[[#This Row],[Lu (in)]]=0,1,""))</f>
        <v/>
      </c>
      <c r="V73" s="204" t="str">
        <f>IF(Reinforcements[[#This Row],[Lu (in)]]="","",IF(Reinforcements[[#This Row],[Lu (in)]]=0,1,""))</f>
        <v/>
      </c>
      <c r="W73" s="201" t="str">
        <f>IF(Reinforcements[[#This Row],[Type]]="","",IF(Reinforcements[[#This Row],[Type]]="solid round",0,IF(Reinforcements[[#This Row],[Type]]="arbitrary","n/a","")))</f>
        <v/>
      </c>
      <c r="X73" s="204" t="str">
        <f>IF(Reinforcements[[#This Row],[Bolt Hole Size (in)]]="","",IF(Reinforcements[[#This Row],[Bolt Hole Size (in)]]="n/a","n/a",Reinforcements[[#This Row],[Bolt Hole Size (in)]]*25.4))</f>
        <v/>
      </c>
      <c r="Y73"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3" s="201" t="str">
        <f>IFERROR(IF(Reinforcements[[#This Row],[Reinforcement]]="","",IF(OR(Reinforcements[[#This Row],[Type]]="plate",Reinforcements[[#This Row],[Type]]="solid round"),1,IF(Reinforcements[[#This Row],[Type]]="arbitrary","",1-Reinforcements[[#This Row],[Pole Face to Centroid (in)]]/Reinforcements[[#This Row],[Connection Length (in) '[Channels']]]))),"")</f>
        <v/>
      </c>
      <c r="AA73" s="205"/>
      <c r="AB73" s="103" t="str">
        <f>IF(Reinforcements[[#This Row],[Reinforcement]]="","",IF(Reinforcements[[#This Row],[Bottom End Connection Type]]&lt;&gt;"Capacity Input","-",""))</f>
        <v/>
      </c>
      <c r="AC73" s="103" t="str">
        <f>IF(Reinforcements[[#This Row],[Reinforcement]]="","",IF(Reinforcements[[#This Row],[Bottom End Connection Type]]&lt;&gt;"Capacity Input","-",""))</f>
        <v/>
      </c>
      <c r="AD73" s="253" t="str">
        <f>IF(Reinforcements[[#This Row],[Reinforcement]]="","",IF(Reinforcements[[#This Row],[Bottom End Connection Type]]&lt;&gt;"Capacity Input","-",""))</f>
        <v/>
      </c>
      <c r="AE73" s="103" t="str">
        <f>IF(Reinforcements[[#This Row],[Reinforcement]]="","",IF(Reinforcements[[#This Row],[Bottom End Connection Type]]&lt;&gt;"Bolted","-",""))</f>
        <v/>
      </c>
      <c r="AF73" s="206" t="str">
        <f>IF(Reinforcements[[#This Row],[Reinforcement]]="","",IF(Reinforcements[[#This Row],[Bottom End Connection Type]]&lt;&gt;"Bolted","-",""))</f>
        <v/>
      </c>
      <c r="AG73" s="206" t="str">
        <f>IF(Reinforcements[[#This Row],[Reinforcement]]="","",IF(Reinforcements[[#This Row],[Bottom End Connection Type]]="","-",IF(Reinforcements[[#This Row],[Bottom End Connection Type]]&lt;&gt;"Bolted","-","")))</f>
        <v/>
      </c>
      <c r="AH73" s="206" t="str">
        <f>IF(Reinforcements[[#This Row],[Reinforcement]]="","",IF(Reinforcements[[#This Row],[Bottom End Connection Type]]="","-",IF(Reinforcements[[#This Row],[Bottom End Connection Type]]&lt;&gt;"Bolted","-","")))</f>
        <v/>
      </c>
      <c r="AI73" s="206" t="str">
        <f>IF(Reinforcements[[#This Row],[Reinforcement]]="","",IF(Reinforcements[[#This Row],[Bottom End Connection Type]]="","-",IF(Reinforcements[[#This Row],[Bottom End Connection Type]]&lt;&gt;"Bolted","-","")))</f>
        <v/>
      </c>
      <c r="AJ73" s="206" t="e">
        <f>Reinforcements[[#This Row],[End Connection Edge Distance (in) (B)]]-(Reinforcements[[#This Row],[Bolt Hole Size (in)]]+1/16)/2</f>
        <v>#VALUE!</v>
      </c>
      <c r="AK73" s="206" t="e">
        <f>Reinforcements[[#This Row],[End Connection Bolt Spacing (in) (B)]]-(Reinforcements[[#This Row],[Bolt Hole Size (in)]]+1/16)</f>
        <v>#VALUE!</v>
      </c>
      <c r="AL73" s="206" t="str">
        <f>Reinforcements[[#This Row],[End Connection Edge Distance (in) (B)]]</f>
        <v/>
      </c>
      <c r="AM73" s="206" t="str">
        <f>Reinforcements[[#This Row],[End Connection Bolt Spacing (in) (B)]]</f>
        <v/>
      </c>
      <c r="AN73" s="206" t="str">
        <f>IF(Reinforcements[[#This Row],[Reinforcement]]="","",IF(OR(Reinforcements[[#This Row],[Bottom End Connection Type]]="Bolted",Reinforcements[[#This Row],[Bottom End Connection Type]]=""),"-",""))</f>
        <v/>
      </c>
      <c r="AO73" s="214" t="str">
        <f>IF(Reinforcements[[#This Row],[Reinforcement]]="","",IF(Reinforcements[[#This Row],[Bottom End Connection Type]]&lt;&gt;"Welded","-",""))</f>
        <v/>
      </c>
      <c r="AP73" s="214" t="str">
        <f>IF(Reinforcements[[#This Row],[Reinforcement]]="","",IF(Reinforcements[[#This Row],[Bottom End Connection Type]]&lt;&gt;"Welded","-",""))</f>
        <v/>
      </c>
      <c r="AQ73" s="214" t="str">
        <f>IF(Reinforcements[[#This Row],[Reinforcement]]="","",IF(OR(Reinforcements[[#This Row],[Bottom End Connection Type]]&lt;&gt;"Welded",Reinforcements[[#This Row],[Bottom Transverse (Horizontal) Weld]]="None"),"-",""))</f>
        <v/>
      </c>
      <c r="AR73"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3"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3" s="214" t="str">
        <f>IF(Reinforcements[[#This Row],[Reinforcement]]="","",IF(OR(Reinforcements[[#This Row],[Bottom Transverse (Horizontal) Weld]]="None",Reinforcements[[#This Row],[Bottom End Connection Type]]&lt;&gt;"Welded"),"-",""))</f>
        <v/>
      </c>
      <c r="AU73"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3" s="214" t="str">
        <f>IF(Reinforcements[[#This Row],[Reinforcement]]="","",IF(OR(Reinforcements[[#This Row],[Bottom End Connection Type]]&lt;&gt;"Welded",Reinforcements[[#This Row],[Bottom End Connection Type]]=""),"-",""))</f>
        <v/>
      </c>
      <c r="AW73" s="214" t="str">
        <f>IF(Reinforcements[[#This Row],[Reinforcement]]="","",IF(OR(Reinforcements[[#This Row],[Bottom End Connection Type]]&lt;&gt;"Welded",Reinforcements[[#This Row],[Bottom Longitudinal (Vertical) Weld]]="None",Reinforcements[[#This Row],[Bottom Longitudinal (Vertical) Weld]]=""),"-",""))</f>
        <v/>
      </c>
      <c r="AX73" s="214" t="str">
        <f>IF(Reinforcements[[#This Row],[Reinforcement]]="","",IF(OR(Reinforcements[[#This Row],[Bottom End Connection Type]]&lt;&gt;"Welded",Reinforcements[[#This Row],[Bottom Longitudinal (Vertical) Weld]]="None",Reinforcements[[#This Row],[Bottom Longitudinal (Vertical) Weld]]=""),"-",""))</f>
        <v/>
      </c>
      <c r="AY73" s="206" t="str">
        <f>IF(Reinforcements[[#This Row],[Reinforcement]]="","",IF(OR(Reinforcements[[#This Row],[Bottom End Connection Type]]&lt;&gt;"Welded",Reinforcements[[#This Row],[Bottom Longitudinal (Vertical) Weld]]="None"),"-",SQRT(2)/2*Reinforcements[[#This Row],[Bottom Longitudinal Weld Fillet Size (in)]]))</f>
        <v/>
      </c>
      <c r="AZ73" s="206"/>
      <c r="BA73" s="103" t="str">
        <f>IF(Reinforcements[[#This Row],[Top End Connection Same?]]="Yes",Reinforcements[[#This Row],[Bottom End Connection Type]],"")</f>
        <v/>
      </c>
      <c r="BB73" s="103" t="str">
        <f>IF(Reinforcements[[#This Row],[Reinforcement]]="","",IF(Reinforcements[[#This Row],[Top End Connection Same?]]="Yes",Reinforcements[[#This Row],[Rev. F Bottom Connection Capacity (kips)]],IF(Reinforcements[[#This Row],[Reinforcement]]="","",IF(Reinforcements[[#This Row],[Top End Connection Type]]&lt;&gt;"Capacity Input","-",""))))</f>
        <v/>
      </c>
      <c r="BC73" s="103" t="str">
        <f>IF(Reinforcements[[#This Row],[Reinforcement]]="","",IF(Reinforcements[[#This Row],[Top End Connection Same?]]="Yes",Reinforcements[[#This Row],[Rev. G Bottom Connection Capacity (kips)]],IF(Reinforcements[[#This Row],[Reinforcement]]="","",IF(Reinforcements[[#This Row],[Top End Connection Type]]&lt;&gt;"Capacity Input","-",""))))</f>
        <v/>
      </c>
      <c r="BD73" s="253" t="str">
        <f>IF(Reinforcements[[#This Row],[Reinforcement]]="","",IF(Reinforcements[[#This Row],[Top End Connection Same?]]="Yes",Reinforcements[[#This Row],[Rev. G Bottom Connection Capacity (kips)]],IF(Reinforcements[[#This Row],[Reinforcement]]="","",IF(Reinforcements[[#This Row],[Top End Connection Type]]&lt;&gt;"Capacity Input","-",""))))</f>
        <v/>
      </c>
      <c r="BE73" s="103" t="str">
        <f>IF(Reinforcements[[#This Row],[Reinforcement]]="","",IF(Reinforcements[[#This Row],[Top End Connection Same?]]="Yes",Reinforcements[[#This Row],[Bottom End Connection Bolt Type]],IF(Reinforcements[[#This Row],[Top End Connection Type]]&lt;&gt;"Bolted","-","")))</f>
        <v/>
      </c>
      <c r="BF73" s="206" t="str">
        <f>IF(Reinforcements[[#This Row],[Reinforcement]]="","",IF(Reinforcements[[#This Row],[Top End Connection Same?]]="Yes",Reinforcements[[#This Row],[Threads Included (N) or Excluded (X) (Bottom)]],IF(Reinforcements[[#This Row],[Top End Connection Type]]&lt;&gt;"Bolted","-","")))</f>
        <v/>
      </c>
      <c r="BG73" s="206" t="str">
        <f>IF(Reinforcements[[#This Row],[Reinforcement]]="","",IF(Reinforcements[[#This Row],[Top End Connection Same?]]="Yes",Reinforcements[[#This Row],['# of End Connection Bolts          (Bottom)]],IF(Reinforcements[[#This Row],[Top End Connection Type]]&lt;&gt;"Bolted","-","")))</f>
        <v/>
      </c>
      <c r="BH73" s="206" t="str">
        <f>IF(Reinforcements[[#This Row],[Reinforcement]]="","",IF(Reinforcements[[#This Row],[Top End Connection Same?]]="Yes",Reinforcements[[#This Row],[End Connection Bolt Spacing (in) (B)]],IF(Reinforcements[[#This Row],[Top End Connection Type]]&lt;&gt;"Bolted","-","")))</f>
        <v/>
      </c>
      <c r="BI73" s="206" t="str">
        <f>IF(Reinforcements[[#This Row],[Reinforcement]]="","",IF(Reinforcements[[#This Row],[Top End Connection Same?]]="Yes",Reinforcements[[#This Row],[End Connection Edge Distance (in) (B)]],IF(Reinforcements[[#This Row],[Top End Connection Type]]&lt;&gt;"Bolted","-","")))</f>
        <v/>
      </c>
      <c r="BJ73" s="206" t="e">
        <f>Reinforcements[[#This Row],[End Connection Edge Distance (in) (T)]]-(Reinforcements[[#This Row],[Bolt Hole Size (in)]]+1/16)/2</f>
        <v>#VALUE!</v>
      </c>
      <c r="BK73" s="206" t="e">
        <f>Reinforcements[[#This Row],[End Connection Bolt Spacing (in) (T)]]-(Reinforcements[[#This Row],[Bolt Hole Size (in)]]+1/16)</f>
        <v>#VALUE!</v>
      </c>
      <c r="BL73" s="206" t="str">
        <f>Reinforcements[[#This Row],[End Connection Edge Distance (in) (T)]]</f>
        <v/>
      </c>
      <c r="BM73" s="206" t="str">
        <f>Reinforcements[[#This Row],[End Connection Bolt Spacing (in) (T)]]</f>
        <v/>
      </c>
      <c r="BN73" s="206" t="str">
        <f>IF(Reinforcements[[#This Row],[Reinforcement]]="","",IF(Reinforcements[[#This Row],[Top End Connection Same?]]="Yes",Reinforcements[[#This Row],[Bottom Connected to Flange/Base Plate?]],IF(Reinforcements[[#This Row],[Top End Connection Type]]="Bolted","-","")))</f>
        <v/>
      </c>
      <c r="BO73" s="206" t="str">
        <f>IF(Reinforcements[[#This Row],[Reinforcement]]="","",IF(Reinforcements[[#This Row],[Top End Connection Same?]]="Yes",Reinforcements[[#This Row],[Bottom Weld Grade (ksi)]],IF(OR(Reinforcements[[#This Row],[Top End Connection Type]]&lt;&gt;"Welded",Reinforcements[[#This Row],[Top End Connection Type]]=""),"-","")))</f>
        <v/>
      </c>
      <c r="BP73" s="206" t="str">
        <f>IF($AZ73="Yes",AP73,IF(Reinforcements[[#This Row],[Reinforcement]]="","",IF(OR(Reinforcements[[#This Row],[Top End Connection Type]]&lt;&gt;"Welded",Reinforcements[[#This Row],[Top End Connection Type]]=""),"-","")))</f>
        <v/>
      </c>
      <c r="BQ73" s="206" t="str">
        <f>IF(Reinforcements[[#This Row],[Reinforcement]]="","",IF($AZ73="Yes",AQ73,IF(OR(Reinforcements[[#This Row],[Top End Connection Type]]&lt;&gt;"Welded",Reinforcements[[#This Row],[Top Transverse (Horizontal) Weld]]="none",Reinforcements[[#This Row],[Top Transverse (Horizontal) Weld]]=""),"-","")))</f>
        <v/>
      </c>
      <c r="BR73" s="206" t="str">
        <f>IF($AZ73="Yes",AR73,IF(Reinforcements[[#This Row],[Reinforcement]]="","",IF(OR(Reinforcements[[#This Row],[Top Transverse (Horizontal) Weld]]="none",Reinforcements[[#This Row],[Top End Connection Type]]&lt;&gt;"Welded",Reinforcements[[#This Row],[Top Transverse (Horizontal) Weld]]="",Reinforcements[[#This Row],[Top Transverse (Horizontal) Weld]]="Fillet"),"-","")))</f>
        <v/>
      </c>
      <c r="BS73" s="206" t="str">
        <f>IF($AZ73="Yes",AS73,IF(Reinforcements[[#This Row],[Reinforcement]]="","",IF(OR(Reinforcements[[#This Row],[Top Transverse (Horizontal) Weld]]="none",Reinforcements[[#This Row],[Top End Connection Type]]&lt;&gt;"Welded",Reinforcements[[#This Row],[Top Transverse (Horizontal) Weld]]="",Reinforcements[[#This Row],[Top Transverse (Horizontal) Weld]]="Fillet"),"-","")))</f>
        <v/>
      </c>
      <c r="BT73" s="206" t="str">
        <f>IF(Reinforcements[[#This Row],[Reinforcement]]="","",IF($AZ73="Yes",AT73,IF(OR(Reinforcements[[#This Row],[Top Transverse (Horizontal) Weld]]="none",Reinforcements[[#This Row],[Top End Connection Type]]&lt;&gt;"Welded",Reinforcements[[#This Row],[Top Transverse (Horizontal) Weld]]=""),"-","")))</f>
        <v/>
      </c>
      <c r="BU73" s="206" t="str">
        <f>IF($AZ73="Yes",AU73,IF(Reinforcements[[#This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3" s="206" t="str">
        <f>IF($AZ73="Yes",AV73,IF(Reinforcements[[#This Row],[Reinforcement]]="","",IF(OR(Reinforcements[[#This Row],[Top End Connection Type]]&lt;&gt;"Welded",Reinforcements[[#This Row],[Top End Connection Type]]=""),"-","")))</f>
        <v/>
      </c>
      <c r="BW73" s="206" t="str">
        <f>IF($AZ73="Yes",AW73,IF(Reinforcements[[#This Row],[Reinforcement]]="","",IF(OR(Reinforcements[[#This Row],[Top End Connection Type]]&lt;&gt;"Welded",Reinforcements[[#This Row],[Top End Connection Type]]="",Reinforcements[[#This Row],[Top Longitudinal (Vertical) Weld]]="",Reinforcements[[#This Row],[Top Longitudinal (Vertical) Weld]]="None"),"-","")))</f>
        <v/>
      </c>
      <c r="BX73" s="206" t="str">
        <f>IF($AZ73="Yes",AX73,IF(Reinforcements[[#This Row],[Reinforcement]]="","",IF(OR(Reinforcements[[#This Row],[Top End Connection Type]]&lt;&gt;"Welded",Reinforcements[[#This Row],[Top End Connection Type]]="",Reinforcements[[#This Row],[Top Longitudinal (Vertical) Weld]]="",Reinforcements[[#This Row],[Top Longitudinal (Vertical) Weld]]="None"),"-","")))</f>
        <v/>
      </c>
      <c r="BY73" s="206" t="str">
        <f>IF($AZ73="Yes",AY73,IF(Reinforcements[[#This Row],[Reinforcement]]="","",IF(OR(Reinforcements[[#This Row],[Top End Connection Type]]&lt;&gt;"Welded",Reinforcements[[#This Row],[Top Longitudinal (Vertical) Weld]]="none"),"-",SQRT(2)/2*Reinforcements[[#This Row],[Top Longitudinal Weld Fillet Size (in)]])))</f>
        <v/>
      </c>
      <c r="BZ73"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3"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3"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3"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3"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3" s="201" t="str">
        <f>IFERROR(IF(Reinforcements[[#This Row],[Type]]="","",Reinforcements[[#This Row],[Effective B (in)]]*Reinforcements[[#This Row],[Effective H (in)]]^3/12),"")</f>
        <v/>
      </c>
      <c r="CF73" s="201" t="str">
        <f>IFERROR(IF(Reinforcements[[#This Row],[Type]]="","",Reinforcements[[#This Row],[Effective B (in)]]^3*Reinforcements[[#This Row],[Effective H (in)]]/12),"")</f>
        <v/>
      </c>
      <c r="CG73" s="224" t="e">
        <f>SQRT(2*PI()^2*29000/VLOOKUP(Reinforcements[[#This Row],[Material]],Materials[],2,FALSE))</f>
        <v>#N/A</v>
      </c>
      <c r="CH73"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3"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3" s="215" t="e">
        <f>Reinforcements[[#This Row],[Effective Length Factor Kx]]*Reinforcements[[#This Row],[Lu (in)]]/(Reinforcements[[#This Row],[rx]]*PI())*SQRT(VLOOKUP(Reinforcements[[#This Row],[Material]],Materials[],2,FALSE)/29000)</f>
        <v>#VALUE!</v>
      </c>
      <c r="CK73" s="215" t="e">
        <f>Reinforcements[[#This Row],[Effective Length Factor Ky]]*Reinforcements[[#This Row],[Lu (in)]]/(Reinforcements[[#This Row],[ry]]*PI())*SQRT(VLOOKUP(Reinforcements[[#This Row],[Material]],Materials[],2,FALSE)/29000)</f>
        <v>#VALUE!</v>
      </c>
      <c r="CL73" s="215" t="e">
        <f>IF(Reinforcements[[#This Row],[λcx]]&lt;=1.5,0.658^(Reinforcements[[#This Row],[λcx]]^2)*Reinforcements[[#This Row],[F''y]],0.877/(Reinforcements[[#This Row],[λcx]]^2)*Reinforcements[[#This Row],[F''y]])</f>
        <v>#VALUE!</v>
      </c>
      <c r="CM73" s="215" t="e">
        <f>IF(Reinforcements[[#This Row],[λcy]]&lt;=1.5,0.658^(Reinforcements[[#This Row],[λcy]]^2)*Reinforcements[[#This Row],[F''y]],0.877/(Reinforcements[[#This Row],[λcy]]^2)*Reinforcements[[#This Row],[F''y]])</f>
        <v>#VALUE!</v>
      </c>
      <c r="CN73" s="201" t="e">
        <f>VLOOKUP(Reinforcements[[#This Row],[Material]],Materials[],2,FALSE)</f>
        <v>#N/A</v>
      </c>
      <c r="CO73" s="224" t="str">
        <f>IF(Reinforcements[[#This Row],[Reinforcement]]="","",Reinforcements[[#This Row],[Fax]]*Reinforcements[[#This Row],[Gross Area (in2)]])</f>
        <v/>
      </c>
      <c r="CP73" s="224" t="str">
        <f>IF(Reinforcements[[#This Row],[Reinforcement]]="","",Reinforcements[[#This Row],[Fay]]*Reinforcements[[#This Row],[Gross Area (in2)]])</f>
        <v/>
      </c>
      <c r="CQ73" s="224" t="str">
        <f>IF(Reinforcements[[#This Row],[Reinforcement]]="","",0.6*VLOOKUP(Reinforcements[[#This Row],[Material]],Materials[],2,FALSE)*Reinforcements[[#This Row],[Gross Area (in2)]])</f>
        <v/>
      </c>
      <c r="CR73" s="224" t="str">
        <f>IF(Reinforcements[[#This Row],[Reinforcement]]="","",0.5*VLOOKUP(Reinforcements[[#This Row],[Material]],Materials[],3,FALSE)*Reinforcements[[#This Row],[Net Area (in2)]]*Reinforcements[[#This Row],[Shear Lag (U)]])</f>
        <v/>
      </c>
      <c r="CS73" s="224" t="str">
        <f>IF(Reinforcements[[#This Row],[Reinforcement]]="","",0.4*VLOOKUP(Reinforcements[[#This Row],[Material]],Materials[],2,FALSE)*Reinforcements[[#This Row],[Gross Area (in2)]])</f>
        <v/>
      </c>
      <c r="CT73"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3"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3"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3"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3"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3"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3"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3"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3"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3"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3"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3"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3" s="206" t="str">
        <f>IF($AZ73="Yes",DD73,IF(Reinforcements[[#This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3" s="206" t="str">
        <f>IF($AZ73="Yes",DE73,IF(Reinforcements[[#This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3" s="224" t="str">
        <f>IF(Reinforcements[[#This Row],[Reinforcement]]="","",φ_c*Reinforcements[[#This Row],[Fcr,x]]*Reinforcements[[#This Row],[Gross Area (in2)]])</f>
        <v/>
      </c>
      <c r="DI73" s="224" t="str">
        <f>IF(Reinforcements[[#This Row],[Reinforcement]]="","",φ_c*Reinforcements[[#This Row],[Fcr,y]]*Reinforcements[[#This Row],[Gross Area (in2)]])</f>
        <v/>
      </c>
      <c r="DJ73" s="224" t="str">
        <f>IF(Reinforcements[[#This Row],[Reinforcement]]="","",φ_t_y*VLOOKUP(Reinforcements[[#This Row],[Material]],Materials[],2,FALSE)*Reinforcements[[#This Row],[Gross Area (in2)]])</f>
        <v/>
      </c>
      <c r="DK73" s="224" t="str">
        <f>IF(Reinforcements[[#This Row],[Reinforcement]]="","",φ_t_r*VLOOKUP(Reinforcements[[#This Row],[Material]],Materials[],3,FALSE)*Reinforcements[[#This Row],[Net Area (in2)]]*Reinforcements[[#This Row],[Shear Lag (U)]])</f>
        <v/>
      </c>
      <c r="DL73" s="224" t="str">
        <f>IF(Reinforcements[[#This Row],[Reinforcement]]="","",φ_v*0.5*Reinforcements[[#This Row],[F''y]]*Reinforcements[[#This Row],[Gross Area (in2)]])</f>
        <v/>
      </c>
      <c r="DM73"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3"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3"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3"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3"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3"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3"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3"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3"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3"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3"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3"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3" s="206" t="str">
        <f>IF($AZ73="Yes",DW73,IF(Reinforcements[[#This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3" s="206" t="str">
        <f>IF($AZ73="Yes",DX73,IF(Reinforcements[[#This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3" s="507" t="str">
        <f>IF(OR(Reinforcements[[#This Row],[Type]]="plate",Reinforcements[[#This Row],[Type]]="solid round"),"N/A",Reinforcements[[#This Row],[B (in)]])</f>
        <v/>
      </c>
      <c r="EB73" s="508" t="str">
        <f>IF(OR(Reinforcements[[#This Row],[Type]]="plate",Reinforcements[[#This Row],[Type]]="solid round"),"N/A",Reinforcements[[#This Row],[H (in)]])</f>
        <v/>
      </c>
      <c r="EC73" s="508" t="e">
        <f>IF(OR(Reinforcements[[#This Row],[Type]]="plate",Reinforcements[[#This Row],[Type]]="solid round"),"N/A",Reinforcements[[#This Row],[B (in)]]-Reinforcements[[#This Row],['[Channel'] Flange Thickness (in)]])</f>
        <v>#VALUE!</v>
      </c>
      <c r="ED73" s="508" t="str">
        <f>IF(OR(Reinforcements[[#This Row],[Type]]="plate",Reinforcements[[#This Row],[Type]]="solid round"),"N/A",Reinforcements[[#This Row],['[Channel']Web Thickness (in)]])</f>
        <v/>
      </c>
      <c r="EE73" s="508" t="str">
        <f>IF(OR(Reinforcements[[#This Row],[Type]]="plate",Reinforcements[[#This Row],[Type]]="solid round"),"N/A",Reinforcements[[#This Row],['[Channel'] Flange Thickness (in)]])</f>
        <v/>
      </c>
      <c r="EF73" s="508" t="str">
        <f>IF(Reinforcements[[#This Row],[Type]]="channel",Reinforcements[[#This Row],[Channel Flange Width, b]]/Reinforcements[[#This Row],[Channel flange thickness, tf]],"N/A")</f>
        <v>N/A</v>
      </c>
      <c r="EG73" s="508" t="str">
        <f>IF(Reinforcements[[#This Row],[Type]]="channel",Reinforcements[[#This Row],[Channel inside depth, T]]/Reinforcements[[#This Row],[Channel web thickness, tw]],"N/A")</f>
        <v>N/A</v>
      </c>
      <c r="EH73" s="252">
        <v>29000</v>
      </c>
      <c r="EI73" s="252" t="str">
        <f>IF(Reinforcements[[#This Row],[Type]]="channel",0.56*SQRT(Reinforcements[[#This Row],[E, (ksi)]]/Reinforcements[[#This Row],[Fy, (ksi)]]),"N/A")</f>
        <v>N/A</v>
      </c>
      <c r="EJ73" s="252" t="str">
        <f>IF(Reinforcements[[#This Row],[Type]]="channel",1.49*SQRT(Reinforcements[[#This Row],[E, (ksi)]]/Reinforcements[[#This Row],[Fy, (ksi)]]),"N/A")</f>
        <v>N/A</v>
      </c>
      <c r="EK73" s="252" t="e">
        <f>VLOOKUP(Reinforcements[[#This Row],[Material]],Materials!$B$2:$C$30,2,FALSE)</f>
        <v>#N/A</v>
      </c>
      <c r="EL73" s="252" t="e">
        <f>Reinforcements[[#This Row],[Lu (in)]]*Reinforcements[[#This Row],[Effective Length Factor Kx]]</f>
        <v>#VALUE!</v>
      </c>
      <c r="EM73" s="252" t="e">
        <f>Reinforcements[[#This Row],[Lu (in)]]*Reinforcements[[#This Row],[Effective Length Factor Ky]]</f>
        <v>#VALUE!</v>
      </c>
      <c r="EN73" s="252" t="str">
        <f>Reinforcements[[#This Row],[rx]]</f>
        <v/>
      </c>
      <c r="EO73" s="252" t="str">
        <f>Reinforcements[[#This Row],[ry]]</f>
        <v/>
      </c>
      <c r="EP73" s="252" t="e">
        <f>Reinforcements[[#This Row],[Lcx (in)]]/Reinforcements[[#This Row],[rx (in)]]</f>
        <v>#VALUE!</v>
      </c>
      <c r="EQ73" s="252" t="e">
        <f>Reinforcements[[#This Row],[Lcy (in)]]/Reinforcements[[#This Row],[ry (in)]]</f>
        <v>#VALUE!</v>
      </c>
      <c r="ER73" s="252" t="e">
        <f>((PI()^2)*Reinforcements[[#This Row],[E, (ksi)]])/(Reinforcements[[#This Row],[Lcx/rx]]^2)</f>
        <v>#VALUE!</v>
      </c>
      <c r="ES73" s="252" t="e">
        <f>((PI()^2)*Reinforcements[[#This Row],[E, (ksi)]])/(Reinforcements[[#This Row],[Lcy/ry]]^2)</f>
        <v>#VALUE!</v>
      </c>
      <c r="ET73" s="252" t="e">
        <f>4.71*(SQRT(Reinforcements[[#This Row],[E, (ksi)]]/Reinforcements[[#This Row],[Fy, (ksi)]]))</f>
        <v>#N/A</v>
      </c>
      <c r="EU73" s="252" t="e">
        <f>IF(Reinforcements[[#This Row],[Lcx/rx]]&lt;=Reinforcements[[#This Row],[Fcr Limit]],(0.658^(Reinforcements[[#This Row],[Fy, (ksi)]]/Reinforcements[[#This Row],[Fex, FB (ksi)]]))*Reinforcements[[#This Row],[Fy, (ksi)]],0.877*Reinforcements[[#This Row],[Fex, FB (ksi)]])</f>
        <v>#VALUE!</v>
      </c>
      <c r="EV73" s="252" t="e">
        <f>IF(Reinforcements[[#This Row],[Lcy/ry]]&lt;=Reinforcements[[#This Row],[Fcr Limit]],(0.658^(Reinforcements[[#This Row],[Fy, (ksi)]]/Reinforcements[[#This Row],[Fey, FB (ksi)]]))*Reinforcements[[#This Row],[Fy, (ksi)]],0.877*Reinforcements[[#This Row],[Fey, FB (ksi)]])</f>
        <v>#VALUE!</v>
      </c>
      <c r="EW73" s="252" t="e">
        <f>Reinforcements[[#This Row],[Fcrx (ksi)]]*Reinforcements[[#This Row],[Gross Area (in2)]]</f>
        <v>#VALUE!</v>
      </c>
      <c r="EX73" s="252" t="e">
        <f>Reinforcements[[#This Row],[Fcry (ksi)]]*Reinforcements[[#This Row],[Gross Area (in2)]]</f>
        <v>#VALUE!</v>
      </c>
      <c r="EY73" s="252" t="str">
        <f>IF(Reinforcements[[#This Row],[Type]]="channel",0,"N/A")</f>
        <v>N/A</v>
      </c>
      <c r="EZ73" s="252" t="str">
        <f>IF(Reinforcements[[#This Row],[Type]]="channel",Reinforcements[[#This Row],[Channel Flange Width, b]]-(0.5*Reinforcements[[#This Row],[Channel web thickness, tw]]),"N/A")</f>
        <v>N/A</v>
      </c>
      <c r="FA73" s="252" t="str">
        <f>IF(Reinforcements[[#This Row],[Type]]="channel",Reinforcements[[#This Row],[Channel Height, h]]-Reinforcements[[#This Row],[Channel flange thickness, tf]],"N/A")</f>
        <v>N/A</v>
      </c>
      <c r="FB73" s="252" t="str">
        <f>IF(Reinforcements[[#This Row],[Type]]="channel",Reinforcements[[#This Row],[Channel web thickness, tw]],"N/A")</f>
        <v>N/A</v>
      </c>
      <c r="FC73" s="252" t="str">
        <f>IF(Reinforcements[[#This Row],[Type]]="channel",((3*Reinforcements[[#This Row],[b]]^2)/(Reinforcements[[#This Row],[h]]+(6*Reinforcements[[#This Row],[b]])))-Reinforcements[[#This Row],[t]]/2,"N/A")</f>
        <v>N/A</v>
      </c>
      <c r="FD73" s="252" t="str">
        <f>Reinforcements[[#This Row],[Pole Face to Centroid (in)]]</f>
        <v/>
      </c>
      <c r="FE73" s="508" t="str">
        <f>IF(Reinforcements[[#This Row],[Type]]="channel",Reinforcements[[#This Row],[x(bar)]]+Reinforcements[[#This Row],['[Channel'] e0 (in)]],"N/A")</f>
        <v>N/A</v>
      </c>
      <c r="FF73" s="508" t="str">
        <f>IF(Reinforcements[[#This Row],[Type]]="channel",Reinforcements[[#This Row],[Ix]],"N/A")</f>
        <v>N/A</v>
      </c>
      <c r="FG73" s="508" t="str">
        <f>IF(Reinforcements[[#This Row],[Type]]="channel",Reinforcements[[#This Row],[Iy]],"N/A")</f>
        <v>N/A</v>
      </c>
      <c r="FH73" s="508" t="str">
        <f>IF(Reinforcements[[#This Row],[Type]]="channel",Reinforcements[[#This Row],[Gross Area (in2)]],"N/A")</f>
        <v>N/A</v>
      </c>
      <c r="FI73" s="508" t="str">
        <f>IF(Reinforcements[[#This Row],[Type]]="channel",(Reinforcements[[#This Row],[xo]]^2)+((Reinforcements[[#This Row],[Ix (FTB)]]+Reinforcements[[#This Row],[Iy (FTB)]])/Reinforcements[[#This Row],[Ag]]),"N/A")</f>
        <v>N/A</v>
      </c>
      <c r="FJ73" s="508" t="str">
        <f>IF(Reinforcements[[#This Row],[Type]]="channel",Reinforcements[[#This Row],[Lu (in)]],"N/A")</f>
        <v>N/A</v>
      </c>
      <c r="FK73" s="508" t="str">
        <f>IF(Reinforcements[[#This Row],[Type]]="channel",Reinforcements[[#This Row],[Effective Length Factor Kx]],"N/A")</f>
        <v>N/A</v>
      </c>
      <c r="FL73" s="508" t="str">
        <f>IF(Reinforcements[[#This Row],[Type]]="channel",Reinforcements[[#This Row],[Kz]]*Reinforcements[[#This Row],[Lz]],"N/A")</f>
        <v>N/A</v>
      </c>
      <c r="FM73" s="508" t="str">
        <f>IF(Reinforcements[[#This Row],[Type]]="channel",(((Reinforcements[[#This Row],[t]]^3)/3)*(Reinforcements[[#This Row],[h]]+(2*Reinforcements[[#This Row],[b]]))),"N/A")</f>
        <v>N/A</v>
      </c>
      <c r="FN73" s="508" t="str">
        <f>IF(Reinforcements[[#This Row],[Type]]="channel",(1-(((Reinforcements[[#This Row],[xo]]^2)+(Reinforcements[[#This Row],[yo]]^2))/Reinforcements[[#This Row],[ro^2(bar)]])),"N/A")</f>
        <v>N/A</v>
      </c>
      <c r="FO73" s="252">
        <v>11200</v>
      </c>
      <c r="FP73" s="508" t="str">
        <f>IF(Reinforcements[[#This Row],[Type]]="channel",(((Reinforcements[[#This Row],[h]]^2)*(Reinforcements[[#This Row],[b]]^3)*Reinforcements[[#This Row],[t]])/12)*(((2*Reinforcements[[#This Row],[h]])+(3*Reinforcements[[#This Row],[b]]))/(Reinforcements[[#This Row],[h]]+(6*Reinforcements[[#This Row],[b]]))),"N/A")</f>
        <v>N/A</v>
      </c>
      <c r="FQ73" s="508" t="str">
        <f>IF(Reinforcements[[#This Row],[Type]]="Channel",((((PI()^2)*Reinforcements[[#This Row],[E, (ksi)]]*Reinforcements[[#This Row],['[Channel'] CW (in6)]])/(Reinforcements[[#This Row],[Lcz]]^2))+(Reinforcements[[#This Row],[G]]*Reinforcements[[#This Row],['[Channel'] J (in4)]]))*(1/(Reinforcements[[#This Row],[Ag]]*Reinforcements[[#This Row],[ro^2(bar)]])),"N/A")</f>
        <v>N/A</v>
      </c>
      <c r="FR73" s="508" t="str">
        <f>IF(Reinforcements[[#This Row],[Type]]="channel",((PI()^2)*Reinforcements[[#This Row],[E, (ksi)]])/(Reinforcements[[#This Row],[Lcy/ry]]^2),"N/A")</f>
        <v>N/A</v>
      </c>
      <c r="FS73" s="508" t="str">
        <f>IF(Reinforcements[[#This Row],[Type]]="channel",((Reinforcements[[#This Row],[Fey]]+Reinforcements[[#This Row],[Fez]])/(2*Reinforcements[[#This Row],[H2]]))*(1-SQRT(1-((4*Reinforcements[[#This Row],[Fey]]*Reinforcements[[#This Row],[Fez]]*Reinforcements[[#This Row],[H2]])/(Reinforcements[[#This Row],[Fey]]+Reinforcements[[#This Row],[Fez]])^2))),"N/A")</f>
        <v>N/A</v>
      </c>
      <c r="FT73" s="508" t="str">
        <f>IF(Reinforcements[[#This Row],[Type]]="channel",IF(Reinforcements[[#This Row],[Lcx/rx]]&gt;(4.71*SQRT(Reinforcements[[#This Row],[E, (ksi)]]/Reinforcements[[#This Row],[Fy, (ksi)]])),0.877*Reinforcements[[#This Row],[Fe (FTB)]],0.658^(Reinforcements[[#This Row],[Fy, (ksi)]]/Reinforcements[[#This Row],[Fe (FTB)]])*Reinforcements[[#This Row],[Fy, (ksi)]]),"N/A")</f>
        <v>N/A</v>
      </c>
      <c r="FU73" s="508" t="str">
        <f>IF(Reinforcements[[#This Row],[Type]]="channel",MIN(Reinforcements[[#This Row],[Fcr(FTB)]],Reinforcements[[#This Row],[Fcry (ksi)]]),"N/A")</f>
        <v>N/A</v>
      </c>
      <c r="FV73" s="252">
        <v>0.22</v>
      </c>
      <c r="FW73" s="252">
        <v>1.49</v>
      </c>
      <c r="FX73" s="508" t="str">
        <f>IF(Reinforcements[[#This Row],[Type]]="channel",((Reinforcements[[#This Row],[c2]]*(Reinforcements[[#This Row],[λrf]]/Reinforcements[[#This Row],[λf]]))^2)*Reinforcements[[#This Row],[Fy, (ksi)]],"N/A")</f>
        <v>N/A</v>
      </c>
      <c r="FY73" s="508" t="str">
        <f>IF(Reinforcements[[#This Row],[Type]]="channel",((Reinforcements[[#This Row],[c2]]*(Reinforcements[[#This Row],[λrw]]/Reinforcements[[#This Row],[λw]]))^2)*Reinforcements[[#This Row],[Fy, (ksi)]],"N/A")</f>
        <v>N/A</v>
      </c>
      <c r="FZ73"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3"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3"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3" s="508" t="str">
        <f>IF(Reinforcements[[#This Row],[Type]]="channel",Reinforcements[[#This Row],[Fcr]]*Reinforcements[[#This Row],[Ae]],"N/A")</f>
        <v>N/A</v>
      </c>
      <c r="GD73" s="462" t="str">
        <f>IF(Reinforcements[[#This Row],[Reinforcement]]="","",φ_c*Reinforcements[[#This Row],[Pnx, FB (kip)]])</f>
        <v/>
      </c>
      <c r="GE73" s="462" t="str">
        <f>IF(Reinforcements[[#This Row],[Reinforcement]]="","",IF(Reinforcements[[#This Row],[Type]]="channel",φ_c*Reinforcements[[#This Row],[Pn]],φ_c*Reinforcements[[#This Row],[Pny, FB (kip)]]))</f>
        <v/>
      </c>
      <c r="GF73" s="462" t="str">
        <f>Reinforcements[[#This Row],[Rev. G Tension Yield Capacity (kips)]]</f>
        <v/>
      </c>
      <c r="GG73" s="462" t="str">
        <f>Reinforcements[[#This Row],[Rev. G Tension Rupture Capacity (kips)]]</f>
        <v/>
      </c>
      <c r="GH73" s="462" t="str">
        <f>Reinforcements[[#This Row],[Rev. G Shear Capacity (kips)]]</f>
        <v/>
      </c>
      <c r="GI73" s="462" t="str">
        <f>IFERROR((Reinforcements[[#This Row],['# of End Connection Bolts          (Bottom)]]-1)*Reinforcements[[#This Row],[End Connection Bolt Spacing (in) (B)]],"-")</f>
        <v>-</v>
      </c>
      <c r="GJ73" s="462" t="str">
        <f>IFERROR(IF(VLOOKUP(Reinforcements[[#This Row],[Bottom End Connection Bolt Type]],Bolts[],COLUMN(Bolts[[#Headers],[Rev. H Apply Connection Length Reduction Factor (Rb)?]])-1,FALSE)="Yes",(IF(Reinforcements[[#This Row],[Lb(bottom)]]&lt;=16,1,IF(Reinforcements[[#This Row],[Lb(bottom)]]&gt;38,0.75,0.9))),1),"-")</f>
        <v>-</v>
      </c>
      <c r="GK73"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3" s="462" t="str">
        <f>IFERROR(IF(Reinforcements[[#This Row],[Top End Connection Same?]]="Yes",Reinforcements[[#This Row],[Lb(bottom)]],(Reinforcements[[#This Row],['# of End Connection Bolts          (Top)]]-1)*Reinforcements[[#This Row],[End Connection Bolt Spacing (in) (T)]]),"-")</f>
        <v>-</v>
      </c>
      <c r="GM73" s="462" t="str">
        <f>IFERROR(IF(VLOOKUP(Reinforcements[[#This Row],[Top End Connection Bolt Type]],Bolts[],COLUMN(Bolts[[#Headers],[Rev. H Apply Connection Length Reduction Factor (Rb)?]])-1,FALSE)="Yes",(IF(Reinforcements[[#This Row],[Lb(top)]]&lt;=16,1,IF(Reinforcements[[#This Row],[Lb(top)]]&gt;38,0.75,0.9))),1),"-")</f>
        <v>-</v>
      </c>
      <c r="GN73"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3" s="462" t="str">
        <f>Reinforcements[[#This Row],[Rev. G Bolt-Shaft Bearing Capacity (Bottom)                No Deformation          (*t*Fu kips)]]</f>
        <v>-</v>
      </c>
      <c r="GP73" s="462" t="str">
        <f>Reinforcements[[#This Row],[Rev. G Bolt-Shaft Bearing Capacity (Bottom)                   Deformation          (*t*Fu kips)]]</f>
        <v>-</v>
      </c>
      <c r="GQ73" s="462" t="str">
        <f>Reinforcements[[#This Row],[Rev. G Bolt-Shaft Bearing Capacity (Top)                    No Deformation          (*t*Fu kips)]]</f>
        <v>-</v>
      </c>
      <c r="GR73" s="462" t="str">
        <f>Reinforcements[[#This Row],[Rev. G Bolt-Shaft Bearing Capacity (Top)                        Deformation          (*t*Fu kips)]]</f>
        <v>-</v>
      </c>
      <c r="GS73" s="462" t="str">
        <f>Reinforcements[[#This Row],[Rev. G Bolt-Reinf. Bearing Capacity (Bottom)            No Deformation (kips)]]</f>
        <v>-</v>
      </c>
      <c r="GT73" s="462" t="str">
        <f>Reinforcements[[#This Row],[Rev. G Bolt-Reinf. Bearing Capacity (Bottom)               Deformation (kips)]]</f>
        <v>-</v>
      </c>
      <c r="GU73" s="462" t="str">
        <f>Reinforcements[[#This Row],[Rev. G Bolt-Reinf. Bearing Capacity (Top)                  No Deformation (kips)]]</f>
        <v>-</v>
      </c>
      <c r="GV73" s="462" t="str">
        <f>Reinforcements[[#This Row],[Rev. G Bolt-Reinf. Bearing Capacity (Top)               Deformation (kips)]]</f>
        <v>-</v>
      </c>
      <c r="GW73" s="462" t="str">
        <f>Reinforcements[[#This Row],[Rev. G Bottom Transverse Weld Strength]]</f>
        <v/>
      </c>
      <c r="GX73" s="462" t="str">
        <f>Reinforcements[[#This Row],[Rev. G Bottom Longitudinal Weld Strength]]</f>
        <v/>
      </c>
      <c r="GY73" s="462" t="str">
        <f>Reinforcements[[#This Row],[Rev. G Top Transverse Weld Strength]]</f>
        <v/>
      </c>
      <c r="GZ73" s="462" t="str">
        <f>Reinforcements[[#This Row],[Rev. G Top Longitudinal Weld Strength]]</f>
        <v/>
      </c>
      <c r="HA73" s="552">
        <v>71</v>
      </c>
      <c r="HB73"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4" spans="2:210" x14ac:dyDescent="0.2">
      <c r="B74" s="129"/>
      <c r="C74" s="129"/>
      <c r="D74" s="201" t="str">
        <f>IF(Reinforcements[[#This Row],[Type]]="","",IF(Reinforcements[[#This Row],[Type]]="solid round","-",""))</f>
        <v/>
      </c>
      <c r="E74" s="201" t="str">
        <f>IF(Reinforcements[[#This Row],[Type]]="","",IF(Reinforcements[[#This Row],[Type]]="solid round","-",""))</f>
        <v/>
      </c>
      <c r="F74" s="201" t="str">
        <f>IF(Reinforcements[[#This Row],[Type]]="","",IF(Reinforcements[[#This Row],[Type]]="solid round","","n/a"))</f>
        <v/>
      </c>
      <c r="G74" s="201" t="str">
        <f>IF(Reinforcements[[#This Row],[Type]]="","",IF(Reinforcements[[#This Row],[Type]]&lt;&gt;"channel","n/a",""))</f>
        <v/>
      </c>
      <c r="H74" s="201" t="str">
        <f>IF(Reinforcements[[#This Row],[Type]]="","",IF(Reinforcements[[#This Row],[Type]]&lt;&gt;"channel","n/a",""))</f>
        <v/>
      </c>
      <c r="I74" s="224" t="str">
        <f>IF(Reinforcements[[#This Row],[Type]]="","",IF(Reinforcements[[#This Row],[Type]]&lt;&gt;"channel","n/a",Reinforcements[[#This Row],[eo]]))</f>
        <v/>
      </c>
      <c r="J74" s="224" t="str">
        <f>IF(Reinforcements[[#This Row],[Type]]="","",IF(Reinforcements[[#This Row],[Type]]&lt;&gt;"channel","n/a",Reinforcements[[#This Row],[J]]))</f>
        <v/>
      </c>
      <c r="K74" s="224" t="str">
        <f>IF(Reinforcements[[#This Row],[Type]]="","",IF(Reinforcements[[#This Row],[Type]]&lt;&gt;"channel","n/a",Reinforcements[[#This Row],[Cw]]))</f>
        <v/>
      </c>
      <c r="L74" s="201" t="str">
        <f>IFERROR(IF(Reinforcements[[#This Row],[Type]]="","",IF(Reinforcements[[#This Row],[Type]]="plate",Reinforcements[[#This Row],[B (in)]]*Reinforcements[[#This Row],[H (in)]],IF(Reinforcements[[#This Row],[Type]]="solid round",PI()/4*Reinforcements[[#This Row],[Diameter (in)]]^2,""))),"")</f>
        <v/>
      </c>
      <c r="M74" s="201" t="str">
        <f>IFERROR(IF(Reinforcements[[#This Row],[Type]]="","",IF(Reinforcements[[#This Row],[Type]]="plate",Reinforcements[[#This Row],[H (in)]]/2,"")),"")</f>
        <v/>
      </c>
      <c r="N74" s="202"/>
      <c r="O74" s="203"/>
      <c r="P74" s="215" t="str">
        <f>IFERROR(IF(Reinforcements[[#This Row],[Type]]="","",IF(Reinforcements[[#This Row],[Type]]="plate",Reinforcements[[#This Row],[B (in)]]*Reinforcements[[#This Row],[H (in)]]^3/12,IF(Reinforcements[[#This Row],[Type]]="solid round",PI()/64*Reinforcements[[#This Row],[Diameter (in)]]^4,""))),"")</f>
        <v/>
      </c>
      <c r="Q74" s="215" t="str">
        <f>IF(Reinforcements[[#This Row],[Reinforcement]]="","",SQRT(Reinforcements[[#This Row],[Ix]]/Reinforcements[[#This Row],[Gross Area (in2)]]))</f>
        <v/>
      </c>
      <c r="R74" s="215" t="str">
        <f>IFERROR(IF(Reinforcements[[#This Row],[Type]]="","",IF(Reinforcements[[#This Row],[Type]]="plate",Reinforcements[[#This Row],[B (in)]]^3*Reinforcements[[#This Row],[H (in)]]/12,IF(Reinforcements[[#This Row],[Type]]="solid round",PI()/64*Reinforcements[[#This Row],[Diameter (in)]]^4,""))),"")</f>
        <v/>
      </c>
      <c r="S74" s="215" t="str">
        <f>IF(Reinforcements[[#This Row],[Reinforcement]]="","",SQRT(Reinforcements[[#This Row],[Iy]]/Reinforcements[[#This Row],[Gross Area (in2)]]))</f>
        <v/>
      </c>
      <c r="T74" s="206"/>
      <c r="U74" s="204" t="str">
        <f>IF(Reinforcements[[#This Row],[Lu (in)]]="","",IF(Reinforcements[[#This Row],[Lu (in)]]=0,1,""))</f>
        <v/>
      </c>
      <c r="V74" s="204" t="str">
        <f>IF(Reinforcements[[#This Row],[Lu (in)]]="","",IF(Reinforcements[[#This Row],[Lu (in)]]=0,1,""))</f>
        <v/>
      </c>
      <c r="W74" s="201" t="str">
        <f>IF(Reinforcements[[#This Row],[Type]]="","",IF(Reinforcements[[#This Row],[Type]]="solid round",0,IF(Reinforcements[[#This Row],[Type]]="arbitrary","n/a","")))</f>
        <v/>
      </c>
      <c r="X74" s="204" t="str">
        <f>IF(Reinforcements[[#This Row],[Bolt Hole Size (in)]]="","",IF(Reinforcements[[#This Row],[Bolt Hole Size (in)]]="n/a","n/a",Reinforcements[[#This Row],[Bolt Hole Size (in)]]*25.4))</f>
        <v/>
      </c>
      <c r="Y74"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4" s="201" t="str">
        <f>IFERROR(IF(Reinforcements[[#This Row],[Reinforcement]]="","",IF(OR(Reinforcements[[#This Row],[Type]]="plate",Reinforcements[[#This Row],[Type]]="solid round"),1,IF(Reinforcements[[#This Row],[Type]]="arbitrary","",1-Reinforcements[[#This Row],[Pole Face to Centroid (in)]]/Reinforcements[[#This Row],[Connection Length (in) '[Channels']]]))),"")</f>
        <v/>
      </c>
      <c r="AA74" s="205"/>
      <c r="AB74" s="103" t="str">
        <f>IF(Reinforcements[[#This Row],[Reinforcement]]="","",IF(Reinforcements[[#This Row],[Bottom End Connection Type]]&lt;&gt;"Capacity Input","-",""))</f>
        <v/>
      </c>
      <c r="AC74" s="103" t="str">
        <f>IF(Reinforcements[[#This Row],[Reinforcement]]="","",IF(Reinforcements[[#This Row],[Bottom End Connection Type]]&lt;&gt;"Capacity Input","-",""))</f>
        <v/>
      </c>
      <c r="AD74" s="253" t="str">
        <f>IF(Reinforcements[[#This Row],[Reinforcement]]="","",IF(Reinforcements[[#This Row],[Bottom End Connection Type]]&lt;&gt;"Capacity Input","-",""))</f>
        <v/>
      </c>
      <c r="AE74" s="103" t="str">
        <f>IF(Reinforcements[[#This Row],[Reinforcement]]="","",IF(Reinforcements[[#This Row],[Bottom End Connection Type]]&lt;&gt;"Bolted","-",""))</f>
        <v/>
      </c>
      <c r="AF74" s="206" t="str">
        <f>IF(Reinforcements[[#This Row],[Reinforcement]]="","",IF(Reinforcements[[#This Row],[Bottom End Connection Type]]&lt;&gt;"Bolted","-",""))</f>
        <v/>
      </c>
      <c r="AG74" s="206" t="str">
        <f>IF(Reinforcements[[#This Row],[Reinforcement]]="","",IF(Reinforcements[[#This Row],[Bottom End Connection Type]]="","-",IF(Reinforcements[[#This Row],[Bottom End Connection Type]]&lt;&gt;"Bolted","-","")))</f>
        <v/>
      </c>
      <c r="AH74" s="206" t="str">
        <f>IF(Reinforcements[[#This Row],[Reinforcement]]="","",IF(Reinforcements[[#This Row],[Bottom End Connection Type]]="","-",IF(Reinforcements[[#This Row],[Bottom End Connection Type]]&lt;&gt;"Bolted","-","")))</f>
        <v/>
      </c>
      <c r="AI74" s="206" t="str">
        <f>IF(Reinforcements[[#This Row],[Reinforcement]]="","",IF(Reinforcements[[#This Row],[Bottom End Connection Type]]="","-",IF(Reinforcements[[#This Row],[Bottom End Connection Type]]&lt;&gt;"Bolted","-","")))</f>
        <v/>
      </c>
      <c r="AJ74" s="206" t="e">
        <f>Reinforcements[[#This Row],[End Connection Edge Distance (in) (B)]]-(Reinforcements[[#This Row],[Bolt Hole Size (in)]]+1/16)/2</f>
        <v>#VALUE!</v>
      </c>
      <c r="AK74" s="206" t="e">
        <f>Reinforcements[[#This Row],[End Connection Bolt Spacing (in) (B)]]-(Reinforcements[[#This Row],[Bolt Hole Size (in)]]+1/16)</f>
        <v>#VALUE!</v>
      </c>
      <c r="AL74" s="206" t="str">
        <f>Reinforcements[[#This Row],[End Connection Edge Distance (in) (B)]]</f>
        <v/>
      </c>
      <c r="AM74" s="206" t="str">
        <f>Reinforcements[[#This Row],[End Connection Bolt Spacing (in) (B)]]</f>
        <v/>
      </c>
      <c r="AN74" s="206" t="str">
        <f>IF(Reinforcements[[#This Row],[Reinforcement]]="","",IF(OR(Reinforcements[[#This Row],[Bottom End Connection Type]]="Bolted",Reinforcements[[#This Row],[Bottom End Connection Type]]=""),"-",""))</f>
        <v/>
      </c>
      <c r="AO74" s="214" t="str">
        <f>IF(Reinforcements[[#This Row],[Reinforcement]]="","",IF(Reinforcements[[#This Row],[Bottom End Connection Type]]&lt;&gt;"Welded","-",""))</f>
        <v/>
      </c>
      <c r="AP74" s="214" t="str">
        <f>IF(Reinforcements[[#This Row],[Reinforcement]]="","",IF(Reinforcements[[#This Row],[Bottom End Connection Type]]&lt;&gt;"Welded","-",""))</f>
        <v/>
      </c>
      <c r="AQ74" s="214" t="str">
        <f>IF(Reinforcements[[#This Row],[Reinforcement]]="","",IF(OR(Reinforcements[[#This Row],[Bottom End Connection Type]]&lt;&gt;"Welded",Reinforcements[[#This Row],[Bottom Transverse (Horizontal) Weld]]="None"),"-",""))</f>
        <v/>
      </c>
      <c r="AR74"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4"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4" s="214" t="str">
        <f>IF(Reinforcements[[#This Row],[Reinforcement]]="","",IF(OR(Reinforcements[[#This Row],[Bottom Transverse (Horizontal) Weld]]="None",Reinforcements[[#This Row],[Bottom End Connection Type]]&lt;&gt;"Welded"),"-",""))</f>
        <v/>
      </c>
      <c r="AU74"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4" s="214" t="str">
        <f>IF(Reinforcements[[#This Row],[Reinforcement]]="","",IF(OR(Reinforcements[[#This Row],[Bottom End Connection Type]]&lt;&gt;"Welded",Reinforcements[[#This Row],[Bottom End Connection Type]]=""),"-",""))</f>
        <v/>
      </c>
      <c r="AW74" s="214" t="str">
        <f>IF(Reinforcements[[#This Row],[Reinforcement]]="","",IF(OR(Reinforcements[[#This Row],[Bottom End Connection Type]]&lt;&gt;"Welded",Reinforcements[[#This Row],[Bottom Longitudinal (Vertical) Weld]]="None",Reinforcements[[#This Row],[Bottom Longitudinal (Vertical) Weld]]=""),"-",""))</f>
        <v/>
      </c>
      <c r="AX74" s="214" t="str">
        <f>IF(Reinforcements[[#This Row],[Reinforcement]]="","",IF(OR(Reinforcements[[#This Row],[Bottom End Connection Type]]&lt;&gt;"Welded",Reinforcements[[#This Row],[Bottom Longitudinal (Vertical) Weld]]="None",Reinforcements[[#This Row],[Bottom Longitudinal (Vertical) Weld]]=""),"-",""))</f>
        <v/>
      </c>
      <c r="AY74" s="206" t="str">
        <f>IF(Reinforcements[[#This Row],[Reinforcement]]="","",IF(OR(Reinforcements[[#This Row],[Bottom End Connection Type]]&lt;&gt;"Welded",Reinforcements[[#This Row],[Bottom Longitudinal (Vertical) Weld]]="None"),"-",SQRT(2)/2*Reinforcements[[#This Row],[Bottom Longitudinal Weld Fillet Size (in)]]))</f>
        <v/>
      </c>
      <c r="AZ74" s="206"/>
      <c r="BA74" s="103" t="str">
        <f>IF(Reinforcements[[#This Row],[Top End Connection Same?]]="Yes",Reinforcements[[#This Row],[Bottom End Connection Type]],"")</f>
        <v/>
      </c>
      <c r="BB74" s="103" t="str">
        <f>IF(Reinforcements[[#This Row],[Reinforcement]]="","",IF(Reinforcements[[#This Row],[Top End Connection Same?]]="Yes",Reinforcements[[#This Row],[Rev. F Bottom Connection Capacity (kips)]],IF(Reinforcements[[#This Row],[Reinforcement]]="","",IF(Reinforcements[[#This Row],[Top End Connection Type]]&lt;&gt;"Capacity Input","-",""))))</f>
        <v/>
      </c>
      <c r="BC74" s="103" t="str">
        <f>IF(Reinforcements[[#This Row],[Reinforcement]]="","",IF(Reinforcements[[#This Row],[Top End Connection Same?]]="Yes",Reinforcements[[#This Row],[Rev. G Bottom Connection Capacity (kips)]],IF(Reinforcements[[#This Row],[Reinforcement]]="","",IF(Reinforcements[[#This Row],[Top End Connection Type]]&lt;&gt;"Capacity Input","-",""))))</f>
        <v/>
      </c>
      <c r="BD74" s="253" t="str">
        <f>IF(Reinforcements[[#This Row],[Reinforcement]]="","",IF(Reinforcements[[#This Row],[Top End Connection Same?]]="Yes",Reinforcements[[#This Row],[Rev. G Bottom Connection Capacity (kips)]],IF(Reinforcements[[#This Row],[Reinforcement]]="","",IF(Reinforcements[[#This Row],[Top End Connection Type]]&lt;&gt;"Capacity Input","-",""))))</f>
        <v/>
      </c>
      <c r="BE74" s="103" t="str">
        <f>IF(Reinforcements[[#This Row],[Reinforcement]]="","",IF(Reinforcements[[#This Row],[Top End Connection Same?]]="Yes",Reinforcements[[#This Row],[Bottom End Connection Bolt Type]],IF(Reinforcements[[#This Row],[Top End Connection Type]]&lt;&gt;"Bolted","-","")))</f>
        <v/>
      </c>
      <c r="BF74" s="206" t="str">
        <f>IF(Reinforcements[[#This Row],[Reinforcement]]="","",IF(Reinforcements[[#This Row],[Top End Connection Same?]]="Yes",Reinforcements[[#This Row],[Threads Included (N) or Excluded (X) (Bottom)]],IF(Reinforcements[[#This Row],[Top End Connection Type]]&lt;&gt;"Bolted","-","")))</f>
        <v/>
      </c>
      <c r="BG74" s="206" t="str">
        <f>IF(Reinforcements[[#This Row],[Reinforcement]]="","",IF(Reinforcements[[#This Row],[Top End Connection Same?]]="Yes",Reinforcements[[#This Row],['# of End Connection Bolts          (Bottom)]],IF(Reinforcements[[#This Row],[Top End Connection Type]]&lt;&gt;"Bolted","-","")))</f>
        <v/>
      </c>
      <c r="BH74" s="206" t="str">
        <f>IF(Reinforcements[[#This Row],[Reinforcement]]="","",IF(Reinforcements[[#This Row],[Top End Connection Same?]]="Yes",Reinforcements[[#This Row],[End Connection Bolt Spacing (in) (B)]],IF(Reinforcements[[#This Row],[Top End Connection Type]]&lt;&gt;"Bolted","-","")))</f>
        <v/>
      </c>
      <c r="BI74" s="206" t="str">
        <f>IF(Reinforcements[[#This Row],[Reinforcement]]="","",IF(Reinforcements[[#This Row],[Top End Connection Same?]]="Yes",Reinforcements[[#This Row],[End Connection Edge Distance (in) (B)]],IF(Reinforcements[[#This Row],[Top End Connection Type]]&lt;&gt;"Bolted","-","")))</f>
        <v/>
      </c>
      <c r="BJ74" s="206" t="e">
        <f>Reinforcements[[#This Row],[End Connection Edge Distance (in) (T)]]-(Reinforcements[[#This Row],[Bolt Hole Size (in)]]+1/16)/2</f>
        <v>#VALUE!</v>
      </c>
      <c r="BK74" s="206" t="e">
        <f>Reinforcements[[#This Row],[End Connection Bolt Spacing (in) (T)]]-(Reinforcements[[#This Row],[Bolt Hole Size (in)]]+1/16)</f>
        <v>#VALUE!</v>
      </c>
      <c r="BL74" s="206" t="str">
        <f>Reinforcements[[#This Row],[End Connection Edge Distance (in) (T)]]</f>
        <v/>
      </c>
      <c r="BM74" s="206" t="str">
        <f>Reinforcements[[#This Row],[End Connection Bolt Spacing (in) (T)]]</f>
        <v/>
      </c>
      <c r="BN74" s="206" t="str">
        <f>IF(Reinforcements[[#This Row],[Reinforcement]]="","",IF(Reinforcements[[#This Row],[Top End Connection Same?]]="Yes",Reinforcements[[#This Row],[Bottom Connected to Flange/Base Plate?]],IF(Reinforcements[[#This Row],[Top End Connection Type]]="Bolted","-","")))</f>
        <v/>
      </c>
      <c r="BO74" s="206" t="str">
        <f>IF(Reinforcements[[#This Row],[Reinforcement]]="","",IF(Reinforcements[[#This Row],[Top End Connection Same?]]="Yes",Reinforcements[[#This Row],[Bottom Weld Grade (ksi)]],IF(OR(Reinforcements[[#This Row],[Top End Connection Type]]&lt;&gt;"Welded",Reinforcements[[#This Row],[Top End Connection Type]]=""),"-","")))</f>
        <v/>
      </c>
      <c r="BP74" s="206" t="str">
        <f>IF($AZ74="Yes",AP74,IF(Reinforcements[[#This Row],[Reinforcement]]="","",IF(OR(Reinforcements[[#This Row],[Top End Connection Type]]&lt;&gt;"Welded",Reinforcements[[#This Row],[Top End Connection Type]]=""),"-","")))</f>
        <v/>
      </c>
      <c r="BQ74" s="206" t="str">
        <f>IF(Reinforcements[[#This Row],[Reinforcement]]="","",IF($AZ74="Yes",AQ74,IF(OR(Reinforcements[[#This Row],[Top End Connection Type]]&lt;&gt;"Welded",Reinforcements[[#This Row],[Top Transverse (Horizontal) Weld]]="none",Reinforcements[[#This Row],[Top Transverse (Horizontal) Weld]]=""),"-","")))</f>
        <v/>
      </c>
      <c r="BR74" s="206" t="str">
        <f>IF($AZ74="Yes",AR74,IF(Reinforcements[[#This Row],[Reinforcement]]="","",IF(OR(Reinforcements[[#This Row],[Top Transverse (Horizontal) Weld]]="none",Reinforcements[[#This Row],[Top End Connection Type]]&lt;&gt;"Welded",Reinforcements[[#This Row],[Top Transverse (Horizontal) Weld]]="",Reinforcements[[#This Row],[Top Transverse (Horizontal) Weld]]="Fillet"),"-","")))</f>
        <v/>
      </c>
      <c r="BS74" s="206" t="str">
        <f>IF($AZ74="Yes",AS74,IF(Reinforcements[[#This Row],[Reinforcement]]="","",IF(OR(Reinforcements[[#This Row],[Top Transverse (Horizontal) Weld]]="none",Reinforcements[[#This Row],[Top End Connection Type]]&lt;&gt;"Welded",Reinforcements[[#This Row],[Top Transverse (Horizontal) Weld]]="",Reinforcements[[#This Row],[Top Transverse (Horizontal) Weld]]="Fillet"),"-","")))</f>
        <v/>
      </c>
      <c r="BT74" s="206" t="str">
        <f>IF(Reinforcements[[#This Row],[Reinforcement]]="","",IF($AZ74="Yes",AT74,IF(OR(Reinforcements[[#This Row],[Top Transverse (Horizontal) Weld]]="none",Reinforcements[[#This Row],[Top End Connection Type]]&lt;&gt;"Welded",Reinforcements[[#This Row],[Top Transverse (Horizontal) Weld]]=""),"-","")))</f>
        <v/>
      </c>
      <c r="BU74" s="206" t="str">
        <f>IF($AZ74="Yes",AU74,IF(Reinforcements[[#This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4" s="206" t="str">
        <f>IF($AZ74="Yes",AV74,IF(Reinforcements[[#This Row],[Reinforcement]]="","",IF(OR(Reinforcements[[#This Row],[Top End Connection Type]]&lt;&gt;"Welded",Reinforcements[[#This Row],[Top End Connection Type]]=""),"-","")))</f>
        <v/>
      </c>
      <c r="BW74" s="206" t="str">
        <f>IF($AZ74="Yes",AW74,IF(Reinforcements[[#This Row],[Reinforcement]]="","",IF(OR(Reinforcements[[#This Row],[Top End Connection Type]]&lt;&gt;"Welded",Reinforcements[[#This Row],[Top End Connection Type]]="",Reinforcements[[#This Row],[Top Longitudinal (Vertical) Weld]]="",Reinforcements[[#This Row],[Top Longitudinal (Vertical) Weld]]="None"),"-","")))</f>
        <v/>
      </c>
      <c r="BX74" s="206" t="str">
        <f>IF($AZ74="Yes",AX74,IF(Reinforcements[[#This Row],[Reinforcement]]="","",IF(OR(Reinforcements[[#This Row],[Top End Connection Type]]&lt;&gt;"Welded",Reinforcements[[#This Row],[Top End Connection Type]]="",Reinforcements[[#This Row],[Top Longitudinal (Vertical) Weld]]="",Reinforcements[[#This Row],[Top Longitudinal (Vertical) Weld]]="None"),"-","")))</f>
        <v/>
      </c>
      <c r="BY74" s="206" t="str">
        <f>IF($AZ74="Yes",AY74,IF(Reinforcements[[#This Row],[Reinforcement]]="","",IF(OR(Reinforcements[[#This Row],[Top End Connection Type]]&lt;&gt;"Welded",Reinforcements[[#This Row],[Top Longitudinal (Vertical) Weld]]="none"),"-",SQRT(2)/2*Reinforcements[[#This Row],[Top Longitudinal Weld Fillet Size (in)]])))</f>
        <v/>
      </c>
      <c r="BZ74"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4"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4"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4"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4"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4" s="201" t="str">
        <f>IFERROR(IF(Reinforcements[[#This Row],[Type]]="","",Reinforcements[[#This Row],[Effective B (in)]]*Reinforcements[[#This Row],[Effective H (in)]]^3/12),"")</f>
        <v/>
      </c>
      <c r="CF74" s="201" t="str">
        <f>IFERROR(IF(Reinforcements[[#This Row],[Type]]="","",Reinforcements[[#This Row],[Effective B (in)]]^3*Reinforcements[[#This Row],[Effective H (in)]]/12),"")</f>
        <v/>
      </c>
      <c r="CG74" s="224" t="e">
        <f>SQRT(2*PI()^2*29000/VLOOKUP(Reinforcements[[#This Row],[Material]],Materials[],2,FALSE))</f>
        <v>#N/A</v>
      </c>
      <c r="CH74"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4"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4" s="215" t="e">
        <f>Reinforcements[[#This Row],[Effective Length Factor Kx]]*Reinforcements[[#This Row],[Lu (in)]]/(Reinforcements[[#This Row],[rx]]*PI())*SQRT(VLOOKUP(Reinforcements[[#This Row],[Material]],Materials[],2,FALSE)/29000)</f>
        <v>#VALUE!</v>
      </c>
      <c r="CK74" s="215" t="e">
        <f>Reinforcements[[#This Row],[Effective Length Factor Ky]]*Reinforcements[[#This Row],[Lu (in)]]/(Reinforcements[[#This Row],[ry]]*PI())*SQRT(VLOOKUP(Reinforcements[[#This Row],[Material]],Materials[],2,FALSE)/29000)</f>
        <v>#VALUE!</v>
      </c>
      <c r="CL74" s="215" t="e">
        <f>IF(Reinforcements[[#This Row],[λcx]]&lt;=1.5,0.658^(Reinforcements[[#This Row],[λcx]]^2)*Reinforcements[[#This Row],[F''y]],0.877/(Reinforcements[[#This Row],[λcx]]^2)*Reinforcements[[#This Row],[F''y]])</f>
        <v>#VALUE!</v>
      </c>
      <c r="CM74" s="215" t="e">
        <f>IF(Reinforcements[[#This Row],[λcy]]&lt;=1.5,0.658^(Reinforcements[[#This Row],[λcy]]^2)*Reinforcements[[#This Row],[F''y]],0.877/(Reinforcements[[#This Row],[λcy]]^2)*Reinforcements[[#This Row],[F''y]])</f>
        <v>#VALUE!</v>
      </c>
      <c r="CN74" s="201" t="e">
        <f>VLOOKUP(Reinforcements[[#This Row],[Material]],Materials[],2,FALSE)</f>
        <v>#N/A</v>
      </c>
      <c r="CO74" s="224" t="str">
        <f>IF(Reinforcements[[#This Row],[Reinforcement]]="","",Reinforcements[[#This Row],[Fax]]*Reinforcements[[#This Row],[Gross Area (in2)]])</f>
        <v/>
      </c>
      <c r="CP74" s="224" t="str">
        <f>IF(Reinforcements[[#This Row],[Reinforcement]]="","",Reinforcements[[#This Row],[Fay]]*Reinforcements[[#This Row],[Gross Area (in2)]])</f>
        <v/>
      </c>
      <c r="CQ74" s="224" t="str">
        <f>IF(Reinforcements[[#This Row],[Reinforcement]]="","",0.6*VLOOKUP(Reinforcements[[#This Row],[Material]],Materials[],2,FALSE)*Reinforcements[[#This Row],[Gross Area (in2)]])</f>
        <v/>
      </c>
      <c r="CR74" s="224" t="str">
        <f>IF(Reinforcements[[#This Row],[Reinforcement]]="","",0.5*VLOOKUP(Reinforcements[[#This Row],[Material]],Materials[],3,FALSE)*Reinforcements[[#This Row],[Net Area (in2)]]*Reinforcements[[#This Row],[Shear Lag (U)]])</f>
        <v/>
      </c>
      <c r="CS74" s="224" t="str">
        <f>IF(Reinforcements[[#This Row],[Reinforcement]]="","",0.4*VLOOKUP(Reinforcements[[#This Row],[Material]],Materials[],2,FALSE)*Reinforcements[[#This Row],[Gross Area (in2)]])</f>
        <v/>
      </c>
      <c r="CT74"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4"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4"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4"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4"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4"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4"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4"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4"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4"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4"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4"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4" s="206" t="str">
        <f>IF($AZ74="Yes",DD74,IF(Reinforcements[[#This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4" s="206" t="str">
        <f>IF($AZ74="Yes",DE74,IF(Reinforcements[[#This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4" s="224" t="str">
        <f>IF(Reinforcements[[#This Row],[Reinforcement]]="","",φ_c*Reinforcements[[#This Row],[Fcr,x]]*Reinforcements[[#This Row],[Gross Area (in2)]])</f>
        <v/>
      </c>
      <c r="DI74" s="224" t="str">
        <f>IF(Reinforcements[[#This Row],[Reinforcement]]="","",φ_c*Reinforcements[[#This Row],[Fcr,y]]*Reinforcements[[#This Row],[Gross Area (in2)]])</f>
        <v/>
      </c>
      <c r="DJ74" s="224" t="str">
        <f>IF(Reinforcements[[#This Row],[Reinforcement]]="","",φ_t_y*VLOOKUP(Reinforcements[[#This Row],[Material]],Materials[],2,FALSE)*Reinforcements[[#This Row],[Gross Area (in2)]])</f>
        <v/>
      </c>
      <c r="DK74" s="224" t="str">
        <f>IF(Reinforcements[[#This Row],[Reinforcement]]="","",φ_t_r*VLOOKUP(Reinforcements[[#This Row],[Material]],Materials[],3,FALSE)*Reinforcements[[#This Row],[Net Area (in2)]]*Reinforcements[[#This Row],[Shear Lag (U)]])</f>
        <v/>
      </c>
      <c r="DL74" s="224" t="str">
        <f>IF(Reinforcements[[#This Row],[Reinforcement]]="","",φ_v*0.5*Reinforcements[[#This Row],[F''y]]*Reinforcements[[#This Row],[Gross Area (in2)]])</f>
        <v/>
      </c>
      <c r="DM74"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4"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4"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4"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4"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4"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4"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4"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4"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4"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4"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4"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4" s="206" t="str">
        <f>IF($AZ74="Yes",DW74,IF(Reinforcements[[#This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4" s="206" t="str">
        <f>IF($AZ74="Yes",DX74,IF(Reinforcements[[#This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4" s="507" t="str">
        <f>IF(OR(Reinforcements[[#This Row],[Type]]="plate",Reinforcements[[#This Row],[Type]]="solid round"),"N/A",Reinforcements[[#This Row],[B (in)]])</f>
        <v/>
      </c>
      <c r="EB74" s="508" t="str">
        <f>IF(OR(Reinforcements[[#This Row],[Type]]="plate",Reinforcements[[#This Row],[Type]]="solid round"),"N/A",Reinforcements[[#This Row],[H (in)]])</f>
        <v/>
      </c>
      <c r="EC74" s="508" t="e">
        <f>IF(OR(Reinforcements[[#This Row],[Type]]="plate",Reinforcements[[#This Row],[Type]]="solid round"),"N/A",Reinforcements[[#This Row],[B (in)]]-Reinforcements[[#This Row],['[Channel'] Flange Thickness (in)]])</f>
        <v>#VALUE!</v>
      </c>
      <c r="ED74" s="508" t="str">
        <f>IF(OR(Reinforcements[[#This Row],[Type]]="plate",Reinforcements[[#This Row],[Type]]="solid round"),"N/A",Reinforcements[[#This Row],['[Channel']Web Thickness (in)]])</f>
        <v/>
      </c>
      <c r="EE74" s="508" t="str">
        <f>IF(OR(Reinforcements[[#This Row],[Type]]="plate",Reinforcements[[#This Row],[Type]]="solid round"),"N/A",Reinforcements[[#This Row],['[Channel'] Flange Thickness (in)]])</f>
        <v/>
      </c>
      <c r="EF74" s="508" t="str">
        <f>IF(Reinforcements[[#This Row],[Type]]="channel",Reinforcements[[#This Row],[Channel Flange Width, b]]/Reinforcements[[#This Row],[Channel flange thickness, tf]],"N/A")</f>
        <v>N/A</v>
      </c>
      <c r="EG74" s="508" t="str">
        <f>IF(Reinforcements[[#This Row],[Type]]="channel",Reinforcements[[#This Row],[Channel inside depth, T]]/Reinforcements[[#This Row],[Channel web thickness, tw]],"N/A")</f>
        <v>N/A</v>
      </c>
      <c r="EH74" s="252">
        <v>29000</v>
      </c>
      <c r="EI74" s="252" t="str">
        <f>IF(Reinforcements[[#This Row],[Type]]="channel",0.56*SQRT(Reinforcements[[#This Row],[E, (ksi)]]/Reinforcements[[#This Row],[Fy, (ksi)]]),"N/A")</f>
        <v>N/A</v>
      </c>
      <c r="EJ74" s="252" t="str">
        <f>IF(Reinforcements[[#This Row],[Type]]="channel",1.49*SQRT(Reinforcements[[#This Row],[E, (ksi)]]/Reinforcements[[#This Row],[Fy, (ksi)]]),"N/A")</f>
        <v>N/A</v>
      </c>
      <c r="EK74" s="252" t="e">
        <f>VLOOKUP(Reinforcements[[#This Row],[Material]],Materials!$B$2:$C$30,2,FALSE)</f>
        <v>#N/A</v>
      </c>
      <c r="EL74" s="252" t="e">
        <f>Reinforcements[[#This Row],[Lu (in)]]*Reinforcements[[#This Row],[Effective Length Factor Kx]]</f>
        <v>#VALUE!</v>
      </c>
      <c r="EM74" s="252" t="e">
        <f>Reinforcements[[#This Row],[Lu (in)]]*Reinforcements[[#This Row],[Effective Length Factor Ky]]</f>
        <v>#VALUE!</v>
      </c>
      <c r="EN74" s="252" t="str">
        <f>Reinforcements[[#This Row],[rx]]</f>
        <v/>
      </c>
      <c r="EO74" s="252" t="str">
        <f>Reinforcements[[#This Row],[ry]]</f>
        <v/>
      </c>
      <c r="EP74" s="252" t="e">
        <f>Reinforcements[[#This Row],[Lcx (in)]]/Reinforcements[[#This Row],[rx (in)]]</f>
        <v>#VALUE!</v>
      </c>
      <c r="EQ74" s="252" t="e">
        <f>Reinforcements[[#This Row],[Lcy (in)]]/Reinforcements[[#This Row],[ry (in)]]</f>
        <v>#VALUE!</v>
      </c>
      <c r="ER74" s="252" t="e">
        <f>((PI()^2)*Reinforcements[[#This Row],[E, (ksi)]])/(Reinforcements[[#This Row],[Lcx/rx]]^2)</f>
        <v>#VALUE!</v>
      </c>
      <c r="ES74" s="252" t="e">
        <f>((PI()^2)*Reinforcements[[#This Row],[E, (ksi)]])/(Reinforcements[[#This Row],[Lcy/ry]]^2)</f>
        <v>#VALUE!</v>
      </c>
      <c r="ET74" s="252" t="e">
        <f>4.71*(SQRT(Reinforcements[[#This Row],[E, (ksi)]]/Reinforcements[[#This Row],[Fy, (ksi)]]))</f>
        <v>#N/A</v>
      </c>
      <c r="EU74" s="252" t="e">
        <f>IF(Reinforcements[[#This Row],[Lcx/rx]]&lt;=Reinforcements[[#This Row],[Fcr Limit]],(0.658^(Reinforcements[[#This Row],[Fy, (ksi)]]/Reinforcements[[#This Row],[Fex, FB (ksi)]]))*Reinforcements[[#This Row],[Fy, (ksi)]],0.877*Reinforcements[[#This Row],[Fex, FB (ksi)]])</f>
        <v>#VALUE!</v>
      </c>
      <c r="EV74" s="252" t="e">
        <f>IF(Reinforcements[[#This Row],[Lcy/ry]]&lt;=Reinforcements[[#This Row],[Fcr Limit]],(0.658^(Reinforcements[[#This Row],[Fy, (ksi)]]/Reinforcements[[#This Row],[Fey, FB (ksi)]]))*Reinforcements[[#This Row],[Fy, (ksi)]],0.877*Reinforcements[[#This Row],[Fey, FB (ksi)]])</f>
        <v>#VALUE!</v>
      </c>
      <c r="EW74" s="252" t="e">
        <f>Reinforcements[[#This Row],[Fcrx (ksi)]]*Reinforcements[[#This Row],[Gross Area (in2)]]</f>
        <v>#VALUE!</v>
      </c>
      <c r="EX74" s="252" t="e">
        <f>Reinforcements[[#This Row],[Fcry (ksi)]]*Reinforcements[[#This Row],[Gross Area (in2)]]</f>
        <v>#VALUE!</v>
      </c>
      <c r="EY74" s="252" t="str">
        <f>IF(Reinforcements[[#This Row],[Type]]="channel",0,"N/A")</f>
        <v>N/A</v>
      </c>
      <c r="EZ74" s="252" t="str">
        <f>IF(Reinforcements[[#This Row],[Type]]="channel",Reinforcements[[#This Row],[Channel Flange Width, b]]-(0.5*Reinforcements[[#This Row],[Channel web thickness, tw]]),"N/A")</f>
        <v>N/A</v>
      </c>
      <c r="FA74" s="252" t="str">
        <f>IF(Reinforcements[[#This Row],[Type]]="channel",Reinforcements[[#This Row],[Channel Height, h]]-Reinforcements[[#This Row],[Channel flange thickness, tf]],"N/A")</f>
        <v>N/A</v>
      </c>
      <c r="FB74" s="252" t="str">
        <f>IF(Reinforcements[[#This Row],[Type]]="channel",Reinforcements[[#This Row],[Channel web thickness, tw]],"N/A")</f>
        <v>N/A</v>
      </c>
      <c r="FC74" s="252" t="str">
        <f>IF(Reinforcements[[#This Row],[Type]]="channel",((3*Reinforcements[[#This Row],[b]]^2)/(Reinforcements[[#This Row],[h]]+(6*Reinforcements[[#This Row],[b]])))-Reinforcements[[#This Row],[t]]/2,"N/A")</f>
        <v>N/A</v>
      </c>
      <c r="FD74" s="252" t="str">
        <f>Reinforcements[[#This Row],[Pole Face to Centroid (in)]]</f>
        <v/>
      </c>
      <c r="FE74" s="508" t="str">
        <f>IF(Reinforcements[[#This Row],[Type]]="channel",Reinforcements[[#This Row],[x(bar)]]+Reinforcements[[#This Row],['[Channel'] e0 (in)]],"N/A")</f>
        <v>N/A</v>
      </c>
      <c r="FF74" s="508" t="str">
        <f>IF(Reinforcements[[#This Row],[Type]]="channel",Reinforcements[[#This Row],[Ix]],"N/A")</f>
        <v>N/A</v>
      </c>
      <c r="FG74" s="508" t="str">
        <f>IF(Reinforcements[[#This Row],[Type]]="channel",Reinforcements[[#This Row],[Iy]],"N/A")</f>
        <v>N/A</v>
      </c>
      <c r="FH74" s="508" t="str">
        <f>IF(Reinforcements[[#This Row],[Type]]="channel",Reinforcements[[#This Row],[Gross Area (in2)]],"N/A")</f>
        <v>N/A</v>
      </c>
      <c r="FI74" s="508" t="str">
        <f>IF(Reinforcements[[#This Row],[Type]]="channel",(Reinforcements[[#This Row],[xo]]^2)+((Reinforcements[[#This Row],[Ix (FTB)]]+Reinforcements[[#This Row],[Iy (FTB)]])/Reinforcements[[#This Row],[Ag]]),"N/A")</f>
        <v>N/A</v>
      </c>
      <c r="FJ74" s="508" t="str">
        <f>IF(Reinforcements[[#This Row],[Type]]="channel",Reinforcements[[#This Row],[Lu (in)]],"N/A")</f>
        <v>N/A</v>
      </c>
      <c r="FK74" s="508" t="str">
        <f>IF(Reinforcements[[#This Row],[Type]]="channel",Reinforcements[[#This Row],[Effective Length Factor Kx]],"N/A")</f>
        <v>N/A</v>
      </c>
      <c r="FL74" s="508" t="str">
        <f>IF(Reinforcements[[#This Row],[Type]]="channel",Reinforcements[[#This Row],[Kz]]*Reinforcements[[#This Row],[Lz]],"N/A")</f>
        <v>N/A</v>
      </c>
      <c r="FM74" s="508" t="str">
        <f>IF(Reinforcements[[#This Row],[Type]]="channel",(((Reinforcements[[#This Row],[t]]^3)/3)*(Reinforcements[[#This Row],[h]]+(2*Reinforcements[[#This Row],[b]]))),"N/A")</f>
        <v>N/A</v>
      </c>
      <c r="FN74" s="508" t="str">
        <f>IF(Reinforcements[[#This Row],[Type]]="channel",(1-(((Reinforcements[[#This Row],[xo]]^2)+(Reinforcements[[#This Row],[yo]]^2))/Reinforcements[[#This Row],[ro^2(bar)]])),"N/A")</f>
        <v>N/A</v>
      </c>
      <c r="FO74" s="252">
        <v>11200</v>
      </c>
      <c r="FP74" s="508" t="str">
        <f>IF(Reinforcements[[#This Row],[Type]]="channel",(((Reinforcements[[#This Row],[h]]^2)*(Reinforcements[[#This Row],[b]]^3)*Reinforcements[[#This Row],[t]])/12)*(((2*Reinforcements[[#This Row],[h]])+(3*Reinforcements[[#This Row],[b]]))/(Reinforcements[[#This Row],[h]]+(6*Reinforcements[[#This Row],[b]]))),"N/A")</f>
        <v>N/A</v>
      </c>
      <c r="FQ74" s="508" t="str">
        <f>IF(Reinforcements[[#This Row],[Type]]="Channel",((((PI()^2)*Reinforcements[[#This Row],[E, (ksi)]]*Reinforcements[[#This Row],['[Channel'] CW (in6)]])/(Reinforcements[[#This Row],[Lcz]]^2))+(Reinforcements[[#This Row],[G]]*Reinforcements[[#This Row],['[Channel'] J (in4)]]))*(1/(Reinforcements[[#This Row],[Ag]]*Reinforcements[[#This Row],[ro^2(bar)]])),"N/A")</f>
        <v>N/A</v>
      </c>
      <c r="FR74" s="508" t="str">
        <f>IF(Reinforcements[[#This Row],[Type]]="channel",((PI()^2)*Reinforcements[[#This Row],[E, (ksi)]])/(Reinforcements[[#This Row],[Lcy/ry]]^2),"N/A")</f>
        <v>N/A</v>
      </c>
      <c r="FS74" s="508" t="str">
        <f>IF(Reinforcements[[#This Row],[Type]]="channel",((Reinforcements[[#This Row],[Fey]]+Reinforcements[[#This Row],[Fez]])/(2*Reinforcements[[#This Row],[H2]]))*(1-SQRT(1-((4*Reinforcements[[#This Row],[Fey]]*Reinforcements[[#This Row],[Fez]]*Reinforcements[[#This Row],[H2]])/(Reinforcements[[#This Row],[Fey]]+Reinforcements[[#This Row],[Fez]])^2))),"N/A")</f>
        <v>N/A</v>
      </c>
      <c r="FT74" s="508" t="str">
        <f>IF(Reinforcements[[#This Row],[Type]]="channel",IF(Reinforcements[[#This Row],[Lcx/rx]]&gt;(4.71*SQRT(Reinforcements[[#This Row],[E, (ksi)]]/Reinforcements[[#This Row],[Fy, (ksi)]])),0.877*Reinforcements[[#This Row],[Fe (FTB)]],0.658^(Reinforcements[[#This Row],[Fy, (ksi)]]/Reinforcements[[#This Row],[Fe (FTB)]])*Reinforcements[[#This Row],[Fy, (ksi)]]),"N/A")</f>
        <v>N/A</v>
      </c>
      <c r="FU74" s="508" t="str">
        <f>IF(Reinforcements[[#This Row],[Type]]="channel",MIN(Reinforcements[[#This Row],[Fcr(FTB)]],Reinforcements[[#This Row],[Fcry (ksi)]]),"N/A")</f>
        <v>N/A</v>
      </c>
      <c r="FV74" s="252">
        <v>0.22</v>
      </c>
      <c r="FW74" s="252">
        <v>1.49</v>
      </c>
      <c r="FX74" s="508" t="str">
        <f>IF(Reinforcements[[#This Row],[Type]]="channel",((Reinforcements[[#This Row],[c2]]*(Reinforcements[[#This Row],[λrf]]/Reinforcements[[#This Row],[λf]]))^2)*Reinforcements[[#This Row],[Fy, (ksi)]],"N/A")</f>
        <v>N/A</v>
      </c>
      <c r="FY74" s="508" t="str">
        <f>IF(Reinforcements[[#This Row],[Type]]="channel",((Reinforcements[[#This Row],[c2]]*(Reinforcements[[#This Row],[λrw]]/Reinforcements[[#This Row],[λw]]))^2)*Reinforcements[[#This Row],[Fy, (ksi)]],"N/A")</f>
        <v>N/A</v>
      </c>
      <c r="FZ74"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4"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4"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4" s="508" t="str">
        <f>IF(Reinforcements[[#This Row],[Type]]="channel",Reinforcements[[#This Row],[Fcr]]*Reinforcements[[#This Row],[Ae]],"N/A")</f>
        <v>N/A</v>
      </c>
      <c r="GD74" s="462" t="str">
        <f>IF(Reinforcements[[#This Row],[Reinforcement]]="","",φ_c*Reinforcements[[#This Row],[Pnx, FB (kip)]])</f>
        <v/>
      </c>
      <c r="GE74" s="462" t="str">
        <f>IF(Reinforcements[[#This Row],[Reinforcement]]="","",IF(Reinforcements[[#This Row],[Type]]="channel",φ_c*Reinforcements[[#This Row],[Pn]],φ_c*Reinforcements[[#This Row],[Pny, FB (kip)]]))</f>
        <v/>
      </c>
      <c r="GF74" s="462" t="str">
        <f>Reinforcements[[#This Row],[Rev. G Tension Yield Capacity (kips)]]</f>
        <v/>
      </c>
      <c r="GG74" s="462" t="str">
        <f>Reinforcements[[#This Row],[Rev. G Tension Rupture Capacity (kips)]]</f>
        <v/>
      </c>
      <c r="GH74" s="462" t="str">
        <f>Reinforcements[[#This Row],[Rev. G Shear Capacity (kips)]]</f>
        <v/>
      </c>
      <c r="GI74" s="462" t="str">
        <f>IFERROR((Reinforcements[[#This Row],['# of End Connection Bolts          (Bottom)]]-1)*Reinforcements[[#This Row],[End Connection Bolt Spacing (in) (B)]],"-")</f>
        <v>-</v>
      </c>
      <c r="GJ74" s="462" t="str">
        <f>IFERROR(IF(VLOOKUP(Reinforcements[[#This Row],[Bottom End Connection Bolt Type]],Bolts[],COLUMN(Bolts[[#Headers],[Rev. H Apply Connection Length Reduction Factor (Rb)?]])-1,FALSE)="Yes",(IF(Reinforcements[[#This Row],[Lb(bottom)]]&lt;=16,1,IF(Reinforcements[[#This Row],[Lb(bottom)]]&gt;38,0.75,0.9))),1),"-")</f>
        <v>-</v>
      </c>
      <c r="GK74"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4" s="462" t="str">
        <f>IFERROR(IF(Reinforcements[[#This Row],[Top End Connection Same?]]="Yes",Reinforcements[[#This Row],[Lb(bottom)]],(Reinforcements[[#This Row],['# of End Connection Bolts          (Top)]]-1)*Reinforcements[[#This Row],[End Connection Bolt Spacing (in) (T)]]),"-")</f>
        <v>-</v>
      </c>
      <c r="GM74" s="462" t="str">
        <f>IFERROR(IF(VLOOKUP(Reinforcements[[#This Row],[Top End Connection Bolt Type]],Bolts[],COLUMN(Bolts[[#Headers],[Rev. H Apply Connection Length Reduction Factor (Rb)?]])-1,FALSE)="Yes",(IF(Reinforcements[[#This Row],[Lb(top)]]&lt;=16,1,IF(Reinforcements[[#This Row],[Lb(top)]]&gt;38,0.75,0.9))),1),"-")</f>
        <v>-</v>
      </c>
      <c r="GN74"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4" s="462" t="str">
        <f>Reinforcements[[#This Row],[Rev. G Bolt-Shaft Bearing Capacity (Bottom)                No Deformation          (*t*Fu kips)]]</f>
        <v>-</v>
      </c>
      <c r="GP74" s="462" t="str">
        <f>Reinforcements[[#This Row],[Rev. G Bolt-Shaft Bearing Capacity (Bottom)                   Deformation          (*t*Fu kips)]]</f>
        <v>-</v>
      </c>
      <c r="GQ74" s="462" t="str">
        <f>Reinforcements[[#This Row],[Rev. G Bolt-Shaft Bearing Capacity (Top)                    No Deformation          (*t*Fu kips)]]</f>
        <v>-</v>
      </c>
      <c r="GR74" s="462" t="str">
        <f>Reinforcements[[#This Row],[Rev. G Bolt-Shaft Bearing Capacity (Top)                        Deformation          (*t*Fu kips)]]</f>
        <v>-</v>
      </c>
      <c r="GS74" s="462" t="str">
        <f>Reinforcements[[#This Row],[Rev. G Bolt-Reinf. Bearing Capacity (Bottom)            No Deformation (kips)]]</f>
        <v>-</v>
      </c>
      <c r="GT74" s="462" t="str">
        <f>Reinforcements[[#This Row],[Rev. G Bolt-Reinf. Bearing Capacity (Bottom)               Deformation (kips)]]</f>
        <v>-</v>
      </c>
      <c r="GU74" s="462" t="str">
        <f>Reinforcements[[#This Row],[Rev. G Bolt-Reinf. Bearing Capacity (Top)                  No Deformation (kips)]]</f>
        <v>-</v>
      </c>
      <c r="GV74" s="462" t="str">
        <f>Reinforcements[[#This Row],[Rev. G Bolt-Reinf. Bearing Capacity (Top)               Deformation (kips)]]</f>
        <v>-</v>
      </c>
      <c r="GW74" s="462" t="str">
        <f>Reinforcements[[#This Row],[Rev. G Bottom Transverse Weld Strength]]</f>
        <v/>
      </c>
      <c r="GX74" s="462" t="str">
        <f>Reinforcements[[#This Row],[Rev. G Bottom Longitudinal Weld Strength]]</f>
        <v/>
      </c>
      <c r="GY74" s="462" t="str">
        <f>Reinforcements[[#This Row],[Rev. G Top Transverse Weld Strength]]</f>
        <v/>
      </c>
      <c r="GZ74" s="462" t="str">
        <f>Reinforcements[[#This Row],[Rev. G Top Longitudinal Weld Strength]]</f>
        <v/>
      </c>
      <c r="HA74" s="552">
        <v>72</v>
      </c>
      <c r="HB74"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5" spans="2:210" x14ac:dyDescent="0.2">
      <c r="B75" s="129"/>
      <c r="C75" s="129"/>
      <c r="D75" s="201" t="str">
        <f>IF(Reinforcements[[#This Row],[Type]]="","",IF(Reinforcements[[#This Row],[Type]]="solid round","-",""))</f>
        <v/>
      </c>
      <c r="E75" s="201" t="str">
        <f>IF(Reinforcements[[#This Row],[Type]]="","",IF(Reinforcements[[#This Row],[Type]]="solid round","-",""))</f>
        <v/>
      </c>
      <c r="F75" s="201" t="str">
        <f>IF(Reinforcements[[#This Row],[Type]]="","",IF(Reinforcements[[#This Row],[Type]]="solid round","","n/a"))</f>
        <v/>
      </c>
      <c r="G75" s="201" t="str">
        <f>IF(Reinforcements[[#This Row],[Type]]="","",IF(Reinforcements[[#This Row],[Type]]&lt;&gt;"channel","n/a",""))</f>
        <v/>
      </c>
      <c r="H75" s="201" t="str">
        <f>IF(Reinforcements[[#This Row],[Type]]="","",IF(Reinforcements[[#This Row],[Type]]&lt;&gt;"channel","n/a",""))</f>
        <v/>
      </c>
      <c r="I75" s="224" t="str">
        <f>IF(Reinforcements[[#This Row],[Type]]="","",IF(Reinforcements[[#This Row],[Type]]&lt;&gt;"channel","n/a",Reinforcements[[#This Row],[eo]]))</f>
        <v/>
      </c>
      <c r="J75" s="224" t="str">
        <f>IF(Reinforcements[[#This Row],[Type]]="","",IF(Reinforcements[[#This Row],[Type]]&lt;&gt;"channel","n/a",Reinforcements[[#This Row],[J]]))</f>
        <v/>
      </c>
      <c r="K75" s="224" t="str">
        <f>IF(Reinforcements[[#This Row],[Type]]="","",IF(Reinforcements[[#This Row],[Type]]&lt;&gt;"channel","n/a",Reinforcements[[#This Row],[Cw]]))</f>
        <v/>
      </c>
      <c r="L75" s="201" t="str">
        <f>IFERROR(IF(Reinforcements[[#This Row],[Type]]="","",IF(Reinforcements[[#This Row],[Type]]="plate",Reinforcements[[#This Row],[B (in)]]*Reinforcements[[#This Row],[H (in)]],IF(Reinforcements[[#This Row],[Type]]="solid round",PI()/4*Reinforcements[[#This Row],[Diameter (in)]]^2,""))),"")</f>
        <v/>
      </c>
      <c r="M75" s="201" t="str">
        <f>IFERROR(IF(Reinforcements[[#This Row],[Type]]="","",IF(Reinforcements[[#This Row],[Type]]="plate",Reinforcements[[#This Row],[H (in)]]/2,"")),"")</f>
        <v/>
      </c>
      <c r="N75" s="202"/>
      <c r="O75" s="203"/>
      <c r="P75" s="215" t="str">
        <f>IFERROR(IF(Reinforcements[[#This Row],[Type]]="","",IF(Reinforcements[[#This Row],[Type]]="plate",Reinforcements[[#This Row],[B (in)]]*Reinforcements[[#This Row],[H (in)]]^3/12,IF(Reinforcements[[#This Row],[Type]]="solid round",PI()/64*Reinforcements[[#This Row],[Diameter (in)]]^4,""))),"")</f>
        <v/>
      </c>
      <c r="Q75" s="215" t="str">
        <f>IF(Reinforcements[[#This Row],[Reinforcement]]="","",SQRT(Reinforcements[[#This Row],[Ix]]/Reinforcements[[#This Row],[Gross Area (in2)]]))</f>
        <v/>
      </c>
      <c r="R75" s="215" t="str">
        <f>IFERROR(IF(Reinforcements[[#This Row],[Type]]="","",IF(Reinforcements[[#This Row],[Type]]="plate",Reinforcements[[#This Row],[B (in)]]^3*Reinforcements[[#This Row],[H (in)]]/12,IF(Reinforcements[[#This Row],[Type]]="solid round",PI()/64*Reinforcements[[#This Row],[Diameter (in)]]^4,""))),"")</f>
        <v/>
      </c>
      <c r="S75" s="215" t="str">
        <f>IF(Reinforcements[[#This Row],[Reinforcement]]="","",SQRT(Reinforcements[[#This Row],[Iy]]/Reinforcements[[#This Row],[Gross Area (in2)]]))</f>
        <v/>
      </c>
      <c r="T75" s="206"/>
      <c r="U75" s="204" t="str">
        <f>IF(Reinforcements[[#This Row],[Lu (in)]]="","",IF(Reinforcements[[#This Row],[Lu (in)]]=0,1,""))</f>
        <v/>
      </c>
      <c r="V75" s="204" t="str">
        <f>IF(Reinforcements[[#This Row],[Lu (in)]]="","",IF(Reinforcements[[#This Row],[Lu (in)]]=0,1,""))</f>
        <v/>
      </c>
      <c r="W75" s="201" t="str">
        <f>IF(Reinforcements[[#This Row],[Type]]="","",IF(Reinforcements[[#This Row],[Type]]="solid round",0,IF(Reinforcements[[#This Row],[Type]]="arbitrary","n/a","")))</f>
        <v/>
      </c>
      <c r="X75" s="204" t="str">
        <f>IF(Reinforcements[[#This Row],[Bolt Hole Size (in)]]="","",IF(Reinforcements[[#This Row],[Bolt Hole Size (in)]]="n/a","n/a",Reinforcements[[#This Row],[Bolt Hole Size (in)]]*25.4))</f>
        <v/>
      </c>
      <c r="Y75"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5" s="201" t="str">
        <f>IFERROR(IF(Reinforcements[[#This Row],[Reinforcement]]="","",IF(OR(Reinforcements[[#This Row],[Type]]="plate",Reinforcements[[#This Row],[Type]]="solid round"),1,IF(Reinforcements[[#This Row],[Type]]="arbitrary","",1-Reinforcements[[#This Row],[Pole Face to Centroid (in)]]/Reinforcements[[#This Row],[Connection Length (in) '[Channels']]]))),"")</f>
        <v/>
      </c>
      <c r="AA75" s="205"/>
      <c r="AB75" s="103" t="str">
        <f>IF(Reinforcements[[#This Row],[Reinforcement]]="","",IF(Reinforcements[[#This Row],[Bottom End Connection Type]]&lt;&gt;"Capacity Input","-",""))</f>
        <v/>
      </c>
      <c r="AC75" s="103" t="str">
        <f>IF(Reinforcements[[#This Row],[Reinforcement]]="","",IF(Reinforcements[[#This Row],[Bottom End Connection Type]]&lt;&gt;"Capacity Input","-",""))</f>
        <v/>
      </c>
      <c r="AD75" s="253" t="str">
        <f>IF(Reinforcements[[#This Row],[Reinforcement]]="","",IF(Reinforcements[[#This Row],[Bottom End Connection Type]]&lt;&gt;"Capacity Input","-",""))</f>
        <v/>
      </c>
      <c r="AE75" s="103" t="str">
        <f>IF(Reinforcements[[#This Row],[Reinforcement]]="","",IF(Reinforcements[[#This Row],[Bottom End Connection Type]]&lt;&gt;"Bolted","-",""))</f>
        <v/>
      </c>
      <c r="AF75" s="206" t="str">
        <f>IF(Reinforcements[[#This Row],[Reinforcement]]="","",IF(Reinforcements[[#This Row],[Bottom End Connection Type]]&lt;&gt;"Bolted","-",""))</f>
        <v/>
      </c>
      <c r="AG75" s="206" t="str">
        <f>IF(Reinforcements[[#This Row],[Reinforcement]]="","",IF(Reinforcements[[#This Row],[Bottom End Connection Type]]="","-",IF(Reinforcements[[#This Row],[Bottom End Connection Type]]&lt;&gt;"Bolted","-","")))</f>
        <v/>
      </c>
      <c r="AH75" s="206" t="str">
        <f>IF(Reinforcements[[#This Row],[Reinforcement]]="","",IF(Reinforcements[[#This Row],[Bottom End Connection Type]]="","-",IF(Reinforcements[[#This Row],[Bottom End Connection Type]]&lt;&gt;"Bolted","-","")))</f>
        <v/>
      </c>
      <c r="AI75" s="206" t="str">
        <f>IF(Reinforcements[[#This Row],[Reinforcement]]="","",IF(Reinforcements[[#This Row],[Bottom End Connection Type]]="","-",IF(Reinforcements[[#This Row],[Bottom End Connection Type]]&lt;&gt;"Bolted","-","")))</f>
        <v/>
      </c>
      <c r="AJ75" s="206" t="e">
        <f>Reinforcements[[#This Row],[End Connection Edge Distance (in) (B)]]-(Reinforcements[[#This Row],[Bolt Hole Size (in)]]+1/16)/2</f>
        <v>#VALUE!</v>
      </c>
      <c r="AK75" s="206" t="e">
        <f>Reinforcements[[#This Row],[End Connection Bolt Spacing (in) (B)]]-(Reinforcements[[#This Row],[Bolt Hole Size (in)]]+1/16)</f>
        <v>#VALUE!</v>
      </c>
      <c r="AL75" s="206" t="str">
        <f>Reinforcements[[#This Row],[End Connection Edge Distance (in) (B)]]</f>
        <v/>
      </c>
      <c r="AM75" s="206" t="str">
        <f>Reinforcements[[#This Row],[End Connection Bolt Spacing (in) (B)]]</f>
        <v/>
      </c>
      <c r="AN75" s="206" t="str">
        <f>IF(Reinforcements[[#This Row],[Reinforcement]]="","",IF(OR(Reinforcements[[#This Row],[Bottom End Connection Type]]="Bolted",Reinforcements[[#This Row],[Bottom End Connection Type]]=""),"-",""))</f>
        <v/>
      </c>
      <c r="AO75" s="214" t="str">
        <f>IF(Reinforcements[[#This Row],[Reinforcement]]="","",IF(Reinforcements[[#This Row],[Bottom End Connection Type]]&lt;&gt;"Welded","-",""))</f>
        <v/>
      </c>
      <c r="AP75" s="214" t="str">
        <f>IF(Reinforcements[[#This Row],[Reinforcement]]="","",IF(Reinforcements[[#This Row],[Bottom End Connection Type]]&lt;&gt;"Welded","-",""))</f>
        <v/>
      </c>
      <c r="AQ75" s="214" t="str">
        <f>IF(Reinforcements[[#This Row],[Reinforcement]]="","",IF(OR(Reinforcements[[#This Row],[Bottom End Connection Type]]&lt;&gt;"Welded",Reinforcements[[#This Row],[Bottom Transverse (Horizontal) Weld]]="None"),"-",""))</f>
        <v/>
      </c>
      <c r="AR75"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5"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5" s="214" t="str">
        <f>IF(Reinforcements[[#This Row],[Reinforcement]]="","",IF(OR(Reinforcements[[#This Row],[Bottom Transverse (Horizontal) Weld]]="None",Reinforcements[[#This Row],[Bottom End Connection Type]]&lt;&gt;"Welded"),"-",""))</f>
        <v/>
      </c>
      <c r="AU75"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5" s="214" t="str">
        <f>IF(Reinforcements[[#This Row],[Reinforcement]]="","",IF(OR(Reinforcements[[#This Row],[Bottom End Connection Type]]&lt;&gt;"Welded",Reinforcements[[#This Row],[Bottom End Connection Type]]=""),"-",""))</f>
        <v/>
      </c>
      <c r="AW75" s="214" t="str">
        <f>IF(Reinforcements[[#This Row],[Reinforcement]]="","",IF(OR(Reinforcements[[#This Row],[Bottom End Connection Type]]&lt;&gt;"Welded",Reinforcements[[#This Row],[Bottom Longitudinal (Vertical) Weld]]="None",Reinforcements[[#This Row],[Bottom Longitudinal (Vertical) Weld]]=""),"-",""))</f>
        <v/>
      </c>
      <c r="AX75" s="214" t="str">
        <f>IF(Reinforcements[[#This Row],[Reinforcement]]="","",IF(OR(Reinforcements[[#This Row],[Bottom End Connection Type]]&lt;&gt;"Welded",Reinforcements[[#This Row],[Bottom Longitudinal (Vertical) Weld]]="None",Reinforcements[[#This Row],[Bottom Longitudinal (Vertical) Weld]]=""),"-",""))</f>
        <v/>
      </c>
      <c r="AY75" s="206" t="str">
        <f>IF(Reinforcements[[#This Row],[Reinforcement]]="","",IF(OR(Reinforcements[[#This Row],[Bottom End Connection Type]]&lt;&gt;"Welded",Reinforcements[[#This Row],[Bottom Longitudinal (Vertical) Weld]]="None"),"-",SQRT(2)/2*Reinforcements[[#This Row],[Bottom Longitudinal Weld Fillet Size (in)]]))</f>
        <v/>
      </c>
      <c r="AZ75" s="206"/>
      <c r="BA75" s="103" t="str">
        <f>IF(Reinforcements[[#This Row],[Top End Connection Same?]]="Yes",Reinforcements[[#This Row],[Bottom End Connection Type]],"")</f>
        <v/>
      </c>
      <c r="BB75" s="103" t="str">
        <f>IF(Reinforcements[[#This Row],[Reinforcement]]="","",IF(Reinforcements[[#This Row],[Top End Connection Same?]]="Yes",Reinforcements[[#This Row],[Rev. F Bottom Connection Capacity (kips)]],IF(Reinforcements[[#This Row],[Reinforcement]]="","",IF(Reinforcements[[#This Row],[Top End Connection Type]]&lt;&gt;"Capacity Input","-",""))))</f>
        <v/>
      </c>
      <c r="BC75" s="103" t="str">
        <f>IF(Reinforcements[[#This Row],[Reinforcement]]="","",IF(Reinforcements[[#This Row],[Top End Connection Same?]]="Yes",Reinforcements[[#This Row],[Rev. G Bottom Connection Capacity (kips)]],IF(Reinforcements[[#This Row],[Reinforcement]]="","",IF(Reinforcements[[#This Row],[Top End Connection Type]]&lt;&gt;"Capacity Input","-",""))))</f>
        <v/>
      </c>
      <c r="BD75" s="253" t="str">
        <f>IF(Reinforcements[[#This Row],[Reinforcement]]="","",IF(Reinforcements[[#This Row],[Top End Connection Same?]]="Yes",Reinforcements[[#This Row],[Rev. G Bottom Connection Capacity (kips)]],IF(Reinforcements[[#This Row],[Reinforcement]]="","",IF(Reinforcements[[#This Row],[Top End Connection Type]]&lt;&gt;"Capacity Input","-",""))))</f>
        <v/>
      </c>
      <c r="BE75" s="103" t="str">
        <f>IF(Reinforcements[[#This Row],[Reinforcement]]="","",IF(Reinforcements[[#This Row],[Top End Connection Same?]]="Yes",Reinforcements[[#This Row],[Bottom End Connection Bolt Type]],IF(Reinforcements[[#This Row],[Top End Connection Type]]&lt;&gt;"Bolted","-","")))</f>
        <v/>
      </c>
      <c r="BF75" s="206" t="str">
        <f>IF(Reinforcements[[#This Row],[Reinforcement]]="","",IF(Reinforcements[[#This Row],[Top End Connection Same?]]="Yes",Reinforcements[[#This Row],[Threads Included (N) or Excluded (X) (Bottom)]],IF(Reinforcements[[#This Row],[Top End Connection Type]]&lt;&gt;"Bolted","-","")))</f>
        <v/>
      </c>
      <c r="BG75" s="206" t="str">
        <f>IF(Reinforcements[[#This Row],[Reinforcement]]="","",IF(Reinforcements[[#This Row],[Top End Connection Same?]]="Yes",Reinforcements[[#This Row],['# of End Connection Bolts          (Bottom)]],IF(Reinforcements[[#This Row],[Top End Connection Type]]&lt;&gt;"Bolted","-","")))</f>
        <v/>
      </c>
      <c r="BH75" s="206" t="str">
        <f>IF(Reinforcements[[#This Row],[Reinforcement]]="","",IF(Reinforcements[[#This Row],[Top End Connection Same?]]="Yes",Reinforcements[[#This Row],[End Connection Bolt Spacing (in) (B)]],IF(Reinforcements[[#This Row],[Top End Connection Type]]&lt;&gt;"Bolted","-","")))</f>
        <v/>
      </c>
      <c r="BI75" s="206" t="str">
        <f>IF(Reinforcements[[#This Row],[Reinforcement]]="","",IF(Reinforcements[[#This Row],[Top End Connection Same?]]="Yes",Reinforcements[[#This Row],[End Connection Edge Distance (in) (B)]],IF(Reinforcements[[#This Row],[Top End Connection Type]]&lt;&gt;"Bolted","-","")))</f>
        <v/>
      </c>
      <c r="BJ75" s="206" t="e">
        <f>Reinforcements[[#This Row],[End Connection Edge Distance (in) (T)]]-(Reinforcements[[#This Row],[Bolt Hole Size (in)]]+1/16)/2</f>
        <v>#VALUE!</v>
      </c>
      <c r="BK75" s="206" t="e">
        <f>Reinforcements[[#This Row],[End Connection Bolt Spacing (in) (T)]]-(Reinforcements[[#This Row],[Bolt Hole Size (in)]]+1/16)</f>
        <v>#VALUE!</v>
      </c>
      <c r="BL75" s="206" t="str">
        <f>Reinforcements[[#This Row],[End Connection Edge Distance (in) (T)]]</f>
        <v/>
      </c>
      <c r="BM75" s="206" t="str">
        <f>Reinforcements[[#This Row],[End Connection Bolt Spacing (in) (T)]]</f>
        <v/>
      </c>
      <c r="BN75" s="206" t="str">
        <f>IF(Reinforcements[[#This Row],[Reinforcement]]="","",IF(Reinforcements[[#This Row],[Top End Connection Same?]]="Yes",Reinforcements[[#This Row],[Bottom Connected to Flange/Base Plate?]],IF(Reinforcements[[#This Row],[Top End Connection Type]]="Bolted","-","")))</f>
        <v/>
      </c>
      <c r="BO75" s="206" t="str">
        <f>IF(Reinforcements[[#This Row],[Reinforcement]]="","",IF(Reinforcements[[#This Row],[Top End Connection Same?]]="Yes",Reinforcements[[#This Row],[Bottom Weld Grade (ksi)]],IF(OR(Reinforcements[[#This Row],[Top End Connection Type]]&lt;&gt;"Welded",Reinforcements[[#This Row],[Top End Connection Type]]=""),"-","")))</f>
        <v/>
      </c>
      <c r="BP75" s="206" t="str">
        <f>IF($AZ75="Yes",AP75,IF(Reinforcements[[#This Row],[Reinforcement]]="","",IF(OR(Reinforcements[[#This Row],[Top End Connection Type]]&lt;&gt;"Welded",Reinforcements[[#This Row],[Top End Connection Type]]=""),"-","")))</f>
        <v/>
      </c>
      <c r="BQ75" s="206" t="str">
        <f>IF(Reinforcements[[#This Row],[Reinforcement]]="","",IF($AZ75="Yes",AQ75,IF(OR(Reinforcements[[#This Row],[Top End Connection Type]]&lt;&gt;"Welded",Reinforcements[[#This Row],[Top Transverse (Horizontal) Weld]]="none",Reinforcements[[#This Row],[Top Transverse (Horizontal) Weld]]=""),"-","")))</f>
        <v/>
      </c>
      <c r="BR75" s="206" t="str">
        <f>IF($AZ75="Yes",AR75,IF(Reinforcements[[#This Row],[Reinforcement]]="","",IF(OR(Reinforcements[[#This Row],[Top Transverse (Horizontal) Weld]]="none",Reinforcements[[#This Row],[Top End Connection Type]]&lt;&gt;"Welded",Reinforcements[[#This Row],[Top Transverse (Horizontal) Weld]]="",Reinforcements[[#This Row],[Top Transverse (Horizontal) Weld]]="Fillet"),"-","")))</f>
        <v/>
      </c>
      <c r="BS75" s="206" t="str">
        <f>IF($AZ75="Yes",AS75,IF(Reinforcements[[#This Row],[Reinforcement]]="","",IF(OR(Reinforcements[[#This Row],[Top Transverse (Horizontal) Weld]]="none",Reinforcements[[#This Row],[Top End Connection Type]]&lt;&gt;"Welded",Reinforcements[[#This Row],[Top Transverse (Horizontal) Weld]]="",Reinforcements[[#This Row],[Top Transverse (Horizontal) Weld]]="Fillet"),"-","")))</f>
        <v/>
      </c>
      <c r="BT75" s="206" t="str">
        <f>IF(Reinforcements[[#This Row],[Reinforcement]]="","",IF($AZ75="Yes",AT75,IF(OR(Reinforcements[[#This Row],[Top Transverse (Horizontal) Weld]]="none",Reinforcements[[#This Row],[Top End Connection Type]]&lt;&gt;"Welded",Reinforcements[[#This Row],[Top Transverse (Horizontal) Weld]]=""),"-","")))</f>
        <v/>
      </c>
      <c r="BU75" s="206" t="str">
        <f>IF($AZ75="Yes",AU75,IF(Reinforcements[[#This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5" s="206" t="str">
        <f>IF($AZ75="Yes",AV75,IF(Reinforcements[[#This Row],[Reinforcement]]="","",IF(OR(Reinforcements[[#This Row],[Top End Connection Type]]&lt;&gt;"Welded",Reinforcements[[#This Row],[Top End Connection Type]]=""),"-","")))</f>
        <v/>
      </c>
      <c r="BW75" s="206" t="str">
        <f>IF($AZ75="Yes",AW75,IF(Reinforcements[[#This Row],[Reinforcement]]="","",IF(OR(Reinforcements[[#This Row],[Top End Connection Type]]&lt;&gt;"Welded",Reinforcements[[#This Row],[Top End Connection Type]]="",Reinforcements[[#This Row],[Top Longitudinal (Vertical) Weld]]="",Reinforcements[[#This Row],[Top Longitudinal (Vertical) Weld]]="None"),"-","")))</f>
        <v/>
      </c>
      <c r="BX75" s="206" t="str">
        <f>IF($AZ75="Yes",AX75,IF(Reinforcements[[#This Row],[Reinforcement]]="","",IF(OR(Reinforcements[[#This Row],[Top End Connection Type]]&lt;&gt;"Welded",Reinforcements[[#This Row],[Top End Connection Type]]="",Reinforcements[[#This Row],[Top Longitudinal (Vertical) Weld]]="",Reinforcements[[#This Row],[Top Longitudinal (Vertical) Weld]]="None"),"-","")))</f>
        <v/>
      </c>
      <c r="BY75" s="206" t="str">
        <f>IF($AZ75="Yes",AY75,IF(Reinforcements[[#This Row],[Reinforcement]]="","",IF(OR(Reinforcements[[#This Row],[Top End Connection Type]]&lt;&gt;"Welded",Reinforcements[[#This Row],[Top Longitudinal (Vertical) Weld]]="none"),"-",SQRT(2)/2*Reinforcements[[#This Row],[Top Longitudinal Weld Fillet Size (in)]])))</f>
        <v/>
      </c>
      <c r="BZ75"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5"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5"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5"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5"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5" s="201" t="str">
        <f>IFERROR(IF(Reinforcements[[#This Row],[Type]]="","",Reinforcements[[#This Row],[Effective B (in)]]*Reinforcements[[#This Row],[Effective H (in)]]^3/12),"")</f>
        <v/>
      </c>
      <c r="CF75" s="201" t="str">
        <f>IFERROR(IF(Reinforcements[[#This Row],[Type]]="","",Reinforcements[[#This Row],[Effective B (in)]]^3*Reinforcements[[#This Row],[Effective H (in)]]/12),"")</f>
        <v/>
      </c>
      <c r="CG75" s="224" t="e">
        <f>SQRT(2*PI()^2*29000/VLOOKUP(Reinforcements[[#This Row],[Material]],Materials[],2,FALSE))</f>
        <v>#N/A</v>
      </c>
      <c r="CH75"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5"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5" s="215" t="e">
        <f>Reinforcements[[#This Row],[Effective Length Factor Kx]]*Reinforcements[[#This Row],[Lu (in)]]/(Reinforcements[[#This Row],[rx]]*PI())*SQRT(VLOOKUP(Reinforcements[[#This Row],[Material]],Materials[],2,FALSE)/29000)</f>
        <v>#VALUE!</v>
      </c>
      <c r="CK75" s="215" t="e">
        <f>Reinforcements[[#This Row],[Effective Length Factor Ky]]*Reinforcements[[#This Row],[Lu (in)]]/(Reinforcements[[#This Row],[ry]]*PI())*SQRT(VLOOKUP(Reinforcements[[#This Row],[Material]],Materials[],2,FALSE)/29000)</f>
        <v>#VALUE!</v>
      </c>
      <c r="CL75" s="215" t="e">
        <f>IF(Reinforcements[[#This Row],[λcx]]&lt;=1.5,0.658^(Reinforcements[[#This Row],[λcx]]^2)*Reinforcements[[#This Row],[F''y]],0.877/(Reinforcements[[#This Row],[λcx]]^2)*Reinforcements[[#This Row],[F''y]])</f>
        <v>#VALUE!</v>
      </c>
      <c r="CM75" s="215" t="e">
        <f>IF(Reinforcements[[#This Row],[λcy]]&lt;=1.5,0.658^(Reinforcements[[#This Row],[λcy]]^2)*Reinforcements[[#This Row],[F''y]],0.877/(Reinforcements[[#This Row],[λcy]]^2)*Reinforcements[[#This Row],[F''y]])</f>
        <v>#VALUE!</v>
      </c>
      <c r="CN75" s="201" t="e">
        <f>VLOOKUP(Reinforcements[[#This Row],[Material]],Materials[],2,FALSE)</f>
        <v>#N/A</v>
      </c>
      <c r="CO75" s="224" t="str">
        <f>IF(Reinforcements[[#This Row],[Reinforcement]]="","",Reinforcements[[#This Row],[Fax]]*Reinforcements[[#This Row],[Gross Area (in2)]])</f>
        <v/>
      </c>
      <c r="CP75" s="224" t="str">
        <f>IF(Reinforcements[[#This Row],[Reinforcement]]="","",Reinforcements[[#This Row],[Fay]]*Reinforcements[[#This Row],[Gross Area (in2)]])</f>
        <v/>
      </c>
      <c r="CQ75" s="224" t="str">
        <f>IF(Reinforcements[[#This Row],[Reinforcement]]="","",0.6*VLOOKUP(Reinforcements[[#This Row],[Material]],Materials[],2,FALSE)*Reinforcements[[#This Row],[Gross Area (in2)]])</f>
        <v/>
      </c>
      <c r="CR75" s="224" t="str">
        <f>IF(Reinforcements[[#This Row],[Reinforcement]]="","",0.5*VLOOKUP(Reinforcements[[#This Row],[Material]],Materials[],3,FALSE)*Reinforcements[[#This Row],[Net Area (in2)]]*Reinforcements[[#This Row],[Shear Lag (U)]])</f>
        <v/>
      </c>
      <c r="CS75" s="224" t="str">
        <f>IF(Reinforcements[[#This Row],[Reinforcement]]="","",0.4*VLOOKUP(Reinforcements[[#This Row],[Material]],Materials[],2,FALSE)*Reinforcements[[#This Row],[Gross Area (in2)]])</f>
        <v/>
      </c>
      <c r="CT75"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5"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5"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5"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5"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5"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5"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5"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5"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5"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5"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5"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5" s="206" t="str">
        <f>IF($AZ75="Yes",DD75,IF(Reinforcements[[#This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5" s="206" t="str">
        <f>IF($AZ75="Yes",DE75,IF(Reinforcements[[#This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5" s="224" t="str">
        <f>IF(Reinforcements[[#This Row],[Reinforcement]]="","",φ_c*Reinforcements[[#This Row],[Fcr,x]]*Reinforcements[[#This Row],[Gross Area (in2)]])</f>
        <v/>
      </c>
      <c r="DI75" s="224" t="str">
        <f>IF(Reinforcements[[#This Row],[Reinforcement]]="","",φ_c*Reinforcements[[#This Row],[Fcr,y]]*Reinforcements[[#This Row],[Gross Area (in2)]])</f>
        <v/>
      </c>
      <c r="DJ75" s="224" t="str">
        <f>IF(Reinforcements[[#This Row],[Reinforcement]]="","",φ_t_y*VLOOKUP(Reinforcements[[#This Row],[Material]],Materials[],2,FALSE)*Reinforcements[[#This Row],[Gross Area (in2)]])</f>
        <v/>
      </c>
      <c r="DK75" s="224" t="str">
        <f>IF(Reinforcements[[#This Row],[Reinforcement]]="","",φ_t_r*VLOOKUP(Reinforcements[[#This Row],[Material]],Materials[],3,FALSE)*Reinforcements[[#This Row],[Net Area (in2)]]*Reinforcements[[#This Row],[Shear Lag (U)]])</f>
        <v/>
      </c>
      <c r="DL75" s="224" t="str">
        <f>IF(Reinforcements[[#This Row],[Reinforcement]]="","",φ_v*0.5*Reinforcements[[#This Row],[F''y]]*Reinforcements[[#This Row],[Gross Area (in2)]])</f>
        <v/>
      </c>
      <c r="DM75"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5"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5"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5"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5"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5"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5"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5"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5"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5"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5"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5"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5" s="206" t="str">
        <f>IF($AZ75="Yes",DW75,IF(Reinforcements[[#This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5" s="206" t="str">
        <f>IF($AZ75="Yes",DX75,IF(Reinforcements[[#This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5" s="507" t="str">
        <f>IF(OR(Reinforcements[[#This Row],[Type]]="plate",Reinforcements[[#This Row],[Type]]="solid round"),"N/A",Reinforcements[[#This Row],[B (in)]])</f>
        <v/>
      </c>
      <c r="EB75" s="508" t="str">
        <f>IF(OR(Reinforcements[[#This Row],[Type]]="plate",Reinforcements[[#This Row],[Type]]="solid round"),"N/A",Reinforcements[[#This Row],[H (in)]])</f>
        <v/>
      </c>
      <c r="EC75" s="508" t="e">
        <f>IF(OR(Reinforcements[[#This Row],[Type]]="plate",Reinforcements[[#This Row],[Type]]="solid round"),"N/A",Reinforcements[[#This Row],[B (in)]]-Reinforcements[[#This Row],['[Channel'] Flange Thickness (in)]])</f>
        <v>#VALUE!</v>
      </c>
      <c r="ED75" s="508" t="str">
        <f>IF(OR(Reinforcements[[#This Row],[Type]]="plate",Reinforcements[[#This Row],[Type]]="solid round"),"N/A",Reinforcements[[#This Row],['[Channel']Web Thickness (in)]])</f>
        <v/>
      </c>
      <c r="EE75" s="508" t="str">
        <f>IF(OR(Reinforcements[[#This Row],[Type]]="plate",Reinforcements[[#This Row],[Type]]="solid round"),"N/A",Reinforcements[[#This Row],['[Channel'] Flange Thickness (in)]])</f>
        <v/>
      </c>
      <c r="EF75" s="508" t="str">
        <f>IF(Reinforcements[[#This Row],[Type]]="channel",Reinforcements[[#This Row],[Channel Flange Width, b]]/Reinforcements[[#This Row],[Channel flange thickness, tf]],"N/A")</f>
        <v>N/A</v>
      </c>
      <c r="EG75" s="508" t="str">
        <f>IF(Reinforcements[[#This Row],[Type]]="channel",Reinforcements[[#This Row],[Channel inside depth, T]]/Reinforcements[[#This Row],[Channel web thickness, tw]],"N/A")</f>
        <v>N/A</v>
      </c>
      <c r="EH75" s="252">
        <v>29000</v>
      </c>
      <c r="EI75" s="252" t="str">
        <f>IF(Reinforcements[[#This Row],[Type]]="channel",0.56*SQRT(Reinforcements[[#This Row],[E, (ksi)]]/Reinforcements[[#This Row],[Fy, (ksi)]]),"N/A")</f>
        <v>N/A</v>
      </c>
      <c r="EJ75" s="252" t="str">
        <f>IF(Reinforcements[[#This Row],[Type]]="channel",1.49*SQRT(Reinforcements[[#This Row],[E, (ksi)]]/Reinforcements[[#This Row],[Fy, (ksi)]]),"N/A")</f>
        <v>N/A</v>
      </c>
      <c r="EK75" s="252" t="e">
        <f>VLOOKUP(Reinforcements[[#This Row],[Material]],Materials!$B$2:$C$30,2,FALSE)</f>
        <v>#N/A</v>
      </c>
      <c r="EL75" s="252" t="e">
        <f>Reinforcements[[#This Row],[Lu (in)]]*Reinforcements[[#This Row],[Effective Length Factor Kx]]</f>
        <v>#VALUE!</v>
      </c>
      <c r="EM75" s="252" t="e">
        <f>Reinforcements[[#This Row],[Lu (in)]]*Reinforcements[[#This Row],[Effective Length Factor Ky]]</f>
        <v>#VALUE!</v>
      </c>
      <c r="EN75" s="252" t="str">
        <f>Reinforcements[[#This Row],[rx]]</f>
        <v/>
      </c>
      <c r="EO75" s="252" t="str">
        <f>Reinforcements[[#This Row],[ry]]</f>
        <v/>
      </c>
      <c r="EP75" s="252" t="e">
        <f>Reinforcements[[#This Row],[Lcx (in)]]/Reinforcements[[#This Row],[rx (in)]]</f>
        <v>#VALUE!</v>
      </c>
      <c r="EQ75" s="252" t="e">
        <f>Reinforcements[[#This Row],[Lcy (in)]]/Reinforcements[[#This Row],[ry (in)]]</f>
        <v>#VALUE!</v>
      </c>
      <c r="ER75" s="252" t="e">
        <f>((PI()^2)*Reinforcements[[#This Row],[E, (ksi)]])/(Reinforcements[[#This Row],[Lcx/rx]]^2)</f>
        <v>#VALUE!</v>
      </c>
      <c r="ES75" s="252" t="e">
        <f>((PI()^2)*Reinforcements[[#This Row],[E, (ksi)]])/(Reinforcements[[#This Row],[Lcy/ry]]^2)</f>
        <v>#VALUE!</v>
      </c>
      <c r="ET75" s="252" t="e">
        <f>4.71*(SQRT(Reinforcements[[#This Row],[E, (ksi)]]/Reinforcements[[#This Row],[Fy, (ksi)]]))</f>
        <v>#N/A</v>
      </c>
      <c r="EU75" s="252" t="e">
        <f>IF(Reinforcements[[#This Row],[Lcx/rx]]&lt;=Reinforcements[[#This Row],[Fcr Limit]],(0.658^(Reinforcements[[#This Row],[Fy, (ksi)]]/Reinforcements[[#This Row],[Fex, FB (ksi)]]))*Reinforcements[[#This Row],[Fy, (ksi)]],0.877*Reinforcements[[#This Row],[Fex, FB (ksi)]])</f>
        <v>#VALUE!</v>
      </c>
      <c r="EV75" s="252" t="e">
        <f>IF(Reinforcements[[#This Row],[Lcy/ry]]&lt;=Reinforcements[[#This Row],[Fcr Limit]],(0.658^(Reinforcements[[#This Row],[Fy, (ksi)]]/Reinforcements[[#This Row],[Fey, FB (ksi)]]))*Reinforcements[[#This Row],[Fy, (ksi)]],0.877*Reinforcements[[#This Row],[Fey, FB (ksi)]])</f>
        <v>#VALUE!</v>
      </c>
      <c r="EW75" s="252" t="e">
        <f>Reinforcements[[#This Row],[Fcrx (ksi)]]*Reinforcements[[#This Row],[Gross Area (in2)]]</f>
        <v>#VALUE!</v>
      </c>
      <c r="EX75" s="252" t="e">
        <f>Reinforcements[[#This Row],[Fcry (ksi)]]*Reinforcements[[#This Row],[Gross Area (in2)]]</f>
        <v>#VALUE!</v>
      </c>
      <c r="EY75" s="252" t="str">
        <f>IF(Reinforcements[[#This Row],[Type]]="channel",0,"N/A")</f>
        <v>N/A</v>
      </c>
      <c r="EZ75" s="252" t="str">
        <f>IF(Reinforcements[[#This Row],[Type]]="channel",Reinforcements[[#This Row],[Channel Flange Width, b]]-(0.5*Reinforcements[[#This Row],[Channel web thickness, tw]]),"N/A")</f>
        <v>N/A</v>
      </c>
      <c r="FA75" s="252" t="str">
        <f>IF(Reinforcements[[#This Row],[Type]]="channel",Reinforcements[[#This Row],[Channel Height, h]]-Reinforcements[[#This Row],[Channel flange thickness, tf]],"N/A")</f>
        <v>N/A</v>
      </c>
      <c r="FB75" s="252" t="str">
        <f>IF(Reinforcements[[#This Row],[Type]]="channel",Reinforcements[[#This Row],[Channel web thickness, tw]],"N/A")</f>
        <v>N/A</v>
      </c>
      <c r="FC75" s="252" t="str">
        <f>IF(Reinforcements[[#This Row],[Type]]="channel",((3*Reinforcements[[#This Row],[b]]^2)/(Reinforcements[[#This Row],[h]]+(6*Reinforcements[[#This Row],[b]])))-Reinforcements[[#This Row],[t]]/2,"N/A")</f>
        <v>N/A</v>
      </c>
      <c r="FD75" s="252" t="str">
        <f>Reinforcements[[#This Row],[Pole Face to Centroid (in)]]</f>
        <v/>
      </c>
      <c r="FE75" s="508" t="str">
        <f>IF(Reinforcements[[#This Row],[Type]]="channel",Reinforcements[[#This Row],[x(bar)]]+Reinforcements[[#This Row],['[Channel'] e0 (in)]],"N/A")</f>
        <v>N/A</v>
      </c>
      <c r="FF75" s="508" t="str">
        <f>IF(Reinforcements[[#This Row],[Type]]="channel",Reinforcements[[#This Row],[Ix]],"N/A")</f>
        <v>N/A</v>
      </c>
      <c r="FG75" s="508" t="str">
        <f>IF(Reinforcements[[#This Row],[Type]]="channel",Reinforcements[[#This Row],[Iy]],"N/A")</f>
        <v>N/A</v>
      </c>
      <c r="FH75" s="508" t="str">
        <f>IF(Reinforcements[[#This Row],[Type]]="channel",Reinforcements[[#This Row],[Gross Area (in2)]],"N/A")</f>
        <v>N/A</v>
      </c>
      <c r="FI75" s="508" t="str">
        <f>IF(Reinforcements[[#This Row],[Type]]="channel",(Reinforcements[[#This Row],[xo]]^2)+((Reinforcements[[#This Row],[Ix (FTB)]]+Reinforcements[[#This Row],[Iy (FTB)]])/Reinforcements[[#This Row],[Ag]]),"N/A")</f>
        <v>N/A</v>
      </c>
      <c r="FJ75" s="508" t="str">
        <f>IF(Reinforcements[[#This Row],[Type]]="channel",Reinforcements[[#This Row],[Lu (in)]],"N/A")</f>
        <v>N/A</v>
      </c>
      <c r="FK75" s="508" t="str">
        <f>IF(Reinforcements[[#This Row],[Type]]="channel",Reinforcements[[#This Row],[Effective Length Factor Kx]],"N/A")</f>
        <v>N/A</v>
      </c>
      <c r="FL75" s="508" t="str">
        <f>IF(Reinforcements[[#This Row],[Type]]="channel",Reinforcements[[#This Row],[Kz]]*Reinforcements[[#This Row],[Lz]],"N/A")</f>
        <v>N/A</v>
      </c>
      <c r="FM75" s="508" t="str">
        <f>IF(Reinforcements[[#This Row],[Type]]="channel",(((Reinforcements[[#This Row],[t]]^3)/3)*(Reinforcements[[#This Row],[h]]+(2*Reinforcements[[#This Row],[b]]))),"N/A")</f>
        <v>N/A</v>
      </c>
      <c r="FN75" s="508" t="str">
        <f>IF(Reinforcements[[#This Row],[Type]]="channel",(1-(((Reinforcements[[#This Row],[xo]]^2)+(Reinforcements[[#This Row],[yo]]^2))/Reinforcements[[#This Row],[ro^2(bar)]])),"N/A")</f>
        <v>N/A</v>
      </c>
      <c r="FO75" s="252">
        <v>11200</v>
      </c>
      <c r="FP75" s="508" t="str">
        <f>IF(Reinforcements[[#This Row],[Type]]="channel",(((Reinforcements[[#This Row],[h]]^2)*(Reinforcements[[#This Row],[b]]^3)*Reinforcements[[#This Row],[t]])/12)*(((2*Reinforcements[[#This Row],[h]])+(3*Reinforcements[[#This Row],[b]]))/(Reinforcements[[#This Row],[h]]+(6*Reinforcements[[#This Row],[b]]))),"N/A")</f>
        <v>N/A</v>
      </c>
      <c r="FQ75" s="508" t="str">
        <f>IF(Reinforcements[[#This Row],[Type]]="Channel",((((PI()^2)*Reinforcements[[#This Row],[E, (ksi)]]*Reinforcements[[#This Row],['[Channel'] CW (in6)]])/(Reinforcements[[#This Row],[Lcz]]^2))+(Reinforcements[[#This Row],[G]]*Reinforcements[[#This Row],['[Channel'] J (in4)]]))*(1/(Reinforcements[[#This Row],[Ag]]*Reinforcements[[#This Row],[ro^2(bar)]])),"N/A")</f>
        <v>N/A</v>
      </c>
      <c r="FR75" s="508" t="str">
        <f>IF(Reinforcements[[#This Row],[Type]]="channel",((PI()^2)*Reinforcements[[#This Row],[E, (ksi)]])/(Reinforcements[[#This Row],[Lcy/ry]]^2),"N/A")</f>
        <v>N/A</v>
      </c>
      <c r="FS75" s="508" t="str">
        <f>IF(Reinforcements[[#This Row],[Type]]="channel",((Reinforcements[[#This Row],[Fey]]+Reinforcements[[#This Row],[Fez]])/(2*Reinforcements[[#This Row],[H2]]))*(1-SQRT(1-((4*Reinforcements[[#This Row],[Fey]]*Reinforcements[[#This Row],[Fez]]*Reinforcements[[#This Row],[H2]])/(Reinforcements[[#This Row],[Fey]]+Reinforcements[[#This Row],[Fez]])^2))),"N/A")</f>
        <v>N/A</v>
      </c>
      <c r="FT75" s="508" t="str">
        <f>IF(Reinforcements[[#This Row],[Type]]="channel",IF(Reinforcements[[#This Row],[Lcx/rx]]&gt;(4.71*SQRT(Reinforcements[[#This Row],[E, (ksi)]]/Reinforcements[[#This Row],[Fy, (ksi)]])),0.877*Reinforcements[[#This Row],[Fe (FTB)]],0.658^(Reinforcements[[#This Row],[Fy, (ksi)]]/Reinforcements[[#This Row],[Fe (FTB)]])*Reinforcements[[#This Row],[Fy, (ksi)]]),"N/A")</f>
        <v>N/A</v>
      </c>
      <c r="FU75" s="508" t="str">
        <f>IF(Reinforcements[[#This Row],[Type]]="channel",MIN(Reinforcements[[#This Row],[Fcr(FTB)]],Reinforcements[[#This Row],[Fcry (ksi)]]),"N/A")</f>
        <v>N/A</v>
      </c>
      <c r="FV75" s="252">
        <v>0.22</v>
      </c>
      <c r="FW75" s="252">
        <v>1.49</v>
      </c>
      <c r="FX75" s="508" t="str">
        <f>IF(Reinforcements[[#This Row],[Type]]="channel",((Reinforcements[[#This Row],[c2]]*(Reinforcements[[#This Row],[λrf]]/Reinforcements[[#This Row],[λf]]))^2)*Reinforcements[[#This Row],[Fy, (ksi)]],"N/A")</f>
        <v>N/A</v>
      </c>
      <c r="FY75" s="508" t="str">
        <f>IF(Reinforcements[[#This Row],[Type]]="channel",((Reinforcements[[#This Row],[c2]]*(Reinforcements[[#This Row],[λrw]]/Reinforcements[[#This Row],[λw]]))^2)*Reinforcements[[#This Row],[Fy, (ksi)]],"N/A")</f>
        <v>N/A</v>
      </c>
      <c r="FZ75"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5"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5"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5" s="508" t="str">
        <f>IF(Reinforcements[[#This Row],[Type]]="channel",Reinforcements[[#This Row],[Fcr]]*Reinforcements[[#This Row],[Ae]],"N/A")</f>
        <v>N/A</v>
      </c>
      <c r="GD75" s="462" t="str">
        <f>IF(Reinforcements[[#This Row],[Reinforcement]]="","",φ_c*Reinforcements[[#This Row],[Pnx, FB (kip)]])</f>
        <v/>
      </c>
      <c r="GE75" s="462" t="str">
        <f>IF(Reinforcements[[#This Row],[Reinforcement]]="","",IF(Reinforcements[[#This Row],[Type]]="channel",φ_c*Reinforcements[[#This Row],[Pn]],φ_c*Reinforcements[[#This Row],[Pny, FB (kip)]]))</f>
        <v/>
      </c>
      <c r="GF75" s="462" t="str">
        <f>Reinforcements[[#This Row],[Rev. G Tension Yield Capacity (kips)]]</f>
        <v/>
      </c>
      <c r="GG75" s="462" t="str">
        <f>Reinforcements[[#This Row],[Rev. G Tension Rupture Capacity (kips)]]</f>
        <v/>
      </c>
      <c r="GH75" s="462" t="str">
        <f>Reinforcements[[#This Row],[Rev. G Shear Capacity (kips)]]</f>
        <v/>
      </c>
      <c r="GI75" s="462" t="str">
        <f>IFERROR((Reinforcements[[#This Row],['# of End Connection Bolts          (Bottom)]]-1)*Reinforcements[[#This Row],[End Connection Bolt Spacing (in) (B)]],"-")</f>
        <v>-</v>
      </c>
      <c r="GJ75" s="462" t="str">
        <f>IFERROR(IF(VLOOKUP(Reinforcements[[#This Row],[Bottom End Connection Bolt Type]],Bolts[],COLUMN(Bolts[[#Headers],[Rev. H Apply Connection Length Reduction Factor (Rb)?]])-1,FALSE)="Yes",(IF(Reinforcements[[#This Row],[Lb(bottom)]]&lt;=16,1,IF(Reinforcements[[#This Row],[Lb(bottom)]]&gt;38,0.75,0.9))),1),"-")</f>
        <v>-</v>
      </c>
      <c r="GK75"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5" s="462" t="str">
        <f>IFERROR(IF(Reinforcements[[#This Row],[Top End Connection Same?]]="Yes",Reinforcements[[#This Row],[Lb(bottom)]],(Reinforcements[[#This Row],['# of End Connection Bolts          (Top)]]-1)*Reinforcements[[#This Row],[End Connection Bolt Spacing (in) (T)]]),"-")</f>
        <v>-</v>
      </c>
      <c r="GM75" s="462" t="str">
        <f>IFERROR(IF(VLOOKUP(Reinforcements[[#This Row],[Top End Connection Bolt Type]],Bolts[],COLUMN(Bolts[[#Headers],[Rev. H Apply Connection Length Reduction Factor (Rb)?]])-1,FALSE)="Yes",(IF(Reinforcements[[#This Row],[Lb(top)]]&lt;=16,1,IF(Reinforcements[[#This Row],[Lb(top)]]&gt;38,0.75,0.9))),1),"-")</f>
        <v>-</v>
      </c>
      <c r="GN75"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5" s="462" t="str">
        <f>Reinforcements[[#This Row],[Rev. G Bolt-Shaft Bearing Capacity (Bottom)                No Deformation          (*t*Fu kips)]]</f>
        <v>-</v>
      </c>
      <c r="GP75" s="462" t="str">
        <f>Reinforcements[[#This Row],[Rev. G Bolt-Shaft Bearing Capacity (Bottom)                   Deformation          (*t*Fu kips)]]</f>
        <v>-</v>
      </c>
      <c r="GQ75" s="462" t="str">
        <f>Reinforcements[[#This Row],[Rev. G Bolt-Shaft Bearing Capacity (Top)                    No Deformation          (*t*Fu kips)]]</f>
        <v>-</v>
      </c>
      <c r="GR75" s="462" t="str">
        <f>Reinforcements[[#This Row],[Rev. G Bolt-Shaft Bearing Capacity (Top)                        Deformation          (*t*Fu kips)]]</f>
        <v>-</v>
      </c>
      <c r="GS75" s="462" t="str">
        <f>Reinforcements[[#This Row],[Rev. G Bolt-Reinf. Bearing Capacity (Bottom)            No Deformation (kips)]]</f>
        <v>-</v>
      </c>
      <c r="GT75" s="462" t="str">
        <f>Reinforcements[[#This Row],[Rev. G Bolt-Reinf. Bearing Capacity (Bottom)               Deformation (kips)]]</f>
        <v>-</v>
      </c>
      <c r="GU75" s="462" t="str">
        <f>Reinforcements[[#This Row],[Rev. G Bolt-Reinf. Bearing Capacity (Top)                  No Deformation (kips)]]</f>
        <v>-</v>
      </c>
      <c r="GV75" s="462" t="str">
        <f>Reinforcements[[#This Row],[Rev. G Bolt-Reinf. Bearing Capacity (Top)               Deformation (kips)]]</f>
        <v>-</v>
      </c>
      <c r="GW75" s="462" t="str">
        <f>Reinforcements[[#This Row],[Rev. G Bottom Transverse Weld Strength]]</f>
        <v/>
      </c>
      <c r="GX75" s="462" t="str">
        <f>Reinforcements[[#This Row],[Rev. G Bottom Longitudinal Weld Strength]]</f>
        <v/>
      </c>
      <c r="GY75" s="462" t="str">
        <f>Reinforcements[[#This Row],[Rev. G Top Transverse Weld Strength]]</f>
        <v/>
      </c>
      <c r="GZ75" s="462" t="str">
        <f>Reinforcements[[#This Row],[Rev. G Top Longitudinal Weld Strength]]</f>
        <v/>
      </c>
      <c r="HA75" s="552">
        <v>73</v>
      </c>
      <c r="HB75"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6" spans="2:210" x14ac:dyDescent="0.2">
      <c r="B76" s="129"/>
      <c r="C76" s="129"/>
      <c r="D76" s="201" t="str">
        <f>IF(Reinforcements[[#This Row],[Type]]="","",IF(Reinforcements[[#This Row],[Type]]="solid round","-",""))</f>
        <v/>
      </c>
      <c r="E76" s="201" t="str">
        <f>IF(Reinforcements[[#This Row],[Type]]="","",IF(Reinforcements[[#This Row],[Type]]="solid round","-",""))</f>
        <v/>
      </c>
      <c r="F76" s="201" t="str">
        <f>IF(Reinforcements[[#This Row],[Type]]="","",IF(Reinforcements[[#This Row],[Type]]="solid round","","n/a"))</f>
        <v/>
      </c>
      <c r="G76" s="201" t="str">
        <f>IF(Reinforcements[[#This Row],[Type]]="","",IF(Reinforcements[[#This Row],[Type]]&lt;&gt;"channel","n/a",""))</f>
        <v/>
      </c>
      <c r="H76" s="201" t="str">
        <f>IF(Reinforcements[[#This Row],[Type]]="","",IF(Reinforcements[[#This Row],[Type]]&lt;&gt;"channel","n/a",""))</f>
        <v/>
      </c>
      <c r="I76" s="224" t="str">
        <f>IF(Reinforcements[[#This Row],[Type]]="","",IF(Reinforcements[[#This Row],[Type]]&lt;&gt;"channel","n/a",Reinforcements[[#This Row],[eo]]))</f>
        <v/>
      </c>
      <c r="J76" s="224" t="str">
        <f>IF(Reinforcements[[#This Row],[Type]]="","",IF(Reinforcements[[#This Row],[Type]]&lt;&gt;"channel","n/a",Reinforcements[[#This Row],[J]]))</f>
        <v/>
      </c>
      <c r="K76" s="224" t="str">
        <f>IF(Reinforcements[[#This Row],[Type]]="","",IF(Reinforcements[[#This Row],[Type]]&lt;&gt;"channel","n/a",Reinforcements[[#This Row],[Cw]]))</f>
        <v/>
      </c>
      <c r="L76" s="201" t="str">
        <f>IFERROR(IF(Reinforcements[[#This Row],[Type]]="","",IF(Reinforcements[[#This Row],[Type]]="plate",Reinforcements[[#This Row],[B (in)]]*Reinforcements[[#This Row],[H (in)]],IF(Reinforcements[[#This Row],[Type]]="solid round",PI()/4*Reinforcements[[#This Row],[Diameter (in)]]^2,""))),"")</f>
        <v/>
      </c>
      <c r="M76" s="201" t="str">
        <f>IFERROR(IF(Reinforcements[[#This Row],[Type]]="","",IF(Reinforcements[[#This Row],[Type]]="plate",Reinforcements[[#This Row],[H (in)]]/2,"")),"")</f>
        <v/>
      </c>
      <c r="N76" s="202"/>
      <c r="O76" s="203"/>
      <c r="P76" s="215" t="str">
        <f>IFERROR(IF(Reinforcements[[#This Row],[Type]]="","",IF(Reinforcements[[#This Row],[Type]]="plate",Reinforcements[[#This Row],[B (in)]]*Reinforcements[[#This Row],[H (in)]]^3/12,IF(Reinforcements[[#This Row],[Type]]="solid round",PI()/64*Reinforcements[[#This Row],[Diameter (in)]]^4,""))),"")</f>
        <v/>
      </c>
      <c r="Q76" s="215" t="str">
        <f>IF(Reinforcements[[#This Row],[Reinforcement]]="","",SQRT(Reinforcements[[#This Row],[Ix]]/Reinforcements[[#This Row],[Gross Area (in2)]]))</f>
        <v/>
      </c>
      <c r="R76" s="215" t="str">
        <f>IFERROR(IF(Reinforcements[[#This Row],[Type]]="","",IF(Reinforcements[[#This Row],[Type]]="plate",Reinforcements[[#This Row],[B (in)]]^3*Reinforcements[[#This Row],[H (in)]]/12,IF(Reinforcements[[#This Row],[Type]]="solid round",PI()/64*Reinforcements[[#This Row],[Diameter (in)]]^4,""))),"")</f>
        <v/>
      </c>
      <c r="S76" s="215" t="str">
        <f>IF(Reinforcements[[#This Row],[Reinforcement]]="","",SQRT(Reinforcements[[#This Row],[Iy]]/Reinforcements[[#This Row],[Gross Area (in2)]]))</f>
        <v/>
      </c>
      <c r="T76" s="206"/>
      <c r="U76" s="204" t="str">
        <f>IF(Reinforcements[[#This Row],[Lu (in)]]="","",IF(Reinforcements[[#This Row],[Lu (in)]]=0,1,""))</f>
        <v/>
      </c>
      <c r="V76" s="204" t="str">
        <f>IF(Reinforcements[[#This Row],[Lu (in)]]="","",IF(Reinforcements[[#This Row],[Lu (in)]]=0,1,""))</f>
        <v/>
      </c>
      <c r="W76" s="201" t="str">
        <f>IF(Reinforcements[[#This Row],[Type]]="","",IF(Reinforcements[[#This Row],[Type]]="solid round",0,IF(Reinforcements[[#This Row],[Type]]="arbitrary","n/a","")))</f>
        <v/>
      </c>
      <c r="X76" s="204" t="str">
        <f>IF(Reinforcements[[#This Row],[Bolt Hole Size (in)]]="","",IF(Reinforcements[[#This Row],[Bolt Hole Size (in)]]="n/a","n/a",Reinforcements[[#This Row],[Bolt Hole Size (in)]]*25.4))</f>
        <v/>
      </c>
      <c r="Y76"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6" s="201" t="str">
        <f>IFERROR(IF(Reinforcements[[#This Row],[Reinforcement]]="","",IF(OR(Reinforcements[[#This Row],[Type]]="plate",Reinforcements[[#This Row],[Type]]="solid round"),1,IF(Reinforcements[[#This Row],[Type]]="arbitrary","",1-Reinforcements[[#This Row],[Pole Face to Centroid (in)]]/Reinforcements[[#This Row],[Connection Length (in) '[Channels']]]))),"")</f>
        <v/>
      </c>
      <c r="AA76" s="205"/>
      <c r="AB76" s="103" t="str">
        <f>IF(Reinforcements[[#This Row],[Reinforcement]]="","",IF(Reinforcements[[#This Row],[Bottom End Connection Type]]&lt;&gt;"Capacity Input","-",""))</f>
        <v/>
      </c>
      <c r="AC76" s="103" t="str">
        <f>IF(Reinforcements[[#This Row],[Reinforcement]]="","",IF(Reinforcements[[#This Row],[Bottom End Connection Type]]&lt;&gt;"Capacity Input","-",""))</f>
        <v/>
      </c>
      <c r="AD76" s="253" t="str">
        <f>IF(Reinforcements[[#This Row],[Reinforcement]]="","",IF(Reinforcements[[#This Row],[Bottom End Connection Type]]&lt;&gt;"Capacity Input","-",""))</f>
        <v/>
      </c>
      <c r="AE76" s="103" t="str">
        <f>IF(Reinforcements[[#This Row],[Reinforcement]]="","",IF(Reinforcements[[#This Row],[Bottom End Connection Type]]&lt;&gt;"Bolted","-",""))</f>
        <v/>
      </c>
      <c r="AF76" s="206" t="str">
        <f>IF(Reinforcements[[#This Row],[Reinforcement]]="","",IF(Reinforcements[[#This Row],[Bottom End Connection Type]]&lt;&gt;"Bolted","-",""))</f>
        <v/>
      </c>
      <c r="AG76" s="206" t="str">
        <f>IF(Reinforcements[[#This Row],[Reinforcement]]="","",IF(Reinforcements[[#This Row],[Bottom End Connection Type]]="","-",IF(Reinforcements[[#This Row],[Bottom End Connection Type]]&lt;&gt;"Bolted","-","")))</f>
        <v/>
      </c>
      <c r="AH76" s="206" t="str">
        <f>IF(Reinforcements[[#This Row],[Reinforcement]]="","",IF(Reinforcements[[#This Row],[Bottom End Connection Type]]="","-",IF(Reinforcements[[#This Row],[Bottom End Connection Type]]&lt;&gt;"Bolted","-","")))</f>
        <v/>
      </c>
      <c r="AI76" s="206" t="str">
        <f>IF(Reinforcements[[#This Row],[Reinforcement]]="","",IF(Reinforcements[[#This Row],[Bottom End Connection Type]]="","-",IF(Reinforcements[[#This Row],[Bottom End Connection Type]]&lt;&gt;"Bolted","-","")))</f>
        <v/>
      </c>
      <c r="AJ76" s="206" t="e">
        <f>Reinforcements[[#This Row],[End Connection Edge Distance (in) (B)]]-(Reinforcements[[#This Row],[Bolt Hole Size (in)]]+1/16)/2</f>
        <v>#VALUE!</v>
      </c>
      <c r="AK76" s="206" t="e">
        <f>Reinforcements[[#This Row],[End Connection Bolt Spacing (in) (B)]]-(Reinforcements[[#This Row],[Bolt Hole Size (in)]]+1/16)</f>
        <v>#VALUE!</v>
      </c>
      <c r="AL76" s="206" t="str">
        <f>Reinforcements[[#This Row],[End Connection Edge Distance (in) (B)]]</f>
        <v/>
      </c>
      <c r="AM76" s="206" t="str">
        <f>Reinforcements[[#This Row],[End Connection Bolt Spacing (in) (B)]]</f>
        <v/>
      </c>
      <c r="AN76" s="206" t="str">
        <f>IF(Reinforcements[[#This Row],[Reinforcement]]="","",IF(OR(Reinforcements[[#This Row],[Bottom End Connection Type]]="Bolted",Reinforcements[[#This Row],[Bottom End Connection Type]]=""),"-",""))</f>
        <v/>
      </c>
      <c r="AO76" s="214" t="str">
        <f>IF(Reinforcements[[#This Row],[Reinforcement]]="","",IF(Reinforcements[[#This Row],[Bottom End Connection Type]]&lt;&gt;"Welded","-",""))</f>
        <v/>
      </c>
      <c r="AP76" s="214" t="str">
        <f>IF(Reinforcements[[#This Row],[Reinforcement]]="","",IF(Reinforcements[[#This Row],[Bottom End Connection Type]]&lt;&gt;"Welded","-",""))</f>
        <v/>
      </c>
      <c r="AQ76" s="214" t="str">
        <f>IF(Reinforcements[[#This Row],[Reinforcement]]="","",IF(OR(Reinforcements[[#This Row],[Bottom End Connection Type]]&lt;&gt;"Welded",Reinforcements[[#This Row],[Bottom Transverse (Horizontal) Weld]]="None"),"-",""))</f>
        <v/>
      </c>
      <c r="AR76"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6"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6" s="214" t="str">
        <f>IF(Reinforcements[[#This Row],[Reinforcement]]="","",IF(OR(Reinforcements[[#This Row],[Bottom Transverse (Horizontal) Weld]]="None",Reinforcements[[#This Row],[Bottom End Connection Type]]&lt;&gt;"Welded"),"-",""))</f>
        <v/>
      </c>
      <c r="AU76"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6" s="214" t="str">
        <f>IF(Reinforcements[[#This Row],[Reinforcement]]="","",IF(OR(Reinforcements[[#This Row],[Bottom End Connection Type]]&lt;&gt;"Welded",Reinforcements[[#This Row],[Bottom End Connection Type]]=""),"-",""))</f>
        <v/>
      </c>
      <c r="AW76" s="214" t="str">
        <f>IF(Reinforcements[[#This Row],[Reinforcement]]="","",IF(OR(Reinforcements[[#This Row],[Bottom End Connection Type]]&lt;&gt;"Welded",Reinforcements[[#This Row],[Bottom Longitudinal (Vertical) Weld]]="None",Reinforcements[[#This Row],[Bottom Longitudinal (Vertical) Weld]]=""),"-",""))</f>
        <v/>
      </c>
      <c r="AX76" s="214" t="str">
        <f>IF(Reinforcements[[#This Row],[Reinforcement]]="","",IF(OR(Reinforcements[[#This Row],[Bottom End Connection Type]]&lt;&gt;"Welded",Reinforcements[[#This Row],[Bottom Longitudinal (Vertical) Weld]]="None",Reinforcements[[#This Row],[Bottom Longitudinal (Vertical) Weld]]=""),"-",""))</f>
        <v/>
      </c>
      <c r="AY76" s="206" t="str">
        <f>IF(Reinforcements[[#This Row],[Reinforcement]]="","",IF(OR(Reinforcements[[#This Row],[Bottom End Connection Type]]&lt;&gt;"Welded",Reinforcements[[#This Row],[Bottom Longitudinal (Vertical) Weld]]="None"),"-",SQRT(2)/2*Reinforcements[[#This Row],[Bottom Longitudinal Weld Fillet Size (in)]]))</f>
        <v/>
      </c>
      <c r="AZ76" s="206"/>
      <c r="BA76" s="103" t="str">
        <f>IF(Reinforcements[[#This Row],[Top End Connection Same?]]="Yes",Reinforcements[[#This Row],[Bottom End Connection Type]],"")</f>
        <v/>
      </c>
      <c r="BB76" s="103" t="str">
        <f>IF(Reinforcements[[#This Row],[Reinforcement]]="","",IF(Reinforcements[[#This Row],[Top End Connection Same?]]="Yes",Reinforcements[[#This Row],[Rev. F Bottom Connection Capacity (kips)]],IF(Reinforcements[[#This Row],[Reinforcement]]="","",IF(Reinforcements[[#This Row],[Top End Connection Type]]&lt;&gt;"Capacity Input","-",""))))</f>
        <v/>
      </c>
      <c r="BC76" s="103" t="str">
        <f>IF(Reinforcements[[#This Row],[Reinforcement]]="","",IF(Reinforcements[[#This Row],[Top End Connection Same?]]="Yes",Reinforcements[[#This Row],[Rev. G Bottom Connection Capacity (kips)]],IF(Reinforcements[[#This Row],[Reinforcement]]="","",IF(Reinforcements[[#This Row],[Top End Connection Type]]&lt;&gt;"Capacity Input","-",""))))</f>
        <v/>
      </c>
      <c r="BD76" s="253" t="str">
        <f>IF(Reinforcements[[#This Row],[Reinforcement]]="","",IF(Reinforcements[[#This Row],[Top End Connection Same?]]="Yes",Reinforcements[[#This Row],[Rev. G Bottom Connection Capacity (kips)]],IF(Reinforcements[[#This Row],[Reinforcement]]="","",IF(Reinforcements[[#This Row],[Top End Connection Type]]&lt;&gt;"Capacity Input","-",""))))</f>
        <v/>
      </c>
      <c r="BE76" s="103" t="str">
        <f>IF(Reinforcements[[#This Row],[Reinforcement]]="","",IF(Reinforcements[[#This Row],[Top End Connection Same?]]="Yes",Reinforcements[[#This Row],[Bottom End Connection Bolt Type]],IF(Reinforcements[[#This Row],[Top End Connection Type]]&lt;&gt;"Bolted","-","")))</f>
        <v/>
      </c>
      <c r="BF76" s="206" t="str">
        <f>IF(Reinforcements[[#This Row],[Reinforcement]]="","",IF(Reinforcements[[#This Row],[Top End Connection Same?]]="Yes",Reinforcements[[#This Row],[Threads Included (N) or Excluded (X) (Bottom)]],IF(Reinforcements[[#This Row],[Top End Connection Type]]&lt;&gt;"Bolted","-","")))</f>
        <v/>
      </c>
      <c r="BG76" s="206" t="str">
        <f>IF(Reinforcements[[#This Row],[Reinforcement]]="","",IF(Reinforcements[[#This Row],[Top End Connection Same?]]="Yes",Reinforcements[[#This Row],['# of End Connection Bolts          (Bottom)]],IF(Reinforcements[[#This Row],[Top End Connection Type]]&lt;&gt;"Bolted","-","")))</f>
        <v/>
      </c>
      <c r="BH76" s="206" t="str">
        <f>IF(Reinforcements[[#This Row],[Reinforcement]]="","",IF(Reinforcements[[#This Row],[Top End Connection Same?]]="Yes",Reinforcements[[#This Row],[End Connection Bolt Spacing (in) (B)]],IF(Reinforcements[[#This Row],[Top End Connection Type]]&lt;&gt;"Bolted","-","")))</f>
        <v/>
      </c>
      <c r="BI76" s="206" t="str">
        <f>IF(Reinforcements[[#This Row],[Reinforcement]]="","",IF(Reinforcements[[#This Row],[Top End Connection Same?]]="Yes",Reinforcements[[#This Row],[End Connection Edge Distance (in) (B)]],IF(Reinforcements[[#This Row],[Top End Connection Type]]&lt;&gt;"Bolted","-","")))</f>
        <v/>
      </c>
      <c r="BJ76" s="206" t="e">
        <f>Reinforcements[[#This Row],[End Connection Edge Distance (in) (T)]]-(Reinforcements[[#This Row],[Bolt Hole Size (in)]]+1/16)/2</f>
        <v>#VALUE!</v>
      </c>
      <c r="BK76" s="206" t="e">
        <f>Reinforcements[[#This Row],[End Connection Bolt Spacing (in) (T)]]-(Reinforcements[[#This Row],[Bolt Hole Size (in)]]+1/16)</f>
        <v>#VALUE!</v>
      </c>
      <c r="BL76" s="206" t="str">
        <f>Reinforcements[[#This Row],[End Connection Edge Distance (in) (T)]]</f>
        <v/>
      </c>
      <c r="BM76" s="206" t="str">
        <f>Reinforcements[[#This Row],[End Connection Bolt Spacing (in) (T)]]</f>
        <v/>
      </c>
      <c r="BN76" s="206" t="str">
        <f>IF(Reinforcements[[#This Row],[Reinforcement]]="","",IF(Reinforcements[[#This Row],[Top End Connection Same?]]="Yes",Reinforcements[[#This Row],[Bottom Connected to Flange/Base Plate?]],IF(Reinforcements[[#This Row],[Top End Connection Type]]="Bolted","-","")))</f>
        <v/>
      </c>
      <c r="BO76" s="206" t="str">
        <f>IF(Reinforcements[[#This Row],[Reinforcement]]="","",IF(Reinforcements[[#This Row],[Top End Connection Same?]]="Yes",Reinforcements[[#This Row],[Bottom Weld Grade (ksi)]],IF(OR(Reinforcements[[#This Row],[Top End Connection Type]]&lt;&gt;"Welded",Reinforcements[[#This Row],[Top End Connection Type]]=""),"-","")))</f>
        <v/>
      </c>
      <c r="BP76" s="206" t="str">
        <f>IF($AZ76="Yes",AP76,IF(Reinforcements[[#This Row],[Reinforcement]]="","",IF(OR(Reinforcements[[#This Row],[Top End Connection Type]]&lt;&gt;"Welded",Reinforcements[[#This Row],[Top End Connection Type]]=""),"-","")))</f>
        <v/>
      </c>
      <c r="BQ76" s="206" t="str">
        <f>IF(Reinforcements[[#This Row],[Reinforcement]]="","",IF($AZ76="Yes",AQ76,IF(OR(Reinforcements[[#This Row],[Top End Connection Type]]&lt;&gt;"Welded",Reinforcements[[#This Row],[Top Transverse (Horizontal) Weld]]="none",Reinforcements[[#This Row],[Top Transverse (Horizontal) Weld]]=""),"-","")))</f>
        <v/>
      </c>
      <c r="BR76" s="206" t="str">
        <f>IF($AZ76="Yes",AR76,IF(Reinforcements[[#This Row],[Reinforcement]]="","",IF(OR(Reinforcements[[#This Row],[Top Transverse (Horizontal) Weld]]="none",Reinforcements[[#This Row],[Top End Connection Type]]&lt;&gt;"Welded",Reinforcements[[#This Row],[Top Transverse (Horizontal) Weld]]="",Reinforcements[[#This Row],[Top Transverse (Horizontal) Weld]]="Fillet"),"-","")))</f>
        <v/>
      </c>
      <c r="BS76" s="206" t="str">
        <f>IF($AZ76="Yes",AS76,IF(Reinforcements[[#This Row],[Reinforcement]]="","",IF(OR(Reinforcements[[#This Row],[Top Transverse (Horizontal) Weld]]="none",Reinforcements[[#This Row],[Top End Connection Type]]&lt;&gt;"Welded",Reinforcements[[#This Row],[Top Transverse (Horizontal) Weld]]="",Reinforcements[[#This Row],[Top Transverse (Horizontal) Weld]]="Fillet"),"-","")))</f>
        <v/>
      </c>
      <c r="BT76" s="206" t="str">
        <f>IF(Reinforcements[[#This Row],[Reinforcement]]="","",IF($AZ76="Yes",AT76,IF(OR(Reinforcements[[#This Row],[Top Transverse (Horizontal) Weld]]="none",Reinforcements[[#This Row],[Top End Connection Type]]&lt;&gt;"Welded",Reinforcements[[#This Row],[Top Transverse (Horizontal) Weld]]=""),"-","")))</f>
        <v/>
      </c>
      <c r="BU76" s="206" t="str">
        <f>IF($AZ76="Yes",AU76,IF(Reinforcements[[#This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6" s="206" t="str">
        <f>IF($AZ76="Yes",AV76,IF(Reinforcements[[#This Row],[Reinforcement]]="","",IF(OR(Reinforcements[[#This Row],[Top End Connection Type]]&lt;&gt;"Welded",Reinforcements[[#This Row],[Top End Connection Type]]=""),"-","")))</f>
        <v/>
      </c>
      <c r="BW76" s="206" t="str">
        <f>IF($AZ76="Yes",AW76,IF(Reinforcements[[#This Row],[Reinforcement]]="","",IF(OR(Reinforcements[[#This Row],[Top End Connection Type]]&lt;&gt;"Welded",Reinforcements[[#This Row],[Top End Connection Type]]="",Reinforcements[[#This Row],[Top Longitudinal (Vertical) Weld]]="",Reinforcements[[#This Row],[Top Longitudinal (Vertical) Weld]]="None"),"-","")))</f>
        <v/>
      </c>
      <c r="BX76" s="206" t="str">
        <f>IF($AZ76="Yes",AX76,IF(Reinforcements[[#This Row],[Reinforcement]]="","",IF(OR(Reinforcements[[#This Row],[Top End Connection Type]]&lt;&gt;"Welded",Reinforcements[[#This Row],[Top End Connection Type]]="",Reinforcements[[#This Row],[Top Longitudinal (Vertical) Weld]]="",Reinforcements[[#This Row],[Top Longitudinal (Vertical) Weld]]="None"),"-","")))</f>
        <v/>
      </c>
      <c r="BY76" s="206" t="str">
        <f>IF($AZ76="Yes",AY76,IF(Reinforcements[[#This Row],[Reinforcement]]="","",IF(OR(Reinforcements[[#This Row],[Top End Connection Type]]&lt;&gt;"Welded",Reinforcements[[#This Row],[Top Longitudinal (Vertical) Weld]]="none"),"-",SQRT(2)/2*Reinforcements[[#This Row],[Top Longitudinal Weld Fillet Size (in)]])))</f>
        <v/>
      </c>
      <c r="BZ76"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6"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6"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6"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6"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6" s="201" t="str">
        <f>IFERROR(IF(Reinforcements[[#This Row],[Type]]="","",Reinforcements[[#This Row],[Effective B (in)]]*Reinforcements[[#This Row],[Effective H (in)]]^3/12),"")</f>
        <v/>
      </c>
      <c r="CF76" s="201" t="str">
        <f>IFERROR(IF(Reinforcements[[#This Row],[Type]]="","",Reinforcements[[#This Row],[Effective B (in)]]^3*Reinforcements[[#This Row],[Effective H (in)]]/12),"")</f>
        <v/>
      </c>
      <c r="CG76" s="224" t="e">
        <f>SQRT(2*PI()^2*29000/VLOOKUP(Reinforcements[[#This Row],[Material]],Materials[],2,FALSE))</f>
        <v>#N/A</v>
      </c>
      <c r="CH76"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6"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6" s="215" t="e">
        <f>Reinforcements[[#This Row],[Effective Length Factor Kx]]*Reinforcements[[#This Row],[Lu (in)]]/(Reinforcements[[#This Row],[rx]]*PI())*SQRT(VLOOKUP(Reinforcements[[#This Row],[Material]],Materials[],2,FALSE)/29000)</f>
        <v>#VALUE!</v>
      </c>
      <c r="CK76" s="215" t="e">
        <f>Reinforcements[[#This Row],[Effective Length Factor Ky]]*Reinforcements[[#This Row],[Lu (in)]]/(Reinforcements[[#This Row],[ry]]*PI())*SQRT(VLOOKUP(Reinforcements[[#This Row],[Material]],Materials[],2,FALSE)/29000)</f>
        <v>#VALUE!</v>
      </c>
      <c r="CL76" s="215" t="e">
        <f>IF(Reinforcements[[#This Row],[λcx]]&lt;=1.5,0.658^(Reinforcements[[#This Row],[λcx]]^2)*Reinforcements[[#This Row],[F''y]],0.877/(Reinforcements[[#This Row],[λcx]]^2)*Reinforcements[[#This Row],[F''y]])</f>
        <v>#VALUE!</v>
      </c>
      <c r="CM76" s="215" t="e">
        <f>IF(Reinforcements[[#This Row],[λcy]]&lt;=1.5,0.658^(Reinforcements[[#This Row],[λcy]]^2)*Reinforcements[[#This Row],[F''y]],0.877/(Reinforcements[[#This Row],[λcy]]^2)*Reinforcements[[#This Row],[F''y]])</f>
        <v>#VALUE!</v>
      </c>
      <c r="CN76" s="201" t="e">
        <f>VLOOKUP(Reinforcements[[#This Row],[Material]],Materials[],2,FALSE)</f>
        <v>#N/A</v>
      </c>
      <c r="CO76" s="224" t="str">
        <f>IF(Reinforcements[[#This Row],[Reinforcement]]="","",Reinforcements[[#This Row],[Fax]]*Reinforcements[[#This Row],[Gross Area (in2)]])</f>
        <v/>
      </c>
      <c r="CP76" s="224" t="str">
        <f>IF(Reinforcements[[#This Row],[Reinforcement]]="","",Reinforcements[[#This Row],[Fay]]*Reinforcements[[#This Row],[Gross Area (in2)]])</f>
        <v/>
      </c>
      <c r="CQ76" s="224" t="str">
        <f>IF(Reinforcements[[#This Row],[Reinforcement]]="","",0.6*VLOOKUP(Reinforcements[[#This Row],[Material]],Materials[],2,FALSE)*Reinforcements[[#This Row],[Gross Area (in2)]])</f>
        <v/>
      </c>
      <c r="CR76" s="224" t="str">
        <f>IF(Reinforcements[[#This Row],[Reinforcement]]="","",0.5*VLOOKUP(Reinforcements[[#This Row],[Material]],Materials[],3,FALSE)*Reinforcements[[#This Row],[Net Area (in2)]]*Reinforcements[[#This Row],[Shear Lag (U)]])</f>
        <v/>
      </c>
      <c r="CS76" s="224" t="str">
        <f>IF(Reinforcements[[#This Row],[Reinforcement]]="","",0.4*VLOOKUP(Reinforcements[[#This Row],[Material]],Materials[],2,FALSE)*Reinforcements[[#This Row],[Gross Area (in2)]])</f>
        <v/>
      </c>
      <c r="CT76"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6"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6"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6"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6"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6"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6"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6"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6"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6"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6"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6"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6" s="206" t="str">
        <f>IF($AZ76="Yes",DD76,IF(Reinforcements[[#This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6" s="206" t="str">
        <f>IF($AZ76="Yes",DE76,IF(Reinforcements[[#This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6" s="224" t="str">
        <f>IF(Reinforcements[[#This Row],[Reinforcement]]="","",φ_c*Reinforcements[[#This Row],[Fcr,x]]*Reinforcements[[#This Row],[Gross Area (in2)]])</f>
        <v/>
      </c>
      <c r="DI76" s="224" t="str">
        <f>IF(Reinforcements[[#This Row],[Reinforcement]]="","",φ_c*Reinforcements[[#This Row],[Fcr,y]]*Reinforcements[[#This Row],[Gross Area (in2)]])</f>
        <v/>
      </c>
      <c r="DJ76" s="224" t="str">
        <f>IF(Reinforcements[[#This Row],[Reinforcement]]="","",φ_t_y*VLOOKUP(Reinforcements[[#This Row],[Material]],Materials[],2,FALSE)*Reinforcements[[#This Row],[Gross Area (in2)]])</f>
        <v/>
      </c>
      <c r="DK76" s="224" t="str">
        <f>IF(Reinforcements[[#This Row],[Reinforcement]]="","",φ_t_r*VLOOKUP(Reinforcements[[#This Row],[Material]],Materials[],3,FALSE)*Reinforcements[[#This Row],[Net Area (in2)]]*Reinforcements[[#This Row],[Shear Lag (U)]])</f>
        <v/>
      </c>
      <c r="DL76" s="224" t="str">
        <f>IF(Reinforcements[[#This Row],[Reinforcement]]="","",φ_v*0.5*Reinforcements[[#This Row],[F''y]]*Reinforcements[[#This Row],[Gross Area (in2)]])</f>
        <v/>
      </c>
      <c r="DM76"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6"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6"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6"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6"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6"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6"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6"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6"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6"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6"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6"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6" s="206" t="str">
        <f>IF($AZ76="Yes",DW76,IF(Reinforcements[[#This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6" s="206" t="str">
        <f>IF($AZ76="Yes",DX76,IF(Reinforcements[[#This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6" s="507" t="str">
        <f>IF(OR(Reinforcements[[#This Row],[Type]]="plate",Reinforcements[[#This Row],[Type]]="solid round"),"N/A",Reinforcements[[#This Row],[B (in)]])</f>
        <v/>
      </c>
      <c r="EB76" s="508" t="str">
        <f>IF(OR(Reinforcements[[#This Row],[Type]]="plate",Reinforcements[[#This Row],[Type]]="solid round"),"N/A",Reinforcements[[#This Row],[H (in)]])</f>
        <v/>
      </c>
      <c r="EC76" s="508" t="e">
        <f>IF(OR(Reinforcements[[#This Row],[Type]]="plate",Reinforcements[[#This Row],[Type]]="solid round"),"N/A",Reinforcements[[#This Row],[B (in)]]-Reinforcements[[#This Row],['[Channel'] Flange Thickness (in)]])</f>
        <v>#VALUE!</v>
      </c>
      <c r="ED76" s="508" t="str">
        <f>IF(OR(Reinforcements[[#This Row],[Type]]="plate",Reinforcements[[#This Row],[Type]]="solid round"),"N/A",Reinforcements[[#This Row],['[Channel']Web Thickness (in)]])</f>
        <v/>
      </c>
      <c r="EE76" s="508" t="str">
        <f>IF(OR(Reinforcements[[#This Row],[Type]]="plate",Reinforcements[[#This Row],[Type]]="solid round"),"N/A",Reinforcements[[#This Row],['[Channel'] Flange Thickness (in)]])</f>
        <v/>
      </c>
      <c r="EF76" s="508" t="str">
        <f>IF(Reinforcements[[#This Row],[Type]]="channel",Reinforcements[[#This Row],[Channel Flange Width, b]]/Reinforcements[[#This Row],[Channel flange thickness, tf]],"N/A")</f>
        <v>N/A</v>
      </c>
      <c r="EG76" s="508" t="str">
        <f>IF(Reinforcements[[#This Row],[Type]]="channel",Reinforcements[[#This Row],[Channel inside depth, T]]/Reinforcements[[#This Row],[Channel web thickness, tw]],"N/A")</f>
        <v>N/A</v>
      </c>
      <c r="EH76" s="252">
        <v>29000</v>
      </c>
      <c r="EI76" s="252" t="str">
        <f>IF(Reinforcements[[#This Row],[Type]]="channel",0.56*SQRT(Reinforcements[[#This Row],[E, (ksi)]]/Reinforcements[[#This Row],[Fy, (ksi)]]),"N/A")</f>
        <v>N/A</v>
      </c>
      <c r="EJ76" s="252" t="str">
        <f>IF(Reinforcements[[#This Row],[Type]]="channel",1.49*SQRT(Reinforcements[[#This Row],[E, (ksi)]]/Reinforcements[[#This Row],[Fy, (ksi)]]),"N/A")</f>
        <v>N/A</v>
      </c>
      <c r="EK76" s="252" t="e">
        <f>VLOOKUP(Reinforcements[[#This Row],[Material]],Materials!$B$2:$C$30,2,FALSE)</f>
        <v>#N/A</v>
      </c>
      <c r="EL76" s="252" t="e">
        <f>Reinforcements[[#This Row],[Lu (in)]]*Reinforcements[[#This Row],[Effective Length Factor Kx]]</f>
        <v>#VALUE!</v>
      </c>
      <c r="EM76" s="252" t="e">
        <f>Reinforcements[[#This Row],[Lu (in)]]*Reinforcements[[#This Row],[Effective Length Factor Ky]]</f>
        <v>#VALUE!</v>
      </c>
      <c r="EN76" s="252" t="str">
        <f>Reinforcements[[#This Row],[rx]]</f>
        <v/>
      </c>
      <c r="EO76" s="252" t="str">
        <f>Reinforcements[[#This Row],[ry]]</f>
        <v/>
      </c>
      <c r="EP76" s="252" t="e">
        <f>Reinforcements[[#This Row],[Lcx (in)]]/Reinforcements[[#This Row],[rx (in)]]</f>
        <v>#VALUE!</v>
      </c>
      <c r="EQ76" s="252" t="e">
        <f>Reinforcements[[#This Row],[Lcy (in)]]/Reinforcements[[#This Row],[ry (in)]]</f>
        <v>#VALUE!</v>
      </c>
      <c r="ER76" s="252" t="e">
        <f>((PI()^2)*Reinforcements[[#This Row],[E, (ksi)]])/(Reinforcements[[#This Row],[Lcx/rx]]^2)</f>
        <v>#VALUE!</v>
      </c>
      <c r="ES76" s="252" t="e">
        <f>((PI()^2)*Reinforcements[[#This Row],[E, (ksi)]])/(Reinforcements[[#This Row],[Lcy/ry]]^2)</f>
        <v>#VALUE!</v>
      </c>
      <c r="ET76" s="252" t="e">
        <f>4.71*(SQRT(Reinforcements[[#This Row],[E, (ksi)]]/Reinforcements[[#This Row],[Fy, (ksi)]]))</f>
        <v>#N/A</v>
      </c>
      <c r="EU76" s="252" t="e">
        <f>IF(Reinforcements[[#This Row],[Lcx/rx]]&lt;=Reinforcements[[#This Row],[Fcr Limit]],(0.658^(Reinforcements[[#This Row],[Fy, (ksi)]]/Reinforcements[[#This Row],[Fex, FB (ksi)]]))*Reinforcements[[#This Row],[Fy, (ksi)]],0.877*Reinforcements[[#This Row],[Fex, FB (ksi)]])</f>
        <v>#VALUE!</v>
      </c>
      <c r="EV76" s="252" t="e">
        <f>IF(Reinforcements[[#This Row],[Lcy/ry]]&lt;=Reinforcements[[#This Row],[Fcr Limit]],(0.658^(Reinforcements[[#This Row],[Fy, (ksi)]]/Reinforcements[[#This Row],[Fey, FB (ksi)]]))*Reinforcements[[#This Row],[Fy, (ksi)]],0.877*Reinforcements[[#This Row],[Fey, FB (ksi)]])</f>
        <v>#VALUE!</v>
      </c>
      <c r="EW76" s="252" t="e">
        <f>Reinforcements[[#This Row],[Fcrx (ksi)]]*Reinforcements[[#This Row],[Gross Area (in2)]]</f>
        <v>#VALUE!</v>
      </c>
      <c r="EX76" s="252" t="e">
        <f>Reinforcements[[#This Row],[Fcry (ksi)]]*Reinforcements[[#This Row],[Gross Area (in2)]]</f>
        <v>#VALUE!</v>
      </c>
      <c r="EY76" s="252" t="str">
        <f>IF(Reinforcements[[#This Row],[Type]]="channel",0,"N/A")</f>
        <v>N/A</v>
      </c>
      <c r="EZ76" s="252" t="str">
        <f>IF(Reinforcements[[#This Row],[Type]]="channel",Reinforcements[[#This Row],[Channel Flange Width, b]]-(0.5*Reinforcements[[#This Row],[Channel web thickness, tw]]),"N/A")</f>
        <v>N/A</v>
      </c>
      <c r="FA76" s="252" t="str">
        <f>IF(Reinforcements[[#This Row],[Type]]="channel",Reinforcements[[#This Row],[Channel Height, h]]-Reinforcements[[#This Row],[Channel flange thickness, tf]],"N/A")</f>
        <v>N/A</v>
      </c>
      <c r="FB76" s="252" t="str">
        <f>IF(Reinforcements[[#This Row],[Type]]="channel",Reinforcements[[#This Row],[Channel web thickness, tw]],"N/A")</f>
        <v>N/A</v>
      </c>
      <c r="FC76" s="252" t="str">
        <f>IF(Reinforcements[[#This Row],[Type]]="channel",((3*Reinforcements[[#This Row],[b]]^2)/(Reinforcements[[#This Row],[h]]+(6*Reinforcements[[#This Row],[b]])))-Reinforcements[[#This Row],[t]]/2,"N/A")</f>
        <v>N/A</v>
      </c>
      <c r="FD76" s="252" t="str">
        <f>Reinforcements[[#This Row],[Pole Face to Centroid (in)]]</f>
        <v/>
      </c>
      <c r="FE76" s="508" t="str">
        <f>IF(Reinforcements[[#This Row],[Type]]="channel",Reinforcements[[#This Row],[x(bar)]]+Reinforcements[[#This Row],['[Channel'] e0 (in)]],"N/A")</f>
        <v>N/A</v>
      </c>
      <c r="FF76" s="508" t="str">
        <f>IF(Reinforcements[[#This Row],[Type]]="channel",Reinforcements[[#This Row],[Ix]],"N/A")</f>
        <v>N/A</v>
      </c>
      <c r="FG76" s="508" t="str">
        <f>IF(Reinforcements[[#This Row],[Type]]="channel",Reinforcements[[#This Row],[Iy]],"N/A")</f>
        <v>N/A</v>
      </c>
      <c r="FH76" s="508" t="str">
        <f>IF(Reinforcements[[#This Row],[Type]]="channel",Reinforcements[[#This Row],[Gross Area (in2)]],"N/A")</f>
        <v>N/A</v>
      </c>
      <c r="FI76" s="508" t="str">
        <f>IF(Reinforcements[[#This Row],[Type]]="channel",(Reinforcements[[#This Row],[xo]]^2)+((Reinforcements[[#This Row],[Ix (FTB)]]+Reinforcements[[#This Row],[Iy (FTB)]])/Reinforcements[[#This Row],[Ag]]),"N/A")</f>
        <v>N/A</v>
      </c>
      <c r="FJ76" s="508" t="str">
        <f>IF(Reinforcements[[#This Row],[Type]]="channel",Reinforcements[[#This Row],[Lu (in)]],"N/A")</f>
        <v>N/A</v>
      </c>
      <c r="FK76" s="508" t="str">
        <f>IF(Reinforcements[[#This Row],[Type]]="channel",Reinforcements[[#This Row],[Effective Length Factor Kx]],"N/A")</f>
        <v>N/A</v>
      </c>
      <c r="FL76" s="508" t="str">
        <f>IF(Reinforcements[[#This Row],[Type]]="channel",Reinforcements[[#This Row],[Kz]]*Reinforcements[[#This Row],[Lz]],"N/A")</f>
        <v>N/A</v>
      </c>
      <c r="FM76" s="508" t="str">
        <f>IF(Reinforcements[[#This Row],[Type]]="channel",(((Reinforcements[[#This Row],[t]]^3)/3)*(Reinforcements[[#This Row],[h]]+(2*Reinforcements[[#This Row],[b]]))),"N/A")</f>
        <v>N/A</v>
      </c>
      <c r="FN76" s="508" t="str">
        <f>IF(Reinforcements[[#This Row],[Type]]="channel",(1-(((Reinforcements[[#This Row],[xo]]^2)+(Reinforcements[[#This Row],[yo]]^2))/Reinforcements[[#This Row],[ro^2(bar)]])),"N/A")</f>
        <v>N/A</v>
      </c>
      <c r="FO76" s="252">
        <v>11200</v>
      </c>
      <c r="FP76" s="508" t="str">
        <f>IF(Reinforcements[[#This Row],[Type]]="channel",(((Reinforcements[[#This Row],[h]]^2)*(Reinforcements[[#This Row],[b]]^3)*Reinforcements[[#This Row],[t]])/12)*(((2*Reinforcements[[#This Row],[h]])+(3*Reinforcements[[#This Row],[b]]))/(Reinforcements[[#This Row],[h]]+(6*Reinforcements[[#This Row],[b]]))),"N/A")</f>
        <v>N/A</v>
      </c>
      <c r="FQ76" s="508" t="str">
        <f>IF(Reinforcements[[#This Row],[Type]]="Channel",((((PI()^2)*Reinforcements[[#This Row],[E, (ksi)]]*Reinforcements[[#This Row],['[Channel'] CW (in6)]])/(Reinforcements[[#This Row],[Lcz]]^2))+(Reinforcements[[#This Row],[G]]*Reinforcements[[#This Row],['[Channel'] J (in4)]]))*(1/(Reinforcements[[#This Row],[Ag]]*Reinforcements[[#This Row],[ro^2(bar)]])),"N/A")</f>
        <v>N/A</v>
      </c>
      <c r="FR76" s="508" t="str">
        <f>IF(Reinforcements[[#This Row],[Type]]="channel",((PI()^2)*Reinforcements[[#This Row],[E, (ksi)]])/(Reinforcements[[#This Row],[Lcy/ry]]^2),"N/A")</f>
        <v>N/A</v>
      </c>
      <c r="FS76" s="508" t="str">
        <f>IF(Reinforcements[[#This Row],[Type]]="channel",((Reinforcements[[#This Row],[Fey]]+Reinforcements[[#This Row],[Fez]])/(2*Reinforcements[[#This Row],[H2]]))*(1-SQRT(1-((4*Reinforcements[[#This Row],[Fey]]*Reinforcements[[#This Row],[Fez]]*Reinforcements[[#This Row],[H2]])/(Reinforcements[[#This Row],[Fey]]+Reinforcements[[#This Row],[Fez]])^2))),"N/A")</f>
        <v>N/A</v>
      </c>
      <c r="FT76" s="508" t="str">
        <f>IF(Reinforcements[[#This Row],[Type]]="channel",IF(Reinforcements[[#This Row],[Lcx/rx]]&gt;(4.71*SQRT(Reinforcements[[#This Row],[E, (ksi)]]/Reinforcements[[#This Row],[Fy, (ksi)]])),0.877*Reinforcements[[#This Row],[Fe (FTB)]],0.658^(Reinforcements[[#This Row],[Fy, (ksi)]]/Reinforcements[[#This Row],[Fe (FTB)]])*Reinforcements[[#This Row],[Fy, (ksi)]]),"N/A")</f>
        <v>N/A</v>
      </c>
      <c r="FU76" s="508" t="str">
        <f>IF(Reinforcements[[#This Row],[Type]]="channel",MIN(Reinforcements[[#This Row],[Fcr(FTB)]],Reinforcements[[#This Row],[Fcry (ksi)]]),"N/A")</f>
        <v>N/A</v>
      </c>
      <c r="FV76" s="252">
        <v>0.22</v>
      </c>
      <c r="FW76" s="252">
        <v>1.49</v>
      </c>
      <c r="FX76" s="508" t="str">
        <f>IF(Reinforcements[[#This Row],[Type]]="channel",((Reinforcements[[#This Row],[c2]]*(Reinforcements[[#This Row],[λrf]]/Reinforcements[[#This Row],[λf]]))^2)*Reinforcements[[#This Row],[Fy, (ksi)]],"N/A")</f>
        <v>N/A</v>
      </c>
      <c r="FY76" s="508" t="str">
        <f>IF(Reinforcements[[#This Row],[Type]]="channel",((Reinforcements[[#This Row],[c2]]*(Reinforcements[[#This Row],[λrw]]/Reinforcements[[#This Row],[λw]]))^2)*Reinforcements[[#This Row],[Fy, (ksi)]],"N/A")</f>
        <v>N/A</v>
      </c>
      <c r="FZ76"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6"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6"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6" s="508" t="str">
        <f>IF(Reinforcements[[#This Row],[Type]]="channel",Reinforcements[[#This Row],[Fcr]]*Reinforcements[[#This Row],[Ae]],"N/A")</f>
        <v>N/A</v>
      </c>
      <c r="GD76" s="462" t="str">
        <f>IF(Reinforcements[[#This Row],[Reinforcement]]="","",φ_c*Reinforcements[[#This Row],[Pnx, FB (kip)]])</f>
        <v/>
      </c>
      <c r="GE76" s="462" t="str">
        <f>IF(Reinforcements[[#This Row],[Reinforcement]]="","",IF(Reinforcements[[#This Row],[Type]]="channel",φ_c*Reinforcements[[#This Row],[Pn]],φ_c*Reinforcements[[#This Row],[Pny, FB (kip)]]))</f>
        <v/>
      </c>
      <c r="GF76" s="462" t="str">
        <f>Reinforcements[[#This Row],[Rev. G Tension Yield Capacity (kips)]]</f>
        <v/>
      </c>
      <c r="GG76" s="462" t="str">
        <f>Reinforcements[[#This Row],[Rev. G Tension Rupture Capacity (kips)]]</f>
        <v/>
      </c>
      <c r="GH76" s="462" t="str">
        <f>Reinforcements[[#This Row],[Rev. G Shear Capacity (kips)]]</f>
        <v/>
      </c>
      <c r="GI76" s="462" t="str">
        <f>IFERROR((Reinforcements[[#This Row],['# of End Connection Bolts          (Bottom)]]-1)*Reinforcements[[#This Row],[End Connection Bolt Spacing (in) (B)]],"-")</f>
        <v>-</v>
      </c>
      <c r="GJ76" s="462" t="str">
        <f>IFERROR(IF(VLOOKUP(Reinforcements[[#This Row],[Bottom End Connection Bolt Type]],Bolts[],COLUMN(Bolts[[#Headers],[Rev. H Apply Connection Length Reduction Factor (Rb)?]])-1,FALSE)="Yes",(IF(Reinforcements[[#This Row],[Lb(bottom)]]&lt;=16,1,IF(Reinforcements[[#This Row],[Lb(bottom)]]&gt;38,0.75,0.9))),1),"-")</f>
        <v>-</v>
      </c>
      <c r="GK76"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6" s="462" t="str">
        <f>IFERROR(IF(Reinforcements[[#This Row],[Top End Connection Same?]]="Yes",Reinforcements[[#This Row],[Lb(bottom)]],(Reinforcements[[#This Row],['# of End Connection Bolts          (Top)]]-1)*Reinforcements[[#This Row],[End Connection Bolt Spacing (in) (T)]]),"-")</f>
        <v>-</v>
      </c>
      <c r="GM76" s="462" t="str">
        <f>IFERROR(IF(VLOOKUP(Reinforcements[[#This Row],[Top End Connection Bolt Type]],Bolts[],COLUMN(Bolts[[#Headers],[Rev. H Apply Connection Length Reduction Factor (Rb)?]])-1,FALSE)="Yes",(IF(Reinforcements[[#This Row],[Lb(top)]]&lt;=16,1,IF(Reinforcements[[#This Row],[Lb(top)]]&gt;38,0.75,0.9))),1),"-")</f>
        <v>-</v>
      </c>
      <c r="GN76"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6" s="462" t="str">
        <f>Reinforcements[[#This Row],[Rev. G Bolt-Shaft Bearing Capacity (Bottom)                No Deformation          (*t*Fu kips)]]</f>
        <v>-</v>
      </c>
      <c r="GP76" s="462" t="str">
        <f>Reinforcements[[#This Row],[Rev. G Bolt-Shaft Bearing Capacity (Bottom)                   Deformation          (*t*Fu kips)]]</f>
        <v>-</v>
      </c>
      <c r="GQ76" s="462" t="str">
        <f>Reinforcements[[#This Row],[Rev. G Bolt-Shaft Bearing Capacity (Top)                    No Deformation          (*t*Fu kips)]]</f>
        <v>-</v>
      </c>
      <c r="GR76" s="462" t="str">
        <f>Reinforcements[[#This Row],[Rev. G Bolt-Shaft Bearing Capacity (Top)                        Deformation          (*t*Fu kips)]]</f>
        <v>-</v>
      </c>
      <c r="GS76" s="462" t="str">
        <f>Reinforcements[[#This Row],[Rev. G Bolt-Reinf. Bearing Capacity (Bottom)            No Deformation (kips)]]</f>
        <v>-</v>
      </c>
      <c r="GT76" s="462" t="str">
        <f>Reinforcements[[#This Row],[Rev. G Bolt-Reinf. Bearing Capacity (Bottom)               Deformation (kips)]]</f>
        <v>-</v>
      </c>
      <c r="GU76" s="462" t="str">
        <f>Reinforcements[[#This Row],[Rev. G Bolt-Reinf. Bearing Capacity (Top)                  No Deformation (kips)]]</f>
        <v>-</v>
      </c>
      <c r="GV76" s="462" t="str">
        <f>Reinforcements[[#This Row],[Rev. G Bolt-Reinf. Bearing Capacity (Top)               Deformation (kips)]]</f>
        <v>-</v>
      </c>
      <c r="GW76" s="462" t="str">
        <f>Reinforcements[[#This Row],[Rev. G Bottom Transverse Weld Strength]]</f>
        <v/>
      </c>
      <c r="GX76" s="462" t="str">
        <f>Reinforcements[[#This Row],[Rev. G Bottom Longitudinal Weld Strength]]</f>
        <v/>
      </c>
      <c r="GY76" s="462" t="str">
        <f>Reinforcements[[#This Row],[Rev. G Top Transverse Weld Strength]]</f>
        <v/>
      </c>
      <c r="GZ76" s="462" t="str">
        <f>Reinforcements[[#This Row],[Rev. G Top Longitudinal Weld Strength]]</f>
        <v/>
      </c>
      <c r="HA76" s="552">
        <v>74</v>
      </c>
      <c r="HB76"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7" spans="2:210" x14ac:dyDescent="0.2">
      <c r="B77" s="129"/>
      <c r="C77" s="129"/>
      <c r="D77" s="201" t="str">
        <f>IF(Reinforcements[[#This Row],[Type]]="","",IF(Reinforcements[[#This Row],[Type]]="solid round","-",""))</f>
        <v/>
      </c>
      <c r="E77" s="201" t="str">
        <f>IF(Reinforcements[[#This Row],[Type]]="","",IF(Reinforcements[[#This Row],[Type]]="solid round","-",""))</f>
        <v/>
      </c>
      <c r="F77" s="201" t="str">
        <f>IF(Reinforcements[[#This Row],[Type]]="","",IF(Reinforcements[[#This Row],[Type]]="solid round","","n/a"))</f>
        <v/>
      </c>
      <c r="G77" s="201" t="str">
        <f>IF(Reinforcements[[#This Row],[Type]]="","",IF(Reinforcements[[#This Row],[Type]]&lt;&gt;"channel","n/a",""))</f>
        <v/>
      </c>
      <c r="H77" s="201" t="str">
        <f>IF(Reinforcements[[#This Row],[Type]]="","",IF(Reinforcements[[#This Row],[Type]]&lt;&gt;"channel","n/a",""))</f>
        <v/>
      </c>
      <c r="I77" s="224" t="str">
        <f>IF(Reinforcements[[#This Row],[Type]]="","",IF(Reinforcements[[#This Row],[Type]]&lt;&gt;"channel","n/a",Reinforcements[[#This Row],[eo]]))</f>
        <v/>
      </c>
      <c r="J77" s="224" t="str">
        <f>IF(Reinforcements[[#This Row],[Type]]="","",IF(Reinforcements[[#This Row],[Type]]&lt;&gt;"channel","n/a",Reinforcements[[#This Row],[J]]))</f>
        <v/>
      </c>
      <c r="K77" s="224" t="str">
        <f>IF(Reinforcements[[#This Row],[Type]]="","",IF(Reinforcements[[#This Row],[Type]]&lt;&gt;"channel","n/a",Reinforcements[[#This Row],[Cw]]))</f>
        <v/>
      </c>
      <c r="L77" s="201" t="str">
        <f>IFERROR(IF(Reinforcements[[#This Row],[Type]]="","",IF(Reinforcements[[#This Row],[Type]]="plate",Reinforcements[[#This Row],[B (in)]]*Reinforcements[[#This Row],[H (in)]],IF(Reinforcements[[#This Row],[Type]]="solid round",PI()/4*Reinforcements[[#This Row],[Diameter (in)]]^2,""))),"")</f>
        <v/>
      </c>
      <c r="M77" s="201" t="str">
        <f>IFERROR(IF(Reinforcements[[#This Row],[Type]]="","",IF(Reinforcements[[#This Row],[Type]]="plate",Reinforcements[[#This Row],[H (in)]]/2,"")),"")</f>
        <v/>
      </c>
      <c r="N77" s="202"/>
      <c r="O77" s="203"/>
      <c r="P77" s="215" t="str">
        <f>IFERROR(IF(Reinforcements[[#This Row],[Type]]="","",IF(Reinforcements[[#This Row],[Type]]="plate",Reinforcements[[#This Row],[B (in)]]*Reinforcements[[#This Row],[H (in)]]^3/12,IF(Reinforcements[[#This Row],[Type]]="solid round",PI()/64*Reinforcements[[#This Row],[Diameter (in)]]^4,""))),"")</f>
        <v/>
      </c>
      <c r="Q77" s="215" t="str">
        <f>IF(Reinforcements[[#This Row],[Reinforcement]]="","",SQRT(Reinforcements[[#This Row],[Ix]]/Reinforcements[[#This Row],[Gross Area (in2)]]))</f>
        <v/>
      </c>
      <c r="R77" s="215" t="str">
        <f>IFERROR(IF(Reinforcements[[#This Row],[Type]]="","",IF(Reinforcements[[#This Row],[Type]]="plate",Reinforcements[[#This Row],[B (in)]]^3*Reinforcements[[#This Row],[H (in)]]/12,IF(Reinforcements[[#This Row],[Type]]="solid round",PI()/64*Reinforcements[[#This Row],[Diameter (in)]]^4,""))),"")</f>
        <v/>
      </c>
      <c r="S77" s="215" t="str">
        <f>IF(Reinforcements[[#This Row],[Reinforcement]]="","",SQRT(Reinforcements[[#This Row],[Iy]]/Reinforcements[[#This Row],[Gross Area (in2)]]))</f>
        <v/>
      </c>
      <c r="T77" s="206"/>
      <c r="U77" s="204" t="str">
        <f>IF(Reinforcements[[#This Row],[Lu (in)]]="","",IF(Reinforcements[[#This Row],[Lu (in)]]=0,1,""))</f>
        <v/>
      </c>
      <c r="V77" s="204" t="str">
        <f>IF(Reinforcements[[#This Row],[Lu (in)]]="","",IF(Reinforcements[[#This Row],[Lu (in)]]=0,1,""))</f>
        <v/>
      </c>
      <c r="W77" s="201" t="str">
        <f>IF(Reinforcements[[#This Row],[Type]]="","",IF(Reinforcements[[#This Row],[Type]]="solid round",0,IF(Reinforcements[[#This Row],[Type]]="arbitrary","n/a","")))</f>
        <v/>
      </c>
      <c r="X77" s="204" t="str">
        <f>IF(Reinforcements[[#This Row],[Bolt Hole Size (in)]]="","",IF(Reinforcements[[#This Row],[Bolt Hole Size (in)]]="n/a","n/a",Reinforcements[[#This Row],[Bolt Hole Size (in)]]*25.4))</f>
        <v/>
      </c>
      <c r="Y77"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7" s="201" t="str">
        <f>IFERROR(IF(Reinforcements[[#This Row],[Reinforcement]]="","",IF(OR(Reinforcements[[#This Row],[Type]]="plate",Reinforcements[[#This Row],[Type]]="solid round"),1,IF(Reinforcements[[#This Row],[Type]]="arbitrary","",1-Reinforcements[[#This Row],[Pole Face to Centroid (in)]]/Reinforcements[[#This Row],[Connection Length (in) '[Channels']]]))),"")</f>
        <v/>
      </c>
      <c r="AA77" s="205"/>
      <c r="AB77" s="103" t="str">
        <f>IF(Reinforcements[[#This Row],[Reinforcement]]="","",IF(Reinforcements[[#This Row],[Bottom End Connection Type]]&lt;&gt;"Capacity Input","-",""))</f>
        <v/>
      </c>
      <c r="AC77" s="103" t="str">
        <f>IF(Reinforcements[[#This Row],[Reinforcement]]="","",IF(Reinforcements[[#This Row],[Bottom End Connection Type]]&lt;&gt;"Capacity Input","-",""))</f>
        <v/>
      </c>
      <c r="AD77" s="253" t="str">
        <f>IF(Reinforcements[[#This Row],[Reinforcement]]="","",IF(Reinforcements[[#This Row],[Bottom End Connection Type]]&lt;&gt;"Capacity Input","-",""))</f>
        <v/>
      </c>
      <c r="AE77" s="103" t="str">
        <f>IF(Reinforcements[[#This Row],[Reinforcement]]="","",IF(Reinforcements[[#This Row],[Bottom End Connection Type]]&lt;&gt;"Bolted","-",""))</f>
        <v/>
      </c>
      <c r="AF77" s="206" t="str">
        <f>IF(Reinforcements[[#This Row],[Reinforcement]]="","",IF(Reinforcements[[#This Row],[Bottom End Connection Type]]&lt;&gt;"Bolted","-",""))</f>
        <v/>
      </c>
      <c r="AG77" s="206" t="str">
        <f>IF(Reinforcements[[#This Row],[Reinforcement]]="","",IF(Reinforcements[[#This Row],[Bottom End Connection Type]]="","-",IF(Reinforcements[[#This Row],[Bottom End Connection Type]]&lt;&gt;"Bolted","-","")))</f>
        <v/>
      </c>
      <c r="AH77" s="206" t="str">
        <f>IF(Reinforcements[[#This Row],[Reinforcement]]="","",IF(Reinforcements[[#This Row],[Bottom End Connection Type]]="","-",IF(Reinforcements[[#This Row],[Bottom End Connection Type]]&lt;&gt;"Bolted","-","")))</f>
        <v/>
      </c>
      <c r="AI77" s="206" t="str">
        <f>IF(Reinforcements[[#This Row],[Reinforcement]]="","",IF(Reinforcements[[#This Row],[Bottom End Connection Type]]="","-",IF(Reinforcements[[#This Row],[Bottom End Connection Type]]&lt;&gt;"Bolted","-","")))</f>
        <v/>
      </c>
      <c r="AJ77" s="206" t="e">
        <f>Reinforcements[[#This Row],[End Connection Edge Distance (in) (B)]]-(Reinforcements[[#This Row],[Bolt Hole Size (in)]]+1/16)/2</f>
        <v>#VALUE!</v>
      </c>
      <c r="AK77" s="206" t="e">
        <f>Reinforcements[[#This Row],[End Connection Bolt Spacing (in) (B)]]-(Reinforcements[[#This Row],[Bolt Hole Size (in)]]+1/16)</f>
        <v>#VALUE!</v>
      </c>
      <c r="AL77" s="206" t="str">
        <f>Reinforcements[[#This Row],[End Connection Edge Distance (in) (B)]]</f>
        <v/>
      </c>
      <c r="AM77" s="206" t="str">
        <f>Reinforcements[[#This Row],[End Connection Bolt Spacing (in) (B)]]</f>
        <v/>
      </c>
      <c r="AN77" s="206" t="str">
        <f>IF(Reinforcements[[#This Row],[Reinforcement]]="","",IF(OR(Reinforcements[[#This Row],[Bottom End Connection Type]]="Bolted",Reinforcements[[#This Row],[Bottom End Connection Type]]=""),"-",""))</f>
        <v/>
      </c>
      <c r="AO77" s="214" t="str">
        <f>IF(Reinforcements[[#This Row],[Reinforcement]]="","",IF(Reinforcements[[#This Row],[Bottom End Connection Type]]&lt;&gt;"Welded","-",""))</f>
        <v/>
      </c>
      <c r="AP77" s="214" t="str">
        <f>IF(Reinforcements[[#This Row],[Reinforcement]]="","",IF(Reinforcements[[#This Row],[Bottom End Connection Type]]&lt;&gt;"Welded","-",""))</f>
        <v/>
      </c>
      <c r="AQ77" s="214" t="str">
        <f>IF(Reinforcements[[#This Row],[Reinforcement]]="","",IF(OR(Reinforcements[[#This Row],[Bottom End Connection Type]]&lt;&gt;"Welded",Reinforcements[[#This Row],[Bottom Transverse (Horizontal) Weld]]="None"),"-",""))</f>
        <v/>
      </c>
      <c r="AR77"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7"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7" s="214" t="str">
        <f>IF(Reinforcements[[#This Row],[Reinforcement]]="","",IF(OR(Reinforcements[[#This Row],[Bottom Transverse (Horizontal) Weld]]="None",Reinforcements[[#This Row],[Bottom End Connection Type]]&lt;&gt;"Welded"),"-",""))</f>
        <v/>
      </c>
      <c r="AU77"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7" s="214" t="str">
        <f>IF(Reinforcements[[#This Row],[Reinforcement]]="","",IF(OR(Reinforcements[[#This Row],[Bottom End Connection Type]]&lt;&gt;"Welded",Reinforcements[[#This Row],[Bottom End Connection Type]]=""),"-",""))</f>
        <v/>
      </c>
      <c r="AW77" s="214" t="str">
        <f>IF(Reinforcements[[#This Row],[Reinforcement]]="","",IF(OR(Reinforcements[[#This Row],[Bottom End Connection Type]]&lt;&gt;"Welded",Reinforcements[[#This Row],[Bottom Longitudinal (Vertical) Weld]]="None",Reinforcements[[#This Row],[Bottom Longitudinal (Vertical) Weld]]=""),"-",""))</f>
        <v/>
      </c>
      <c r="AX77" s="214" t="str">
        <f>IF(Reinforcements[[#This Row],[Reinforcement]]="","",IF(OR(Reinforcements[[#This Row],[Bottom End Connection Type]]&lt;&gt;"Welded",Reinforcements[[#This Row],[Bottom Longitudinal (Vertical) Weld]]="None",Reinforcements[[#This Row],[Bottom Longitudinal (Vertical) Weld]]=""),"-",""))</f>
        <v/>
      </c>
      <c r="AY77" s="206" t="str">
        <f>IF(Reinforcements[[#This Row],[Reinforcement]]="","",IF(OR(Reinforcements[[#This Row],[Bottom End Connection Type]]&lt;&gt;"Welded",Reinforcements[[#This Row],[Bottom Longitudinal (Vertical) Weld]]="None"),"-",SQRT(2)/2*Reinforcements[[#This Row],[Bottom Longitudinal Weld Fillet Size (in)]]))</f>
        <v/>
      </c>
      <c r="AZ77" s="206"/>
      <c r="BA77" s="103" t="str">
        <f>IF(Reinforcements[[#This Row],[Top End Connection Same?]]="Yes",Reinforcements[[#This Row],[Bottom End Connection Type]],"")</f>
        <v/>
      </c>
      <c r="BB77" s="103" t="str">
        <f>IF(Reinforcements[[#This Row],[Reinforcement]]="","",IF(Reinforcements[[#This Row],[Top End Connection Same?]]="Yes",Reinforcements[[#This Row],[Rev. F Bottom Connection Capacity (kips)]],IF(Reinforcements[[#This Row],[Reinforcement]]="","",IF(Reinforcements[[#This Row],[Top End Connection Type]]&lt;&gt;"Capacity Input","-",""))))</f>
        <v/>
      </c>
      <c r="BC77" s="103" t="str">
        <f>IF(Reinforcements[[#This Row],[Reinforcement]]="","",IF(Reinforcements[[#This Row],[Top End Connection Same?]]="Yes",Reinforcements[[#This Row],[Rev. G Bottom Connection Capacity (kips)]],IF(Reinforcements[[#This Row],[Reinforcement]]="","",IF(Reinforcements[[#This Row],[Top End Connection Type]]&lt;&gt;"Capacity Input","-",""))))</f>
        <v/>
      </c>
      <c r="BD77" s="253" t="str">
        <f>IF(Reinforcements[[#This Row],[Reinforcement]]="","",IF(Reinforcements[[#This Row],[Top End Connection Same?]]="Yes",Reinforcements[[#This Row],[Rev. G Bottom Connection Capacity (kips)]],IF(Reinforcements[[#This Row],[Reinforcement]]="","",IF(Reinforcements[[#This Row],[Top End Connection Type]]&lt;&gt;"Capacity Input","-",""))))</f>
        <v/>
      </c>
      <c r="BE77" s="103" t="str">
        <f>IF(Reinforcements[[#This Row],[Reinforcement]]="","",IF(Reinforcements[[#This Row],[Top End Connection Same?]]="Yes",Reinforcements[[#This Row],[Bottom End Connection Bolt Type]],IF(Reinforcements[[#This Row],[Top End Connection Type]]&lt;&gt;"Bolted","-","")))</f>
        <v/>
      </c>
      <c r="BF77" s="206" t="str">
        <f>IF(Reinforcements[[#This Row],[Reinforcement]]="","",IF(Reinforcements[[#This Row],[Top End Connection Same?]]="Yes",Reinforcements[[#This Row],[Threads Included (N) or Excluded (X) (Bottom)]],IF(Reinforcements[[#This Row],[Top End Connection Type]]&lt;&gt;"Bolted","-","")))</f>
        <v/>
      </c>
      <c r="BG77" s="206" t="str">
        <f>IF(Reinforcements[[#This Row],[Reinforcement]]="","",IF(Reinforcements[[#This Row],[Top End Connection Same?]]="Yes",Reinforcements[[#This Row],['# of End Connection Bolts          (Bottom)]],IF(Reinforcements[[#This Row],[Top End Connection Type]]&lt;&gt;"Bolted","-","")))</f>
        <v/>
      </c>
      <c r="BH77" s="206" t="str">
        <f>IF(Reinforcements[[#This Row],[Reinforcement]]="","",IF(Reinforcements[[#This Row],[Top End Connection Same?]]="Yes",Reinforcements[[#This Row],[End Connection Bolt Spacing (in) (B)]],IF(Reinforcements[[#This Row],[Top End Connection Type]]&lt;&gt;"Bolted","-","")))</f>
        <v/>
      </c>
      <c r="BI77" s="206" t="str">
        <f>IF(Reinforcements[[#This Row],[Reinforcement]]="","",IF(Reinforcements[[#This Row],[Top End Connection Same?]]="Yes",Reinforcements[[#This Row],[End Connection Edge Distance (in) (B)]],IF(Reinforcements[[#This Row],[Top End Connection Type]]&lt;&gt;"Bolted","-","")))</f>
        <v/>
      </c>
      <c r="BJ77" s="206" t="e">
        <f>Reinforcements[[#This Row],[End Connection Edge Distance (in) (T)]]-(Reinforcements[[#This Row],[Bolt Hole Size (in)]]+1/16)/2</f>
        <v>#VALUE!</v>
      </c>
      <c r="BK77" s="206" t="e">
        <f>Reinforcements[[#This Row],[End Connection Bolt Spacing (in) (T)]]-(Reinforcements[[#This Row],[Bolt Hole Size (in)]]+1/16)</f>
        <v>#VALUE!</v>
      </c>
      <c r="BL77" s="206" t="str">
        <f>Reinforcements[[#This Row],[End Connection Edge Distance (in) (T)]]</f>
        <v/>
      </c>
      <c r="BM77" s="206" t="str">
        <f>Reinforcements[[#This Row],[End Connection Bolt Spacing (in) (T)]]</f>
        <v/>
      </c>
      <c r="BN77" s="206" t="str">
        <f>IF(Reinforcements[[#This Row],[Reinforcement]]="","",IF(Reinforcements[[#This Row],[Top End Connection Same?]]="Yes",Reinforcements[[#This Row],[Bottom Connected to Flange/Base Plate?]],IF(Reinforcements[[#This Row],[Top End Connection Type]]="Bolted","-","")))</f>
        <v/>
      </c>
      <c r="BO77" s="206" t="str">
        <f>IF(Reinforcements[[#This Row],[Reinforcement]]="","",IF(Reinforcements[[#This Row],[Top End Connection Same?]]="Yes",Reinforcements[[#This Row],[Bottom Weld Grade (ksi)]],IF(OR(Reinforcements[[#This Row],[Top End Connection Type]]&lt;&gt;"Welded",Reinforcements[[#This Row],[Top End Connection Type]]=""),"-","")))</f>
        <v/>
      </c>
      <c r="BP77" s="206" t="str">
        <f>IF($AZ77="Yes",AP77,IF(Reinforcements[[#This Row],[Reinforcement]]="","",IF(OR(Reinforcements[[#This Row],[Top End Connection Type]]&lt;&gt;"Welded",Reinforcements[[#This Row],[Top End Connection Type]]=""),"-","")))</f>
        <v/>
      </c>
      <c r="BQ77" s="206" t="str">
        <f>IF(Reinforcements[[#This Row],[Reinforcement]]="","",IF($AZ77="Yes",AQ77,IF(OR(Reinforcements[[#This Row],[Top End Connection Type]]&lt;&gt;"Welded",Reinforcements[[#This Row],[Top Transverse (Horizontal) Weld]]="none",Reinforcements[[#This Row],[Top Transverse (Horizontal) Weld]]=""),"-","")))</f>
        <v/>
      </c>
      <c r="BR77" s="206" t="str">
        <f>IF($AZ77="Yes",AR77,IF(Reinforcements[[#This Row],[Reinforcement]]="","",IF(OR(Reinforcements[[#This Row],[Top Transverse (Horizontal) Weld]]="none",Reinforcements[[#This Row],[Top End Connection Type]]&lt;&gt;"Welded",Reinforcements[[#This Row],[Top Transverse (Horizontal) Weld]]="",Reinforcements[[#This Row],[Top Transverse (Horizontal) Weld]]="Fillet"),"-","")))</f>
        <v/>
      </c>
      <c r="BS77" s="206" t="str">
        <f>IF($AZ77="Yes",AS77,IF(Reinforcements[[#This Row],[Reinforcement]]="","",IF(OR(Reinforcements[[#This Row],[Top Transverse (Horizontal) Weld]]="none",Reinforcements[[#This Row],[Top End Connection Type]]&lt;&gt;"Welded",Reinforcements[[#This Row],[Top Transverse (Horizontal) Weld]]="",Reinforcements[[#This Row],[Top Transverse (Horizontal) Weld]]="Fillet"),"-","")))</f>
        <v/>
      </c>
      <c r="BT77" s="206" t="str">
        <f>IF(Reinforcements[[#This Row],[Reinforcement]]="","",IF($AZ77="Yes",AT77,IF(OR(Reinforcements[[#This Row],[Top Transverse (Horizontal) Weld]]="none",Reinforcements[[#This Row],[Top End Connection Type]]&lt;&gt;"Welded",Reinforcements[[#This Row],[Top Transverse (Horizontal) Weld]]=""),"-","")))</f>
        <v/>
      </c>
      <c r="BU77" s="206" t="str">
        <f>IF($AZ77="Yes",AU77,IF(Reinforcements[[#This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7" s="206" t="str">
        <f>IF($AZ77="Yes",AV77,IF(Reinforcements[[#This Row],[Reinforcement]]="","",IF(OR(Reinforcements[[#This Row],[Top End Connection Type]]&lt;&gt;"Welded",Reinforcements[[#This Row],[Top End Connection Type]]=""),"-","")))</f>
        <v/>
      </c>
      <c r="BW77" s="206" t="str">
        <f>IF($AZ77="Yes",AW77,IF(Reinforcements[[#This Row],[Reinforcement]]="","",IF(OR(Reinforcements[[#This Row],[Top End Connection Type]]&lt;&gt;"Welded",Reinforcements[[#This Row],[Top End Connection Type]]="",Reinforcements[[#This Row],[Top Longitudinal (Vertical) Weld]]="",Reinforcements[[#This Row],[Top Longitudinal (Vertical) Weld]]="None"),"-","")))</f>
        <v/>
      </c>
      <c r="BX77" s="206" t="str">
        <f>IF($AZ77="Yes",AX77,IF(Reinforcements[[#This Row],[Reinforcement]]="","",IF(OR(Reinforcements[[#This Row],[Top End Connection Type]]&lt;&gt;"Welded",Reinforcements[[#This Row],[Top End Connection Type]]="",Reinforcements[[#This Row],[Top Longitudinal (Vertical) Weld]]="",Reinforcements[[#This Row],[Top Longitudinal (Vertical) Weld]]="None"),"-","")))</f>
        <v/>
      </c>
      <c r="BY77" s="206" t="str">
        <f>IF($AZ77="Yes",AY77,IF(Reinforcements[[#This Row],[Reinforcement]]="","",IF(OR(Reinforcements[[#This Row],[Top End Connection Type]]&lt;&gt;"Welded",Reinforcements[[#This Row],[Top Longitudinal (Vertical) Weld]]="none"),"-",SQRT(2)/2*Reinforcements[[#This Row],[Top Longitudinal Weld Fillet Size (in)]])))</f>
        <v/>
      </c>
      <c r="BZ77"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7"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7"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7"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7"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7" s="201" t="str">
        <f>IFERROR(IF(Reinforcements[[#This Row],[Type]]="","",Reinforcements[[#This Row],[Effective B (in)]]*Reinforcements[[#This Row],[Effective H (in)]]^3/12),"")</f>
        <v/>
      </c>
      <c r="CF77" s="201" t="str">
        <f>IFERROR(IF(Reinforcements[[#This Row],[Type]]="","",Reinforcements[[#This Row],[Effective B (in)]]^3*Reinforcements[[#This Row],[Effective H (in)]]/12),"")</f>
        <v/>
      </c>
      <c r="CG77" s="224" t="e">
        <f>SQRT(2*PI()^2*29000/VLOOKUP(Reinforcements[[#This Row],[Material]],Materials[],2,FALSE))</f>
        <v>#N/A</v>
      </c>
      <c r="CH77"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7"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7" s="215" t="e">
        <f>Reinforcements[[#This Row],[Effective Length Factor Kx]]*Reinforcements[[#This Row],[Lu (in)]]/(Reinforcements[[#This Row],[rx]]*PI())*SQRT(VLOOKUP(Reinforcements[[#This Row],[Material]],Materials[],2,FALSE)/29000)</f>
        <v>#VALUE!</v>
      </c>
      <c r="CK77" s="215" t="e">
        <f>Reinforcements[[#This Row],[Effective Length Factor Ky]]*Reinforcements[[#This Row],[Lu (in)]]/(Reinforcements[[#This Row],[ry]]*PI())*SQRT(VLOOKUP(Reinforcements[[#This Row],[Material]],Materials[],2,FALSE)/29000)</f>
        <v>#VALUE!</v>
      </c>
      <c r="CL77" s="215" t="e">
        <f>IF(Reinforcements[[#This Row],[λcx]]&lt;=1.5,0.658^(Reinforcements[[#This Row],[λcx]]^2)*Reinforcements[[#This Row],[F''y]],0.877/(Reinforcements[[#This Row],[λcx]]^2)*Reinforcements[[#This Row],[F''y]])</f>
        <v>#VALUE!</v>
      </c>
      <c r="CM77" s="215" t="e">
        <f>IF(Reinforcements[[#This Row],[λcy]]&lt;=1.5,0.658^(Reinforcements[[#This Row],[λcy]]^2)*Reinforcements[[#This Row],[F''y]],0.877/(Reinforcements[[#This Row],[λcy]]^2)*Reinforcements[[#This Row],[F''y]])</f>
        <v>#VALUE!</v>
      </c>
      <c r="CN77" s="201" t="e">
        <f>VLOOKUP(Reinforcements[[#This Row],[Material]],Materials[],2,FALSE)</f>
        <v>#N/A</v>
      </c>
      <c r="CO77" s="224" t="str">
        <f>IF(Reinforcements[[#This Row],[Reinforcement]]="","",Reinforcements[[#This Row],[Fax]]*Reinforcements[[#This Row],[Gross Area (in2)]])</f>
        <v/>
      </c>
      <c r="CP77" s="224" t="str">
        <f>IF(Reinforcements[[#This Row],[Reinforcement]]="","",Reinforcements[[#This Row],[Fay]]*Reinforcements[[#This Row],[Gross Area (in2)]])</f>
        <v/>
      </c>
      <c r="CQ77" s="224" t="str">
        <f>IF(Reinforcements[[#This Row],[Reinforcement]]="","",0.6*VLOOKUP(Reinforcements[[#This Row],[Material]],Materials[],2,FALSE)*Reinforcements[[#This Row],[Gross Area (in2)]])</f>
        <v/>
      </c>
      <c r="CR77" s="224" t="str">
        <f>IF(Reinforcements[[#This Row],[Reinforcement]]="","",0.5*VLOOKUP(Reinforcements[[#This Row],[Material]],Materials[],3,FALSE)*Reinforcements[[#This Row],[Net Area (in2)]]*Reinforcements[[#This Row],[Shear Lag (U)]])</f>
        <v/>
      </c>
      <c r="CS77" s="224" t="str">
        <f>IF(Reinforcements[[#This Row],[Reinforcement]]="","",0.4*VLOOKUP(Reinforcements[[#This Row],[Material]],Materials[],2,FALSE)*Reinforcements[[#This Row],[Gross Area (in2)]])</f>
        <v/>
      </c>
      <c r="CT77"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7"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7"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7"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7"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7"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7"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7"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7"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7"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7"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7"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7" s="206" t="str">
        <f>IF($AZ77="Yes",DD77,IF(Reinforcements[[#This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7" s="206" t="str">
        <f>IF($AZ77="Yes",DE77,IF(Reinforcements[[#This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7" s="224" t="str">
        <f>IF(Reinforcements[[#This Row],[Reinforcement]]="","",φ_c*Reinforcements[[#This Row],[Fcr,x]]*Reinforcements[[#This Row],[Gross Area (in2)]])</f>
        <v/>
      </c>
      <c r="DI77" s="224" t="str">
        <f>IF(Reinforcements[[#This Row],[Reinforcement]]="","",φ_c*Reinforcements[[#This Row],[Fcr,y]]*Reinforcements[[#This Row],[Gross Area (in2)]])</f>
        <v/>
      </c>
      <c r="DJ77" s="224" t="str">
        <f>IF(Reinforcements[[#This Row],[Reinforcement]]="","",φ_t_y*VLOOKUP(Reinforcements[[#This Row],[Material]],Materials[],2,FALSE)*Reinforcements[[#This Row],[Gross Area (in2)]])</f>
        <v/>
      </c>
      <c r="DK77" s="224" t="str">
        <f>IF(Reinforcements[[#This Row],[Reinforcement]]="","",φ_t_r*VLOOKUP(Reinforcements[[#This Row],[Material]],Materials[],3,FALSE)*Reinforcements[[#This Row],[Net Area (in2)]]*Reinforcements[[#This Row],[Shear Lag (U)]])</f>
        <v/>
      </c>
      <c r="DL77" s="224" t="str">
        <f>IF(Reinforcements[[#This Row],[Reinforcement]]="","",φ_v*0.5*Reinforcements[[#This Row],[F''y]]*Reinforcements[[#This Row],[Gross Area (in2)]])</f>
        <v/>
      </c>
      <c r="DM77"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7"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7"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7"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7"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7"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7"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7"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7"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7"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7"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7"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7" s="206" t="str">
        <f>IF($AZ77="Yes",DW77,IF(Reinforcements[[#This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7" s="206" t="str">
        <f>IF($AZ77="Yes",DX77,IF(Reinforcements[[#This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7" s="507" t="str">
        <f>IF(OR(Reinforcements[[#This Row],[Type]]="plate",Reinforcements[[#This Row],[Type]]="solid round"),"N/A",Reinforcements[[#This Row],[B (in)]])</f>
        <v/>
      </c>
      <c r="EB77" s="508" t="str">
        <f>IF(OR(Reinforcements[[#This Row],[Type]]="plate",Reinforcements[[#This Row],[Type]]="solid round"),"N/A",Reinforcements[[#This Row],[H (in)]])</f>
        <v/>
      </c>
      <c r="EC77" s="508" t="e">
        <f>IF(OR(Reinforcements[[#This Row],[Type]]="plate",Reinforcements[[#This Row],[Type]]="solid round"),"N/A",Reinforcements[[#This Row],[B (in)]]-Reinforcements[[#This Row],['[Channel'] Flange Thickness (in)]])</f>
        <v>#VALUE!</v>
      </c>
      <c r="ED77" s="508" t="str">
        <f>IF(OR(Reinforcements[[#This Row],[Type]]="plate",Reinforcements[[#This Row],[Type]]="solid round"),"N/A",Reinforcements[[#This Row],['[Channel']Web Thickness (in)]])</f>
        <v/>
      </c>
      <c r="EE77" s="508" t="str">
        <f>IF(OR(Reinforcements[[#This Row],[Type]]="plate",Reinforcements[[#This Row],[Type]]="solid round"),"N/A",Reinforcements[[#This Row],['[Channel'] Flange Thickness (in)]])</f>
        <v/>
      </c>
      <c r="EF77" s="508" t="str">
        <f>IF(Reinforcements[[#This Row],[Type]]="channel",Reinforcements[[#This Row],[Channel Flange Width, b]]/Reinforcements[[#This Row],[Channel flange thickness, tf]],"N/A")</f>
        <v>N/A</v>
      </c>
      <c r="EG77" s="508" t="str">
        <f>IF(Reinforcements[[#This Row],[Type]]="channel",Reinforcements[[#This Row],[Channel inside depth, T]]/Reinforcements[[#This Row],[Channel web thickness, tw]],"N/A")</f>
        <v>N/A</v>
      </c>
      <c r="EH77" s="252">
        <v>29000</v>
      </c>
      <c r="EI77" s="252" t="str">
        <f>IF(Reinforcements[[#This Row],[Type]]="channel",0.56*SQRT(Reinforcements[[#This Row],[E, (ksi)]]/Reinforcements[[#This Row],[Fy, (ksi)]]),"N/A")</f>
        <v>N/A</v>
      </c>
      <c r="EJ77" s="252" t="str">
        <f>IF(Reinforcements[[#This Row],[Type]]="channel",1.49*SQRT(Reinforcements[[#This Row],[E, (ksi)]]/Reinforcements[[#This Row],[Fy, (ksi)]]),"N/A")</f>
        <v>N/A</v>
      </c>
      <c r="EK77" s="252" t="e">
        <f>VLOOKUP(Reinforcements[[#This Row],[Material]],Materials!$B$2:$C$30,2,FALSE)</f>
        <v>#N/A</v>
      </c>
      <c r="EL77" s="252" t="e">
        <f>Reinforcements[[#This Row],[Lu (in)]]*Reinforcements[[#This Row],[Effective Length Factor Kx]]</f>
        <v>#VALUE!</v>
      </c>
      <c r="EM77" s="252" t="e">
        <f>Reinforcements[[#This Row],[Lu (in)]]*Reinforcements[[#This Row],[Effective Length Factor Ky]]</f>
        <v>#VALUE!</v>
      </c>
      <c r="EN77" s="252" t="str">
        <f>Reinforcements[[#This Row],[rx]]</f>
        <v/>
      </c>
      <c r="EO77" s="252" t="str">
        <f>Reinforcements[[#This Row],[ry]]</f>
        <v/>
      </c>
      <c r="EP77" s="252" t="e">
        <f>Reinforcements[[#This Row],[Lcx (in)]]/Reinforcements[[#This Row],[rx (in)]]</f>
        <v>#VALUE!</v>
      </c>
      <c r="EQ77" s="252" t="e">
        <f>Reinforcements[[#This Row],[Lcy (in)]]/Reinforcements[[#This Row],[ry (in)]]</f>
        <v>#VALUE!</v>
      </c>
      <c r="ER77" s="252" t="e">
        <f>((PI()^2)*Reinforcements[[#This Row],[E, (ksi)]])/(Reinforcements[[#This Row],[Lcx/rx]]^2)</f>
        <v>#VALUE!</v>
      </c>
      <c r="ES77" s="252" t="e">
        <f>((PI()^2)*Reinforcements[[#This Row],[E, (ksi)]])/(Reinforcements[[#This Row],[Lcy/ry]]^2)</f>
        <v>#VALUE!</v>
      </c>
      <c r="ET77" s="252" t="e">
        <f>4.71*(SQRT(Reinforcements[[#This Row],[E, (ksi)]]/Reinforcements[[#This Row],[Fy, (ksi)]]))</f>
        <v>#N/A</v>
      </c>
      <c r="EU77" s="252" t="e">
        <f>IF(Reinforcements[[#This Row],[Lcx/rx]]&lt;=Reinforcements[[#This Row],[Fcr Limit]],(0.658^(Reinforcements[[#This Row],[Fy, (ksi)]]/Reinforcements[[#This Row],[Fex, FB (ksi)]]))*Reinforcements[[#This Row],[Fy, (ksi)]],0.877*Reinforcements[[#This Row],[Fex, FB (ksi)]])</f>
        <v>#VALUE!</v>
      </c>
      <c r="EV77" s="252" t="e">
        <f>IF(Reinforcements[[#This Row],[Lcy/ry]]&lt;=Reinforcements[[#This Row],[Fcr Limit]],(0.658^(Reinforcements[[#This Row],[Fy, (ksi)]]/Reinforcements[[#This Row],[Fey, FB (ksi)]]))*Reinforcements[[#This Row],[Fy, (ksi)]],0.877*Reinforcements[[#This Row],[Fey, FB (ksi)]])</f>
        <v>#VALUE!</v>
      </c>
      <c r="EW77" s="252" t="e">
        <f>Reinforcements[[#This Row],[Fcrx (ksi)]]*Reinforcements[[#This Row],[Gross Area (in2)]]</f>
        <v>#VALUE!</v>
      </c>
      <c r="EX77" s="252" t="e">
        <f>Reinforcements[[#This Row],[Fcry (ksi)]]*Reinforcements[[#This Row],[Gross Area (in2)]]</f>
        <v>#VALUE!</v>
      </c>
      <c r="EY77" s="252" t="str">
        <f>IF(Reinforcements[[#This Row],[Type]]="channel",0,"N/A")</f>
        <v>N/A</v>
      </c>
      <c r="EZ77" s="252" t="str">
        <f>IF(Reinforcements[[#This Row],[Type]]="channel",Reinforcements[[#This Row],[Channel Flange Width, b]]-(0.5*Reinforcements[[#This Row],[Channel web thickness, tw]]),"N/A")</f>
        <v>N/A</v>
      </c>
      <c r="FA77" s="252" t="str">
        <f>IF(Reinforcements[[#This Row],[Type]]="channel",Reinforcements[[#This Row],[Channel Height, h]]-Reinforcements[[#This Row],[Channel flange thickness, tf]],"N/A")</f>
        <v>N/A</v>
      </c>
      <c r="FB77" s="252" t="str">
        <f>IF(Reinforcements[[#This Row],[Type]]="channel",Reinforcements[[#This Row],[Channel web thickness, tw]],"N/A")</f>
        <v>N/A</v>
      </c>
      <c r="FC77" s="252" t="str">
        <f>IF(Reinforcements[[#This Row],[Type]]="channel",((3*Reinforcements[[#This Row],[b]]^2)/(Reinforcements[[#This Row],[h]]+(6*Reinforcements[[#This Row],[b]])))-Reinforcements[[#This Row],[t]]/2,"N/A")</f>
        <v>N/A</v>
      </c>
      <c r="FD77" s="252" t="str">
        <f>Reinforcements[[#This Row],[Pole Face to Centroid (in)]]</f>
        <v/>
      </c>
      <c r="FE77" s="508" t="str">
        <f>IF(Reinforcements[[#This Row],[Type]]="channel",Reinforcements[[#This Row],[x(bar)]]+Reinforcements[[#This Row],['[Channel'] e0 (in)]],"N/A")</f>
        <v>N/A</v>
      </c>
      <c r="FF77" s="508" t="str">
        <f>IF(Reinforcements[[#This Row],[Type]]="channel",Reinforcements[[#This Row],[Ix]],"N/A")</f>
        <v>N/A</v>
      </c>
      <c r="FG77" s="508" t="str">
        <f>IF(Reinforcements[[#This Row],[Type]]="channel",Reinforcements[[#This Row],[Iy]],"N/A")</f>
        <v>N/A</v>
      </c>
      <c r="FH77" s="508" t="str">
        <f>IF(Reinforcements[[#This Row],[Type]]="channel",Reinforcements[[#This Row],[Gross Area (in2)]],"N/A")</f>
        <v>N/A</v>
      </c>
      <c r="FI77" s="508" t="str">
        <f>IF(Reinforcements[[#This Row],[Type]]="channel",(Reinforcements[[#This Row],[xo]]^2)+((Reinforcements[[#This Row],[Ix (FTB)]]+Reinforcements[[#This Row],[Iy (FTB)]])/Reinforcements[[#This Row],[Ag]]),"N/A")</f>
        <v>N/A</v>
      </c>
      <c r="FJ77" s="508" t="str">
        <f>IF(Reinforcements[[#This Row],[Type]]="channel",Reinforcements[[#This Row],[Lu (in)]],"N/A")</f>
        <v>N/A</v>
      </c>
      <c r="FK77" s="508" t="str">
        <f>IF(Reinforcements[[#This Row],[Type]]="channel",Reinforcements[[#This Row],[Effective Length Factor Kx]],"N/A")</f>
        <v>N/A</v>
      </c>
      <c r="FL77" s="508" t="str">
        <f>IF(Reinforcements[[#This Row],[Type]]="channel",Reinforcements[[#This Row],[Kz]]*Reinforcements[[#This Row],[Lz]],"N/A")</f>
        <v>N/A</v>
      </c>
      <c r="FM77" s="508" t="str">
        <f>IF(Reinforcements[[#This Row],[Type]]="channel",(((Reinforcements[[#This Row],[t]]^3)/3)*(Reinforcements[[#This Row],[h]]+(2*Reinforcements[[#This Row],[b]]))),"N/A")</f>
        <v>N/A</v>
      </c>
      <c r="FN77" s="508" t="str">
        <f>IF(Reinforcements[[#This Row],[Type]]="channel",(1-(((Reinforcements[[#This Row],[xo]]^2)+(Reinforcements[[#This Row],[yo]]^2))/Reinforcements[[#This Row],[ro^2(bar)]])),"N/A")</f>
        <v>N/A</v>
      </c>
      <c r="FO77" s="252">
        <v>11200</v>
      </c>
      <c r="FP77" s="508" t="str">
        <f>IF(Reinforcements[[#This Row],[Type]]="channel",(((Reinforcements[[#This Row],[h]]^2)*(Reinforcements[[#This Row],[b]]^3)*Reinforcements[[#This Row],[t]])/12)*(((2*Reinforcements[[#This Row],[h]])+(3*Reinforcements[[#This Row],[b]]))/(Reinforcements[[#This Row],[h]]+(6*Reinforcements[[#This Row],[b]]))),"N/A")</f>
        <v>N/A</v>
      </c>
      <c r="FQ77" s="508" t="str">
        <f>IF(Reinforcements[[#This Row],[Type]]="Channel",((((PI()^2)*Reinforcements[[#This Row],[E, (ksi)]]*Reinforcements[[#This Row],['[Channel'] CW (in6)]])/(Reinforcements[[#This Row],[Lcz]]^2))+(Reinforcements[[#This Row],[G]]*Reinforcements[[#This Row],['[Channel'] J (in4)]]))*(1/(Reinforcements[[#This Row],[Ag]]*Reinforcements[[#This Row],[ro^2(bar)]])),"N/A")</f>
        <v>N/A</v>
      </c>
      <c r="FR77" s="508" t="str">
        <f>IF(Reinforcements[[#This Row],[Type]]="channel",((PI()^2)*Reinforcements[[#This Row],[E, (ksi)]])/(Reinforcements[[#This Row],[Lcy/ry]]^2),"N/A")</f>
        <v>N/A</v>
      </c>
      <c r="FS77" s="508" t="str">
        <f>IF(Reinforcements[[#This Row],[Type]]="channel",((Reinforcements[[#This Row],[Fey]]+Reinforcements[[#This Row],[Fez]])/(2*Reinforcements[[#This Row],[H2]]))*(1-SQRT(1-((4*Reinforcements[[#This Row],[Fey]]*Reinforcements[[#This Row],[Fez]]*Reinforcements[[#This Row],[H2]])/(Reinforcements[[#This Row],[Fey]]+Reinforcements[[#This Row],[Fez]])^2))),"N/A")</f>
        <v>N/A</v>
      </c>
      <c r="FT77" s="508" t="str">
        <f>IF(Reinforcements[[#This Row],[Type]]="channel",IF(Reinforcements[[#This Row],[Lcx/rx]]&gt;(4.71*SQRT(Reinforcements[[#This Row],[E, (ksi)]]/Reinforcements[[#This Row],[Fy, (ksi)]])),0.877*Reinforcements[[#This Row],[Fe (FTB)]],0.658^(Reinforcements[[#This Row],[Fy, (ksi)]]/Reinforcements[[#This Row],[Fe (FTB)]])*Reinforcements[[#This Row],[Fy, (ksi)]]),"N/A")</f>
        <v>N/A</v>
      </c>
      <c r="FU77" s="508" t="str">
        <f>IF(Reinforcements[[#This Row],[Type]]="channel",MIN(Reinforcements[[#This Row],[Fcr(FTB)]],Reinforcements[[#This Row],[Fcry (ksi)]]),"N/A")</f>
        <v>N/A</v>
      </c>
      <c r="FV77" s="252">
        <v>0.22</v>
      </c>
      <c r="FW77" s="252">
        <v>1.49</v>
      </c>
      <c r="FX77" s="508" t="str">
        <f>IF(Reinforcements[[#This Row],[Type]]="channel",((Reinforcements[[#This Row],[c2]]*(Reinforcements[[#This Row],[λrf]]/Reinforcements[[#This Row],[λf]]))^2)*Reinforcements[[#This Row],[Fy, (ksi)]],"N/A")</f>
        <v>N/A</v>
      </c>
      <c r="FY77" s="508" t="str">
        <f>IF(Reinforcements[[#This Row],[Type]]="channel",((Reinforcements[[#This Row],[c2]]*(Reinforcements[[#This Row],[λrw]]/Reinforcements[[#This Row],[λw]]))^2)*Reinforcements[[#This Row],[Fy, (ksi)]],"N/A")</f>
        <v>N/A</v>
      </c>
      <c r="FZ77"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7"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7"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7" s="508" t="str">
        <f>IF(Reinforcements[[#This Row],[Type]]="channel",Reinforcements[[#This Row],[Fcr]]*Reinforcements[[#This Row],[Ae]],"N/A")</f>
        <v>N/A</v>
      </c>
      <c r="GD77" s="462" t="str">
        <f>IF(Reinforcements[[#This Row],[Reinforcement]]="","",φ_c*Reinforcements[[#This Row],[Pnx, FB (kip)]])</f>
        <v/>
      </c>
      <c r="GE77" s="462" t="str">
        <f>IF(Reinforcements[[#This Row],[Reinforcement]]="","",IF(Reinforcements[[#This Row],[Type]]="channel",φ_c*Reinforcements[[#This Row],[Pn]],φ_c*Reinforcements[[#This Row],[Pny, FB (kip)]]))</f>
        <v/>
      </c>
      <c r="GF77" s="462" t="str">
        <f>Reinforcements[[#This Row],[Rev. G Tension Yield Capacity (kips)]]</f>
        <v/>
      </c>
      <c r="GG77" s="462" t="str">
        <f>Reinforcements[[#This Row],[Rev. G Tension Rupture Capacity (kips)]]</f>
        <v/>
      </c>
      <c r="GH77" s="462" t="str">
        <f>Reinforcements[[#This Row],[Rev. G Shear Capacity (kips)]]</f>
        <v/>
      </c>
      <c r="GI77" s="462" t="str">
        <f>IFERROR((Reinforcements[[#This Row],['# of End Connection Bolts          (Bottom)]]-1)*Reinforcements[[#This Row],[End Connection Bolt Spacing (in) (B)]],"-")</f>
        <v>-</v>
      </c>
      <c r="GJ77" s="462" t="str">
        <f>IFERROR(IF(VLOOKUP(Reinforcements[[#This Row],[Bottom End Connection Bolt Type]],Bolts[],COLUMN(Bolts[[#Headers],[Rev. H Apply Connection Length Reduction Factor (Rb)?]])-1,FALSE)="Yes",(IF(Reinforcements[[#This Row],[Lb(bottom)]]&lt;=16,1,IF(Reinforcements[[#This Row],[Lb(bottom)]]&gt;38,0.75,0.9))),1),"-")</f>
        <v>-</v>
      </c>
      <c r="GK77"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7" s="462" t="str">
        <f>IFERROR(IF(Reinforcements[[#This Row],[Top End Connection Same?]]="Yes",Reinforcements[[#This Row],[Lb(bottom)]],(Reinforcements[[#This Row],['# of End Connection Bolts          (Top)]]-1)*Reinforcements[[#This Row],[End Connection Bolt Spacing (in) (T)]]),"-")</f>
        <v>-</v>
      </c>
      <c r="GM77" s="462" t="str">
        <f>IFERROR(IF(VLOOKUP(Reinforcements[[#This Row],[Top End Connection Bolt Type]],Bolts[],COLUMN(Bolts[[#Headers],[Rev. H Apply Connection Length Reduction Factor (Rb)?]])-1,FALSE)="Yes",(IF(Reinforcements[[#This Row],[Lb(top)]]&lt;=16,1,IF(Reinforcements[[#This Row],[Lb(top)]]&gt;38,0.75,0.9))),1),"-")</f>
        <v>-</v>
      </c>
      <c r="GN77"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7" s="462" t="str">
        <f>Reinforcements[[#This Row],[Rev. G Bolt-Shaft Bearing Capacity (Bottom)                No Deformation          (*t*Fu kips)]]</f>
        <v>-</v>
      </c>
      <c r="GP77" s="462" t="str">
        <f>Reinforcements[[#This Row],[Rev. G Bolt-Shaft Bearing Capacity (Bottom)                   Deformation          (*t*Fu kips)]]</f>
        <v>-</v>
      </c>
      <c r="GQ77" s="462" t="str">
        <f>Reinforcements[[#This Row],[Rev. G Bolt-Shaft Bearing Capacity (Top)                    No Deformation          (*t*Fu kips)]]</f>
        <v>-</v>
      </c>
      <c r="GR77" s="462" t="str">
        <f>Reinforcements[[#This Row],[Rev. G Bolt-Shaft Bearing Capacity (Top)                        Deformation          (*t*Fu kips)]]</f>
        <v>-</v>
      </c>
      <c r="GS77" s="462" t="str">
        <f>Reinforcements[[#This Row],[Rev. G Bolt-Reinf. Bearing Capacity (Bottom)            No Deformation (kips)]]</f>
        <v>-</v>
      </c>
      <c r="GT77" s="462" t="str">
        <f>Reinforcements[[#This Row],[Rev. G Bolt-Reinf. Bearing Capacity (Bottom)               Deformation (kips)]]</f>
        <v>-</v>
      </c>
      <c r="GU77" s="462" t="str">
        <f>Reinforcements[[#This Row],[Rev. G Bolt-Reinf. Bearing Capacity (Top)                  No Deformation (kips)]]</f>
        <v>-</v>
      </c>
      <c r="GV77" s="462" t="str">
        <f>Reinforcements[[#This Row],[Rev. G Bolt-Reinf. Bearing Capacity (Top)               Deformation (kips)]]</f>
        <v>-</v>
      </c>
      <c r="GW77" s="462" t="str">
        <f>Reinforcements[[#This Row],[Rev. G Bottom Transverse Weld Strength]]</f>
        <v/>
      </c>
      <c r="GX77" s="462" t="str">
        <f>Reinforcements[[#This Row],[Rev. G Bottom Longitudinal Weld Strength]]</f>
        <v/>
      </c>
      <c r="GY77" s="462" t="str">
        <f>Reinforcements[[#This Row],[Rev. G Top Transverse Weld Strength]]</f>
        <v/>
      </c>
      <c r="GZ77" s="462" t="str">
        <f>Reinforcements[[#This Row],[Rev. G Top Longitudinal Weld Strength]]</f>
        <v/>
      </c>
      <c r="HA77" s="552">
        <v>75</v>
      </c>
      <c r="HB77"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8" spans="2:210" x14ac:dyDescent="0.2">
      <c r="B78" s="129"/>
      <c r="C78" s="129"/>
      <c r="D78" s="201" t="str">
        <f>IF(Reinforcements[[#This Row],[Type]]="","",IF(Reinforcements[[#This Row],[Type]]="solid round","-",""))</f>
        <v/>
      </c>
      <c r="E78" s="201" t="str">
        <f>IF(Reinforcements[[#This Row],[Type]]="","",IF(Reinforcements[[#This Row],[Type]]="solid round","-",""))</f>
        <v/>
      </c>
      <c r="F78" s="201" t="str">
        <f>IF(Reinforcements[[#This Row],[Type]]="","",IF(Reinforcements[[#This Row],[Type]]="solid round","","n/a"))</f>
        <v/>
      </c>
      <c r="G78" s="201" t="str">
        <f>IF(Reinforcements[[#This Row],[Type]]="","",IF(Reinforcements[[#This Row],[Type]]&lt;&gt;"channel","n/a",""))</f>
        <v/>
      </c>
      <c r="H78" s="201" t="str">
        <f>IF(Reinforcements[[#This Row],[Type]]="","",IF(Reinforcements[[#This Row],[Type]]&lt;&gt;"channel","n/a",""))</f>
        <v/>
      </c>
      <c r="I78" s="224" t="str">
        <f>IF(Reinforcements[[#This Row],[Type]]="","",IF(Reinforcements[[#This Row],[Type]]&lt;&gt;"channel","n/a",Reinforcements[[#This Row],[eo]]))</f>
        <v/>
      </c>
      <c r="J78" s="224" t="str">
        <f>IF(Reinforcements[[#This Row],[Type]]="","",IF(Reinforcements[[#This Row],[Type]]&lt;&gt;"channel","n/a",Reinforcements[[#This Row],[J]]))</f>
        <v/>
      </c>
      <c r="K78" s="224" t="str">
        <f>IF(Reinforcements[[#This Row],[Type]]="","",IF(Reinforcements[[#This Row],[Type]]&lt;&gt;"channel","n/a",Reinforcements[[#This Row],[Cw]]))</f>
        <v/>
      </c>
      <c r="L78" s="201" t="str">
        <f>IFERROR(IF(Reinforcements[[#This Row],[Type]]="","",IF(Reinforcements[[#This Row],[Type]]="plate",Reinforcements[[#This Row],[B (in)]]*Reinforcements[[#This Row],[H (in)]],IF(Reinforcements[[#This Row],[Type]]="solid round",PI()/4*Reinforcements[[#This Row],[Diameter (in)]]^2,""))),"")</f>
        <v/>
      </c>
      <c r="M78" s="201" t="str">
        <f>IFERROR(IF(Reinforcements[[#This Row],[Type]]="","",IF(Reinforcements[[#This Row],[Type]]="plate",Reinforcements[[#This Row],[H (in)]]/2,"")),"")</f>
        <v/>
      </c>
      <c r="N78" s="202"/>
      <c r="O78" s="203"/>
      <c r="P78" s="215" t="str">
        <f>IFERROR(IF(Reinforcements[[#This Row],[Type]]="","",IF(Reinforcements[[#This Row],[Type]]="plate",Reinforcements[[#This Row],[B (in)]]*Reinforcements[[#This Row],[H (in)]]^3/12,IF(Reinforcements[[#This Row],[Type]]="solid round",PI()/64*Reinforcements[[#This Row],[Diameter (in)]]^4,""))),"")</f>
        <v/>
      </c>
      <c r="Q78" s="215" t="str">
        <f>IF(Reinforcements[[#This Row],[Reinforcement]]="","",SQRT(Reinforcements[[#This Row],[Ix]]/Reinforcements[[#This Row],[Gross Area (in2)]]))</f>
        <v/>
      </c>
      <c r="R78" s="215" t="str">
        <f>IFERROR(IF(Reinforcements[[#This Row],[Type]]="","",IF(Reinforcements[[#This Row],[Type]]="plate",Reinforcements[[#This Row],[B (in)]]^3*Reinforcements[[#This Row],[H (in)]]/12,IF(Reinforcements[[#This Row],[Type]]="solid round",PI()/64*Reinforcements[[#This Row],[Diameter (in)]]^4,""))),"")</f>
        <v/>
      </c>
      <c r="S78" s="215" t="str">
        <f>IF(Reinforcements[[#This Row],[Reinforcement]]="","",SQRT(Reinforcements[[#This Row],[Iy]]/Reinforcements[[#This Row],[Gross Area (in2)]]))</f>
        <v/>
      </c>
      <c r="T78" s="206"/>
      <c r="U78" s="204" t="str">
        <f>IF(Reinforcements[[#This Row],[Lu (in)]]="","",IF(Reinforcements[[#This Row],[Lu (in)]]=0,1,""))</f>
        <v/>
      </c>
      <c r="V78" s="204" t="str">
        <f>IF(Reinforcements[[#This Row],[Lu (in)]]="","",IF(Reinforcements[[#This Row],[Lu (in)]]=0,1,""))</f>
        <v/>
      </c>
      <c r="W78" s="201" t="str">
        <f>IF(Reinforcements[[#This Row],[Type]]="","",IF(Reinforcements[[#This Row],[Type]]="solid round",0,IF(Reinforcements[[#This Row],[Type]]="arbitrary","n/a","")))</f>
        <v/>
      </c>
      <c r="X78" s="204" t="str">
        <f>IF(Reinforcements[[#This Row],[Bolt Hole Size (in)]]="","",IF(Reinforcements[[#This Row],[Bolt Hole Size (in)]]="n/a","n/a",Reinforcements[[#This Row],[Bolt Hole Size (in)]]*25.4))</f>
        <v/>
      </c>
      <c r="Y78"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8" s="201" t="str">
        <f>IFERROR(IF(Reinforcements[[#This Row],[Reinforcement]]="","",IF(OR(Reinforcements[[#This Row],[Type]]="plate",Reinforcements[[#This Row],[Type]]="solid round"),1,IF(Reinforcements[[#This Row],[Type]]="arbitrary","",1-Reinforcements[[#This Row],[Pole Face to Centroid (in)]]/Reinforcements[[#This Row],[Connection Length (in) '[Channels']]]))),"")</f>
        <v/>
      </c>
      <c r="AA78" s="205"/>
      <c r="AB78" s="103" t="str">
        <f>IF(Reinforcements[[#This Row],[Reinforcement]]="","",IF(Reinforcements[[#This Row],[Bottom End Connection Type]]&lt;&gt;"Capacity Input","-",""))</f>
        <v/>
      </c>
      <c r="AC78" s="103" t="str">
        <f>IF(Reinforcements[[#This Row],[Reinforcement]]="","",IF(Reinforcements[[#This Row],[Bottom End Connection Type]]&lt;&gt;"Capacity Input","-",""))</f>
        <v/>
      </c>
      <c r="AD78" s="253" t="str">
        <f>IF(Reinforcements[[#This Row],[Reinforcement]]="","",IF(Reinforcements[[#This Row],[Bottom End Connection Type]]&lt;&gt;"Capacity Input","-",""))</f>
        <v/>
      </c>
      <c r="AE78" s="103" t="str">
        <f>IF(Reinforcements[[#This Row],[Reinforcement]]="","",IF(Reinforcements[[#This Row],[Bottom End Connection Type]]&lt;&gt;"Bolted","-",""))</f>
        <v/>
      </c>
      <c r="AF78" s="206" t="str">
        <f>IF(Reinforcements[[#This Row],[Reinforcement]]="","",IF(Reinforcements[[#This Row],[Bottom End Connection Type]]&lt;&gt;"Bolted","-",""))</f>
        <v/>
      </c>
      <c r="AG78" s="206" t="str">
        <f>IF(Reinforcements[[#This Row],[Reinforcement]]="","",IF(Reinforcements[[#This Row],[Bottom End Connection Type]]="","-",IF(Reinforcements[[#This Row],[Bottom End Connection Type]]&lt;&gt;"Bolted","-","")))</f>
        <v/>
      </c>
      <c r="AH78" s="206" t="str">
        <f>IF(Reinforcements[[#This Row],[Reinforcement]]="","",IF(Reinforcements[[#This Row],[Bottom End Connection Type]]="","-",IF(Reinforcements[[#This Row],[Bottom End Connection Type]]&lt;&gt;"Bolted","-","")))</f>
        <v/>
      </c>
      <c r="AI78" s="206" t="str">
        <f>IF(Reinforcements[[#This Row],[Reinforcement]]="","",IF(Reinforcements[[#This Row],[Bottom End Connection Type]]="","-",IF(Reinforcements[[#This Row],[Bottom End Connection Type]]&lt;&gt;"Bolted","-","")))</f>
        <v/>
      </c>
      <c r="AJ78" s="206" t="e">
        <f>Reinforcements[[#This Row],[End Connection Edge Distance (in) (B)]]-(Reinforcements[[#This Row],[Bolt Hole Size (in)]]+1/16)/2</f>
        <v>#VALUE!</v>
      </c>
      <c r="AK78" s="206" t="e">
        <f>Reinforcements[[#This Row],[End Connection Bolt Spacing (in) (B)]]-(Reinforcements[[#This Row],[Bolt Hole Size (in)]]+1/16)</f>
        <v>#VALUE!</v>
      </c>
      <c r="AL78" s="206" t="str">
        <f>Reinforcements[[#This Row],[End Connection Edge Distance (in) (B)]]</f>
        <v/>
      </c>
      <c r="AM78" s="206" t="str">
        <f>Reinforcements[[#This Row],[End Connection Bolt Spacing (in) (B)]]</f>
        <v/>
      </c>
      <c r="AN78" s="206" t="str">
        <f>IF(Reinforcements[[#This Row],[Reinforcement]]="","",IF(OR(Reinforcements[[#This Row],[Bottom End Connection Type]]="Bolted",Reinforcements[[#This Row],[Bottom End Connection Type]]=""),"-",""))</f>
        <v/>
      </c>
      <c r="AO78" s="214" t="str">
        <f>IF(Reinforcements[[#This Row],[Reinforcement]]="","",IF(Reinforcements[[#This Row],[Bottom End Connection Type]]&lt;&gt;"Welded","-",""))</f>
        <v/>
      </c>
      <c r="AP78" s="214" t="str">
        <f>IF(Reinforcements[[#This Row],[Reinforcement]]="","",IF(Reinforcements[[#This Row],[Bottom End Connection Type]]&lt;&gt;"Welded","-",""))</f>
        <v/>
      </c>
      <c r="AQ78" s="214" t="str">
        <f>IF(Reinforcements[[#This Row],[Reinforcement]]="","",IF(OR(Reinforcements[[#This Row],[Bottom End Connection Type]]&lt;&gt;"Welded",Reinforcements[[#This Row],[Bottom Transverse (Horizontal) Weld]]="None"),"-",""))</f>
        <v/>
      </c>
      <c r="AR78"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8"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8" s="214" t="str">
        <f>IF(Reinforcements[[#This Row],[Reinforcement]]="","",IF(OR(Reinforcements[[#This Row],[Bottom Transverse (Horizontal) Weld]]="None",Reinforcements[[#This Row],[Bottom End Connection Type]]&lt;&gt;"Welded"),"-",""))</f>
        <v/>
      </c>
      <c r="AU78"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8" s="214" t="str">
        <f>IF(Reinforcements[[#This Row],[Reinforcement]]="","",IF(OR(Reinforcements[[#This Row],[Bottom End Connection Type]]&lt;&gt;"Welded",Reinforcements[[#This Row],[Bottom End Connection Type]]=""),"-",""))</f>
        <v/>
      </c>
      <c r="AW78" s="214" t="str">
        <f>IF(Reinforcements[[#This Row],[Reinforcement]]="","",IF(OR(Reinforcements[[#This Row],[Bottom End Connection Type]]&lt;&gt;"Welded",Reinforcements[[#This Row],[Bottom Longitudinal (Vertical) Weld]]="None",Reinforcements[[#This Row],[Bottom Longitudinal (Vertical) Weld]]=""),"-",""))</f>
        <v/>
      </c>
      <c r="AX78" s="214" t="str">
        <f>IF(Reinforcements[[#This Row],[Reinforcement]]="","",IF(OR(Reinforcements[[#This Row],[Bottom End Connection Type]]&lt;&gt;"Welded",Reinforcements[[#This Row],[Bottom Longitudinal (Vertical) Weld]]="None",Reinforcements[[#This Row],[Bottom Longitudinal (Vertical) Weld]]=""),"-",""))</f>
        <v/>
      </c>
      <c r="AY78" s="206" t="str">
        <f>IF(Reinforcements[[#This Row],[Reinforcement]]="","",IF(OR(Reinforcements[[#This Row],[Bottom End Connection Type]]&lt;&gt;"Welded",Reinforcements[[#This Row],[Bottom Longitudinal (Vertical) Weld]]="None"),"-",SQRT(2)/2*Reinforcements[[#This Row],[Bottom Longitudinal Weld Fillet Size (in)]]))</f>
        <v/>
      </c>
      <c r="AZ78" s="206"/>
      <c r="BA78" s="103" t="str">
        <f>IF(Reinforcements[[#This Row],[Top End Connection Same?]]="Yes",Reinforcements[[#This Row],[Bottom End Connection Type]],"")</f>
        <v/>
      </c>
      <c r="BB78" s="103" t="str">
        <f>IF(Reinforcements[[#This Row],[Reinforcement]]="","",IF(Reinforcements[[#This Row],[Top End Connection Same?]]="Yes",Reinforcements[[#This Row],[Rev. F Bottom Connection Capacity (kips)]],IF(Reinforcements[[#This Row],[Reinforcement]]="","",IF(Reinforcements[[#This Row],[Top End Connection Type]]&lt;&gt;"Capacity Input","-",""))))</f>
        <v/>
      </c>
      <c r="BC78" s="103" t="str">
        <f>IF(Reinforcements[[#This Row],[Reinforcement]]="","",IF(Reinforcements[[#This Row],[Top End Connection Same?]]="Yes",Reinforcements[[#This Row],[Rev. G Bottom Connection Capacity (kips)]],IF(Reinforcements[[#This Row],[Reinforcement]]="","",IF(Reinforcements[[#This Row],[Top End Connection Type]]&lt;&gt;"Capacity Input","-",""))))</f>
        <v/>
      </c>
      <c r="BD78" s="253" t="str">
        <f>IF(Reinforcements[[#This Row],[Reinforcement]]="","",IF(Reinforcements[[#This Row],[Top End Connection Same?]]="Yes",Reinforcements[[#This Row],[Rev. G Bottom Connection Capacity (kips)]],IF(Reinforcements[[#This Row],[Reinforcement]]="","",IF(Reinforcements[[#This Row],[Top End Connection Type]]&lt;&gt;"Capacity Input","-",""))))</f>
        <v/>
      </c>
      <c r="BE78" s="103" t="str">
        <f>IF(Reinforcements[[#This Row],[Reinforcement]]="","",IF(Reinforcements[[#This Row],[Top End Connection Same?]]="Yes",Reinforcements[[#This Row],[Bottom End Connection Bolt Type]],IF(Reinforcements[[#This Row],[Top End Connection Type]]&lt;&gt;"Bolted","-","")))</f>
        <v/>
      </c>
      <c r="BF78" s="206" t="str">
        <f>IF(Reinforcements[[#This Row],[Reinforcement]]="","",IF(Reinforcements[[#This Row],[Top End Connection Same?]]="Yes",Reinforcements[[#This Row],[Threads Included (N) or Excluded (X) (Bottom)]],IF(Reinforcements[[#This Row],[Top End Connection Type]]&lt;&gt;"Bolted","-","")))</f>
        <v/>
      </c>
      <c r="BG78" s="206" t="str">
        <f>IF(Reinforcements[[#This Row],[Reinforcement]]="","",IF(Reinforcements[[#This Row],[Top End Connection Same?]]="Yes",Reinforcements[[#This Row],['# of End Connection Bolts          (Bottom)]],IF(Reinforcements[[#This Row],[Top End Connection Type]]&lt;&gt;"Bolted","-","")))</f>
        <v/>
      </c>
      <c r="BH78" s="206" t="str">
        <f>IF(Reinforcements[[#This Row],[Reinforcement]]="","",IF(Reinforcements[[#This Row],[Top End Connection Same?]]="Yes",Reinforcements[[#This Row],[End Connection Bolt Spacing (in) (B)]],IF(Reinforcements[[#This Row],[Top End Connection Type]]&lt;&gt;"Bolted","-","")))</f>
        <v/>
      </c>
      <c r="BI78" s="206" t="str">
        <f>IF(Reinforcements[[#This Row],[Reinforcement]]="","",IF(Reinforcements[[#This Row],[Top End Connection Same?]]="Yes",Reinforcements[[#This Row],[End Connection Edge Distance (in) (B)]],IF(Reinforcements[[#This Row],[Top End Connection Type]]&lt;&gt;"Bolted","-","")))</f>
        <v/>
      </c>
      <c r="BJ78" s="206" t="e">
        <f>Reinforcements[[#This Row],[End Connection Edge Distance (in) (T)]]-(Reinforcements[[#This Row],[Bolt Hole Size (in)]]+1/16)/2</f>
        <v>#VALUE!</v>
      </c>
      <c r="BK78" s="206" t="e">
        <f>Reinforcements[[#This Row],[End Connection Bolt Spacing (in) (T)]]-(Reinforcements[[#This Row],[Bolt Hole Size (in)]]+1/16)</f>
        <v>#VALUE!</v>
      </c>
      <c r="BL78" s="206" t="str">
        <f>Reinforcements[[#This Row],[End Connection Edge Distance (in) (T)]]</f>
        <v/>
      </c>
      <c r="BM78" s="206" t="str">
        <f>Reinforcements[[#This Row],[End Connection Bolt Spacing (in) (T)]]</f>
        <v/>
      </c>
      <c r="BN78" s="206" t="str">
        <f>IF(Reinforcements[[#This Row],[Reinforcement]]="","",IF(Reinforcements[[#This Row],[Top End Connection Same?]]="Yes",Reinforcements[[#This Row],[Bottom Connected to Flange/Base Plate?]],IF(Reinforcements[[#This Row],[Top End Connection Type]]="Bolted","-","")))</f>
        <v/>
      </c>
      <c r="BO78" s="206" t="str">
        <f>IF(Reinforcements[[#This Row],[Reinforcement]]="","",IF(Reinforcements[[#This Row],[Top End Connection Same?]]="Yes",Reinforcements[[#This Row],[Bottom Weld Grade (ksi)]],IF(OR(Reinforcements[[#This Row],[Top End Connection Type]]&lt;&gt;"Welded",Reinforcements[[#This Row],[Top End Connection Type]]=""),"-","")))</f>
        <v/>
      </c>
      <c r="BP78" s="206" t="str">
        <f>IF($AZ78="Yes",AP78,IF(Reinforcements[[#This Row],[Reinforcement]]="","",IF(OR(Reinforcements[[#This Row],[Top End Connection Type]]&lt;&gt;"Welded",Reinforcements[[#This Row],[Top End Connection Type]]=""),"-","")))</f>
        <v/>
      </c>
      <c r="BQ78" s="206" t="str">
        <f>IF(Reinforcements[[#This Row],[Reinforcement]]="","",IF($AZ78="Yes",AQ78,IF(OR(Reinforcements[[#This Row],[Top End Connection Type]]&lt;&gt;"Welded",Reinforcements[[#This Row],[Top Transverse (Horizontal) Weld]]="none",Reinforcements[[#This Row],[Top Transverse (Horizontal) Weld]]=""),"-","")))</f>
        <v/>
      </c>
      <c r="BR78" s="206" t="str">
        <f>IF($AZ78="Yes",AR78,IF(Reinforcements[[#This Row],[Reinforcement]]="","",IF(OR(Reinforcements[[#This Row],[Top Transverse (Horizontal) Weld]]="none",Reinforcements[[#This Row],[Top End Connection Type]]&lt;&gt;"Welded",Reinforcements[[#This Row],[Top Transverse (Horizontal) Weld]]="",Reinforcements[[#This Row],[Top Transverse (Horizontal) Weld]]="Fillet"),"-","")))</f>
        <v/>
      </c>
      <c r="BS78" s="206" t="str">
        <f>IF($AZ78="Yes",AS78,IF(Reinforcements[[#This Row],[Reinforcement]]="","",IF(OR(Reinforcements[[#This Row],[Top Transverse (Horizontal) Weld]]="none",Reinforcements[[#This Row],[Top End Connection Type]]&lt;&gt;"Welded",Reinforcements[[#This Row],[Top Transverse (Horizontal) Weld]]="",Reinforcements[[#This Row],[Top Transverse (Horizontal) Weld]]="Fillet"),"-","")))</f>
        <v/>
      </c>
      <c r="BT78" s="206" t="str">
        <f>IF(Reinforcements[[#This Row],[Reinforcement]]="","",IF($AZ78="Yes",AT78,IF(OR(Reinforcements[[#This Row],[Top Transverse (Horizontal) Weld]]="none",Reinforcements[[#This Row],[Top End Connection Type]]&lt;&gt;"Welded",Reinforcements[[#This Row],[Top Transverse (Horizontal) Weld]]=""),"-","")))</f>
        <v/>
      </c>
      <c r="BU78" s="206" t="str">
        <f>IF($AZ78="Yes",AU78,IF(Reinforcements[[#This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8" s="206" t="str">
        <f>IF($AZ78="Yes",AV78,IF(Reinforcements[[#This Row],[Reinforcement]]="","",IF(OR(Reinforcements[[#This Row],[Top End Connection Type]]&lt;&gt;"Welded",Reinforcements[[#This Row],[Top End Connection Type]]=""),"-","")))</f>
        <v/>
      </c>
      <c r="BW78" s="206" t="str">
        <f>IF($AZ78="Yes",AW78,IF(Reinforcements[[#This Row],[Reinforcement]]="","",IF(OR(Reinforcements[[#This Row],[Top End Connection Type]]&lt;&gt;"Welded",Reinforcements[[#This Row],[Top End Connection Type]]="",Reinforcements[[#This Row],[Top Longitudinal (Vertical) Weld]]="",Reinforcements[[#This Row],[Top Longitudinal (Vertical) Weld]]="None"),"-","")))</f>
        <v/>
      </c>
      <c r="BX78" s="206" t="str">
        <f>IF($AZ78="Yes",AX78,IF(Reinforcements[[#This Row],[Reinforcement]]="","",IF(OR(Reinforcements[[#This Row],[Top End Connection Type]]&lt;&gt;"Welded",Reinforcements[[#This Row],[Top End Connection Type]]="",Reinforcements[[#This Row],[Top Longitudinal (Vertical) Weld]]="",Reinforcements[[#This Row],[Top Longitudinal (Vertical) Weld]]="None"),"-","")))</f>
        <v/>
      </c>
      <c r="BY78" s="206" t="str">
        <f>IF($AZ78="Yes",AY78,IF(Reinforcements[[#This Row],[Reinforcement]]="","",IF(OR(Reinforcements[[#This Row],[Top End Connection Type]]&lt;&gt;"Welded",Reinforcements[[#This Row],[Top Longitudinal (Vertical) Weld]]="none"),"-",SQRT(2)/2*Reinforcements[[#This Row],[Top Longitudinal Weld Fillet Size (in)]])))</f>
        <v/>
      </c>
      <c r="BZ78"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8"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8"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8"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8"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8" s="201" t="str">
        <f>IFERROR(IF(Reinforcements[[#This Row],[Type]]="","",Reinforcements[[#This Row],[Effective B (in)]]*Reinforcements[[#This Row],[Effective H (in)]]^3/12),"")</f>
        <v/>
      </c>
      <c r="CF78" s="201" t="str">
        <f>IFERROR(IF(Reinforcements[[#This Row],[Type]]="","",Reinforcements[[#This Row],[Effective B (in)]]^3*Reinforcements[[#This Row],[Effective H (in)]]/12),"")</f>
        <v/>
      </c>
      <c r="CG78" s="224" t="e">
        <f>SQRT(2*PI()^2*29000/VLOOKUP(Reinforcements[[#This Row],[Material]],Materials[],2,FALSE))</f>
        <v>#N/A</v>
      </c>
      <c r="CH78"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8"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8" s="215" t="e">
        <f>Reinforcements[[#This Row],[Effective Length Factor Kx]]*Reinforcements[[#This Row],[Lu (in)]]/(Reinforcements[[#This Row],[rx]]*PI())*SQRT(VLOOKUP(Reinforcements[[#This Row],[Material]],Materials[],2,FALSE)/29000)</f>
        <v>#VALUE!</v>
      </c>
      <c r="CK78" s="215" t="e">
        <f>Reinforcements[[#This Row],[Effective Length Factor Ky]]*Reinforcements[[#This Row],[Lu (in)]]/(Reinforcements[[#This Row],[ry]]*PI())*SQRT(VLOOKUP(Reinforcements[[#This Row],[Material]],Materials[],2,FALSE)/29000)</f>
        <v>#VALUE!</v>
      </c>
      <c r="CL78" s="215" t="e">
        <f>IF(Reinforcements[[#This Row],[λcx]]&lt;=1.5,0.658^(Reinforcements[[#This Row],[λcx]]^2)*Reinforcements[[#This Row],[F''y]],0.877/(Reinforcements[[#This Row],[λcx]]^2)*Reinforcements[[#This Row],[F''y]])</f>
        <v>#VALUE!</v>
      </c>
      <c r="CM78" s="215" t="e">
        <f>IF(Reinforcements[[#This Row],[λcy]]&lt;=1.5,0.658^(Reinforcements[[#This Row],[λcy]]^2)*Reinforcements[[#This Row],[F''y]],0.877/(Reinforcements[[#This Row],[λcy]]^2)*Reinforcements[[#This Row],[F''y]])</f>
        <v>#VALUE!</v>
      </c>
      <c r="CN78" s="201" t="e">
        <f>VLOOKUP(Reinforcements[[#This Row],[Material]],Materials[],2,FALSE)</f>
        <v>#N/A</v>
      </c>
      <c r="CO78" s="224" t="str">
        <f>IF(Reinforcements[[#This Row],[Reinforcement]]="","",Reinforcements[[#This Row],[Fax]]*Reinforcements[[#This Row],[Gross Area (in2)]])</f>
        <v/>
      </c>
      <c r="CP78" s="224" t="str">
        <f>IF(Reinforcements[[#This Row],[Reinforcement]]="","",Reinforcements[[#This Row],[Fay]]*Reinforcements[[#This Row],[Gross Area (in2)]])</f>
        <v/>
      </c>
      <c r="CQ78" s="224" t="str">
        <f>IF(Reinforcements[[#This Row],[Reinforcement]]="","",0.6*VLOOKUP(Reinforcements[[#This Row],[Material]],Materials[],2,FALSE)*Reinforcements[[#This Row],[Gross Area (in2)]])</f>
        <v/>
      </c>
      <c r="CR78" s="224" t="str">
        <f>IF(Reinforcements[[#This Row],[Reinforcement]]="","",0.5*VLOOKUP(Reinforcements[[#This Row],[Material]],Materials[],3,FALSE)*Reinforcements[[#This Row],[Net Area (in2)]]*Reinforcements[[#This Row],[Shear Lag (U)]])</f>
        <v/>
      </c>
      <c r="CS78" s="224" t="str">
        <f>IF(Reinforcements[[#This Row],[Reinforcement]]="","",0.4*VLOOKUP(Reinforcements[[#This Row],[Material]],Materials[],2,FALSE)*Reinforcements[[#This Row],[Gross Area (in2)]])</f>
        <v/>
      </c>
      <c r="CT78"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8"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8"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8"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8"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8"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8"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8"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8"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8"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8"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8"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8" s="206" t="str">
        <f>IF($AZ78="Yes",DD78,IF(Reinforcements[[#This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8" s="206" t="str">
        <f>IF($AZ78="Yes",DE78,IF(Reinforcements[[#This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8" s="224" t="str">
        <f>IF(Reinforcements[[#This Row],[Reinforcement]]="","",φ_c*Reinforcements[[#This Row],[Fcr,x]]*Reinforcements[[#This Row],[Gross Area (in2)]])</f>
        <v/>
      </c>
      <c r="DI78" s="224" t="str">
        <f>IF(Reinforcements[[#This Row],[Reinforcement]]="","",φ_c*Reinforcements[[#This Row],[Fcr,y]]*Reinforcements[[#This Row],[Gross Area (in2)]])</f>
        <v/>
      </c>
      <c r="DJ78" s="224" t="str">
        <f>IF(Reinforcements[[#This Row],[Reinforcement]]="","",φ_t_y*VLOOKUP(Reinforcements[[#This Row],[Material]],Materials[],2,FALSE)*Reinforcements[[#This Row],[Gross Area (in2)]])</f>
        <v/>
      </c>
      <c r="DK78" s="224" t="str">
        <f>IF(Reinforcements[[#This Row],[Reinforcement]]="","",φ_t_r*VLOOKUP(Reinforcements[[#This Row],[Material]],Materials[],3,FALSE)*Reinforcements[[#This Row],[Net Area (in2)]]*Reinforcements[[#This Row],[Shear Lag (U)]])</f>
        <v/>
      </c>
      <c r="DL78" s="224" t="str">
        <f>IF(Reinforcements[[#This Row],[Reinforcement]]="","",φ_v*0.5*Reinforcements[[#This Row],[F''y]]*Reinforcements[[#This Row],[Gross Area (in2)]])</f>
        <v/>
      </c>
      <c r="DM78"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8"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8"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8"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8"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8"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8"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8"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8"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8"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8"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8"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8" s="206" t="str">
        <f>IF($AZ78="Yes",DW78,IF(Reinforcements[[#This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8" s="206" t="str">
        <f>IF($AZ78="Yes",DX78,IF(Reinforcements[[#This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8" s="507" t="str">
        <f>IF(OR(Reinforcements[[#This Row],[Type]]="plate",Reinforcements[[#This Row],[Type]]="solid round"),"N/A",Reinforcements[[#This Row],[B (in)]])</f>
        <v/>
      </c>
      <c r="EB78" s="508" t="str">
        <f>IF(OR(Reinforcements[[#This Row],[Type]]="plate",Reinforcements[[#This Row],[Type]]="solid round"),"N/A",Reinforcements[[#This Row],[H (in)]])</f>
        <v/>
      </c>
      <c r="EC78" s="508" t="e">
        <f>IF(OR(Reinforcements[[#This Row],[Type]]="plate",Reinforcements[[#This Row],[Type]]="solid round"),"N/A",Reinforcements[[#This Row],[B (in)]]-Reinforcements[[#This Row],['[Channel'] Flange Thickness (in)]])</f>
        <v>#VALUE!</v>
      </c>
      <c r="ED78" s="508" t="str">
        <f>IF(OR(Reinforcements[[#This Row],[Type]]="plate",Reinforcements[[#This Row],[Type]]="solid round"),"N/A",Reinforcements[[#This Row],['[Channel']Web Thickness (in)]])</f>
        <v/>
      </c>
      <c r="EE78" s="508" t="str">
        <f>IF(OR(Reinforcements[[#This Row],[Type]]="plate",Reinforcements[[#This Row],[Type]]="solid round"),"N/A",Reinforcements[[#This Row],['[Channel'] Flange Thickness (in)]])</f>
        <v/>
      </c>
      <c r="EF78" s="508" t="str">
        <f>IF(Reinforcements[[#This Row],[Type]]="channel",Reinforcements[[#This Row],[Channel Flange Width, b]]/Reinforcements[[#This Row],[Channel flange thickness, tf]],"N/A")</f>
        <v>N/A</v>
      </c>
      <c r="EG78" s="508" t="str">
        <f>IF(Reinforcements[[#This Row],[Type]]="channel",Reinforcements[[#This Row],[Channel inside depth, T]]/Reinforcements[[#This Row],[Channel web thickness, tw]],"N/A")</f>
        <v>N/A</v>
      </c>
      <c r="EH78" s="252">
        <v>29000</v>
      </c>
      <c r="EI78" s="252" t="str">
        <f>IF(Reinforcements[[#This Row],[Type]]="channel",0.56*SQRT(Reinforcements[[#This Row],[E, (ksi)]]/Reinforcements[[#This Row],[Fy, (ksi)]]),"N/A")</f>
        <v>N/A</v>
      </c>
      <c r="EJ78" s="252" t="str">
        <f>IF(Reinforcements[[#This Row],[Type]]="channel",1.49*SQRT(Reinforcements[[#This Row],[E, (ksi)]]/Reinforcements[[#This Row],[Fy, (ksi)]]),"N/A")</f>
        <v>N/A</v>
      </c>
      <c r="EK78" s="252" t="e">
        <f>VLOOKUP(Reinforcements[[#This Row],[Material]],Materials!$B$2:$C$30,2,FALSE)</f>
        <v>#N/A</v>
      </c>
      <c r="EL78" s="252" t="e">
        <f>Reinforcements[[#This Row],[Lu (in)]]*Reinforcements[[#This Row],[Effective Length Factor Kx]]</f>
        <v>#VALUE!</v>
      </c>
      <c r="EM78" s="252" t="e">
        <f>Reinforcements[[#This Row],[Lu (in)]]*Reinforcements[[#This Row],[Effective Length Factor Ky]]</f>
        <v>#VALUE!</v>
      </c>
      <c r="EN78" s="252" t="str">
        <f>Reinforcements[[#This Row],[rx]]</f>
        <v/>
      </c>
      <c r="EO78" s="252" t="str">
        <f>Reinforcements[[#This Row],[ry]]</f>
        <v/>
      </c>
      <c r="EP78" s="252" t="e">
        <f>Reinforcements[[#This Row],[Lcx (in)]]/Reinforcements[[#This Row],[rx (in)]]</f>
        <v>#VALUE!</v>
      </c>
      <c r="EQ78" s="252" t="e">
        <f>Reinforcements[[#This Row],[Lcy (in)]]/Reinforcements[[#This Row],[ry (in)]]</f>
        <v>#VALUE!</v>
      </c>
      <c r="ER78" s="252" t="e">
        <f>((PI()^2)*Reinforcements[[#This Row],[E, (ksi)]])/(Reinforcements[[#This Row],[Lcx/rx]]^2)</f>
        <v>#VALUE!</v>
      </c>
      <c r="ES78" s="252" t="e">
        <f>((PI()^2)*Reinforcements[[#This Row],[E, (ksi)]])/(Reinforcements[[#This Row],[Lcy/ry]]^2)</f>
        <v>#VALUE!</v>
      </c>
      <c r="ET78" s="252" t="e">
        <f>4.71*(SQRT(Reinforcements[[#This Row],[E, (ksi)]]/Reinforcements[[#This Row],[Fy, (ksi)]]))</f>
        <v>#N/A</v>
      </c>
      <c r="EU78" s="252" t="e">
        <f>IF(Reinforcements[[#This Row],[Lcx/rx]]&lt;=Reinforcements[[#This Row],[Fcr Limit]],(0.658^(Reinforcements[[#This Row],[Fy, (ksi)]]/Reinforcements[[#This Row],[Fex, FB (ksi)]]))*Reinforcements[[#This Row],[Fy, (ksi)]],0.877*Reinforcements[[#This Row],[Fex, FB (ksi)]])</f>
        <v>#VALUE!</v>
      </c>
      <c r="EV78" s="252" t="e">
        <f>IF(Reinforcements[[#This Row],[Lcy/ry]]&lt;=Reinforcements[[#This Row],[Fcr Limit]],(0.658^(Reinforcements[[#This Row],[Fy, (ksi)]]/Reinforcements[[#This Row],[Fey, FB (ksi)]]))*Reinforcements[[#This Row],[Fy, (ksi)]],0.877*Reinforcements[[#This Row],[Fey, FB (ksi)]])</f>
        <v>#VALUE!</v>
      </c>
      <c r="EW78" s="252" t="e">
        <f>Reinforcements[[#This Row],[Fcrx (ksi)]]*Reinforcements[[#This Row],[Gross Area (in2)]]</f>
        <v>#VALUE!</v>
      </c>
      <c r="EX78" s="252" t="e">
        <f>Reinforcements[[#This Row],[Fcry (ksi)]]*Reinforcements[[#This Row],[Gross Area (in2)]]</f>
        <v>#VALUE!</v>
      </c>
      <c r="EY78" s="252" t="str">
        <f>IF(Reinforcements[[#This Row],[Type]]="channel",0,"N/A")</f>
        <v>N/A</v>
      </c>
      <c r="EZ78" s="252" t="str">
        <f>IF(Reinforcements[[#This Row],[Type]]="channel",Reinforcements[[#This Row],[Channel Flange Width, b]]-(0.5*Reinforcements[[#This Row],[Channel web thickness, tw]]),"N/A")</f>
        <v>N/A</v>
      </c>
      <c r="FA78" s="252" t="str">
        <f>IF(Reinforcements[[#This Row],[Type]]="channel",Reinforcements[[#This Row],[Channel Height, h]]-Reinforcements[[#This Row],[Channel flange thickness, tf]],"N/A")</f>
        <v>N/A</v>
      </c>
      <c r="FB78" s="252" t="str">
        <f>IF(Reinforcements[[#This Row],[Type]]="channel",Reinforcements[[#This Row],[Channel web thickness, tw]],"N/A")</f>
        <v>N/A</v>
      </c>
      <c r="FC78" s="252" t="str">
        <f>IF(Reinforcements[[#This Row],[Type]]="channel",((3*Reinforcements[[#This Row],[b]]^2)/(Reinforcements[[#This Row],[h]]+(6*Reinforcements[[#This Row],[b]])))-Reinforcements[[#This Row],[t]]/2,"N/A")</f>
        <v>N/A</v>
      </c>
      <c r="FD78" s="252" t="str">
        <f>Reinforcements[[#This Row],[Pole Face to Centroid (in)]]</f>
        <v/>
      </c>
      <c r="FE78" s="508" t="str">
        <f>IF(Reinforcements[[#This Row],[Type]]="channel",Reinforcements[[#This Row],[x(bar)]]+Reinforcements[[#This Row],['[Channel'] e0 (in)]],"N/A")</f>
        <v>N/A</v>
      </c>
      <c r="FF78" s="508" t="str">
        <f>IF(Reinforcements[[#This Row],[Type]]="channel",Reinforcements[[#This Row],[Ix]],"N/A")</f>
        <v>N/A</v>
      </c>
      <c r="FG78" s="508" t="str">
        <f>IF(Reinforcements[[#This Row],[Type]]="channel",Reinforcements[[#This Row],[Iy]],"N/A")</f>
        <v>N/A</v>
      </c>
      <c r="FH78" s="508" t="str">
        <f>IF(Reinforcements[[#This Row],[Type]]="channel",Reinforcements[[#This Row],[Gross Area (in2)]],"N/A")</f>
        <v>N/A</v>
      </c>
      <c r="FI78" s="508" t="str">
        <f>IF(Reinforcements[[#This Row],[Type]]="channel",(Reinforcements[[#This Row],[xo]]^2)+((Reinforcements[[#This Row],[Ix (FTB)]]+Reinforcements[[#This Row],[Iy (FTB)]])/Reinforcements[[#This Row],[Ag]]),"N/A")</f>
        <v>N/A</v>
      </c>
      <c r="FJ78" s="508" t="str">
        <f>IF(Reinforcements[[#This Row],[Type]]="channel",Reinforcements[[#This Row],[Lu (in)]],"N/A")</f>
        <v>N/A</v>
      </c>
      <c r="FK78" s="508" t="str">
        <f>IF(Reinforcements[[#This Row],[Type]]="channel",Reinforcements[[#This Row],[Effective Length Factor Kx]],"N/A")</f>
        <v>N/A</v>
      </c>
      <c r="FL78" s="508" t="str">
        <f>IF(Reinforcements[[#This Row],[Type]]="channel",Reinforcements[[#This Row],[Kz]]*Reinforcements[[#This Row],[Lz]],"N/A")</f>
        <v>N/A</v>
      </c>
      <c r="FM78" s="508" t="str">
        <f>IF(Reinforcements[[#This Row],[Type]]="channel",(((Reinforcements[[#This Row],[t]]^3)/3)*(Reinforcements[[#This Row],[h]]+(2*Reinforcements[[#This Row],[b]]))),"N/A")</f>
        <v>N/A</v>
      </c>
      <c r="FN78" s="508" t="str">
        <f>IF(Reinforcements[[#This Row],[Type]]="channel",(1-(((Reinforcements[[#This Row],[xo]]^2)+(Reinforcements[[#This Row],[yo]]^2))/Reinforcements[[#This Row],[ro^2(bar)]])),"N/A")</f>
        <v>N/A</v>
      </c>
      <c r="FO78" s="252">
        <v>11200</v>
      </c>
      <c r="FP78" s="508" t="str">
        <f>IF(Reinforcements[[#This Row],[Type]]="channel",(((Reinforcements[[#This Row],[h]]^2)*(Reinforcements[[#This Row],[b]]^3)*Reinforcements[[#This Row],[t]])/12)*(((2*Reinforcements[[#This Row],[h]])+(3*Reinforcements[[#This Row],[b]]))/(Reinforcements[[#This Row],[h]]+(6*Reinforcements[[#This Row],[b]]))),"N/A")</f>
        <v>N/A</v>
      </c>
      <c r="FQ78" s="508" t="str">
        <f>IF(Reinforcements[[#This Row],[Type]]="Channel",((((PI()^2)*Reinforcements[[#This Row],[E, (ksi)]]*Reinforcements[[#This Row],['[Channel'] CW (in6)]])/(Reinforcements[[#This Row],[Lcz]]^2))+(Reinforcements[[#This Row],[G]]*Reinforcements[[#This Row],['[Channel'] J (in4)]]))*(1/(Reinforcements[[#This Row],[Ag]]*Reinforcements[[#This Row],[ro^2(bar)]])),"N/A")</f>
        <v>N/A</v>
      </c>
      <c r="FR78" s="508" t="str">
        <f>IF(Reinforcements[[#This Row],[Type]]="channel",((PI()^2)*Reinforcements[[#This Row],[E, (ksi)]])/(Reinforcements[[#This Row],[Lcy/ry]]^2),"N/A")</f>
        <v>N/A</v>
      </c>
      <c r="FS78" s="508" t="str">
        <f>IF(Reinforcements[[#This Row],[Type]]="channel",((Reinforcements[[#This Row],[Fey]]+Reinforcements[[#This Row],[Fez]])/(2*Reinforcements[[#This Row],[H2]]))*(1-SQRT(1-((4*Reinforcements[[#This Row],[Fey]]*Reinforcements[[#This Row],[Fez]]*Reinforcements[[#This Row],[H2]])/(Reinforcements[[#This Row],[Fey]]+Reinforcements[[#This Row],[Fez]])^2))),"N/A")</f>
        <v>N/A</v>
      </c>
      <c r="FT78" s="508" t="str">
        <f>IF(Reinforcements[[#This Row],[Type]]="channel",IF(Reinforcements[[#This Row],[Lcx/rx]]&gt;(4.71*SQRT(Reinforcements[[#This Row],[E, (ksi)]]/Reinforcements[[#This Row],[Fy, (ksi)]])),0.877*Reinforcements[[#This Row],[Fe (FTB)]],0.658^(Reinforcements[[#This Row],[Fy, (ksi)]]/Reinforcements[[#This Row],[Fe (FTB)]])*Reinforcements[[#This Row],[Fy, (ksi)]]),"N/A")</f>
        <v>N/A</v>
      </c>
      <c r="FU78" s="508" t="str">
        <f>IF(Reinforcements[[#This Row],[Type]]="channel",MIN(Reinforcements[[#This Row],[Fcr(FTB)]],Reinforcements[[#This Row],[Fcry (ksi)]]),"N/A")</f>
        <v>N/A</v>
      </c>
      <c r="FV78" s="252">
        <v>0.22</v>
      </c>
      <c r="FW78" s="252">
        <v>1.49</v>
      </c>
      <c r="FX78" s="508" t="str">
        <f>IF(Reinforcements[[#This Row],[Type]]="channel",((Reinforcements[[#This Row],[c2]]*(Reinforcements[[#This Row],[λrf]]/Reinforcements[[#This Row],[λf]]))^2)*Reinforcements[[#This Row],[Fy, (ksi)]],"N/A")</f>
        <v>N/A</v>
      </c>
      <c r="FY78" s="508" t="str">
        <f>IF(Reinforcements[[#This Row],[Type]]="channel",((Reinforcements[[#This Row],[c2]]*(Reinforcements[[#This Row],[λrw]]/Reinforcements[[#This Row],[λw]]))^2)*Reinforcements[[#This Row],[Fy, (ksi)]],"N/A")</f>
        <v>N/A</v>
      </c>
      <c r="FZ78"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8"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8"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8" s="508" t="str">
        <f>IF(Reinforcements[[#This Row],[Type]]="channel",Reinforcements[[#This Row],[Fcr]]*Reinforcements[[#This Row],[Ae]],"N/A")</f>
        <v>N/A</v>
      </c>
      <c r="GD78" s="462" t="str">
        <f>IF(Reinforcements[[#This Row],[Reinforcement]]="","",φ_c*Reinforcements[[#This Row],[Pnx, FB (kip)]])</f>
        <v/>
      </c>
      <c r="GE78" s="462" t="str">
        <f>IF(Reinforcements[[#This Row],[Reinforcement]]="","",IF(Reinforcements[[#This Row],[Type]]="channel",φ_c*Reinforcements[[#This Row],[Pn]],φ_c*Reinforcements[[#This Row],[Pny, FB (kip)]]))</f>
        <v/>
      </c>
      <c r="GF78" s="462" t="str">
        <f>Reinforcements[[#This Row],[Rev. G Tension Yield Capacity (kips)]]</f>
        <v/>
      </c>
      <c r="GG78" s="462" t="str">
        <f>Reinforcements[[#This Row],[Rev. G Tension Rupture Capacity (kips)]]</f>
        <v/>
      </c>
      <c r="GH78" s="462" t="str">
        <f>Reinforcements[[#This Row],[Rev. G Shear Capacity (kips)]]</f>
        <v/>
      </c>
      <c r="GI78" s="462" t="str">
        <f>IFERROR((Reinforcements[[#This Row],['# of End Connection Bolts          (Bottom)]]-1)*Reinforcements[[#This Row],[End Connection Bolt Spacing (in) (B)]],"-")</f>
        <v>-</v>
      </c>
      <c r="GJ78" s="462" t="str">
        <f>IFERROR(IF(VLOOKUP(Reinforcements[[#This Row],[Bottom End Connection Bolt Type]],Bolts[],COLUMN(Bolts[[#Headers],[Rev. H Apply Connection Length Reduction Factor (Rb)?]])-1,FALSE)="Yes",(IF(Reinforcements[[#This Row],[Lb(bottom)]]&lt;=16,1,IF(Reinforcements[[#This Row],[Lb(bottom)]]&gt;38,0.75,0.9))),1),"-")</f>
        <v>-</v>
      </c>
      <c r="GK78"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8" s="462" t="str">
        <f>IFERROR(IF(Reinforcements[[#This Row],[Top End Connection Same?]]="Yes",Reinforcements[[#This Row],[Lb(bottom)]],(Reinforcements[[#This Row],['# of End Connection Bolts          (Top)]]-1)*Reinforcements[[#This Row],[End Connection Bolt Spacing (in) (T)]]),"-")</f>
        <v>-</v>
      </c>
      <c r="GM78" s="462" t="str">
        <f>IFERROR(IF(VLOOKUP(Reinforcements[[#This Row],[Top End Connection Bolt Type]],Bolts[],COLUMN(Bolts[[#Headers],[Rev. H Apply Connection Length Reduction Factor (Rb)?]])-1,FALSE)="Yes",(IF(Reinforcements[[#This Row],[Lb(top)]]&lt;=16,1,IF(Reinforcements[[#This Row],[Lb(top)]]&gt;38,0.75,0.9))),1),"-")</f>
        <v>-</v>
      </c>
      <c r="GN78"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8" s="462" t="str">
        <f>Reinforcements[[#This Row],[Rev. G Bolt-Shaft Bearing Capacity (Bottom)                No Deformation          (*t*Fu kips)]]</f>
        <v>-</v>
      </c>
      <c r="GP78" s="462" t="str">
        <f>Reinforcements[[#This Row],[Rev. G Bolt-Shaft Bearing Capacity (Bottom)                   Deformation          (*t*Fu kips)]]</f>
        <v>-</v>
      </c>
      <c r="GQ78" s="462" t="str">
        <f>Reinforcements[[#This Row],[Rev. G Bolt-Shaft Bearing Capacity (Top)                    No Deformation          (*t*Fu kips)]]</f>
        <v>-</v>
      </c>
      <c r="GR78" s="462" t="str">
        <f>Reinforcements[[#This Row],[Rev. G Bolt-Shaft Bearing Capacity (Top)                        Deformation          (*t*Fu kips)]]</f>
        <v>-</v>
      </c>
      <c r="GS78" s="462" t="str">
        <f>Reinforcements[[#This Row],[Rev. G Bolt-Reinf. Bearing Capacity (Bottom)            No Deformation (kips)]]</f>
        <v>-</v>
      </c>
      <c r="GT78" s="462" t="str">
        <f>Reinforcements[[#This Row],[Rev. G Bolt-Reinf. Bearing Capacity (Bottom)               Deformation (kips)]]</f>
        <v>-</v>
      </c>
      <c r="GU78" s="462" t="str">
        <f>Reinforcements[[#This Row],[Rev. G Bolt-Reinf. Bearing Capacity (Top)                  No Deformation (kips)]]</f>
        <v>-</v>
      </c>
      <c r="GV78" s="462" t="str">
        <f>Reinforcements[[#This Row],[Rev. G Bolt-Reinf. Bearing Capacity (Top)               Deformation (kips)]]</f>
        <v>-</v>
      </c>
      <c r="GW78" s="462" t="str">
        <f>Reinforcements[[#This Row],[Rev. G Bottom Transverse Weld Strength]]</f>
        <v/>
      </c>
      <c r="GX78" s="462" t="str">
        <f>Reinforcements[[#This Row],[Rev. G Bottom Longitudinal Weld Strength]]</f>
        <v/>
      </c>
      <c r="GY78" s="462" t="str">
        <f>Reinforcements[[#This Row],[Rev. G Top Transverse Weld Strength]]</f>
        <v/>
      </c>
      <c r="GZ78" s="462" t="str">
        <f>Reinforcements[[#This Row],[Rev. G Top Longitudinal Weld Strength]]</f>
        <v/>
      </c>
      <c r="HA78" s="552">
        <v>76</v>
      </c>
      <c r="HB78"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9" spans="2:210" x14ac:dyDescent="0.2">
      <c r="B79" s="129"/>
      <c r="C79" s="129"/>
      <c r="D79" s="201" t="str">
        <f>IF(Reinforcements[[#This Row],[Type]]="","",IF(Reinforcements[[#This Row],[Type]]="solid round","-",""))</f>
        <v/>
      </c>
      <c r="E79" s="201" t="str">
        <f>IF(Reinforcements[[#This Row],[Type]]="","",IF(Reinforcements[[#This Row],[Type]]="solid round","-",""))</f>
        <v/>
      </c>
      <c r="F79" s="201" t="str">
        <f>IF(Reinforcements[[#This Row],[Type]]="","",IF(Reinforcements[[#This Row],[Type]]="solid round","","n/a"))</f>
        <v/>
      </c>
      <c r="G79" s="201" t="str">
        <f>IF(Reinforcements[[#This Row],[Type]]="","",IF(Reinforcements[[#This Row],[Type]]&lt;&gt;"channel","n/a",""))</f>
        <v/>
      </c>
      <c r="H79" s="201" t="str">
        <f>IF(Reinforcements[[#This Row],[Type]]="","",IF(Reinforcements[[#This Row],[Type]]&lt;&gt;"channel","n/a",""))</f>
        <v/>
      </c>
      <c r="I79" s="224" t="str">
        <f>IF(Reinforcements[[#This Row],[Type]]="","",IF(Reinforcements[[#This Row],[Type]]&lt;&gt;"channel","n/a",Reinforcements[[#This Row],[eo]]))</f>
        <v/>
      </c>
      <c r="J79" s="224" t="str">
        <f>IF(Reinforcements[[#This Row],[Type]]="","",IF(Reinforcements[[#This Row],[Type]]&lt;&gt;"channel","n/a",Reinforcements[[#This Row],[J]]))</f>
        <v/>
      </c>
      <c r="K79" s="224" t="str">
        <f>IF(Reinforcements[[#This Row],[Type]]="","",IF(Reinforcements[[#This Row],[Type]]&lt;&gt;"channel","n/a",Reinforcements[[#This Row],[Cw]]))</f>
        <v/>
      </c>
      <c r="L79" s="201" t="str">
        <f>IFERROR(IF(Reinforcements[[#This Row],[Type]]="","",IF(Reinforcements[[#This Row],[Type]]="plate",Reinforcements[[#This Row],[B (in)]]*Reinforcements[[#This Row],[H (in)]],IF(Reinforcements[[#This Row],[Type]]="solid round",PI()/4*Reinforcements[[#This Row],[Diameter (in)]]^2,""))),"")</f>
        <v/>
      </c>
      <c r="M79" s="201" t="str">
        <f>IFERROR(IF(Reinforcements[[#This Row],[Type]]="","",IF(Reinforcements[[#This Row],[Type]]="plate",Reinforcements[[#This Row],[H (in)]]/2,"")),"")</f>
        <v/>
      </c>
      <c r="N79" s="202"/>
      <c r="O79" s="203"/>
      <c r="P79" s="215" t="str">
        <f>IFERROR(IF(Reinforcements[[#This Row],[Type]]="","",IF(Reinforcements[[#This Row],[Type]]="plate",Reinforcements[[#This Row],[B (in)]]*Reinforcements[[#This Row],[H (in)]]^3/12,IF(Reinforcements[[#This Row],[Type]]="solid round",PI()/64*Reinforcements[[#This Row],[Diameter (in)]]^4,""))),"")</f>
        <v/>
      </c>
      <c r="Q79" s="215" t="str">
        <f>IF(Reinforcements[[#This Row],[Reinforcement]]="","",SQRT(Reinforcements[[#This Row],[Ix]]/Reinforcements[[#This Row],[Gross Area (in2)]]))</f>
        <v/>
      </c>
      <c r="R79" s="215" t="str">
        <f>IFERROR(IF(Reinforcements[[#This Row],[Type]]="","",IF(Reinforcements[[#This Row],[Type]]="plate",Reinforcements[[#This Row],[B (in)]]^3*Reinforcements[[#This Row],[H (in)]]/12,IF(Reinforcements[[#This Row],[Type]]="solid round",PI()/64*Reinforcements[[#This Row],[Diameter (in)]]^4,""))),"")</f>
        <v/>
      </c>
      <c r="S79" s="215" t="str">
        <f>IF(Reinforcements[[#This Row],[Reinforcement]]="","",SQRT(Reinforcements[[#This Row],[Iy]]/Reinforcements[[#This Row],[Gross Area (in2)]]))</f>
        <v/>
      </c>
      <c r="T79" s="206"/>
      <c r="U79" s="204" t="str">
        <f>IF(Reinforcements[[#This Row],[Lu (in)]]="","",IF(Reinforcements[[#This Row],[Lu (in)]]=0,1,""))</f>
        <v/>
      </c>
      <c r="V79" s="204" t="str">
        <f>IF(Reinforcements[[#This Row],[Lu (in)]]="","",IF(Reinforcements[[#This Row],[Lu (in)]]=0,1,""))</f>
        <v/>
      </c>
      <c r="W79" s="201" t="str">
        <f>IF(Reinforcements[[#This Row],[Type]]="","",IF(Reinforcements[[#This Row],[Type]]="solid round",0,IF(Reinforcements[[#This Row],[Type]]="arbitrary","n/a","")))</f>
        <v/>
      </c>
      <c r="X79" s="204" t="str">
        <f>IF(Reinforcements[[#This Row],[Bolt Hole Size (in)]]="","",IF(Reinforcements[[#This Row],[Bolt Hole Size (in)]]="n/a","n/a",Reinforcements[[#This Row],[Bolt Hole Size (in)]]*25.4))</f>
        <v/>
      </c>
      <c r="Y79"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9" s="201" t="str">
        <f>IFERROR(IF(Reinforcements[[#This Row],[Reinforcement]]="","",IF(OR(Reinforcements[[#This Row],[Type]]="plate",Reinforcements[[#This Row],[Type]]="solid round"),1,IF(Reinforcements[[#This Row],[Type]]="arbitrary","",1-Reinforcements[[#This Row],[Pole Face to Centroid (in)]]/Reinforcements[[#This Row],[Connection Length (in) '[Channels']]]))),"")</f>
        <v/>
      </c>
      <c r="AA79" s="205"/>
      <c r="AB79" s="103" t="str">
        <f>IF(Reinforcements[[#This Row],[Reinforcement]]="","",IF(Reinforcements[[#This Row],[Bottom End Connection Type]]&lt;&gt;"Capacity Input","-",""))</f>
        <v/>
      </c>
      <c r="AC79" s="103" t="str">
        <f>IF(Reinforcements[[#This Row],[Reinforcement]]="","",IF(Reinforcements[[#This Row],[Bottom End Connection Type]]&lt;&gt;"Capacity Input","-",""))</f>
        <v/>
      </c>
      <c r="AD79" s="253" t="str">
        <f>IF(Reinforcements[[#This Row],[Reinforcement]]="","",IF(Reinforcements[[#This Row],[Bottom End Connection Type]]&lt;&gt;"Capacity Input","-",""))</f>
        <v/>
      </c>
      <c r="AE79" s="103" t="str">
        <f>IF(Reinforcements[[#This Row],[Reinforcement]]="","",IF(Reinforcements[[#This Row],[Bottom End Connection Type]]&lt;&gt;"Bolted","-",""))</f>
        <v/>
      </c>
      <c r="AF79" s="206" t="str">
        <f>IF(Reinforcements[[#This Row],[Reinforcement]]="","",IF(Reinforcements[[#This Row],[Bottom End Connection Type]]&lt;&gt;"Bolted","-",""))</f>
        <v/>
      </c>
      <c r="AG79" s="206" t="str">
        <f>IF(Reinforcements[[#This Row],[Reinforcement]]="","",IF(Reinforcements[[#This Row],[Bottom End Connection Type]]="","-",IF(Reinforcements[[#This Row],[Bottom End Connection Type]]&lt;&gt;"Bolted","-","")))</f>
        <v/>
      </c>
      <c r="AH79" s="206" t="str">
        <f>IF(Reinforcements[[#This Row],[Reinforcement]]="","",IF(Reinforcements[[#This Row],[Bottom End Connection Type]]="","-",IF(Reinforcements[[#This Row],[Bottom End Connection Type]]&lt;&gt;"Bolted","-","")))</f>
        <v/>
      </c>
      <c r="AI79" s="206" t="str">
        <f>IF(Reinforcements[[#This Row],[Reinforcement]]="","",IF(Reinforcements[[#This Row],[Bottom End Connection Type]]="","-",IF(Reinforcements[[#This Row],[Bottom End Connection Type]]&lt;&gt;"Bolted","-","")))</f>
        <v/>
      </c>
      <c r="AJ79" s="206" t="e">
        <f>Reinforcements[[#This Row],[End Connection Edge Distance (in) (B)]]-(Reinforcements[[#This Row],[Bolt Hole Size (in)]]+1/16)/2</f>
        <v>#VALUE!</v>
      </c>
      <c r="AK79" s="206" t="e">
        <f>Reinforcements[[#This Row],[End Connection Bolt Spacing (in) (B)]]-(Reinforcements[[#This Row],[Bolt Hole Size (in)]]+1/16)</f>
        <v>#VALUE!</v>
      </c>
      <c r="AL79" s="206" t="str">
        <f>Reinforcements[[#This Row],[End Connection Edge Distance (in) (B)]]</f>
        <v/>
      </c>
      <c r="AM79" s="206" t="str">
        <f>Reinforcements[[#This Row],[End Connection Bolt Spacing (in) (B)]]</f>
        <v/>
      </c>
      <c r="AN79" s="206" t="str">
        <f>IF(Reinforcements[[#This Row],[Reinforcement]]="","",IF(OR(Reinforcements[[#This Row],[Bottom End Connection Type]]="Bolted",Reinforcements[[#This Row],[Bottom End Connection Type]]=""),"-",""))</f>
        <v/>
      </c>
      <c r="AO79" s="214" t="str">
        <f>IF(Reinforcements[[#This Row],[Reinforcement]]="","",IF(Reinforcements[[#This Row],[Bottom End Connection Type]]&lt;&gt;"Welded","-",""))</f>
        <v/>
      </c>
      <c r="AP79" s="214" t="str">
        <f>IF(Reinforcements[[#This Row],[Reinforcement]]="","",IF(Reinforcements[[#This Row],[Bottom End Connection Type]]&lt;&gt;"Welded","-",""))</f>
        <v/>
      </c>
      <c r="AQ79" s="214" t="str">
        <f>IF(Reinforcements[[#This Row],[Reinforcement]]="","",IF(OR(Reinforcements[[#This Row],[Bottom End Connection Type]]&lt;&gt;"Welded",Reinforcements[[#This Row],[Bottom Transverse (Horizontal) Weld]]="None"),"-",""))</f>
        <v/>
      </c>
      <c r="AR79"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9"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9" s="214" t="str">
        <f>IF(Reinforcements[[#This Row],[Reinforcement]]="","",IF(OR(Reinforcements[[#This Row],[Bottom Transverse (Horizontal) Weld]]="None",Reinforcements[[#This Row],[Bottom End Connection Type]]&lt;&gt;"Welded"),"-",""))</f>
        <v/>
      </c>
      <c r="AU79"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9" s="214" t="str">
        <f>IF(Reinforcements[[#This Row],[Reinforcement]]="","",IF(OR(Reinforcements[[#This Row],[Bottom End Connection Type]]&lt;&gt;"Welded",Reinforcements[[#This Row],[Bottom End Connection Type]]=""),"-",""))</f>
        <v/>
      </c>
      <c r="AW79" s="214" t="str">
        <f>IF(Reinforcements[[#This Row],[Reinforcement]]="","",IF(OR(Reinforcements[[#This Row],[Bottom End Connection Type]]&lt;&gt;"Welded",Reinforcements[[#This Row],[Bottom Longitudinal (Vertical) Weld]]="None",Reinforcements[[#This Row],[Bottom Longitudinal (Vertical) Weld]]=""),"-",""))</f>
        <v/>
      </c>
      <c r="AX79" s="214" t="str">
        <f>IF(Reinforcements[[#This Row],[Reinforcement]]="","",IF(OR(Reinforcements[[#This Row],[Bottom End Connection Type]]&lt;&gt;"Welded",Reinforcements[[#This Row],[Bottom Longitudinal (Vertical) Weld]]="None",Reinforcements[[#This Row],[Bottom Longitudinal (Vertical) Weld]]=""),"-",""))</f>
        <v/>
      </c>
      <c r="AY79" s="206" t="str">
        <f>IF(Reinforcements[[#This Row],[Reinforcement]]="","",IF(OR(Reinforcements[[#This Row],[Bottom End Connection Type]]&lt;&gt;"Welded",Reinforcements[[#This Row],[Bottom Longitudinal (Vertical) Weld]]="None"),"-",SQRT(2)/2*Reinforcements[[#This Row],[Bottom Longitudinal Weld Fillet Size (in)]]))</f>
        <v/>
      </c>
      <c r="AZ79" s="206"/>
      <c r="BA79" s="103" t="str">
        <f>IF(Reinforcements[[#This Row],[Top End Connection Same?]]="Yes",Reinforcements[[#This Row],[Bottom End Connection Type]],"")</f>
        <v/>
      </c>
      <c r="BB79" s="103" t="str">
        <f>IF(Reinforcements[[#This Row],[Reinforcement]]="","",IF(Reinforcements[[#This Row],[Top End Connection Same?]]="Yes",Reinforcements[[#This Row],[Rev. F Bottom Connection Capacity (kips)]],IF(Reinforcements[[#This Row],[Reinforcement]]="","",IF(Reinforcements[[#This Row],[Top End Connection Type]]&lt;&gt;"Capacity Input","-",""))))</f>
        <v/>
      </c>
      <c r="BC79" s="103" t="str">
        <f>IF(Reinforcements[[#This Row],[Reinforcement]]="","",IF(Reinforcements[[#This Row],[Top End Connection Same?]]="Yes",Reinforcements[[#This Row],[Rev. G Bottom Connection Capacity (kips)]],IF(Reinforcements[[#This Row],[Reinforcement]]="","",IF(Reinforcements[[#This Row],[Top End Connection Type]]&lt;&gt;"Capacity Input","-",""))))</f>
        <v/>
      </c>
      <c r="BD79" s="253" t="str">
        <f>IF(Reinforcements[[#This Row],[Reinforcement]]="","",IF(Reinforcements[[#This Row],[Top End Connection Same?]]="Yes",Reinforcements[[#This Row],[Rev. G Bottom Connection Capacity (kips)]],IF(Reinforcements[[#This Row],[Reinforcement]]="","",IF(Reinforcements[[#This Row],[Top End Connection Type]]&lt;&gt;"Capacity Input","-",""))))</f>
        <v/>
      </c>
      <c r="BE79" s="103" t="str">
        <f>IF(Reinforcements[[#This Row],[Reinforcement]]="","",IF(Reinforcements[[#This Row],[Top End Connection Same?]]="Yes",Reinforcements[[#This Row],[Bottom End Connection Bolt Type]],IF(Reinforcements[[#This Row],[Top End Connection Type]]&lt;&gt;"Bolted","-","")))</f>
        <v/>
      </c>
      <c r="BF79" s="206" t="str">
        <f>IF(Reinforcements[[#This Row],[Reinforcement]]="","",IF(Reinforcements[[#This Row],[Top End Connection Same?]]="Yes",Reinforcements[[#This Row],[Threads Included (N) or Excluded (X) (Bottom)]],IF(Reinforcements[[#This Row],[Top End Connection Type]]&lt;&gt;"Bolted","-","")))</f>
        <v/>
      </c>
      <c r="BG79" s="206" t="str">
        <f>IF(Reinforcements[[#This Row],[Reinforcement]]="","",IF(Reinforcements[[#This Row],[Top End Connection Same?]]="Yes",Reinforcements[[#This Row],['# of End Connection Bolts          (Bottom)]],IF(Reinforcements[[#This Row],[Top End Connection Type]]&lt;&gt;"Bolted","-","")))</f>
        <v/>
      </c>
      <c r="BH79" s="206" t="str">
        <f>IF(Reinforcements[[#This Row],[Reinforcement]]="","",IF(Reinforcements[[#This Row],[Top End Connection Same?]]="Yes",Reinforcements[[#This Row],[End Connection Bolt Spacing (in) (B)]],IF(Reinforcements[[#This Row],[Top End Connection Type]]&lt;&gt;"Bolted","-","")))</f>
        <v/>
      </c>
      <c r="BI79" s="206" t="str">
        <f>IF(Reinforcements[[#This Row],[Reinforcement]]="","",IF(Reinforcements[[#This Row],[Top End Connection Same?]]="Yes",Reinforcements[[#This Row],[End Connection Edge Distance (in) (B)]],IF(Reinforcements[[#This Row],[Top End Connection Type]]&lt;&gt;"Bolted","-","")))</f>
        <v/>
      </c>
      <c r="BJ79" s="206" t="e">
        <f>Reinforcements[[#This Row],[End Connection Edge Distance (in) (T)]]-(Reinforcements[[#This Row],[Bolt Hole Size (in)]]+1/16)/2</f>
        <v>#VALUE!</v>
      </c>
      <c r="BK79" s="206" t="e">
        <f>Reinforcements[[#This Row],[End Connection Bolt Spacing (in) (T)]]-(Reinforcements[[#This Row],[Bolt Hole Size (in)]]+1/16)</f>
        <v>#VALUE!</v>
      </c>
      <c r="BL79" s="206" t="str">
        <f>Reinforcements[[#This Row],[End Connection Edge Distance (in) (T)]]</f>
        <v/>
      </c>
      <c r="BM79" s="206" t="str">
        <f>Reinforcements[[#This Row],[End Connection Bolt Spacing (in) (T)]]</f>
        <v/>
      </c>
      <c r="BN79" s="206" t="str">
        <f>IF(Reinforcements[[#This Row],[Reinforcement]]="","",IF(Reinforcements[[#This Row],[Top End Connection Same?]]="Yes",Reinforcements[[#This Row],[Bottom Connected to Flange/Base Plate?]],IF(Reinforcements[[#This Row],[Top End Connection Type]]="Bolted","-","")))</f>
        <v/>
      </c>
      <c r="BO79" s="206" t="str">
        <f>IF(Reinforcements[[#This Row],[Reinforcement]]="","",IF(Reinforcements[[#This Row],[Top End Connection Same?]]="Yes",Reinforcements[[#This Row],[Bottom Weld Grade (ksi)]],IF(OR(Reinforcements[[#This Row],[Top End Connection Type]]&lt;&gt;"Welded",Reinforcements[[#This Row],[Top End Connection Type]]=""),"-","")))</f>
        <v/>
      </c>
      <c r="BP79" s="206" t="str">
        <f>IF($AZ79="Yes",AP79,IF(Reinforcements[[#This Row],[Reinforcement]]="","",IF(OR(Reinforcements[[#This Row],[Top End Connection Type]]&lt;&gt;"Welded",Reinforcements[[#This Row],[Top End Connection Type]]=""),"-","")))</f>
        <v/>
      </c>
      <c r="BQ79" s="206" t="str">
        <f>IF(Reinforcements[[#This Row],[Reinforcement]]="","",IF($AZ79="Yes",AQ79,IF(OR(Reinforcements[[#This Row],[Top End Connection Type]]&lt;&gt;"Welded",Reinforcements[[#This Row],[Top Transverse (Horizontal) Weld]]="none",Reinforcements[[#This Row],[Top Transverse (Horizontal) Weld]]=""),"-","")))</f>
        <v/>
      </c>
      <c r="BR79" s="206" t="str">
        <f>IF($AZ79="Yes",AR79,IF(Reinforcements[[#This Row],[Reinforcement]]="","",IF(OR(Reinforcements[[#This Row],[Top Transverse (Horizontal) Weld]]="none",Reinforcements[[#This Row],[Top End Connection Type]]&lt;&gt;"Welded",Reinforcements[[#This Row],[Top Transverse (Horizontal) Weld]]="",Reinforcements[[#This Row],[Top Transverse (Horizontal) Weld]]="Fillet"),"-","")))</f>
        <v/>
      </c>
      <c r="BS79" s="206" t="str">
        <f>IF($AZ79="Yes",AS79,IF(Reinforcements[[#This Row],[Reinforcement]]="","",IF(OR(Reinforcements[[#This Row],[Top Transverse (Horizontal) Weld]]="none",Reinforcements[[#This Row],[Top End Connection Type]]&lt;&gt;"Welded",Reinforcements[[#This Row],[Top Transverse (Horizontal) Weld]]="",Reinforcements[[#This Row],[Top Transverse (Horizontal) Weld]]="Fillet"),"-","")))</f>
        <v/>
      </c>
      <c r="BT79" s="206" t="str">
        <f>IF(Reinforcements[[#This Row],[Reinforcement]]="","",IF($AZ79="Yes",AT79,IF(OR(Reinforcements[[#This Row],[Top Transverse (Horizontal) Weld]]="none",Reinforcements[[#This Row],[Top End Connection Type]]&lt;&gt;"Welded",Reinforcements[[#This Row],[Top Transverse (Horizontal) Weld]]=""),"-","")))</f>
        <v/>
      </c>
      <c r="BU79" s="206" t="str">
        <f>IF($AZ79="Yes",AU79,IF(Reinforcements[[#This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9" s="206" t="str">
        <f>IF($AZ79="Yes",AV79,IF(Reinforcements[[#This Row],[Reinforcement]]="","",IF(OR(Reinforcements[[#This Row],[Top End Connection Type]]&lt;&gt;"Welded",Reinforcements[[#This Row],[Top End Connection Type]]=""),"-","")))</f>
        <v/>
      </c>
      <c r="BW79" s="206" t="str">
        <f>IF($AZ79="Yes",AW79,IF(Reinforcements[[#This Row],[Reinforcement]]="","",IF(OR(Reinforcements[[#This Row],[Top End Connection Type]]&lt;&gt;"Welded",Reinforcements[[#This Row],[Top End Connection Type]]="",Reinforcements[[#This Row],[Top Longitudinal (Vertical) Weld]]="",Reinforcements[[#This Row],[Top Longitudinal (Vertical) Weld]]="None"),"-","")))</f>
        <v/>
      </c>
      <c r="BX79" s="206" t="str">
        <f>IF($AZ79="Yes",AX79,IF(Reinforcements[[#This Row],[Reinforcement]]="","",IF(OR(Reinforcements[[#This Row],[Top End Connection Type]]&lt;&gt;"Welded",Reinforcements[[#This Row],[Top End Connection Type]]="",Reinforcements[[#This Row],[Top Longitudinal (Vertical) Weld]]="",Reinforcements[[#This Row],[Top Longitudinal (Vertical) Weld]]="None"),"-","")))</f>
        <v/>
      </c>
      <c r="BY79" s="206" t="str">
        <f>IF($AZ79="Yes",AY79,IF(Reinforcements[[#This Row],[Reinforcement]]="","",IF(OR(Reinforcements[[#This Row],[Top End Connection Type]]&lt;&gt;"Welded",Reinforcements[[#This Row],[Top Longitudinal (Vertical) Weld]]="none"),"-",SQRT(2)/2*Reinforcements[[#This Row],[Top Longitudinal Weld Fillet Size (in)]])))</f>
        <v/>
      </c>
      <c r="BZ79"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9"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9"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9"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9"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9" s="201" t="str">
        <f>IFERROR(IF(Reinforcements[[#This Row],[Type]]="","",Reinforcements[[#This Row],[Effective B (in)]]*Reinforcements[[#This Row],[Effective H (in)]]^3/12),"")</f>
        <v/>
      </c>
      <c r="CF79" s="201" t="str">
        <f>IFERROR(IF(Reinforcements[[#This Row],[Type]]="","",Reinforcements[[#This Row],[Effective B (in)]]^3*Reinforcements[[#This Row],[Effective H (in)]]/12),"")</f>
        <v/>
      </c>
      <c r="CG79" s="224" t="e">
        <f>SQRT(2*PI()^2*29000/VLOOKUP(Reinforcements[[#This Row],[Material]],Materials[],2,FALSE))</f>
        <v>#N/A</v>
      </c>
      <c r="CH79"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9"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9" s="215" t="e">
        <f>Reinforcements[[#This Row],[Effective Length Factor Kx]]*Reinforcements[[#This Row],[Lu (in)]]/(Reinforcements[[#This Row],[rx]]*PI())*SQRT(VLOOKUP(Reinforcements[[#This Row],[Material]],Materials[],2,FALSE)/29000)</f>
        <v>#VALUE!</v>
      </c>
      <c r="CK79" s="215" t="e">
        <f>Reinforcements[[#This Row],[Effective Length Factor Ky]]*Reinforcements[[#This Row],[Lu (in)]]/(Reinforcements[[#This Row],[ry]]*PI())*SQRT(VLOOKUP(Reinforcements[[#This Row],[Material]],Materials[],2,FALSE)/29000)</f>
        <v>#VALUE!</v>
      </c>
      <c r="CL79" s="215" t="e">
        <f>IF(Reinforcements[[#This Row],[λcx]]&lt;=1.5,0.658^(Reinforcements[[#This Row],[λcx]]^2)*Reinforcements[[#This Row],[F''y]],0.877/(Reinforcements[[#This Row],[λcx]]^2)*Reinforcements[[#This Row],[F''y]])</f>
        <v>#VALUE!</v>
      </c>
      <c r="CM79" s="215" t="e">
        <f>IF(Reinforcements[[#This Row],[λcy]]&lt;=1.5,0.658^(Reinforcements[[#This Row],[λcy]]^2)*Reinforcements[[#This Row],[F''y]],0.877/(Reinforcements[[#This Row],[λcy]]^2)*Reinforcements[[#This Row],[F''y]])</f>
        <v>#VALUE!</v>
      </c>
      <c r="CN79" s="201" t="e">
        <f>VLOOKUP(Reinforcements[[#This Row],[Material]],Materials[],2,FALSE)</f>
        <v>#N/A</v>
      </c>
      <c r="CO79" s="224" t="str">
        <f>IF(Reinforcements[[#This Row],[Reinforcement]]="","",Reinforcements[[#This Row],[Fax]]*Reinforcements[[#This Row],[Gross Area (in2)]])</f>
        <v/>
      </c>
      <c r="CP79" s="224" t="str">
        <f>IF(Reinforcements[[#This Row],[Reinforcement]]="","",Reinforcements[[#This Row],[Fay]]*Reinforcements[[#This Row],[Gross Area (in2)]])</f>
        <v/>
      </c>
      <c r="CQ79" s="224" t="str">
        <f>IF(Reinforcements[[#This Row],[Reinforcement]]="","",0.6*VLOOKUP(Reinforcements[[#This Row],[Material]],Materials[],2,FALSE)*Reinforcements[[#This Row],[Gross Area (in2)]])</f>
        <v/>
      </c>
      <c r="CR79" s="224" t="str">
        <f>IF(Reinforcements[[#This Row],[Reinforcement]]="","",0.5*VLOOKUP(Reinforcements[[#This Row],[Material]],Materials[],3,FALSE)*Reinforcements[[#This Row],[Net Area (in2)]]*Reinforcements[[#This Row],[Shear Lag (U)]])</f>
        <v/>
      </c>
      <c r="CS79" s="224" t="str">
        <f>IF(Reinforcements[[#This Row],[Reinforcement]]="","",0.4*VLOOKUP(Reinforcements[[#This Row],[Material]],Materials[],2,FALSE)*Reinforcements[[#This Row],[Gross Area (in2)]])</f>
        <v/>
      </c>
      <c r="CT79"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9"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9"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9"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9"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9"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9"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9"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9"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9"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9"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9"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9" s="206" t="str">
        <f>IF($AZ79="Yes",DD79,IF(Reinforcements[[#This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9" s="206" t="str">
        <f>IF($AZ79="Yes",DE79,IF(Reinforcements[[#This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9" s="224" t="str">
        <f>IF(Reinforcements[[#This Row],[Reinforcement]]="","",φ_c*Reinforcements[[#This Row],[Fcr,x]]*Reinforcements[[#This Row],[Gross Area (in2)]])</f>
        <v/>
      </c>
      <c r="DI79" s="224" t="str">
        <f>IF(Reinforcements[[#This Row],[Reinforcement]]="","",φ_c*Reinforcements[[#This Row],[Fcr,y]]*Reinforcements[[#This Row],[Gross Area (in2)]])</f>
        <v/>
      </c>
      <c r="DJ79" s="224" t="str">
        <f>IF(Reinforcements[[#This Row],[Reinforcement]]="","",φ_t_y*VLOOKUP(Reinforcements[[#This Row],[Material]],Materials[],2,FALSE)*Reinforcements[[#This Row],[Gross Area (in2)]])</f>
        <v/>
      </c>
      <c r="DK79" s="224" t="str">
        <f>IF(Reinforcements[[#This Row],[Reinforcement]]="","",φ_t_r*VLOOKUP(Reinforcements[[#This Row],[Material]],Materials[],3,FALSE)*Reinforcements[[#This Row],[Net Area (in2)]]*Reinforcements[[#This Row],[Shear Lag (U)]])</f>
        <v/>
      </c>
      <c r="DL79" s="224" t="str">
        <f>IF(Reinforcements[[#This Row],[Reinforcement]]="","",φ_v*0.5*Reinforcements[[#This Row],[F''y]]*Reinforcements[[#This Row],[Gross Area (in2)]])</f>
        <v/>
      </c>
      <c r="DM79"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9"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9"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9"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9"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9"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9"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9"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9"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9"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9"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9"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9" s="206" t="str">
        <f>IF($AZ79="Yes",DW79,IF(Reinforcements[[#This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9" s="206" t="str">
        <f>IF($AZ79="Yes",DX79,IF(Reinforcements[[#This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9" s="507" t="str">
        <f>IF(OR(Reinforcements[[#This Row],[Type]]="plate",Reinforcements[[#This Row],[Type]]="solid round"),"N/A",Reinforcements[[#This Row],[B (in)]])</f>
        <v/>
      </c>
      <c r="EB79" s="508" t="str">
        <f>IF(OR(Reinforcements[[#This Row],[Type]]="plate",Reinforcements[[#This Row],[Type]]="solid round"),"N/A",Reinforcements[[#This Row],[H (in)]])</f>
        <v/>
      </c>
      <c r="EC79" s="508" t="e">
        <f>IF(OR(Reinforcements[[#This Row],[Type]]="plate",Reinforcements[[#This Row],[Type]]="solid round"),"N/A",Reinforcements[[#This Row],[B (in)]]-Reinforcements[[#This Row],['[Channel'] Flange Thickness (in)]])</f>
        <v>#VALUE!</v>
      </c>
      <c r="ED79" s="508" t="str">
        <f>IF(OR(Reinforcements[[#This Row],[Type]]="plate",Reinforcements[[#This Row],[Type]]="solid round"),"N/A",Reinforcements[[#This Row],['[Channel']Web Thickness (in)]])</f>
        <v/>
      </c>
      <c r="EE79" s="508" t="str">
        <f>IF(OR(Reinforcements[[#This Row],[Type]]="plate",Reinforcements[[#This Row],[Type]]="solid round"),"N/A",Reinforcements[[#This Row],['[Channel'] Flange Thickness (in)]])</f>
        <v/>
      </c>
      <c r="EF79" s="508" t="str">
        <f>IF(Reinforcements[[#This Row],[Type]]="channel",Reinforcements[[#This Row],[Channel Flange Width, b]]/Reinforcements[[#This Row],[Channel flange thickness, tf]],"N/A")</f>
        <v>N/A</v>
      </c>
      <c r="EG79" s="508" t="str">
        <f>IF(Reinforcements[[#This Row],[Type]]="channel",Reinforcements[[#This Row],[Channel inside depth, T]]/Reinforcements[[#This Row],[Channel web thickness, tw]],"N/A")</f>
        <v>N/A</v>
      </c>
      <c r="EH79" s="252">
        <v>29000</v>
      </c>
      <c r="EI79" s="252" t="str">
        <f>IF(Reinforcements[[#This Row],[Type]]="channel",0.56*SQRT(Reinforcements[[#This Row],[E, (ksi)]]/Reinforcements[[#This Row],[Fy, (ksi)]]),"N/A")</f>
        <v>N/A</v>
      </c>
      <c r="EJ79" s="252" t="str">
        <f>IF(Reinforcements[[#This Row],[Type]]="channel",1.49*SQRT(Reinforcements[[#This Row],[E, (ksi)]]/Reinforcements[[#This Row],[Fy, (ksi)]]),"N/A")</f>
        <v>N/A</v>
      </c>
      <c r="EK79" s="252" t="e">
        <f>VLOOKUP(Reinforcements[[#This Row],[Material]],Materials!$B$2:$C$30,2,FALSE)</f>
        <v>#N/A</v>
      </c>
      <c r="EL79" s="252" t="e">
        <f>Reinforcements[[#This Row],[Lu (in)]]*Reinforcements[[#This Row],[Effective Length Factor Kx]]</f>
        <v>#VALUE!</v>
      </c>
      <c r="EM79" s="252" t="e">
        <f>Reinforcements[[#This Row],[Lu (in)]]*Reinforcements[[#This Row],[Effective Length Factor Ky]]</f>
        <v>#VALUE!</v>
      </c>
      <c r="EN79" s="252" t="str">
        <f>Reinforcements[[#This Row],[rx]]</f>
        <v/>
      </c>
      <c r="EO79" s="252" t="str">
        <f>Reinforcements[[#This Row],[ry]]</f>
        <v/>
      </c>
      <c r="EP79" s="252" t="e">
        <f>Reinforcements[[#This Row],[Lcx (in)]]/Reinforcements[[#This Row],[rx (in)]]</f>
        <v>#VALUE!</v>
      </c>
      <c r="EQ79" s="252" t="e">
        <f>Reinforcements[[#This Row],[Lcy (in)]]/Reinforcements[[#This Row],[ry (in)]]</f>
        <v>#VALUE!</v>
      </c>
      <c r="ER79" s="252" t="e">
        <f>((PI()^2)*Reinforcements[[#This Row],[E, (ksi)]])/(Reinforcements[[#This Row],[Lcx/rx]]^2)</f>
        <v>#VALUE!</v>
      </c>
      <c r="ES79" s="252" t="e">
        <f>((PI()^2)*Reinforcements[[#This Row],[E, (ksi)]])/(Reinforcements[[#This Row],[Lcy/ry]]^2)</f>
        <v>#VALUE!</v>
      </c>
      <c r="ET79" s="252" t="e">
        <f>4.71*(SQRT(Reinforcements[[#This Row],[E, (ksi)]]/Reinforcements[[#This Row],[Fy, (ksi)]]))</f>
        <v>#N/A</v>
      </c>
      <c r="EU79" s="252" t="e">
        <f>IF(Reinforcements[[#This Row],[Lcx/rx]]&lt;=Reinforcements[[#This Row],[Fcr Limit]],(0.658^(Reinforcements[[#This Row],[Fy, (ksi)]]/Reinforcements[[#This Row],[Fex, FB (ksi)]]))*Reinforcements[[#This Row],[Fy, (ksi)]],0.877*Reinforcements[[#This Row],[Fex, FB (ksi)]])</f>
        <v>#VALUE!</v>
      </c>
      <c r="EV79" s="252" t="e">
        <f>IF(Reinforcements[[#This Row],[Lcy/ry]]&lt;=Reinforcements[[#This Row],[Fcr Limit]],(0.658^(Reinforcements[[#This Row],[Fy, (ksi)]]/Reinforcements[[#This Row],[Fey, FB (ksi)]]))*Reinforcements[[#This Row],[Fy, (ksi)]],0.877*Reinforcements[[#This Row],[Fey, FB (ksi)]])</f>
        <v>#VALUE!</v>
      </c>
      <c r="EW79" s="252" t="e">
        <f>Reinforcements[[#This Row],[Fcrx (ksi)]]*Reinforcements[[#This Row],[Gross Area (in2)]]</f>
        <v>#VALUE!</v>
      </c>
      <c r="EX79" s="252" t="e">
        <f>Reinforcements[[#This Row],[Fcry (ksi)]]*Reinforcements[[#This Row],[Gross Area (in2)]]</f>
        <v>#VALUE!</v>
      </c>
      <c r="EY79" s="252" t="str">
        <f>IF(Reinforcements[[#This Row],[Type]]="channel",0,"N/A")</f>
        <v>N/A</v>
      </c>
      <c r="EZ79" s="252" t="str">
        <f>IF(Reinforcements[[#This Row],[Type]]="channel",Reinforcements[[#This Row],[Channel Flange Width, b]]-(0.5*Reinforcements[[#This Row],[Channel web thickness, tw]]),"N/A")</f>
        <v>N/A</v>
      </c>
      <c r="FA79" s="252" t="str">
        <f>IF(Reinforcements[[#This Row],[Type]]="channel",Reinforcements[[#This Row],[Channel Height, h]]-Reinforcements[[#This Row],[Channel flange thickness, tf]],"N/A")</f>
        <v>N/A</v>
      </c>
      <c r="FB79" s="252" t="str">
        <f>IF(Reinforcements[[#This Row],[Type]]="channel",Reinforcements[[#This Row],[Channel web thickness, tw]],"N/A")</f>
        <v>N/A</v>
      </c>
      <c r="FC79" s="252" t="str">
        <f>IF(Reinforcements[[#This Row],[Type]]="channel",((3*Reinforcements[[#This Row],[b]]^2)/(Reinforcements[[#This Row],[h]]+(6*Reinforcements[[#This Row],[b]])))-Reinforcements[[#This Row],[t]]/2,"N/A")</f>
        <v>N/A</v>
      </c>
      <c r="FD79" s="252" t="str">
        <f>Reinforcements[[#This Row],[Pole Face to Centroid (in)]]</f>
        <v/>
      </c>
      <c r="FE79" s="508" t="str">
        <f>IF(Reinforcements[[#This Row],[Type]]="channel",Reinforcements[[#This Row],[x(bar)]]+Reinforcements[[#This Row],['[Channel'] e0 (in)]],"N/A")</f>
        <v>N/A</v>
      </c>
      <c r="FF79" s="508" t="str">
        <f>IF(Reinforcements[[#This Row],[Type]]="channel",Reinforcements[[#This Row],[Ix]],"N/A")</f>
        <v>N/A</v>
      </c>
      <c r="FG79" s="508" t="str">
        <f>IF(Reinforcements[[#This Row],[Type]]="channel",Reinforcements[[#This Row],[Iy]],"N/A")</f>
        <v>N/A</v>
      </c>
      <c r="FH79" s="508" t="str">
        <f>IF(Reinforcements[[#This Row],[Type]]="channel",Reinforcements[[#This Row],[Gross Area (in2)]],"N/A")</f>
        <v>N/A</v>
      </c>
      <c r="FI79" s="508" t="str">
        <f>IF(Reinforcements[[#This Row],[Type]]="channel",(Reinforcements[[#This Row],[xo]]^2)+((Reinforcements[[#This Row],[Ix (FTB)]]+Reinforcements[[#This Row],[Iy (FTB)]])/Reinforcements[[#This Row],[Ag]]),"N/A")</f>
        <v>N/A</v>
      </c>
      <c r="FJ79" s="508" t="str">
        <f>IF(Reinforcements[[#This Row],[Type]]="channel",Reinforcements[[#This Row],[Lu (in)]],"N/A")</f>
        <v>N/A</v>
      </c>
      <c r="FK79" s="508" t="str">
        <f>IF(Reinforcements[[#This Row],[Type]]="channel",Reinforcements[[#This Row],[Effective Length Factor Kx]],"N/A")</f>
        <v>N/A</v>
      </c>
      <c r="FL79" s="508" t="str">
        <f>IF(Reinforcements[[#This Row],[Type]]="channel",Reinforcements[[#This Row],[Kz]]*Reinforcements[[#This Row],[Lz]],"N/A")</f>
        <v>N/A</v>
      </c>
      <c r="FM79" s="508" t="str">
        <f>IF(Reinforcements[[#This Row],[Type]]="channel",(((Reinforcements[[#This Row],[t]]^3)/3)*(Reinforcements[[#This Row],[h]]+(2*Reinforcements[[#This Row],[b]]))),"N/A")</f>
        <v>N/A</v>
      </c>
      <c r="FN79" s="508" t="str">
        <f>IF(Reinforcements[[#This Row],[Type]]="channel",(1-(((Reinforcements[[#This Row],[xo]]^2)+(Reinforcements[[#This Row],[yo]]^2))/Reinforcements[[#This Row],[ro^2(bar)]])),"N/A")</f>
        <v>N/A</v>
      </c>
      <c r="FO79" s="252">
        <v>11200</v>
      </c>
      <c r="FP79" s="508" t="str">
        <f>IF(Reinforcements[[#This Row],[Type]]="channel",(((Reinforcements[[#This Row],[h]]^2)*(Reinforcements[[#This Row],[b]]^3)*Reinforcements[[#This Row],[t]])/12)*(((2*Reinforcements[[#This Row],[h]])+(3*Reinforcements[[#This Row],[b]]))/(Reinforcements[[#This Row],[h]]+(6*Reinforcements[[#This Row],[b]]))),"N/A")</f>
        <v>N/A</v>
      </c>
      <c r="FQ79" s="508" t="str">
        <f>IF(Reinforcements[[#This Row],[Type]]="Channel",((((PI()^2)*Reinforcements[[#This Row],[E, (ksi)]]*Reinforcements[[#This Row],['[Channel'] CW (in6)]])/(Reinforcements[[#This Row],[Lcz]]^2))+(Reinforcements[[#This Row],[G]]*Reinforcements[[#This Row],['[Channel'] J (in4)]]))*(1/(Reinforcements[[#This Row],[Ag]]*Reinforcements[[#This Row],[ro^2(bar)]])),"N/A")</f>
        <v>N/A</v>
      </c>
      <c r="FR79" s="508" t="str">
        <f>IF(Reinforcements[[#This Row],[Type]]="channel",((PI()^2)*Reinforcements[[#This Row],[E, (ksi)]])/(Reinforcements[[#This Row],[Lcy/ry]]^2),"N/A")</f>
        <v>N/A</v>
      </c>
      <c r="FS79" s="508" t="str">
        <f>IF(Reinforcements[[#This Row],[Type]]="channel",((Reinforcements[[#This Row],[Fey]]+Reinforcements[[#This Row],[Fez]])/(2*Reinforcements[[#This Row],[H2]]))*(1-SQRT(1-((4*Reinforcements[[#This Row],[Fey]]*Reinforcements[[#This Row],[Fez]]*Reinforcements[[#This Row],[H2]])/(Reinforcements[[#This Row],[Fey]]+Reinforcements[[#This Row],[Fez]])^2))),"N/A")</f>
        <v>N/A</v>
      </c>
      <c r="FT79" s="508" t="str">
        <f>IF(Reinforcements[[#This Row],[Type]]="channel",IF(Reinforcements[[#This Row],[Lcx/rx]]&gt;(4.71*SQRT(Reinforcements[[#This Row],[E, (ksi)]]/Reinforcements[[#This Row],[Fy, (ksi)]])),0.877*Reinforcements[[#This Row],[Fe (FTB)]],0.658^(Reinforcements[[#This Row],[Fy, (ksi)]]/Reinforcements[[#This Row],[Fe (FTB)]])*Reinforcements[[#This Row],[Fy, (ksi)]]),"N/A")</f>
        <v>N/A</v>
      </c>
      <c r="FU79" s="508" t="str">
        <f>IF(Reinforcements[[#This Row],[Type]]="channel",MIN(Reinforcements[[#This Row],[Fcr(FTB)]],Reinforcements[[#This Row],[Fcry (ksi)]]),"N/A")</f>
        <v>N/A</v>
      </c>
      <c r="FV79" s="252">
        <v>0.22</v>
      </c>
      <c r="FW79" s="252">
        <v>1.49</v>
      </c>
      <c r="FX79" s="508" t="str">
        <f>IF(Reinforcements[[#This Row],[Type]]="channel",((Reinforcements[[#This Row],[c2]]*(Reinforcements[[#This Row],[λrf]]/Reinforcements[[#This Row],[λf]]))^2)*Reinforcements[[#This Row],[Fy, (ksi)]],"N/A")</f>
        <v>N/A</v>
      </c>
      <c r="FY79" s="508" t="str">
        <f>IF(Reinforcements[[#This Row],[Type]]="channel",((Reinforcements[[#This Row],[c2]]*(Reinforcements[[#This Row],[λrw]]/Reinforcements[[#This Row],[λw]]))^2)*Reinforcements[[#This Row],[Fy, (ksi)]],"N/A")</f>
        <v>N/A</v>
      </c>
      <c r="FZ79"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9"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9"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9" s="508" t="str">
        <f>IF(Reinforcements[[#This Row],[Type]]="channel",Reinforcements[[#This Row],[Fcr]]*Reinforcements[[#This Row],[Ae]],"N/A")</f>
        <v>N/A</v>
      </c>
      <c r="GD79" s="462" t="str">
        <f>IF(Reinforcements[[#This Row],[Reinforcement]]="","",φ_c*Reinforcements[[#This Row],[Pnx, FB (kip)]])</f>
        <v/>
      </c>
      <c r="GE79" s="462" t="str">
        <f>IF(Reinforcements[[#This Row],[Reinforcement]]="","",IF(Reinforcements[[#This Row],[Type]]="channel",φ_c*Reinforcements[[#This Row],[Pn]],φ_c*Reinforcements[[#This Row],[Pny, FB (kip)]]))</f>
        <v/>
      </c>
      <c r="GF79" s="462" t="str">
        <f>Reinforcements[[#This Row],[Rev. G Tension Yield Capacity (kips)]]</f>
        <v/>
      </c>
      <c r="GG79" s="462" t="str">
        <f>Reinforcements[[#This Row],[Rev. G Tension Rupture Capacity (kips)]]</f>
        <v/>
      </c>
      <c r="GH79" s="462" t="str">
        <f>Reinforcements[[#This Row],[Rev. G Shear Capacity (kips)]]</f>
        <v/>
      </c>
      <c r="GI79" s="462" t="str">
        <f>IFERROR((Reinforcements[[#This Row],['# of End Connection Bolts          (Bottom)]]-1)*Reinforcements[[#This Row],[End Connection Bolt Spacing (in) (B)]],"-")</f>
        <v>-</v>
      </c>
      <c r="GJ79" s="462" t="str">
        <f>IFERROR(IF(VLOOKUP(Reinforcements[[#This Row],[Bottom End Connection Bolt Type]],Bolts[],COLUMN(Bolts[[#Headers],[Rev. H Apply Connection Length Reduction Factor (Rb)?]])-1,FALSE)="Yes",(IF(Reinforcements[[#This Row],[Lb(bottom)]]&lt;=16,1,IF(Reinforcements[[#This Row],[Lb(bottom)]]&gt;38,0.75,0.9))),1),"-")</f>
        <v>-</v>
      </c>
      <c r="GK79"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9" s="462" t="str">
        <f>IFERROR(IF(Reinforcements[[#This Row],[Top End Connection Same?]]="Yes",Reinforcements[[#This Row],[Lb(bottom)]],(Reinforcements[[#This Row],['# of End Connection Bolts          (Top)]]-1)*Reinforcements[[#This Row],[End Connection Bolt Spacing (in) (T)]]),"-")</f>
        <v>-</v>
      </c>
      <c r="GM79" s="462" t="str">
        <f>IFERROR(IF(VLOOKUP(Reinforcements[[#This Row],[Top End Connection Bolt Type]],Bolts[],COLUMN(Bolts[[#Headers],[Rev. H Apply Connection Length Reduction Factor (Rb)?]])-1,FALSE)="Yes",(IF(Reinforcements[[#This Row],[Lb(top)]]&lt;=16,1,IF(Reinforcements[[#This Row],[Lb(top)]]&gt;38,0.75,0.9))),1),"-")</f>
        <v>-</v>
      </c>
      <c r="GN79"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9" s="462" t="str">
        <f>Reinforcements[[#This Row],[Rev. G Bolt-Shaft Bearing Capacity (Bottom)                No Deformation          (*t*Fu kips)]]</f>
        <v>-</v>
      </c>
      <c r="GP79" s="462" t="str">
        <f>Reinforcements[[#This Row],[Rev. G Bolt-Shaft Bearing Capacity (Bottom)                   Deformation          (*t*Fu kips)]]</f>
        <v>-</v>
      </c>
      <c r="GQ79" s="462" t="str">
        <f>Reinforcements[[#This Row],[Rev. G Bolt-Shaft Bearing Capacity (Top)                    No Deformation          (*t*Fu kips)]]</f>
        <v>-</v>
      </c>
      <c r="GR79" s="462" t="str">
        <f>Reinforcements[[#This Row],[Rev. G Bolt-Shaft Bearing Capacity (Top)                        Deformation          (*t*Fu kips)]]</f>
        <v>-</v>
      </c>
      <c r="GS79" s="462" t="str">
        <f>Reinforcements[[#This Row],[Rev. G Bolt-Reinf. Bearing Capacity (Bottom)            No Deformation (kips)]]</f>
        <v>-</v>
      </c>
      <c r="GT79" s="462" t="str">
        <f>Reinforcements[[#This Row],[Rev. G Bolt-Reinf. Bearing Capacity (Bottom)               Deformation (kips)]]</f>
        <v>-</v>
      </c>
      <c r="GU79" s="462" t="str">
        <f>Reinforcements[[#This Row],[Rev. G Bolt-Reinf. Bearing Capacity (Top)                  No Deformation (kips)]]</f>
        <v>-</v>
      </c>
      <c r="GV79" s="462" t="str">
        <f>Reinforcements[[#This Row],[Rev. G Bolt-Reinf. Bearing Capacity (Top)               Deformation (kips)]]</f>
        <v>-</v>
      </c>
      <c r="GW79" s="462" t="str">
        <f>Reinforcements[[#This Row],[Rev. G Bottom Transverse Weld Strength]]</f>
        <v/>
      </c>
      <c r="GX79" s="462" t="str">
        <f>Reinforcements[[#This Row],[Rev. G Bottom Longitudinal Weld Strength]]</f>
        <v/>
      </c>
      <c r="GY79" s="462" t="str">
        <f>Reinforcements[[#This Row],[Rev. G Top Transverse Weld Strength]]</f>
        <v/>
      </c>
      <c r="GZ79" s="462" t="str">
        <f>Reinforcements[[#This Row],[Rev. G Top Longitudinal Weld Strength]]</f>
        <v/>
      </c>
      <c r="HA79" s="552">
        <v>77</v>
      </c>
      <c r="HB79"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80" spans="2:210" x14ac:dyDescent="0.2">
      <c r="B80" s="129"/>
      <c r="C80" s="129"/>
      <c r="D80" s="201" t="str">
        <f>IF(Reinforcements[[#This Row],[Type]]="","",IF(Reinforcements[[#This Row],[Type]]="solid round","-",""))</f>
        <v/>
      </c>
      <c r="E80" s="201" t="str">
        <f>IF(Reinforcements[[#This Row],[Type]]="","",IF(Reinforcements[[#This Row],[Type]]="solid round","-",""))</f>
        <v/>
      </c>
      <c r="F80" s="201" t="str">
        <f>IF(Reinforcements[[#This Row],[Type]]="","",IF(Reinforcements[[#This Row],[Type]]="solid round","","n/a"))</f>
        <v/>
      </c>
      <c r="G80" s="201" t="str">
        <f>IF(Reinforcements[[#This Row],[Type]]="","",IF(Reinforcements[[#This Row],[Type]]&lt;&gt;"channel","n/a",""))</f>
        <v/>
      </c>
      <c r="H80" s="201" t="str">
        <f>IF(Reinforcements[[#This Row],[Type]]="","",IF(Reinforcements[[#This Row],[Type]]&lt;&gt;"channel","n/a",""))</f>
        <v/>
      </c>
      <c r="I80" s="224" t="str">
        <f>IF(Reinforcements[[#This Row],[Type]]="","",IF(Reinforcements[[#This Row],[Type]]&lt;&gt;"channel","n/a",Reinforcements[[#This Row],[eo]]))</f>
        <v/>
      </c>
      <c r="J80" s="224" t="str">
        <f>IF(Reinforcements[[#This Row],[Type]]="","",IF(Reinforcements[[#This Row],[Type]]&lt;&gt;"channel","n/a",Reinforcements[[#This Row],[J]]))</f>
        <v/>
      </c>
      <c r="K80" s="224" t="str">
        <f>IF(Reinforcements[[#This Row],[Type]]="","",IF(Reinforcements[[#This Row],[Type]]&lt;&gt;"channel","n/a",Reinforcements[[#This Row],[Cw]]))</f>
        <v/>
      </c>
      <c r="L80" s="201" t="str">
        <f>IFERROR(IF(Reinforcements[[#This Row],[Type]]="","",IF(Reinforcements[[#This Row],[Type]]="plate",Reinforcements[[#This Row],[B (in)]]*Reinforcements[[#This Row],[H (in)]],IF(Reinforcements[[#This Row],[Type]]="solid round",PI()/4*Reinforcements[[#This Row],[Diameter (in)]]^2,""))),"")</f>
        <v/>
      </c>
      <c r="M80" s="201" t="str">
        <f>IFERROR(IF(Reinforcements[[#This Row],[Type]]="","",IF(Reinforcements[[#This Row],[Type]]="plate",Reinforcements[[#This Row],[H (in)]]/2,"")),"")</f>
        <v/>
      </c>
      <c r="N80" s="202"/>
      <c r="O80" s="203"/>
      <c r="P80" s="215" t="str">
        <f>IFERROR(IF(Reinforcements[[#This Row],[Type]]="","",IF(Reinforcements[[#This Row],[Type]]="plate",Reinforcements[[#This Row],[B (in)]]*Reinforcements[[#This Row],[H (in)]]^3/12,IF(Reinforcements[[#This Row],[Type]]="solid round",PI()/64*Reinforcements[[#This Row],[Diameter (in)]]^4,""))),"")</f>
        <v/>
      </c>
      <c r="Q80" s="215" t="str">
        <f>IF(Reinforcements[[#This Row],[Reinforcement]]="","",SQRT(Reinforcements[[#This Row],[Ix]]/Reinforcements[[#This Row],[Gross Area (in2)]]))</f>
        <v/>
      </c>
      <c r="R80" s="215" t="str">
        <f>IFERROR(IF(Reinforcements[[#This Row],[Type]]="","",IF(Reinforcements[[#This Row],[Type]]="plate",Reinforcements[[#This Row],[B (in)]]^3*Reinforcements[[#This Row],[H (in)]]/12,IF(Reinforcements[[#This Row],[Type]]="solid round",PI()/64*Reinforcements[[#This Row],[Diameter (in)]]^4,""))),"")</f>
        <v/>
      </c>
      <c r="S80" s="215" t="str">
        <f>IF(Reinforcements[[#This Row],[Reinforcement]]="","",SQRT(Reinforcements[[#This Row],[Iy]]/Reinforcements[[#This Row],[Gross Area (in2)]]))</f>
        <v/>
      </c>
      <c r="T80" s="206"/>
      <c r="U80" s="204" t="str">
        <f>IF(Reinforcements[[#This Row],[Lu (in)]]="","",IF(Reinforcements[[#This Row],[Lu (in)]]=0,1,""))</f>
        <v/>
      </c>
      <c r="V80" s="204" t="str">
        <f>IF(Reinforcements[[#This Row],[Lu (in)]]="","",IF(Reinforcements[[#This Row],[Lu (in)]]=0,1,""))</f>
        <v/>
      </c>
      <c r="W80" s="201" t="str">
        <f>IF(Reinforcements[[#This Row],[Type]]="","",IF(Reinforcements[[#This Row],[Type]]="solid round",0,IF(Reinforcements[[#This Row],[Type]]="arbitrary","n/a","")))</f>
        <v/>
      </c>
      <c r="X80" s="204" t="str">
        <f>IF(Reinforcements[[#This Row],[Bolt Hole Size (in)]]="","",IF(Reinforcements[[#This Row],[Bolt Hole Size (in)]]="n/a","n/a",Reinforcements[[#This Row],[Bolt Hole Size (in)]]*25.4))</f>
        <v/>
      </c>
      <c r="Y80"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80" s="201" t="str">
        <f>IFERROR(IF(Reinforcements[[#This Row],[Reinforcement]]="","",IF(OR(Reinforcements[[#This Row],[Type]]="plate",Reinforcements[[#This Row],[Type]]="solid round"),1,IF(Reinforcements[[#This Row],[Type]]="arbitrary","",1-Reinforcements[[#This Row],[Pole Face to Centroid (in)]]/Reinforcements[[#This Row],[Connection Length (in) '[Channels']]]))),"")</f>
        <v/>
      </c>
      <c r="AA80" s="205"/>
      <c r="AB80" s="103" t="str">
        <f>IF(Reinforcements[[#This Row],[Reinforcement]]="","",IF(Reinforcements[[#This Row],[Bottom End Connection Type]]&lt;&gt;"Capacity Input","-",""))</f>
        <v/>
      </c>
      <c r="AC80" s="103" t="str">
        <f>IF(Reinforcements[[#This Row],[Reinforcement]]="","",IF(Reinforcements[[#This Row],[Bottom End Connection Type]]&lt;&gt;"Capacity Input","-",""))</f>
        <v/>
      </c>
      <c r="AD80" s="253" t="str">
        <f>IF(Reinforcements[[#This Row],[Reinforcement]]="","",IF(Reinforcements[[#This Row],[Bottom End Connection Type]]&lt;&gt;"Capacity Input","-",""))</f>
        <v/>
      </c>
      <c r="AE80" s="103" t="str">
        <f>IF(Reinforcements[[#This Row],[Reinforcement]]="","",IF(Reinforcements[[#This Row],[Bottom End Connection Type]]&lt;&gt;"Bolted","-",""))</f>
        <v/>
      </c>
      <c r="AF80" s="206" t="str">
        <f>IF(Reinforcements[[#This Row],[Reinforcement]]="","",IF(Reinforcements[[#This Row],[Bottom End Connection Type]]&lt;&gt;"Bolted","-",""))</f>
        <v/>
      </c>
      <c r="AG80" s="206" t="str">
        <f>IF(Reinforcements[[#This Row],[Reinforcement]]="","",IF(Reinforcements[[#This Row],[Bottom End Connection Type]]="","-",IF(Reinforcements[[#This Row],[Bottom End Connection Type]]&lt;&gt;"Bolted","-","")))</f>
        <v/>
      </c>
      <c r="AH80" s="206" t="str">
        <f>IF(Reinforcements[[#This Row],[Reinforcement]]="","",IF(Reinforcements[[#This Row],[Bottom End Connection Type]]="","-",IF(Reinforcements[[#This Row],[Bottom End Connection Type]]&lt;&gt;"Bolted","-","")))</f>
        <v/>
      </c>
      <c r="AI80" s="206" t="str">
        <f>IF(Reinforcements[[#This Row],[Reinforcement]]="","",IF(Reinforcements[[#This Row],[Bottom End Connection Type]]="","-",IF(Reinforcements[[#This Row],[Bottom End Connection Type]]&lt;&gt;"Bolted","-","")))</f>
        <v/>
      </c>
      <c r="AJ80" s="206" t="e">
        <f>Reinforcements[[#This Row],[End Connection Edge Distance (in) (B)]]-(Reinforcements[[#This Row],[Bolt Hole Size (in)]]+1/16)/2</f>
        <v>#VALUE!</v>
      </c>
      <c r="AK80" s="206" t="e">
        <f>Reinforcements[[#This Row],[End Connection Bolt Spacing (in) (B)]]-(Reinforcements[[#This Row],[Bolt Hole Size (in)]]+1/16)</f>
        <v>#VALUE!</v>
      </c>
      <c r="AL80" s="206" t="str">
        <f>Reinforcements[[#This Row],[End Connection Edge Distance (in) (B)]]</f>
        <v/>
      </c>
      <c r="AM80" s="206" t="str">
        <f>Reinforcements[[#This Row],[End Connection Bolt Spacing (in) (B)]]</f>
        <v/>
      </c>
      <c r="AN80" s="206" t="str">
        <f>IF(Reinforcements[[#This Row],[Reinforcement]]="","",IF(OR(Reinforcements[[#This Row],[Bottom End Connection Type]]="Bolted",Reinforcements[[#This Row],[Bottom End Connection Type]]=""),"-",""))</f>
        <v/>
      </c>
      <c r="AO80" s="214" t="str">
        <f>IF(Reinforcements[[#This Row],[Reinforcement]]="","",IF(Reinforcements[[#This Row],[Bottom End Connection Type]]&lt;&gt;"Welded","-",""))</f>
        <v/>
      </c>
      <c r="AP80" s="214" t="str">
        <f>IF(Reinforcements[[#This Row],[Reinforcement]]="","",IF(Reinforcements[[#This Row],[Bottom End Connection Type]]&lt;&gt;"Welded","-",""))</f>
        <v/>
      </c>
      <c r="AQ80" s="214" t="str">
        <f>IF(Reinforcements[[#This Row],[Reinforcement]]="","",IF(OR(Reinforcements[[#This Row],[Bottom End Connection Type]]&lt;&gt;"Welded",Reinforcements[[#This Row],[Bottom Transverse (Horizontal) Weld]]="None"),"-",""))</f>
        <v/>
      </c>
      <c r="AR80"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80"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80" s="214" t="str">
        <f>IF(Reinforcements[[#This Row],[Reinforcement]]="","",IF(OR(Reinforcements[[#This Row],[Bottom Transverse (Horizontal) Weld]]="None",Reinforcements[[#This Row],[Bottom End Connection Type]]&lt;&gt;"Welded"),"-",""))</f>
        <v/>
      </c>
      <c r="AU80"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80" s="214" t="str">
        <f>IF(Reinforcements[[#This Row],[Reinforcement]]="","",IF(OR(Reinforcements[[#This Row],[Bottom End Connection Type]]&lt;&gt;"Welded",Reinforcements[[#This Row],[Bottom End Connection Type]]=""),"-",""))</f>
        <v/>
      </c>
      <c r="AW80" s="214" t="str">
        <f>IF(Reinforcements[[#This Row],[Reinforcement]]="","",IF(OR(Reinforcements[[#This Row],[Bottom End Connection Type]]&lt;&gt;"Welded",Reinforcements[[#This Row],[Bottom Longitudinal (Vertical) Weld]]="None",Reinforcements[[#This Row],[Bottom Longitudinal (Vertical) Weld]]=""),"-",""))</f>
        <v/>
      </c>
      <c r="AX80" s="214" t="str">
        <f>IF(Reinforcements[[#This Row],[Reinforcement]]="","",IF(OR(Reinforcements[[#This Row],[Bottom End Connection Type]]&lt;&gt;"Welded",Reinforcements[[#This Row],[Bottom Longitudinal (Vertical) Weld]]="None",Reinforcements[[#This Row],[Bottom Longitudinal (Vertical) Weld]]=""),"-",""))</f>
        <v/>
      </c>
      <c r="AY80" s="206" t="str">
        <f>IF(Reinforcements[[#This Row],[Reinforcement]]="","",IF(OR(Reinforcements[[#This Row],[Bottom End Connection Type]]&lt;&gt;"Welded",Reinforcements[[#This Row],[Bottom Longitudinal (Vertical) Weld]]="None"),"-",SQRT(2)/2*Reinforcements[[#This Row],[Bottom Longitudinal Weld Fillet Size (in)]]))</f>
        <v/>
      </c>
      <c r="AZ80" s="206"/>
      <c r="BA80" s="103" t="str">
        <f>IF(Reinforcements[[#This Row],[Top End Connection Same?]]="Yes",Reinforcements[[#This Row],[Bottom End Connection Type]],"")</f>
        <v/>
      </c>
      <c r="BB80" s="103" t="str">
        <f>IF(Reinforcements[[#This Row],[Reinforcement]]="","",IF(Reinforcements[[#This Row],[Top End Connection Same?]]="Yes",Reinforcements[[#This Row],[Rev. F Bottom Connection Capacity (kips)]],IF(Reinforcements[[#This Row],[Reinforcement]]="","",IF(Reinforcements[[#This Row],[Top End Connection Type]]&lt;&gt;"Capacity Input","-",""))))</f>
        <v/>
      </c>
      <c r="BC80" s="103" t="str">
        <f>IF(Reinforcements[[#This Row],[Reinforcement]]="","",IF(Reinforcements[[#This Row],[Top End Connection Same?]]="Yes",Reinforcements[[#This Row],[Rev. G Bottom Connection Capacity (kips)]],IF(Reinforcements[[#This Row],[Reinforcement]]="","",IF(Reinforcements[[#This Row],[Top End Connection Type]]&lt;&gt;"Capacity Input","-",""))))</f>
        <v/>
      </c>
      <c r="BD80" s="253" t="str">
        <f>IF(Reinforcements[[#This Row],[Reinforcement]]="","",IF(Reinforcements[[#This Row],[Top End Connection Same?]]="Yes",Reinforcements[[#This Row],[Rev. G Bottom Connection Capacity (kips)]],IF(Reinforcements[[#This Row],[Reinforcement]]="","",IF(Reinforcements[[#This Row],[Top End Connection Type]]&lt;&gt;"Capacity Input","-",""))))</f>
        <v/>
      </c>
      <c r="BE80" s="103" t="str">
        <f>IF(Reinforcements[[#This Row],[Reinforcement]]="","",IF(Reinforcements[[#This Row],[Top End Connection Same?]]="Yes",Reinforcements[[#This Row],[Bottom End Connection Bolt Type]],IF(Reinforcements[[#This Row],[Top End Connection Type]]&lt;&gt;"Bolted","-","")))</f>
        <v/>
      </c>
      <c r="BF80" s="206" t="str">
        <f>IF(Reinforcements[[#This Row],[Reinforcement]]="","",IF(Reinforcements[[#This Row],[Top End Connection Same?]]="Yes",Reinforcements[[#This Row],[Threads Included (N) or Excluded (X) (Bottom)]],IF(Reinforcements[[#This Row],[Top End Connection Type]]&lt;&gt;"Bolted","-","")))</f>
        <v/>
      </c>
      <c r="BG80" s="206" t="str">
        <f>IF(Reinforcements[[#This Row],[Reinforcement]]="","",IF(Reinforcements[[#This Row],[Top End Connection Same?]]="Yes",Reinforcements[[#This Row],['# of End Connection Bolts          (Bottom)]],IF(Reinforcements[[#This Row],[Top End Connection Type]]&lt;&gt;"Bolted","-","")))</f>
        <v/>
      </c>
      <c r="BH80" s="206" t="str">
        <f>IF(Reinforcements[[#This Row],[Reinforcement]]="","",IF(Reinforcements[[#This Row],[Top End Connection Same?]]="Yes",Reinforcements[[#This Row],[End Connection Bolt Spacing (in) (B)]],IF(Reinforcements[[#This Row],[Top End Connection Type]]&lt;&gt;"Bolted","-","")))</f>
        <v/>
      </c>
      <c r="BI80" s="206" t="str">
        <f>IF(Reinforcements[[#This Row],[Reinforcement]]="","",IF(Reinforcements[[#This Row],[Top End Connection Same?]]="Yes",Reinforcements[[#This Row],[End Connection Edge Distance (in) (B)]],IF(Reinforcements[[#This Row],[Top End Connection Type]]&lt;&gt;"Bolted","-","")))</f>
        <v/>
      </c>
      <c r="BJ80" s="206" t="e">
        <f>Reinforcements[[#This Row],[End Connection Edge Distance (in) (T)]]-(Reinforcements[[#This Row],[Bolt Hole Size (in)]]+1/16)/2</f>
        <v>#VALUE!</v>
      </c>
      <c r="BK80" s="206" t="e">
        <f>Reinforcements[[#This Row],[End Connection Bolt Spacing (in) (T)]]-(Reinforcements[[#This Row],[Bolt Hole Size (in)]]+1/16)</f>
        <v>#VALUE!</v>
      </c>
      <c r="BL80" s="206" t="str">
        <f>Reinforcements[[#This Row],[End Connection Edge Distance (in) (T)]]</f>
        <v/>
      </c>
      <c r="BM80" s="206" t="str">
        <f>Reinforcements[[#This Row],[End Connection Bolt Spacing (in) (T)]]</f>
        <v/>
      </c>
      <c r="BN80" s="206" t="str">
        <f>IF(Reinforcements[[#This Row],[Reinforcement]]="","",IF(Reinforcements[[#This Row],[Top End Connection Same?]]="Yes",Reinforcements[[#This Row],[Bottom Connected to Flange/Base Plate?]],IF(Reinforcements[[#This Row],[Top End Connection Type]]="Bolted","-","")))</f>
        <v/>
      </c>
      <c r="BO80" s="206" t="str">
        <f>IF(Reinforcements[[#This Row],[Reinforcement]]="","",IF(Reinforcements[[#This Row],[Top End Connection Same?]]="Yes",Reinforcements[[#This Row],[Bottom Weld Grade (ksi)]],IF(OR(Reinforcements[[#This Row],[Top End Connection Type]]&lt;&gt;"Welded",Reinforcements[[#This Row],[Top End Connection Type]]=""),"-","")))</f>
        <v/>
      </c>
      <c r="BP80" s="206" t="str">
        <f>IF($AZ80="Yes",AP80,IF(Reinforcements[[#This Row],[Reinforcement]]="","",IF(OR(Reinforcements[[#This Row],[Top End Connection Type]]&lt;&gt;"Welded",Reinforcements[[#This Row],[Top End Connection Type]]=""),"-","")))</f>
        <v/>
      </c>
      <c r="BQ80" s="206" t="str">
        <f>IF(Reinforcements[[#This Row],[Reinforcement]]="","",IF($AZ80="Yes",AQ80,IF(OR(Reinforcements[[#This Row],[Top End Connection Type]]&lt;&gt;"Welded",Reinforcements[[#This Row],[Top Transverse (Horizontal) Weld]]="none",Reinforcements[[#This Row],[Top Transverse (Horizontal) Weld]]=""),"-","")))</f>
        <v/>
      </c>
      <c r="BR80" s="206" t="str">
        <f>IF($AZ80="Yes",AR80,IF(Reinforcements[[#This Row],[Reinforcement]]="","",IF(OR(Reinforcements[[#This Row],[Top Transverse (Horizontal) Weld]]="none",Reinforcements[[#This Row],[Top End Connection Type]]&lt;&gt;"Welded",Reinforcements[[#This Row],[Top Transverse (Horizontal) Weld]]="",Reinforcements[[#This Row],[Top Transverse (Horizontal) Weld]]="Fillet"),"-","")))</f>
        <v/>
      </c>
      <c r="BS80" s="206" t="str">
        <f>IF($AZ80="Yes",AS80,IF(Reinforcements[[#This Row],[Reinforcement]]="","",IF(OR(Reinforcements[[#This Row],[Top Transverse (Horizontal) Weld]]="none",Reinforcements[[#This Row],[Top End Connection Type]]&lt;&gt;"Welded",Reinforcements[[#This Row],[Top Transverse (Horizontal) Weld]]="",Reinforcements[[#This Row],[Top Transverse (Horizontal) Weld]]="Fillet"),"-","")))</f>
        <v/>
      </c>
      <c r="BT80" s="206" t="str">
        <f>IF(Reinforcements[[#This Row],[Reinforcement]]="","",IF($AZ80="Yes",AT80,IF(OR(Reinforcements[[#This Row],[Top Transverse (Horizontal) Weld]]="none",Reinforcements[[#This Row],[Top End Connection Type]]&lt;&gt;"Welded",Reinforcements[[#This Row],[Top Transverse (Horizontal) Weld]]=""),"-","")))</f>
        <v/>
      </c>
      <c r="BU80" s="206" t="str">
        <f>IF($AZ80="Yes",AU80,IF(Reinforcements[[#This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80" s="206" t="str">
        <f>IF($AZ80="Yes",AV80,IF(Reinforcements[[#This Row],[Reinforcement]]="","",IF(OR(Reinforcements[[#This Row],[Top End Connection Type]]&lt;&gt;"Welded",Reinforcements[[#This Row],[Top End Connection Type]]=""),"-","")))</f>
        <v/>
      </c>
      <c r="BW80" s="206" t="str">
        <f>IF($AZ80="Yes",AW80,IF(Reinforcements[[#This Row],[Reinforcement]]="","",IF(OR(Reinforcements[[#This Row],[Top End Connection Type]]&lt;&gt;"Welded",Reinforcements[[#This Row],[Top End Connection Type]]="",Reinforcements[[#This Row],[Top Longitudinal (Vertical) Weld]]="",Reinforcements[[#This Row],[Top Longitudinal (Vertical) Weld]]="None"),"-","")))</f>
        <v/>
      </c>
      <c r="BX80" s="206" t="str">
        <f>IF($AZ80="Yes",AX80,IF(Reinforcements[[#This Row],[Reinforcement]]="","",IF(OR(Reinforcements[[#This Row],[Top End Connection Type]]&lt;&gt;"Welded",Reinforcements[[#This Row],[Top End Connection Type]]="",Reinforcements[[#This Row],[Top Longitudinal (Vertical) Weld]]="",Reinforcements[[#This Row],[Top Longitudinal (Vertical) Weld]]="None"),"-","")))</f>
        <v/>
      </c>
      <c r="BY80" s="206" t="str">
        <f>IF($AZ80="Yes",AY80,IF(Reinforcements[[#This Row],[Reinforcement]]="","",IF(OR(Reinforcements[[#This Row],[Top End Connection Type]]&lt;&gt;"Welded",Reinforcements[[#This Row],[Top Longitudinal (Vertical) Weld]]="none"),"-",SQRT(2)/2*Reinforcements[[#This Row],[Top Longitudinal Weld Fillet Size (in)]])))</f>
        <v/>
      </c>
      <c r="BZ80"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80"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80" s="203" t="str">
        <f>IF(Reinforcements[[#This Row],[Reinforcement]]="","",IF(Reinforcements[[#This Row],[Top End Connection Type]]&lt;&gt;"Bolted","n/a",(Reinforcements[[#This Row],['# of End Connection Bolts          (Top)]]-1)*Reinforcements[[#This Row],[End Connection Bolt Spacing (in) (T)]]+Reinforcements[[#This Row],[End Connection Edge Distance (in) (T)]]))</f>
        <v/>
      </c>
      <c r="CC80"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80"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80" s="201" t="str">
        <f>IFERROR(IF(Reinforcements[[#This Row],[Type]]="","",Reinforcements[[#This Row],[Effective B (in)]]*Reinforcements[[#This Row],[Effective H (in)]]^3/12),"")</f>
        <v/>
      </c>
      <c r="CF80" s="201" t="str">
        <f>IFERROR(IF(Reinforcements[[#This Row],[Type]]="","",Reinforcements[[#This Row],[Effective B (in)]]^3*Reinforcements[[#This Row],[Effective H (in)]]/12),"")</f>
        <v/>
      </c>
      <c r="CG80" s="224" t="e">
        <f>SQRT(2*PI()^2*29000/VLOOKUP(Reinforcements[[#This Row],[Material]],Materials[],2,FALSE))</f>
        <v>#N/A</v>
      </c>
      <c r="CH80"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80"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80" s="215" t="e">
        <f>Reinforcements[[#This Row],[Effective Length Factor Kx]]*Reinforcements[[#This Row],[Lu (in)]]/(Reinforcements[[#This Row],[rx]]*PI())*SQRT(VLOOKUP(Reinforcements[[#This Row],[Material]],Materials[],2,FALSE)/29000)</f>
        <v>#VALUE!</v>
      </c>
      <c r="CK80" s="215" t="e">
        <f>Reinforcements[[#This Row],[Effective Length Factor Ky]]*Reinforcements[[#This Row],[Lu (in)]]/(Reinforcements[[#This Row],[ry]]*PI())*SQRT(VLOOKUP(Reinforcements[[#This Row],[Material]],Materials[],2,FALSE)/29000)</f>
        <v>#VALUE!</v>
      </c>
      <c r="CL80" s="215" t="e">
        <f>IF(Reinforcements[[#This Row],[λcx]]&lt;=1.5,0.658^(Reinforcements[[#This Row],[λcx]]^2)*Reinforcements[[#This Row],[F''y]],0.877/(Reinforcements[[#This Row],[λcx]]^2)*Reinforcements[[#This Row],[F''y]])</f>
        <v>#VALUE!</v>
      </c>
      <c r="CM80" s="215" t="e">
        <f>IF(Reinforcements[[#This Row],[λcy]]&lt;=1.5,0.658^(Reinforcements[[#This Row],[λcy]]^2)*Reinforcements[[#This Row],[F''y]],0.877/(Reinforcements[[#This Row],[λcy]]^2)*Reinforcements[[#This Row],[F''y]])</f>
        <v>#VALUE!</v>
      </c>
      <c r="CN80" s="201" t="e">
        <f>VLOOKUP(Reinforcements[[#This Row],[Material]],Materials[],2,FALSE)</f>
        <v>#N/A</v>
      </c>
      <c r="CO80" s="224" t="str">
        <f>IF(Reinforcements[[#This Row],[Reinforcement]]="","",Reinforcements[[#This Row],[Fax]]*Reinforcements[[#This Row],[Gross Area (in2)]])</f>
        <v/>
      </c>
      <c r="CP80" s="224" t="str">
        <f>IF(Reinforcements[[#This Row],[Reinforcement]]="","",Reinforcements[[#This Row],[Fay]]*Reinforcements[[#This Row],[Gross Area (in2)]])</f>
        <v/>
      </c>
      <c r="CQ80" s="224" t="str">
        <f>IF(Reinforcements[[#This Row],[Reinforcement]]="","",0.6*VLOOKUP(Reinforcements[[#This Row],[Material]],Materials[],2,FALSE)*Reinforcements[[#This Row],[Gross Area (in2)]])</f>
        <v/>
      </c>
      <c r="CR80" s="224" t="str">
        <f>IF(Reinforcements[[#This Row],[Reinforcement]]="","",0.5*VLOOKUP(Reinforcements[[#This Row],[Material]],Materials[],3,FALSE)*Reinforcements[[#This Row],[Net Area (in2)]]*Reinforcements[[#This Row],[Shear Lag (U)]])</f>
        <v/>
      </c>
      <c r="CS80" s="224" t="str">
        <f>IF(Reinforcements[[#This Row],[Reinforcement]]="","",0.4*VLOOKUP(Reinforcements[[#This Row],[Material]],Materials[],2,FALSE)*Reinforcements[[#This Row],[Gross Area (in2)]])</f>
        <v/>
      </c>
      <c r="CT80"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80"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80"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80"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80"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80"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80"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80"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80"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80"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80"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80"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80" s="206" t="str">
        <f>IF($AZ80="Yes",DD80,IF(Reinforcements[[#This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80" s="206" t="str">
        <f>IF($AZ80="Yes",DE80,IF(Reinforcements[[#This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80" s="224" t="str">
        <f>IF(Reinforcements[[#This Row],[Reinforcement]]="","",φ_c*Reinforcements[[#This Row],[Fcr,x]]*Reinforcements[[#This Row],[Gross Area (in2)]])</f>
        <v/>
      </c>
      <c r="DI80" s="224" t="str">
        <f>IF(Reinforcements[[#This Row],[Reinforcement]]="","",φ_c*Reinforcements[[#This Row],[Fcr,y]]*Reinforcements[[#This Row],[Gross Area (in2)]])</f>
        <v/>
      </c>
      <c r="DJ80" s="224" t="str">
        <f>IF(Reinforcements[[#This Row],[Reinforcement]]="","",φ_t_y*VLOOKUP(Reinforcements[[#This Row],[Material]],Materials[],2,FALSE)*Reinforcements[[#This Row],[Gross Area (in2)]])</f>
        <v/>
      </c>
      <c r="DK80" s="224" t="str">
        <f>IF(Reinforcements[[#This Row],[Reinforcement]]="","",φ_t_r*VLOOKUP(Reinforcements[[#This Row],[Material]],Materials[],3,FALSE)*Reinforcements[[#This Row],[Net Area (in2)]]*Reinforcements[[#This Row],[Shear Lag (U)]])</f>
        <v/>
      </c>
      <c r="DL80" s="224" t="str">
        <f>IF(Reinforcements[[#This Row],[Reinforcement]]="","",φ_v*0.5*Reinforcements[[#This Row],[F''y]]*Reinforcements[[#This Row],[Gross Area (in2)]])</f>
        <v/>
      </c>
      <c r="DM80"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80"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80"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80"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80"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80"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80"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80"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80"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80"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80"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80"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80" s="206" t="str">
        <f>IF($AZ80="Yes",DW80,IF(Reinforcements[[#This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80" s="206" t="str">
        <f>IF($AZ80="Yes",DX80,IF(Reinforcements[[#This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80" s="507" t="str">
        <f>IF(OR(Reinforcements[[#This Row],[Type]]="plate",Reinforcements[[#This Row],[Type]]="solid round"),"N/A",Reinforcements[[#This Row],[B (in)]])</f>
        <v/>
      </c>
      <c r="EB80" s="508" t="str">
        <f>IF(OR(Reinforcements[[#This Row],[Type]]="plate",Reinforcements[[#This Row],[Type]]="solid round"),"N/A",Reinforcements[[#This Row],[H (in)]])</f>
        <v/>
      </c>
      <c r="EC80" s="508" t="e">
        <f>IF(OR(Reinforcements[[#This Row],[Type]]="plate",Reinforcements[[#This Row],[Type]]="solid round"),"N/A",Reinforcements[[#This Row],[B (in)]]-Reinforcements[[#This Row],['[Channel'] Flange Thickness (in)]])</f>
        <v>#VALUE!</v>
      </c>
      <c r="ED80" s="508" t="str">
        <f>IF(OR(Reinforcements[[#This Row],[Type]]="plate",Reinforcements[[#This Row],[Type]]="solid round"),"N/A",Reinforcements[[#This Row],['[Channel']Web Thickness (in)]])</f>
        <v/>
      </c>
      <c r="EE80" s="508" t="str">
        <f>IF(OR(Reinforcements[[#This Row],[Type]]="plate",Reinforcements[[#This Row],[Type]]="solid round"),"N/A",Reinforcements[[#This Row],['[Channel'] Flange Thickness (in)]])</f>
        <v/>
      </c>
      <c r="EF80" s="508" t="str">
        <f>IF(Reinforcements[[#This Row],[Type]]="channel",Reinforcements[[#This Row],[Channel Flange Width, b]]/Reinforcements[[#This Row],[Channel flange thickness, tf]],"N/A")</f>
        <v>N/A</v>
      </c>
      <c r="EG80" s="508" t="str">
        <f>IF(Reinforcements[[#This Row],[Type]]="channel",Reinforcements[[#This Row],[Channel inside depth, T]]/Reinforcements[[#This Row],[Channel web thickness, tw]],"N/A")</f>
        <v>N/A</v>
      </c>
      <c r="EH80" s="252">
        <v>29000</v>
      </c>
      <c r="EI80" s="252" t="str">
        <f>IF(Reinforcements[[#This Row],[Type]]="channel",0.56*SQRT(Reinforcements[[#This Row],[E, (ksi)]]/Reinforcements[[#This Row],[Fy, (ksi)]]),"N/A")</f>
        <v>N/A</v>
      </c>
      <c r="EJ80" s="252" t="str">
        <f>IF(Reinforcements[[#This Row],[Type]]="channel",1.49*SQRT(Reinforcements[[#This Row],[E, (ksi)]]/Reinforcements[[#This Row],[Fy, (ksi)]]),"N/A")</f>
        <v>N/A</v>
      </c>
      <c r="EK80" s="252" t="e">
        <f>VLOOKUP(Reinforcements[[#This Row],[Material]],Materials!$B$2:$C$30,2,FALSE)</f>
        <v>#N/A</v>
      </c>
      <c r="EL80" s="252" t="e">
        <f>Reinforcements[[#This Row],[Lu (in)]]*Reinforcements[[#This Row],[Effective Length Factor Kx]]</f>
        <v>#VALUE!</v>
      </c>
      <c r="EM80" s="252" t="e">
        <f>Reinforcements[[#This Row],[Lu (in)]]*Reinforcements[[#This Row],[Effective Length Factor Ky]]</f>
        <v>#VALUE!</v>
      </c>
      <c r="EN80" s="252" t="str">
        <f>Reinforcements[[#This Row],[rx]]</f>
        <v/>
      </c>
      <c r="EO80" s="252" t="str">
        <f>Reinforcements[[#This Row],[ry]]</f>
        <v/>
      </c>
      <c r="EP80" s="252" t="e">
        <f>Reinforcements[[#This Row],[Lcx (in)]]/Reinforcements[[#This Row],[rx (in)]]</f>
        <v>#VALUE!</v>
      </c>
      <c r="EQ80" s="252" t="e">
        <f>Reinforcements[[#This Row],[Lcy (in)]]/Reinforcements[[#This Row],[ry (in)]]</f>
        <v>#VALUE!</v>
      </c>
      <c r="ER80" s="252" t="e">
        <f>((PI()^2)*Reinforcements[[#This Row],[E, (ksi)]])/(Reinforcements[[#This Row],[Lcx/rx]]^2)</f>
        <v>#VALUE!</v>
      </c>
      <c r="ES80" s="252" t="e">
        <f>((PI()^2)*Reinforcements[[#This Row],[E, (ksi)]])/(Reinforcements[[#This Row],[Lcy/ry]]^2)</f>
        <v>#VALUE!</v>
      </c>
      <c r="ET80" s="252" t="e">
        <f>4.71*(SQRT(Reinforcements[[#This Row],[E, (ksi)]]/Reinforcements[[#This Row],[Fy, (ksi)]]))</f>
        <v>#N/A</v>
      </c>
      <c r="EU80" s="252" t="e">
        <f>IF(Reinforcements[[#This Row],[Lcx/rx]]&lt;=Reinforcements[[#This Row],[Fcr Limit]],(0.658^(Reinforcements[[#This Row],[Fy, (ksi)]]/Reinforcements[[#This Row],[Fex, FB (ksi)]]))*Reinforcements[[#This Row],[Fy, (ksi)]],0.877*Reinforcements[[#This Row],[Fex, FB (ksi)]])</f>
        <v>#VALUE!</v>
      </c>
      <c r="EV80" s="252" t="e">
        <f>IF(Reinforcements[[#This Row],[Lcy/ry]]&lt;=Reinforcements[[#This Row],[Fcr Limit]],(0.658^(Reinforcements[[#This Row],[Fy, (ksi)]]/Reinforcements[[#This Row],[Fey, FB (ksi)]]))*Reinforcements[[#This Row],[Fy, (ksi)]],0.877*Reinforcements[[#This Row],[Fey, FB (ksi)]])</f>
        <v>#VALUE!</v>
      </c>
      <c r="EW80" s="252" t="e">
        <f>Reinforcements[[#This Row],[Fcrx (ksi)]]*Reinforcements[[#This Row],[Gross Area (in2)]]</f>
        <v>#VALUE!</v>
      </c>
      <c r="EX80" s="252" t="e">
        <f>Reinforcements[[#This Row],[Fcry (ksi)]]*Reinforcements[[#This Row],[Gross Area (in2)]]</f>
        <v>#VALUE!</v>
      </c>
      <c r="EY80" s="252" t="str">
        <f>IF(Reinforcements[[#This Row],[Type]]="channel",0,"N/A")</f>
        <v>N/A</v>
      </c>
      <c r="EZ80" s="252" t="str">
        <f>IF(Reinforcements[[#This Row],[Type]]="channel",Reinforcements[[#This Row],[Channel Flange Width, b]]-(0.5*Reinforcements[[#This Row],[Channel web thickness, tw]]),"N/A")</f>
        <v>N/A</v>
      </c>
      <c r="FA80" s="252" t="str">
        <f>IF(Reinforcements[[#This Row],[Type]]="channel",Reinforcements[[#This Row],[Channel Height, h]]-Reinforcements[[#This Row],[Channel flange thickness, tf]],"N/A")</f>
        <v>N/A</v>
      </c>
      <c r="FB80" s="252" t="str">
        <f>IF(Reinforcements[[#This Row],[Type]]="channel",Reinforcements[[#This Row],[Channel web thickness, tw]],"N/A")</f>
        <v>N/A</v>
      </c>
      <c r="FC80" s="252" t="str">
        <f>IF(Reinforcements[[#This Row],[Type]]="channel",((3*Reinforcements[[#This Row],[b]]^2)/(Reinforcements[[#This Row],[h]]+(6*Reinforcements[[#This Row],[b]])))-Reinforcements[[#This Row],[t]]/2,"N/A")</f>
        <v>N/A</v>
      </c>
      <c r="FD80" s="252" t="str">
        <f>Reinforcements[[#This Row],[Pole Face to Centroid (in)]]</f>
        <v/>
      </c>
      <c r="FE80" s="508" t="str">
        <f>IF(Reinforcements[[#This Row],[Type]]="channel",Reinforcements[[#This Row],[x(bar)]]+Reinforcements[[#This Row],['[Channel'] e0 (in)]],"N/A")</f>
        <v>N/A</v>
      </c>
      <c r="FF80" s="508" t="str">
        <f>IF(Reinforcements[[#This Row],[Type]]="channel",Reinforcements[[#This Row],[Ix]],"N/A")</f>
        <v>N/A</v>
      </c>
      <c r="FG80" s="508" t="str">
        <f>IF(Reinforcements[[#This Row],[Type]]="channel",Reinforcements[[#This Row],[Iy]],"N/A")</f>
        <v>N/A</v>
      </c>
      <c r="FH80" s="508" t="str">
        <f>IF(Reinforcements[[#This Row],[Type]]="channel",Reinforcements[[#This Row],[Gross Area (in2)]],"N/A")</f>
        <v>N/A</v>
      </c>
      <c r="FI80" s="508" t="str">
        <f>IF(Reinforcements[[#This Row],[Type]]="channel",(Reinforcements[[#This Row],[xo]]^2)+((Reinforcements[[#This Row],[Ix (FTB)]]+Reinforcements[[#This Row],[Iy (FTB)]])/Reinforcements[[#This Row],[Ag]]),"N/A")</f>
        <v>N/A</v>
      </c>
      <c r="FJ80" s="508" t="str">
        <f>IF(Reinforcements[[#This Row],[Type]]="channel",Reinforcements[[#This Row],[Lu (in)]],"N/A")</f>
        <v>N/A</v>
      </c>
      <c r="FK80" s="508" t="str">
        <f>IF(Reinforcements[[#This Row],[Type]]="channel",Reinforcements[[#This Row],[Effective Length Factor Kx]],"N/A")</f>
        <v>N/A</v>
      </c>
      <c r="FL80" s="508" t="str">
        <f>IF(Reinforcements[[#This Row],[Type]]="channel",Reinforcements[[#This Row],[Kz]]*Reinforcements[[#This Row],[Lz]],"N/A")</f>
        <v>N/A</v>
      </c>
      <c r="FM80" s="508" t="str">
        <f>IF(Reinforcements[[#This Row],[Type]]="channel",(((Reinforcements[[#This Row],[t]]^3)/3)*(Reinforcements[[#This Row],[h]]+(2*Reinforcements[[#This Row],[b]]))),"N/A")</f>
        <v>N/A</v>
      </c>
      <c r="FN80" s="508" t="str">
        <f>IF(Reinforcements[[#This Row],[Type]]="channel",(1-(((Reinforcements[[#This Row],[xo]]^2)+(Reinforcements[[#This Row],[yo]]^2))/Reinforcements[[#This Row],[ro^2(bar)]])),"N/A")</f>
        <v>N/A</v>
      </c>
      <c r="FO80" s="252">
        <v>11200</v>
      </c>
      <c r="FP80" s="508" t="str">
        <f>IF(Reinforcements[[#This Row],[Type]]="channel",(((Reinforcements[[#This Row],[h]]^2)*(Reinforcements[[#This Row],[b]]^3)*Reinforcements[[#This Row],[t]])/12)*(((2*Reinforcements[[#This Row],[h]])+(3*Reinforcements[[#This Row],[b]]))/(Reinforcements[[#This Row],[h]]+(6*Reinforcements[[#This Row],[b]]))),"N/A")</f>
        <v>N/A</v>
      </c>
      <c r="FQ80" s="508" t="str">
        <f>IF(Reinforcements[[#This Row],[Type]]="Channel",((((PI()^2)*Reinforcements[[#This Row],[E, (ksi)]]*Reinforcements[[#This Row],['[Channel'] CW (in6)]])/(Reinforcements[[#This Row],[Lcz]]^2))+(Reinforcements[[#This Row],[G]]*Reinforcements[[#This Row],['[Channel'] J (in4)]]))*(1/(Reinforcements[[#This Row],[Ag]]*Reinforcements[[#This Row],[ro^2(bar)]])),"N/A")</f>
        <v>N/A</v>
      </c>
      <c r="FR80" s="508" t="str">
        <f>IF(Reinforcements[[#This Row],[Type]]="channel",((PI()^2)*Reinforcements[[#This Row],[E, (ksi)]])/(Reinforcements[[#This Row],[Lcy/ry]]^2),"N/A")</f>
        <v>N/A</v>
      </c>
      <c r="FS80" s="508" t="str">
        <f>IF(Reinforcements[[#This Row],[Type]]="channel",((Reinforcements[[#This Row],[Fey]]+Reinforcements[[#This Row],[Fez]])/(2*Reinforcements[[#This Row],[H2]]))*(1-SQRT(1-((4*Reinforcements[[#This Row],[Fey]]*Reinforcements[[#This Row],[Fez]]*Reinforcements[[#This Row],[H2]])/(Reinforcements[[#This Row],[Fey]]+Reinforcements[[#This Row],[Fez]])^2))),"N/A")</f>
        <v>N/A</v>
      </c>
      <c r="FT80" s="508" t="str">
        <f>IF(Reinforcements[[#This Row],[Type]]="channel",IF(Reinforcements[[#This Row],[Lcx/rx]]&gt;(4.71*SQRT(Reinforcements[[#This Row],[E, (ksi)]]/Reinforcements[[#This Row],[Fy, (ksi)]])),0.877*Reinforcements[[#This Row],[Fe (FTB)]],0.658^(Reinforcements[[#This Row],[Fy, (ksi)]]/Reinforcements[[#This Row],[Fe (FTB)]])*Reinforcements[[#This Row],[Fy, (ksi)]]),"N/A")</f>
        <v>N/A</v>
      </c>
      <c r="FU80" s="508" t="str">
        <f>IF(Reinforcements[[#This Row],[Type]]="channel",MIN(Reinforcements[[#This Row],[Fcr(FTB)]],Reinforcements[[#This Row],[Fcry (ksi)]]),"N/A")</f>
        <v>N/A</v>
      </c>
      <c r="FV80" s="252">
        <v>0.22</v>
      </c>
      <c r="FW80" s="252">
        <v>1.49</v>
      </c>
      <c r="FX80" s="508" t="str">
        <f>IF(Reinforcements[[#This Row],[Type]]="channel",((Reinforcements[[#This Row],[c2]]*(Reinforcements[[#This Row],[λrf]]/Reinforcements[[#This Row],[λf]]))^2)*Reinforcements[[#This Row],[Fy, (ksi)]],"N/A")</f>
        <v>N/A</v>
      </c>
      <c r="FY80" s="508" t="str">
        <f>IF(Reinforcements[[#This Row],[Type]]="channel",((Reinforcements[[#This Row],[c2]]*(Reinforcements[[#This Row],[λrw]]/Reinforcements[[#This Row],[λw]]))^2)*Reinforcements[[#This Row],[Fy, (ksi)]],"N/A")</f>
        <v>N/A</v>
      </c>
      <c r="FZ80"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0"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0"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0" s="508" t="str">
        <f>IF(Reinforcements[[#This Row],[Type]]="channel",Reinforcements[[#This Row],[Fcr]]*Reinforcements[[#This Row],[Ae]],"N/A")</f>
        <v>N/A</v>
      </c>
      <c r="GD80" s="462" t="str">
        <f>IF(Reinforcements[[#This Row],[Reinforcement]]="","",φ_c*Reinforcements[[#This Row],[Pnx, FB (kip)]])</f>
        <v/>
      </c>
      <c r="GE80" s="462" t="str">
        <f>IF(Reinforcements[[#This Row],[Reinforcement]]="","",IF(Reinforcements[[#This Row],[Type]]="channel",φ_c*Reinforcements[[#This Row],[Pn]],φ_c*Reinforcements[[#This Row],[Pny, FB (kip)]]))</f>
        <v/>
      </c>
      <c r="GF80" s="462" t="str">
        <f>Reinforcements[[#This Row],[Rev. G Tension Yield Capacity (kips)]]</f>
        <v/>
      </c>
      <c r="GG80" s="462" t="str">
        <f>Reinforcements[[#This Row],[Rev. G Tension Rupture Capacity (kips)]]</f>
        <v/>
      </c>
      <c r="GH80" s="462" t="str">
        <f>Reinforcements[[#This Row],[Rev. G Shear Capacity (kips)]]</f>
        <v/>
      </c>
      <c r="GI80" s="462" t="str">
        <f>IFERROR((Reinforcements[[#This Row],['# of End Connection Bolts          (Bottom)]]-1)*Reinforcements[[#This Row],[End Connection Bolt Spacing (in) (B)]],"-")</f>
        <v>-</v>
      </c>
      <c r="GJ80" s="462" t="str">
        <f>IFERROR(IF(VLOOKUP(Reinforcements[[#This Row],[Bottom End Connection Bolt Type]],Bolts[],COLUMN(Bolts[[#Headers],[Rev. H Apply Connection Length Reduction Factor (Rb)?]])-1,FALSE)="Yes",(IF(Reinforcements[[#This Row],[Lb(bottom)]]&lt;=16,1,IF(Reinforcements[[#This Row],[Lb(bottom)]]&gt;38,0.75,0.9))),1),"-")</f>
        <v>-</v>
      </c>
      <c r="GK80"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80" s="462" t="str">
        <f>IFERROR(IF(Reinforcements[[#This Row],[Top End Connection Same?]]="Yes",Reinforcements[[#This Row],[Lb(bottom)]],(Reinforcements[[#This Row],['# of End Connection Bolts          (Top)]]-1)*Reinforcements[[#This Row],[End Connection Bolt Spacing (in) (T)]]),"-")</f>
        <v>-</v>
      </c>
      <c r="GM80" s="462" t="str">
        <f>IFERROR(IF(VLOOKUP(Reinforcements[[#This Row],[Top End Connection Bolt Type]],Bolts[],COLUMN(Bolts[[#Headers],[Rev. H Apply Connection Length Reduction Factor (Rb)?]])-1,FALSE)="Yes",(IF(Reinforcements[[#This Row],[Lb(top)]]&lt;=16,1,IF(Reinforcements[[#This Row],[Lb(top)]]&gt;38,0.75,0.9))),1),"-")</f>
        <v>-</v>
      </c>
      <c r="GN80"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80" s="462" t="str">
        <f>Reinforcements[[#This Row],[Rev. G Bolt-Shaft Bearing Capacity (Bottom)                No Deformation          (*t*Fu kips)]]</f>
        <v>-</v>
      </c>
      <c r="GP80" s="462" t="str">
        <f>Reinforcements[[#This Row],[Rev. G Bolt-Shaft Bearing Capacity (Bottom)                   Deformation          (*t*Fu kips)]]</f>
        <v>-</v>
      </c>
      <c r="GQ80" s="462" t="str">
        <f>Reinforcements[[#This Row],[Rev. G Bolt-Shaft Bearing Capacity (Top)                    No Deformation          (*t*Fu kips)]]</f>
        <v>-</v>
      </c>
      <c r="GR80" s="462" t="str">
        <f>Reinforcements[[#This Row],[Rev. G Bolt-Shaft Bearing Capacity (Top)                        Deformation          (*t*Fu kips)]]</f>
        <v>-</v>
      </c>
      <c r="GS80" s="462" t="str">
        <f>Reinforcements[[#This Row],[Rev. G Bolt-Reinf. Bearing Capacity (Bottom)            No Deformation (kips)]]</f>
        <v>-</v>
      </c>
      <c r="GT80" s="462" t="str">
        <f>Reinforcements[[#This Row],[Rev. G Bolt-Reinf. Bearing Capacity (Bottom)               Deformation (kips)]]</f>
        <v>-</v>
      </c>
      <c r="GU80" s="462" t="str">
        <f>Reinforcements[[#This Row],[Rev. G Bolt-Reinf. Bearing Capacity (Top)                  No Deformation (kips)]]</f>
        <v>-</v>
      </c>
      <c r="GV80" s="462" t="str">
        <f>Reinforcements[[#This Row],[Rev. G Bolt-Reinf. Bearing Capacity (Top)               Deformation (kips)]]</f>
        <v>-</v>
      </c>
      <c r="GW80" s="462" t="str">
        <f>Reinforcements[[#This Row],[Rev. G Bottom Transverse Weld Strength]]</f>
        <v/>
      </c>
      <c r="GX80" s="462" t="str">
        <f>Reinforcements[[#This Row],[Rev. G Bottom Longitudinal Weld Strength]]</f>
        <v/>
      </c>
      <c r="GY80" s="462" t="str">
        <f>Reinforcements[[#This Row],[Rev. G Top Transverse Weld Strength]]</f>
        <v/>
      </c>
      <c r="GZ80" s="462" t="str">
        <f>Reinforcements[[#This Row],[Rev. G Top Longitudinal Weld Strength]]</f>
        <v/>
      </c>
      <c r="HA80" s="552">
        <v>78</v>
      </c>
      <c r="HB80"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81" spans="2:210" x14ac:dyDescent="0.2">
      <c r="B81" s="129"/>
      <c r="C81" s="129"/>
      <c r="D81" s="201" t="str">
        <f>IF(Reinforcements[[#This Row],[Type]]="","",IF(Reinforcements[[#This Row],[Type]]="solid round","-",""))</f>
        <v/>
      </c>
      <c r="E81" s="201" t="str">
        <f>IF(Reinforcements[[#This Row],[Type]]="","",IF(Reinforcements[[#This Row],[Type]]="solid round","-",""))</f>
        <v/>
      </c>
      <c r="F81" s="201" t="str">
        <f>IF(Reinforcements[[#This Row],[Type]]="","",IF(Reinforcements[[#This Row],[Type]]="solid round","","n/a"))</f>
        <v/>
      </c>
      <c r="G81" s="201" t="str">
        <f>IF(Reinforcements[[#This Row],[Type]]="","",IF(Reinforcements[[#This Row],[Type]]&lt;&gt;"channel","n/a",""))</f>
        <v/>
      </c>
      <c r="H81" s="201" t="str">
        <f>IF(Reinforcements[[#This Row],[Type]]="","",IF(Reinforcements[[#This Row],[Type]]&lt;&gt;"channel","n/a",""))</f>
        <v/>
      </c>
      <c r="I81" s="224" t="str">
        <f>IF(Reinforcements[[#This Row],[Type]]="","",IF(Reinforcements[[#This Row],[Type]]&lt;&gt;"channel","n/a",Reinforcements[[#This Row],[eo]]))</f>
        <v/>
      </c>
      <c r="J81" s="224" t="str">
        <f>IF(Reinforcements[[#This Row],[Type]]="","",IF(Reinforcements[[#This Row],[Type]]&lt;&gt;"channel","n/a",Reinforcements[[#This Row],[J]]))</f>
        <v/>
      </c>
      <c r="K81" s="224" t="str">
        <f>IF(Reinforcements[[#This Row],[Type]]="","",IF(Reinforcements[[#This Row],[Type]]&lt;&gt;"channel","n/a",Reinforcements[[#This Row],[Cw]]))</f>
        <v/>
      </c>
      <c r="L81" s="201" t="str">
        <f>IFERROR(IF(Reinforcements[[#This Row],[Type]]="","",IF(Reinforcements[[#This Row],[Type]]="plate",Reinforcements[[#This Row],[B (in)]]*Reinforcements[[#This Row],[H (in)]],IF(Reinforcements[[#This Row],[Type]]="solid round",PI()/4*Reinforcements[[#This Row],[Diameter (in)]]^2,""))),"")</f>
        <v/>
      </c>
      <c r="M81" s="201" t="str">
        <f>IFERROR(IF(Reinforcements[[#This Row],[Type]]="","",IF(Reinforcements[[#This Row],[Type]]="plate",Reinforcements[[#This Row],[H (in)]]/2,"")),"")</f>
        <v/>
      </c>
      <c r="N81" s="202"/>
      <c r="O81" s="203"/>
      <c r="P81" s="215" t="str">
        <f>IFERROR(IF(Reinforcements[[#This Row],[Type]]="","",IF(Reinforcements[[#This Row],[Type]]="plate",Reinforcements[[#This Row],[B (in)]]*Reinforcements[[#This Row],[H (in)]]^3/12,IF(Reinforcements[[#This Row],[Type]]="solid round",PI()/64*Reinforcements[[#This Row],[Diameter (in)]]^4,""))),"")</f>
        <v/>
      </c>
      <c r="Q81" s="215" t="str">
        <f>IF(Reinforcements[[#This Row],[Reinforcement]]="","",SQRT(Reinforcements[[#This Row],[Ix]]/Reinforcements[[#This Row],[Gross Area (in2)]]))</f>
        <v/>
      </c>
      <c r="R81" s="215" t="str">
        <f>IFERROR(IF(Reinforcements[[#This Row],[Type]]="","",IF(Reinforcements[[#This Row],[Type]]="plate",Reinforcements[[#This Row],[B (in)]]^3*Reinforcements[[#This Row],[H (in)]]/12,IF(Reinforcements[[#This Row],[Type]]="solid round",PI()/64*Reinforcements[[#This Row],[Diameter (in)]]^4,""))),"")</f>
        <v/>
      </c>
      <c r="S81" s="215" t="str">
        <f>IF(Reinforcements[[#This Row],[Reinforcement]]="","",SQRT(Reinforcements[[#This Row],[Iy]]/Reinforcements[[#This Row],[Gross Area (in2)]]))</f>
        <v/>
      </c>
      <c r="T81" s="206"/>
      <c r="U81" s="204" t="str">
        <f>IF(Reinforcements[[#This Row],[Lu (in)]]="","",IF(Reinforcements[[#This Row],[Lu (in)]]=0,1,""))</f>
        <v/>
      </c>
      <c r="V81" s="204" t="str">
        <f>IF(Reinforcements[[#This Row],[Lu (in)]]="","",IF(Reinforcements[[#This Row],[Lu (in)]]=0,1,""))</f>
        <v/>
      </c>
      <c r="W81" s="201" t="str">
        <f>IF(Reinforcements[[#This Row],[Type]]="","",IF(Reinforcements[[#This Row],[Type]]="solid round",0,IF(Reinforcements[[#This Row],[Type]]="arbitrary","n/a","")))</f>
        <v/>
      </c>
      <c r="X81" s="204" t="str">
        <f>IF(Reinforcements[[#This Row],[Bolt Hole Size (in)]]="","",IF(Reinforcements[[#This Row],[Bolt Hole Size (in)]]="n/a","n/a",Reinforcements[[#This Row],[Bolt Hole Size (in)]]*25.4))</f>
        <v/>
      </c>
      <c r="Y81"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81" s="201" t="str">
        <f>IFERROR(IF(Reinforcements[[#This Row],[Reinforcement]]="","",IF(OR(Reinforcements[[#This Row],[Type]]="plate",Reinforcements[[#This Row],[Type]]="solid round"),1,IF(Reinforcements[[#This Row],[Type]]="arbitrary","",1-Reinforcements[[#This Row],[Pole Face to Centroid (in)]]/Reinforcements[[#This Row],[Connection Length (in) '[Channels']]]))),"")</f>
        <v/>
      </c>
      <c r="AA81" s="205"/>
      <c r="AB81" s="103" t="str">
        <f>IF(Reinforcements[[#This Row],[Reinforcement]]="","",IF(Reinforcements[[#This Row],[Bottom End Connection Type]]&lt;&gt;"Capacity Input","-",""))</f>
        <v/>
      </c>
      <c r="AC81" s="103" t="str">
        <f>IF(Reinforcements[[#This Row],[Reinforcement]]="","",IF(Reinforcements[[#This Row],[Bottom End Connection Type]]&lt;&gt;"Capacity Input","-",""))</f>
        <v/>
      </c>
      <c r="AD81" s="253" t="str">
        <f>IF(Reinforcements[[#This Row],[Reinforcement]]="","",IF(Reinforcements[[#This Row],[Bottom End Connection Type]]&lt;&gt;"Capacity Input","-",""))</f>
        <v/>
      </c>
      <c r="AE81" s="103" t="str">
        <f>IF(Reinforcements[[#This Row],[Reinforcement]]="","",IF(Reinforcements[[#This Row],[Bottom End Connection Type]]&lt;&gt;"Bolted","-",""))</f>
        <v/>
      </c>
      <c r="AF81" s="206" t="str">
        <f>IF(Reinforcements[[#This Row],[Reinforcement]]="","",IF(Reinforcements[[#This Row],[Bottom End Connection Type]]&lt;&gt;"Bolted","-",""))</f>
        <v/>
      </c>
      <c r="AG81" s="206" t="str">
        <f>IF(Reinforcements[[#This Row],[Reinforcement]]="","",IF(Reinforcements[[#This Row],[Bottom End Connection Type]]="","-",IF(Reinforcements[[#This Row],[Bottom End Connection Type]]&lt;&gt;"Bolted","-","")))</f>
        <v/>
      </c>
      <c r="AH81" s="206" t="str">
        <f>IF(Reinforcements[[#This Row],[Reinforcement]]="","",IF(Reinforcements[[#This Row],[Bottom End Connection Type]]="","-",IF(Reinforcements[[#This Row],[Bottom End Connection Type]]&lt;&gt;"Bolted","-","")))</f>
        <v/>
      </c>
      <c r="AI81" s="206" t="str">
        <f>IF(Reinforcements[[#This Row],[Reinforcement]]="","",IF(Reinforcements[[#This Row],[Bottom End Connection Type]]="","-",IF(Reinforcements[[#This Row],[Bottom End Connection Type]]&lt;&gt;"Bolted","-","")))</f>
        <v/>
      </c>
      <c r="AJ81" s="206" t="e">
        <f>Reinforcements[[#This Row],[End Connection Edge Distance (in) (B)]]-(Reinforcements[[#This Row],[Bolt Hole Size (in)]]+1/16)/2</f>
        <v>#VALUE!</v>
      </c>
      <c r="AK81" s="206" t="e">
        <f>Reinforcements[[#This Row],[End Connection Bolt Spacing (in) (B)]]-(Reinforcements[[#This Row],[Bolt Hole Size (in)]]+1/16)</f>
        <v>#VALUE!</v>
      </c>
      <c r="AL81" s="206" t="str">
        <f>Reinforcements[[#This Row],[End Connection Edge Distance (in) (B)]]</f>
        <v/>
      </c>
      <c r="AM81" s="206" t="str">
        <f>Reinforcements[[#This Row],[End Connection Bolt Spacing (in) (B)]]</f>
        <v/>
      </c>
      <c r="AN81" s="206" t="str">
        <f>IF(Reinforcements[[#This Row],[Reinforcement]]="","",IF(OR(Reinforcements[[#This Row],[Bottom End Connection Type]]="Bolted",Reinforcements[[#This Row],[Bottom End Connection Type]]=""),"-",""))</f>
        <v/>
      </c>
      <c r="AO81" s="214" t="str">
        <f>IF(Reinforcements[[#This Row],[Reinforcement]]="","",IF(Reinforcements[[#This Row],[Bottom End Connection Type]]&lt;&gt;"Welded","-",""))</f>
        <v/>
      </c>
      <c r="AP81" s="214" t="str">
        <f>IF(Reinforcements[[#This Row],[Reinforcement]]="","",IF(Reinforcements[[#This Row],[Bottom End Connection Type]]&lt;&gt;"Welded","-",""))</f>
        <v/>
      </c>
      <c r="AQ81" s="214" t="str">
        <f>IF(Reinforcements[[#This Row],[Reinforcement]]="","",IF(OR(Reinforcements[[#This Row],[Bottom End Connection Type]]&lt;&gt;"Welded",Reinforcements[[#This Row],[Bottom Transverse (Horizontal) Weld]]="None"),"-",""))</f>
        <v/>
      </c>
      <c r="AR81"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81"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81" s="214" t="str">
        <f>IF(Reinforcements[[#This Row],[Reinforcement]]="","",IF(OR(Reinforcements[[#This Row],[Bottom Transverse (Horizontal) Weld]]="None",Reinforcements[[#This Row],[Bottom End Connection Type]]&lt;&gt;"Welded"),"-",""))</f>
        <v/>
      </c>
      <c r="AU81"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81" s="214" t="str">
        <f>IF(Reinforcements[[#This Row],[Reinforcement]]="","",IF(OR(Reinforcements[[#This Row],[Bottom End Connection Type]]&lt;&gt;"Welded",Reinforcements[[#This Row],[Bottom End Connection Type]]=""),"-",""))</f>
        <v/>
      </c>
      <c r="AW81" s="214" t="str">
        <f>IF(Reinforcements[[#This Row],[Reinforcement]]="","",IF(OR(Reinforcements[[#This Row],[Bottom End Connection Type]]&lt;&gt;"Welded",Reinforcements[[#This Row],[Bottom Longitudinal (Vertical) Weld]]="None",Reinforcements[[#This Row],[Bottom Longitudinal (Vertical) Weld]]=""),"-",""))</f>
        <v/>
      </c>
      <c r="AX81" s="214" t="str">
        <f>IF(Reinforcements[[#This Row],[Reinforcement]]="","",IF(OR(Reinforcements[[#This Row],[Bottom End Connection Type]]&lt;&gt;"Welded",Reinforcements[[#This Row],[Bottom Longitudinal (Vertical) Weld]]="None",Reinforcements[[#This Row],[Bottom Longitudinal (Vertical) Weld]]=""),"-",""))</f>
        <v/>
      </c>
      <c r="AY81" s="206" t="str">
        <f>IF(Reinforcements[[#This Row],[Reinforcement]]="","",IF(OR(Reinforcements[[#This Row],[Bottom End Connection Type]]&lt;&gt;"Welded",Reinforcements[[#This Row],[Bottom Longitudinal (Vertical) Weld]]="None"),"-",SQRT(2)/2*Reinforcements[[#This Row],[Bottom Longitudinal Weld Fillet Size (in)]]))</f>
        <v/>
      </c>
      <c r="AZ81" s="206"/>
      <c r="BA81" s="103" t="str">
        <f>IF(Reinforcements[[#This Row],[Top End Connection Same?]]="Yes",Reinforcements[[#This Row],[Bottom End Connection Type]],"")</f>
        <v/>
      </c>
      <c r="BB81" s="103" t="str">
        <f>IF(Reinforcements[[#This Row],[Reinforcement]]="","",IF(Reinforcements[[#This Row],[Top End Connection Same?]]="Yes",Reinforcements[[#This Row],[Rev. F Bottom Connection Capacity (kips)]],IF(Reinforcements[[#This Row],[Reinforcement]]="","",IF(Reinforcements[[#This Row],[Top End Connection Type]]&lt;&gt;"Capacity Input","-",""))))</f>
        <v/>
      </c>
      <c r="BC81" s="103" t="str">
        <f>IF(Reinforcements[[#This Row],[Reinforcement]]="","",IF(Reinforcements[[#This Row],[Top End Connection Same?]]="Yes",Reinforcements[[#This Row],[Rev. G Bottom Connection Capacity (kips)]],IF(Reinforcements[[#This Row],[Reinforcement]]="","",IF(Reinforcements[[#This Row],[Top End Connection Type]]&lt;&gt;"Capacity Input","-",""))))</f>
        <v/>
      </c>
      <c r="BD81" s="253" t="str">
        <f>IF(Reinforcements[[#This Row],[Reinforcement]]="","",IF(Reinforcements[[#This Row],[Top End Connection Same?]]="Yes",Reinforcements[[#This Row],[Rev. G Bottom Connection Capacity (kips)]],IF(Reinforcements[[#This Row],[Reinforcement]]="","",IF(Reinforcements[[#This Row],[Top End Connection Type]]&lt;&gt;"Capacity Input","-",""))))</f>
        <v/>
      </c>
      <c r="BE81" s="103" t="str">
        <f>IF(Reinforcements[[#This Row],[Reinforcement]]="","",IF(Reinforcements[[#This Row],[Top End Connection Same?]]="Yes",Reinforcements[[#This Row],[Bottom End Connection Bolt Type]],IF(Reinforcements[[#This Row],[Top End Connection Type]]&lt;&gt;"Bolted","-","")))</f>
        <v/>
      </c>
      <c r="BF81" s="206" t="str">
        <f>IF(Reinforcements[[#This Row],[Reinforcement]]="","",IF(Reinforcements[[#This Row],[Top End Connection Same?]]="Yes",Reinforcements[[#This Row],[Threads Included (N) or Excluded (X) (Bottom)]],IF(Reinforcements[[#This Row],[Top End Connection Type]]&lt;&gt;"Bolted","-","")))</f>
        <v/>
      </c>
      <c r="BG81" s="206" t="str">
        <f>IF(Reinforcements[[#This Row],[Reinforcement]]="","",IF(Reinforcements[[#This Row],[Top End Connection Same?]]="Yes",Reinforcements[[#This Row],['# of End Connection Bolts          (Bottom)]],IF(Reinforcements[[#This Row],[Top End Connection Type]]&lt;&gt;"Bolted","-","")))</f>
        <v/>
      </c>
      <c r="BH81" s="206" t="str">
        <f>IF(Reinforcements[[#This Row],[Reinforcement]]="","",IF(Reinforcements[[#This Row],[Top End Connection Same?]]="Yes",Reinforcements[[#This Row],[End Connection Bolt Spacing (in) (B)]],IF(Reinforcements[[#This Row],[Top End Connection Type]]&lt;&gt;"Bolted","-","")))</f>
        <v/>
      </c>
      <c r="BI81" s="206" t="str">
        <f>IF(Reinforcements[[#This Row],[Reinforcement]]="","",IF(Reinforcements[[#This Row],[Top End Connection Same?]]="Yes",Reinforcements[[#This Row],[End Connection Edge Distance (in) (B)]],IF(Reinforcements[[#This Row],[Top End Connection Type]]&lt;&gt;"Bolted","-","")))</f>
        <v/>
      </c>
      <c r="BJ81" s="206" t="e">
        <f>Reinforcements[[#This Row],[End Connection Edge Distance (in) (T)]]-(Reinforcements[[#This Row],[Bolt Hole Size (in)]]+1/16)/2</f>
        <v>#VALUE!</v>
      </c>
      <c r="BK81" s="206" t="e">
        <f>Reinforcements[[#This Row],[End Connection Bolt Spacing (in) (T)]]-(Reinforcements[[#This Row],[Bolt Hole Size (in)]]+1/16)</f>
        <v>#VALUE!</v>
      </c>
      <c r="BL81" s="206" t="str">
        <f>Reinforcements[[#This Row],[End Connection Edge Distance (in) (T)]]</f>
        <v/>
      </c>
      <c r="BM81" s="206" t="str">
        <f>Reinforcements[[#This Row],[End Connection Bolt Spacing (in) (T)]]</f>
        <v/>
      </c>
      <c r="BN81" s="206" t="str">
        <f>IF(Reinforcements[[#This Row],[Reinforcement]]="","",IF(Reinforcements[[#This Row],[Top End Connection Same?]]="Yes",Reinforcements[[#This Row],[Bottom Connected to Flange/Base Plate?]],IF(Reinforcements[[#This Row],[Top End Connection Type]]="Bolted","-","")))</f>
        <v/>
      </c>
      <c r="BO81" s="206" t="str">
        <f>IF(Reinforcements[[#This Row],[Reinforcement]]="","",IF(Reinforcements[[#This Row],[Top End Connection Same?]]="Yes",Reinforcements[[#This Row],[Bottom Weld Grade (ksi)]],IF(OR(Reinforcements[[#This Row],[Top End Connection Type]]&lt;&gt;"Welded",Reinforcements[[#This Row],[Top End Connection Type]]=""),"-","")))</f>
        <v/>
      </c>
      <c r="BP81" s="206" t="str">
        <f>IF($AZ81="Yes",AP81,IF(Reinforcements[[#This Row],[Reinforcement]]="","",IF(OR(Reinforcements[[#This Row],[Top End Connection Type]]&lt;&gt;"Welded",Reinforcements[[#This Row],[Top End Connection Type]]=""),"-","")))</f>
        <v/>
      </c>
      <c r="BQ81" s="206" t="str">
        <f>IF(Reinforcements[[#This Row],[Reinforcement]]="","",IF($AZ81="Yes",AQ81,IF(OR(Reinforcements[[#This Row],[Top End Connection Type]]&lt;&gt;"Welded",Reinforcements[[#This Row],[Top Transverse (Horizontal) Weld]]="none",Reinforcements[[#This Row],[Top Transverse (Horizontal) Weld]]=""),"-","")))</f>
        <v/>
      </c>
      <c r="BR81" s="206" t="str">
        <f>IF($AZ81="Yes",AR81,IF(Reinforcements[[#This Row],[Reinforcement]]="","",IF(OR(Reinforcements[[#This Row],[Top Transverse (Horizontal) Weld]]="none",Reinforcements[[#This Row],[Top End Connection Type]]&lt;&gt;"Welded",Reinforcements[[#This Row],[Top Transverse (Horizontal) Weld]]="",Reinforcements[[#This Row],[Top Transverse (Horizontal) Weld]]="Fillet"),"-","")))</f>
        <v/>
      </c>
      <c r="BS81" s="206" t="str">
        <f>IF($AZ81="Yes",AS81,IF(Reinforcements[[#This Row],[Reinforcement]]="","",IF(OR(Reinforcements[[#This Row],[Top Transverse (Horizontal) Weld]]="none",Reinforcements[[#This Row],[Top End Connection Type]]&lt;&gt;"Welded",Reinforcements[[#This Row],[Top Transverse (Horizontal) Weld]]="",Reinforcements[[#This Row],[Top Transverse (Horizontal) Weld]]="Fillet"),"-","")))</f>
        <v/>
      </c>
      <c r="BT81" s="206" t="str">
        <f>IF(Reinforcements[[#This Row],[Reinforcement]]="","",IF($AZ81="Yes",AT81,IF(OR(Reinforcements[[#This Row],[Top Transverse (Horizontal) Weld]]="none",Reinforcements[[#This Row],[Top End Connection Type]]&lt;&gt;"Welded",Reinforcements[[#This Row],[Top Transverse (Horizontal) Weld]]=""),"-","")))</f>
        <v/>
      </c>
      <c r="BU81" s="206" t="str">
        <f>IF($AZ81="Yes",AU81,IF(Reinforcements[[#This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81" s="206" t="str">
        <f>IF($AZ81="Yes",AV81,IF(Reinforcements[[#This Row],[Reinforcement]]="","",IF(OR(Reinforcements[[#This Row],[Top End Connection Type]]&lt;&gt;"Welded",Reinforcements[[#This Row],[Top End Connection Type]]=""),"-","")))</f>
        <v/>
      </c>
      <c r="BW81" s="206" t="str">
        <f>IF($AZ81="Yes",AW81,IF(Reinforcements[[#This Row],[Reinforcement]]="","",IF(OR(Reinforcements[[#This Row],[Top End Connection Type]]&lt;&gt;"Welded",Reinforcements[[#This Row],[Top End Connection Type]]="",Reinforcements[[#This Row],[Top Longitudinal (Vertical) Weld]]="",Reinforcements[[#This Row],[Top Longitudinal (Vertical) Weld]]="None"),"-","")))</f>
        <v/>
      </c>
      <c r="BX81" s="206" t="str">
        <f>IF($AZ81="Yes",AX81,IF(Reinforcements[[#This Row],[Reinforcement]]="","",IF(OR(Reinforcements[[#This Row],[Top End Connection Type]]&lt;&gt;"Welded",Reinforcements[[#This Row],[Top End Connection Type]]="",Reinforcements[[#This Row],[Top Longitudinal (Vertical) Weld]]="",Reinforcements[[#This Row],[Top Longitudinal (Vertical) Weld]]="None"),"-","")))</f>
        <v/>
      </c>
      <c r="BY81" s="206" t="str">
        <f>IF($AZ81="Yes",AY81,IF(Reinforcements[[#This Row],[Reinforcement]]="","",IF(OR(Reinforcements[[#This Row],[Top End Connection Type]]&lt;&gt;"Welded",Reinforcements[[#This Row],[Top Longitudinal (Vertical) Weld]]="none"),"-",SQRT(2)/2*Reinforcements[[#This Row],[Top Longitudinal Weld Fillet Size (in)]])))</f>
        <v/>
      </c>
      <c r="BZ81"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81"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81" s="203" t="str">
        <f>IF(Reinforcements[[#This Row],[Reinforcement]]="","",IF(Reinforcements[[#This Row],[Top End Connection Type]]&lt;&gt;"Bolted","n/a",(Reinforcements[[#This Row],['# of End Connection Bolts          (Top)]]-1)*Reinforcements[[#This Row],[End Connection Bolt Spacing (in) (T)]]+Reinforcements[[#This Row],[End Connection Edge Distance (in) (T)]]))</f>
        <v/>
      </c>
      <c r="CC81"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81"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81" s="201" t="str">
        <f>IFERROR(IF(Reinforcements[[#This Row],[Type]]="","",Reinforcements[[#This Row],[Effective B (in)]]*Reinforcements[[#This Row],[Effective H (in)]]^3/12),"")</f>
        <v/>
      </c>
      <c r="CF81" s="201" t="str">
        <f>IFERROR(IF(Reinforcements[[#This Row],[Type]]="","",Reinforcements[[#This Row],[Effective B (in)]]^3*Reinforcements[[#This Row],[Effective H (in)]]/12),"")</f>
        <v/>
      </c>
      <c r="CG81" s="224" t="e">
        <f>SQRT(2*PI()^2*29000/VLOOKUP(Reinforcements[[#This Row],[Material]],Materials[],2,FALSE))</f>
        <v>#N/A</v>
      </c>
      <c r="CH81"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81"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81" s="215" t="e">
        <f>Reinforcements[[#This Row],[Effective Length Factor Kx]]*Reinforcements[[#This Row],[Lu (in)]]/(Reinforcements[[#This Row],[rx]]*PI())*SQRT(VLOOKUP(Reinforcements[[#This Row],[Material]],Materials[],2,FALSE)/29000)</f>
        <v>#VALUE!</v>
      </c>
      <c r="CK81" s="215" t="e">
        <f>Reinforcements[[#This Row],[Effective Length Factor Ky]]*Reinforcements[[#This Row],[Lu (in)]]/(Reinforcements[[#This Row],[ry]]*PI())*SQRT(VLOOKUP(Reinforcements[[#This Row],[Material]],Materials[],2,FALSE)/29000)</f>
        <v>#VALUE!</v>
      </c>
      <c r="CL81" s="215" t="e">
        <f>IF(Reinforcements[[#This Row],[λcx]]&lt;=1.5,0.658^(Reinforcements[[#This Row],[λcx]]^2)*Reinforcements[[#This Row],[F''y]],0.877/(Reinforcements[[#This Row],[λcx]]^2)*Reinforcements[[#This Row],[F''y]])</f>
        <v>#VALUE!</v>
      </c>
      <c r="CM81" s="215" t="e">
        <f>IF(Reinforcements[[#This Row],[λcy]]&lt;=1.5,0.658^(Reinforcements[[#This Row],[λcy]]^2)*Reinforcements[[#This Row],[F''y]],0.877/(Reinforcements[[#This Row],[λcy]]^2)*Reinforcements[[#This Row],[F''y]])</f>
        <v>#VALUE!</v>
      </c>
      <c r="CN81" s="201" t="e">
        <f>VLOOKUP(Reinforcements[[#This Row],[Material]],Materials[],2,FALSE)</f>
        <v>#N/A</v>
      </c>
      <c r="CO81" s="224" t="str">
        <f>IF(Reinforcements[[#This Row],[Reinforcement]]="","",Reinforcements[[#This Row],[Fax]]*Reinforcements[[#This Row],[Gross Area (in2)]])</f>
        <v/>
      </c>
      <c r="CP81" s="224" t="str">
        <f>IF(Reinforcements[[#This Row],[Reinforcement]]="","",Reinforcements[[#This Row],[Fay]]*Reinforcements[[#This Row],[Gross Area (in2)]])</f>
        <v/>
      </c>
      <c r="CQ81" s="224" t="str">
        <f>IF(Reinforcements[[#This Row],[Reinforcement]]="","",0.6*VLOOKUP(Reinforcements[[#This Row],[Material]],Materials[],2,FALSE)*Reinforcements[[#This Row],[Gross Area (in2)]])</f>
        <v/>
      </c>
      <c r="CR81" s="224" t="str">
        <f>IF(Reinforcements[[#This Row],[Reinforcement]]="","",0.5*VLOOKUP(Reinforcements[[#This Row],[Material]],Materials[],3,FALSE)*Reinforcements[[#This Row],[Net Area (in2)]]*Reinforcements[[#This Row],[Shear Lag (U)]])</f>
        <v/>
      </c>
      <c r="CS81" s="224" t="str">
        <f>IF(Reinforcements[[#This Row],[Reinforcement]]="","",0.4*VLOOKUP(Reinforcements[[#This Row],[Material]],Materials[],2,FALSE)*Reinforcements[[#This Row],[Gross Area (in2)]])</f>
        <v/>
      </c>
      <c r="CT81"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81"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81"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81"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81"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81"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81"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81"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81"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81"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81"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81"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81" s="206" t="str">
        <f>IF($AZ81="Yes",DD81,IF(Reinforcements[[#This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81" s="206" t="str">
        <f>IF($AZ81="Yes",DE81,IF(Reinforcements[[#This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81" s="224" t="str">
        <f>IF(Reinforcements[[#This Row],[Reinforcement]]="","",φ_c*Reinforcements[[#This Row],[Fcr,x]]*Reinforcements[[#This Row],[Gross Area (in2)]])</f>
        <v/>
      </c>
      <c r="DI81" s="224" t="str">
        <f>IF(Reinforcements[[#This Row],[Reinforcement]]="","",φ_c*Reinforcements[[#This Row],[Fcr,y]]*Reinforcements[[#This Row],[Gross Area (in2)]])</f>
        <v/>
      </c>
      <c r="DJ81" s="224" t="str">
        <f>IF(Reinforcements[[#This Row],[Reinforcement]]="","",φ_t_y*VLOOKUP(Reinforcements[[#This Row],[Material]],Materials[],2,FALSE)*Reinforcements[[#This Row],[Gross Area (in2)]])</f>
        <v/>
      </c>
      <c r="DK81" s="224" t="str">
        <f>IF(Reinforcements[[#This Row],[Reinforcement]]="","",φ_t_r*VLOOKUP(Reinforcements[[#This Row],[Material]],Materials[],3,FALSE)*Reinforcements[[#This Row],[Net Area (in2)]]*Reinforcements[[#This Row],[Shear Lag (U)]])</f>
        <v/>
      </c>
      <c r="DL81" s="224" t="str">
        <f>IF(Reinforcements[[#This Row],[Reinforcement]]="","",φ_v*0.5*Reinforcements[[#This Row],[F''y]]*Reinforcements[[#This Row],[Gross Area (in2)]])</f>
        <v/>
      </c>
      <c r="DM81"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81"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81"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81"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81"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81"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81"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81"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81"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81"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81"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81"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81" s="206" t="str">
        <f>IF($AZ81="Yes",DW81,IF(Reinforcements[[#This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81" s="206" t="str">
        <f>IF($AZ81="Yes",DX81,IF(Reinforcements[[#This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81" s="507" t="str">
        <f>IF(OR(Reinforcements[[#This Row],[Type]]="plate",Reinforcements[[#This Row],[Type]]="solid round"),"N/A",Reinforcements[[#This Row],[B (in)]])</f>
        <v/>
      </c>
      <c r="EB81" s="508" t="str">
        <f>IF(OR(Reinforcements[[#This Row],[Type]]="plate",Reinforcements[[#This Row],[Type]]="solid round"),"N/A",Reinforcements[[#This Row],[H (in)]])</f>
        <v/>
      </c>
      <c r="EC81" s="508" t="e">
        <f>IF(OR(Reinforcements[[#This Row],[Type]]="plate",Reinforcements[[#This Row],[Type]]="solid round"),"N/A",Reinforcements[[#This Row],[B (in)]]-Reinforcements[[#This Row],['[Channel'] Flange Thickness (in)]])</f>
        <v>#VALUE!</v>
      </c>
      <c r="ED81" s="508" t="str">
        <f>IF(OR(Reinforcements[[#This Row],[Type]]="plate",Reinforcements[[#This Row],[Type]]="solid round"),"N/A",Reinforcements[[#This Row],['[Channel']Web Thickness (in)]])</f>
        <v/>
      </c>
      <c r="EE81" s="508" t="str">
        <f>IF(OR(Reinforcements[[#This Row],[Type]]="plate",Reinforcements[[#This Row],[Type]]="solid round"),"N/A",Reinforcements[[#This Row],['[Channel'] Flange Thickness (in)]])</f>
        <v/>
      </c>
      <c r="EF81" s="508" t="str">
        <f>IF(Reinforcements[[#This Row],[Type]]="channel",Reinforcements[[#This Row],[Channel Flange Width, b]]/Reinforcements[[#This Row],[Channel flange thickness, tf]],"N/A")</f>
        <v>N/A</v>
      </c>
      <c r="EG81" s="508" t="str">
        <f>IF(Reinforcements[[#This Row],[Type]]="channel",Reinforcements[[#This Row],[Channel inside depth, T]]/Reinforcements[[#This Row],[Channel web thickness, tw]],"N/A")</f>
        <v>N/A</v>
      </c>
      <c r="EH81" s="252">
        <v>29000</v>
      </c>
      <c r="EI81" s="252" t="str">
        <f>IF(Reinforcements[[#This Row],[Type]]="channel",0.56*SQRT(Reinforcements[[#This Row],[E, (ksi)]]/Reinforcements[[#This Row],[Fy, (ksi)]]),"N/A")</f>
        <v>N/A</v>
      </c>
      <c r="EJ81" s="252" t="str">
        <f>IF(Reinforcements[[#This Row],[Type]]="channel",1.49*SQRT(Reinforcements[[#This Row],[E, (ksi)]]/Reinforcements[[#This Row],[Fy, (ksi)]]),"N/A")</f>
        <v>N/A</v>
      </c>
      <c r="EK81" s="252" t="e">
        <f>VLOOKUP(Reinforcements[[#This Row],[Material]],Materials!$B$2:$C$30,2,FALSE)</f>
        <v>#N/A</v>
      </c>
      <c r="EL81" s="252" t="e">
        <f>Reinforcements[[#This Row],[Lu (in)]]*Reinforcements[[#This Row],[Effective Length Factor Kx]]</f>
        <v>#VALUE!</v>
      </c>
      <c r="EM81" s="252" t="e">
        <f>Reinforcements[[#This Row],[Lu (in)]]*Reinforcements[[#This Row],[Effective Length Factor Ky]]</f>
        <v>#VALUE!</v>
      </c>
      <c r="EN81" s="252" t="str">
        <f>Reinforcements[[#This Row],[rx]]</f>
        <v/>
      </c>
      <c r="EO81" s="252" t="str">
        <f>Reinforcements[[#This Row],[ry]]</f>
        <v/>
      </c>
      <c r="EP81" s="252" t="e">
        <f>Reinforcements[[#This Row],[Lcx (in)]]/Reinforcements[[#This Row],[rx (in)]]</f>
        <v>#VALUE!</v>
      </c>
      <c r="EQ81" s="252" t="e">
        <f>Reinforcements[[#This Row],[Lcy (in)]]/Reinforcements[[#This Row],[ry (in)]]</f>
        <v>#VALUE!</v>
      </c>
      <c r="ER81" s="252" t="e">
        <f>((PI()^2)*Reinforcements[[#This Row],[E, (ksi)]])/(Reinforcements[[#This Row],[Lcx/rx]]^2)</f>
        <v>#VALUE!</v>
      </c>
      <c r="ES81" s="252" t="e">
        <f>((PI()^2)*Reinforcements[[#This Row],[E, (ksi)]])/(Reinforcements[[#This Row],[Lcy/ry]]^2)</f>
        <v>#VALUE!</v>
      </c>
      <c r="ET81" s="252" t="e">
        <f>4.71*(SQRT(Reinforcements[[#This Row],[E, (ksi)]]/Reinforcements[[#This Row],[Fy, (ksi)]]))</f>
        <v>#N/A</v>
      </c>
      <c r="EU81" s="252" t="e">
        <f>IF(Reinforcements[[#This Row],[Lcx/rx]]&lt;=Reinforcements[[#This Row],[Fcr Limit]],(0.658^(Reinforcements[[#This Row],[Fy, (ksi)]]/Reinforcements[[#This Row],[Fex, FB (ksi)]]))*Reinforcements[[#This Row],[Fy, (ksi)]],0.877*Reinforcements[[#This Row],[Fex, FB (ksi)]])</f>
        <v>#VALUE!</v>
      </c>
      <c r="EV81" s="252" t="e">
        <f>IF(Reinforcements[[#This Row],[Lcy/ry]]&lt;=Reinforcements[[#This Row],[Fcr Limit]],(0.658^(Reinforcements[[#This Row],[Fy, (ksi)]]/Reinforcements[[#This Row],[Fey, FB (ksi)]]))*Reinforcements[[#This Row],[Fy, (ksi)]],0.877*Reinforcements[[#This Row],[Fey, FB (ksi)]])</f>
        <v>#VALUE!</v>
      </c>
      <c r="EW81" s="252" t="e">
        <f>Reinforcements[[#This Row],[Fcrx (ksi)]]*Reinforcements[[#This Row],[Gross Area (in2)]]</f>
        <v>#VALUE!</v>
      </c>
      <c r="EX81" s="252" t="e">
        <f>Reinforcements[[#This Row],[Fcry (ksi)]]*Reinforcements[[#This Row],[Gross Area (in2)]]</f>
        <v>#VALUE!</v>
      </c>
      <c r="EY81" s="252" t="str">
        <f>IF(Reinforcements[[#This Row],[Type]]="channel",0,"N/A")</f>
        <v>N/A</v>
      </c>
      <c r="EZ81" s="252" t="str">
        <f>IF(Reinforcements[[#This Row],[Type]]="channel",Reinforcements[[#This Row],[Channel Flange Width, b]]-(0.5*Reinforcements[[#This Row],[Channel web thickness, tw]]),"N/A")</f>
        <v>N/A</v>
      </c>
      <c r="FA81" s="252" t="str">
        <f>IF(Reinforcements[[#This Row],[Type]]="channel",Reinforcements[[#This Row],[Channel Height, h]]-Reinforcements[[#This Row],[Channel flange thickness, tf]],"N/A")</f>
        <v>N/A</v>
      </c>
      <c r="FB81" s="252" t="str">
        <f>IF(Reinforcements[[#This Row],[Type]]="channel",Reinforcements[[#This Row],[Channel web thickness, tw]],"N/A")</f>
        <v>N/A</v>
      </c>
      <c r="FC81" s="252" t="str">
        <f>IF(Reinforcements[[#This Row],[Type]]="channel",((3*Reinforcements[[#This Row],[b]]^2)/(Reinforcements[[#This Row],[h]]+(6*Reinforcements[[#This Row],[b]])))-Reinforcements[[#This Row],[t]]/2,"N/A")</f>
        <v>N/A</v>
      </c>
      <c r="FD81" s="252" t="str">
        <f>Reinforcements[[#This Row],[Pole Face to Centroid (in)]]</f>
        <v/>
      </c>
      <c r="FE81" s="508" t="str">
        <f>IF(Reinforcements[[#This Row],[Type]]="channel",Reinforcements[[#This Row],[x(bar)]]+Reinforcements[[#This Row],['[Channel'] e0 (in)]],"N/A")</f>
        <v>N/A</v>
      </c>
      <c r="FF81" s="508" t="str">
        <f>IF(Reinforcements[[#This Row],[Type]]="channel",Reinforcements[[#This Row],[Ix]],"N/A")</f>
        <v>N/A</v>
      </c>
      <c r="FG81" s="508" t="str">
        <f>IF(Reinforcements[[#This Row],[Type]]="channel",Reinforcements[[#This Row],[Iy]],"N/A")</f>
        <v>N/A</v>
      </c>
      <c r="FH81" s="508" t="str">
        <f>IF(Reinforcements[[#This Row],[Type]]="channel",Reinforcements[[#This Row],[Gross Area (in2)]],"N/A")</f>
        <v>N/A</v>
      </c>
      <c r="FI81" s="508" t="str">
        <f>IF(Reinforcements[[#This Row],[Type]]="channel",(Reinforcements[[#This Row],[xo]]^2)+((Reinforcements[[#This Row],[Ix (FTB)]]+Reinforcements[[#This Row],[Iy (FTB)]])/Reinforcements[[#This Row],[Ag]]),"N/A")</f>
        <v>N/A</v>
      </c>
      <c r="FJ81" s="508" t="str">
        <f>IF(Reinforcements[[#This Row],[Type]]="channel",Reinforcements[[#This Row],[Lu (in)]],"N/A")</f>
        <v>N/A</v>
      </c>
      <c r="FK81" s="508" t="str">
        <f>IF(Reinforcements[[#This Row],[Type]]="channel",Reinforcements[[#This Row],[Effective Length Factor Kx]],"N/A")</f>
        <v>N/A</v>
      </c>
      <c r="FL81" s="508" t="str">
        <f>IF(Reinforcements[[#This Row],[Type]]="channel",Reinforcements[[#This Row],[Kz]]*Reinforcements[[#This Row],[Lz]],"N/A")</f>
        <v>N/A</v>
      </c>
      <c r="FM81" s="508" t="str">
        <f>IF(Reinforcements[[#This Row],[Type]]="channel",(((Reinforcements[[#This Row],[t]]^3)/3)*(Reinforcements[[#This Row],[h]]+(2*Reinforcements[[#This Row],[b]]))),"N/A")</f>
        <v>N/A</v>
      </c>
      <c r="FN81" s="508" t="str">
        <f>IF(Reinforcements[[#This Row],[Type]]="channel",(1-(((Reinforcements[[#This Row],[xo]]^2)+(Reinforcements[[#This Row],[yo]]^2))/Reinforcements[[#This Row],[ro^2(bar)]])),"N/A")</f>
        <v>N/A</v>
      </c>
      <c r="FO81" s="252">
        <v>11200</v>
      </c>
      <c r="FP81" s="508" t="str">
        <f>IF(Reinforcements[[#This Row],[Type]]="channel",(((Reinforcements[[#This Row],[h]]^2)*(Reinforcements[[#This Row],[b]]^3)*Reinforcements[[#This Row],[t]])/12)*(((2*Reinforcements[[#This Row],[h]])+(3*Reinforcements[[#This Row],[b]]))/(Reinforcements[[#This Row],[h]]+(6*Reinforcements[[#This Row],[b]]))),"N/A")</f>
        <v>N/A</v>
      </c>
      <c r="FQ81" s="508" t="str">
        <f>IF(Reinforcements[[#This Row],[Type]]="Channel",((((PI()^2)*Reinforcements[[#This Row],[E, (ksi)]]*Reinforcements[[#This Row],['[Channel'] CW (in6)]])/(Reinforcements[[#This Row],[Lcz]]^2))+(Reinforcements[[#This Row],[G]]*Reinforcements[[#This Row],['[Channel'] J (in4)]]))*(1/(Reinforcements[[#This Row],[Ag]]*Reinforcements[[#This Row],[ro^2(bar)]])),"N/A")</f>
        <v>N/A</v>
      </c>
      <c r="FR81" s="508" t="str">
        <f>IF(Reinforcements[[#This Row],[Type]]="channel",((PI()^2)*Reinforcements[[#This Row],[E, (ksi)]])/(Reinforcements[[#This Row],[Lcy/ry]]^2),"N/A")</f>
        <v>N/A</v>
      </c>
      <c r="FS81" s="508" t="str">
        <f>IF(Reinforcements[[#This Row],[Type]]="channel",((Reinforcements[[#This Row],[Fey]]+Reinforcements[[#This Row],[Fez]])/(2*Reinforcements[[#This Row],[H2]]))*(1-SQRT(1-((4*Reinforcements[[#This Row],[Fey]]*Reinforcements[[#This Row],[Fez]]*Reinforcements[[#This Row],[H2]])/(Reinforcements[[#This Row],[Fey]]+Reinforcements[[#This Row],[Fez]])^2))),"N/A")</f>
        <v>N/A</v>
      </c>
      <c r="FT81" s="508" t="str">
        <f>IF(Reinforcements[[#This Row],[Type]]="channel",IF(Reinforcements[[#This Row],[Lcx/rx]]&gt;(4.71*SQRT(Reinforcements[[#This Row],[E, (ksi)]]/Reinforcements[[#This Row],[Fy, (ksi)]])),0.877*Reinforcements[[#This Row],[Fe (FTB)]],0.658^(Reinforcements[[#This Row],[Fy, (ksi)]]/Reinforcements[[#This Row],[Fe (FTB)]])*Reinforcements[[#This Row],[Fy, (ksi)]]),"N/A")</f>
        <v>N/A</v>
      </c>
      <c r="FU81" s="508" t="str">
        <f>IF(Reinforcements[[#This Row],[Type]]="channel",MIN(Reinforcements[[#This Row],[Fcr(FTB)]],Reinforcements[[#This Row],[Fcry (ksi)]]),"N/A")</f>
        <v>N/A</v>
      </c>
      <c r="FV81" s="252">
        <v>0.22</v>
      </c>
      <c r="FW81" s="252">
        <v>1.49</v>
      </c>
      <c r="FX81" s="508" t="str">
        <f>IF(Reinforcements[[#This Row],[Type]]="channel",((Reinforcements[[#This Row],[c2]]*(Reinforcements[[#This Row],[λrf]]/Reinforcements[[#This Row],[λf]]))^2)*Reinforcements[[#This Row],[Fy, (ksi)]],"N/A")</f>
        <v>N/A</v>
      </c>
      <c r="FY81" s="508" t="str">
        <f>IF(Reinforcements[[#This Row],[Type]]="channel",((Reinforcements[[#This Row],[c2]]*(Reinforcements[[#This Row],[λrw]]/Reinforcements[[#This Row],[λw]]))^2)*Reinforcements[[#This Row],[Fy, (ksi)]],"N/A")</f>
        <v>N/A</v>
      </c>
      <c r="FZ81"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1"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1"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1" s="508" t="str">
        <f>IF(Reinforcements[[#This Row],[Type]]="channel",Reinforcements[[#This Row],[Fcr]]*Reinforcements[[#This Row],[Ae]],"N/A")</f>
        <v>N/A</v>
      </c>
      <c r="GD81" s="462" t="str">
        <f>IF(Reinforcements[[#This Row],[Reinforcement]]="","",φ_c*Reinforcements[[#This Row],[Pnx, FB (kip)]])</f>
        <v/>
      </c>
      <c r="GE81" s="462" t="str">
        <f>IF(Reinforcements[[#This Row],[Reinforcement]]="","",IF(Reinforcements[[#This Row],[Type]]="channel",φ_c*Reinforcements[[#This Row],[Pn]],φ_c*Reinforcements[[#This Row],[Pny, FB (kip)]]))</f>
        <v/>
      </c>
      <c r="GF81" s="462" t="str">
        <f>Reinforcements[[#This Row],[Rev. G Tension Yield Capacity (kips)]]</f>
        <v/>
      </c>
      <c r="GG81" s="462" t="str">
        <f>Reinforcements[[#This Row],[Rev. G Tension Rupture Capacity (kips)]]</f>
        <v/>
      </c>
      <c r="GH81" s="462" t="str">
        <f>Reinforcements[[#This Row],[Rev. G Shear Capacity (kips)]]</f>
        <v/>
      </c>
      <c r="GI81" s="462" t="str">
        <f>IFERROR((Reinforcements[[#This Row],['# of End Connection Bolts          (Bottom)]]-1)*Reinforcements[[#This Row],[End Connection Bolt Spacing (in) (B)]],"-")</f>
        <v>-</v>
      </c>
      <c r="GJ81" s="462" t="str">
        <f>IFERROR(IF(VLOOKUP(Reinforcements[[#This Row],[Bottom End Connection Bolt Type]],Bolts[],COLUMN(Bolts[[#Headers],[Rev. H Apply Connection Length Reduction Factor (Rb)?]])-1,FALSE)="Yes",(IF(Reinforcements[[#This Row],[Lb(bottom)]]&lt;=16,1,IF(Reinforcements[[#This Row],[Lb(bottom)]]&gt;38,0.75,0.9))),1),"-")</f>
        <v>-</v>
      </c>
      <c r="GK81"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81" s="462" t="str">
        <f>IFERROR(IF(Reinforcements[[#This Row],[Top End Connection Same?]]="Yes",Reinforcements[[#This Row],[Lb(bottom)]],(Reinforcements[[#This Row],['# of End Connection Bolts          (Top)]]-1)*Reinforcements[[#This Row],[End Connection Bolt Spacing (in) (T)]]),"-")</f>
        <v>-</v>
      </c>
      <c r="GM81" s="462" t="str">
        <f>IFERROR(IF(VLOOKUP(Reinforcements[[#This Row],[Top End Connection Bolt Type]],Bolts[],COLUMN(Bolts[[#Headers],[Rev. H Apply Connection Length Reduction Factor (Rb)?]])-1,FALSE)="Yes",(IF(Reinforcements[[#This Row],[Lb(top)]]&lt;=16,1,IF(Reinforcements[[#This Row],[Lb(top)]]&gt;38,0.75,0.9))),1),"-")</f>
        <v>-</v>
      </c>
      <c r="GN81"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81" s="462" t="str">
        <f>Reinforcements[[#This Row],[Rev. G Bolt-Shaft Bearing Capacity (Bottom)                No Deformation          (*t*Fu kips)]]</f>
        <v>-</v>
      </c>
      <c r="GP81" s="462" t="str">
        <f>Reinforcements[[#This Row],[Rev. G Bolt-Shaft Bearing Capacity (Bottom)                   Deformation          (*t*Fu kips)]]</f>
        <v>-</v>
      </c>
      <c r="GQ81" s="462" t="str">
        <f>Reinforcements[[#This Row],[Rev. G Bolt-Shaft Bearing Capacity (Top)                    No Deformation          (*t*Fu kips)]]</f>
        <v>-</v>
      </c>
      <c r="GR81" s="462" t="str">
        <f>Reinforcements[[#This Row],[Rev. G Bolt-Shaft Bearing Capacity (Top)                        Deformation          (*t*Fu kips)]]</f>
        <v>-</v>
      </c>
      <c r="GS81" s="462" t="str">
        <f>Reinforcements[[#This Row],[Rev. G Bolt-Reinf. Bearing Capacity (Bottom)            No Deformation (kips)]]</f>
        <v>-</v>
      </c>
      <c r="GT81" s="462" t="str">
        <f>Reinforcements[[#This Row],[Rev. G Bolt-Reinf. Bearing Capacity (Bottom)               Deformation (kips)]]</f>
        <v>-</v>
      </c>
      <c r="GU81" s="462" t="str">
        <f>Reinforcements[[#This Row],[Rev. G Bolt-Reinf. Bearing Capacity (Top)                  No Deformation (kips)]]</f>
        <v>-</v>
      </c>
      <c r="GV81" s="462" t="str">
        <f>Reinforcements[[#This Row],[Rev. G Bolt-Reinf. Bearing Capacity (Top)               Deformation (kips)]]</f>
        <v>-</v>
      </c>
      <c r="GW81" s="462" t="str">
        <f>Reinforcements[[#This Row],[Rev. G Bottom Transverse Weld Strength]]</f>
        <v/>
      </c>
      <c r="GX81" s="462" t="str">
        <f>Reinforcements[[#This Row],[Rev. G Bottom Longitudinal Weld Strength]]</f>
        <v/>
      </c>
      <c r="GY81" s="462" t="str">
        <f>Reinforcements[[#This Row],[Rev. G Top Transverse Weld Strength]]</f>
        <v/>
      </c>
      <c r="GZ81" s="462" t="str">
        <f>Reinforcements[[#This Row],[Rev. G Top Longitudinal Weld Strength]]</f>
        <v/>
      </c>
      <c r="HA81" s="552">
        <v>79</v>
      </c>
      <c r="HB81"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82" spans="2:210" x14ac:dyDescent="0.2">
      <c r="B82" s="129"/>
      <c r="C82" s="129"/>
      <c r="D82" s="201" t="str">
        <f>IF(Reinforcements[[#This Row],[Type]]="","",IF(Reinforcements[[#This Row],[Type]]="solid round","-",""))</f>
        <v/>
      </c>
      <c r="E82" s="201" t="str">
        <f>IF(Reinforcements[[#This Row],[Type]]="","",IF(Reinforcements[[#This Row],[Type]]="solid round","-",""))</f>
        <v/>
      </c>
      <c r="F82" s="201" t="str">
        <f>IF(Reinforcements[[#This Row],[Type]]="","",IF(Reinforcements[[#This Row],[Type]]="solid round","","n/a"))</f>
        <v/>
      </c>
      <c r="G82" s="201" t="str">
        <f>IF(Reinforcements[[#This Row],[Type]]="","",IF(Reinforcements[[#This Row],[Type]]&lt;&gt;"channel","n/a",""))</f>
        <v/>
      </c>
      <c r="H82" s="201" t="str">
        <f>IF(Reinforcements[[#This Row],[Type]]="","",IF(Reinforcements[[#This Row],[Type]]&lt;&gt;"channel","n/a",""))</f>
        <v/>
      </c>
      <c r="I82" s="224" t="str">
        <f>IF(Reinforcements[[#This Row],[Type]]="","",IF(Reinforcements[[#This Row],[Type]]&lt;&gt;"channel","n/a",Reinforcements[[#This Row],[eo]]))</f>
        <v/>
      </c>
      <c r="J82" s="224" t="str">
        <f>IF(Reinforcements[[#This Row],[Type]]="","",IF(Reinforcements[[#This Row],[Type]]&lt;&gt;"channel","n/a",Reinforcements[[#This Row],[J]]))</f>
        <v/>
      </c>
      <c r="K82" s="224" t="str">
        <f>IF(Reinforcements[[#This Row],[Type]]="","",IF(Reinforcements[[#This Row],[Type]]&lt;&gt;"channel","n/a",Reinforcements[[#This Row],[Cw]]))</f>
        <v/>
      </c>
      <c r="L82" s="201" t="str">
        <f>IFERROR(IF(Reinforcements[[#This Row],[Type]]="","",IF(Reinforcements[[#This Row],[Type]]="plate",Reinforcements[[#This Row],[B (in)]]*Reinforcements[[#This Row],[H (in)]],IF(Reinforcements[[#This Row],[Type]]="solid round",PI()/4*Reinforcements[[#This Row],[Diameter (in)]]^2,""))),"")</f>
        <v/>
      </c>
      <c r="M82" s="201" t="str">
        <f>IFERROR(IF(Reinforcements[[#This Row],[Type]]="","",IF(Reinforcements[[#This Row],[Type]]="plate",Reinforcements[[#This Row],[H (in)]]/2,"")),"")</f>
        <v/>
      </c>
      <c r="N82" s="202"/>
      <c r="O82" s="203"/>
      <c r="P82" s="215" t="str">
        <f>IFERROR(IF(Reinforcements[[#This Row],[Type]]="","",IF(Reinforcements[[#This Row],[Type]]="plate",Reinforcements[[#This Row],[B (in)]]*Reinforcements[[#This Row],[H (in)]]^3/12,IF(Reinforcements[[#This Row],[Type]]="solid round",PI()/64*Reinforcements[[#This Row],[Diameter (in)]]^4,""))),"")</f>
        <v/>
      </c>
      <c r="Q82" s="215" t="str">
        <f>IF(Reinforcements[[#This Row],[Reinforcement]]="","",SQRT(Reinforcements[[#This Row],[Ix]]/Reinforcements[[#This Row],[Gross Area (in2)]]))</f>
        <v/>
      </c>
      <c r="R82" s="215" t="str">
        <f>IFERROR(IF(Reinforcements[[#This Row],[Type]]="","",IF(Reinforcements[[#This Row],[Type]]="plate",Reinforcements[[#This Row],[B (in)]]^3*Reinforcements[[#This Row],[H (in)]]/12,IF(Reinforcements[[#This Row],[Type]]="solid round",PI()/64*Reinforcements[[#This Row],[Diameter (in)]]^4,""))),"")</f>
        <v/>
      </c>
      <c r="S82" s="215" t="str">
        <f>IF(Reinforcements[[#This Row],[Reinforcement]]="","",SQRT(Reinforcements[[#This Row],[Iy]]/Reinforcements[[#This Row],[Gross Area (in2)]]))</f>
        <v/>
      </c>
      <c r="T82" s="206"/>
      <c r="U82" s="204" t="str">
        <f>IF(Reinforcements[[#This Row],[Lu (in)]]="","",IF(Reinforcements[[#This Row],[Lu (in)]]=0,1,""))</f>
        <v/>
      </c>
      <c r="V82" s="204" t="str">
        <f>IF(Reinforcements[[#This Row],[Lu (in)]]="","",IF(Reinforcements[[#This Row],[Lu (in)]]=0,1,""))</f>
        <v/>
      </c>
      <c r="W82" s="201" t="str">
        <f>IF(Reinforcements[[#This Row],[Type]]="","",IF(Reinforcements[[#This Row],[Type]]="solid round",0,IF(Reinforcements[[#This Row],[Type]]="arbitrary","n/a","")))</f>
        <v/>
      </c>
      <c r="X82" s="204" t="str">
        <f>IF(Reinforcements[[#This Row],[Bolt Hole Size (in)]]="","",IF(Reinforcements[[#This Row],[Bolt Hole Size (in)]]="n/a","n/a",Reinforcements[[#This Row],[Bolt Hole Size (in)]]*25.4))</f>
        <v/>
      </c>
      <c r="Y82"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82" s="201" t="str">
        <f>IFERROR(IF(Reinforcements[[#This Row],[Reinforcement]]="","",IF(OR(Reinforcements[[#This Row],[Type]]="plate",Reinforcements[[#This Row],[Type]]="solid round"),1,IF(Reinforcements[[#This Row],[Type]]="arbitrary","",1-Reinforcements[[#This Row],[Pole Face to Centroid (in)]]/Reinforcements[[#This Row],[Connection Length (in) '[Channels']]]))),"")</f>
        <v/>
      </c>
      <c r="AA82" s="205"/>
      <c r="AB82" s="103" t="str">
        <f>IF(Reinforcements[[#This Row],[Reinforcement]]="","",IF(Reinforcements[[#This Row],[Bottom End Connection Type]]&lt;&gt;"Capacity Input","-",""))</f>
        <v/>
      </c>
      <c r="AC82" s="103" t="str">
        <f>IF(Reinforcements[[#This Row],[Reinforcement]]="","",IF(Reinforcements[[#This Row],[Bottom End Connection Type]]&lt;&gt;"Capacity Input","-",""))</f>
        <v/>
      </c>
      <c r="AD82" s="253" t="str">
        <f>IF(Reinforcements[[#This Row],[Reinforcement]]="","",IF(Reinforcements[[#This Row],[Bottom End Connection Type]]&lt;&gt;"Capacity Input","-",""))</f>
        <v/>
      </c>
      <c r="AE82" s="103" t="str">
        <f>IF(Reinforcements[[#This Row],[Reinforcement]]="","",IF(Reinforcements[[#This Row],[Bottom End Connection Type]]&lt;&gt;"Bolted","-",""))</f>
        <v/>
      </c>
      <c r="AF82" s="206" t="str">
        <f>IF(Reinforcements[[#This Row],[Reinforcement]]="","",IF(Reinforcements[[#This Row],[Bottom End Connection Type]]&lt;&gt;"Bolted","-",""))</f>
        <v/>
      </c>
      <c r="AG82" s="206" t="str">
        <f>IF(Reinforcements[[#This Row],[Reinforcement]]="","",IF(Reinforcements[[#This Row],[Bottom End Connection Type]]="","-",IF(Reinforcements[[#This Row],[Bottom End Connection Type]]&lt;&gt;"Bolted","-","")))</f>
        <v/>
      </c>
      <c r="AH82" s="206" t="str">
        <f>IF(Reinforcements[[#This Row],[Reinforcement]]="","",IF(Reinforcements[[#This Row],[Bottom End Connection Type]]="","-",IF(Reinforcements[[#This Row],[Bottom End Connection Type]]&lt;&gt;"Bolted","-","")))</f>
        <v/>
      </c>
      <c r="AI82" s="206" t="str">
        <f>IF(Reinforcements[[#This Row],[Reinforcement]]="","",IF(Reinforcements[[#This Row],[Bottom End Connection Type]]="","-",IF(Reinforcements[[#This Row],[Bottom End Connection Type]]&lt;&gt;"Bolted","-","")))</f>
        <v/>
      </c>
      <c r="AJ82" s="206" t="e">
        <f>Reinforcements[[#This Row],[End Connection Edge Distance (in) (B)]]-(Reinforcements[[#This Row],[Bolt Hole Size (in)]]+1/16)/2</f>
        <v>#VALUE!</v>
      </c>
      <c r="AK82" s="206" t="e">
        <f>Reinforcements[[#This Row],[End Connection Bolt Spacing (in) (B)]]-(Reinforcements[[#This Row],[Bolt Hole Size (in)]]+1/16)</f>
        <v>#VALUE!</v>
      </c>
      <c r="AL82" s="206" t="str">
        <f>Reinforcements[[#This Row],[End Connection Edge Distance (in) (B)]]</f>
        <v/>
      </c>
      <c r="AM82" s="206" t="str">
        <f>Reinforcements[[#This Row],[End Connection Bolt Spacing (in) (B)]]</f>
        <v/>
      </c>
      <c r="AN82" s="206" t="str">
        <f>IF(Reinforcements[[#This Row],[Reinforcement]]="","",IF(OR(Reinforcements[[#This Row],[Bottom End Connection Type]]="Bolted",Reinforcements[[#This Row],[Bottom End Connection Type]]=""),"-",""))</f>
        <v/>
      </c>
      <c r="AO82" s="214" t="str">
        <f>IF(Reinforcements[[#This Row],[Reinforcement]]="","",IF(Reinforcements[[#This Row],[Bottom End Connection Type]]&lt;&gt;"Welded","-",""))</f>
        <v/>
      </c>
      <c r="AP82" s="214" t="str">
        <f>IF(Reinforcements[[#This Row],[Reinforcement]]="","",IF(Reinforcements[[#This Row],[Bottom End Connection Type]]&lt;&gt;"Welded","-",""))</f>
        <v/>
      </c>
      <c r="AQ82" s="214" t="str">
        <f>IF(Reinforcements[[#This Row],[Reinforcement]]="","",IF(OR(Reinforcements[[#This Row],[Bottom End Connection Type]]&lt;&gt;"Welded",Reinforcements[[#This Row],[Bottom Transverse (Horizontal) Weld]]="None"),"-",""))</f>
        <v/>
      </c>
      <c r="AR82"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82"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82" s="214" t="str">
        <f>IF(Reinforcements[[#This Row],[Reinforcement]]="","",IF(OR(Reinforcements[[#This Row],[Bottom Transverse (Horizontal) Weld]]="None",Reinforcements[[#This Row],[Bottom End Connection Type]]&lt;&gt;"Welded"),"-",""))</f>
        <v/>
      </c>
      <c r="AU82"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82" s="214" t="str">
        <f>IF(Reinforcements[[#This Row],[Reinforcement]]="","",IF(OR(Reinforcements[[#This Row],[Bottom End Connection Type]]&lt;&gt;"Welded",Reinforcements[[#This Row],[Bottom End Connection Type]]=""),"-",""))</f>
        <v/>
      </c>
      <c r="AW82" s="214" t="str">
        <f>IF(Reinforcements[[#This Row],[Reinforcement]]="","",IF(OR(Reinforcements[[#This Row],[Bottom End Connection Type]]&lt;&gt;"Welded",Reinforcements[[#This Row],[Bottom Longitudinal (Vertical) Weld]]="None",Reinforcements[[#This Row],[Bottom Longitudinal (Vertical) Weld]]=""),"-",""))</f>
        <v/>
      </c>
      <c r="AX82" s="214" t="str">
        <f>IF(Reinforcements[[#This Row],[Reinforcement]]="","",IF(OR(Reinforcements[[#This Row],[Bottom End Connection Type]]&lt;&gt;"Welded",Reinforcements[[#This Row],[Bottom Longitudinal (Vertical) Weld]]="None",Reinforcements[[#This Row],[Bottom Longitudinal (Vertical) Weld]]=""),"-",""))</f>
        <v/>
      </c>
      <c r="AY82" s="206" t="str">
        <f>IF(Reinforcements[[#This Row],[Reinforcement]]="","",IF(OR(Reinforcements[[#This Row],[Bottom End Connection Type]]&lt;&gt;"Welded",Reinforcements[[#This Row],[Bottom Longitudinal (Vertical) Weld]]="None"),"-",SQRT(2)/2*Reinforcements[[#This Row],[Bottom Longitudinal Weld Fillet Size (in)]]))</f>
        <v/>
      </c>
      <c r="AZ82" s="206"/>
      <c r="BA82" s="103" t="str">
        <f>IF(Reinforcements[[#This Row],[Top End Connection Same?]]="Yes",Reinforcements[[#This Row],[Bottom End Connection Type]],"")</f>
        <v/>
      </c>
      <c r="BB82" s="103" t="str">
        <f>IF(Reinforcements[[#This Row],[Reinforcement]]="","",IF(Reinforcements[[#This Row],[Top End Connection Same?]]="Yes",Reinforcements[[#This Row],[Rev. F Bottom Connection Capacity (kips)]],IF(Reinforcements[[#This Row],[Reinforcement]]="","",IF(Reinforcements[[#This Row],[Top End Connection Type]]&lt;&gt;"Capacity Input","-",""))))</f>
        <v/>
      </c>
      <c r="BC82" s="103" t="str">
        <f>IF(Reinforcements[[#This Row],[Reinforcement]]="","",IF(Reinforcements[[#This Row],[Top End Connection Same?]]="Yes",Reinforcements[[#This Row],[Rev. G Bottom Connection Capacity (kips)]],IF(Reinforcements[[#This Row],[Reinforcement]]="","",IF(Reinforcements[[#This Row],[Top End Connection Type]]&lt;&gt;"Capacity Input","-",""))))</f>
        <v/>
      </c>
      <c r="BD82" s="253" t="str">
        <f>IF(Reinforcements[[#This Row],[Reinforcement]]="","",IF(Reinforcements[[#This Row],[Top End Connection Same?]]="Yes",Reinforcements[[#This Row],[Rev. G Bottom Connection Capacity (kips)]],IF(Reinforcements[[#This Row],[Reinforcement]]="","",IF(Reinforcements[[#This Row],[Top End Connection Type]]&lt;&gt;"Capacity Input","-",""))))</f>
        <v/>
      </c>
      <c r="BE82" s="103" t="str">
        <f>IF(Reinforcements[[#This Row],[Reinforcement]]="","",IF(Reinforcements[[#This Row],[Top End Connection Same?]]="Yes",Reinforcements[[#This Row],[Bottom End Connection Bolt Type]],IF(Reinforcements[[#This Row],[Top End Connection Type]]&lt;&gt;"Bolted","-","")))</f>
        <v/>
      </c>
      <c r="BF82" s="206" t="str">
        <f>IF(Reinforcements[[#This Row],[Reinforcement]]="","",IF(Reinforcements[[#This Row],[Top End Connection Same?]]="Yes",Reinforcements[[#This Row],[Threads Included (N) or Excluded (X) (Bottom)]],IF(Reinforcements[[#This Row],[Top End Connection Type]]&lt;&gt;"Bolted","-","")))</f>
        <v/>
      </c>
      <c r="BG82" s="206" t="str">
        <f>IF(Reinforcements[[#This Row],[Reinforcement]]="","",IF(Reinforcements[[#This Row],[Top End Connection Same?]]="Yes",Reinforcements[[#This Row],['# of End Connection Bolts          (Bottom)]],IF(Reinforcements[[#This Row],[Top End Connection Type]]&lt;&gt;"Bolted","-","")))</f>
        <v/>
      </c>
      <c r="BH82" s="206" t="str">
        <f>IF(Reinforcements[[#This Row],[Reinforcement]]="","",IF(Reinforcements[[#This Row],[Top End Connection Same?]]="Yes",Reinforcements[[#This Row],[End Connection Bolt Spacing (in) (B)]],IF(Reinforcements[[#This Row],[Top End Connection Type]]&lt;&gt;"Bolted","-","")))</f>
        <v/>
      </c>
      <c r="BI82" s="206" t="str">
        <f>IF(Reinforcements[[#This Row],[Reinforcement]]="","",IF(Reinforcements[[#This Row],[Top End Connection Same?]]="Yes",Reinforcements[[#This Row],[End Connection Edge Distance (in) (B)]],IF(Reinforcements[[#This Row],[Top End Connection Type]]&lt;&gt;"Bolted","-","")))</f>
        <v/>
      </c>
      <c r="BJ82" s="206" t="e">
        <f>Reinforcements[[#This Row],[End Connection Edge Distance (in) (T)]]-(Reinforcements[[#This Row],[Bolt Hole Size (in)]]+1/16)/2</f>
        <v>#VALUE!</v>
      </c>
      <c r="BK82" s="206" t="e">
        <f>Reinforcements[[#This Row],[End Connection Bolt Spacing (in) (T)]]-(Reinforcements[[#This Row],[Bolt Hole Size (in)]]+1/16)</f>
        <v>#VALUE!</v>
      </c>
      <c r="BL82" s="206" t="str">
        <f>Reinforcements[[#This Row],[End Connection Edge Distance (in) (T)]]</f>
        <v/>
      </c>
      <c r="BM82" s="206" t="str">
        <f>Reinforcements[[#This Row],[End Connection Bolt Spacing (in) (T)]]</f>
        <v/>
      </c>
      <c r="BN82" s="206" t="str">
        <f>IF(Reinforcements[[#This Row],[Reinforcement]]="","",IF(Reinforcements[[#This Row],[Top End Connection Same?]]="Yes",Reinforcements[[#This Row],[Bottom Connected to Flange/Base Plate?]],IF(Reinforcements[[#This Row],[Top End Connection Type]]="Bolted","-","")))</f>
        <v/>
      </c>
      <c r="BO82" s="206" t="str">
        <f>IF(Reinforcements[[#This Row],[Reinforcement]]="","",IF(Reinforcements[[#This Row],[Top End Connection Same?]]="Yes",Reinforcements[[#This Row],[Bottom Weld Grade (ksi)]],IF(OR(Reinforcements[[#This Row],[Top End Connection Type]]&lt;&gt;"Welded",Reinforcements[[#This Row],[Top End Connection Type]]=""),"-","")))</f>
        <v/>
      </c>
      <c r="BP82" s="206" t="str">
        <f>IF($AZ82="Yes",AP82,IF(Reinforcements[[#This Row],[Reinforcement]]="","",IF(OR(Reinforcements[[#This Row],[Top End Connection Type]]&lt;&gt;"Welded",Reinforcements[[#This Row],[Top End Connection Type]]=""),"-","")))</f>
        <v/>
      </c>
      <c r="BQ82" s="206" t="str">
        <f>IF(Reinforcements[[#This Row],[Reinforcement]]="","",IF($AZ82="Yes",AQ82,IF(OR(Reinforcements[[#This Row],[Top End Connection Type]]&lt;&gt;"Welded",Reinforcements[[#This Row],[Top Transverse (Horizontal) Weld]]="none",Reinforcements[[#This Row],[Top Transverse (Horizontal) Weld]]=""),"-","")))</f>
        <v/>
      </c>
      <c r="BR82" s="206" t="str">
        <f>IF($AZ82="Yes",AR82,IF(Reinforcements[[#This Row],[Reinforcement]]="","",IF(OR(Reinforcements[[#This Row],[Top Transverse (Horizontal) Weld]]="none",Reinforcements[[#This Row],[Top End Connection Type]]&lt;&gt;"Welded",Reinforcements[[#This Row],[Top Transverse (Horizontal) Weld]]="",Reinforcements[[#This Row],[Top Transverse (Horizontal) Weld]]="Fillet"),"-","")))</f>
        <v/>
      </c>
      <c r="BS82" s="206" t="str">
        <f>IF($AZ82="Yes",AS82,IF(Reinforcements[[#This Row],[Reinforcement]]="","",IF(OR(Reinforcements[[#This Row],[Top Transverse (Horizontal) Weld]]="none",Reinforcements[[#This Row],[Top End Connection Type]]&lt;&gt;"Welded",Reinforcements[[#This Row],[Top Transverse (Horizontal) Weld]]="",Reinforcements[[#This Row],[Top Transverse (Horizontal) Weld]]="Fillet"),"-","")))</f>
        <v/>
      </c>
      <c r="BT82" s="206" t="str">
        <f>IF(Reinforcements[[#This Row],[Reinforcement]]="","",IF($AZ82="Yes",AT82,IF(OR(Reinforcements[[#This Row],[Top Transverse (Horizontal) Weld]]="none",Reinforcements[[#This Row],[Top End Connection Type]]&lt;&gt;"Welded",Reinforcements[[#This Row],[Top Transverse (Horizontal) Weld]]=""),"-","")))</f>
        <v/>
      </c>
      <c r="BU82" s="206" t="str">
        <f>IF($AZ82="Yes",AU82,IF(Reinforcements[[#This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82" s="206" t="str">
        <f>IF($AZ82="Yes",AV82,IF(Reinforcements[[#This Row],[Reinforcement]]="","",IF(OR(Reinforcements[[#This Row],[Top End Connection Type]]&lt;&gt;"Welded",Reinforcements[[#This Row],[Top End Connection Type]]=""),"-","")))</f>
        <v/>
      </c>
      <c r="BW82" s="206" t="str">
        <f>IF($AZ82="Yes",AW82,IF(Reinforcements[[#This Row],[Reinforcement]]="","",IF(OR(Reinforcements[[#This Row],[Top End Connection Type]]&lt;&gt;"Welded",Reinforcements[[#This Row],[Top End Connection Type]]="",Reinforcements[[#This Row],[Top Longitudinal (Vertical) Weld]]="",Reinforcements[[#This Row],[Top Longitudinal (Vertical) Weld]]="None"),"-","")))</f>
        <v/>
      </c>
      <c r="BX82" s="206" t="str">
        <f>IF($AZ82="Yes",AX82,IF(Reinforcements[[#This Row],[Reinforcement]]="","",IF(OR(Reinforcements[[#This Row],[Top End Connection Type]]&lt;&gt;"Welded",Reinforcements[[#This Row],[Top End Connection Type]]="",Reinforcements[[#This Row],[Top Longitudinal (Vertical) Weld]]="",Reinforcements[[#This Row],[Top Longitudinal (Vertical) Weld]]="None"),"-","")))</f>
        <v/>
      </c>
      <c r="BY82" s="206" t="str">
        <f>IF($AZ82="Yes",AY82,IF(Reinforcements[[#This Row],[Reinforcement]]="","",IF(OR(Reinforcements[[#This Row],[Top End Connection Type]]&lt;&gt;"Welded",Reinforcements[[#This Row],[Top Longitudinal (Vertical) Weld]]="none"),"-",SQRT(2)/2*Reinforcements[[#This Row],[Top Longitudinal Weld Fillet Size (in)]])))</f>
        <v/>
      </c>
      <c r="BZ82"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82"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82" s="203" t="str">
        <f>IF(Reinforcements[[#This Row],[Reinforcement]]="","",IF(Reinforcements[[#This Row],[Top End Connection Type]]&lt;&gt;"Bolted","n/a",(Reinforcements[[#This Row],['# of End Connection Bolts          (Top)]]-1)*Reinforcements[[#This Row],[End Connection Bolt Spacing (in) (T)]]+Reinforcements[[#This Row],[End Connection Edge Distance (in) (T)]]))</f>
        <v/>
      </c>
      <c r="CC82"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82"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82" s="201" t="str">
        <f>IFERROR(IF(Reinforcements[[#This Row],[Type]]="","",Reinforcements[[#This Row],[Effective B (in)]]*Reinforcements[[#This Row],[Effective H (in)]]^3/12),"")</f>
        <v/>
      </c>
      <c r="CF82" s="201" t="str">
        <f>IFERROR(IF(Reinforcements[[#This Row],[Type]]="","",Reinforcements[[#This Row],[Effective B (in)]]^3*Reinforcements[[#This Row],[Effective H (in)]]/12),"")</f>
        <v/>
      </c>
      <c r="CG82" s="224" t="e">
        <f>SQRT(2*PI()^2*29000/VLOOKUP(Reinforcements[[#This Row],[Material]],Materials[],2,FALSE))</f>
        <v>#N/A</v>
      </c>
      <c r="CH82"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82"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82" s="215" t="e">
        <f>Reinforcements[[#This Row],[Effective Length Factor Kx]]*Reinforcements[[#This Row],[Lu (in)]]/(Reinforcements[[#This Row],[rx]]*PI())*SQRT(VLOOKUP(Reinforcements[[#This Row],[Material]],Materials[],2,FALSE)/29000)</f>
        <v>#VALUE!</v>
      </c>
      <c r="CK82" s="215" t="e">
        <f>Reinforcements[[#This Row],[Effective Length Factor Ky]]*Reinforcements[[#This Row],[Lu (in)]]/(Reinforcements[[#This Row],[ry]]*PI())*SQRT(VLOOKUP(Reinforcements[[#This Row],[Material]],Materials[],2,FALSE)/29000)</f>
        <v>#VALUE!</v>
      </c>
      <c r="CL82" s="215" t="e">
        <f>IF(Reinforcements[[#This Row],[λcx]]&lt;=1.5,0.658^(Reinforcements[[#This Row],[λcx]]^2)*Reinforcements[[#This Row],[F''y]],0.877/(Reinforcements[[#This Row],[λcx]]^2)*Reinforcements[[#This Row],[F''y]])</f>
        <v>#VALUE!</v>
      </c>
      <c r="CM82" s="215" t="e">
        <f>IF(Reinforcements[[#This Row],[λcy]]&lt;=1.5,0.658^(Reinforcements[[#This Row],[λcy]]^2)*Reinforcements[[#This Row],[F''y]],0.877/(Reinforcements[[#This Row],[λcy]]^2)*Reinforcements[[#This Row],[F''y]])</f>
        <v>#VALUE!</v>
      </c>
      <c r="CN82" s="201" t="e">
        <f>VLOOKUP(Reinforcements[[#This Row],[Material]],Materials[],2,FALSE)</f>
        <v>#N/A</v>
      </c>
      <c r="CO82" s="224" t="str">
        <f>IF(Reinforcements[[#This Row],[Reinforcement]]="","",Reinforcements[[#This Row],[Fax]]*Reinforcements[[#This Row],[Gross Area (in2)]])</f>
        <v/>
      </c>
      <c r="CP82" s="224" t="str">
        <f>IF(Reinforcements[[#This Row],[Reinforcement]]="","",Reinforcements[[#This Row],[Fay]]*Reinforcements[[#This Row],[Gross Area (in2)]])</f>
        <v/>
      </c>
      <c r="CQ82" s="224" t="str">
        <f>IF(Reinforcements[[#This Row],[Reinforcement]]="","",0.6*VLOOKUP(Reinforcements[[#This Row],[Material]],Materials[],2,FALSE)*Reinforcements[[#This Row],[Gross Area (in2)]])</f>
        <v/>
      </c>
      <c r="CR82" s="224" t="str">
        <f>IF(Reinforcements[[#This Row],[Reinforcement]]="","",0.5*VLOOKUP(Reinforcements[[#This Row],[Material]],Materials[],3,FALSE)*Reinforcements[[#This Row],[Net Area (in2)]]*Reinforcements[[#This Row],[Shear Lag (U)]])</f>
        <v/>
      </c>
      <c r="CS82" s="224" t="str">
        <f>IF(Reinforcements[[#This Row],[Reinforcement]]="","",0.4*VLOOKUP(Reinforcements[[#This Row],[Material]],Materials[],2,FALSE)*Reinforcements[[#This Row],[Gross Area (in2)]])</f>
        <v/>
      </c>
      <c r="CT82"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82"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82"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82"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82"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82"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82"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82"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82"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82"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82"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82"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82" s="206" t="str">
        <f>IF($AZ82="Yes",DD82,IF(Reinforcements[[#This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82" s="206" t="str">
        <f>IF($AZ82="Yes",DE82,IF(Reinforcements[[#This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82" s="224" t="str">
        <f>IF(Reinforcements[[#This Row],[Reinforcement]]="","",φ_c*Reinforcements[[#This Row],[Fcr,x]]*Reinforcements[[#This Row],[Gross Area (in2)]])</f>
        <v/>
      </c>
      <c r="DI82" s="224" t="str">
        <f>IF(Reinforcements[[#This Row],[Reinforcement]]="","",φ_c*Reinforcements[[#This Row],[Fcr,y]]*Reinforcements[[#This Row],[Gross Area (in2)]])</f>
        <v/>
      </c>
      <c r="DJ82" s="224" t="str">
        <f>IF(Reinforcements[[#This Row],[Reinforcement]]="","",φ_t_y*VLOOKUP(Reinforcements[[#This Row],[Material]],Materials[],2,FALSE)*Reinforcements[[#This Row],[Gross Area (in2)]])</f>
        <v/>
      </c>
      <c r="DK82" s="224" t="str">
        <f>IF(Reinforcements[[#This Row],[Reinforcement]]="","",φ_t_r*VLOOKUP(Reinforcements[[#This Row],[Material]],Materials[],3,FALSE)*Reinforcements[[#This Row],[Net Area (in2)]]*Reinforcements[[#This Row],[Shear Lag (U)]])</f>
        <v/>
      </c>
      <c r="DL82" s="224" t="str">
        <f>IF(Reinforcements[[#This Row],[Reinforcement]]="","",φ_v*0.5*Reinforcements[[#This Row],[F''y]]*Reinforcements[[#This Row],[Gross Area (in2)]])</f>
        <v/>
      </c>
      <c r="DM82"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82"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82"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82"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82"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82"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82"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82"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82"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82"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82"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82"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82" s="206" t="str">
        <f>IF($AZ82="Yes",DW82,IF(Reinforcements[[#This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82" s="206" t="str">
        <f>IF($AZ82="Yes",DX82,IF(Reinforcements[[#This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82" s="507" t="str">
        <f>IF(OR(Reinforcements[[#This Row],[Type]]="plate",Reinforcements[[#This Row],[Type]]="solid round"),"N/A",Reinforcements[[#This Row],[B (in)]])</f>
        <v/>
      </c>
      <c r="EB82" s="508" t="str">
        <f>IF(OR(Reinforcements[[#This Row],[Type]]="plate",Reinforcements[[#This Row],[Type]]="solid round"),"N/A",Reinforcements[[#This Row],[H (in)]])</f>
        <v/>
      </c>
      <c r="EC82" s="508" t="e">
        <f>IF(OR(Reinforcements[[#This Row],[Type]]="plate",Reinforcements[[#This Row],[Type]]="solid round"),"N/A",Reinforcements[[#This Row],[B (in)]]-Reinforcements[[#This Row],['[Channel'] Flange Thickness (in)]])</f>
        <v>#VALUE!</v>
      </c>
      <c r="ED82" s="508" t="str">
        <f>IF(OR(Reinforcements[[#This Row],[Type]]="plate",Reinforcements[[#This Row],[Type]]="solid round"),"N/A",Reinforcements[[#This Row],['[Channel']Web Thickness (in)]])</f>
        <v/>
      </c>
      <c r="EE82" s="508" t="str">
        <f>IF(OR(Reinforcements[[#This Row],[Type]]="plate",Reinforcements[[#This Row],[Type]]="solid round"),"N/A",Reinforcements[[#This Row],['[Channel'] Flange Thickness (in)]])</f>
        <v/>
      </c>
      <c r="EF82" s="508" t="str">
        <f>IF(Reinforcements[[#This Row],[Type]]="channel",Reinforcements[[#This Row],[Channel Flange Width, b]]/Reinforcements[[#This Row],[Channel flange thickness, tf]],"N/A")</f>
        <v>N/A</v>
      </c>
      <c r="EG82" s="508" t="str">
        <f>IF(Reinforcements[[#This Row],[Type]]="channel",Reinforcements[[#This Row],[Channel inside depth, T]]/Reinforcements[[#This Row],[Channel web thickness, tw]],"N/A")</f>
        <v>N/A</v>
      </c>
      <c r="EH82" s="252">
        <v>29000</v>
      </c>
      <c r="EI82" s="252" t="str">
        <f>IF(Reinforcements[[#This Row],[Type]]="channel",0.56*SQRT(Reinforcements[[#This Row],[E, (ksi)]]/Reinforcements[[#This Row],[Fy, (ksi)]]),"N/A")</f>
        <v>N/A</v>
      </c>
      <c r="EJ82" s="252" t="str">
        <f>IF(Reinforcements[[#This Row],[Type]]="channel",1.49*SQRT(Reinforcements[[#This Row],[E, (ksi)]]/Reinforcements[[#This Row],[Fy, (ksi)]]),"N/A")</f>
        <v>N/A</v>
      </c>
      <c r="EK82" s="252" t="e">
        <f>VLOOKUP(Reinforcements[[#This Row],[Material]],Materials!$B$2:$C$30,2,FALSE)</f>
        <v>#N/A</v>
      </c>
      <c r="EL82" s="252" t="e">
        <f>Reinforcements[[#This Row],[Lu (in)]]*Reinforcements[[#This Row],[Effective Length Factor Kx]]</f>
        <v>#VALUE!</v>
      </c>
      <c r="EM82" s="252" t="e">
        <f>Reinforcements[[#This Row],[Lu (in)]]*Reinforcements[[#This Row],[Effective Length Factor Ky]]</f>
        <v>#VALUE!</v>
      </c>
      <c r="EN82" s="252" t="str">
        <f>Reinforcements[[#This Row],[rx]]</f>
        <v/>
      </c>
      <c r="EO82" s="252" t="str">
        <f>Reinforcements[[#This Row],[ry]]</f>
        <v/>
      </c>
      <c r="EP82" s="252" t="e">
        <f>Reinforcements[[#This Row],[Lcx (in)]]/Reinforcements[[#This Row],[rx (in)]]</f>
        <v>#VALUE!</v>
      </c>
      <c r="EQ82" s="252" t="e">
        <f>Reinforcements[[#This Row],[Lcy (in)]]/Reinforcements[[#This Row],[ry (in)]]</f>
        <v>#VALUE!</v>
      </c>
      <c r="ER82" s="252" t="e">
        <f>((PI()^2)*Reinforcements[[#This Row],[E, (ksi)]])/(Reinforcements[[#This Row],[Lcx/rx]]^2)</f>
        <v>#VALUE!</v>
      </c>
      <c r="ES82" s="252" t="e">
        <f>((PI()^2)*Reinforcements[[#This Row],[E, (ksi)]])/(Reinforcements[[#This Row],[Lcy/ry]]^2)</f>
        <v>#VALUE!</v>
      </c>
      <c r="ET82" s="252" t="e">
        <f>4.71*(SQRT(Reinforcements[[#This Row],[E, (ksi)]]/Reinforcements[[#This Row],[Fy, (ksi)]]))</f>
        <v>#N/A</v>
      </c>
      <c r="EU82" s="252" t="e">
        <f>IF(Reinforcements[[#This Row],[Lcx/rx]]&lt;=Reinforcements[[#This Row],[Fcr Limit]],(0.658^(Reinforcements[[#This Row],[Fy, (ksi)]]/Reinforcements[[#This Row],[Fex, FB (ksi)]]))*Reinforcements[[#This Row],[Fy, (ksi)]],0.877*Reinforcements[[#This Row],[Fex, FB (ksi)]])</f>
        <v>#VALUE!</v>
      </c>
      <c r="EV82" s="252" t="e">
        <f>IF(Reinforcements[[#This Row],[Lcy/ry]]&lt;=Reinforcements[[#This Row],[Fcr Limit]],(0.658^(Reinforcements[[#This Row],[Fy, (ksi)]]/Reinforcements[[#This Row],[Fey, FB (ksi)]]))*Reinforcements[[#This Row],[Fy, (ksi)]],0.877*Reinforcements[[#This Row],[Fey, FB (ksi)]])</f>
        <v>#VALUE!</v>
      </c>
      <c r="EW82" s="252" t="e">
        <f>Reinforcements[[#This Row],[Fcrx (ksi)]]*Reinforcements[[#This Row],[Gross Area (in2)]]</f>
        <v>#VALUE!</v>
      </c>
      <c r="EX82" s="252" t="e">
        <f>Reinforcements[[#This Row],[Fcry (ksi)]]*Reinforcements[[#This Row],[Gross Area (in2)]]</f>
        <v>#VALUE!</v>
      </c>
      <c r="EY82" s="252" t="str">
        <f>IF(Reinforcements[[#This Row],[Type]]="channel",0,"N/A")</f>
        <v>N/A</v>
      </c>
      <c r="EZ82" s="252" t="str">
        <f>IF(Reinforcements[[#This Row],[Type]]="channel",Reinforcements[[#This Row],[Channel Flange Width, b]]-(0.5*Reinforcements[[#This Row],[Channel web thickness, tw]]),"N/A")</f>
        <v>N/A</v>
      </c>
      <c r="FA82" s="252" t="str">
        <f>IF(Reinforcements[[#This Row],[Type]]="channel",Reinforcements[[#This Row],[Channel Height, h]]-Reinforcements[[#This Row],[Channel flange thickness, tf]],"N/A")</f>
        <v>N/A</v>
      </c>
      <c r="FB82" s="252" t="str">
        <f>IF(Reinforcements[[#This Row],[Type]]="channel",Reinforcements[[#This Row],[Channel web thickness, tw]],"N/A")</f>
        <v>N/A</v>
      </c>
      <c r="FC82" s="252" t="str">
        <f>IF(Reinforcements[[#This Row],[Type]]="channel",((3*Reinforcements[[#This Row],[b]]^2)/(Reinforcements[[#This Row],[h]]+(6*Reinforcements[[#This Row],[b]])))-Reinforcements[[#This Row],[t]]/2,"N/A")</f>
        <v>N/A</v>
      </c>
      <c r="FD82" s="252" t="str">
        <f>Reinforcements[[#This Row],[Pole Face to Centroid (in)]]</f>
        <v/>
      </c>
      <c r="FE82" s="508" t="str">
        <f>IF(Reinforcements[[#This Row],[Type]]="channel",Reinforcements[[#This Row],[x(bar)]]+Reinforcements[[#This Row],['[Channel'] e0 (in)]],"N/A")</f>
        <v>N/A</v>
      </c>
      <c r="FF82" s="508" t="str">
        <f>IF(Reinforcements[[#This Row],[Type]]="channel",Reinforcements[[#This Row],[Ix]],"N/A")</f>
        <v>N/A</v>
      </c>
      <c r="FG82" s="508" t="str">
        <f>IF(Reinforcements[[#This Row],[Type]]="channel",Reinforcements[[#This Row],[Iy]],"N/A")</f>
        <v>N/A</v>
      </c>
      <c r="FH82" s="508" t="str">
        <f>IF(Reinforcements[[#This Row],[Type]]="channel",Reinforcements[[#This Row],[Gross Area (in2)]],"N/A")</f>
        <v>N/A</v>
      </c>
      <c r="FI82" s="508" t="str">
        <f>IF(Reinforcements[[#This Row],[Type]]="channel",(Reinforcements[[#This Row],[xo]]^2)+((Reinforcements[[#This Row],[Ix (FTB)]]+Reinforcements[[#This Row],[Iy (FTB)]])/Reinforcements[[#This Row],[Ag]]),"N/A")</f>
        <v>N/A</v>
      </c>
      <c r="FJ82" s="508" t="str">
        <f>IF(Reinforcements[[#This Row],[Type]]="channel",Reinforcements[[#This Row],[Lu (in)]],"N/A")</f>
        <v>N/A</v>
      </c>
      <c r="FK82" s="508" t="str">
        <f>IF(Reinforcements[[#This Row],[Type]]="channel",Reinforcements[[#This Row],[Effective Length Factor Kx]],"N/A")</f>
        <v>N/A</v>
      </c>
      <c r="FL82" s="508" t="str">
        <f>IF(Reinforcements[[#This Row],[Type]]="channel",Reinforcements[[#This Row],[Kz]]*Reinforcements[[#This Row],[Lz]],"N/A")</f>
        <v>N/A</v>
      </c>
      <c r="FM82" s="508" t="str">
        <f>IF(Reinforcements[[#This Row],[Type]]="channel",(((Reinforcements[[#This Row],[t]]^3)/3)*(Reinforcements[[#This Row],[h]]+(2*Reinforcements[[#This Row],[b]]))),"N/A")</f>
        <v>N/A</v>
      </c>
      <c r="FN82" s="508" t="str">
        <f>IF(Reinforcements[[#This Row],[Type]]="channel",(1-(((Reinforcements[[#This Row],[xo]]^2)+(Reinforcements[[#This Row],[yo]]^2))/Reinforcements[[#This Row],[ro^2(bar)]])),"N/A")</f>
        <v>N/A</v>
      </c>
      <c r="FO82" s="252">
        <v>11200</v>
      </c>
      <c r="FP82" s="508" t="str">
        <f>IF(Reinforcements[[#This Row],[Type]]="channel",(((Reinforcements[[#This Row],[h]]^2)*(Reinforcements[[#This Row],[b]]^3)*Reinforcements[[#This Row],[t]])/12)*(((2*Reinforcements[[#This Row],[h]])+(3*Reinforcements[[#This Row],[b]]))/(Reinforcements[[#This Row],[h]]+(6*Reinforcements[[#This Row],[b]]))),"N/A")</f>
        <v>N/A</v>
      </c>
      <c r="FQ82" s="508" t="str">
        <f>IF(Reinforcements[[#This Row],[Type]]="Channel",((((PI()^2)*Reinforcements[[#This Row],[E, (ksi)]]*Reinforcements[[#This Row],['[Channel'] CW (in6)]])/(Reinforcements[[#This Row],[Lcz]]^2))+(Reinforcements[[#This Row],[G]]*Reinforcements[[#This Row],['[Channel'] J (in4)]]))*(1/(Reinforcements[[#This Row],[Ag]]*Reinforcements[[#This Row],[ro^2(bar)]])),"N/A")</f>
        <v>N/A</v>
      </c>
      <c r="FR82" s="508" t="str">
        <f>IF(Reinforcements[[#This Row],[Type]]="channel",((PI()^2)*Reinforcements[[#This Row],[E, (ksi)]])/(Reinforcements[[#This Row],[Lcy/ry]]^2),"N/A")</f>
        <v>N/A</v>
      </c>
      <c r="FS82" s="508" t="str">
        <f>IF(Reinforcements[[#This Row],[Type]]="channel",((Reinforcements[[#This Row],[Fey]]+Reinforcements[[#This Row],[Fez]])/(2*Reinforcements[[#This Row],[H2]]))*(1-SQRT(1-((4*Reinforcements[[#This Row],[Fey]]*Reinforcements[[#This Row],[Fez]]*Reinforcements[[#This Row],[H2]])/(Reinforcements[[#This Row],[Fey]]+Reinforcements[[#This Row],[Fez]])^2))),"N/A")</f>
        <v>N/A</v>
      </c>
      <c r="FT82" s="508" t="str">
        <f>IF(Reinforcements[[#This Row],[Type]]="channel",IF(Reinforcements[[#This Row],[Lcx/rx]]&gt;(4.71*SQRT(Reinforcements[[#This Row],[E, (ksi)]]/Reinforcements[[#This Row],[Fy, (ksi)]])),0.877*Reinforcements[[#This Row],[Fe (FTB)]],0.658^(Reinforcements[[#This Row],[Fy, (ksi)]]/Reinforcements[[#This Row],[Fe (FTB)]])*Reinforcements[[#This Row],[Fy, (ksi)]]),"N/A")</f>
        <v>N/A</v>
      </c>
      <c r="FU82" s="508" t="str">
        <f>IF(Reinforcements[[#This Row],[Type]]="channel",MIN(Reinforcements[[#This Row],[Fcr(FTB)]],Reinforcements[[#This Row],[Fcry (ksi)]]),"N/A")</f>
        <v>N/A</v>
      </c>
      <c r="FV82" s="252">
        <v>0.22</v>
      </c>
      <c r="FW82" s="252">
        <v>1.49</v>
      </c>
      <c r="FX82" s="508" t="str">
        <f>IF(Reinforcements[[#This Row],[Type]]="channel",((Reinforcements[[#This Row],[c2]]*(Reinforcements[[#This Row],[λrf]]/Reinforcements[[#This Row],[λf]]))^2)*Reinforcements[[#This Row],[Fy, (ksi)]],"N/A")</f>
        <v>N/A</v>
      </c>
      <c r="FY82" s="508" t="str">
        <f>IF(Reinforcements[[#This Row],[Type]]="channel",((Reinforcements[[#This Row],[c2]]*(Reinforcements[[#This Row],[λrw]]/Reinforcements[[#This Row],[λw]]))^2)*Reinforcements[[#This Row],[Fy, (ksi)]],"N/A")</f>
        <v>N/A</v>
      </c>
      <c r="FZ82"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2"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2"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2" s="508" t="str">
        <f>IF(Reinforcements[[#This Row],[Type]]="channel",Reinforcements[[#This Row],[Fcr]]*Reinforcements[[#This Row],[Ae]],"N/A")</f>
        <v>N/A</v>
      </c>
      <c r="GD82" s="462" t="str">
        <f>IF(Reinforcements[[#This Row],[Reinforcement]]="","",φ_c*Reinforcements[[#This Row],[Pnx, FB (kip)]])</f>
        <v/>
      </c>
      <c r="GE82" s="462" t="str">
        <f>IF(Reinforcements[[#This Row],[Reinforcement]]="","",IF(Reinforcements[[#This Row],[Type]]="channel",φ_c*Reinforcements[[#This Row],[Pn]],φ_c*Reinforcements[[#This Row],[Pny, FB (kip)]]))</f>
        <v/>
      </c>
      <c r="GF82" s="462" t="str">
        <f>Reinforcements[[#This Row],[Rev. G Tension Yield Capacity (kips)]]</f>
        <v/>
      </c>
      <c r="GG82" s="462" t="str">
        <f>Reinforcements[[#This Row],[Rev. G Tension Rupture Capacity (kips)]]</f>
        <v/>
      </c>
      <c r="GH82" s="462" t="str">
        <f>Reinforcements[[#This Row],[Rev. G Shear Capacity (kips)]]</f>
        <v/>
      </c>
      <c r="GI82" s="462" t="str">
        <f>IFERROR((Reinforcements[[#This Row],['# of End Connection Bolts          (Bottom)]]-1)*Reinforcements[[#This Row],[End Connection Bolt Spacing (in) (B)]],"-")</f>
        <v>-</v>
      </c>
      <c r="GJ82" s="462" t="str">
        <f>IFERROR(IF(VLOOKUP(Reinforcements[[#This Row],[Bottom End Connection Bolt Type]],Bolts[],COLUMN(Bolts[[#Headers],[Rev. H Apply Connection Length Reduction Factor (Rb)?]])-1,FALSE)="Yes",(IF(Reinforcements[[#This Row],[Lb(bottom)]]&lt;=16,1,IF(Reinforcements[[#This Row],[Lb(bottom)]]&gt;38,0.75,0.9))),1),"-")</f>
        <v>-</v>
      </c>
      <c r="GK82"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82" s="462" t="str">
        <f>IFERROR(IF(Reinforcements[[#This Row],[Top End Connection Same?]]="Yes",Reinforcements[[#This Row],[Lb(bottom)]],(Reinforcements[[#This Row],['# of End Connection Bolts          (Top)]]-1)*Reinforcements[[#This Row],[End Connection Bolt Spacing (in) (T)]]),"-")</f>
        <v>-</v>
      </c>
      <c r="GM82" s="462" t="str">
        <f>IFERROR(IF(VLOOKUP(Reinforcements[[#This Row],[Top End Connection Bolt Type]],Bolts[],COLUMN(Bolts[[#Headers],[Rev. H Apply Connection Length Reduction Factor (Rb)?]])-1,FALSE)="Yes",(IF(Reinforcements[[#This Row],[Lb(top)]]&lt;=16,1,IF(Reinforcements[[#This Row],[Lb(top)]]&gt;38,0.75,0.9))),1),"-")</f>
        <v>-</v>
      </c>
      <c r="GN82"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82" s="462" t="str">
        <f>Reinforcements[[#This Row],[Rev. G Bolt-Shaft Bearing Capacity (Bottom)                No Deformation          (*t*Fu kips)]]</f>
        <v>-</v>
      </c>
      <c r="GP82" s="462" t="str">
        <f>Reinforcements[[#This Row],[Rev. G Bolt-Shaft Bearing Capacity (Bottom)                   Deformation          (*t*Fu kips)]]</f>
        <v>-</v>
      </c>
      <c r="GQ82" s="462" t="str">
        <f>Reinforcements[[#This Row],[Rev. G Bolt-Shaft Bearing Capacity (Top)                    No Deformation          (*t*Fu kips)]]</f>
        <v>-</v>
      </c>
      <c r="GR82" s="462" t="str">
        <f>Reinforcements[[#This Row],[Rev. G Bolt-Shaft Bearing Capacity (Top)                        Deformation          (*t*Fu kips)]]</f>
        <v>-</v>
      </c>
      <c r="GS82" s="462" t="str">
        <f>Reinforcements[[#This Row],[Rev. G Bolt-Reinf. Bearing Capacity (Bottom)            No Deformation (kips)]]</f>
        <v>-</v>
      </c>
      <c r="GT82" s="462" t="str">
        <f>Reinforcements[[#This Row],[Rev. G Bolt-Reinf. Bearing Capacity (Bottom)               Deformation (kips)]]</f>
        <v>-</v>
      </c>
      <c r="GU82" s="462" t="str">
        <f>Reinforcements[[#This Row],[Rev. G Bolt-Reinf. Bearing Capacity (Top)                  No Deformation (kips)]]</f>
        <v>-</v>
      </c>
      <c r="GV82" s="462" t="str">
        <f>Reinforcements[[#This Row],[Rev. G Bolt-Reinf. Bearing Capacity (Top)               Deformation (kips)]]</f>
        <v>-</v>
      </c>
      <c r="GW82" s="462" t="str">
        <f>Reinforcements[[#This Row],[Rev. G Bottom Transverse Weld Strength]]</f>
        <v/>
      </c>
      <c r="GX82" s="462" t="str">
        <f>Reinforcements[[#This Row],[Rev. G Bottom Longitudinal Weld Strength]]</f>
        <v/>
      </c>
      <c r="GY82" s="462" t="str">
        <f>Reinforcements[[#This Row],[Rev. G Top Transverse Weld Strength]]</f>
        <v/>
      </c>
      <c r="GZ82" s="462" t="str">
        <f>Reinforcements[[#This Row],[Rev. G Top Longitudinal Weld Strength]]</f>
        <v/>
      </c>
      <c r="HA82" s="552">
        <v>80</v>
      </c>
      <c r="HB82"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83" spans="2:210" x14ac:dyDescent="0.2">
      <c r="B83" s="129"/>
      <c r="C83" s="129"/>
      <c r="D83" s="201" t="str">
        <f>IF(Reinforcements[[#This Row],[Type]]="","",IF(Reinforcements[[#This Row],[Type]]="solid round","-",""))</f>
        <v/>
      </c>
      <c r="E83" s="201" t="str">
        <f>IF(Reinforcements[[#This Row],[Type]]="","",IF(Reinforcements[[#This Row],[Type]]="solid round","-",""))</f>
        <v/>
      </c>
      <c r="F83" s="201" t="str">
        <f>IF(Reinforcements[[#This Row],[Type]]="","",IF(Reinforcements[[#This Row],[Type]]="solid round","","n/a"))</f>
        <v/>
      </c>
      <c r="G83" s="201" t="str">
        <f>IF(Reinforcements[[#This Row],[Type]]="","",IF(Reinforcements[[#This Row],[Type]]&lt;&gt;"channel","n/a",""))</f>
        <v/>
      </c>
      <c r="H83" s="201" t="str">
        <f>IF(Reinforcements[[#This Row],[Type]]="","",IF(Reinforcements[[#This Row],[Type]]&lt;&gt;"channel","n/a",""))</f>
        <v/>
      </c>
      <c r="I83" s="224" t="str">
        <f>IF(Reinforcements[[#This Row],[Type]]="","",IF(Reinforcements[[#This Row],[Type]]&lt;&gt;"channel","n/a",Reinforcements[[#This Row],[eo]]))</f>
        <v/>
      </c>
      <c r="J83" s="224" t="str">
        <f>IF(Reinforcements[[#This Row],[Type]]="","",IF(Reinforcements[[#This Row],[Type]]&lt;&gt;"channel","n/a",Reinforcements[[#This Row],[J]]))</f>
        <v/>
      </c>
      <c r="K83" s="224" t="str">
        <f>IF(Reinforcements[[#This Row],[Type]]="","",IF(Reinforcements[[#This Row],[Type]]&lt;&gt;"channel","n/a",Reinforcements[[#This Row],[Cw]]))</f>
        <v/>
      </c>
      <c r="L83" s="201" t="str">
        <f>IFERROR(IF(Reinforcements[[#This Row],[Type]]="","",IF(Reinforcements[[#This Row],[Type]]="plate",Reinforcements[[#This Row],[B (in)]]*Reinforcements[[#This Row],[H (in)]],IF(Reinforcements[[#This Row],[Type]]="solid round",PI()/4*Reinforcements[[#This Row],[Diameter (in)]]^2,""))),"")</f>
        <v/>
      </c>
      <c r="M83" s="201" t="str">
        <f>IFERROR(IF(Reinforcements[[#This Row],[Type]]="","",IF(Reinforcements[[#This Row],[Type]]="plate",Reinforcements[[#This Row],[H (in)]]/2,"")),"")</f>
        <v/>
      </c>
      <c r="N83" s="202"/>
      <c r="O83" s="203"/>
      <c r="P83" s="215" t="str">
        <f>IFERROR(IF(Reinforcements[[#This Row],[Type]]="","",IF(Reinforcements[[#This Row],[Type]]="plate",Reinforcements[[#This Row],[B (in)]]*Reinforcements[[#This Row],[H (in)]]^3/12,IF(Reinforcements[[#This Row],[Type]]="solid round",PI()/64*Reinforcements[[#This Row],[Diameter (in)]]^4,""))),"")</f>
        <v/>
      </c>
      <c r="Q83" s="215" t="str">
        <f>IF(Reinforcements[[#This Row],[Reinforcement]]="","",SQRT(Reinforcements[[#This Row],[Ix]]/Reinforcements[[#This Row],[Gross Area (in2)]]))</f>
        <v/>
      </c>
      <c r="R83" s="215" t="str">
        <f>IFERROR(IF(Reinforcements[[#This Row],[Type]]="","",IF(Reinforcements[[#This Row],[Type]]="plate",Reinforcements[[#This Row],[B (in)]]^3*Reinforcements[[#This Row],[H (in)]]/12,IF(Reinforcements[[#This Row],[Type]]="solid round",PI()/64*Reinforcements[[#This Row],[Diameter (in)]]^4,""))),"")</f>
        <v/>
      </c>
      <c r="S83" s="215" t="str">
        <f>IF(Reinforcements[[#This Row],[Reinforcement]]="","",SQRT(Reinforcements[[#This Row],[Iy]]/Reinforcements[[#This Row],[Gross Area (in2)]]))</f>
        <v/>
      </c>
      <c r="T83" s="206"/>
      <c r="U83" s="204" t="str">
        <f>IF(Reinforcements[[#This Row],[Lu (in)]]="","",IF(Reinforcements[[#This Row],[Lu (in)]]=0,1,""))</f>
        <v/>
      </c>
      <c r="V83" s="204" t="str">
        <f>IF(Reinforcements[[#This Row],[Lu (in)]]="","",IF(Reinforcements[[#This Row],[Lu (in)]]=0,1,""))</f>
        <v/>
      </c>
      <c r="W83" s="201" t="str">
        <f>IF(Reinforcements[[#This Row],[Type]]="","",IF(Reinforcements[[#This Row],[Type]]="solid round",0,IF(Reinforcements[[#This Row],[Type]]="arbitrary","n/a","")))</f>
        <v/>
      </c>
      <c r="X83" s="204" t="str">
        <f>IF(Reinforcements[[#This Row],[Bolt Hole Size (in)]]="","",IF(Reinforcements[[#This Row],[Bolt Hole Size (in)]]="n/a","n/a",Reinforcements[[#This Row],[Bolt Hole Size (in)]]*25.4))</f>
        <v/>
      </c>
      <c r="Y83"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83" s="201" t="str">
        <f>IFERROR(IF(Reinforcements[[#This Row],[Reinforcement]]="","",IF(OR(Reinforcements[[#This Row],[Type]]="plate",Reinforcements[[#This Row],[Type]]="solid round"),1,IF(Reinforcements[[#This Row],[Type]]="arbitrary","",1-Reinforcements[[#This Row],[Pole Face to Centroid (in)]]/Reinforcements[[#This Row],[Connection Length (in) '[Channels']]]))),"")</f>
        <v/>
      </c>
      <c r="AA83" s="205"/>
      <c r="AB83" s="103" t="str">
        <f>IF(Reinforcements[[#This Row],[Reinforcement]]="","",IF(Reinforcements[[#This Row],[Bottom End Connection Type]]&lt;&gt;"Capacity Input","-",""))</f>
        <v/>
      </c>
      <c r="AC83" s="103" t="str">
        <f>IF(Reinforcements[[#This Row],[Reinforcement]]="","",IF(Reinforcements[[#This Row],[Bottom End Connection Type]]&lt;&gt;"Capacity Input","-",""))</f>
        <v/>
      </c>
      <c r="AD83" s="253" t="str">
        <f>IF(Reinforcements[[#This Row],[Reinforcement]]="","",IF(Reinforcements[[#This Row],[Bottom End Connection Type]]&lt;&gt;"Capacity Input","-",""))</f>
        <v/>
      </c>
      <c r="AE83" s="103" t="str">
        <f>IF(Reinforcements[[#This Row],[Reinforcement]]="","",IF(Reinforcements[[#This Row],[Bottom End Connection Type]]&lt;&gt;"Bolted","-",""))</f>
        <v/>
      </c>
      <c r="AF83" s="206" t="str">
        <f>IF(Reinforcements[[#This Row],[Reinforcement]]="","",IF(Reinforcements[[#This Row],[Bottom End Connection Type]]&lt;&gt;"Bolted","-",""))</f>
        <v/>
      </c>
      <c r="AG83" s="206" t="str">
        <f>IF(Reinforcements[[#This Row],[Reinforcement]]="","",IF(Reinforcements[[#This Row],[Bottom End Connection Type]]="","-",IF(Reinforcements[[#This Row],[Bottom End Connection Type]]&lt;&gt;"Bolted","-","")))</f>
        <v/>
      </c>
      <c r="AH83" s="206" t="str">
        <f>IF(Reinforcements[[#This Row],[Reinforcement]]="","",IF(Reinforcements[[#This Row],[Bottom End Connection Type]]="","-",IF(Reinforcements[[#This Row],[Bottom End Connection Type]]&lt;&gt;"Bolted","-","")))</f>
        <v/>
      </c>
      <c r="AI83" s="206" t="str">
        <f>IF(Reinforcements[[#This Row],[Reinforcement]]="","",IF(Reinforcements[[#This Row],[Bottom End Connection Type]]="","-",IF(Reinforcements[[#This Row],[Bottom End Connection Type]]&lt;&gt;"Bolted","-","")))</f>
        <v/>
      </c>
      <c r="AJ83" s="206" t="e">
        <f>Reinforcements[[#This Row],[End Connection Edge Distance (in) (B)]]-(Reinforcements[[#This Row],[Bolt Hole Size (in)]]+1/16)/2</f>
        <v>#VALUE!</v>
      </c>
      <c r="AK83" s="206" t="e">
        <f>Reinforcements[[#This Row],[End Connection Bolt Spacing (in) (B)]]-(Reinforcements[[#This Row],[Bolt Hole Size (in)]]+1/16)</f>
        <v>#VALUE!</v>
      </c>
      <c r="AL83" s="206" t="str">
        <f>Reinforcements[[#This Row],[End Connection Edge Distance (in) (B)]]</f>
        <v/>
      </c>
      <c r="AM83" s="206" t="str">
        <f>Reinforcements[[#This Row],[End Connection Bolt Spacing (in) (B)]]</f>
        <v/>
      </c>
      <c r="AN83" s="206" t="str">
        <f>IF(Reinforcements[[#This Row],[Reinforcement]]="","",IF(OR(Reinforcements[[#This Row],[Bottom End Connection Type]]="Bolted",Reinforcements[[#This Row],[Bottom End Connection Type]]=""),"-",""))</f>
        <v/>
      </c>
      <c r="AO83" s="214" t="str">
        <f>IF(Reinforcements[[#This Row],[Reinforcement]]="","",IF(Reinforcements[[#This Row],[Bottom End Connection Type]]&lt;&gt;"Welded","-",""))</f>
        <v/>
      </c>
      <c r="AP83" s="214" t="str">
        <f>IF(Reinforcements[[#This Row],[Reinforcement]]="","",IF(Reinforcements[[#This Row],[Bottom End Connection Type]]&lt;&gt;"Welded","-",""))</f>
        <v/>
      </c>
      <c r="AQ83" s="214" t="str">
        <f>IF(Reinforcements[[#This Row],[Reinforcement]]="","",IF(OR(Reinforcements[[#This Row],[Bottom End Connection Type]]&lt;&gt;"Welded",Reinforcements[[#This Row],[Bottom Transverse (Horizontal) Weld]]="None"),"-",""))</f>
        <v/>
      </c>
      <c r="AR83"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83"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83" s="214" t="str">
        <f>IF(Reinforcements[[#This Row],[Reinforcement]]="","",IF(OR(Reinforcements[[#This Row],[Bottom Transverse (Horizontal) Weld]]="None",Reinforcements[[#This Row],[Bottom End Connection Type]]&lt;&gt;"Welded"),"-",""))</f>
        <v/>
      </c>
      <c r="AU83"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83" s="214" t="str">
        <f>IF(Reinforcements[[#This Row],[Reinforcement]]="","",IF(OR(Reinforcements[[#This Row],[Bottom End Connection Type]]&lt;&gt;"Welded",Reinforcements[[#This Row],[Bottom End Connection Type]]=""),"-",""))</f>
        <v/>
      </c>
      <c r="AW83" s="214" t="str">
        <f>IF(Reinforcements[[#This Row],[Reinforcement]]="","",IF(OR(Reinforcements[[#This Row],[Bottom End Connection Type]]&lt;&gt;"Welded",Reinforcements[[#This Row],[Bottom Longitudinal (Vertical) Weld]]="None",Reinforcements[[#This Row],[Bottom Longitudinal (Vertical) Weld]]=""),"-",""))</f>
        <v/>
      </c>
      <c r="AX83" s="214" t="str">
        <f>IF(Reinforcements[[#This Row],[Reinforcement]]="","",IF(OR(Reinforcements[[#This Row],[Bottom End Connection Type]]&lt;&gt;"Welded",Reinforcements[[#This Row],[Bottom Longitudinal (Vertical) Weld]]="None",Reinforcements[[#This Row],[Bottom Longitudinal (Vertical) Weld]]=""),"-",""))</f>
        <v/>
      </c>
      <c r="AY83" s="206" t="str">
        <f>IF(Reinforcements[[#This Row],[Reinforcement]]="","",IF(OR(Reinforcements[[#This Row],[Bottom End Connection Type]]&lt;&gt;"Welded",Reinforcements[[#This Row],[Bottom Longitudinal (Vertical) Weld]]="None"),"-",SQRT(2)/2*Reinforcements[[#This Row],[Bottom Longitudinal Weld Fillet Size (in)]]))</f>
        <v/>
      </c>
      <c r="AZ83" s="206"/>
      <c r="BA83" s="103" t="str">
        <f>IF(Reinforcements[[#This Row],[Top End Connection Same?]]="Yes",Reinforcements[[#This Row],[Bottom End Connection Type]],"")</f>
        <v/>
      </c>
      <c r="BB83" s="103" t="str">
        <f>IF(Reinforcements[[#This Row],[Reinforcement]]="","",IF(Reinforcements[[#This Row],[Top End Connection Same?]]="Yes",Reinforcements[[#This Row],[Rev. F Bottom Connection Capacity (kips)]],IF(Reinforcements[[#This Row],[Reinforcement]]="","",IF(Reinforcements[[#This Row],[Top End Connection Type]]&lt;&gt;"Capacity Input","-",""))))</f>
        <v/>
      </c>
      <c r="BC83" s="103" t="str">
        <f>IF(Reinforcements[[#This Row],[Reinforcement]]="","",IF(Reinforcements[[#This Row],[Top End Connection Same?]]="Yes",Reinforcements[[#This Row],[Rev. G Bottom Connection Capacity (kips)]],IF(Reinforcements[[#This Row],[Reinforcement]]="","",IF(Reinforcements[[#This Row],[Top End Connection Type]]&lt;&gt;"Capacity Input","-",""))))</f>
        <v/>
      </c>
      <c r="BD83" s="253" t="str">
        <f>IF(Reinforcements[[#This Row],[Reinforcement]]="","",IF(Reinforcements[[#This Row],[Top End Connection Same?]]="Yes",Reinforcements[[#This Row],[Rev. G Bottom Connection Capacity (kips)]],IF(Reinforcements[[#This Row],[Reinforcement]]="","",IF(Reinforcements[[#This Row],[Top End Connection Type]]&lt;&gt;"Capacity Input","-",""))))</f>
        <v/>
      </c>
      <c r="BE83" s="103" t="str">
        <f>IF(Reinforcements[[#This Row],[Reinforcement]]="","",IF(Reinforcements[[#This Row],[Top End Connection Same?]]="Yes",Reinforcements[[#This Row],[Bottom End Connection Bolt Type]],IF(Reinforcements[[#This Row],[Top End Connection Type]]&lt;&gt;"Bolted","-","")))</f>
        <v/>
      </c>
      <c r="BF83" s="206" t="str">
        <f>IF(Reinforcements[[#This Row],[Reinforcement]]="","",IF(Reinforcements[[#This Row],[Top End Connection Same?]]="Yes",Reinforcements[[#This Row],[Threads Included (N) or Excluded (X) (Bottom)]],IF(Reinforcements[[#This Row],[Top End Connection Type]]&lt;&gt;"Bolted","-","")))</f>
        <v/>
      </c>
      <c r="BG83" s="206" t="str">
        <f>IF(Reinforcements[[#This Row],[Reinforcement]]="","",IF(Reinforcements[[#This Row],[Top End Connection Same?]]="Yes",Reinforcements[[#This Row],['# of End Connection Bolts          (Bottom)]],IF(Reinforcements[[#This Row],[Top End Connection Type]]&lt;&gt;"Bolted","-","")))</f>
        <v/>
      </c>
      <c r="BH83" s="206" t="str">
        <f>IF(Reinforcements[[#This Row],[Reinforcement]]="","",IF(Reinforcements[[#This Row],[Top End Connection Same?]]="Yes",Reinforcements[[#This Row],[End Connection Bolt Spacing (in) (B)]],IF(Reinforcements[[#This Row],[Top End Connection Type]]&lt;&gt;"Bolted","-","")))</f>
        <v/>
      </c>
      <c r="BI83" s="206" t="str">
        <f>IF(Reinforcements[[#This Row],[Reinforcement]]="","",IF(Reinforcements[[#This Row],[Top End Connection Same?]]="Yes",Reinforcements[[#This Row],[End Connection Edge Distance (in) (B)]],IF(Reinforcements[[#This Row],[Top End Connection Type]]&lt;&gt;"Bolted","-","")))</f>
        <v/>
      </c>
      <c r="BJ83" s="206" t="e">
        <f>Reinforcements[[#This Row],[End Connection Edge Distance (in) (T)]]-(Reinforcements[[#This Row],[Bolt Hole Size (in)]]+1/16)/2</f>
        <v>#VALUE!</v>
      </c>
      <c r="BK83" s="206" t="e">
        <f>Reinforcements[[#This Row],[End Connection Bolt Spacing (in) (T)]]-(Reinforcements[[#This Row],[Bolt Hole Size (in)]]+1/16)</f>
        <v>#VALUE!</v>
      </c>
      <c r="BL83" s="206" t="str">
        <f>Reinforcements[[#This Row],[End Connection Edge Distance (in) (T)]]</f>
        <v/>
      </c>
      <c r="BM83" s="206" t="str">
        <f>Reinforcements[[#This Row],[End Connection Bolt Spacing (in) (T)]]</f>
        <v/>
      </c>
      <c r="BN83" s="206" t="str">
        <f>IF(Reinforcements[[#This Row],[Reinforcement]]="","",IF(Reinforcements[[#This Row],[Top End Connection Same?]]="Yes",Reinforcements[[#This Row],[Bottom Connected to Flange/Base Plate?]],IF(Reinforcements[[#This Row],[Top End Connection Type]]="Bolted","-","")))</f>
        <v/>
      </c>
      <c r="BO83" s="206" t="str">
        <f>IF(Reinforcements[[#This Row],[Reinforcement]]="","",IF(Reinforcements[[#This Row],[Top End Connection Same?]]="Yes",Reinforcements[[#This Row],[Bottom Weld Grade (ksi)]],IF(OR(Reinforcements[[#This Row],[Top End Connection Type]]&lt;&gt;"Welded",Reinforcements[[#This Row],[Top End Connection Type]]=""),"-","")))</f>
        <v/>
      </c>
      <c r="BP83" s="206" t="str">
        <f>IF($AZ83="Yes",AP83,IF(Reinforcements[[#This Row],[Reinforcement]]="","",IF(OR(Reinforcements[[#This Row],[Top End Connection Type]]&lt;&gt;"Welded",Reinforcements[[#This Row],[Top End Connection Type]]=""),"-","")))</f>
        <v/>
      </c>
      <c r="BQ83" s="206" t="str">
        <f>IF(Reinforcements[[#This Row],[Reinforcement]]="","",IF($AZ83="Yes",AQ83,IF(OR(Reinforcements[[#This Row],[Top End Connection Type]]&lt;&gt;"Welded",Reinforcements[[#This Row],[Top Transverse (Horizontal) Weld]]="none",Reinforcements[[#This Row],[Top Transverse (Horizontal) Weld]]=""),"-","")))</f>
        <v/>
      </c>
      <c r="BR83" s="206" t="str">
        <f>IF($AZ83="Yes",AR83,IF(Reinforcements[[#This Row],[Reinforcement]]="","",IF(OR(Reinforcements[[#This Row],[Top Transverse (Horizontal) Weld]]="none",Reinforcements[[#This Row],[Top End Connection Type]]&lt;&gt;"Welded",Reinforcements[[#This Row],[Top Transverse (Horizontal) Weld]]="",Reinforcements[[#This Row],[Top Transverse (Horizontal) Weld]]="Fillet"),"-","")))</f>
        <v/>
      </c>
      <c r="BS83" s="206" t="str">
        <f>IF($AZ83="Yes",AS83,IF(Reinforcements[[#This Row],[Reinforcement]]="","",IF(OR(Reinforcements[[#This Row],[Top Transverse (Horizontal) Weld]]="none",Reinforcements[[#This Row],[Top End Connection Type]]&lt;&gt;"Welded",Reinforcements[[#This Row],[Top Transverse (Horizontal) Weld]]="",Reinforcements[[#This Row],[Top Transverse (Horizontal) Weld]]="Fillet"),"-","")))</f>
        <v/>
      </c>
      <c r="BT83" s="206" t="str">
        <f>IF(Reinforcements[[#This Row],[Reinforcement]]="","",IF($AZ83="Yes",AT83,IF(OR(Reinforcements[[#This Row],[Top Transverse (Horizontal) Weld]]="none",Reinforcements[[#This Row],[Top End Connection Type]]&lt;&gt;"Welded",Reinforcements[[#This Row],[Top Transverse (Horizontal) Weld]]=""),"-","")))</f>
        <v/>
      </c>
      <c r="BU83" s="206" t="str">
        <f>IF($AZ83="Yes",AU83,IF(Reinforcements[[#This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83" s="206" t="str">
        <f>IF($AZ83="Yes",AV83,IF(Reinforcements[[#This Row],[Reinforcement]]="","",IF(OR(Reinforcements[[#This Row],[Top End Connection Type]]&lt;&gt;"Welded",Reinforcements[[#This Row],[Top End Connection Type]]=""),"-","")))</f>
        <v/>
      </c>
      <c r="BW83" s="206" t="str">
        <f>IF($AZ83="Yes",AW83,IF(Reinforcements[[#This Row],[Reinforcement]]="","",IF(OR(Reinforcements[[#This Row],[Top End Connection Type]]&lt;&gt;"Welded",Reinforcements[[#This Row],[Top End Connection Type]]="",Reinforcements[[#This Row],[Top Longitudinal (Vertical) Weld]]="",Reinforcements[[#This Row],[Top Longitudinal (Vertical) Weld]]="None"),"-","")))</f>
        <v/>
      </c>
      <c r="BX83" s="206" t="str">
        <f>IF($AZ83="Yes",AX83,IF(Reinforcements[[#This Row],[Reinforcement]]="","",IF(OR(Reinforcements[[#This Row],[Top End Connection Type]]&lt;&gt;"Welded",Reinforcements[[#This Row],[Top End Connection Type]]="",Reinforcements[[#This Row],[Top Longitudinal (Vertical) Weld]]="",Reinforcements[[#This Row],[Top Longitudinal (Vertical) Weld]]="None"),"-","")))</f>
        <v/>
      </c>
      <c r="BY83" s="206" t="str">
        <f>IF($AZ83="Yes",AY83,IF(Reinforcements[[#This Row],[Reinforcement]]="","",IF(OR(Reinforcements[[#This Row],[Top End Connection Type]]&lt;&gt;"Welded",Reinforcements[[#This Row],[Top Longitudinal (Vertical) Weld]]="none"),"-",SQRT(2)/2*Reinforcements[[#This Row],[Top Longitudinal Weld Fillet Size (in)]])))</f>
        <v/>
      </c>
      <c r="BZ83"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83"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83" s="203" t="str">
        <f>IF(Reinforcements[[#This Row],[Reinforcement]]="","",IF(Reinforcements[[#This Row],[Top End Connection Type]]&lt;&gt;"Bolted","n/a",(Reinforcements[[#This Row],['# of End Connection Bolts          (Top)]]-1)*Reinforcements[[#This Row],[End Connection Bolt Spacing (in) (T)]]+Reinforcements[[#This Row],[End Connection Edge Distance (in) (T)]]))</f>
        <v/>
      </c>
      <c r="CC83"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83"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83" s="201" t="str">
        <f>IFERROR(IF(Reinforcements[[#This Row],[Type]]="","",Reinforcements[[#This Row],[Effective B (in)]]*Reinforcements[[#This Row],[Effective H (in)]]^3/12),"")</f>
        <v/>
      </c>
      <c r="CF83" s="201" t="str">
        <f>IFERROR(IF(Reinforcements[[#This Row],[Type]]="","",Reinforcements[[#This Row],[Effective B (in)]]^3*Reinforcements[[#This Row],[Effective H (in)]]/12),"")</f>
        <v/>
      </c>
      <c r="CG83" s="224" t="e">
        <f>SQRT(2*PI()^2*29000/VLOOKUP(Reinforcements[[#This Row],[Material]],Materials[],2,FALSE))</f>
        <v>#N/A</v>
      </c>
      <c r="CH83"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83"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83" s="215" t="e">
        <f>Reinforcements[[#This Row],[Effective Length Factor Kx]]*Reinforcements[[#This Row],[Lu (in)]]/(Reinforcements[[#This Row],[rx]]*PI())*SQRT(VLOOKUP(Reinforcements[[#This Row],[Material]],Materials[],2,FALSE)/29000)</f>
        <v>#VALUE!</v>
      </c>
      <c r="CK83" s="215" t="e">
        <f>Reinforcements[[#This Row],[Effective Length Factor Ky]]*Reinforcements[[#This Row],[Lu (in)]]/(Reinforcements[[#This Row],[ry]]*PI())*SQRT(VLOOKUP(Reinforcements[[#This Row],[Material]],Materials[],2,FALSE)/29000)</f>
        <v>#VALUE!</v>
      </c>
      <c r="CL83" s="215" t="e">
        <f>IF(Reinforcements[[#This Row],[λcx]]&lt;=1.5,0.658^(Reinforcements[[#This Row],[λcx]]^2)*Reinforcements[[#This Row],[F''y]],0.877/(Reinforcements[[#This Row],[λcx]]^2)*Reinforcements[[#This Row],[F''y]])</f>
        <v>#VALUE!</v>
      </c>
      <c r="CM83" s="215" t="e">
        <f>IF(Reinforcements[[#This Row],[λcy]]&lt;=1.5,0.658^(Reinforcements[[#This Row],[λcy]]^2)*Reinforcements[[#This Row],[F''y]],0.877/(Reinforcements[[#This Row],[λcy]]^2)*Reinforcements[[#This Row],[F''y]])</f>
        <v>#VALUE!</v>
      </c>
      <c r="CN83" s="201" t="e">
        <f>VLOOKUP(Reinforcements[[#This Row],[Material]],Materials[],2,FALSE)</f>
        <v>#N/A</v>
      </c>
      <c r="CO83" s="224" t="str">
        <f>IF(Reinforcements[[#This Row],[Reinforcement]]="","",Reinforcements[[#This Row],[Fax]]*Reinforcements[[#This Row],[Gross Area (in2)]])</f>
        <v/>
      </c>
      <c r="CP83" s="224" t="str">
        <f>IF(Reinforcements[[#This Row],[Reinforcement]]="","",Reinforcements[[#This Row],[Fay]]*Reinforcements[[#This Row],[Gross Area (in2)]])</f>
        <v/>
      </c>
      <c r="CQ83" s="224" t="str">
        <f>IF(Reinforcements[[#This Row],[Reinforcement]]="","",0.6*VLOOKUP(Reinforcements[[#This Row],[Material]],Materials[],2,FALSE)*Reinforcements[[#This Row],[Gross Area (in2)]])</f>
        <v/>
      </c>
      <c r="CR83" s="224" t="str">
        <f>IF(Reinforcements[[#This Row],[Reinforcement]]="","",0.5*VLOOKUP(Reinforcements[[#This Row],[Material]],Materials[],3,FALSE)*Reinforcements[[#This Row],[Net Area (in2)]]*Reinforcements[[#This Row],[Shear Lag (U)]])</f>
        <v/>
      </c>
      <c r="CS83" s="224" t="str">
        <f>IF(Reinforcements[[#This Row],[Reinforcement]]="","",0.4*VLOOKUP(Reinforcements[[#This Row],[Material]],Materials[],2,FALSE)*Reinforcements[[#This Row],[Gross Area (in2)]])</f>
        <v/>
      </c>
      <c r="CT83"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83"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83"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83"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83"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83"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83"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83"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83"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83"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83"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83"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83" s="206" t="str">
        <f>IF($AZ83="Yes",DD83,IF(Reinforcements[[#This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83" s="206" t="str">
        <f>IF($AZ83="Yes",DE83,IF(Reinforcements[[#This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83" s="224" t="str">
        <f>IF(Reinforcements[[#This Row],[Reinforcement]]="","",φ_c*Reinforcements[[#This Row],[Fcr,x]]*Reinforcements[[#This Row],[Gross Area (in2)]])</f>
        <v/>
      </c>
      <c r="DI83" s="224" t="str">
        <f>IF(Reinforcements[[#This Row],[Reinforcement]]="","",φ_c*Reinforcements[[#This Row],[Fcr,y]]*Reinforcements[[#This Row],[Gross Area (in2)]])</f>
        <v/>
      </c>
      <c r="DJ83" s="224" t="str">
        <f>IF(Reinforcements[[#This Row],[Reinforcement]]="","",φ_t_y*VLOOKUP(Reinforcements[[#This Row],[Material]],Materials[],2,FALSE)*Reinforcements[[#This Row],[Gross Area (in2)]])</f>
        <v/>
      </c>
      <c r="DK83" s="224" t="str">
        <f>IF(Reinforcements[[#This Row],[Reinforcement]]="","",φ_t_r*VLOOKUP(Reinforcements[[#This Row],[Material]],Materials[],3,FALSE)*Reinforcements[[#This Row],[Net Area (in2)]]*Reinforcements[[#This Row],[Shear Lag (U)]])</f>
        <v/>
      </c>
      <c r="DL83" s="224" t="str">
        <f>IF(Reinforcements[[#This Row],[Reinforcement]]="","",φ_v*0.5*Reinforcements[[#This Row],[F''y]]*Reinforcements[[#This Row],[Gross Area (in2)]])</f>
        <v/>
      </c>
      <c r="DM83"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83"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83"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83"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83"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83"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83"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83"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83"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83"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83"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83"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83" s="206" t="str">
        <f>IF($AZ83="Yes",DW83,IF(Reinforcements[[#This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83" s="206" t="str">
        <f>IF($AZ83="Yes",DX83,IF(Reinforcements[[#This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83" s="507" t="str">
        <f>IF(OR(Reinforcements[[#This Row],[Type]]="plate",Reinforcements[[#This Row],[Type]]="solid round"),"N/A",Reinforcements[[#This Row],[B (in)]])</f>
        <v/>
      </c>
      <c r="EB83" s="508" t="str">
        <f>IF(OR(Reinforcements[[#This Row],[Type]]="plate",Reinforcements[[#This Row],[Type]]="solid round"),"N/A",Reinforcements[[#This Row],[H (in)]])</f>
        <v/>
      </c>
      <c r="EC83" s="508" t="e">
        <f>IF(OR(Reinforcements[[#This Row],[Type]]="plate",Reinforcements[[#This Row],[Type]]="solid round"),"N/A",Reinforcements[[#This Row],[B (in)]]-Reinforcements[[#This Row],['[Channel'] Flange Thickness (in)]])</f>
        <v>#VALUE!</v>
      </c>
      <c r="ED83" s="508" t="str">
        <f>IF(OR(Reinforcements[[#This Row],[Type]]="plate",Reinforcements[[#This Row],[Type]]="solid round"),"N/A",Reinforcements[[#This Row],['[Channel']Web Thickness (in)]])</f>
        <v/>
      </c>
      <c r="EE83" s="508" t="str">
        <f>IF(OR(Reinforcements[[#This Row],[Type]]="plate",Reinforcements[[#This Row],[Type]]="solid round"),"N/A",Reinforcements[[#This Row],['[Channel'] Flange Thickness (in)]])</f>
        <v/>
      </c>
      <c r="EF83" s="508" t="str">
        <f>IF(Reinforcements[[#This Row],[Type]]="channel",Reinforcements[[#This Row],[Channel Flange Width, b]]/Reinforcements[[#This Row],[Channel flange thickness, tf]],"N/A")</f>
        <v>N/A</v>
      </c>
      <c r="EG83" s="508" t="str">
        <f>IF(Reinforcements[[#This Row],[Type]]="channel",Reinforcements[[#This Row],[Channel inside depth, T]]/Reinforcements[[#This Row],[Channel web thickness, tw]],"N/A")</f>
        <v>N/A</v>
      </c>
      <c r="EH83" s="252">
        <v>29000</v>
      </c>
      <c r="EI83" s="252" t="str">
        <f>IF(Reinforcements[[#This Row],[Type]]="channel",0.56*SQRT(Reinforcements[[#This Row],[E, (ksi)]]/Reinforcements[[#This Row],[Fy, (ksi)]]),"N/A")</f>
        <v>N/A</v>
      </c>
      <c r="EJ83" s="252" t="str">
        <f>IF(Reinforcements[[#This Row],[Type]]="channel",1.49*SQRT(Reinforcements[[#This Row],[E, (ksi)]]/Reinforcements[[#This Row],[Fy, (ksi)]]),"N/A")</f>
        <v>N/A</v>
      </c>
      <c r="EK83" s="252" t="e">
        <f>VLOOKUP(Reinforcements[[#This Row],[Material]],Materials!$B$2:$C$30,2,FALSE)</f>
        <v>#N/A</v>
      </c>
      <c r="EL83" s="252" t="e">
        <f>Reinforcements[[#This Row],[Lu (in)]]*Reinforcements[[#This Row],[Effective Length Factor Kx]]</f>
        <v>#VALUE!</v>
      </c>
      <c r="EM83" s="252" t="e">
        <f>Reinforcements[[#This Row],[Lu (in)]]*Reinforcements[[#This Row],[Effective Length Factor Ky]]</f>
        <v>#VALUE!</v>
      </c>
      <c r="EN83" s="252" t="str">
        <f>Reinforcements[[#This Row],[rx]]</f>
        <v/>
      </c>
      <c r="EO83" s="252" t="str">
        <f>Reinforcements[[#This Row],[ry]]</f>
        <v/>
      </c>
      <c r="EP83" s="252" t="e">
        <f>Reinforcements[[#This Row],[Lcx (in)]]/Reinforcements[[#This Row],[rx (in)]]</f>
        <v>#VALUE!</v>
      </c>
      <c r="EQ83" s="252" t="e">
        <f>Reinforcements[[#This Row],[Lcy (in)]]/Reinforcements[[#This Row],[ry (in)]]</f>
        <v>#VALUE!</v>
      </c>
      <c r="ER83" s="252" t="e">
        <f>((PI()^2)*Reinforcements[[#This Row],[E, (ksi)]])/(Reinforcements[[#This Row],[Lcx/rx]]^2)</f>
        <v>#VALUE!</v>
      </c>
      <c r="ES83" s="252" t="e">
        <f>((PI()^2)*Reinforcements[[#This Row],[E, (ksi)]])/(Reinforcements[[#This Row],[Lcy/ry]]^2)</f>
        <v>#VALUE!</v>
      </c>
      <c r="ET83" s="252" t="e">
        <f>4.71*(SQRT(Reinforcements[[#This Row],[E, (ksi)]]/Reinforcements[[#This Row],[Fy, (ksi)]]))</f>
        <v>#N/A</v>
      </c>
      <c r="EU83" s="252" t="e">
        <f>IF(Reinforcements[[#This Row],[Lcx/rx]]&lt;=Reinforcements[[#This Row],[Fcr Limit]],(0.658^(Reinforcements[[#This Row],[Fy, (ksi)]]/Reinforcements[[#This Row],[Fex, FB (ksi)]]))*Reinforcements[[#This Row],[Fy, (ksi)]],0.877*Reinforcements[[#This Row],[Fex, FB (ksi)]])</f>
        <v>#VALUE!</v>
      </c>
      <c r="EV83" s="252" t="e">
        <f>IF(Reinforcements[[#This Row],[Lcy/ry]]&lt;=Reinforcements[[#This Row],[Fcr Limit]],(0.658^(Reinforcements[[#This Row],[Fy, (ksi)]]/Reinforcements[[#This Row],[Fey, FB (ksi)]]))*Reinforcements[[#This Row],[Fy, (ksi)]],0.877*Reinforcements[[#This Row],[Fey, FB (ksi)]])</f>
        <v>#VALUE!</v>
      </c>
      <c r="EW83" s="252" t="e">
        <f>Reinforcements[[#This Row],[Fcrx (ksi)]]*Reinforcements[[#This Row],[Gross Area (in2)]]</f>
        <v>#VALUE!</v>
      </c>
      <c r="EX83" s="252" t="e">
        <f>Reinforcements[[#This Row],[Fcry (ksi)]]*Reinforcements[[#This Row],[Gross Area (in2)]]</f>
        <v>#VALUE!</v>
      </c>
      <c r="EY83" s="252" t="str">
        <f>IF(Reinforcements[[#This Row],[Type]]="channel",0,"N/A")</f>
        <v>N/A</v>
      </c>
      <c r="EZ83" s="252" t="str">
        <f>IF(Reinforcements[[#This Row],[Type]]="channel",Reinforcements[[#This Row],[Channel Flange Width, b]]-(0.5*Reinforcements[[#This Row],[Channel web thickness, tw]]),"N/A")</f>
        <v>N/A</v>
      </c>
      <c r="FA83" s="252" t="str">
        <f>IF(Reinforcements[[#This Row],[Type]]="channel",Reinforcements[[#This Row],[Channel Height, h]]-Reinforcements[[#This Row],[Channel flange thickness, tf]],"N/A")</f>
        <v>N/A</v>
      </c>
      <c r="FB83" s="252" t="str">
        <f>IF(Reinforcements[[#This Row],[Type]]="channel",Reinforcements[[#This Row],[Channel web thickness, tw]],"N/A")</f>
        <v>N/A</v>
      </c>
      <c r="FC83" s="252" t="str">
        <f>IF(Reinforcements[[#This Row],[Type]]="channel",((3*Reinforcements[[#This Row],[b]]^2)/(Reinforcements[[#This Row],[h]]+(6*Reinforcements[[#This Row],[b]])))-Reinforcements[[#This Row],[t]]/2,"N/A")</f>
        <v>N/A</v>
      </c>
      <c r="FD83" s="252" t="str">
        <f>Reinforcements[[#This Row],[Pole Face to Centroid (in)]]</f>
        <v/>
      </c>
      <c r="FE83" s="508" t="str">
        <f>IF(Reinforcements[[#This Row],[Type]]="channel",Reinforcements[[#This Row],[x(bar)]]+Reinforcements[[#This Row],['[Channel'] e0 (in)]],"N/A")</f>
        <v>N/A</v>
      </c>
      <c r="FF83" s="508" t="str">
        <f>IF(Reinforcements[[#This Row],[Type]]="channel",Reinforcements[[#This Row],[Ix]],"N/A")</f>
        <v>N/A</v>
      </c>
      <c r="FG83" s="508" t="str">
        <f>IF(Reinforcements[[#This Row],[Type]]="channel",Reinforcements[[#This Row],[Iy]],"N/A")</f>
        <v>N/A</v>
      </c>
      <c r="FH83" s="508" t="str">
        <f>IF(Reinforcements[[#This Row],[Type]]="channel",Reinforcements[[#This Row],[Gross Area (in2)]],"N/A")</f>
        <v>N/A</v>
      </c>
      <c r="FI83" s="508" t="str">
        <f>IF(Reinforcements[[#This Row],[Type]]="channel",(Reinforcements[[#This Row],[xo]]^2)+((Reinforcements[[#This Row],[Ix (FTB)]]+Reinforcements[[#This Row],[Iy (FTB)]])/Reinforcements[[#This Row],[Ag]]),"N/A")</f>
        <v>N/A</v>
      </c>
      <c r="FJ83" s="508" t="str">
        <f>IF(Reinforcements[[#This Row],[Type]]="channel",Reinforcements[[#This Row],[Lu (in)]],"N/A")</f>
        <v>N/A</v>
      </c>
      <c r="FK83" s="508" t="str">
        <f>IF(Reinforcements[[#This Row],[Type]]="channel",Reinforcements[[#This Row],[Effective Length Factor Kx]],"N/A")</f>
        <v>N/A</v>
      </c>
      <c r="FL83" s="508" t="str">
        <f>IF(Reinforcements[[#This Row],[Type]]="channel",Reinforcements[[#This Row],[Kz]]*Reinforcements[[#This Row],[Lz]],"N/A")</f>
        <v>N/A</v>
      </c>
      <c r="FM83" s="508" t="str">
        <f>IF(Reinforcements[[#This Row],[Type]]="channel",(((Reinforcements[[#This Row],[t]]^3)/3)*(Reinforcements[[#This Row],[h]]+(2*Reinforcements[[#This Row],[b]]))),"N/A")</f>
        <v>N/A</v>
      </c>
      <c r="FN83" s="508" t="str">
        <f>IF(Reinforcements[[#This Row],[Type]]="channel",(1-(((Reinforcements[[#This Row],[xo]]^2)+(Reinforcements[[#This Row],[yo]]^2))/Reinforcements[[#This Row],[ro^2(bar)]])),"N/A")</f>
        <v>N/A</v>
      </c>
      <c r="FO83" s="252">
        <v>11200</v>
      </c>
      <c r="FP83" s="508" t="str">
        <f>IF(Reinforcements[[#This Row],[Type]]="channel",(((Reinforcements[[#This Row],[h]]^2)*(Reinforcements[[#This Row],[b]]^3)*Reinforcements[[#This Row],[t]])/12)*(((2*Reinforcements[[#This Row],[h]])+(3*Reinforcements[[#This Row],[b]]))/(Reinforcements[[#This Row],[h]]+(6*Reinforcements[[#This Row],[b]]))),"N/A")</f>
        <v>N/A</v>
      </c>
      <c r="FQ83" s="508" t="str">
        <f>IF(Reinforcements[[#This Row],[Type]]="Channel",((((PI()^2)*Reinforcements[[#This Row],[E, (ksi)]]*Reinforcements[[#This Row],['[Channel'] CW (in6)]])/(Reinforcements[[#This Row],[Lcz]]^2))+(Reinforcements[[#This Row],[G]]*Reinforcements[[#This Row],['[Channel'] J (in4)]]))*(1/(Reinforcements[[#This Row],[Ag]]*Reinforcements[[#This Row],[ro^2(bar)]])),"N/A")</f>
        <v>N/A</v>
      </c>
      <c r="FR83" s="508" t="str">
        <f>IF(Reinforcements[[#This Row],[Type]]="channel",((PI()^2)*Reinforcements[[#This Row],[E, (ksi)]])/(Reinforcements[[#This Row],[Lcy/ry]]^2),"N/A")</f>
        <v>N/A</v>
      </c>
      <c r="FS83" s="508" t="str">
        <f>IF(Reinforcements[[#This Row],[Type]]="channel",((Reinforcements[[#This Row],[Fey]]+Reinforcements[[#This Row],[Fez]])/(2*Reinforcements[[#This Row],[H2]]))*(1-SQRT(1-((4*Reinforcements[[#This Row],[Fey]]*Reinforcements[[#This Row],[Fez]]*Reinforcements[[#This Row],[H2]])/(Reinforcements[[#This Row],[Fey]]+Reinforcements[[#This Row],[Fez]])^2))),"N/A")</f>
        <v>N/A</v>
      </c>
      <c r="FT83" s="508" t="str">
        <f>IF(Reinforcements[[#This Row],[Type]]="channel",IF(Reinforcements[[#This Row],[Lcx/rx]]&gt;(4.71*SQRT(Reinforcements[[#This Row],[E, (ksi)]]/Reinforcements[[#This Row],[Fy, (ksi)]])),0.877*Reinforcements[[#This Row],[Fe (FTB)]],0.658^(Reinforcements[[#This Row],[Fy, (ksi)]]/Reinforcements[[#This Row],[Fe (FTB)]])*Reinforcements[[#This Row],[Fy, (ksi)]]),"N/A")</f>
        <v>N/A</v>
      </c>
      <c r="FU83" s="508" t="str">
        <f>IF(Reinforcements[[#This Row],[Type]]="channel",MIN(Reinforcements[[#This Row],[Fcr(FTB)]],Reinforcements[[#This Row],[Fcry (ksi)]]),"N/A")</f>
        <v>N/A</v>
      </c>
      <c r="FV83" s="252">
        <v>0.22</v>
      </c>
      <c r="FW83" s="252">
        <v>1.49</v>
      </c>
      <c r="FX83" s="508" t="str">
        <f>IF(Reinforcements[[#This Row],[Type]]="channel",((Reinforcements[[#This Row],[c2]]*(Reinforcements[[#This Row],[λrf]]/Reinforcements[[#This Row],[λf]]))^2)*Reinforcements[[#This Row],[Fy, (ksi)]],"N/A")</f>
        <v>N/A</v>
      </c>
      <c r="FY83" s="508" t="str">
        <f>IF(Reinforcements[[#This Row],[Type]]="channel",((Reinforcements[[#This Row],[c2]]*(Reinforcements[[#This Row],[λrw]]/Reinforcements[[#This Row],[λw]]))^2)*Reinforcements[[#This Row],[Fy, (ksi)]],"N/A")</f>
        <v>N/A</v>
      </c>
      <c r="FZ83"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3"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3"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3" s="508" t="str">
        <f>IF(Reinforcements[[#This Row],[Type]]="channel",Reinforcements[[#This Row],[Fcr]]*Reinforcements[[#This Row],[Ae]],"N/A")</f>
        <v>N/A</v>
      </c>
      <c r="GD83" s="462" t="str">
        <f>IF(Reinforcements[[#This Row],[Reinforcement]]="","",φ_c*Reinforcements[[#This Row],[Pnx, FB (kip)]])</f>
        <v/>
      </c>
      <c r="GE83" s="462" t="str">
        <f>IF(Reinforcements[[#This Row],[Reinforcement]]="","",IF(Reinforcements[[#This Row],[Type]]="channel",φ_c*Reinforcements[[#This Row],[Pn]],φ_c*Reinforcements[[#This Row],[Pny, FB (kip)]]))</f>
        <v/>
      </c>
      <c r="GF83" s="462" t="str">
        <f>Reinforcements[[#This Row],[Rev. G Tension Yield Capacity (kips)]]</f>
        <v/>
      </c>
      <c r="GG83" s="462" t="str">
        <f>Reinforcements[[#This Row],[Rev. G Tension Rupture Capacity (kips)]]</f>
        <v/>
      </c>
      <c r="GH83" s="462" t="str">
        <f>Reinforcements[[#This Row],[Rev. G Shear Capacity (kips)]]</f>
        <v/>
      </c>
      <c r="GI83" s="462" t="str">
        <f>IFERROR((Reinforcements[[#This Row],['# of End Connection Bolts          (Bottom)]]-1)*Reinforcements[[#This Row],[End Connection Bolt Spacing (in) (B)]],"-")</f>
        <v>-</v>
      </c>
      <c r="GJ83" s="462" t="str">
        <f>IFERROR(IF(VLOOKUP(Reinforcements[[#This Row],[Bottom End Connection Bolt Type]],Bolts[],COLUMN(Bolts[[#Headers],[Rev. H Apply Connection Length Reduction Factor (Rb)?]])-1,FALSE)="Yes",(IF(Reinforcements[[#This Row],[Lb(bottom)]]&lt;=16,1,IF(Reinforcements[[#This Row],[Lb(bottom)]]&gt;38,0.75,0.9))),1),"-")</f>
        <v>-</v>
      </c>
      <c r="GK83"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83" s="462" t="str">
        <f>IFERROR(IF(Reinforcements[[#This Row],[Top End Connection Same?]]="Yes",Reinforcements[[#This Row],[Lb(bottom)]],(Reinforcements[[#This Row],['# of End Connection Bolts          (Top)]]-1)*Reinforcements[[#This Row],[End Connection Bolt Spacing (in) (T)]]),"-")</f>
        <v>-</v>
      </c>
      <c r="GM83" s="462" t="str">
        <f>IFERROR(IF(VLOOKUP(Reinforcements[[#This Row],[Top End Connection Bolt Type]],Bolts[],COLUMN(Bolts[[#Headers],[Rev. H Apply Connection Length Reduction Factor (Rb)?]])-1,FALSE)="Yes",(IF(Reinforcements[[#This Row],[Lb(top)]]&lt;=16,1,IF(Reinforcements[[#This Row],[Lb(top)]]&gt;38,0.75,0.9))),1),"-")</f>
        <v>-</v>
      </c>
      <c r="GN83"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83" s="462" t="str">
        <f>Reinforcements[[#This Row],[Rev. G Bolt-Shaft Bearing Capacity (Bottom)                No Deformation          (*t*Fu kips)]]</f>
        <v>-</v>
      </c>
      <c r="GP83" s="462" t="str">
        <f>Reinforcements[[#This Row],[Rev. G Bolt-Shaft Bearing Capacity (Bottom)                   Deformation          (*t*Fu kips)]]</f>
        <v>-</v>
      </c>
      <c r="GQ83" s="462" t="str">
        <f>Reinforcements[[#This Row],[Rev. G Bolt-Shaft Bearing Capacity (Top)                    No Deformation          (*t*Fu kips)]]</f>
        <v>-</v>
      </c>
      <c r="GR83" s="462" t="str">
        <f>Reinforcements[[#This Row],[Rev. G Bolt-Shaft Bearing Capacity (Top)                        Deformation          (*t*Fu kips)]]</f>
        <v>-</v>
      </c>
      <c r="GS83" s="462" t="str">
        <f>Reinforcements[[#This Row],[Rev. G Bolt-Reinf. Bearing Capacity (Bottom)            No Deformation (kips)]]</f>
        <v>-</v>
      </c>
      <c r="GT83" s="462" t="str">
        <f>Reinforcements[[#This Row],[Rev. G Bolt-Reinf. Bearing Capacity (Bottom)               Deformation (kips)]]</f>
        <v>-</v>
      </c>
      <c r="GU83" s="462" t="str">
        <f>Reinforcements[[#This Row],[Rev. G Bolt-Reinf. Bearing Capacity (Top)                  No Deformation (kips)]]</f>
        <v>-</v>
      </c>
      <c r="GV83" s="462" t="str">
        <f>Reinforcements[[#This Row],[Rev. G Bolt-Reinf. Bearing Capacity (Top)               Deformation (kips)]]</f>
        <v>-</v>
      </c>
      <c r="GW83" s="462" t="str">
        <f>Reinforcements[[#This Row],[Rev. G Bottom Transverse Weld Strength]]</f>
        <v/>
      </c>
      <c r="GX83" s="462" t="str">
        <f>Reinforcements[[#This Row],[Rev. G Bottom Longitudinal Weld Strength]]</f>
        <v/>
      </c>
      <c r="GY83" s="462" t="str">
        <f>Reinforcements[[#This Row],[Rev. G Top Transverse Weld Strength]]</f>
        <v/>
      </c>
      <c r="GZ83" s="462" t="str">
        <f>Reinforcements[[#This Row],[Rev. G Top Longitudinal Weld Strength]]</f>
        <v/>
      </c>
      <c r="HA83" s="552">
        <v>81</v>
      </c>
      <c r="HB83"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84" spans="2:210" x14ac:dyDescent="0.2">
      <c r="B84" s="69"/>
      <c r="C84" s="69"/>
      <c r="D84" s="69"/>
      <c r="E84" s="69"/>
      <c r="F84" s="69"/>
      <c r="G84" s="69"/>
      <c r="H84" s="69"/>
      <c r="I84" s="69"/>
      <c r="J84" s="69"/>
      <c r="K84" s="69"/>
      <c r="L84" s="69"/>
      <c r="M84" s="69"/>
      <c r="N84" s="70"/>
      <c r="O84" s="70"/>
      <c r="P84" s="70"/>
      <c r="Q84" s="70"/>
      <c r="R84" s="69"/>
      <c r="S84" s="103"/>
      <c r="T84" s="103"/>
      <c r="U84" s="69"/>
      <c r="V84" s="69"/>
      <c r="W84" s="69"/>
      <c r="X84" s="69"/>
      <c r="Y84" s="69"/>
      <c r="Z84" s="69"/>
      <c r="AA84" s="103"/>
      <c r="AB84" s="69"/>
      <c r="AC84" s="69"/>
      <c r="AD84" s="462"/>
      <c r="AE84" s="69"/>
      <c r="AF84" s="69"/>
      <c r="AG84" s="69"/>
      <c r="AH84" s="69"/>
      <c r="AI84" s="69"/>
      <c r="AJ84" s="69"/>
      <c r="AK84" s="69"/>
      <c r="AL84" s="69"/>
      <c r="AM84" s="69"/>
      <c r="AN84" s="69"/>
      <c r="AO84" s="69"/>
      <c r="AP84" s="69"/>
      <c r="AQ84" s="69"/>
      <c r="AR84" s="69"/>
      <c r="AS84" s="69"/>
      <c r="AT84" s="69"/>
      <c r="AU84" s="69"/>
      <c r="AV84" s="69"/>
      <c r="AW84" s="69"/>
      <c r="AX84" s="69"/>
      <c r="AY84" s="103"/>
      <c r="AZ84" s="103"/>
      <c r="BA84" s="69"/>
      <c r="BB84" s="69"/>
      <c r="BC84" s="69"/>
      <c r="BD84" s="462"/>
      <c r="BE84" s="69"/>
      <c r="BF84" s="69"/>
      <c r="BG84" s="69"/>
      <c r="BH84" s="69"/>
      <c r="BI84" s="69"/>
      <c r="BJ84" s="69"/>
      <c r="BK84" s="69"/>
      <c r="BL84" s="69"/>
      <c r="BM84" s="69"/>
      <c r="BN84" s="69"/>
      <c r="BO84" s="69"/>
      <c r="BP84" s="69"/>
      <c r="BQ84" s="69"/>
      <c r="BR84" s="69"/>
      <c r="BS84" s="69"/>
      <c r="BT84" s="69"/>
      <c r="BU84" s="69"/>
      <c r="BV84" s="69"/>
      <c r="BW84" s="69"/>
      <c r="BX84" s="69"/>
      <c r="BY84" s="69"/>
      <c r="BZ84" s="69"/>
      <c r="CA84" s="69"/>
      <c r="CB84" s="69"/>
      <c r="CC84" s="69"/>
      <c r="CD84" s="69"/>
      <c r="CE84" s="69"/>
      <c r="CF84" s="69"/>
      <c r="CG84" s="69"/>
      <c r="CH84" s="69"/>
      <c r="CI84" s="69"/>
      <c r="CJ84" s="69"/>
      <c r="CK84" s="69"/>
      <c r="CL84" s="103"/>
      <c r="CM84" s="69"/>
      <c r="CN84" s="69"/>
      <c r="CO84" s="69"/>
      <c r="CP84" s="69"/>
      <c r="CQ84" s="69"/>
      <c r="CR84" s="69"/>
      <c r="CS84" s="136"/>
      <c r="CT84" s="69"/>
      <c r="CU84" s="69"/>
      <c r="CV84" s="69"/>
      <c r="CW84" s="69"/>
      <c r="CX84" s="69"/>
      <c r="CY84" s="69"/>
      <c r="CZ84" s="69"/>
      <c r="DA84" s="69"/>
      <c r="DB84" s="69"/>
      <c r="DC84" s="69"/>
      <c r="DD84" s="69"/>
      <c r="DE84" s="69"/>
      <c r="DF84" s="69"/>
      <c r="DG84" s="69"/>
      <c r="DH84" s="69"/>
      <c r="DI84" s="69"/>
      <c r="DJ84" s="69"/>
      <c r="DK84" s="69"/>
      <c r="DL84" s="69"/>
      <c r="DM84" s="69"/>
      <c r="DN84" s="69"/>
      <c r="DO84" s="69"/>
      <c r="DP84" s="69"/>
      <c r="DQ84" s="69"/>
      <c r="DR84" s="69"/>
      <c r="DS84" s="69"/>
      <c r="DT84" s="69"/>
    </row>
    <row r="85" spans="2:210" x14ac:dyDescent="0.2">
      <c r="B85" s="69"/>
      <c r="C85" s="69"/>
      <c r="D85" s="69"/>
      <c r="E85" s="69"/>
      <c r="F85" s="69"/>
      <c r="G85" s="69"/>
      <c r="H85" s="69"/>
      <c r="I85" s="69"/>
      <c r="J85" s="69"/>
      <c r="K85" s="69"/>
      <c r="L85" s="69"/>
      <c r="M85" s="69"/>
      <c r="N85" s="70"/>
      <c r="O85" s="70"/>
      <c r="P85" s="70"/>
      <c r="Q85" s="70"/>
      <c r="R85" s="69"/>
      <c r="S85" s="103"/>
      <c r="T85" s="103"/>
      <c r="U85" s="69"/>
      <c r="V85" s="69"/>
      <c r="W85" s="69"/>
      <c r="X85" s="69"/>
      <c r="Y85" s="69"/>
      <c r="Z85" s="69"/>
      <c r="AA85" s="103"/>
      <c r="AB85" s="69"/>
      <c r="AC85" s="69"/>
      <c r="AD85" s="462"/>
      <c r="AE85" s="69"/>
      <c r="AF85" s="69"/>
      <c r="AG85" s="69"/>
      <c r="AH85" s="69"/>
      <c r="AI85" s="69"/>
      <c r="AJ85" s="69"/>
      <c r="AK85" s="69"/>
      <c r="AL85" s="69"/>
      <c r="AM85" s="69"/>
      <c r="AN85" s="69"/>
      <c r="AO85" s="69"/>
      <c r="AP85" s="69"/>
      <c r="AQ85" s="69"/>
      <c r="AR85" s="69"/>
      <c r="AS85" s="69"/>
      <c r="AT85" s="69"/>
      <c r="AU85" s="69"/>
      <c r="AV85" s="69"/>
      <c r="AW85" s="69"/>
      <c r="AX85" s="69"/>
      <c r="AY85" s="103"/>
      <c r="AZ85" s="103"/>
      <c r="BA85" s="69"/>
      <c r="BB85" s="69"/>
      <c r="BC85" s="69"/>
      <c r="BD85" s="462"/>
      <c r="BE85" s="69"/>
      <c r="BF85" s="69"/>
      <c r="BG85" s="69"/>
      <c r="BH85" s="69"/>
      <c r="BI85" s="69"/>
      <c r="BJ85" s="69"/>
      <c r="BK85" s="69"/>
      <c r="BL85" s="69"/>
      <c r="BM85" s="69"/>
      <c r="BN85" s="69"/>
      <c r="BO85" s="69"/>
      <c r="BP85" s="69"/>
      <c r="BQ85" s="69"/>
      <c r="BR85" s="69"/>
      <c r="BS85" s="69"/>
      <c r="BT85" s="69"/>
      <c r="BU85" s="69"/>
      <c r="BV85" s="69"/>
      <c r="BW85" s="69"/>
      <c r="BX85" s="69"/>
      <c r="BY85" s="69"/>
      <c r="BZ85" s="69"/>
      <c r="CA85" s="69"/>
      <c r="CB85" s="69"/>
      <c r="CC85" s="69"/>
      <c r="CD85" s="69"/>
      <c r="CE85" s="69"/>
      <c r="CF85" s="69"/>
      <c r="CG85" s="69"/>
      <c r="CH85" s="69"/>
      <c r="CI85" s="69"/>
      <c r="CJ85" s="69"/>
      <c r="CK85" s="69"/>
      <c r="CL85" s="103"/>
      <c r="CM85" s="69"/>
      <c r="CN85" s="69"/>
      <c r="CO85" s="69"/>
      <c r="CP85" s="69"/>
      <c r="CQ85" s="69"/>
      <c r="CR85" s="69"/>
      <c r="CS85" s="136"/>
      <c r="CT85" s="69"/>
      <c r="CU85" s="69"/>
      <c r="CV85" s="69"/>
      <c r="CW85" s="69"/>
      <c r="CX85" s="69"/>
      <c r="CY85" s="69"/>
      <c r="CZ85" s="69"/>
      <c r="DA85" s="69"/>
      <c r="DB85" s="69"/>
      <c r="DC85" s="69"/>
      <c r="DD85" s="69"/>
      <c r="DE85" s="69"/>
      <c r="DF85" s="69"/>
      <c r="DG85" s="69"/>
      <c r="DH85" s="69"/>
      <c r="DI85" s="69"/>
      <c r="DJ85" s="69"/>
      <c r="DK85" s="69"/>
      <c r="DL85" s="69"/>
      <c r="DM85" s="69"/>
      <c r="DN85" s="69"/>
      <c r="DO85" s="69"/>
      <c r="DP85" s="69"/>
      <c r="DQ85" s="69"/>
      <c r="DR85" s="69"/>
      <c r="DS85" s="69"/>
      <c r="DT85" s="69"/>
    </row>
    <row r="86" spans="2:210" s="242" customFormat="1" x14ac:dyDescent="0.2">
      <c r="B86" s="103"/>
      <c r="C86" s="103"/>
      <c r="D86" s="103"/>
      <c r="E86" s="103"/>
      <c r="F86" s="103"/>
      <c r="G86" s="103"/>
      <c r="H86" s="103"/>
      <c r="I86" s="103"/>
      <c r="J86" s="103"/>
      <c r="K86" s="103"/>
      <c r="L86" s="103"/>
      <c r="M86" s="103"/>
      <c r="N86" s="254"/>
      <c r="O86" s="254"/>
      <c r="P86" s="254"/>
      <c r="Q86" s="254"/>
      <c r="R86" s="103"/>
      <c r="S86" s="103"/>
      <c r="T86" s="103"/>
      <c r="U86" s="103"/>
      <c r="V86" s="103"/>
      <c r="W86" s="103"/>
      <c r="X86" s="103"/>
      <c r="Y86" s="103"/>
      <c r="Z86" s="103"/>
      <c r="AA86" s="103"/>
      <c r="AB86" s="103"/>
      <c r="AC86" s="103"/>
      <c r="AD86" s="253"/>
      <c r="AE86" s="103"/>
      <c r="AF86" s="103"/>
      <c r="AG86" s="103"/>
      <c r="AH86" s="103"/>
      <c r="AI86" s="103"/>
      <c r="AJ86" s="103"/>
      <c r="AK86" s="103"/>
      <c r="AL86" s="103"/>
      <c r="AM86" s="103"/>
      <c r="AN86" s="103"/>
      <c r="AO86" s="103"/>
      <c r="AP86" s="103"/>
      <c r="AQ86" s="103"/>
      <c r="AR86" s="103"/>
      <c r="AS86" s="103"/>
      <c r="AT86" s="103"/>
      <c r="AU86" s="103"/>
      <c r="AV86" s="103"/>
      <c r="AW86" s="103"/>
      <c r="AX86" s="103"/>
      <c r="AY86" s="103"/>
      <c r="AZ86" s="103"/>
      <c r="BA86" s="103"/>
      <c r="BB86" s="103"/>
      <c r="BC86" s="103"/>
      <c r="BD86" s="253"/>
      <c r="BE86" s="103"/>
      <c r="BF86" s="103"/>
      <c r="BG86" s="103"/>
      <c r="BH86" s="103"/>
      <c r="BI86" s="103"/>
      <c r="BJ86" s="103"/>
      <c r="BK86" s="103"/>
      <c r="BL86" s="103"/>
      <c r="BM86" s="103"/>
      <c r="BN86" s="103"/>
      <c r="BO86" s="103"/>
      <c r="BP86" s="103"/>
      <c r="BQ86" s="103"/>
      <c r="BR86" s="103"/>
      <c r="BS86" s="103"/>
      <c r="BT86" s="103"/>
      <c r="BU86" s="103"/>
      <c r="BV86" s="103"/>
      <c r="BW86" s="103"/>
      <c r="BX86" s="103"/>
      <c r="BY86" s="103"/>
      <c r="BZ86" s="103"/>
      <c r="CA86" s="103"/>
      <c r="CB86" s="103"/>
      <c r="CC86" s="103"/>
      <c r="CD86" s="103"/>
      <c r="CE86" s="103"/>
      <c r="CF86" s="103"/>
      <c r="CG86" s="103"/>
      <c r="CH86" s="103"/>
      <c r="CI86" s="103"/>
      <c r="CJ86" s="103"/>
      <c r="CK86" s="103"/>
      <c r="CL86" s="103"/>
      <c r="CM86" s="103"/>
      <c r="CN86" s="103"/>
      <c r="CO86" s="253"/>
      <c r="CP86" s="253"/>
      <c r="CQ86" s="103"/>
      <c r="CR86" s="103"/>
      <c r="CS86" s="255"/>
      <c r="CT86" s="103"/>
      <c r="CU86" s="103"/>
      <c r="CV86" s="103"/>
      <c r="CW86" s="103"/>
      <c r="CX86" s="103"/>
      <c r="CY86" s="103"/>
      <c r="CZ86" s="103"/>
      <c r="DA86" s="103"/>
      <c r="DB86" s="103"/>
      <c r="DC86" s="103"/>
      <c r="DD86" s="103"/>
      <c r="DE86" s="103"/>
      <c r="DF86" s="103"/>
      <c r="DG86" s="103"/>
      <c r="DH86" s="253"/>
      <c r="DI86" s="253"/>
      <c r="DJ86" s="103"/>
      <c r="DK86" s="103"/>
      <c r="DL86" s="253"/>
      <c r="DM86" s="103"/>
      <c r="DN86" s="103"/>
      <c r="DO86" s="103"/>
      <c r="DP86" s="103"/>
      <c r="DQ86" s="103"/>
      <c r="DR86" s="103"/>
      <c r="DS86" s="103"/>
      <c r="DT86" s="103"/>
      <c r="EA86" s="463"/>
      <c r="EB86" s="463"/>
      <c r="EC86" s="463"/>
      <c r="ED86" s="463"/>
      <c r="EE86" s="463"/>
      <c r="EF86" s="463"/>
      <c r="EG86" s="463"/>
      <c r="EH86" s="463"/>
      <c r="EI86" s="463"/>
      <c r="EJ86" s="463"/>
      <c r="EK86" s="463"/>
      <c r="EL86" s="463"/>
      <c r="EM86" s="463"/>
      <c r="EN86" s="463"/>
      <c r="EO86" s="463"/>
      <c r="EP86" s="463"/>
      <c r="EQ86" s="463"/>
      <c r="ER86" s="463"/>
      <c r="ES86" s="463"/>
      <c r="ET86" s="463"/>
      <c r="EU86" s="463"/>
      <c r="EV86" s="463"/>
      <c r="EW86" s="463"/>
      <c r="EX86" s="463"/>
      <c r="EY86" s="463"/>
      <c r="EZ86" s="463"/>
      <c r="FA86" s="463"/>
      <c r="FB86" s="463"/>
      <c r="FC86" s="463"/>
      <c r="FD86" s="463"/>
      <c r="FE86" s="463"/>
      <c r="FF86" s="463"/>
      <c r="FG86" s="463"/>
      <c r="FH86" s="463"/>
      <c r="FI86" s="463"/>
      <c r="FJ86" s="463"/>
      <c r="FK86" s="463"/>
      <c r="FL86" s="463"/>
      <c r="FM86" s="463"/>
      <c r="FN86" s="463"/>
      <c r="FO86" s="463"/>
      <c r="FP86" s="463"/>
      <c r="FQ86" s="463"/>
      <c r="FR86" s="463"/>
      <c r="FS86" s="463"/>
      <c r="FT86" s="463"/>
      <c r="FU86" s="463"/>
      <c r="FV86" s="463"/>
      <c r="FW86" s="463"/>
      <c r="FX86" s="463"/>
      <c r="FY86" s="463"/>
      <c r="FZ86" s="463"/>
      <c r="GA86" s="463"/>
      <c r="GB86" s="463"/>
      <c r="GC86" s="463"/>
      <c r="GD86" s="463"/>
      <c r="GE86" s="463"/>
      <c r="GF86" s="463"/>
      <c r="GG86" s="463"/>
      <c r="GH86" s="463"/>
      <c r="GI86" s="463"/>
      <c r="GJ86" s="463"/>
      <c r="GK86" s="463"/>
      <c r="GL86" s="463"/>
      <c r="GM86" s="463"/>
      <c r="GN86" s="463"/>
      <c r="GO86" s="463"/>
      <c r="GP86" s="463"/>
      <c r="GQ86" s="463"/>
      <c r="GR86" s="463"/>
      <c r="GS86" s="463"/>
      <c r="GT86" s="463"/>
      <c r="GU86" s="463"/>
      <c r="GV86" s="463"/>
      <c r="GW86" s="463"/>
      <c r="GX86" s="463"/>
      <c r="GY86" s="463"/>
      <c r="GZ86" s="463"/>
    </row>
    <row r="87" spans="2:210" x14ac:dyDescent="0.2">
      <c r="B87" s="69"/>
      <c r="C87" s="69"/>
      <c r="D87" s="69"/>
      <c r="E87" s="69"/>
      <c r="F87" s="69"/>
      <c r="G87" s="69"/>
      <c r="H87" s="69"/>
      <c r="I87" s="69"/>
      <c r="J87" s="69"/>
      <c r="K87" s="69"/>
      <c r="L87" s="69"/>
      <c r="M87" s="69"/>
      <c r="N87" s="70"/>
      <c r="O87" s="70"/>
      <c r="P87" s="70"/>
      <c r="Q87" s="70"/>
      <c r="R87" s="69"/>
      <c r="S87" s="103"/>
      <c r="T87" s="103"/>
      <c r="U87" s="69"/>
      <c r="V87" s="69"/>
      <c r="W87" s="69"/>
      <c r="X87" s="69"/>
      <c r="Y87" s="69"/>
      <c r="Z87" s="69"/>
      <c r="AA87" s="103"/>
      <c r="AB87" s="69"/>
      <c r="AC87" s="69"/>
      <c r="AD87" s="462"/>
      <c r="AE87" s="69"/>
      <c r="AF87" s="69"/>
      <c r="AG87" s="69"/>
      <c r="AH87" s="69"/>
      <c r="AI87" s="69"/>
      <c r="AJ87" s="69"/>
      <c r="AK87" s="69"/>
      <c r="AL87" s="69"/>
      <c r="AM87" s="69"/>
      <c r="AN87" s="69"/>
      <c r="AO87" s="69"/>
      <c r="AP87" s="69"/>
      <c r="AQ87" s="69"/>
      <c r="AR87" s="69"/>
      <c r="AS87" s="69"/>
      <c r="AT87" s="69"/>
      <c r="AU87" s="69"/>
      <c r="AV87" s="69"/>
      <c r="AW87" s="69"/>
      <c r="AX87" s="69"/>
      <c r="AY87" s="103"/>
      <c r="AZ87" s="103"/>
      <c r="BA87" s="69"/>
      <c r="BB87" s="69"/>
      <c r="BC87" s="69"/>
      <c r="BD87" s="462"/>
      <c r="BE87" s="69"/>
      <c r="BF87" s="69"/>
      <c r="BG87" s="69"/>
      <c r="BH87" s="69"/>
      <c r="BI87" s="69"/>
      <c r="BJ87" s="69"/>
      <c r="BK87" s="69"/>
      <c r="BL87" s="69"/>
      <c r="BM87" s="69"/>
      <c r="BN87" s="69"/>
      <c r="BO87" s="69"/>
      <c r="BP87" s="69"/>
      <c r="BQ87" s="69"/>
      <c r="BR87" s="69"/>
      <c r="BS87" s="69"/>
      <c r="BT87" s="69"/>
      <c r="BU87" s="69"/>
      <c r="BV87" s="69"/>
      <c r="BW87" s="69"/>
      <c r="BX87" s="69"/>
      <c r="BY87" s="69"/>
      <c r="BZ87" s="69"/>
      <c r="CA87" s="69"/>
      <c r="CB87" s="69"/>
      <c r="CC87" s="69"/>
      <c r="CD87" s="69"/>
      <c r="CE87" s="69"/>
      <c r="CF87" s="69"/>
      <c r="CG87" s="69"/>
      <c r="CH87" s="69"/>
      <c r="CI87" s="69"/>
      <c r="CJ87" s="69"/>
      <c r="CK87" s="69"/>
      <c r="CL87" s="103"/>
      <c r="CM87" s="69"/>
      <c r="CN87" s="69"/>
      <c r="CO87" s="69"/>
      <c r="CP87" s="69"/>
      <c r="CQ87" s="69"/>
      <c r="CR87" s="69"/>
      <c r="CS87" s="136"/>
      <c r="CT87" s="69"/>
      <c r="CU87" s="69"/>
      <c r="CV87" s="69"/>
      <c r="CW87" s="69"/>
      <c r="CX87" s="69"/>
      <c r="CY87" s="69"/>
      <c r="CZ87" s="69"/>
      <c r="DA87" s="69"/>
      <c r="DB87" s="69"/>
      <c r="DC87" s="69"/>
      <c r="DD87" s="69"/>
      <c r="DE87" s="69"/>
      <c r="DF87" s="69"/>
      <c r="DG87" s="69"/>
      <c r="DH87" s="69"/>
      <c r="DI87" s="69"/>
      <c r="DJ87" s="69"/>
      <c r="DK87" s="69"/>
      <c r="DL87" s="69"/>
      <c r="DM87" s="69"/>
      <c r="DN87" s="69"/>
      <c r="DO87" s="69"/>
      <c r="DP87" s="69"/>
      <c r="DQ87" s="69"/>
      <c r="DR87" s="69"/>
      <c r="DS87" s="69"/>
      <c r="DT87" s="69"/>
    </row>
    <row r="88" spans="2:210" x14ac:dyDescent="0.2">
      <c r="B88" s="69"/>
      <c r="C88" s="69"/>
      <c r="D88" s="69"/>
      <c r="E88" s="69"/>
      <c r="F88" s="69"/>
      <c r="G88" s="69"/>
      <c r="H88" s="69"/>
      <c r="I88" s="69"/>
      <c r="J88" s="69"/>
      <c r="K88" s="69"/>
      <c r="L88" s="69"/>
      <c r="M88" s="69"/>
      <c r="N88" s="70"/>
      <c r="O88" s="70"/>
      <c r="P88" s="70"/>
      <c r="Q88" s="70"/>
      <c r="R88" s="69"/>
      <c r="S88" s="103"/>
      <c r="T88" s="103"/>
      <c r="U88" s="69"/>
      <c r="V88" s="69"/>
      <c r="W88" s="69"/>
      <c r="X88" s="69"/>
      <c r="Y88" s="69"/>
      <c r="Z88" s="69"/>
      <c r="AA88" s="103"/>
      <c r="AB88" s="69"/>
      <c r="AC88" s="69"/>
      <c r="AD88" s="462"/>
      <c r="AE88" s="69"/>
      <c r="AF88" s="69"/>
      <c r="AG88" s="69"/>
      <c r="AH88" s="69"/>
      <c r="AI88" s="69"/>
      <c r="AJ88" s="69"/>
      <c r="AK88" s="69"/>
      <c r="AL88" s="69"/>
      <c r="AM88" s="69"/>
      <c r="AN88" s="69"/>
      <c r="AO88" s="69"/>
      <c r="AP88" s="69"/>
      <c r="AQ88" s="69"/>
      <c r="AR88" s="69"/>
      <c r="AS88" s="69"/>
      <c r="AT88" s="69"/>
      <c r="AU88" s="69"/>
      <c r="AV88" s="69"/>
      <c r="AW88" s="69"/>
      <c r="AX88" s="69"/>
      <c r="AY88" s="103"/>
      <c r="AZ88" s="103"/>
      <c r="BA88" s="69"/>
      <c r="BB88" s="69"/>
      <c r="BC88" s="69"/>
      <c r="BD88" s="462"/>
      <c r="BE88" s="69"/>
      <c r="BF88" s="69"/>
      <c r="BG88" s="69"/>
      <c r="BH88" s="69"/>
      <c r="BI88" s="69"/>
      <c r="BJ88" s="69"/>
      <c r="BK88" s="69"/>
      <c r="BL88" s="69"/>
      <c r="BM88" s="69"/>
      <c r="BN88" s="69"/>
      <c r="BO88" s="69"/>
      <c r="BP88" s="69"/>
      <c r="BQ88" s="69"/>
      <c r="BR88" s="69"/>
      <c r="BS88" s="69"/>
      <c r="BT88" s="69"/>
      <c r="BU88" s="69"/>
      <c r="BV88" s="69"/>
      <c r="BW88" s="69"/>
      <c r="BX88" s="69"/>
      <c r="BY88" s="69"/>
      <c r="BZ88" s="69"/>
      <c r="CA88" s="69"/>
      <c r="CB88" s="69"/>
      <c r="CC88" s="69"/>
      <c r="CD88" s="69"/>
      <c r="CE88" s="69"/>
      <c r="CF88" s="69"/>
      <c r="CG88" s="69"/>
      <c r="CH88" s="69"/>
      <c r="CI88" s="69"/>
      <c r="CJ88" s="69"/>
      <c r="CK88" s="69"/>
      <c r="CL88" s="103"/>
      <c r="CM88" s="69"/>
      <c r="CN88" s="69"/>
      <c r="CO88" s="69"/>
      <c r="CP88" s="69"/>
      <c r="CQ88" s="69"/>
      <c r="CR88" s="69"/>
      <c r="CS88" s="136"/>
      <c r="CT88" s="69"/>
      <c r="CU88" s="69"/>
      <c r="CV88" s="69"/>
      <c r="CW88" s="69"/>
      <c r="CX88" s="69"/>
      <c r="CY88" s="69"/>
      <c r="CZ88" s="69"/>
      <c r="DA88" s="69"/>
      <c r="DB88" s="69"/>
      <c r="DC88" s="69"/>
      <c r="DD88" s="69"/>
      <c r="DE88" s="69"/>
      <c r="DF88" s="69"/>
      <c r="DG88" s="69"/>
      <c r="DH88" s="69"/>
      <c r="DI88" s="69"/>
      <c r="DJ88" s="69"/>
      <c r="DK88" s="69"/>
      <c r="DL88" s="69"/>
      <c r="DM88" s="69"/>
      <c r="DN88" s="69"/>
      <c r="DO88" s="69"/>
      <c r="DP88" s="69"/>
      <c r="DQ88" s="69"/>
      <c r="DR88" s="69"/>
      <c r="DS88" s="69"/>
      <c r="DT88" s="69"/>
    </row>
    <row r="89" spans="2:210" x14ac:dyDescent="0.2">
      <c r="B89" s="69"/>
      <c r="C89" s="69"/>
      <c r="D89" s="69"/>
      <c r="E89" s="69"/>
      <c r="F89" s="69"/>
      <c r="G89" s="69"/>
      <c r="H89" s="69"/>
      <c r="I89" s="69"/>
      <c r="J89" s="69"/>
      <c r="K89" s="69"/>
      <c r="L89" s="69"/>
      <c r="M89" s="69"/>
      <c r="N89" s="70"/>
      <c r="O89" s="70"/>
      <c r="P89" s="70"/>
      <c r="Q89" s="70"/>
      <c r="R89" s="69"/>
      <c r="S89" s="103"/>
      <c r="T89" s="103"/>
      <c r="U89" s="69"/>
      <c r="V89" s="69"/>
      <c r="W89" s="69"/>
      <c r="X89" s="69"/>
      <c r="Y89" s="69"/>
      <c r="Z89" s="69"/>
      <c r="AA89" s="103"/>
      <c r="AB89" s="69"/>
      <c r="AC89" s="69"/>
      <c r="AD89" s="462"/>
      <c r="AE89" s="69"/>
      <c r="AF89" s="69"/>
      <c r="AG89" s="69"/>
      <c r="AH89" s="69"/>
      <c r="AI89" s="69"/>
      <c r="AJ89" s="69"/>
      <c r="AK89" s="69"/>
      <c r="AL89" s="69"/>
      <c r="AM89" s="69"/>
      <c r="AN89" s="69"/>
      <c r="AO89" s="69"/>
      <c r="AP89" s="69"/>
      <c r="AQ89" s="69"/>
      <c r="AR89" s="69"/>
      <c r="AS89" s="69"/>
      <c r="AT89" s="69"/>
      <c r="AU89" s="69"/>
      <c r="AV89" s="69"/>
      <c r="AW89" s="69"/>
      <c r="AX89" s="69"/>
      <c r="AY89" s="103"/>
      <c r="AZ89" s="103"/>
      <c r="BA89" s="69"/>
      <c r="BB89" s="69"/>
      <c r="BC89" s="69"/>
      <c r="BD89" s="462"/>
      <c r="BE89" s="69"/>
      <c r="BF89" s="69"/>
      <c r="BG89" s="69"/>
      <c r="BH89" s="69"/>
      <c r="BI89" s="69"/>
      <c r="BJ89" s="69"/>
      <c r="BK89" s="69"/>
      <c r="BL89" s="69"/>
      <c r="BM89" s="69"/>
      <c r="BN89" s="69"/>
      <c r="BO89" s="69"/>
      <c r="BP89" s="69"/>
      <c r="BQ89" s="69"/>
      <c r="BR89" s="69"/>
      <c r="BS89" s="69"/>
      <c r="BT89" s="69"/>
      <c r="BU89" s="69"/>
      <c r="BV89" s="69"/>
      <c r="BW89" s="69"/>
      <c r="BX89" s="69"/>
      <c r="BY89" s="69"/>
      <c r="BZ89" s="69"/>
      <c r="CA89" s="69"/>
      <c r="CB89" s="69"/>
      <c r="CC89" s="69"/>
      <c r="CD89" s="69"/>
      <c r="CE89" s="69"/>
      <c r="CF89" s="69"/>
      <c r="CG89" s="69"/>
      <c r="CH89" s="69"/>
      <c r="CI89" s="69"/>
      <c r="CJ89" s="69"/>
      <c r="CK89" s="69"/>
      <c r="CL89" s="103"/>
      <c r="CM89" s="69"/>
      <c r="CN89" s="69"/>
      <c r="CO89" s="69"/>
      <c r="CP89" s="69"/>
      <c r="CQ89" s="69"/>
      <c r="CR89" s="69"/>
      <c r="CS89" s="136"/>
      <c r="CT89" s="69"/>
      <c r="CU89" s="69"/>
      <c r="CV89" s="69"/>
      <c r="CW89" s="69"/>
      <c r="CX89" s="69"/>
      <c r="CY89" s="69"/>
      <c r="CZ89" s="69"/>
      <c r="DA89" s="69"/>
      <c r="DB89" s="69"/>
      <c r="DC89" s="69"/>
      <c r="DD89" s="69"/>
      <c r="DE89" s="69"/>
      <c r="DF89" s="69"/>
      <c r="DG89" s="69"/>
      <c r="DH89" s="69"/>
      <c r="DI89" s="69"/>
      <c r="DJ89" s="69"/>
      <c r="DK89" s="69"/>
      <c r="DL89" s="69"/>
      <c r="DM89" s="69"/>
      <c r="DN89" s="69"/>
      <c r="DO89" s="69"/>
      <c r="DP89" s="69"/>
      <c r="DQ89" s="69"/>
      <c r="DR89" s="69"/>
      <c r="DS89" s="69"/>
      <c r="DT89" s="69"/>
    </row>
    <row r="90" spans="2:210" x14ac:dyDescent="0.2">
      <c r="B90" s="69"/>
      <c r="C90" s="69"/>
      <c r="D90" s="69"/>
      <c r="E90" s="69"/>
      <c r="F90" s="69"/>
      <c r="G90" s="69"/>
      <c r="H90" s="69"/>
      <c r="I90" s="69"/>
      <c r="J90" s="69"/>
      <c r="K90" s="69"/>
      <c r="L90" s="69"/>
      <c r="M90" s="69"/>
      <c r="N90" s="70"/>
      <c r="O90" s="70"/>
      <c r="P90" s="70"/>
      <c r="Q90" s="70"/>
      <c r="R90" s="69"/>
      <c r="S90" s="103"/>
      <c r="T90" s="103"/>
      <c r="U90" s="69"/>
      <c r="V90" s="69"/>
      <c r="W90" s="69"/>
      <c r="X90" s="69"/>
      <c r="Y90" s="69"/>
      <c r="Z90" s="69"/>
      <c r="AA90" s="103"/>
      <c r="AB90" s="69"/>
      <c r="AC90" s="69"/>
      <c r="AD90" s="462"/>
      <c r="AE90" s="69"/>
      <c r="AF90" s="69"/>
      <c r="AG90" s="69"/>
      <c r="AH90" s="69"/>
      <c r="AI90" s="69"/>
      <c r="AJ90" s="69"/>
      <c r="AK90" s="69"/>
      <c r="AL90" s="69"/>
      <c r="AM90" s="69"/>
      <c r="AN90" s="69"/>
      <c r="AO90" s="69"/>
      <c r="AP90" s="69"/>
      <c r="AQ90" s="69"/>
      <c r="AR90" s="69"/>
      <c r="AS90" s="69"/>
      <c r="AT90" s="69"/>
      <c r="AU90" s="69"/>
      <c r="AV90" s="69"/>
      <c r="AW90" s="69"/>
      <c r="AX90" s="69"/>
      <c r="AY90" s="103"/>
      <c r="AZ90" s="103"/>
      <c r="BA90" s="69"/>
      <c r="BB90" s="69"/>
      <c r="BC90" s="69"/>
      <c r="BD90" s="462"/>
      <c r="BE90" s="69"/>
      <c r="BF90" s="69"/>
      <c r="BG90" s="69"/>
      <c r="BH90" s="69"/>
      <c r="BI90" s="69"/>
      <c r="BJ90" s="69"/>
      <c r="BK90" s="69"/>
      <c r="BL90" s="69"/>
      <c r="BM90" s="69"/>
      <c r="BN90" s="69"/>
      <c r="BO90" s="69"/>
      <c r="BP90" s="69"/>
      <c r="BQ90" s="69"/>
      <c r="BR90" s="69"/>
      <c r="BS90" s="69"/>
      <c r="BT90" s="69"/>
      <c r="BU90" s="69"/>
      <c r="BV90" s="69"/>
      <c r="BW90" s="69"/>
      <c r="BX90" s="69"/>
      <c r="BY90" s="69"/>
      <c r="BZ90" s="69"/>
      <c r="CA90" s="69"/>
      <c r="CB90" s="69"/>
      <c r="CC90" s="69"/>
      <c r="CD90" s="69"/>
      <c r="CE90" s="69"/>
      <c r="CF90" s="69"/>
      <c r="CG90" s="69"/>
      <c r="CH90" s="69"/>
      <c r="CI90" s="69"/>
      <c r="CJ90" s="69"/>
      <c r="CK90" s="69"/>
      <c r="CL90" s="103"/>
      <c r="CM90" s="69"/>
      <c r="CN90" s="69"/>
      <c r="CO90" s="69"/>
      <c r="CP90" s="69"/>
      <c r="CQ90" s="69"/>
      <c r="CR90" s="69"/>
      <c r="CS90" s="136"/>
      <c r="CT90" s="69"/>
      <c r="CU90" s="69"/>
      <c r="CV90" s="69"/>
      <c r="CW90" s="69"/>
      <c r="CX90" s="69"/>
      <c r="CY90" s="69"/>
      <c r="CZ90" s="69"/>
      <c r="DA90" s="69"/>
      <c r="DB90" s="69"/>
      <c r="DC90" s="69"/>
      <c r="DD90" s="69"/>
      <c r="DE90" s="69"/>
      <c r="DF90" s="69"/>
      <c r="DG90" s="69"/>
      <c r="DH90" s="69"/>
      <c r="DI90" s="69"/>
      <c r="DJ90" s="69"/>
      <c r="DK90" s="69"/>
      <c r="DL90" s="69"/>
      <c r="DM90" s="69"/>
      <c r="DN90" s="69"/>
      <c r="DO90" s="69"/>
      <c r="DP90" s="69"/>
      <c r="DQ90" s="69"/>
      <c r="DR90" s="69"/>
      <c r="DS90" s="69"/>
      <c r="DT90" s="69"/>
    </row>
    <row r="91" spans="2:210" x14ac:dyDescent="0.2">
      <c r="B91" s="69"/>
      <c r="C91" s="69"/>
      <c r="D91" s="69"/>
      <c r="E91" s="69"/>
      <c r="F91" s="69"/>
      <c r="G91" s="69"/>
      <c r="H91" s="69"/>
      <c r="I91" s="69"/>
      <c r="J91" s="69"/>
      <c r="K91" s="69"/>
      <c r="L91" s="69"/>
      <c r="M91" s="69"/>
      <c r="N91" s="70"/>
      <c r="O91" s="70"/>
      <c r="P91" s="70"/>
      <c r="Q91" s="70"/>
      <c r="R91" s="69"/>
      <c r="S91" s="103"/>
      <c r="T91" s="103"/>
      <c r="U91" s="69"/>
      <c r="V91" s="69"/>
      <c r="W91" s="69"/>
      <c r="X91" s="69"/>
      <c r="Y91" s="69"/>
      <c r="Z91" s="69"/>
      <c r="AA91" s="103"/>
      <c r="AB91" s="69"/>
      <c r="AC91" s="69"/>
      <c r="AD91" s="462"/>
      <c r="AE91" s="69"/>
      <c r="AF91" s="69"/>
      <c r="AG91" s="69"/>
      <c r="AH91" s="69"/>
      <c r="AI91" s="69"/>
      <c r="AJ91" s="69"/>
      <c r="AK91" s="69"/>
      <c r="AL91" s="69"/>
      <c r="AM91" s="69"/>
      <c r="AN91" s="69"/>
      <c r="AO91" s="69"/>
      <c r="AP91" s="69"/>
      <c r="AQ91" s="69"/>
      <c r="AR91" s="69"/>
      <c r="AS91" s="69"/>
      <c r="AT91" s="69"/>
      <c r="AU91" s="69"/>
      <c r="AV91" s="69"/>
      <c r="AW91" s="69"/>
      <c r="AX91" s="69"/>
      <c r="AY91" s="103"/>
      <c r="AZ91" s="103"/>
      <c r="BA91" s="69"/>
      <c r="BB91" s="69"/>
      <c r="BC91" s="69"/>
      <c r="BD91" s="462"/>
      <c r="BE91" s="69"/>
      <c r="BF91" s="69"/>
      <c r="BG91" s="69"/>
      <c r="BH91" s="69"/>
      <c r="BI91" s="69"/>
      <c r="BJ91" s="69"/>
      <c r="BK91" s="69"/>
      <c r="BL91" s="69"/>
      <c r="BM91" s="69"/>
      <c r="BN91" s="69"/>
      <c r="BO91" s="69"/>
      <c r="BP91" s="69"/>
      <c r="BQ91" s="69"/>
      <c r="BR91" s="69"/>
      <c r="BS91" s="69"/>
      <c r="BT91" s="69"/>
      <c r="BU91" s="69"/>
      <c r="BV91" s="69"/>
      <c r="BW91" s="69"/>
      <c r="BX91" s="69"/>
      <c r="BY91" s="69"/>
      <c r="BZ91" s="69"/>
      <c r="CA91" s="69"/>
      <c r="CB91" s="69"/>
      <c r="CC91" s="69"/>
      <c r="CD91" s="69"/>
      <c r="CE91" s="69"/>
      <c r="CF91" s="69"/>
      <c r="CG91" s="69"/>
      <c r="CH91" s="69"/>
      <c r="CI91" s="69"/>
      <c r="CJ91" s="69"/>
      <c r="CK91" s="69"/>
      <c r="CL91" s="103"/>
      <c r="CM91" s="69"/>
      <c r="CN91" s="69"/>
      <c r="CO91" s="69"/>
      <c r="CP91" s="69"/>
      <c r="CQ91" s="69"/>
      <c r="CR91" s="69"/>
      <c r="CS91" s="136"/>
      <c r="CT91" s="69"/>
      <c r="CU91" s="69"/>
      <c r="CV91" s="69"/>
      <c r="CW91" s="69"/>
      <c r="CX91" s="69"/>
      <c r="CY91" s="69"/>
      <c r="CZ91" s="69"/>
      <c r="DA91" s="69"/>
      <c r="DB91" s="69"/>
      <c r="DC91" s="69"/>
      <c r="DD91" s="69"/>
      <c r="DE91" s="69"/>
      <c r="DF91" s="69"/>
      <c r="DG91" s="69"/>
      <c r="DH91" s="69"/>
      <c r="DI91" s="69"/>
      <c r="DJ91" s="69"/>
      <c r="DK91" s="69"/>
      <c r="DL91" s="69"/>
      <c r="DM91" s="69"/>
      <c r="DN91" s="69"/>
      <c r="DO91" s="69"/>
      <c r="DP91" s="69"/>
      <c r="DQ91" s="69"/>
      <c r="DR91" s="69"/>
      <c r="DS91" s="69"/>
      <c r="DT91" s="69"/>
    </row>
    <row r="92" spans="2:210" x14ac:dyDescent="0.2">
      <c r="B92" s="69"/>
      <c r="C92" s="69"/>
      <c r="D92" s="69"/>
      <c r="E92" s="69"/>
      <c r="F92" s="69"/>
      <c r="G92" s="69"/>
      <c r="H92" s="69"/>
      <c r="I92" s="69"/>
      <c r="J92" s="69"/>
      <c r="K92" s="69"/>
      <c r="L92" s="69"/>
      <c r="M92" s="69"/>
      <c r="N92" s="70"/>
      <c r="O92" s="70"/>
      <c r="P92" s="70"/>
      <c r="Q92" s="70"/>
      <c r="R92" s="69"/>
      <c r="S92" s="103"/>
      <c r="T92" s="103"/>
      <c r="U92" s="69"/>
      <c r="V92" s="69"/>
      <c r="W92" s="69"/>
      <c r="X92" s="69"/>
      <c r="Y92" s="69"/>
      <c r="Z92" s="69"/>
      <c r="AA92" s="103"/>
      <c r="AB92" s="69"/>
      <c r="AC92" s="69"/>
      <c r="AD92" s="462"/>
      <c r="AE92" s="69"/>
      <c r="AF92" s="69"/>
      <c r="AG92" s="69"/>
      <c r="AH92" s="69"/>
      <c r="AI92" s="69"/>
      <c r="AJ92" s="69"/>
      <c r="AK92" s="69"/>
      <c r="AL92" s="69"/>
      <c r="AM92" s="69"/>
      <c r="AN92" s="69"/>
      <c r="AO92" s="69"/>
      <c r="AP92" s="69"/>
      <c r="AQ92" s="69"/>
      <c r="AR92" s="69"/>
      <c r="AS92" s="69"/>
      <c r="AT92" s="69"/>
      <c r="AU92" s="69"/>
      <c r="AV92" s="69"/>
      <c r="AW92" s="69"/>
      <c r="AX92" s="69"/>
      <c r="AY92" s="103"/>
      <c r="AZ92" s="103"/>
      <c r="BA92" s="69"/>
      <c r="BB92" s="69"/>
      <c r="BC92" s="69"/>
      <c r="BD92" s="462"/>
      <c r="BE92" s="69"/>
      <c r="BF92" s="69"/>
      <c r="BG92" s="69"/>
      <c r="BH92" s="69"/>
      <c r="BI92" s="69"/>
      <c r="BJ92" s="69"/>
      <c r="BK92" s="69"/>
      <c r="BL92" s="69"/>
      <c r="BM92" s="69"/>
      <c r="BN92" s="69"/>
      <c r="BO92" s="69"/>
      <c r="BP92" s="69"/>
      <c r="BQ92" s="69"/>
      <c r="BR92" s="69"/>
      <c r="BS92" s="69"/>
      <c r="BT92" s="69"/>
      <c r="BU92" s="69"/>
      <c r="BV92" s="69"/>
      <c r="BW92" s="69"/>
      <c r="BX92" s="69"/>
      <c r="BY92" s="69"/>
      <c r="BZ92" s="69"/>
      <c r="CA92" s="69"/>
      <c r="CB92" s="69"/>
      <c r="CC92" s="69"/>
      <c r="CD92" s="69"/>
      <c r="CE92" s="69"/>
      <c r="CF92" s="69"/>
      <c r="CG92" s="69"/>
      <c r="CH92" s="69"/>
      <c r="CI92" s="69"/>
      <c r="CJ92" s="69"/>
      <c r="CK92" s="69"/>
      <c r="CL92" s="103"/>
      <c r="CM92" s="69"/>
      <c r="CN92" s="69"/>
      <c r="CO92" s="69"/>
      <c r="CP92" s="69"/>
      <c r="CQ92" s="69"/>
      <c r="CR92" s="69"/>
      <c r="CS92" s="136"/>
      <c r="CT92" s="69"/>
      <c r="CU92" s="69"/>
      <c r="CV92" s="69"/>
      <c r="CW92" s="69"/>
      <c r="CX92" s="69"/>
      <c r="CY92" s="69"/>
      <c r="CZ92" s="69"/>
      <c r="DA92" s="69"/>
      <c r="DB92" s="69"/>
      <c r="DC92" s="69"/>
      <c r="DD92" s="69"/>
      <c r="DE92" s="69"/>
      <c r="DF92" s="69"/>
      <c r="DG92" s="69"/>
      <c r="DH92" s="69"/>
      <c r="DI92" s="69"/>
      <c r="DJ92" s="69"/>
      <c r="DK92" s="69"/>
      <c r="DL92" s="69"/>
      <c r="DM92" s="69"/>
      <c r="DN92" s="69"/>
      <c r="DO92" s="69"/>
      <c r="DP92" s="69"/>
      <c r="DQ92" s="69"/>
      <c r="DR92" s="69"/>
      <c r="DS92" s="69"/>
      <c r="DT92" s="69"/>
    </row>
    <row r="93" spans="2:210" x14ac:dyDescent="0.2">
      <c r="B93" s="69"/>
      <c r="C93" s="69"/>
      <c r="D93" s="69"/>
      <c r="E93" s="69"/>
      <c r="F93" s="69"/>
      <c r="G93" s="69"/>
      <c r="H93" s="69"/>
      <c r="I93" s="69"/>
      <c r="J93" s="69"/>
      <c r="K93" s="69"/>
      <c r="L93" s="69"/>
      <c r="M93" s="69"/>
      <c r="N93" s="70"/>
      <c r="O93" s="70"/>
      <c r="P93" s="70"/>
      <c r="Q93" s="70"/>
      <c r="R93" s="69"/>
      <c r="S93" s="103"/>
      <c r="T93" s="103"/>
      <c r="U93" s="69"/>
      <c r="V93" s="69"/>
      <c r="W93" s="69"/>
      <c r="X93" s="69"/>
      <c r="Y93" s="69"/>
      <c r="Z93" s="69"/>
      <c r="AA93" s="103"/>
      <c r="AB93" s="69"/>
      <c r="AC93" s="69"/>
      <c r="AD93" s="462"/>
      <c r="AE93" s="69"/>
      <c r="AF93" s="69"/>
      <c r="AG93" s="69"/>
      <c r="AH93" s="69"/>
      <c r="AI93" s="69"/>
      <c r="AJ93" s="69"/>
      <c r="AK93" s="69"/>
      <c r="AL93" s="69"/>
      <c r="AM93" s="69"/>
      <c r="AN93" s="69"/>
      <c r="AO93" s="69"/>
      <c r="AP93" s="69"/>
      <c r="AQ93" s="69"/>
      <c r="AR93" s="69"/>
      <c r="AS93" s="69"/>
      <c r="AT93" s="69"/>
      <c r="AU93" s="69"/>
      <c r="AV93" s="69"/>
      <c r="AW93" s="69"/>
      <c r="AX93" s="69"/>
      <c r="AY93" s="103"/>
      <c r="AZ93" s="103"/>
      <c r="BA93" s="69"/>
      <c r="BB93" s="69"/>
      <c r="BC93" s="69"/>
      <c r="BD93" s="462"/>
      <c r="BE93" s="69"/>
      <c r="BF93" s="69"/>
      <c r="BG93" s="69"/>
      <c r="BH93" s="69"/>
      <c r="BI93" s="69"/>
      <c r="BJ93" s="69"/>
      <c r="BK93" s="69"/>
      <c r="BL93" s="69"/>
      <c r="BM93" s="69"/>
      <c r="BN93" s="69"/>
      <c r="BO93" s="69"/>
      <c r="BP93" s="69"/>
      <c r="BQ93" s="69"/>
      <c r="BR93" s="69"/>
      <c r="BS93" s="69"/>
      <c r="BT93" s="69"/>
      <c r="BU93" s="69"/>
      <c r="BV93" s="69"/>
      <c r="BW93" s="69"/>
      <c r="BX93" s="69"/>
      <c r="BY93" s="69"/>
      <c r="BZ93" s="69"/>
      <c r="CA93" s="69"/>
      <c r="CB93" s="69"/>
      <c r="CC93" s="69"/>
      <c r="CD93" s="69"/>
      <c r="CE93" s="69"/>
      <c r="CF93" s="69"/>
      <c r="CG93" s="69"/>
      <c r="CH93" s="69"/>
      <c r="CI93" s="69"/>
      <c r="CJ93" s="69"/>
      <c r="CK93" s="69"/>
      <c r="CL93" s="103"/>
      <c r="CM93" s="69"/>
      <c r="CN93" s="69"/>
      <c r="CO93" s="69"/>
      <c r="CP93" s="69"/>
      <c r="CQ93" s="69"/>
      <c r="CR93" s="69"/>
      <c r="CS93" s="136"/>
      <c r="CT93" s="69"/>
      <c r="CU93" s="69"/>
      <c r="CV93" s="69"/>
      <c r="CW93" s="69"/>
      <c r="CX93" s="69"/>
      <c r="CY93" s="69"/>
      <c r="CZ93" s="69"/>
      <c r="DA93" s="69"/>
      <c r="DB93" s="69"/>
      <c r="DC93" s="69"/>
      <c r="DD93" s="69"/>
      <c r="DE93" s="69"/>
      <c r="DF93" s="69"/>
      <c r="DG93" s="69"/>
      <c r="DH93" s="69"/>
      <c r="DI93" s="69"/>
      <c r="DJ93" s="69"/>
      <c r="DK93" s="69"/>
      <c r="DL93" s="69"/>
      <c r="DM93" s="69"/>
      <c r="DN93" s="69"/>
      <c r="DO93" s="69"/>
      <c r="DP93" s="69"/>
      <c r="DQ93" s="69"/>
      <c r="DR93" s="69"/>
      <c r="DS93" s="69"/>
      <c r="DT93" s="69"/>
    </row>
    <row r="94" spans="2:210" x14ac:dyDescent="0.2">
      <c r="B94" s="69"/>
      <c r="C94" s="69"/>
      <c r="D94" s="69"/>
      <c r="E94" s="69"/>
      <c r="F94" s="69"/>
      <c r="G94" s="69"/>
      <c r="H94" s="69"/>
      <c r="I94" s="69"/>
      <c r="J94" s="69"/>
      <c r="K94" s="69"/>
      <c r="L94" s="69"/>
      <c r="M94" s="69"/>
      <c r="N94" s="70"/>
      <c r="O94" s="70"/>
      <c r="P94" s="70"/>
      <c r="Q94" s="70"/>
      <c r="R94" s="69"/>
      <c r="S94" s="103"/>
      <c r="T94" s="103"/>
      <c r="U94" s="69"/>
      <c r="V94" s="69"/>
      <c r="W94" s="69"/>
      <c r="X94" s="69"/>
      <c r="Y94" s="69"/>
      <c r="Z94" s="69"/>
      <c r="AA94" s="103"/>
      <c r="AB94" s="69"/>
      <c r="AC94" s="69"/>
      <c r="AD94" s="462"/>
      <c r="AE94" s="69"/>
      <c r="AF94" s="69"/>
      <c r="AG94" s="69"/>
      <c r="AH94" s="69"/>
      <c r="AI94" s="69"/>
      <c r="AJ94" s="69"/>
      <c r="AK94" s="69"/>
      <c r="AL94" s="69"/>
      <c r="AM94" s="69"/>
      <c r="AN94" s="69"/>
      <c r="AO94" s="69"/>
      <c r="AP94" s="69"/>
      <c r="AQ94" s="69"/>
      <c r="AR94" s="69"/>
      <c r="AS94" s="69"/>
      <c r="AT94" s="69"/>
      <c r="AU94" s="69"/>
      <c r="AV94" s="69"/>
      <c r="AW94" s="69"/>
      <c r="AX94" s="69"/>
      <c r="AY94" s="103"/>
      <c r="AZ94" s="103"/>
      <c r="BA94" s="69"/>
      <c r="BB94" s="69"/>
      <c r="BC94" s="69"/>
      <c r="BD94" s="462"/>
      <c r="BE94" s="69"/>
      <c r="BF94" s="69"/>
      <c r="BG94" s="69"/>
      <c r="BH94" s="69"/>
      <c r="BI94" s="69"/>
      <c r="BJ94" s="69"/>
      <c r="BK94" s="69"/>
      <c r="BL94" s="69"/>
      <c r="BM94" s="69"/>
      <c r="BN94" s="69"/>
      <c r="BO94" s="69"/>
      <c r="BP94" s="69"/>
      <c r="BQ94" s="69"/>
      <c r="BR94" s="69"/>
      <c r="BS94" s="69"/>
      <c r="BT94" s="69"/>
      <c r="BU94" s="69"/>
      <c r="BV94" s="69"/>
      <c r="BW94" s="69"/>
      <c r="BX94" s="69"/>
      <c r="BY94" s="69"/>
      <c r="BZ94" s="69"/>
      <c r="CA94" s="69"/>
      <c r="CB94" s="69"/>
      <c r="CC94" s="69"/>
      <c r="CD94" s="69"/>
      <c r="CE94" s="69"/>
      <c r="CF94" s="69"/>
      <c r="CG94" s="69"/>
      <c r="CH94" s="69"/>
      <c r="CI94" s="69"/>
      <c r="CJ94" s="69"/>
      <c r="CK94" s="69"/>
      <c r="CL94" s="103"/>
    </row>
    <row r="95" spans="2:210" x14ac:dyDescent="0.2">
      <c r="B95" s="69"/>
      <c r="C95" s="69"/>
      <c r="D95" s="69"/>
      <c r="E95" s="69"/>
      <c r="F95" s="69"/>
      <c r="G95" s="69"/>
      <c r="H95" s="69"/>
      <c r="I95" s="69"/>
      <c r="J95" s="69"/>
      <c r="K95" s="69"/>
      <c r="L95" s="69"/>
      <c r="M95" s="69"/>
      <c r="N95" s="70"/>
      <c r="O95" s="70"/>
      <c r="P95" s="70"/>
      <c r="Q95" s="70"/>
      <c r="R95" s="69"/>
      <c r="S95" s="103"/>
      <c r="T95" s="103"/>
      <c r="U95" s="69"/>
      <c r="V95" s="69"/>
      <c r="W95" s="69"/>
      <c r="X95" s="69"/>
      <c r="Y95" s="69"/>
      <c r="Z95" s="69"/>
      <c r="AA95" s="103"/>
      <c r="AB95" s="69"/>
      <c r="AC95" s="69"/>
      <c r="AD95" s="462"/>
      <c r="AE95" s="69"/>
      <c r="AF95" s="69"/>
      <c r="AG95" s="69"/>
      <c r="AH95" s="69"/>
      <c r="AI95" s="69"/>
      <c r="AJ95" s="69"/>
      <c r="AK95" s="69"/>
      <c r="AL95" s="69"/>
      <c r="AM95" s="69"/>
      <c r="AN95" s="69"/>
      <c r="AO95" s="69"/>
      <c r="AP95" s="69"/>
      <c r="AQ95" s="69"/>
      <c r="AR95" s="69"/>
      <c r="AS95" s="69"/>
      <c r="AT95" s="69"/>
      <c r="AU95" s="69"/>
      <c r="AV95" s="69"/>
      <c r="AW95" s="69"/>
      <c r="AX95" s="69"/>
      <c r="AY95" s="103"/>
      <c r="AZ95" s="103"/>
      <c r="BA95" s="69"/>
      <c r="BB95" s="69"/>
      <c r="BC95" s="69"/>
      <c r="BD95" s="462"/>
      <c r="BE95" s="69"/>
      <c r="BF95" s="69"/>
      <c r="BG95" s="69"/>
      <c r="BH95" s="69"/>
      <c r="BI95" s="69"/>
      <c r="BJ95" s="69"/>
      <c r="BK95" s="69"/>
      <c r="BL95" s="69"/>
      <c r="BM95" s="69"/>
      <c r="BN95" s="69"/>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103"/>
    </row>
    <row r="96" spans="2:210" x14ac:dyDescent="0.2">
      <c r="B96" s="69"/>
      <c r="C96" s="69"/>
      <c r="D96" s="69"/>
      <c r="E96" s="69"/>
      <c r="F96" s="69"/>
      <c r="G96" s="69"/>
      <c r="H96" s="69"/>
      <c r="I96" s="69"/>
      <c r="J96" s="69"/>
      <c r="K96" s="69"/>
      <c r="L96" s="69"/>
      <c r="M96" s="69"/>
      <c r="N96" s="70"/>
      <c r="O96" s="70"/>
      <c r="P96" s="70"/>
      <c r="Q96" s="70"/>
      <c r="R96" s="69"/>
      <c r="S96" s="103"/>
      <c r="T96" s="103"/>
      <c r="U96" s="69"/>
      <c r="V96" s="69"/>
      <c r="W96" s="69"/>
      <c r="X96" s="69"/>
      <c r="Y96" s="69"/>
      <c r="Z96" s="69"/>
      <c r="AA96" s="103"/>
      <c r="AB96" s="69"/>
      <c r="AC96" s="69"/>
      <c r="AD96" s="462"/>
      <c r="AE96" s="69"/>
      <c r="AF96" s="69"/>
      <c r="AG96" s="69"/>
      <c r="AH96" s="69"/>
      <c r="AI96" s="69"/>
      <c r="AJ96" s="69"/>
      <c r="AK96" s="69"/>
      <c r="AL96" s="69"/>
      <c r="AM96" s="69"/>
      <c r="AN96" s="69"/>
      <c r="AO96" s="69"/>
      <c r="AP96" s="69"/>
      <c r="AQ96" s="69"/>
      <c r="AR96" s="69"/>
      <c r="AS96" s="69"/>
      <c r="AT96" s="69"/>
      <c r="AU96" s="69"/>
      <c r="AV96" s="69"/>
      <c r="AW96" s="69"/>
      <c r="AX96" s="69"/>
      <c r="AY96" s="103"/>
      <c r="AZ96" s="103"/>
      <c r="BA96" s="69"/>
      <c r="BB96" s="69"/>
      <c r="BC96" s="69"/>
      <c r="BD96" s="462"/>
      <c r="BE96" s="69"/>
      <c r="BF96" s="69"/>
      <c r="BG96" s="69"/>
      <c r="BH96" s="69"/>
      <c r="BI96" s="69"/>
      <c r="BJ96" s="69"/>
      <c r="BK96" s="69"/>
      <c r="BL96" s="69"/>
      <c r="BM96" s="69"/>
      <c r="BN96" s="69"/>
      <c r="BO96" s="69"/>
      <c r="BP96" s="69"/>
      <c r="BQ96" s="69"/>
      <c r="BR96" s="69"/>
      <c r="BS96" s="69"/>
      <c r="BT96" s="69"/>
      <c r="BU96" s="69"/>
      <c r="BV96" s="69"/>
      <c r="BW96" s="69"/>
      <c r="BX96" s="69"/>
      <c r="BY96" s="69"/>
      <c r="BZ96" s="69"/>
      <c r="CA96" s="69"/>
      <c r="CB96" s="69"/>
      <c r="CC96" s="69"/>
      <c r="CD96" s="69"/>
      <c r="CE96" s="69"/>
      <c r="CF96" s="69"/>
      <c r="CG96" s="69"/>
      <c r="CH96" s="69"/>
      <c r="CI96" s="69"/>
      <c r="CJ96" s="69"/>
      <c r="CK96" s="69"/>
      <c r="CL96" s="103"/>
    </row>
    <row r="97" spans="2:90" x14ac:dyDescent="0.2">
      <c r="B97" s="69"/>
      <c r="C97" s="69"/>
      <c r="D97" s="69"/>
      <c r="E97" s="69"/>
      <c r="F97" s="69"/>
      <c r="G97" s="69"/>
      <c r="H97" s="69"/>
      <c r="I97" s="69"/>
      <c r="J97" s="69"/>
      <c r="K97" s="69"/>
      <c r="L97" s="69"/>
      <c r="M97" s="69"/>
      <c r="N97" s="70"/>
      <c r="O97" s="70"/>
      <c r="P97" s="70"/>
      <c r="Q97" s="70"/>
      <c r="R97" s="69"/>
      <c r="S97" s="103"/>
      <c r="T97" s="103"/>
      <c r="U97" s="69"/>
      <c r="V97" s="69"/>
      <c r="W97" s="69"/>
      <c r="X97" s="69"/>
      <c r="Y97" s="69"/>
      <c r="Z97" s="69"/>
      <c r="AA97" s="103"/>
      <c r="AB97" s="69"/>
      <c r="AC97" s="69"/>
      <c r="AD97" s="462"/>
      <c r="AE97" s="69"/>
      <c r="AF97" s="69"/>
      <c r="AG97" s="69"/>
      <c r="AH97" s="69"/>
      <c r="AI97" s="69"/>
      <c r="AJ97" s="69"/>
      <c r="AK97" s="69"/>
      <c r="AL97" s="69"/>
      <c r="AM97" s="69"/>
      <c r="AN97" s="69"/>
      <c r="AO97" s="69"/>
      <c r="AP97" s="69"/>
      <c r="AQ97" s="69"/>
      <c r="AR97" s="69"/>
      <c r="AS97" s="69"/>
      <c r="AT97" s="69"/>
      <c r="AU97" s="69"/>
      <c r="AV97" s="69"/>
      <c r="AW97" s="69"/>
      <c r="AX97" s="69"/>
      <c r="AY97" s="103"/>
      <c r="AZ97" s="103"/>
      <c r="BA97" s="69"/>
      <c r="BB97" s="69"/>
      <c r="BC97" s="69"/>
      <c r="BD97" s="462"/>
      <c r="BE97" s="69"/>
      <c r="BF97" s="69"/>
      <c r="BG97" s="69"/>
      <c r="BH97" s="69"/>
      <c r="BI97" s="69"/>
      <c r="BJ97" s="69"/>
      <c r="BK97" s="69"/>
      <c r="BL97" s="69"/>
      <c r="BM97" s="69"/>
      <c r="BN97" s="69"/>
      <c r="BO97" s="69"/>
      <c r="BP97" s="69"/>
      <c r="BQ97" s="69"/>
      <c r="BR97" s="69"/>
      <c r="BS97" s="69"/>
      <c r="BT97" s="69"/>
      <c r="BU97" s="69"/>
      <c r="BV97" s="69"/>
      <c r="BW97" s="69"/>
      <c r="BX97" s="69"/>
      <c r="BY97" s="69"/>
      <c r="BZ97" s="69"/>
      <c r="CA97" s="69"/>
      <c r="CB97" s="69"/>
      <c r="CC97" s="69"/>
      <c r="CD97" s="69"/>
      <c r="CE97" s="69"/>
      <c r="CF97" s="69"/>
      <c r="CG97" s="69"/>
      <c r="CH97" s="69"/>
      <c r="CI97" s="69"/>
      <c r="CJ97" s="69"/>
      <c r="CK97" s="69"/>
      <c r="CL97" s="103"/>
    </row>
    <row r="98" spans="2:90" x14ac:dyDescent="0.2">
      <c r="B98" s="69"/>
      <c r="C98" s="69"/>
      <c r="D98" s="69"/>
      <c r="E98" s="69"/>
      <c r="F98" s="69"/>
      <c r="G98" s="69"/>
      <c r="H98" s="69"/>
      <c r="I98" s="69"/>
      <c r="J98" s="69"/>
      <c r="K98" s="69"/>
      <c r="L98" s="69"/>
      <c r="M98" s="69"/>
      <c r="N98" s="70"/>
      <c r="O98" s="70"/>
      <c r="P98" s="70"/>
      <c r="Q98" s="70"/>
      <c r="R98" s="69"/>
      <c r="S98" s="103"/>
      <c r="T98" s="103"/>
      <c r="U98" s="69"/>
      <c r="V98" s="69"/>
      <c r="W98" s="69"/>
      <c r="X98" s="69"/>
      <c r="Y98" s="69"/>
      <c r="Z98" s="69"/>
      <c r="AA98" s="103"/>
      <c r="AB98" s="69"/>
      <c r="AC98" s="69"/>
      <c r="AD98" s="462"/>
      <c r="AE98" s="69"/>
      <c r="AF98" s="69"/>
      <c r="AG98" s="69"/>
      <c r="AH98" s="69"/>
      <c r="AI98" s="69"/>
      <c r="AJ98" s="69"/>
      <c r="AK98" s="69"/>
      <c r="AL98" s="69"/>
      <c r="AM98" s="69"/>
      <c r="AN98" s="69"/>
      <c r="AO98" s="69"/>
      <c r="AP98" s="69"/>
      <c r="AQ98" s="69"/>
      <c r="AR98" s="69"/>
      <c r="AS98" s="69"/>
      <c r="AT98" s="69"/>
      <c r="AU98" s="69"/>
      <c r="AV98" s="69"/>
      <c r="AW98" s="69"/>
      <c r="AX98" s="69"/>
      <c r="AY98" s="103"/>
      <c r="AZ98" s="103"/>
      <c r="BA98" s="69"/>
      <c r="BB98" s="69"/>
      <c r="BC98" s="69"/>
      <c r="BD98" s="462"/>
      <c r="BE98" s="69"/>
      <c r="BF98" s="69"/>
      <c r="BG98" s="69"/>
      <c r="BH98" s="69"/>
      <c r="BI98" s="69"/>
      <c r="BJ98" s="69"/>
      <c r="BK98" s="69"/>
      <c r="BL98" s="69"/>
      <c r="BM98" s="69"/>
      <c r="BN98" s="69"/>
      <c r="BO98" s="69"/>
      <c r="BP98" s="69"/>
      <c r="BQ98" s="69"/>
      <c r="BR98" s="69"/>
      <c r="BS98" s="69"/>
      <c r="BT98" s="69"/>
      <c r="BU98" s="69"/>
      <c r="BV98" s="69"/>
      <c r="BW98" s="69"/>
      <c r="BX98" s="69"/>
      <c r="BY98" s="69"/>
      <c r="BZ98" s="69"/>
      <c r="CA98" s="69"/>
      <c r="CB98" s="69"/>
      <c r="CC98" s="69"/>
      <c r="CD98" s="69"/>
      <c r="CE98" s="69"/>
      <c r="CF98" s="69"/>
      <c r="CG98" s="69"/>
      <c r="CH98" s="69"/>
      <c r="CI98" s="69"/>
      <c r="CJ98" s="69"/>
      <c r="CK98" s="69"/>
      <c r="CL98" s="103"/>
    </row>
    <row r="99" spans="2:90" x14ac:dyDescent="0.2">
      <c r="B99" s="69"/>
      <c r="C99" s="69"/>
      <c r="D99" s="69"/>
      <c r="E99" s="69"/>
      <c r="F99" s="69"/>
      <c r="G99" s="69"/>
      <c r="H99" s="69"/>
      <c r="I99" s="69"/>
      <c r="J99" s="69"/>
      <c r="K99" s="69"/>
      <c r="L99" s="69"/>
      <c r="M99" s="69"/>
      <c r="N99" s="70"/>
      <c r="O99" s="70"/>
      <c r="P99" s="70"/>
      <c r="Q99" s="70"/>
      <c r="R99" s="69"/>
      <c r="S99" s="103"/>
      <c r="T99" s="103"/>
      <c r="U99" s="69"/>
      <c r="V99" s="69"/>
      <c r="W99" s="69"/>
      <c r="X99" s="69"/>
      <c r="Y99" s="69"/>
      <c r="Z99" s="69"/>
      <c r="AA99" s="103"/>
      <c r="AB99" s="69"/>
      <c r="AC99" s="69"/>
      <c r="AD99" s="462"/>
      <c r="AE99" s="69"/>
      <c r="AF99" s="69"/>
      <c r="AG99" s="69"/>
      <c r="AH99" s="69"/>
      <c r="AI99" s="69"/>
      <c r="AJ99" s="69"/>
      <c r="AK99" s="69"/>
      <c r="AL99" s="69"/>
      <c r="AM99" s="69"/>
      <c r="AN99" s="69"/>
      <c r="AO99" s="69"/>
      <c r="AP99" s="69"/>
      <c r="AQ99" s="69"/>
      <c r="AR99" s="69"/>
      <c r="AS99" s="69"/>
      <c r="AT99" s="69"/>
      <c r="AU99" s="69"/>
      <c r="AV99" s="69"/>
      <c r="AW99" s="69"/>
      <c r="AX99" s="69"/>
      <c r="AY99" s="103"/>
      <c r="AZ99" s="103"/>
      <c r="BA99" s="69"/>
      <c r="BB99" s="69"/>
      <c r="BC99" s="69"/>
      <c r="BD99" s="462"/>
      <c r="BE99" s="69"/>
      <c r="BF99" s="69"/>
      <c r="BG99" s="69"/>
      <c r="BH99" s="69"/>
      <c r="BI99" s="69"/>
      <c r="BJ99" s="69"/>
      <c r="BK99" s="69"/>
      <c r="BL99" s="69"/>
      <c r="BM99" s="69"/>
      <c r="BN99" s="69"/>
      <c r="BO99" s="69"/>
      <c r="BP99" s="69"/>
      <c r="BQ99" s="69"/>
      <c r="BR99" s="69"/>
      <c r="BS99" s="69"/>
      <c r="BT99" s="69"/>
      <c r="BU99" s="69"/>
      <c r="BV99" s="69"/>
      <c r="BW99" s="69"/>
      <c r="BX99" s="69"/>
      <c r="BY99" s="69"/>
      <c r="BZ99" s="69"/>
      <c r="CA99" s="69"/>
      <c r="CB99" s="69"/>
      <c r="CC99" s="69"/>
      <c r="CD99" s="69"/>
      <c r="CE99" s="69"/>
      <c r="CF99" s="69"/>
      <c r="CG99" s="69"/>
      <c r="CH99" s="69"/>
      <c r="CI99" s="69"/>
      <c r="CJ99" s="69"/>
      <c r="CK99" s="69"/>
      <c r="CL99" s="103"/>
    </row>
    <row r="100" spans="2:90" x14ac:dyDescent="0.2">
      <c r="B100" s="69"/>
      <c r="C100" s="69"/>
      <c r="D100" s="69"/>
      <c r="E100" s="69"/>
      <c r="F100" s="69"/>
      <c r="G100" s="69"/>
      <c r="H100" s="69"/>
      <c r="I100" s="69"/>
      <c r="J100" s="69"/>
      <c r="K100" s="69"/>
      <c r="L100" s="69"/>
      <c r="M100" s="69"/>
      <c r="N100" s="70"/>
      <c r="O100" s="70"/>
      <c r="P100" s="70"/>
      <c r="Q100" s="70"/>
      <c r="R100" s="69"/>
      <c r="S100" s="103"/>
      <c r="T100" s="103"/>
      <c r="U100" s="69"/>
      <c r="V100" s="69"/>
      <c r="W100" s="69"/>
      <c r="X100" s="69"/>
      <c r="Y100" s="69"/>
      <c r="Z100" s="69"/>
      <c r="AA100" s="103"/>
      <c r="AB100" s="69"/>
      <c r="AC100" s="69"/>
      <c r="AD100" s="462"/>
      <c r="AE100" s="69"/>
      <c r="AF100" s="69"/>
      <c r="AG100" s="69"/>
      <c r="AH100" s="69"/>
      <c r="AI100" s="69"/>
      <c r="AJ100" s="69"/>
      <c r="AK100" s="69"/>
      <c r="AL100" s="69"/>
      <c r="AM100" s="69"/>
      <c r="AN100" s="69"/>
      <c r="AO100" s="69"/>
      <c r="AP100" s="69"/>
      <c r="AQ100" s="69"/>
      <c r="AR100" s="69"/>
      <c r="AS100" s="69"/>
      <c r="AT100" s="69"/>
      <c r="AU100" s="69"/>
      <c r="AV100" s="69"/>
      <c r="AW100" s="69"/>
      <c r="AX100" s="69"/>
      <c r="AY100" s="103"/>
      <c r="AZ100" s="103"/>
      <c r="BA100" s="69"/>
      <c r="BB100" s="69"/>
      <c r="BC100" s="69"/>
      <c r="BD100" s="462"/>
      <c r="BE100" s="69"/>
      <c r="BF100" s="69"/>
      <c r="BG100" s="69"/>
      <c r="BH100" s="69"/>
      <c r="BI100" s="69"/>
      <c r="BJ100" s="69"/>
      <c r="BK100" s="69"/>
      <c r="BL100" s="69"/>
      <c r="BM100" s="69"/>
      <c r="BN100" s="69"/>
      <c r="BO100" s="69"/>
      <c r="BP100" s="69"/>
      <c r="BQ100" s="69"/>
      <c r="BR100" s="69"/>
      <c r="BS100" s="69"/>
      <c r="BT100" s="69"/>
      <c r="BU100" s="69"/>
      <c r="BV100" s="69"/>
      <c r="BW100" s="69"/>
      <c r="BX100" s="69"/>
      <c r="BY100" s="69"/>
      <c r="BZ100" s="69"/>
      <c r="CA100" s="69"/>
      <c r="CB100" s="69"/>
      <c r="CC100" s="69"/>
      <c r="CD100" s="69"/>
      <c r="CE100" s="69"/>
      <c r="CF100" s="69"/>
      <c r="CG100" s="69"/>
      <c r="CH100" s="69"/>
      <c r="CI100" s="69"/>
      <c r="CJ100" s="69"/>
      <c r="CK100" s="69"/>
      <c r="CL100" s="103"/>
    </row>
    <row r="101" spans="2:90" x14ac:dyDescent="0.2">
      <c r="B101" s="69"/>
      <c r="C101" s="69"/>
      <c r="D101" s="69"/>
      <c r="E101" s="69"/>
      <c r="F101" s="69"/>
      <c r="G101" s="69"/>
      <c r="H101" s="69"/>
      <c r="I101" s="69"/>
      <c r="J101" s="69"/>
      <c r="K101" s="69"/>
      <c r="L101" s="69"/>
      <c r="M101" s="69"/>
      <c r="N101" s="70"/>
      <c r="O101" s="70"/>
      <c r="P101" s="70"/>
      <c r="Q101" s="70"/>
      <c r="R101" s="69"/>
      <c r="S101" s="103"/>
      <c r="T101" s="103"/>
      <c r="U101" s="69"/>
      <c r="V101" s="69"/>
      <c r="W101" s="69"/>
      <c r="X101" s="69"/>
      <c r="Y101" s="69"/>
      <c r="Z101" s="69"/>
      <c r="AA101" s="103"/>
      <c r="AB101" s="69"/>
      <c r="AC101" s="69"/>
      <c r="AD101" s="462"/>
      <c r="AE101" s="69"/>
      <c r="AF101" s="69"/>
      <c r="AG101" s="69"/>
      <c r="AH101" s="69"/>
      <c r="AI101" s="69"/>
      <c r="AJ101" s="69"/>
      <c r="AK101" s="69"/>
      <c r="AL101" s="69"/>
      <c r="AM101" s="69"/>
      <c r="AN101" s="69"/>
      <c r="AO101" s="69"/>
      <c r="AP101" s="69"/>
      <c r="AQ101" s="69"/>
      <c r="AR101" s="69"/>
      <c r="AS101" s="69"/>
      <c r="AT101" s="69"/>
      <c r="AU101" s="69"/>
      <c r="AV101" s="69"/>
      <c r="AW101" s="69"/>
      <c r="AX101" s="69"/>
      <c r="AY101" s="103"/>
      <c r="AZ101" s="103"/>
      <c r="BA101" s="69"/>
      <c r="BB101" s="69"/>
      <c r="BC101" s="69"/>
      <c r="BD101" s="462"/>
      <c r="BE101" s="69"/>
      <c r="BF101" s="69"/>
      <c r="BG101" s="69"/>
      <c r="BH101" s="69"/>
      <c r="BI101" s="69"/>
      <c r="BJ101" s="69"/>
      <c r="BK101" s="69"/>
      <c r="BL101" s="69"/>
      <c r="BM101" s="69"/>
      <c r="BN101" s="69"/>
      <c r="BO101" s="69"/>
      <c r="BP101" s="69"/>
      <c r="BQ101" s="69"/>
      <c r="BR101" s="69"/>
      <c r="BS101" s="69"/>
      <c r="BT101" s="69"/>
      <c r="BU101" s="69"/>
      <c r="BV101" s="69"/>
      <c r="BW101" s="69"/>
      <c r="BX101" s="69"/>
      <c r="BY101" s="69"/>
      <c r="BZ101" s="69"/>
      <c r="CA101" s="69"/>
      <c r="CB101" s="69"/>
      <c r="CC101" s="69"/>
      <c r="CD101" s="69"/>
      <c r="CE101" s="69"/>
      <c r="CF101" s="69"/>
      <c r="CG101" s="69"/>
      <c r="CH101" s="69"/>
      <c r="CI101" s="69"/>
      <c r="CJ101" s="69"/>
      <c r="CK101" s="69"/>
      <c r="CL101" s="103"/>
    </row>
    <row r="102" spans="2:90" x14ac:dyDescent="0.2">
      <c r="B102" s="69"/>
      <c r="C102" s="69"/>
      <c r="D102" s="69"/>
      <c r="E102" s="69"/>
      <c r="F102" s="69"/>
      <c r="G102" s="69"/>
      <c r="H102" s="69"/>
      <c r="I102" s="69"/>
      <c r="J102" s="69"/>
      <c r="K102" s="69"/>
      <c r="L102" s="69"/>
      <c r="M102" s="69"/>
      <c r="N102" s="70"/>
      <c r="O102" s="70"/>
      <c r="P102" s="70"/>
      <c r="Q102" s="70"/>
      <c r="R102" s="69"/>
      <c r="S102" s="103"/>
      <c r="T102" s="103"/>
      <c r="U102" s="69"/>
      <c r="V102" s="69"/>
      <c r="W102" s="69"/>
      <c r="X102" s="69"/>
      <c r="Y102" s="69"/>
      <c r="Z102" s="69"/>
      <c r="AA102" s="103"/>
      <c r="AB102" s="69"/>
      <c r="AC102" s="69"/>
      <c r="AD102" s="462"/>
      <c r="AE102" s="69"/>
      <c r="AF102" s="69"/>
      <c r="AG102" s="69"/>
      <c r="AH102" s="69"/>
      <c r="AI102" s="69"/>
      <c r="AJ102" s="69"/>
      <c r="AK102" s="69"/>
      <c r="AL102" s="69"/>
      <c r="AM102" s="69"/>
      <c r="AN102" s="69"/>
      <c r="AO102" s="69"/>
      <c r="AP102" s="69"/>
      <c r="AQ102" s="69"/>
      <c r="AR102" s="69"/>
      <c r="AS102" s="69"/>
      <c r="AT102" s="69"/>
      <c r="AU102" s="69"/>
      <c r="AV102" s="69"/>
      <c r="AW102" s="69"/>
      <c r="AX102" s="69"/>
      <c r="AY102" s="103"/>
      <c r="AZ102" s="103"/>
      <c r="BA102" s="69"/>
      <c r="BB102" s="69"/>
      <c r="BC102" s="69"/>
      <c r="BD102" s="462"/>
      <c r="BE102" s="69"/>
      <c r="BF102" s="69"/>
      <c r="BG102" s="69"/>
      <c r="BH102" s="69"/>
      <c r="BI102" s="69"/>
      <c r="BJ102" s="69"/>
      <c r="BK102" s="69"/>
      <c r="BL102" s="69"/>
      <c r="BM102" s="69"/>
      <c r="BN102" s="69"/>
      <c r="BO102" s="69"/>
      <c r="BP102" s="69"/>
      <c r="BQ102" s="69"/>
      <c r="BR102" s="69"/>
      <c r="BS102" s="69"/>
      <c r="BT102" s="69"/>
      <c r="BU102" s="69"/>
      <c r="BV102" s="69"/>
      <c r="BW102" s="69"/>
      <c r="BX102" s="69"/>
      <c r="BY102" s="69"/>
      <c r="BZ102" s="69"/>
      <c r="CA102" s="69"/>
      <c r="CB102" s="69"/>
      <c r="CC102" s="69"/>
      <c r="CD102" s="69"/>
      <c r="CE102" s="69"/>
      <c r="CF102" s="69"/>
      <c r="CG102" s="69"/>
      <c r="CH102" s="69"/>
      <c r="CI102" s="69"/>
      <c r="CJ102" s="69"/>
      <c r="CK102" s="69"/>
      <c r="CL102" s="103"/>
    </row>
    <row r="103" spans="2:90" x14ac:dyDescent="0.2">
      <c r="B103" s="69"/>
      <c r="C103" s="69"/>
      <c r="D103" s="69"/>
      <c r="E103" s="69"/>
      <c r="F103" s="69"/>
      <c r="G103" s="69"/>
      <c r="H103" s="69"/>
      <c r="I103" s="69"/>
      <c r="J103" s="69"/>
      <c r="K103" s="69"/>
      <c r="L103" s="69"/>
      <c r="M103" s="69"/>
      <c r="N103" s="70"/>
      <c r="O103" s="70"/>
      <c r="P103" s="70"/>
      <c r="Q103" s="70"/>
      <c r="R103" s="69"/>
      <c r="S103" s="103"/>
      <c r="T103" s="103"/>
      <c r="U103" s="69"/>
      <c r="V103" s="69"/>
      <c r="W103" s="69"/>
      <c r="X103" s="69"/>
      <c r="Y103" s="69"/>
      <c r="Z103" s="69"/>
      <c r="AA103" s="103"/>
      <c r="AB103" s="69"/>
      <c r="AC103" s="69"/>
      <c r="AD103" s="462"/>
      <c r="AE103" s="69"/>
      <c r="AF103" s="69"/>
      <c r="AG103" s="69"/>
      <c r="AH103" s="69"/>
      <c r="AI103" s="69"/>
      <c r="AJ103" s="69"/>
      <c r="AK103" s="69"/>
      <c r="AL103" s="69"/>
      <c r="AM103" s="69"/>
      <c r="AN103" s="69"/>
      <c r="AO103" s="69"/>
      <c r="AP103" s="69"/>
      <c r="AQ103" s="69"/>
      <c r="AR103" s="69"/>
      <c r="AS103" s="69"/>
      <c r="AT103" s="69"/>
      <c r="AU103" s="69"/>
      <c r="AV103" s="69"/>
      <c r="AW103" s="69"/>
      <c r="AX103" s="69"/>
      <c r="AY103" s="103"/>
      <c r="AZ103" s="103"/>
      <c r="BA103" s="69"/>
      <c r="BB103" s="69"/>
      <c r="BC103" s="69"/>
      <c r="BD103" s="462"/>
      <c r="BE103" s="69"/>
      <c r="BF103" s="69"/>
      <c r="BG103" s="69"/>
      <c r="BH103" s="69"/>
      <c r="BI103" s="69"/>
      <c r="BJ103" s="69"/>
      <c r="BK103" s="69"/>
      <c r="BL103" s="69"/>
      <c r="BM103" s="69"/>
      <c r="BN103" s="69"/>
      <c r="BO103" s="69"/>
      <c r="BP103" s="69"/>
      <c r="BQ103" s="69"/>
      <c r="BR103" s="69"/>
      <c r="BS103" s="69"/>
      <c r="BT103" s="69"/>
      <c r="BU103" s="69"/>
      <c r="BV103" s="69"/>
      <c r="BW103" s="69"/>
      <c r="BX103" s="69"/>
      <c r="BY103" s="69"/>
      <c r="BZ103" s="69"/>
      <c r="CA103" s="69"/>
      <c r="CB103" s="69"/>
      <c r="CC103" s="69"/>
      <c r="CD103" s="69"/>
      <c r="CE103" s="69"/>
      <c r="CF103" s="69"/>
      <c r="CG103" s="69"/>
      <c r="CH103" s="69"/>
      <c r="CI103" s="69"/>
      <c r="CJ103" s="69"/>
      <c r="CK103" s="69"/>
      <c r="CL103" s="103"/>
    </row>
    <row r="104" spans="2:90" x14ac:dyDescent="0.2">
      <c r="B104" s="69"/>
      <c r="C104" s="69"/>
      <c r="D104" s="69"/>
      <c r="E104" s="69"/>
      <c r="F104" s="69"/>
      <c r="G104" s="69"/>
      <c r="H104" s="69"/>
      <c r="I104" s="69"/>
      <c r="J104" s="69"/>
      <c r="K104" s="69"/>
      <c r="L104" s="69"/>
      <c r="M104" s="69"/>
      <c r="N104" s="70"/>
      <c r="O104" s="70"/>
      <c r="P104" s="70"/>
      <c r="Q104" s="70"/>
      <c r="R104" s="69"/>
      <c r="S104" s="103"/>
      <c r="T104" s="103"/>
      <c r="U104" s="69"/>
      <c r="V104" s="69"/>
      <c r="W104" s="69"/>
      <c r="X104" s="69"/>
      <c r="Y104" s="69"/>
      <c r="Z104" s="69"/>
      <c r="AA104" s="103"/>
      <c r="AB104" s="69"/>
      <c r="AC104" s="69"/>
      <c r="AD104" s="462"/>
      <c r="AE104" s="69"/>
      <c r="AF104" s="69"/>
      <c r="AG104" s="69"/>
      <c r="AH104" s="69"/>
      <c r="AI104" s="69"/>
      <c r="AJ104" s="69"/>
      <c r="AK104" s="69"/>
      <c r="AL104" s="69"/>
      <c r="AM104" s="69"/>
      <c r="AN104" s="69"/>
      <c r="AO104" s="69"/>
      <c r="AP104" s="69"/>
      <c r="AQ104" s="69"/>
      <c r="AR104" s="69"/>
      <c r="AS104" s="69"/>
      <c r="AT104" s="69"/>
      <c r="AU104" s="69"/>
      <c r="AV104" s="69"/>
      <c r="AW104" s="69"/>
      <c r="AX104" s="69"/>
      <c r="AY104" s="103"/>
      <c r="AZ104" s="103"/>
      <c r="BA104" s="69"/>
      <c r="BB104" s="69"/>
      <c r="BC104" s="69"/>
      <c r="BD104" s="462"/>
      <c r="BE104" s="69"/>
      <c r="BF104" s="69"/>
      <c r="BG104" s="69"/>
      <c r="BH104" s="69"/>
      <c r="BI104" s="69"/>
      <c r="BJ104" s="69"/>
      <c r="BK104" s="69"/>
      <c r="BL104" s="69"/>
      <c r="BM104" s="69"/>
      <c r="BN104" s="69"/>
      <c r="BO104" s="69"/>
      <c r="BP104" s="69"/>
      <c r="BQ104" s="69"/>
      <c r="BR104" s="69"/>
      <c r="BS104" s="69"/>
      <c r="BT104" s="69"/>
      <c r="BU104" s="69"/>
      <c r="BV104" s="69"/>
      <c r="BW104" s="69"/>
      <c r="BX104" s="69"/>
      <c r="BY104" s="69"/>
      <c r="BZ104" s="69"/>
      <c r="CA104" s="69"/>
      <c r="CB104" s="69"/>
      <c r="CC104" s="69"/>
      <c r="CD104" s="69"/>
      <c r="CE104" s="69"/>
      <c r="CF104" s="69"/>
      <c r="CG104" s="69"/>
      <c r="CH104" s="69"/>
      <c r="CI104" s="69"/>
      <c r="CJ104" s="69"/>
      <c r="CK104" s="69"/>
      <c r="CL104" s="103"/>
    </row>
    <row r="105" spans="2:90" x14ac:dyDescent="0.2">
      <c r="B105" s="69"/>
      <c r="C105" s="69"/>
      <c r="D105" s="69"/>
      <c r="E105" s="69"/>
      <c r="F105" s="69"/>
      <c r="G105" s="69"/>
      <c r="H105" s="69"/>
      <c r="I105" s="69"/>
      <c r="J105" s="69"/>
      <c r="K105" s="69"/>
      <c r="L105" s="69"/>
      <c r="M105" s="69"/>
      <c r="N105" s="70"/>
      <c r="O105" s="70"/>
      <c r="P105" s="70"/>
      <c r="Q105" s="70"/>
      <c r="R105" s="69"/>
      <c r="S105" s="103"/>
      <c r="T105" s="103"/>
      <c r="U105" s="69"/>
      <c r="V105" s="69"/>
      <c r="W105" s="69"/>
      <c r="X105" s="69"/>
      <c r="Y105" s="69"/>
      <c r="Z105" s="69"/>
      <c r="AA105" s="103"/>
      <c r="AB105" s="69"/>
      <c r="AC105" s="69"/>
      <c r="AD105" s="462"/>
      <c r="AE105" s="69"/>
      <c r="AF105" s="69"/>
      <c r="AG105" s="69"/>
      <c r="AH105" s="69"/>
      <c r="AI105" s="69"/>
      <c r="AJ105" s="69"/>
      <c r="AK105" s="69"/>
      <c r="AL105" s="69"/>
      <c r="AM105" s="69"/>
      <c r="AN105" s="69"/>
      <c r="AO105" s="69"/>
      <c r="AP105" s="69"/>
      <c r="AQ105" s="69"/>
      <c r="AR105" s="69"/>
      <c r="AS105" s="69"/>
      <c r="AT105" s="69"/>
      <c r="AU105" s="69"/>
      <c r="AV105" s="69"/>
      <c r="AW105" s="69"/>
      <c r="AX105" s="69"/>
      <c r="AY105" s="103"/>
      <c r="AZ105" s="103"/>
      <c r="BA105" s="69"/>
      <c r="BB105" s="69"/>
      <c r="BC105" s="69"/>
      <c r="BD105" s="462"/>
      <c r="BE105" s="69"/>
      <c r="BF105" s="69"/>
      <c r="BG105" s="69"/>
      <c r="BH105" s="69"/>
      <c r="BI105" s="69"/>
      <c r="BJ105" s="69"/>
      <c r="BK105" s="69"/>
      <c r="BL105" s="69"/>
      <c r="BM105" s="69"/>
      <c r="BN105" s="69"/>
      <c r="BO105" s="69"/>
      <c r="BP105" s="69"/>
      <c r="BQ105" s="69"/>
      <c r="BR105" s="69"/>
      <c r="BS105" s="69"/>
      <c r="BT105" s="69"/>
      <c r="BU105" s="69"/>
      <c r="BV105" s="69"/>
      <c r="BW105" s="69"/>
      <c r="BX105" s="69"/>
      <c r="BY105" s="69"/>
      <c r="BZ105" s="69"/>
      <c r="CA105" s="69"/>
      <c r="CB105" s="69"/>
      <c r="CC105" s="69"/>
      <c r="CD105" s="69"/>
      <c r="CE105" s="69"/>
      <c r="CF105" s="69"/>
      <c r="CG105" s="69"/>
      <c r="CH105" s="69"/>
      <c r="CI105" s="69"/>
      <c r="CJ105" s="69"/>
      <c r="CK105" s="69"/>
      <c r="CL105" s="103"/>
    </row>
    <row r="106" spans="2:90" x14ac:dyDescent="0.2">
      <c r="B106" s="69"/>
      <c r="C106" s="69"/>
      <c r="D106" s="69"/>
      <c r="E106" s="69"/>
      <c r="F106" s="69"/>
      <c r="G106" s="69"/>
      <c r="H106" s="69"/>
      <c r="I106" s="69"/>
      <c r="J106" s="69"/>
      <c r="K106" s="69"/>
      <c r="L106" s="69"/>
      <c r="M106" s="69"/>
      <c r="N106" s="70"/>
      <c r="O106" s="70"/>
      <c r="P106" s="70"/>
      <c r="Q106" s="70"/>
      <c r="R106" s="69"/>
      <c r="S106" s="103"/>
      <c r="T106" s="103"/>
      <c r="U106" s="69"/>
      <c r="V106" s="69"/>
      <c r="W106" s="69"/>
      <c r="X106" s="69"/>
      <c r="Y106" s="69"/>
      <c r="Z106" s="69"/>
      <c r="AA106" s="103"/>
      <c r="AB106" s="69"/>
      <c r="AC106" s="69"/>
      <c r="AD106" s="462"/>
      <c r="AE106" s="69"/>
      <c r="AF106" s="69"/>
      <c r="AG106" s="69"/>
      <c r="AH106" s="69"/>
      <c r="AI106" s="69"/>
      <c r="AJ106" s="69"/>
      <c r="AK106" s="69"/>
      <c r="AL106" s="69"/>
      <c r="AM106" s="69"/>
      <c r="AN106" s="69"/>
      <c r="AO106" s="69"/>
      <c r="AP106" s="69"/>
      <c r="AQ106" s="69"/>
      <c r="AR106" s="69"/>
      <c r="AS106" s="69"/>
      <c r="AT106" s="69"/>
      <c r="AU106" s="69"/>
      <c r="AV106" s="69"/>
      <c r="AW106" s="69"/>
      <c r="AX106" s="69"/>
      <c r="AY106" s="103"/>
      <c r="AZ106" s="103"/>
      <c r="BA106" s="69"/>
      <c r="BB106" s="69"/>
      <c r="BC106" s="69"/>
      <c r="BD106" s="462"/>
      <c r="BE106" s="69"/>
      <c r="BF106" s="69"/>
      <c r="BG106" s="69"/>
      <c r="BH106" s="69"/>
      <c r="BI106" s="69"/>
      <c r="BJ106" s="69"/>
      <c r="BK106" s="69"/>
      <c r="BL106" s="69"/>
      <c r="BM106" s="69"/>
      <c r="BN106" s="69"/>
      <c r="BO106" s="69"/>
      <c r="BP106" s="69"/>
      <c r="BQ106" s="69"/>
      <c r="BR106" s="69"/>
      <c r="BS106" s="69"/>
      <c r="BT106" s="69"/>
      <c r="BU106" s="69"/>
      <c r="BV106" s="69"/>
      <c r="BW106" s="69"/>
      <c r="BX106" s="69"/>
      <c r="BY106" s="69"/>
      <c r="BZ106" s="69"/>
      <c r="CA106" s="69"/>
      <c r="CB106" s="69"/>
      <c r="CC106" s="69"/>
      <c r="CD106" s="69"/>
      <c r="CE106" s="69"/>
      <c r="CF106" s="69"/>
      <c r="CG106" s="69"/>
      <c r="CH106" s="69"/>
      <c r="CI106" s="69"/>
      <c r="CJ106" s="69"/>
      <c r="CK106" s="69"/>
      <c r="CL106" s="103"/>
    </row>
    <row r="107" spans="2:90" x14ac:dyDescent="0.2">
      <c r="B107" s="69"/>
      <c r="C107" s="69"/>
      <c r="D107" s="69"/>
      <c r="E107" s="69"/>
      <c r="F107" s="69"/>
      <c r="G107" s="69"/>
      <c r="H107" s="69"/>
      <c r="I107" s="69"/>
      <c r="J107" s="69"/>
      <c r="K107" s="69"/>
      <c r="L107" s="69"/>
      <c r="M107" s="69"/>
      <c r="N107" s="70"/>
      <c r="O107" s="70"/>
      <c r="P107" s="70"/>
      <c r="Q107" s="70"/>
      <c r="R107" s="69"/>
      <c r="S107" s="103"/>
      <c r="T107" s="103"/>
      <c r="U107" s="69"/>
      <c r="V107" s="69"/>
      <c r="W107" s="69"/>
      <c r="X107" s="69"/>
      <c r="Y107" s="69"/>
      <c r="Z107" s="69"/>
      <c r="AA107" s="103"/>
      <c r="AB107" s="69"/>
      <c r="AC107" s="69"/>
      <c r="AD107" s="462"/>
      <c r="AE107" s="69"/>
      <c r="AF107" s="69"/>
      <c r="AG107" s="69"/>
      <c r="AH107" s="69"/>
      <c r="AI107" s="69"/>
      <c r="AJ107" s="69"/>
      <c r="AK107" s="69"/>
      <c r="AL107" s="69"/>
      <c r="AM107" s="69"/>
      <c r="AN107" s="69"/>
      <c r="AO107" s="69"/>
      <c r="AP107" s="69"/>
      <c r="AQ107" s="69"/>
      <c r="AR107" s="69"/>
      <c r="AS107" s="69"/>
      <c r="AT107" s="69"/>
      <c r="AU107" s="69"/>
      <c r="AV107" s="69"/>
      <c r="AW107" s="69"/>
      <c r="AX107" s="69"/>
      <c r="AY107" s="103"/>
      <c r="AZ107" s="103"/>
      <c r="BA107" s="69"/>
      <c r="BB107" s="69"/>
      <c r="BC107" s="69"/>
      <c r="BD107" s="462"/>
      <c r="BE107" s="69"/>
      <c r="BF107" s="69"/>
      <c r="BG107" s="69"/>
      <c r="BH107" s="69"/>
      <c r="BI107" s="69"/>
      <c r="BJ107" s="69"/>
      <c r="BK107" s="69"/>
      <c r="BL107" s="69"/>
      <c r="BM107" s="69"/>
      <c r="BN107" s="69"/>
      <c r="BO107" s="69"/>
      <c r="BP107" s="69"/>
      <c r="BQ107" s="69"/>
      <c r="BR107" s="69"/>
      <c r="BS107" s="69"/>
      <c r="BT107" s="69"/>
      <c r="BU107" s="69"/>
      <c r="BV107" s="69"/>
      <c r="BW107" s="69"/>
      <c r="BX107" s="69"/>
      <c r="BY107" s="69"/>
      <c r="BZ107" s="69"/>
      <c r="CA107" s="69"/>
      <c r="CB107" s="69"/>
      <c r="CC107" s="69"/>
      <c r="CD107" s="69"/>
      <c r="CE107" s="69"/>
      <c r="CF107" s="69"/>
      <c r="CG107" s="69"/>
      <c r="CH107" s="69"/>
      <c r="CI107" s="69"/>
      <c r="CJ107" s="69"/>
      <c r="CK107" s="69"/>
      <c r="CL107" s="103"/>
    </row>
    <row r="108" spans="2:90" x14ac:dyDescent="0.2">
      <c r="B108" s="69"/>
      <c r="C108" s="69"/>
      <c r="D108" s="69"/>
      <c r="E108" s="69"/>
      <c r="F108" s="69"/>
      <c r="G108" s="69"/>
      <c r="H108" s="69"/>
      <c r="I108" s="69"/>
      <c r="J108" s="69"/>
      <c r="K108" s="69"/>
      <c r="L108" s="69"/>
      <c r="M108" s="69"/>
      <c r="N108" s="70"/>
      <c r="O108" s="70"/>
      <c r="P108" s="70"/>
      <c r="Q108" s="70"/>
      <c r="R108" s="69"/>
      <c r="S108" s="103"/>
      <c r="T108" s="103"/>
      <c r="U108" s="69"/>
      <c r="V108" s="69"/>
      <c r="W108" s="69"/>
      <c r="X108" s="69"/>
      <c r="Y108" s="69"/>
      <c r="Z108" s="69"/>
      <c r="AA108" s="103"/>
      <c r="AB108" s="69"/>
      <c r="AC108" s="69"/>
      <c r="AD108" s="462"/>
      <c r="AE108" s="69"/>
      <c r="AF108" s="69"/>
      <c r="AG108" s="69"/>
      <c r="AH108" s="69"/>
      <c r="AI108" s="69"/>
      <c r="AJ108" s="69"/>
      <c r="AK108" s="69"/>
      <c r="AL108" s="69"/>
      <c r="AM108" s="69"/>
      <c r="AN108" s="69"/>
      <c r="AO108" s="69"/>
      <c r="AP108" s="69"/>
      <c r="AQ108" s="69"/>
      <c r="AR108" s="69"/>
      <c r="AS108" s="69"/>
      <c r="AT108" s="69"/>
      <c r="AU108" s="69"/>
      <c r="AV108" s="69"/>
      <c r="AW108" s="69"/>
      <c r="AX108" s="69"/>
      <c r="AY108" s="103"/>
      <c r="AZ108" s="103"/>
      <c r="BA108" s="69"/>
      <c r="BB108" s="69"/>
      <c r="BC108" s="69"/>
      <c r="BD108" s="462"/>
      <c r="BE108" s="69"/>
      <c r="BF108" s="69"/>
      <c r="BG108" s="69"/>
      <c r="BH108" s="69"/>
      <c r="BI108" s="69"/>
      <c r="BJ108" s="69"/>
      <c r="BK108" s="69"/>
      <c r="BL108" s="69"/>
      <c r="BM108" s="69"/>
      <c r="BN108" s="69"/>
      <c r="BO108" s="69"/>
      <c r="BP108" s="69"/>
      <c r="BQ108" s="69"/>
      <c r="BR108" s="69"/>
      <c r="BS108" s="69"/>
      <c r="BT108" s="69"/>
      <c r="BU108" s="69"/>
      <c r="BV108" s="69"/>
      <c r="BW108" s="69"/>
      <c r="BX108" s="69"/>
      <c r="BY108" s="69"/>
      <c r="BZ108" s="69"/>
      <c r="CA108" s="69"/>
      <c r="CB108" s="69"/>
      <c r="CC108" s="69"/>
      <c r="CD108" s="69"/>
      <c r="CE108" s="69"/>
      <c r="CF108" s="69"/>
      <c r="CG108" s="69"/>
      <c r="CH108" s="69"/>
      <c r="CI108" s="69"/>
      <c r="CJ108" s="69"/>
      <c r="CK108" s="69"/>
      <c r="CL108" s="103"/>
    </row>
    <row r="109" spans="2:90" x14ac:dyDescent="0.2">
      <c r="B109" s="69"/>
      <c r="C109" s="69"/>
      <c r="D109" s="69"/>
      <c r="E109" s="69"/>
      <c r="F109" s="69"/>
      <c r="G109" s="69"/>
      <c r="H109" s="69"/>
      <c r="I109" s="69"/>
      <c r="J109" s="69"/>
      <c r="K109" s="69"/>
      <c r="L109" s="69"/>
      <c r="M109" s="69"/>
      <c r="N109" s="70"/>
      <c r="O109" s="70"/>
      <c r="P109" s="70"/>
      <c r="Q109" s="70"/>
      <c r="R109" s="69"/>
      <c r="S109" s="103"/>
      <c r="T109" s="103"/>
      <c r="U109" s="69"/>
      <c r="V109" s="69"/>
      <c r="W109" s="69"/>
      <c r="X109" s="69"/>
      <c r="Y109" s="69"/>
      <c r="Z109" s="69"/>
      <c r="AA109" s="103"/>
      <c r="AB109" s="69"/>
      <c r="AC109" s="69"/>
      <c r="AD109" s="462"/>
      <c r="AE109" s="69"/>
      <c r="AF109" s="69"/>
      <c r="AG109" s="69"/>
      <c r="AH109" s="69"/>
      <c r="AI109" s="69"/>
      <c r="AJ109" s="69"/>
      <c r="AK109" s="69"/>
      <c r="AL109" s="69"/>
      <c r="AM109" s="69"/>
      <c r="AN109" s="69"/>
      <c r="AO109" s="69"/>
      <c r="AP109" s="69"/>
      <c r="AQ109" s="69"/>
      <c r="AR109" s="69"/>
      <c r="AS109" s="69"/>
      <c r="AT109" s="69"/>
      <c r="AU109" s="69"/>
      <c r="AV109" s="69"/>
      <c r="AW109" s="69"/>
      <c r="AX109" s="69"/>
      <c r="AY109" s="103"/>
      <c r="AZ109" s="103"/>
      <c r="BA109" s="69"/>
      <c r="BB109" s="69"/>
      <c r="BC109" s="69"/>
      <c r="BD109" s="462"/>
      <c r="BE109" s="69"/>
      <c r="BF109" s="69"/>
      <c r="BG109" s="69"/>
      <c r="BH109" s="69"/>
      <c r="BI109" s="69"/>
      <c r="BJ109" s="69"/>
      <c r="BK109" s="69"/>
      <c r="BL109" s="69"/>
      <c r="BM109" s="69"/>
      <c r="BN109" s="69"/>
      <c r="BO109" s="69"/>
      <c r="BP109" s="69"/>
      <c r="BQ109" s="69"/>
      <c r="BR109" s="69"/>
      <c r="BS109" s="69"/>
      <c r="BT109" s="69"/>
      <c r="BU109" s="69"/>
      <c r="BV109" s="69"/>
      <c r="BW109" s="69"/>
      <c r="BX109" s="69"/>
      <c r="BY109" s="69"/>
      <c r="BZ109" s="69"/>
      <c r="CA109" s="69"/>
      <c r="CB109" s="69"/>
      <c r="CC109" s="69"/>
      <c r="CD109" s="69"/>
      <c r="CE109" s="69"/>
      <c r="CF109" s="69"/>
      <c r="CG109" s="69"/>
      <c r="CH109" s="69"/>
      <c r="CI109" s="69"/>
      <c r="CJ109" s="69"/>
      <c r="CK109" s="69"/>
      <c r="CL109" s="103"/>
    </row>
    <row r="110" spans="2:90" x14ac:dyDescent="0.2">
      <c r="B110" s="69"/>
      <c r="C110" s="69"/>
      <c r="D110" s="69"/>
      <c r="E110" s="69"/>
      <c r="F110" s="69"/>
      <c r="G110" s="69"/>
      <c r="H110" s="69"/>
      <c r="I110" s="69"/>
      <c r="J110" s="69"/>
      <c r="K110" s="69"/>
      <c r="L110" s="69"/>
      <c r="M110" s="69"/>
      <c r="N110" s="70"/>
      <c r="O110" s="70"/>
      <c r="P110" s="70"/>
      <c r="Q110" s="70"/>
      <c r="R110" s="69"/>
      <c r="S110" s="103"/>
      <c r="T110" s="103"/>
      <c r="U110" s="69"/>
      <c r="V110" s="69"/>
      <c r="W110" s="69"/>
      <c r="X110" s="69"/>
      <c r="Y110" s="69"/>
      <c r="Z110" s="69"/>
      <c r="AA110" s="103"/>
      <c r="AB110" s="69"/>
      <c r="AC110" s="69"/>
      <c r="AD110" s="462"/>
      <c r="AE110" s="69"/>
      <c r="AF110" s="69"/>
      <c r="AG110" s="69"/>
      <c r="AH110" s="69"/>
      <c r="AI110" s="69"/>
      <c r="AJ110" s="69"/>
      <c r="AK110" s="69"/>
      <c r="AL110" s="69"/>
      <c r="AM110" s="69"/>
      <c r="AN110" s="69"/>
      <c r="AO110" s="69"/>
      <c r="AP110" s="69"/>
      <c r="AQ110" s="69"/>
      <c r="AR110" s="69"/>
      <c r="AS110" s="69"/>
      <c r="AT110" s="69"/>
      <c r="AU110" s="69"/>
      <c r="AV110" s="69"/>
      <c r="AW110" s="69"/>
      <c r="AX110" s="69"/>
      <c r="AY110" s="103"/>
      <c r="AZ110" s="103"/>
      <c r="BA110" s="69"/>
      <c r="BB110" s="69"/>
      <c r="BC110" s="69"/>
      <c r="BD110" s="462"/>
      <c r="BE110" s="69"/>
      <c r="BF110" s="69"/>
      <c r="BG110" s="69"/>
      <c r="BH110" s="69"/>
      <c r="BI110" s="69"/>
      <c r="BJ110" s="69"/>
      <c r="BK110" s="69"/>
      <c r="BL110" s="69"/>
      <c r="BM110" s="69"/>
      <c r="BN110" s="69"/>
      <c r="BO110" s="69"/>
      <c r="BP110" s="69"/>
      <c r="BQ110" s="69"/>
      <c r="BR110" s="69"/>
      <c r="BS110" s="69"/>
      <c r="BT110" s="69"/>
      <c r="BU110" s="69"/>
      <c r="BV110" s="69"/>
      <c r="BW110" s="69"/>
      <c r="BX110" s="69"/>
      <c r="BY110" s="69"/>
      <c r="BZ110" s="69"/>
      <c r="CA110" s="69"/>
      <c r="CB110" s="69"/>
      <c r="CC110" s="69"/>
      <c r="CD110" s="69"/>
      <c r="CE110" s="69"/>
      <c r="CF110" s="69"/>
      <c r="CG110" s="69"/>
      <c r="CH110" s="69"/>
      <c r="CI110" s="69"/>
      <c r="CJ110" s="69"/>
      <c r="CK110" s="69"/>
      <c r="CL110" s="103"/>
    </row>
    <row r="111" spans="2:90" x14ac:dyDescent="0.2">
      <c r="B111" s="69"/>
      <c r="C111" s="69"/>
      <c r="D111" s="69"/>
      <c r="E111" s="69"/>
      <c r="F111" s="69"/>
      <c r="G111" s="69"/>
      <c r="H111" s="69"/>
      <c r="I111" s="69"/>
      <c r="J111" s="69"/>
      <c r="K111" s="69"/>
      <c r="L111" s="69"/>
      <c r="M111" s="69"/>
      <c r="N111" s="70"/>
      <c r="O111" s="70"/>
      <c r="P111" s="70"/>
      <c r="Q111" s="70"/>
      <c r="R111" s="69"/>
      <c r="S111" s="103"/>
      <c r="T111" s="103"/>
      <c r="U111" s="69"/>
      <c r="V111" s="69"/>
      <c r="W111" s="69"/>
      <c r="X111" s="69"/>
      <c r="Y111" s="69"/>
      <c r="Z111" s="69"/>
      <c r="AA111" s="103"/>
      <c r="AB111" s="69"/>
      <c r="AC111" s="69"/>
      <c r="AD111" s="462"/>
      <c r="AE111" s="69"/>
      <c r="AF111" s="69"/>
      <c r="AG111" s="69"/>
      <c r="AH111" s="69"/>
      <c r="AI111" s="69"/>
      <c r="AJ111" s="69"/>
      <c r="AK111" s="69"/>
      <c r="AL111" s="69"/>
      <c r="AM111" s="69"/>
      <c r="AN111" s="69"/>
      <c r="AO111" s="69"/>
      <c r="AP111" s="69"/>
      <c r="AQ111" s="69"/>
      <c r="AR111" s="69"/>
      <c r="AS111" s="69"/>
      <c r="AT111" s="69"/>
      <c r="AU111" s="69"/>
      <c r="AV111" s="69"/>
      <c r="AW111" s="69"/>
      <c r="AX111" s="69"/>
      <c r="AY111" s="103"/>
      <c r="AZ111" s="103"/>
      <c r="BA111" s="69"/>
      <c r="BB111" s="69"/>
      <c r="BC111" s="69"/>
      <c r="BD111" s="462"/>
      <c r="BE111" s="69"/>
      <c r="BF111" s="69"/>
      <c r="BG111" s="69"/>
      <c r="BH111" s="69"/>
      <c r="BI111" s="69"/>
      <c r="BJ111" s="69"/>
      <c r="BK111" s="69"/>
      <c r="BL111" s="69"/>
      <c r="BM111" s="69"/>
      <c r="BN111" s="69"/>
      <c r="BO111" s="69"/>
      <c r="BP111" s="69"/>
      <c r="BQ111" s="69"/>
      <c r="BR111" s="69"/>
      <c r="BS111" s="69"/>
      <c r="BT111" s="69"/>
      <c r="BU111" s="69"/>
      <c r="BV111" s="69"/>
      <c r="BW111" s="69"/>
      <c r="BX111" s="69"/>
      <c r="BY111" s="69"/>
      <c r="BZ111" s="69"/>
      <c r="CA111" s="69"/>
      <c r="CB111" s="69"/>
      <c r="CC111" s="69"/>
      <c r="CD111" s="69"/>
      <c r="CE111" s="69"/>
      <c r="CF111" s="69"/>
      <c r="CG111" s="69"/>
      <c r="CH111" s="69"/>
      <c r="CI111" s="69"/>
      <c r="CJ111" s="69"/>
      <c r="CK111" s="69"/>
      <c r="CL111" s="103"/>
    </row>
    <row r="112" spans="2:90" x14ac:dyDescent="0.2">
      <c r="B112" s="69"/>
      <c r="C112" s="69"/>
      <c r="D112" s="69"/>
      <c r="E112" s="69"/>
      <c r="F112" s="69"/>
      <c r="G112" s="69"/>
      <c r="H112" s="69"/>
      <c r="I112" s="69"/>
      <c r="J112" s="69"/>
      <c r="K112" s="69"/>
      <c r="L112" s="69"/>
      <c r="M112" s="69"/>
      <c r="N112" s="70"/>
      <c r="O112" s="70"/>
      <c r="P112" s="70"/>
      <c r="Q112" s="70"/>
      <c r="R112" s="69"/>
      <c r="S112" s="103"/>
      <c r="T112" s="103"/>
      <c r="U112" s="69"/>
      <c r="V112" s="69"/>
      <c r="W112" s="69"/>
      <c r="X112" s="69"/>
      <c r="Y112" s="69"/>
      <c r="Z112" s="69"/>
      <c r="AA112" s="103"/>
      <c r="AB112" s="69"/>
      <c r="AC112" s="69"/>
      <c r="AD112" s="462"/>
      <c r="AE112" s="69"/>
      <c r="AF112" s="69"/>
      <c r="AG112" s="69"/>
      <c r="AH112" s="69"/>
      <c r="AI112" s="69"/>
      <c r="AJ112" s="69"/>
      <c r="AK112" s="69"/>
      <c r="AL112" s="69"/>
      <c r="AM112" s="69"/>
      <c r="AN112" s="69"/>
      <c r="AO112" s="69"/>
      <c r="AP112" s="69"/>
      <c r="AQ112" s="69"/>
      <c r="AR112" s="69"/>
      <c r="AS112" s="69"/>
      <c r="AT112" s="69"/>
      <c r="AU112" s="69"/>
      <c r="AV112" s="69"/>
      <c r="AW112" s="69"/>
      <c r="AX112" s="69"/>
      <c r="AY112" s="103"/>
      <c r="AZ112" s="103"/>
      <c r="BA112" s="69"/>
      <c r="BB112" s="69"/>
      <c r="BC112" s="69"/>
      <c r="BD112" s="462"/>
      <c r="BE112" s="69"/>
      <c r="BF112" s="69"/>
      <c r="BG112" s="69"/>
      <c r="BH112" s="69"/>
      <c r="BI112" s="69"/>
      <c r="BJ112" s="69"/>
      <c r="BK112" s="69"/>
      <c r="BL112" s="69"/>
      <c r="BM112" s="69"/>
      <c r="BN112" s="69"/>
      <c r="BO112" s="69"/>
      <c r="BP112" s="69"/>
      <c r="BQ112" s="69"/>
      <c r="BR112" s="69"/>
      <c r="BS112" s="69"/>
      <c r="BT112" s="69"/>
      <c r="BU112" s="69"/>
      <c r="BV112" s="69"/>
      <c r="BW112" s="69"/>
      <c r="BX112" s="69"/>
      <c r="BY112" s="69"/>
      <c r="BZ112" s="69"/>
      <c r="CA112" s="69"/>
      <c r="CB112" s="69"/>
      <c r="CC112" s="69"/>
      <c r="CD112" s="69"/>
      <c r="CE112" s="69"/>
      <c r="CF112" s="69"/>
      <c r="CG112" s="69"/>
      <c r="CH112" s="69"/>
      <c r="CI112" s="69"/>
      <c r="CJ112" s="69"/>
      <c r="CK112" s="69"/>
      <c r="CL112" s="103"/>
    </row>
    <row r="113" spans="2:90" x14ac:dyDescent="0.2">
      <c r="B113" s="69"/>
      <c r="C113" s="69"/>
      <c r="D113" s="69"/>
      <c r="E113" s="69"/>
      <c r="F113" s="69"/>
      <c r="G113" s="69"/>
      <c r="H113" s="69"/>
      <c r="I113" s="69"/>
      <c r="J113" s="69"/>
      <c r="K113" s="69"/>
      <c r="L113" s="69"/>
      <c r="M113" s="69"/>
      <c r="N113" s="70"/>
      <c r="O113" s="70"/>
      <c r="P113" s="70"/>
      <c r="Q113" s="70"/>
      <c r="R113" s="69"/>
      <c r="S113" s="103"/>
      <c r="T113" s="103"/>
      <c r="U113" s="69"/>
      <c r="V113" s="69"/>
      <c r="W113" s="69"/>
      <c r="X113" s="69"/>
      <c r="Y113" s="69"/>
      <c r="Z113" s="69"/>
      <c r="AA113" s="103"/>
      <c r="AB113" s="69"/>
      <c r="AC113" s="69"/>
      <c r="AD113" s="462"/>
      <c r="AE113" s="69"/>
      <c r="AF113" s="69"/>
      <c r="AG113" s="69"/>
      <c r="AH113" s="69"/>
      <c r="AI113" s="69"/>
      <c r="AJ113" s="69"/>
      <c r="AK113" s="69"/>
      <c r="AL113" s="69"/>
      <c r="AM113" s="69"/>
      <c r="AN113" s="69"/>
      <c r="AO113" s="69"/>
      <c r="AP113" s="69"/>
      <c r="AQ113" s="69"/>
      <c r="AR113" s="69"/>
      <c r="AS113" s="69"/>
      <c r="AT113" s="69"/>
      <c r="AU113" s="69"/>
      <c r="AV113" s="69"/>
      <c r="AW113" s="69"/>
      <c r="AX113" s="69"/>
      <c r="AY113" s="103"/>
      <c r="AZ113" s="103"/>
      <c r="BA113" s="69"/>
      <c r="BB113" s="69"/>
      <c r="BC113" s="69"/>
      <c r="BD113" s="462"/>
      <c r="BE113" s="69"/>
      <c r="BF113" s="69"/>
      <c r="BG113" s="69"/>
      <c r="BH113" s="69"/>
      <c r="BI113" s="69"/>
      <c r="BJ113" s="69"/>
      <c r="BK113" s="69"/>
      <c r="BL113" s="69"/>
      <c r="BM113" s="69"/>
      <c r="BN113" s="69"/>
      <c r="BO113" s="69"/>
      <c r="BP113" s="69"/>
      <c r="BQ113" s="69"/>
      <c r="BR113" s="69"/>
      <c r="BS113" s="69"/>
      <c r="BT113" s="69"/>
      <c r="BU113" s="69"/>
      <c r="BV113" s="69"/>
      <c r="BW113" s="69"/>
      <c r="BX113" s="69"/>
      <c r="BY113" s="69"/>
      <c r="BZ113" s="69"/>
      <c r="CA113" s="69"/>
      <c r="CB113" s="69"/>
      <c r="CC113" s="69"/>
      <c r="CD113" s="69"/>
      <c r="CE113" s="69"/>
      <c r="CF113" s="69"/>
      <c r="CG113" s="69"/>
      <c r="CH113" s="69"/>
      <c r="CI113" s="69"/>
      <c r="CJ113" s="69"/>
      <c r="CK113" s="69"/>
      <c r="CL113" s="103"/>
    </row>
    <row r="114" spans="2:90" x14ac:dyDescent="0.2">
      <c r="B114" s="69"/>
      <c r="C114" s="69"/>
      <c r="D114" s="69"/>
      <c r="E114" s="69"/>
      <c r="F114" s="69"/>
      <c r="G114" s="69"/>
      <c r="H114" s="69"/>
      <c r="I114" s="69"/>
      <c r="J114" s="69"/>
      <c r="K114" s="69"/>
      <c r="L114" s="69"/>
      <c r="M114" s="69"/>
      <c r="N114" s="70"/>
      <c r="O114" s="70"/>
      <c r="P114" s="70"/>
      <c r="Q114" s="70"/>
      <c r="R114" s="69"/>
      <c r="S114" s="103"/>
      <c r="T114" s="103"/>
      <c r="U114" s="69"/>
      <c r="V114" s="69"/>
      <c r="W114" s="69"/>
      <c r="X114" s="69"/>
      <c r="Y114" s="69"/>
      <c r="Z114" s="69"/>
      <c r="AA114" s="103"/>
      <c r="AB114" s="69"/>
      <c r="AC114" s="69"/>
      <c r="AD114" s="462"/>
      <c r="AE114" s="69"/>
      <c r="AF114" s="69"/>
      <c r="AG114" s="69"/>
      <c r="AH114" s="69"/>
      <c r="AI114" s="69"/>
      <c r="AJ114" s="69"/>
      <c r="AK114" s="69"/>
      <c r="AL114" s="69"/>
      <c r="AM114" s="69"/>
      <c r="AN114" s="69"/>
      <c r="AO114" s="69"/>
      <c r="AP114" s="69"/>
      <c r="AQ114" s="69"/>
      <c r="AR114" s="69"/>
      <c r="AS114" s="69"/>
      <c r="AT114" s="69"/>
      <c r="AU114" s="69"/>
      <c r="AV114" s="69"/>
      <c r="AW114" s="69"/>
      <c r="AX114" s="69"/>
      <c r="AY114" s="103"/>
      <c r="AZ114" s="103"/>
      <c r="BA114" s="69"/>
      <c r="BB114" s="69"/>
      <c r="BC114" s="69"/>
      <c r="BD114" s="462"/>
      <c r="BE114" s="69"/>
      <c r="BF114" s="69"/>
      <c r="BG114" s="69"/>
      <c r="BH114" s="69"/>
      <c r="BI114" s="69"/>
      <c r="BJ114" s="69"/>
      <c r="BK114" s="69"/>
      <c r="BL114" s="69"/>
      <c r="BM114" s="69"/>
      <c r="BN114" s="69"/>
      <c r="BO114" s="69"/>
      <c r="BP114" s="69"/>
      <c r="BQ114" s="69"/>
      <c r="BR114" s="69"/>
      <c r="BS114" s="69"/>
      <c r="BT114" s="69"/>
      <c r="BU114" s="69"/>
      <c r="BV114" s="69"/>
      <c r="BW114" s="69"/>
      <c r="BX114" s="69"/>
      <c r="BY114" s="69"/>
      <c r="BZ114" s="69"/>
      <c r="CA114" s="69"/>
      <c r="CB114" s="69"/>
      <c r="CC114" s="69"/>
      <c r="CD114" s="69"/>
      <c r="CE114" s="69"/>
      <c r="CF114" s="69"/>
      <c r="CG114" s="69"/>
      <c r="CH114" s="69"/>
      <c r="CI114" s="69"/>
      <c r="CJ114" s="69"/>
      <c r="CK114" s="69"/>
      <c r="CL114" s="103"/>
    </row>
    <row r="115" spans="2:90" x14ac:dyDescent="0.2">
      <c r="B115" s="69"/>
      <c r="C115" s="69"/>
      <c r="D115" s="69"/>
      <c r="E115" s="69"/>
      <c r="F115" s="69"/>
      <c r="G115" s="69"/>
      <c r="H115" s="69"/>
      <c r="I115" s="69"/>
      <c r="J115" s="69"/>
      <c r="K115" s="69"/>
      <c r="L115" s="69"/>
      <c r="M115" s="69"/>
      <c r="N115" s="70"/>
      <c r="O115" s="70"/>
      <c r="P115" s="70"/>
      <c r="Q115" s="70"/>
      <c r="R115" s="69"/>
      <c r="S115" s="103"/>
      <c r="T115" s="103"/>
      <c r="U115" s="69"/>
      <c r="V115" s="69"/>
      <c r="W115" s="69"/>
      <c r="X115" s="69"/>
      <c r="Y115" s="69"/>
      <c r="Z115" s="69"/>
      <c r="AA115" s="103"/>
      <c r="AB115" s="69"/>
      <c r="AC115" s="69"/>
      <c r="AD115" s="462"/>
      <c r="AE115" s="69"/>
      <c r="AF115" s="69"/>
      <c r="AG115" s="69"/>
      <c r="AH115" s="69"/>
      <c r="AI115" s="69"/>
      <c r="AJ115" s="69"/>
      <c r="AK115" s="69"/>
      <c r="AL115" s="69"/>
      <c r="AM115" s="69"/>
      <c r="AN115" s="69"/>
      <c r="AO115" s="69"/>
      <c r="AP115" s="69"/>
      <c r="AQ115" s="69"/>
      <c r="AR115" s="69"/>
      <c r="AS115" s="69"/>
      <c r="AT115" s="69"/>
      <c r="AU115" s="69"/>
      <c r="AV115" s="69"/>
      <c r="AW115" s="69"/>
      <c r="AX115" s="69"/>
      <c r="AY115" s="103"/>
      <c r="AZ115" s="103"/>
      <c r="BA115" s="69"/>
      <c r="BB115" s="69"/>
      <c r="BC115" s="69"/>
      <c r="BD115" s="462"/>
      <c r="BE115" s="69"/>
      <c r="BF115" s="69"/>
      <c r="BG115" s="69"/>
      <c r="BH115" s="69"/>
      <c r="BI115" s="69"/>
      <c r="BJ115" s="69"/>
      <c r="BK115" s="69"/>
      <c r="BL115" s="69"/>
      <c r="BM115" s="69"/>
      <c r="BN115" s="69"/>
      <c r="BO115" s="69"/>
      <c r="BP115" s="69"/>
      <c r="BQ115" s="69"/>
      <c r="BR115" s="69"/>
      <c r="BS115" s="69"/>
      <c r="BT115" s="69"/>
      <c r="BU115" s="69"/>
      <c r="BV115" s="69"/>
      <c r="BW115" s="69"/>
      <c r="BX115" s="69"/>
      <c r="BY115" s="69"/>
      <c r="BZ115" s="69"/>
      <c r="CA115" s="69"/>
      <c r="CB115" s="69"/>
      <c r="CC115" s="69"/>
      <c r="CD115" s="69"/>
      <c r="CE115" s="69"/>
      <c r="CF115" s="69"/>
      <c r="CG115" s="69"/>
      <c r="CH115" s="69"/>
      <c r="CI115" s="69"/>
      <c r="CJ115" s="69"/>
      <c r="CK115" s="69"/>
      <c r="CL115" s="103"/>
    </row>
    <row r="116" spans="2:90" x14ac:dyDescent="0.2">
      <c r="B116" s="69"/>
      <c r="C116" s="69"/>
      <c r="D116" s="69"/>
      <c r="E116" s="69"/>
      <c r="F116" s="69"/>
      <c r="G116" s="69"/>
      <c r="H116" s="69"/>
      <c r="I116" s="69"/>
      <c r="J116" s="69"/>
      <c r="K116" s="69"/>
      <c r="L116" s="69"/>
      <c r="M116" s="69"/>
      <c r="N116" s="70"/>
      <c r="O116" s="70"/>
      <c r="P116" s="70"/>
      <c r="Q116" s="70"/>
      <c r="R116" s="69"/>
      <c r="S116" s="103"/>
      <c r="T116" s="103"/>
      <c r="U116" s="69"/>
      <c r="V116" s="69"/>
      <c r="W116" s="69"/>
      <c r="X116" s="69"/>
      <c r="Y116" s="69"/>
      <c r="Z116" s="69"/>
      <c r="AA116" s="103"/>
      <c r="AB116" s="69"/>
      <c r="AC116" s="69"/>
      <c r="AD116" s="462"/>
      <c r="AE116" s="69"/>
      <c r="AF116" s="69"/>
      <c r="AG116" s="69"/>
      <c r="AH116" s="69"/>
      <c r="AI116" s="69"/>
      <c r="AJ116" s="69"/>
      <c r="AK116" s="69"/>
      <c r="AL116" s="69"/>
      <c r="AM116" s="69"/>
      <c r="AN116" s="69"/>
      <c r="AO116" s="69"/>
      <c r="AP116" s="69"/>
      <c r="AQ116" s="69"/>
      <c r="AR116" s="69"/>
      <c r="AS116" s="69"/>
      <c r="AT116" s="69"/>
      <c r="AU116" s="69"/>
      <c r="AV116" s="69"/>
      <c r="AW116" s="69"/>
      <c r="AX116" s="69"/>
      <c r="AY116" s="103"/>
      <c r="AZ116" s="103"/>
      <c r="BA116" s="69"/>
      <c r="BB116" s="69"/>
      <c r="BC116" s="69"/>
      <c r="BD116" s="462"/>
      <c r="BE116" s="69"/>
      <c r="BF116" s="69"/>
      <c r="BG116" s="69"/>
      <c r="BH116" s="69"/>
      <c r="BI116" s="69"/>
      <c r="BJ116" s="69"/>
      <c r="BK116" s="69"/>
      <c r="BL116" s="69"/>
      <c r="BM116" s="69"/>
      <c r="BN116" s="69"/>
      <c r="BO116" s="69"/>
      <c r="BP116" s="69"/>
      <c r="BQ116" s="69"/>
      <c r="BR116" s="69"/>
      <c r="BS116" s="69"/>
      <c r="BT116" s="69"/>
      <c r="BU116" s="69"/>
      <c r="BV116" s="69"/>
      <c r="BW116" s="69"/>
      <c r="BX116" s="69"/>
      <c r="BY116" s="69"/>
      <c r="BZ116" s="69"/>
      <c r="CA116" s="69"/>
      <c r="CB116" s="69"/>
      <c r="CC116" s="69"/>
      <c r="CD116" s="69"/>
      <c r="CE116" s="69"/>
      <c r="CF116" s="69"/>
      <c r="CG116" s="69"/>
      <c r="CH116" s="69"/>
      <c r="CI116" s="69"/>
      <c r="CJ116" s="69"/>
      <c r="CK116" s="69"/>
      <c r="CL116" s="103"/>
    </row>
    <row r="117" spans="2:90" x14ac:dyDescent="0.2">
      <c r="B117" s="69"/>
      <c r="C117" s="69"/>
      <c r="D117" s="69"/>
      <c r="E117" s="69"/>
      <c r="F117" s="69"/>
      <c r="G117" s="69"/>
      <c r="H117" s="69"/>
      <c r="I117" s="69"/>
      <c r="J117" s="69"/>
      <c r="K117" s="69"/>
      <c r="L117" s="69"/>
      <c r="M117" s="69"/>
      <c r="N117" s="70"/>
      <c r="O117" s="70"/>
      <c r="P117" s="70"/>
      <c r="Q117" s="70"/>
      <c r="R117" s="69"/>
      <c r="S117" s="103"/>
      <c r="T117" s="103"/>
      <c r="U117" s="69"/>
      <c r="V117" s="69"/>
      <c r="W117" s="69"/>
      <c r="X117" s="69"/>
      <c r="Y117" s="69"/>
      <c r="Z117" s="69"/>
      <c r="AA117" s="103"/>
      <c r="AB117" s="69"/>
      <c r="AC117" s="69"/>
      <c r="AD117" s="462"/>
      <c r="AE117" s="69"/>
      <c r="AF117" s="69"/>
      <c r="AG117" s="69"/>
      <c r="AH117" s="69"/>
      <c r="AI117" s="69"/>
      <c r="AJ117" s="69"/>
      <c r="AK117" s="69"/>
      <c r="AL117" s="69"/>
      <c r="AM117" s="69"/>
      <c r="AN117" s="69"/>
      <c r="AO117" s="69"/>
      <c r="AP117" s="69"/>
      <c r="AQ117" s="69"/>
      <c r="AR117" s="69"/>
      <c r="AS117" s="69"/>
      <c r="AT117" s="69"/>
      <c r="AU117" s="69"/>
      <c r="AV117" s="69"/>
      <c r="AW117" s="69"/>
      <c r="AX117" s="69"/>
      <c r="AY117" s="103"/>
      <c r="AZ117" s="103"/>
      <c r="BA117" s="69"/>
      <c r="BB117" s="69"/>
      <c r="BC117" s="69"/>
      <c r="BD117" s="462"/>
      <c r="BE117" s="69"/>
      <c r="BF117" s="69"/>
      <c r="BG117" s="69"/>
      <c r="BH117" s="69"/>
      <c r="BI117" s="69"/>
      <c r="BJ117" s="69"/>
      <c r="BK117" s="69"/>
      <c r="BL117" s="69"/>
      <c r="BM117" s="69"/>
      <c r="BN117" s="69"/>
      <c r="BO117" s="69"/>
      <c r="BP117" s="69"/>
      <c r="BQ117" s="69"/>
      <c r="BR117" s="69"/>
      <c r="BS117" s="69"/>
      <c r="BT117" s="69"/>
      <c r="BU117" s="69"/>
      <c r="BV117" s="69"/>
      <c r="BW117" s="69"/>
      <c r="BX117" s="69"/>
      <c r="BY117" s="69"/>
      <c r="BZ117" s="69"/>
      <c r="CA117" s="69"/>
      <c r="CB117" s="69"/>
      <c r="CC117" s="69"/>
      <c r="CD117" s="69"/>
      <c r="CE117" s="69"/>
      <c r="CF117" s="69"/>
      <c r="CG117" s="69"/>
      <c r="CH117" s="69"/>
      <c r="CI117" s="69"/>
      <c r="CJ117" s="69"/>
      <c r="CK117" s="69"/>
      <c r="CL117" s="103"/>
    </row>
    <row r="118" spans="2:90" x14ac:dyDescent="0.2">
      <c r="B118" s="69"/>
      <c r="C118" s="69"/>
      <c r="D118" s="69"/>
      <c r="E118" s="69"/>
      <c r="F118" s="69"/>
      <c r="G118" s="69"/>
      <c r="H118" s="69"/>
      <c r="I118" s="69"/>
      <c r="J118" s="69"/>
      <c r="K118" s="69"/>
      <c r="L118" s="69"/>
      <c r="M118" s="69"/>
      <c r="N118" s="70"/>
      <c r="O118" s="70"/>
      <c r="P118" s="70"/>
      <c r="Q118" s="70"/>
      <c r="R118" s="69"/>
      <c r="S118" s="103"/>
      <c r="T118" s="103"/>
      <c r="U118" s="69"/>
      <c r="V118" s="69"/>
      <c r="W118" s="69"/>
      <c r="X118" s="69"/>
      <c r="Y118" s="69"/>
      <c r="Z118" s="69"/>
      <c r="AA118" s="103"/>
      <c r="AB118" s="69"/>
      <c r="AC118" s="69"/>
      <c r="AD118" s="462"/>
      <c r="AE118" s="69"/>
      <c r="AF118" s="69"/>
      <c r="AG118" s="69"/>
      <c r="AH118" s="69"/>
      <c r="AI118" s="69"/>
      <c r="AJ118" s="69"/>
      <c r="AK118" s="69"/>
      <c r="AL118" s="69"/>
      <c r="AM118" s="69"/>
      <c r="AN118" s="69"/>
      <c r="AO118" s="69"/>
      <c r="AP118" s="69"/>
      <c r="AQ118" s="69"/>
      <c r="AR118" s="69"/>
      <c r="AS118" s="69"/>
      <c r="AT118" s="69"/>
      <c r="AU118" s="69"/>
      <c r="AV118" s="69"/>
      <c r="AW118" s="69"/>
      <c r="AX118" s="69"/>
      <c r="AY118" s="103"/>
      <c r="AZ118" s="103"/>
      <c r="BA118" s="69"/>
      <c r="BB118" s="69"/>
      <c r="BC118" s="69"/>
      <c r="BD118" s="462"/>
      <c r="BE118" s="69"/>
      <c r="BF118" s="69"/>
      <c r="BG118" s="69"/>
      <c r="BH118" s="69"/>
      <c r="BI118" s="69"/>
      <c r="BJ118" s="69"/>
      <c r="BK118" s="69"/>
      <c r="BL118" s="69"/>
      <c r="BM118" s="69"/>
      <c r="BN118" s="69"/>
      <c r="BO118" s="69"/>
      <c r="BP118" s="69"/>
      <c r="BQ118" s="69"/>
      <c r="BR118" s="69"/>
      <c r="BS118" s="69"/>
      <c r="BT118" s="69"/>
      <c r="BU118" s="69"/>
      <c r="BV118" s="69"/>
      <c r="BW118" s="69"/>
      <c r="BX118" s="69"/>
      <c r="BY118" s="69"/>
      <c r="BZ118" s="69"/>
      <c r="CA118" s="69"/>
      <c r="CB118" s="69"/>
      <c r="CC118" s="69"/>
      <c r="CD118" s="69"/>
      <c r="CE118" s="69"/>
      <c r="CF118" s="69"/>
      <c r="CG118" s="69"/>
      <c r="CH118" s="69"/>
      <c r="CI118" s="69"/>
      <c r="CJ118" s="69"/>
      <c r="CK118" s="69"/>
      <c r="CL118" s="103"/>
    </row>
    <row r="119" spans="2:90" x14ac:dyDescent="0.2">
      <c r="B119" s="69"/>
      <c r="C119" s="69"/>
      <c r="D119" s="69"/>
      <c r="E119" s="69"/>
      <c r="F119" s="69"/>
      <c r="G119" s="69"/>
      <c r="H119" s="69"/>
      <c r="I119" s="69"/>
      <c r="J119" s="69"/>
      <c r="K119" s="69"/>
      <c r="L119" s="69"/>
      <c r="M119" s="69"/>
      <c r="N119" s="70"/>
      <c r="O119" s="70"/>
      <c r="P119" s="70"/>
      <c r="Q119" s="70"/>
      <c r="R119" s="69"/>
      <c r="S119" s="103"/>
      <c r="T119" s="103"/>
      <c r="U119" s="69"/>
      <c r="V119" s="69"/>
      <c r="W119" s="69"/>
      <c r="X119" s="69"/>
      <c r="Y119" s="69"/>
      <c r="Z119" s="69"/>
      <c r="AA119" s="103"/>
      <c r="AB119" s="69"/>
      <c r="AC119" s="69"/>
      <c r="AD119" s="462"/>
      <c r="AE119" s="69"/>
      <c r="AF119" s="69"/>
      <c r="AG119" s="69"/>
      <c r="AH119" s="69"/>
      <c r="AI119" s="69"/>
      <c r="AJ119" s="69"/>
      <c r="AK119" s="69"/>
      <c r="AL119" s="69"/>
      <c r="AM119" s="69"/>
      <c r="AN119" s="69"/>
      <c r="AO119" s="69"/>
      <c r="AP119" s="69"/>
      <c r="AQ119" s="69"/>
      <c r="AR119" s="69"/>
      <c r="AS119" s="69"/>
      <c r="AT119" s="69"/>
      <c r="AU119" s="69"/>
      <c r="AV119" s="69"/>
      <c r="AW119" s="69"/>
      <c r="AX119" s="69"/>
      <c r="AY119" s="103"/>
      <c r="AZ119" s="103"/>
      <c r="BA119" s="69"/>
      <c r="BB119" s="69"/>
      <c r="BC119" s="69"/>
      <c r="BD119" s="462"/>
      <c r="BE119" s="69"/>
      <c r="BF119" s="69"/>
      <c r="BG119" s="69"/>
      <c r="BH119" s="69"/>
      <c r="BI119" s="69"/>
      <c r="BJ119" s="69"/>
      <c r="BK119" s="69"/>
      <c r="BL119" s="69"/>
      <c r="BM119" s="69"/>
      <c r="BN119" s="69"/>
      <c r="BO119" s="69"/>
      <c r="BP119" s="69"/>
      <c r="BQ119" s="69"/>
      <c r="BR119" s="69"/>
      <c r="BS119" s="69"/>
      <c r="BT119" s="69"/>
      <c r="BU119" s="69"/>
      <c r="BV119" s="69"/>
      <c r="BW119" s="69"/>
      <c r="BX119" s="69"/>
      <c r="BY119" s="69"/>
      <c r="BZ119" s="69"/>
      <c r="CA119" s="69"/>
      <c r="CB119" s="69"/>
      <c r="CC119" s="69"/>
      <c r="CD119" s="69"/>
      <c r="CE119" s="69"/>
      <c r="CF119" s="69"/>
      <c r="CG119" s="69"/>
      <c r="CH119" s="69"/>
      <c r="CI119" s="69"/>
      <c r="CJ119" s="69"/>
      <c r="CK119" s="69"/>
      <c r="CL119" s="103"/>
    </row>
    <row r="120" spans="2:90" x14ac:dyDescent="0.2">
      <c r="B120" s="69"/>
      <c r="C120" s="69"/>
      <c r="D120" s="69"/>
      <c r="E120" s="69"/>
      <c r="F120" s="69"/>
      <c r="G120" s="69"/>
      <c r="H120" s="69"/>
      <c r="I120" s="69"/>
      <c r="J120" s="69"/>
      <c r="K120" s="69"/>
      <c r="L120" s="69"/>
      <c r="M120" s="69"/>
      <c r="N120" s="70"/>
      <c r="O120" s="70"/>
      <c r="P120" s="70"/>
      <c r="Q120" s="70"/>
      <c r="R120" s="69"/>
      <c r="S120" s="103"/>
      <c r="T120" s="103"/>
      <c r="U120" s="69"/>
      <c r="V120" s="69"/>
      <c r="W120" s="69"/>
      <c r="X120" s="69"/>
      <c r="Y120" s="69"/>
      <c r="Z120" s="69"/>
      <c r="AA120" s="103"/>
      <c r="AB120" s="69"/>
      <c r="AC120" s="69"/>
      <c r="AD120" s="462"/>
      <c r="AE120" s="69"/>
      <c r="AF120" s="69"/>
      <c r="AG120" s="69"/>
      <c r="AH120" s="69"/>
      <c r="AI120" s="69"/>
      <c r="AJ120" s="69"/>
      <c r="AK120" s="69"/>
      <c r="AL120" s="69"/>
      <c r="AM120" s="69"/>
      <c r="AN120" s="69"/>
      <c r="AO120" s="69"/>
      <c r="AP120" s="69"/>
      <c r="AQ120" s="69"/>
      <c r="AR120" s="69"/>
      <c r="AS120" s="69"/>
      <c r="AT120" s="69"/>
      <c r="AU120" s="69"/>
      <c r="AV120" s="69"/>
      <c r="AW120" s="69"/>
      <c r="AX120" s="69"/>
      <c r="AY120" s="103"/>
      <c r="AZ120" s="103"/>
      <c r="BA120" s="69"/>
      <c r="BB120" s="69"/>
      <c r="BC120" s="69"/>
      <c r="BD120" s="462"/>
      <c r="BE120" s="69"/>
      <c r="BF120" s="69"/>
      <c r="BG120" s="69"/>
      <c r="BH120" s="69"/>
      <c r="BI120" s="69"/>
      <c r="BJ120" s="69"/>
      <c r="BK120" s="69"/>
      <c r="BL120" s="69"/>
      <c r="BM120" s="69"/>
      <c r="BN120" s="69"/>
      <c r="BO120" s="69"/>
      <c r="BP120" s="69"/>
      <c r="BQ120" s="69"/>
      <c r="BR120" s="69"/>
      <c r="BS120" s="69"/>
      <c r="BT120" s="69"/>
      <c r="BU120" s="69"/>
      <c r="BV120" s="69"/>
      <c r="BW120" s="69"/>
      <c r="BX120" s="69"/>
      <c r="BY120" s="69"/>
      <c r="BZ120" s="69"/>
      <c r="CA120" s="69"/>
      <c r="CB120" s="69"/>
      <c r="CC120" s="69"/>
      <c r="CD120" s="69"/>
      <c r="CE120" s="69"/>
      <c r="CF120" s="69"/>
      <c r="CG120" s="69"/>
      <c r="CH120" s="69"/>
      <c r="CI120" s="69"/>
      <c r="CJ120" s="69"/>
      <c r="CK120" s="69"/>
      <c r="CL120" s="103"/>
    </row>
    <row r="121" spans="2:90" x14ac:dyDescent="0.2">
      <c r="B121" s="69"/>
      <c r="C121" s="69"/>
      <c r="D121" s="69"/>
      <c r="E121" s="69"/>
      <c r="F121" s="69"/>
      <c r="G121" s="69"/>
      <c r="H121" s="69"/>
      <c r="I121" s="69"/>
      <c r="J121" s="69"/>
      <c r="K121" s="69"/>
      <c r="L121" s="69"/>
      <c r="M121" s="69"/>
      <c r="N121" s="70"/>
      <c r="O121" s="70"/>
      <c r="P121" s="70"/>
      <c r="Q121" s="70"/>
      <c r="R121" s="69"/>
      <c r="S121" s="103"/>
      <c r="T121" s="103"/>
      <c r="U121" s="69"/>
      <c r="V121" s="69"/>
      <c r="W121" s="69"/>
      <c r="X121" s="69"/>
      <c r="Y121" s="69"/>
      <c r="Z121" s="69"/>
      <c r="AA121" s="103"/>
      <c r="AB121" s="69"/>
      <c r="AC121" s="69"/>
      <c r="AD121" s="462"/>
      <c r="AE121" s="69"/>
      <c r="AF121" s="69"/>
      <c r="AG121" s="69"/>
      <c r="AH121" s="69"/>
      <c r="AI121" s="69"/>
      <c r="AJ121" s="69"/>
      <c r="AK121" s="69"/>
      <c r="AL121" s="69"/>
      <c r="AM121" s="69"/>
      <c r="AN121" s="69"/>
      <c r="AO121" s="69"/>
      <c r="AP121" s="69"/>
      <c r="AQ121" s="69"/>
      <c r="AR121" s="69"/>
      <c r="AS121" s="69"/>
      <c r="AT121" s="69"/>
      <c r="AU121" s="69"/>
      <c r="AV121" s="69"/>
      <c r="AW121" s="69"/>
      <c r="AX121" s="69"/>
      <c r="AY121" s="103"/>
      <c r="AZ121" s="103"/>
      <c r="BA121" s="69"/>
      <c r="BB121" s="69"/>
      <c r="BC121" s="69"/>
      <c r="BD121" s="462"/>
      <c r="BE121" s="69"/>
      <c r="BF121" s="69"/>
      <c r="BG121" s="69"/>
      <c r="BH121" s="69"/>
      <c r="BI121" s="69"/>
      <c r="BJ121" s="69"/>
      <c r="BK121" s="69"/>
      <c r="BL121" s="69"/>
      <c r="BM121" s="69"/>
      <c r="BN121" s="69"/>
      <c r="BO121" s="69"/>
      <c r="BP121" s="69"/>
      <c r="BQ121" s="69"/>
      <c r="BR121" s="69"/>
      <c r="BS121" s="69"/>
      <c r="BT121" s="69"/>
      <c r="BU121" s="69"/>
      <c r="BV121" s="69"/>
      <c r="BW121" s="69"/>
      <c r="BX121" s="69"/>
      <c r="BY121" s="69"/>
      <c r="BZ121" s="69"/>
      <c r="CA121" s="69"/>
      <c r="CB121" s="69"/>
      <c r="CC121" s="69"/>
      <c r="CD121" s="69"/>
      <c r="CE121" s="69"/>
      <c r="CF121" s="69"/>
      <c r="CG121" s="69"/>
      <c r="CH121" s="69"/>
      <c r="CI121" s="69"/>
      <c r="CJ121" s="69"/>
      <c r="CK121" s="69"/>
      <c r="CL121" s="103"/>
    </row>
    <row r="122" spans="2:90" x14ac:dyDescent="0.2">
      <c r="B122" s="69"/>
      <c r="C122" s="69"/>
      <c r="D122" s="69"/>
      <c r="E122" s="69"/>
      <c r="F122" s="69"/>
      <c r="G122" s="69"/>
      <c r="H122" s="69"/>
      <c r="I122" s="69"/>
      <c r="J122" s="69"/>
      <c r="K122" s="69"/>
      <c r="L122" s="69"/>
      <c r="M122" s="69"/>
      <c r="N122" s="70"/>
      <c r="O122" s="70"/>
      <c r="P122" s="70"/>
      <c r="Q122" s="70"/>
      <c r="R122" s="69"/>
      <c r="S122" s="103"/>
      <c r="T122" s="103"/>
      <c r="U122" s="69"/>
      <c r="V122" s="69"/>
      <c r="W122" s="69"/>
      <c r="X122" s="69"/>
      <c r="Y122" s="69"/>
      <c r="Z122" s="69"/>
      <c r="AA122" s="103"/>
      <c r="AB122" s="69"/>
      <c r="AC122" s="69"/>
      <c r="AD122" s="462"/>
      <c r="AE122" s="69"/>
      <c r="AF122" s="69"/>
      <c r="AG122" s="69"/>
      <c r="AH122" s="69"/>
      <c r="AI122" s="69"/>
      <c r="AJ122" s="69"/>
      <c r="AK122" s="69"/>
      <c r="AL122" s="69"/>
      <c r="AM122" s="69"/>
      <c r="AN122" s="69"/>
      <c r="AO122" s="69"/>
      <c r="AP122" s="69"/>
      <c r="AQ122" s="69"/>
      <c r="AR122" s="69"/>
      <c r="AS122" s="69"/>
      <c r="AT122" s="69"/>
      <c r="AU122" s="69"/>
      <c r="AV122" s="69"/>
      <c r="AW122" s="69"/>
      <c r="AX122" s="69"/>
      <c r="AY122" s="103"/>
      <c r="AZ122" s="103"/>
      <c r="BA122" s="69"/>
      <c r="BB122" s="69"/>
      <c r="BC122" s="69"/>
      <c r="BD122" s="462"/>
      <c r="BE122" s="69"/>
      <c r="BF122" s="69"/>
      <c r="BG122" s="69"/>
      <c r="BH122" s="69"/>
      <c r="BI122" s="69"/>
      <c r="BJ122" s="69"/>
      <c r="BK122" s="69"/>
      <c r="BL122" s="69"/>
      <c r="BM122" s="69"/>
      <c r="BN122" s="69"/>
      <c r="BO122" s="69"/>
      <c r="BP122" s="69"/>
      <c r="BQ122" s="69"/>
      <c r="BR122" s="69"/>
      <c r="BS122" s="69"/>
      <c r="BT122" s="69"/>
      <c r="BU122" s="69"/>
      <c r="BV122" s="69"/>
      <c r="BW122" s="69"/>
      <c r="BX122" s="69"/>
      <c r="BY122" s="69"/>
      <c r="BZ122" s="69"/>
      <c r="CA122" s="69"/>
      <c r="CB122" s="69"/>
      <c r="CC122" s="69"/>
      <c r="CD122" s="69"/>
      <c r="CE122" s="69"/>
      <c r="CF122" s="69"/>
      <c r="CG122" s="69"/>
      <c r="CH122" s="69"/>
      <c r="CI122" s="69"/>
      <c r="CJ122" s="69"/>
      <c r="CK122" s="69"/>
      <c r="CL122" s="103"/>
    </row>
    <row r="123" spans="2:90" x14ac:dyDescent="0.2">
      <c r="B123" s="69"/>
      <c r="C123" s="69"/>
      <c r="D123" s="69"/>
      <c r="E123" s="69"/>
      <c r="F123" s="69"/>
      <c r="G123" s="69"/>
      <c r="H123" s="69"/>
      <c r="I123" s="69"/>
      <c r="J123" s="69"/>
      <c r="K123" s="69"/>
      <c r="L123" s="69"/>
      <c r="M123" s="69"/>
      <c r="N123" s="70"/>
      <c r="O123" s="70"/>
      <c r="P123" s="70"/>
      <c r="Q123" s="70"/>
      <c r="R123" s="69"/>
      <c r="S123" s="103"/>
      <c r="T123" s="103"/>
      <c r="U123" s="69"/>
      <c r="V123" s="69"/>
      <c r="W123" s="69"/>
      <c r="X123" s="69"/>
      <c r="Y123" s="69"/>
      <c r="Z123" s="69"/>
      <c r="AA123" s="103"/>
      <c r="AB123" s="69"/>
      <c r="AC123" s="69"/>
      <c r="AD123" s="462"/>
      <c r="AE123" s="69"/>
      <c r="AF123" s="69"/>
      <c r="AG123" s="69"/>
      <c r="AH123" s="69"/>
      <c r="AI123" s="69"/>
      <c r="AJ123" s="69"/>
      <c r="AK123" s="69"/>
      <c r="AL123" s="69"/>
      <c r="AM123" s="69"/>
      <c r="AN123" s="69"/>
      <c r="AO123" s="69"/>
      <c r="AP123" s="69"/>
      <c r="AQ123" s="69"/>
      <c r="AR123" s="69"/>
      <c r="AS123" s="69"/>
      <c r="AT123" s="69"/>
      <c r="AU123" s="69"/>
      <c r="AV123" s="69"/>
      <c r="AW123" s="69"/>
      <c r="AX123" s="69"/>
      <c r="AY123" s="103"/>
      <c r="AZ123" s="103"/>
      <c r="BA123" s="69"/>
      <c r="BB123" s="69"/>
      <c r="BC123" s="69"/>
      <c r="BD123" s="462"/>
      <c r="BE123" s="69"/>
      <c r="BF123" s="69"/>
      <c r="BG123" s="69"/>
      <c r="BH123" s="69"/>
      <c r="BI123" s="69"/>
      <c r="BJ123" s="69"/>
      <c r="BK123" s="69"/>
      <c r="BL123" s="69"/>
      <c r="BM123" s="69"/>
      <c r="BN123" s="69"/>
      <c r="BO123" s="69"/>
      <c r="BP123" s="69"/>
      <c r="BQ123" s="69"/>
      <c r="BR123" s="69"/>
      <c r="BS123" s="69"/>
      <c r="BT123" s="69"/>
      <c r="BU123" s="69"/>
      <c r="BV123" s="69"/>
      <c r="BW123" s="69"/>
      <c r="BX123" s="69"/>
      <c r="BY123" s="69"/>
      <c r="BZ123" s="69"/>
      <c r="CA123" s="69"/>
      <c r="CB123" s="69"/>
      <c r="CC123" s="69"/>
      <c r="CD123" s="69"/>
      <c r="CE123" s="69"/>
      <c r="CF123" s="69"/>
      <c r="CG123" s="69"/>
      <c r="CH123" s="69"/>
      <c r="CI123" s="69"/>
      <c r="CJ123" s="69"/>
      <c r="CK123" s="69"/>
      <c r="CL123" s="103"/>
    </row>
    <row r="124" spans="2:90" x14ac:dyDescent="0.2">
      <c r="B124" s="69"/>
      <c r="C124" s="69"/>
      <c r="D124" s="69"/>
      <c r="E124" s="69"/>
      <c r="F124" s="69"/>
      <c r="G124" s="69"/>
      <c r="H124" s="69"/>
      <c r="I124" s="69"/>
      <c r="J124" s="69"/>
      <c r="K124" s="69"/>
      <c r="L124" s="69"/>
      <c r="M124" s="69"/>
      <c r="N124" s="70"/>
      <c r="O124" s="70"/>
      <c r="P124" s="70"/>
      <c r="Q124" s="70"/>
      <c r="R124" s="69"/>
      <c r="S124" s="103"/>
      <c r="T124" s="103"/>
      <c r="U124" s="69"/>
      <c r="V124" s="69"/>
      <c r="W124" s="69"/>
      <c r="X124" s="69"/>
      <c r="Y124" s="69"/>
      <c r="Z124" s="69"/>
      <c r="AA124" s="103"/>
      <c r="AB124" s="69"/>
      <c r="AC124" s="69"/>
      <c r="AD124" s="462"/>
      <c r="AE124" s="69"/>
      <c r="AF124" s="69"/>
      <c r="AG124" s="69"/>
      <c r="AH124" s="69"/>
      <c r="AI124" s="69"/>
      <c r="AJ124" s="69"/>
      <c r="AK124" s="69"/>
      <c r="AL124" s="69"/>
      <c r="AM124" s="69"/>
      <c r="AN124" s="69"/>
      <c r="AO124" s="69"/>
      <c r="AP124" s="69"/>
      <c r="AQ124" s="69"/>
      <c r="AR124" s="69"/>
      <c r="AS124" s="69"/>
      <c r="AT124" s="69"/>
      <c r="AU124" s="69"/>
      <c r="AV124" s="69"/>
      <c r="AW124" s="69"/>
      <c r="AX124" s="69"/>
      <c r="AY124" s="103"/>
      <c r="AZ124" s="103"/>
      <c r="BA124" s="69"/>
      <c r="BB124" s="69"/>
      <c r="BC124" s="69"/>
      <c r="BD124" s="462"/>
      <c r="BE124" s="69"/>
      <c r="BF124" s="69"/>
      <c r="BG124" s="69"/>
      <c r="BH124" s="69"/>
      <c r="BI124" s="69"/>
      <c r="BJ124" s="69"/>
      <c r="BK124" s="69"/>
      <c r="BL124" s="69"/>
      <c r="BM124" s="69"/>
      <c r="BN124" s="69"/>
      <c r="BO124" s="69"/>
      <c r="BP124" s="69"/>
      <c r="BQ124" s="69"/>
      <c r="BR124" s="69"/>
      <c r="BS124" s="69"/>
      <c r="BT124" s="69"/>
      <c r="BU124" s="69"/>
      <c r="BV124" s="69"/>
      <c r="BW124" s="69"/>
      <c r="BX124" s="69"/>
      <c r="BY124" s="69"/>
      <c r="BZ124" s="69"/>
      <c r="CA124" s="69"/>
      <c r="CB124" s="69"/>
      <c r="CC124" s="69"/>
      <c r="CD124" s="69"/>
      <c r="CE124" s="69"/>
      <c r="CF124" s="69"/>
      <c r="CG124" s="69"/>
      <c r="CH124" s="69"/>
      <c r="CI124" s="69"/>
      <c r="CJ124" s="69"/>
      <c r="CK124" s="69"/>
      <c r="CL124" s="103"/>
    </row>
    <row r="125" spans="2:90" x14ac:dyDescent="0.2">
      <c r="B125" s="69"/>
      <c r="C125" s="69"/>
      <c r="D125" s="69"/>
      <c r="E125" s="69"/>
      <c r="F125" s="69"/>
      <c r="G125" s="69"/>
      <c r="H125" s="69"/>
      <c r="I125" s="69"/>
      <c r="J125" s="69"/>
      <c r="K125" s="69"/>
      <c r="L125" s="69"/>
      <c r="M125" s="69"/>
      <c r="N125" s="70"/>
      <c r="O125" s="70"/>
      <c r="P125" s="70"/>
      <c r="Q125" s="70"/>
      <c r="R125" s="69"/>
      <c r="S125" s="103"/>
      <c r="T125" s="103"/>
      <c r="U125" s="69"/>
      <c r="V125" s="69"/>
      <c r="W125" s="69"/>
      <c r="X125" s="69"/>
      <c r="Y125" s="69"/>
      <c r="Z125" s="69"/>
      <c r="AA125" s="103"/>
      <c r="AB125" s="69"/>
      <c r="AC125" s="69"/>
      <c r="AD125" s="462"/>
      <c r="AE125" s="69"/>
      <c r="AF125" s="69"/>
      <c r="AG125" s="69"/>
      <c r="AH125" s="69"/>
      <c r="AI125" s="69"/>
      <c r="AJ125" s="69"/>
      <c r="AK125" s="69"/>
      <c r="AL125" s="69"/>
      <c r="AM125" s="69"/>
      <c r="AN125" s="69"/>
      <c r="AO125" s="69"/>
      <c r="AP125" s="69"/>
      <c r="AQ125" s="69"/>
      <c r="AR125" s="69"/>
      <c r="AS125" s="69"/>
      <c r="AT125" s="69"/>
      <c r="AU125" s="69"/>
      <c r="AV125" s="69"/>
      <c r="AW125" s="69"/>
      <c r="AX125" s="69"/>
      <c r="AY125" s="103"/>
      <c r="AZ125" s="103"/>
      <c r="BA125" s="69"/>
      <c r="BB125" s="69"/>
      <c r="BC125" s="69"/>
      <c r="BD125" s="462"/>
      <c r="BE125" s="69"/>
      <c r="BF125" s="69"/>
      <c r="BG125" s="69"/>
      <c r="BH125" s="69"/>
      <c r="BI125" s="69"/>
      <c r="BJ125" s="69"/>
      <c r="BK125" s="69"/>
      <c r="BL125" s="69"/>
      <c r="BM125" s="69"/>
      <c r="BN125" s="69"/>
      <c r="BO125" s="69"/>
      <c r="BP125" s="69"/>
      <c r="BQ125" s="69"/>
      <c r="BR125" s="69"/>
      <c r="BS125" s="69"/>
      <c r="BT125" s="69"/>
      <c r="BU125" s="69"/>
      <c r="BV125" s="69"/>
      <c r="BW125" s="69"/>
      <c r="BX125" s="69"/>
      <c r="BY125" s="69"/>
      <c r="BZ125" s="69"/>
      <c r="CA125" s="69"/>
      <c r="CB125" s="69"/>
      <c r="CC125" s="69"/>
      <c r="CD125" s="69"/>
      <c r="CE125" s="69"/>
      <c r="CF125" s="69"/>
      <c r="CG125" s="69"/>
      <c r="CH125" s="69"/>
      <c r="CI125" s="69"/>
      <c r="CJ125" s="69"/>
      <c r="CK125" s="69"/>
      <c r="CL125" s="103"/>
    </row>
    <row r="126" spans="2:90" x14ac:dyDescent="0.2">
      <c r="B126" s="69"/>
      <c r="C126" s="69"/>
      <c r="D126" s="69"/>
      <c r="E126" s="69"/>
      <c r="F126" s="69"/>
      <c r="G126" s="69"/>
      <c r="H126" s="69"/>
      <c r="I126" s="69"/>
      <c r="J126" s="69"/>
      <c r="K126" s="69"/>
      <c r="L126" s="69"/>
      <c r="M126" s="69"/>
      <c r="N126" s="70"/>
      <c r="O126" s="70"/>
      <c r="P126" s="70"/>
      <c r="Q126" s="70"/>
      <c r="R126" s="69"/>
      <c r="S126" s="103"/>
      <c r="T126" s="103"/>
      <c r="U126" s="69"/>
      <c r="V126" s="69"/>
      <c r="W126" s="69"/>
      <c r="X126" s="69"/>
      <c r="Y126" s="69"/>
      <c r="Z126" s="69"/>
      <c r="AA126" s="103"/>
      <c r="AB126" s="69"/>
      <c r="AC126" s="69"/>
      <c r="AD126" s="462"/>
      <c r="AE126" s="69"/>
      <c r="AF126" s="69"/>
      <c r="AG126" s="69"/>
      <c r="AH126" s="69"/>
      <c r="AI126" s="69"/>
      <c r="AJ126" s="69"/>
      <c r="AK126" s="69"/>
      <c r="AL126" s="69"/>
      <c r="AM126" s="69"/>
      <c r="AN126" s="69"/>
      <c r="AO126" s="69"/>
      <c r="AP126" s="69"/>
      <c r="AQ126" s="69"/>
      <c r="AR126" s="69"/>
      <c r="AS126" s="69"/>
      <c r="AT126" s="69"/>
      <c r="AU126" s="69"/>
      <c r="AV126" s="69"/>
      <c r="AW126" s="69"/>
      <c r="AX126" s="69"/>
      <c r="AY126" s="103"/>
      <c r="AZ126" s="103"/>
      <c r="BA126" s="69"/>
      <c r="BB126" s="69"/>
      <c r="BC126" s="69"/>
      <c r="BD126" s="462"/>
      <c r="BE126" s="69"/>
      <c r="BF126" s="69"/>
      <c r="BG126" s="69"/>
      <c r="BH126" s="69"/>
      <c r="BI126" s="69"/>
      <c r="BJ126" s="69"/>
      <c r="BK126" s="69"/>
      <c r="BL126" s="69"/>
      <c r="BM126" s="69"/>
      <c r="BN126" s="69"/>
      <c r="BO126" s="69"/>
      <c r="BP126" s="69"/>
      <c r="BQ126" s="69"/>
      <c r="BR126" s="69"/>
      <c r="BS126" s="69"/>
      <c r="BT126" s="69"/>
      <c r="BU126" s="69"/>
      <c r="BV126" s="69"/>
      <c r="BW126" s="69"/>
      <c r="BX126" s="69"/>
      <c r="BY126" s="69"/>
      <c r="BZ126" s="69"/>
      <c r="CA126" s="69"/>
      <c r="CB126" s="69"/>
      <c r="CC126" s="69"/>
      <c r="CD126" s="69"/>
      <c r="CE126" s="69"/>
      <c r="CF126" s="69"/>
      <c r="CG126" s="69"/>
      <c r="CH126" s="69"/>
      <c r="CI126" s="69"/>
      <c r="CJ126" s="69"/>
      <c r="CK126" s="69"/>
      <c r="CL126" s="103"/>
    </row>
    <row r="127" spans="2:90" x14ac:dyDescent="0.2">
      <c r="B127" s="69"/>
      <c r="C127" s="69"/>
      <c r="D127" s="69"/>
      <c r="E127" s="69"/>
      <c r="F127" s="69"/>
      <c r="G127" s="69"/>
      <c r="H127" s="69"/>
      <c r="I127" s="69"/>
      <c r="J127" s="69"/>
      <c r="K127" s="69"/>
      <c r="L127" s="69"/>
      <c r="M127" s="69"/>
      <c r="N127" s="70"/>
      <c r="O127" s="70"/>
      <c r="P127" s="70"/>
      <c r="Q127" s="70"/>
      <c r="R127" s="69"/>
      <c r="S127" s="103"/>
      <c r="T127" s="103"/>
      <c r="U127" s="69"/>
      <c r="V127" s="69"/>
      <c r="W127" s="69"/>
      <c r="X127" s="69"/>
      <c r="Y127" s="69"/>
      <c r="Z127" s="69"/>
      <c r="AA127" s="103"/>
      <c r="AB127" s="69"/>
      <c r="AC127" s="69"/>
      <c r="AD127" s="462"/>
      <c r="AE127" s="69"/>
      <c r="AF127" s="69"/>
      <c r="AG127" s="69"/>
      <c r="AH127" s="69"/>
      <c r="AI127" s="69"/>
      <c r="AJ127" s="69"/>
      <c r="AK127" s="69"/>
      <c r="AL127" s="69"/>
      <c r="AM127" s="69"/>
      <c r="AN127" s="69"/>
      <c r="AO127" s="69"/>
      <c r="AP127" s="69"/>
      <c r="AQ127" s="69"/>
      <c r="AR127" s="69"/>
      <c r="AS127" s="69"/>
      <c r="AT127" s="69"/>
      <c r="AU127" s="69"/>
      <c r="AV127" s="69"/>
      <c r="AW127" s="69"/>
      <c r="AX127" s="69"/>
      <c r="AY127" s="103"/>
      <c r="AZ127" s="103"/>
      <c r="BA127" s="69"/>
      <c r="BB127" s="69"/>
      <c r="BC127" s="69"/>
      <c r="BD127" s="462"/>
      <c r="BE127" s="69"/>
      <c r="BF127" s="69"/>
      <c r="BG127" s="69"/>
      <c r="BH127" s="69"/>
      <c r="BI127" s="69"/>
      <c r="BJ127" s="69"/>
      <c r="BK127" s="69"/>
      <c r="BL127" s="69"/>
      <c r="BM127" s="69"/>
      <c r="BN127" s="69"/>
      <c r="BO127" s="69"/>
      <c r="BP127" s="69"/>
      <c r="BQ127" s="69"/>
      <c r="BR127" s="69"/>
      <c r="BS127" s="69"/>
      <c r="BT127" s="69"/>
      <c r="BU127" s="69"/>
      <c r="BV127" s="69"/>
      <c r="BW127" s="69"/>
      <c r="BX127" s="69"/>
      <c r="BY127" s="69"/>
      <c r="BZ127" s="69"/>
      <c r="CA127" s="69"/>
      <c r="CB127" s="69"/>
      <c r="CC127" s="69"/>
      <c r="CD127" s="69"/>
      <c r="CE127" s="69"/>
      <c r="CF127" s="69"/>
      <c r="CG127" s="69"/>
      <c r="CH127" s="69"/>
      <c r="CI127" s="69"/>
      <c r="CJ127" s="69"/>
      <c r="CK127" s="69"/>
      <c r="CL127" s="103"/>
    </row>
    <row r="128" spans="2:90" x14ac:dyDescent="0.2">
      <c r="B128" s="69"/>
      <c r="C128" s="69"/>
      <c r="D128" s="69"/>
      <c r="E128" s="69"/>
      <c r="F128" s="69"/>
      <c r="G128" s="69"/>
      <c r="H128" s="69"/>
      <c r="I128" s="69"/>
      <c r="J128" s="69"/>
      <c r="K128" s="69"/>
      <c r="L128" s="69"/>
      <c r="M128" s="69"/>
      <c r="N128" s="70"/>
      <c r="O128" s="70"/>
      <c r="P128" s="70"/>
      <c r="Q128" s="70"/>
      <c r="R128" s="69"/>
      <c r="S128" s="103"/>
      <c r="T128" s="103"/>
      <c r="U128" s="69"/>
      <c r="V128" s="69"/>
      <c r="W128" s="69"/>
      <c r="X128" s="69"/>
      <c r="Y128" s="69"/>
      <c r="Z128" s="69"/>
      <c r="AA128" s="103"/>
      <c r="AB128" s="69"/>
      <c r="AC128" s="69"/>
      <c r="AD128" s="462"/>
      <c r="AE128" s="69"/>
      <c r="AF128" s="69"/>
      <c r="AG128" s="69"/>
      <c r="AH128" s="69"/>
      <c r="AI128" s="69"/>
      <c r="AJ128" s="69"/>
      <c r="AK128" s="69"/>
      <c r="AL128" s="69"/>
      <c r="AM128" s="69"/>
      <c r="AN128" s="69"/>
      <c r="AO128" s="69"/>
      <c r="AP128" s="69"/>
      <c r="AQ128" s="69"/>
      <c r="AR128" s="69"/>
      <c r="AS128" s="69"/>
      <c r="AT128" s="69"/>
      <c r="AU128" s="69"/>
      <c r="AV128" s="69"/>
      <c r="AW128" s="69"/>
      <c r="AX128" s="69"/>
      <c r="AY128" s="103"/>
      <c r="AZ128" s="103"/>
      <c r="BA128" s="69"/>
      <c r="BB128" s="69"/>
      <c r="BC128" s="69"/>
      <c r="BD128" s="462"/>
      <c r="BE128" s="69"/>
      <c r="BF128" s="69"/>
      <c r="BG128" s="69"/>
      <c r="BH128" s="69"/>
      <c r="BI128" s="69"/>
      <c r="BJ128" s="69"/>
      <c r="BK128" s="69"/>
      <c r="BL128" s="69"/>
      <c r="BM128" s="69"/>
      <c r="BN128" s="69"/>
      <c r="BO128" s="69"/>
      <c r="BP128" s="69"/>
      <c r="BQ128" s="69"/>
      <c r="BR128" s="69"/>
      <c r="BS128" s="69"/>
      <c r="BT128" s="69"/>
      <c r="BU128" s="69"/>
      <c r="BV128" s="69"/>
      <c r="BW128" s="69"/>
      <c r="BX128" s="69"/>
      <c r="BY128" s="69"/>
      <c r="BZ128" s="69"/>
      <c r="CA128" s="69"/>
      <c r="CB128" s="69"/>
      <c r="CC128" s="69"/>
      <c r="CD128" s="69"/>
      <c r="CE128" s="69"/>
      <c r="CF128" s="69"/>
      <c r="CG128" s="69"/>
      <c r="CH128" s="69"/>
      <c r="CI128" s="69"/>
      <c r="CJ128" s="69"/>
      <c r="CK128" s="69"/>
      <c r="CL128" s="103"/>
    </row>
    <row r="129" spans="2:90" x14ac:dyDescent="0.2">
      <c r="B129" s="69"/>
      <c r="C129" s="69"/>
      <c r="D129" s="69"/>
      <c r="E129" s="69"/>
      <c r="F129" s="69"/>
      <c r="G129" s="69"/>
      <c r="H129" s="69"/>
      <c r="I129" s="69"/>
      <c r="J129" s="69"/>
      <c r="K129" s="69"/>
      <c r="L129" s="69"/>
      <c r="M129" s="69"/>
      <c r="N129" s="70"/>
      <c r="O129" s="70"/>
      <c r="P129" s="70"/>
      <c r="Q129" s="70"/>
      <c r="R129" s="69"/>
      <c r="S129" s="103"/>
      <c r="T129" s="103"/>
      <c r="U129" s="69"/>
      <c r="V129" s="69"/>
      <c r="W129" s="69"/>
      <c r="X129" s="69"/>
      <c r="Y129" s="69"/>
      <c r="Z129" s="69"/>
      <c r="AA129" s="103"/>
      <c r="AB129" s="69"/>
      <c r="AC129" s="69"/>
      <c r="AD129" s="462"/>
      <c r="AE129" s="69"/>
      <c r="AF129" s="69"/>
      <c r="AG129" s="69"/>
      <c r="AH129" s="69"/>
      <c r="AI129" s="69"/>
      <c r="AJ129" s="69"/>
      <c r="AK129" s="69"/>
      <c r="AL129" s="69"/>
      <c r="AM129" s="69"/>
      <c r="AN129" s="69"/>
      <c r="AO129" s="69"/>
      <c r="AP129" s="69"/>
      <c r="AQ129" s="69"/>
      <c r="AR129" s="69"/>
      <c r="AS129" s="69"/>
      <c r="AT129" s="69"/>
      <c r="AU129" s="69"/>
      <c r="AV129" s="69"/>
      <c r="AW129" s="69"/>
      <c r="AX129" s="69"/>
      <c r="AY129" s="103"/>
      <c r="AZ129" s="103"/>
      <c r="BA129" s="69"/>
      <c r="BB129" s="69"/>
      <c r="BC129" s="69"/>
      <c r="BD129" s="462"/>
      <c r="BE129" s="69"/>
      <c r="BF129" s="69"/>
      <c r="BG129" s="69"/>
      <c r="BH129" s="69"/>
      <c r="BI129" s="69"/>
      <c r="BJ129" s="69"/>
      <c r="BK129" s="69"/>
      <c r="BL129" s="69"/>
      <c r="BM129" s="69"/>
      <c r="BN129" s="69"/>
      <c r="BO129" s="69"/>
      <c r="BP129" s="69"/>
      <c r="BQ129" s="69"/>
      <c r="BR129" s="69"/>
      <c r="BS129" s="69"/>
      <c r="BT129" s="69"/>
      <c r="BU129" s="69"/>
      <c r="BV129" s="69"/>
      <c r="BW129" s="69"/>
      <c r="BX129" s="69"/>
      <c r="BY129" s="69"/>
      <c r="BZ129" s="69"/>
      <c r="CA129" s="69"/>
      <c r="CB129" s="69"/>
      <c r="CC129" s="69"/>
      <c r="CD129" s="69"/>
      <c r="CE129" s="69"/>
      <c r="CF129" s="69"/>
      <c r="CG129" s="69"/>
      <c r="CH129" s="69"/>
      <c r="CI129" s="69"/>
      <c r="CJ129" s="69"/>
      <c r="CK129" s="69"/>
      <c r="CL129" s="103"/>
    </row>
    <row r="130" spans="2:90" x14ac:dyDescent="0.2">
      <c r="B130" s="69"/>
      <c r="C130" s="69"/>
      <c r="D130" s="69"/>
      <c r="E130" s="69"/>
      <c r="F130" s="69"/>
      <c r="G130" s="69"/>
      <c r="H130" s="69"/>
      <c r="I130" s="69"/>
      <c r="J130" s="69"/>
      <c r="K130" s="69"/>
      <c r="L130" s="69"/>
      <c r="M130" s="69"/>
      <c r="N130" s="70"/>
      <c r="O130" s="70"/>
      <c r="P130" s="70"/>
      <c r="Q130" s="70"/>
      <c r="R130" s="69"/>
      <c r="S130" s="103"/>
      <c r="T130" s="103"/>
      <c r="U130" s="69"/>
      <c r="V130" s="69"/>
      <c r="W130" s="69"/>
      <c r="X130" s="69"/>
      <c r="Y130" s="69"/>
      <c r="Z130" s="69"/>
      <c r="AA130" s="103"/>
      <c r="AB130" s="69"/>
      <c r="AC130" s="69"/>
      <c r="AD130" s="462"/>
      <c r="AE130" s="69"/>
      <c r="AF130" s="69"/>
      <c r="AG130" s="69"/>
      <c r="AH130" s="69"/>
      <c r="AI130" s="69"/>
      <c r="AJ130" s="69"/>
      <c r="AK130" s="69"/>
      <c r="AL130" s="69"/>
      <c r="AM130" s="69"/>
      <c r="AN130" s="69"/>
      <c r="AO130" s="69"/>
      <c r="AP130" s="69"/>
      <c r="AQ130" s="69"/>
      <c r="AR130" s="69"/>
      <c r="AS130" s="69"/>
      <c r="AT130" s="69"/>
      <c r="AU130" s="69"/>
      <c r="AV130" s="69"/>
      <c r="AW130" s="69"/>
      <c r="AX130" s="69"/>
      <c r="AY130" s="103"/>
      <c r="AZ130" s="103"/>
      <c r="BA130" s="69"/>
      <c r="BB130" s="69"/>
      <c r="BC130" s="69"/>
      <c r="BD130" s="462"/>
      <c r="BE130" s="69"/>
      <c r="BF130" s="69"/>
      <c r="BG130" s="69"/>
      <c r="BH130" s="69"/>
      <c r="BI130" s="69"/>
      <c r="BJ130" s="69"/>
      <c r="BK130" s="69"/>
      <c r="BL130" s="69"/>
      <c r="BM130" s="69"/>
      <c r="BN130" s="69"/>
      <c r="BO130" s="69"/>
      <c r="BP130" s="69"/>
      <c r="BQ130" s="69"/>
      <c r="BR130" s="69"/>
      <c r="BS130" s="69"/>
      <c r="BT130" s="69"/>
      <c r="BU130" s="69"/>
      <c r="BV130" s="69"/>
      <c r="BW130" s="69"/>
      <c r="BX130" s="69"/>
      <c r="BY130" s="69"/>
      <c r="BZ130" s="69"/>
      <c r="CA130" s="69"/>
      <c r="CB130" s="69"/>
      <c r="CC130" s="69"/>
      <c r="CD130" s="69"/>
      <c r="CE130" s="69"/>
      <c r="CF130" s="69"/>
      <c r="CG130" s="69"/>
      <c r="CH130" s="69"/>
      <c r="CI130" s="69"/>
      <c r="CJ130" s="69"/>
      <c r="CK130" s="69"/>
      <c r="CL130" s="103"/>
    </row>
    <row r="131" spans="2:90" x14ac:dyDescent="0.2">
      <c r="B131" s="69"/>
      <c r="C131" s="69"/>
      <c r="D131" s="69"/>
      <c r="E131" s="69"/>
      <c r="F131" s="69"/>
      <c r="G131" s="69"/>
      <c r="H131" s="69"/>
      <c r="I131" s="69"/>
      <c r="J131" s="69"/>
      <c r="K131" s="69"/>
      <c r="L131" s="69"/>
      <c r="M131" s="69"/>
      <c r="N131" s="70"/>
      <c r="O131" s="70"/>
      <c r="P131" s="70"/>
      <c r="Q131" s="70"/>
      <c r="R131" s="69"/>
      <c r="S131" s="103"/>
      <c r="T131" s="103"/>
      <c r="U131" s="69"/>
      <c r="V131" s="69"/>
      <c r="W131" s="69"/>
      <c r="X131" s="69"/>
      <c r="Y131" s="69"/>
      <c r="Z131" s="69"/>
      <c r="AA131" s="103"/>
      <c r="AB131" s="69"/>
      <c r="AC131" s="69"/>
      <c r="AD131" s="462"/>
      <c r="AE131" s="69"/>
      <c r="AF131" s="69"/>
      <c r="AG131" s="69"/>
      <c r="AH131" s="69"/>
      <c r="AI131" s="69"/>
      <c r="AJ131" s="69"/>
      <c r="AK131" s="69"/>
      <c r="AL131" s="69"/>
      <c r="AM131" s="69"/>
      <c r="AN131" s="69"/>
      <c r="AO131" s="69"/>
      <c r="AP131" s="69"/>
      <c r="AQ131" s="69"/>
      <c r="AR131" s="69"/>
      <c r="AS131" s="69"/>
      <c r="AT131" s="69"/>
      <c r="AU131" s="69"/>
      <c r="AV131" s="69"/>
      <c r="AW131" s="69"/>
      <c r="AX131" s="69"/>
      <c r="AY131" s="103"/>
      <c r="AZ131" s="103"/>
      <c r="BA131" s="69"/>
      <c r="BB131" s="69"/>
      <c r="BC131" s="69"/>
      <c r="BD131" s="462"/>
      <c r="BE131" s="69"/>
      <c r="BF131" s="69"/>
      <c r="BG131" s="69"/>
      <c r="BH131" s="69"/>
      <c r="BI131" s="69"/>
      <c r="BJ131" s="69"/>
      <c r="BK131" s="69"/>
      <c r="BL131" s="69"/>
      <c r="BM131" s="69"/>
      <c r="BN131" s="69"/>
      <c r="BO131" s="69"/>
      <c r="BP131" s="69"/>
      <c r="BQ131" s="69"/>
      <c r="BR131" s="69"/>
      <c r="BS131" s="69"/>
      <c r="BT131" s="69"/>
      <c r="BU131" s="69"/>
      <c r="BV131" s="69"/>
      <c r="BW131" s="69"/>
      <c r="BX131" s="69"/>
      <c r="BY131" s="69"/>
      <c r="BZ131" s="69"/>
      <c r="CA131" s="69"/>
      <c r="CB131" s="69"/>
      <c r="CC131" s="69"/>
      <c r="CD131" s="69"/>
      <c r="CE131" s="69"/>
      <c r="CF131" s="69"/>
      <c r="CG131" s="69"/>
      <c r="CH131" s="69"/>
      <c r="CI131" s="69"/>
      <c r="CJ131" s="69"/>
      <c r="CK131" s="69"/>
      <c r="CL131" s="103"/>
    </row>
    <row r="132" spans="2:90" x14ac:dyDescent="0.2">
      <c r="B132" s="69"/>
      <c r="C132" s="69"/>
      <c r="D132" s="69"/>
      <c r="E132" s="69"/>
      <c r="F132" s="69"/>
      <c r="G132" s="69"/>
      <c r="H132" s="69"/>
      <c r="I132" s="69"/>
      <c r="J132" s="69"/>
      <c r="K132" s="69"/>
      <c r="L132" s="69"/>
      <c r="M132" s="69"/>
      <c r="N132" s="70"/>
      <c r="O132" s="70"/>
      <c r="P132" s="70"/>
      <c r="Q132" s="70"/>
      <c r="R132" s="69"/>
      <c r="S132" s="103"/>
      <c r="T132" s="103"/>
      <c r="U132" s="69"/>
      <c r="V132" s="69"/>
      <c r="W132" s="69"/>
      <c r="X132" s="69"/>
      <c r="Y132" s="69"/>
      <c r="Z132" s="69"/>
      <c r="AA132" s="103"/>
      <c r="AB132" s="69"/>
      <c r="AC132" s="69"/>
      <c r="AD132" s="462"/>
      <c r="AE132" s="69"/>
      <c r="AF132" s="69"/>
      <c r="AG132" s="69"/>
      <c r="AH132" s="69"/>
      <c r="AI132" s="69"/>
      <c r="AJ132" s="69"/>
      <c r="AK132" s="69"/>
      <c r="AL132" s="69"/>
      <c r="AM132" s="69"/>
      <c r="AN132" s="69"/>
      <c r="AO132" s="69"/>
      <c r="AP132" s="69"/>
      <c r="AQ132" s="69"/>
      <c r="AR132" s="69"/>
      <c r="AS132" s="69"/>
      <c r="AT132" s="69"/>
      <c r="AU132" s="69"/>
      <c r="AV132" s="69"/>
      <c r="AW132" s="69"/>
      <c r="AX132" s="69"/>
      <c r="AY132" s="103"/>
      <c r="AZ132" s="103"/>
      <c r="BA132" s="69"/>
      <c r="BB132" s="69"/>
      <c r="BC132" s="69"/>
      <c r="BD132" s="462"/>
      <c r="BE132" s="69"/>
      <c r="BF132" s="69"/>
      <c r="BG132" s="69"/>
      <c r="BH132" s="69"/>
      <c r="BI132" s="69"/>
      <c r="BJ132" s="69"/>
      <c r="BK132" s="69"/>
      <c r="BL132" s="69"/>
      <c r="BM132" s="69"/>
      <c r="BN132" s="69"/>
      <c r="BO132" s="69"/>
      <c r="BP132" s="69"/>
      <c r="BQ132" s="69"/>
      <c r="BR132" s="69"/>
      <c r="BS132" s="69"/>
      <c r="BT132" s="69"/>
      <c r="BU132" s="69"/>
      <c r="BV132" s="69"/>
      <c r="BW132" s="69"/>
      <c r="BX132" s="69"/>
      <c r="BY132" s="69"/>
      <c r="BZ132" s="69"/>
      <c r="CA132" s="69"/>
      <c r="CB132" s="69"/>
      <c r="CC132" s="69"/>
      <c r="CD132" s="69"/>
      <c r="CE132" s="69"/>
      <c r="CF132" s="69"/>
      <c r="CG132" s="69"/>
      <c r="CH132" s="69"/>
      <c r="CI132" s="69"/>
      <c r="CJ132" s="69"/>
      <c r="CK132" s="69"/>
      <c r="CL132" s="103"/>
    </row>
    <row r="133" spans="2:90" x14ac:dyDescent="0.2">
      <c r="B133" s="69"/>
      <c r="C133" s="69"/>
      <c r="D133" s="69"/>
      <c r="E133" s="69"/>
      <c r="F133" s="69"/>
      <c r="G133" s="69"/>
      <c r="H133" s="69"/>
      <c r="I133" s="69"/>
      <c r="J133" s="69"/>
      <c r="K133" s="69"/>
      <c r="L133" s="69"/>
      <c r="M133" s="69"/>
      <c r="N133" s="70"/>
      <c r="O133" s="70"/>
      <c r="P133" s="70"/>
      <c r="Q133" s="70"/>
      <c r="R133" s="69"/>
      <c r="S133" s="103"/>
      <c r="T133" s="103"/>
      <c r="U133" s="69"/>
      <c r="V133" s="69"/>
      <c r="W133" s="69"/>
      <c r="X133" s="69"/>
      <c r="Y133" s="69"/>
      <c r="Z133" s="69"/>
      <c r="AA133" s="103"/>
      <c r="AB133" s="69"/>
      <c r="AC133" s="69"/>
      <c r="AD133" s="462"/>
      <c r="AE133" s="69"/>
      <c r="AF133" s="69"/>
      <c r="AG133" s="69"/>
      <c r="AH133" s="69"/>
      <c r="AI133" s="69"/>
      <c r="AJ133" s="69"/>
      <c r="AK133" s="69"/>
      <c r="AL133" s="69"/>
      <c r="AM133" s="69"/>
      <c r="AN133" s="69"/>
      <c r="AO133" s="69"/>
      <c r="AP133" s="69"/>
      <c r="AQ133" s="69"/>
      <c r="AR133" s="69"/>
      <c r="AS133" s="69"/>
      <c r="AT133" s="69"/>
      <c r="AU133" s="69"/>
      <c r="AV133" s="69"/>
      <c r="AW133" s="69"/>
      <c r="AX133" s="69"/>
      <c r="AY133" s="103"/>
      <c r="AZ133" s="103"/>
      <c r="BA133" s="69"/>
      <c r="BB133" s="69"/>
      <c r="BC133" s="69"/>
      <c r="BD133" s="462"/>
      <c r="BE133" s="69"/>
      <c r="BF133" s="69"/>
      <c r="BG133" s="69"/>
      <c r="BH133" s="69"/>
      <c r="BI133" s="69"/>
      <c r="BJ133" s="69"/>
      <c r="BK133" s="69"/>
      <c r="BL133" s="69"/>
      <c r="BM133" s="69"/>
      <c r="BN133" s="69"/>
      <c r="BO133" s="69"/>
      <c r="BP133" s="69"/>
      <c r="BQ133" s="69"/>
      <c r="BR133" s="69"/>
      <c r="BS133" s="69"/>
      <c r="BT133" s="69"/>
      <c r="BU133" s="69"/>
      <c r="BV133" s="69"/>
      <c r="BW133" s="69"/>
      <c r="BX133" s="69"/>
      <c r="BY133" s="69"/>
      <c r="BZ133" s="69"/>
      <c r="CA133" s="69"/>
      <c r="CB133" s="69"/>
      <c r="CC133" s="69"/>
      <c r="CD133" s="69"/>
      <c r="CE133" s="69"/>
      <c r="CF133" s="69"/>
      <c r="CG133" s="69"/>
      <c r="CH133" s="69"/>
      <c r="CI133" s="69"/>
      <c r="CJ133" s="69"/>
      <c r="CK133" s="69"/>
      <c r="CL133" s="103"/>
    </row>
    <row r="134" spans="2:90" x14ac:dyDescent="0.2">
      <c r="B134" s="69"/>
      <c r="C134" s="69"/>
      <c r="D134" s="69"/>
      <c r="E134" s="69"/>
      <c r="F134" s="69"/>
      <c r="G134" s="69"/>
      <c r="H134" s="69"/>
      <c r="I134" s="69"/>
      <c r="J134" s="69"/>
      <c r="K134" s="69"/>
      <c r="L134" s="69"/>
      <c r="M134" s="69"/>
      <c r="N134" s="70"/>
      <c r="O134" s="70"/>
      <c r="P134" s="70"/>
      <c r="Q134" s="70"/>
      <c r="R134" s="69"/>
      <c r="S134" s="103"/>
      <c r="T134" s="103"/>
      <c r="U134" s="69"/>
      <c r="V134" s="69"/>
      <c r="W134" s="69"/>
      <c r="X134" s="69"/>
      <c r="Y134" s="69"/>
      <c r="Z134" s="69"/>
      <c r="AA134" s="103"/>
      <c r="AB134" s="69"/>
      <c r="AC134" s="69"/>
      <c r="AD134" s="462"/>
      <c r="AE134" s="69"/>
      <c r="AF134" s="69"/>
      <c r="AG134" s="69"/>
      <c r="AH134" s="69"/>
      <c r="AI134" s="69"/>
      <c r="AJ134" s="69"/>
      <c r="AK134" s="69"/>
      <c r="AL134" s="69"/>
      <c r="AM134" s="69"/>
      <c r="AN134" s="69"/>
      <c r="AO134" s="69"/>
      <c r="AP134" s="69"/>
      <c r="AQ134" s="69"/>
      <c r="AR134" s="69"/>
      <c r="AS134" s="69"/>
      <c r="AT134" s="69"/>
      <c r="AU134" s="69"/>
      <c r="AV134" s="69"/>
      <c r="AW134" s="69"/>
      <c r="AX134" s="69"/>
      <c r="AY134" s="103"/>
      <c r="AZ134" s="103"/>
      <c r="BA134" s="69"/>
      <c r="BB134" s="69"/>
      <c r="BC134" s="69"/>
      <c r="BD134" s="462"/>
      <c r="BE134" s="69"/>
      <c r="BF134" s="69"/>
      <c r="BG134" s="69"/>
      <c r="BH134" s="69"/>
      <c r="BI134" s="69"/>
      <c r="BJ134" s="69"/>
      <c r="BK134" s="69"/>
      <c r="BL134" s="69"/>
      <c r="BM134" s="69"/>
      <c r="BN134" s="69"/>
      <c r="BO134" s="69"/>
      <c r="BP134" s="69"/>
      <c r="BQ134" s="69"/>
      <c r="BR134" s="69"/>
      <c r="BS134" s="69"/>
      <c r="BT134" s="69"/>
      <c r="BU134" s="69"/>
      <c r="BV134" s="69"/>
      <c r="BW134" s="69"/>
      <c r="BX134" s="69"/>
      <c r="BY134" s="69"/>
      <c r="BZ134" s="69"/>
      <c r="CA134" s="69"/>
      <c r="CB134" s="69"/>
      <c r="CC134" s="69"/>
      <c r="CD134" s="69"/>
      <c r="CE134" s="69"/>
      <c r="CF134" s="69"/>
      <c r="CG134" s="69"/>
      <c r="CH134" s="69"/>
      <c r="CI134" s="69"/>
      <c r="CJ134" s="69"/>
      <c r="CK134" s="69"/>
      <c r="CL134" s="103"/>
    </row>
    <row r="135" spans="2:90" x14ac:dyDescent="0.2">
      <c r="B135" s="69"/>
      <c r="C135" s="69"/>
      <c r="D135" s="69"/>
      <c r="E135" s="69"/>
      <c r="F135" s="69"/>
      <c r="G135" s="69"/>
      <c r="H135" s="69"/>
      <c r="I135" s="69"/>
      <c r="J135" s="69"/>
      <c r="K135" s="69"/>
      <c r="L135" s="69"/>
      <c r="M135" s="69"/>
      <c r="N135" s="70"/>
      <c r="O135" s="70"/>
      <c r="P135" s="70"/>
      <c r="Q135" s="70"/>
      <c r="R135" s="69"/>
      <c r="S135" s="103"/>
      <c r="T135" s="103"/>
      <c r="U135" s="69"/>
      <c r="V135" s="69"/>
      <c r="W135" s="69"/>
      <c r="X135" s="69"/>
      <c r="Y135" s="69"/>
      <c r="Z135" s="69"/>
      <c r="AA135" s="103"/>
      <c r="AB135" s="69"/>
      <c r="AC135" s="69"/>
      <c r="AD135" s="462"/>
      <c r="AE135" s="69"/>
      <c r="AF135" s="69"/>
      <c r="AG135" s="69"/>
      <c r="AH135" s="69"/>
      <c r="AI135" s="69"/>
      <c r="AJ135" s="69"/>
      <c r="AK135" s="69"/>
      <c r="AL135" s="69"/>
      <c r="AM135" s="69"/>
      <c r="AN135" s="69"/>
      <c r="AO135" s="69"/>
      <c r="AP135" s="69"/>
      <c r="AQ135" s="69"/>
      <c r="AR135" s="69"/>
      <c r="AS135" s="69"/>
      <c r="AT135" s="69"/>
      <c r="AU135" s="69"/>
      <c r="AV135" s="69"/>
      <c r="AW135" s="69"/>
      <c r="AX135" s="69"/>
      <c r="AY135" s="103"/>
      <c r="AZ135" s="103"/>
      <c r="BA135" s="69"/>
      <c r="BB135" s="69"/>
      <c r="BC135" s="69"/>
      <c r="BD135" s="462"/>
      <c r="BE135" s="69"/>
      <c r="BF135" s="69"/>
      <c r="BG135" s="69"/>
      <c r="BH135" s="69"/>
      <c r="BI135" s="69"/>
      <c r="BJ135" s="69"/>
      <c r="BK135" s="69"/>
      <c r="BL135" s="69"/>
      <c r="BM135" s="69"/>
      <c r="BN135" s="69"/>
      <c r="BO135" s="69"/>
      <c r="BP135" s="69"/>
      <c r="BQ135" s="69"/>
      <c r="BR135" s="69"/>
      <c r="BS135" s="69"/>
      <c r="BT135" s="69"/>
      <c r="BU135" s="69"/>
      <c r="BV135" s="69"/>
      <c r="BW135" s="69"/>
      <c r="BX135" s="69"/>
      <c r="BY135" s="69"/>
      <c r="BZ135" s="69"/>
      <c r="CA135" s="69"/>
      <c r="CB135" s="69"/>
      <c r="CC135" s="69"/>
      <c r="CD135" s="69"/>
      <c r="CE135" s="69"/>
      <c r="CF135" s="69"/>
      <c r="CG135" s="69"/>
      <c r="CH135" s="69"/>
      <c r="CI135" s="69"/>
      <c r="CJ135" s="69"/>
      <c r="CK135" s="69"/>
      <c r="CL135" s="103"/>
    </row>
    <row r="136" spans="2:90" x14ac:dyDescent="0.2">
      <c r="B136" s="69"/>
      <c r="C136" s="69"/>
      <c r="D136" s="69"/>
      <c r="E136" s="69"/>
      <c r="F136" s="69"/>
      <c r="G136" s="69"/>
      <c r="H136" s="69"/>
      <c r="I136" s="69"/>
      <c r="J136" s="69"/>
      <c r="K136" s="69"/>
      <c r="L136" s="69"/>
      <c r="M136" s="69"/>
      <c r="N136" s="70"/>
      <c r="O136" s="70"/>
      <c r="P136" s="70"/>
      <c r="Q136" s="70"/>
      <c r="R136" s="69"/>
      <c r="S136" s="103"/>
      <c r="T136" s="103"/>
      <c r="U136" s="69"/>
      <c r="V136" s="69"/>
      <c r="W136" s="69"/>
      <c r="X136" s="69"/>
      <c r="Y136" s="69"/>
      <c r="Z136" s="69"/>
      <c r="AA136" s="103"/>
      <c r="AB136" s="69"/>
      <c r="AC136" s="69"/>
      <c r="AD136" s="462"/>
      <c r="AE136" s="69"/>
      <c r="AF136" s="69"/>
      <c r="AG136" s="69"/>
      <c r="AH136" s="69"/>
      <c r="AI136" s="69"/>
      <c r="AJ136" s="69"/>
      <c r="AK136" s="69"/>
      <c r="AL136" s="69"/>
      <c r="AM136" s="69"/>
      <c r="AN136" s="69"/>
      <c r="AO136" s="69"/>
      <c r="AP136" s="69"/>
      <c r="AQ136" s="69"/>
      <c r="AR136" s="69"/>
      <c r="AS136" s="69"/>
      <c r="AT136" s="69"/>
      <c r="AU136" s="69"/>
      <c r="AV136" s="69"/>
      <c r="AW136" s="69"/>
      <c r="AX136" s="69"/>
      <c r="AY136" s="103"/>
      <c r="AZ136" s="103"/>
      <c r="BA136" s="69"/>
      <c r="BB136" s="69"/>
      <c r="BC136" s="69"/>
      <c r="BD136" s="462"/>
      <c r="BE136" s="69"/>
      <c r="BF136" s="69"/>
      <c r="BG136" s="69"/>
      <c r="BH136" s="69"/>
      <c r="BI136" s="69"/>
      <c r="BJ136" s="69"/>
      <c r="BK136" s="69"/>
      <c r="BL136" s="69"/>
      <c r="BM136" s="69"/>
      <c r="BN136" s="69"/>
      <c r="BO136" s="69"/>
      <c r="BP136" s="69"/>
      <c r="BQ136" s="69"/>
      <c r="BR136" s="69"/>
      <c r="BS136" s="69"/>
      <c r="BT136" s="69"/>
      <c r="BU136" s="69"/>
      <c r="BV136" s="69"/>
      <c r="BW136" s="69"/>
      <c r="BX136" s="69"/>
      <c r="BY136" s="69"/>
      <c r="BZ136" s="69"/>
      <c r="CA136" s="69"/>
      <c r="CB136" s="69"/>
      <c r="CC136" s="69"/>
      <c r="CD136" s="69"/>
      <c r="CE136" s="69"/>
      <c r="CF136" s="69"/>
      <c r="CG136" s="69"/>
      <c r="CH136" s="69"/>
      <c r="CI136" s="69"/>
      <c r="CJ136" s="69"/>
      <c r="CK136" s="69"/>
      <c r="CL136" s="103"/>
    </row>
    <row r="137" spans="2:90" x14ac:dyDescent="0.2">
      <c r="B137" s="69"/>
      <c r="C137" s="69"/>
      <c r="D137" s="69"/>
      <c r="E137" s="69"/>
      <c r="F137" s="69"/>
      <c r="G137" s="69"/>
      <c r="H137" s="69"/>
      <c r="I137" s="69"/>
      <c r="J137" s="69"/>
      <c r="K137" s="69"/>
      <c r="L137" s="69"/>
      <c r="M137" s="69"/>
      <c r="N137" s="70"/>
      <c r="O137" s="70"/>
      <c r="P137" s="70"/>
      <c r="Q137" s="70"/>
      <c r="R137" s="69"/>
      <c r="S137" s="103"/>
      <c r="T137" s="103"/>
      <c r="U137" s="69"/>
      <c r="V137" s="69"/>
      <c r="W137" s="69"/>
      <c r="X137" s="69"/>
      <c r="Y137" s="69"/>
      <c r="Z137" s="69"/>
      <c r="AA137" s="103"/>
      <c r="AB137" s="69"/>
      <c r="AC137" s="69"/>
      <c r="AD137" s="462"/>
      <c r="AE137" s="69"/>
      <c r="AF137" s="69"/>
      <c r="AG137" s="69"/>
      <c r="AH137" s="69"/>
      <c r="AI137" s="69"/>
      <c r="AJ137" s="69"/>
      <c r="AK137" s="69"/>
      <c r="AL137" s="69"/>
      <c r="AM137" s="69"/>
      <c r="AN137" s="69"/>
      <c r="AO137" s="69"/>
      <c r="AP137" s="69"/>
      <c r="AQ137" s="69"/>
      <c r="AR137" s="69"/>
      <c r="AS137" s="69"/>
      <c r="AT137" s="69"/>
      <c r="AU137" s="69"/>
      <c r="AV137" s="69"/>
      <c r="AW137" s="69"/>
      <c r="AX137" s="69"/>
      <c r="AY137" s="103"/>
      <c r="AZ137" s="103"/>
      <c r="BA137" s="69"/>
      <c r="BB137" s="69"/>
      <c r="BC137" s="69"/>
      <c r="BD137" s="462"/>
      <c r="BE137" s="69"/>
      <c r="BF137" s="69"/>
      <c r="BG137" s="69"/>
      <c r="BH137" s="69"/>
      <c r="BI137" s="69"/>
      <c r="BJ137" s="69"/>
      <c r="BK137" s="69"/>
      <c r="BL137" s="69"/>
      <c r="BM137" s="69"/>
      <c r="BN137" s="69"/>
      <c r="BO137" s="69"/>
      <c r="BP137" s="69"/>
      <c r="BQ137" s="69"/>
      <c r="BR137" s="69"/>
      <c r="BS137" s="69"/>
      <c r="BT137" s="69"/>
      <c r="BU137" s="69"/>
      <c r="BV137" s="69"/>
      <c r="BW137" s="69"/>
      <c r="BX137" s="69"/>
      <c r="BY137" s="69"/>
      <c r="BZ137" s="69"/>
      <c r="CA137" s="69"/>
      <c r="CB137" s="69"/>
      <c r="CC137" s="69"/>
      <c r="CD137" s="69"/>
      <c r="CE137" s="69"/>
      <c r="CF137" s="69"/>
      <c r="CG137" s="69"/>
      <c r="CH137" s="69"/>
      <c r="CI137" s="69"/>
      <c r="CJ137" s="69"/>
      <c r="CK137" s="69"/>
      <c r="CL137" s="103"/>
    </row>
    <row r="138" spans="2:90" x14ac:dyDescent="0.2">
      <c r="B138" s="69"/>
      <c r="C138" s="69"/>
      <c r="D138" s="69"/>
      <c r="E138" s="69"/>
      <c r="F138" s="69"/>
      <c r="G138" s="69"/>
      <c r="H138" s="69"/>
      <c r="I138" s="69"/>
      <c r="J138" s="69"/>
      <c r="K138" s="69"/>
      <c r="L138" s="69"/>
      <c r="M138" s="69"/>
      <c r="N138" s="70"/>
      <c r="O138" s="70"/>
      <c r="P138" s="70"/>
      <c r="Q138" s="70"/>
      <c r="R138" s="69"/>
      <c r="S138" s="103"/>
      <c r="T138" s="103"/>
      <c r="U138" s="69"/>
      <c r="V138" s="69"/>
      <c r="W138" s="69"/>
      <c r="X138" s="69"/>
      <c r="Y138" s="69"/>
      <c r="Z138" s="69"/>
      <c r="AA138" s="103"/>
      <c r="AB138" s="69"/>
      <c r="AC138" s="69"/>
      <c r="AD138" s="462"/>
      <c r="AE138" s="69"/>
      <c r="AF138" s="69"/>
      <c r="AG138" s="69"/>
      <c r="AH138" s="69"/>
      <c r="AI138" s="69"/>
      <c r="AJ138" s="69"/>
      <c r="AK138" s="69"/>
      <c r="AL138" s="69"/>
      <c r="AM138" s="69"/>
      <c r="AN138" s="69"/>
      <c r="AO138" s="69"/>
      <c r="AP138" s="69"/>
      <c r="AQ138" s="69"/>
      <c r="AR138" s="69"/>
      <c r="AS138" s="69"/>
      <c r="AT138" s="69"/>
      <c r="AU138" s="69"/>
      <c r="AV138" s="69"/>
      <c r="AW138" s="69"/>
      <c r="AX138" s="69"/>
      <c r="AY138" s="103"/>
      <c r="AZ138" s="103"/>
      <c r="BA138" s="69"/>
      <c r="BB138" s="69"/>
      <c r="BC138" s="69"/>
      <c r="BD138" s="462"/>
      <c r="BE138" s="69"/>
      <c r="BF138" s="69"/>
      <c r="BG138" s="69"/>
      <c r="BH138" s="69"/>
      <c r="BI138" s="69"/>
      <c r="BJ138" s="69"/>
      <c r="BK138" s="69"/>
      <c r="BL138" s="69"/>
      <c r="BM138" s="69"/>
      <c r="BN138" s="69"/>
      <c r="BO138" s="69"/>
      <c r="BP138" s="69"/>
      <c r="BQ138" s="69"/>
      <c r="BR138" s="69"/>
      <c r="BS138" s="69"/>
      <c r="BT138" s="69"/>
      <c r="BU138" s="69"/>
      <c r="BV138" s="69"/>
      <c r="BW138" s="69"/>
      <c r="BX138" s="69"/>
      <c r="BY138" s="69"/>
      <c r="BZ138" s="69"/>
      <c r="CA138" s="69"/>
      <c r="CB138" s="69"/>
      <c r="CC138" s="69"/>
      <c r="CD138" s="69"/>
      <c r="CE138" s="69"/>
      <c r="CF138" s="69"/>
      <c r="CG138" s="69"/>
      <c r="CH138" s="69"/>
      <c r="CI138" s="69"/>
      <c r="CJ138" s="69"/>
      <c r="CK138" s="69"/>
      <c r="CL138" s="103"/>
    </row>
    <row r="139" spans="2:90" x14ac:dyDescent="0.2">
      <c r="B139" s="69"/>
      <c r="C139" s="69"/>
      <c r="D139" s="69"/>
      <c r="E139" s="69"/>
      <c r="F139" s="69"/>
      <c r="G139" s="69"/>
      <c r="H139" s="69"/>
      <c r="I139" s="69"/>
      <c r="J139" s="69"/>
      <c r="K139" s="69"/>
      <c r="L139" s="69"/>
      <c r="M139" s="69"/>
      <c r="N139" s="70"/>
      <c r="O139" s="70"/>
      <c r="P139" s="70"/>
      <c r="Q139" s="70"/>
      <c r="R139" s="69"/>
      <c r="S139" s="103"/>
      <c r="T139" s="103"/>
      <c r="U139" s="69"/>
      <c r="V139" s="69"/>
      <c r="W139" s="69"/>
      <c r="X139" s="69"/>
      <c r="Y139" s="69"/>
      <c r="Z139" s="69"/>
      <c r="AA139" s="103"/>
      <c r="AB139" s="69"/>
      <c r="AC139" s="69"/>
      <c r="AD139" s="462"/>
      <c r="AE139" s="69"/>
      <c r="AF139" s="69"/>
      <c r="AG139" s="69"/>
      <c r="AH139" s="69"/>
      <c r="AI139" s="69"/>
      <c r="AJ139" s="69"/>
      <c r="AK139" s="69"/>
      <c r="AL139" s="69"/>
      <c r="AM139" s="69"/>
      <c r="AN139" s="69"/>
      <c r="AO139" s="69"/>
      <c r="AP139" s="69"/>
      <c r="AQ139" s="69"/>
      <c r="AR139" s="69"/>
      <c r="AS139" s="69"/>
      <c r="AT139" s="69"/>
      <c r="AU139" s="69"/>
      <c r="AV139" s="69"/>
      <c r="AW139" s="69"/>
      <c r="AX139" s="69"/>
      <c r="AY139" s="103"/>
      <c r="AZ139" s="103"/>
      <c r="BA139" s="69"/>
      <c r="BB139" s="69"/>
      <c r="BC139" s="69"/>
      <c r="BD139" s="462"/>
      <c r="BE139" s="69"/>
      <c r="BF139" s="69"/>
      <c r="BG139" s="69"/>
      <c r="BH139" s="69"/>
      <c r="BI139" s="69"/>
      <c r="BJ139" s="69"/>
      <c r="BK139" s="69"/>
      <c r="BL139" s="69"/>
      <c r="BM139" s="69"/>
      <c r="BN139" s="69"/>
      <c r="BO139" s="69"/>
      <c r="BP139" s="69"/>
      <c r="BQ139" s="69"/>
      <c r="BR139" s="69"/>
      <c r="BS139" s="69"/>
      <c r="BT139" s="69"/>
      <c r="BU139" s="69"/>
      <c r="BV139" s="69"/>
      <c r="BW139" s="69"/>
      <c r="BX139" s="69"/>
      <c r="BY139" s="69"/>
      <c r="BZ139" s="69"/>
      <c r="CA139" s="69"/>
      <c r="CB139" s="69"/>
      <c r="CC139" s="69"/>
      <c r="CD139" s="69"/>
      <c r="CE139" s="69"/>
      <c r="CF139" s="69"/>
      <c r="CG139" s="69"/>
      <c r="CH139" s="69"/>
      <c r="CI139" s="69"/>
      <c r="CJ139" s="69"/>
      <c r="CK139" s="69"/>
      <c r="CL139" s="103"/>
    </row>
    <row r="140" spans="2:90" x14ac:dyDescent="0.2">
      <c r="B140" s="69"/>
      <c r="C140" s="69"/>
      <c r="D140" s="69"/>
      <c r="E140" s="69"/>
      <c r="F140" s="69"/>
      <c r="G140" s="69"/>
      <c r="H140" s="69"/>
      <c r="I140" s="69"/>
      <c r="J140" s="69"/>
      <c r="K140" s="69"/>
      <c r="L140" s="69"/>
      <c r="M140" s="69"/>
      <c r="N140" s="70"/>
      <c r="O140" s="70"/>
      <c r="P140" s="70"/>
      <c r="Q140" s="70"/>
      <c r="R140" s="69"/>
      <c r="S140" s="103"/>
      <c r="T140" s="103"/>
      <c r="U140" s="69"/>
      <c r="V140" s="69"/>
      <c r="W140" s="69"/>
      <c r="X140" s="69"/>
      <c r="Y140" s="69"/>
      <c r="Z140" s="69"/>
      <c r="AA140" s="103"/>
      <c r="AB140" s="69"/>
      <c r="AC140" s="69"/>
      <c r="AD140" s="462"/>
      <c r="AE140" s="69"/>
      <c r="AF140" s="69"/>
      <c r="AG140" s="69"/>
      <c r="AH140" s="69"/>
      <c r="AI140" s="69"/>
      <c r="AJ140" s="69"/>
      <c r="AK140" s="69"/>
      <c r="AL140" s="69"/>
      <c r="AM140" s="69"/>
      <c r="AN140" s="69"/>
      <c r="AO140" s="69"/>
      <c r="AP140" s="69"/>
      <c r="AQ140" s="69"/>
      <c r="AR140" s="69"/>
      <c r="AS140" s="69"/>
      <c r="AT140" s="69"/>
      <c r="AU140" s="69"/>
      <c r="AV140" s="69"/>
      <c r="AW140" s="69"/>
      <c r="AX140" s="69"/>
      <c r="AY140" s="103"/>
      <c r="AZ140" s="103"/>
      <c r="BA140" s="69"/>
      <c r="BB140" s="69"/>
      <c r="BC140" s="69"/>
      <c r="BD140" s="462"/>
      <c r="BE140" s="69"/>
      <c r="BF140" s="69"/>
      <c r="BG140" s="69"/>
      <c r="BH140" s="69"/>
      <c r="BI140" s="69"/>
      <c r="BJ140" s="69"/>
      <c r="BK140" s="69"/>
      <c r="BL140" s="69"/>
      <c r="BM140" s="69"/>
      <c r="BN140" s="69"/>
      <c r="BO140" s="69"/>
      <c r="BP140" s="69"/>
      <c r="BQ140" s="69"/>
      <c r="BR140" s="69"/>
      <c r="BS140" s="69"/>
      <c r="BT140" s="69"/>
      <c r="BU140" s="69"/>
      <c r="BV140" s="69"/>
      <c r="BW140" s="69"/>
      <c r="BX140" s="69"/>
      <c r="BY140" s="69"/>
      <c r="BZ140" s="69"/>
      <c r="CA140" s="69"/>
      <c r="CB140" s="69"/>
      <c r="CC140" s="69"/>
      <c r="CD140" s="69"/>
      <c r="CE140" s="69"/>
      <c r="CF140" s="69"/>
      <c r="CG140" s="69"/>
      <c r="CH140" s="69"/>
      <c r="CI140" s="69"/>
      <c r="CJ140" s="69"/>
      <c r="CK140" s="69"/>
      <c r="CL140" s="103"/>
    </row>
    <row r="141" spans="2:90" x14ac:dyDescent="0.2">
      <c r="B141" s="69"/>
      <c r="C141" s="69"/>
      <c r="D141" s="69"/>
      <c r="E141" s="69"/>
      <c r="F141" s="69"/>
      <c r="G141" s="69"/>
      <c r="H141" s="69"/>
      <c r="I141" s="69"/>
      <c r="J141" s="69"/>
      <c r="K141" s="69"/>
      <c r="L141" s="69"/>
      <c r="M141" s="69"/>
      <c r="N141" s="70"/>
      <c r="O141" s="70"/>
      <c r="P141" s="70"/>
      <c r="Q141" s="70"/>
      <c r="R141" s="69"/>
      <c r="S141" s="103"/>
      <c r="T141" s="103"/>
      <c r="U141" s="69"/>
      <c r="V141" s="69"/>
      <c r="W141" s="69"/>
      <c r="X141" s="69"/>
      <c r="Y141" s="69"/>
      <c r="Z141" s="69"/>
      <c r="AA141" s="103"/>
      <c r="AB141" s="69"/>
      <c r="AC141" s="69"/>
      <c r="AD141" s="462"/>
      <c r="AE141" s="69"/>
      <c r="AF141" s="69"/>
      <c r="AG141" s="69"/>
      <c r="AH141" s="69"/>
      <c r="AI141" s="69"/>
      <c r="AJ141" s="69"/>
      <c r="AK141" s="69"/>
      <c r="AL141" s="69"/>
      <c r="AM141" s="69"/>
      <c r="AN141" s="69"/>
      <c r="AO141" s="69"/>
      <c r="AP141" s="69"/>
      <c r="AQ141" s="69"/>
      <c r="AR141" s="69"/>
      <c r="AS141" s="69"/>
      <c r="AT141" s="69"/>
      <c r="AU141" s="69"/>
      <c r="AV141" s="69"/>
      <c r="AW141" s="69"/>
      <c r="AX141" s="69"/>
      <c r="AY141" s="103"/>
      <c r="AZ141" s="103"/>
      <c r="BA141" s="69"/>
      <c r="BB141" s="69"/>
      <c r="BC141" s="69"/>
      <c r="BD141" s="462"/>
      <c r="BE141" s="69"/>
      <c r="BF141" s="69"/>
      <c r="BG141" s="69"/>
      <c r="BH141" s="69"/>
      <c r="BI141" s="69"/>
      <c r="BJ141" s="69"/>
      <c r="BK141" s="69"/>
      <c r="BL141" s="69"/>
      <c r="BM141" s="69"/>
      <c r="BN141" s="69"/>
      <c r="BO141" s="69"/>
      <c r="BP141" s="69"/>
      <c r="BQ141" s="69"/>
      <c r="BR141" s="69"/>
      <c r="BS141" s="69"/>
      <c r="BT141" s="69"/>
      <c r="BU141" s="69"/>
      <c r="BV141" s="69"/>
      <c r="BW141" s="69"/>
      <c r="BX141" s="69"/>
      <c r="BY141" s="69"/>
      <c r="BZ141" s="69"/>
      <c r="CA141" s="69"/>
      <c r="CB141" s="69"/>
      <c r="CC141" s="69"/>
      <c r="CD141" s="69"/>
      <c r="CE141" s="69"/>
      <c r="CF141" s="69"/>
      <c r="CG141" s="69"/>
      <c r="CH141" s="69"/>
      <c r="CI141" s="69"/>
      <c r="CJ141" s="69"/>
      <c r="CK141" s="69"/>
      <c r="CL141" s="103"/>
    </row>
    <row r="142" spans="2:90" x14ac:dyDescent="0.2">
      <c r="B142" s="69"/>
      <c r="C142" s="69"/>
      <c r="D142" s="69"/>
      <c r="E142" s="69"/>
      <c r="F142" s="69"/>
      <c r="G142" s="69"/>
      <c r="H142" s="69"/>
      <c r="I142" s="69"/>
      <c r="J142" s="69"/>
      <c r="K142" s="69"/>
      <c r="L142" s="69"/>
      <c r="M142" s="69"/>
      <c r="N142" s="70"/>
      <c r="O142" s="70"/>
      <c r="P142" s="70"/>
      <c r="Q142" s="70"/>
      <c r="R142" s="69"/>
      <c r="S142" s="103"/>
      <c r="T142" s="103"/>
      <c r="U142" s="69"/>
      <c r="V142" s="69"/>
      <c r="W142" s="69"/>
      <c r="X142" s="69"/>
      <c r="Y142" s="69"/>
      <c r="Z142" s="69"/>
      <c r="AA142" s="103"/>
      <c r="AB142" s="69"/>
      <c r="AC142" s="69"/>
      <c r="AD142" s="462"/>
      <c r="AE142" s="69"/>
      <c r="AF142" s="69"/>
      <c r="AG142" s="69"/>
      <c r="AH142" s="69"/>
      <c r="AI142" s="69"/>
      <c r="AJ142" s="69"/>
      <c r="AK142" s="69"/>
      <c r="AL142" s="69"/>
      <c r="AM142" s="69"/>
      <c r="AN142" s="69"/>
      <c r="AO142" s="69"/>
      <c r="AP142" s="69"/>
      <c r="AQ142" s="69"/>
      <c r="AR142" s="69"/>
      <c r="AS142" s="69"/>
      <c r="AT142" s="69"/>
      <c r="AU142" s="69"/>
      <c r="AV142" s="69"/>
      <c r="AW142" s="69"/>
      <c r="AX142" s="69"/>
      <c r="AY142" s="103"/>
      <c r="AZ142" s="103"/>
      <c r="BA142" s="69"/>
      <c r="BB142" s="69"/>
      <c r="BC142" s="69"/>
      <c r="BD142" s="462"/>
      <c r="BE142" s="69"/>
      <c r="BF142" s="69"/>
      <c r="BG142" s="69"/>
      <c r="BH142" s="69"/>
      <c r="BI142" s="69"/>
      <c r="BJ142" s="69"/>
      <c r="BK142" s="69"/>
      <c r="BL142" s="69"/>
      <c r="BM142" s="69"/>
      <c r="BN142" s="69"/>
      <c r="BO142" s="69"/>
      <c r="BP142" s="69"/>
      <c r="BQ142" s="69"/>
      <c r="BR142" s="69"/>
      <c r="BS142" s="69"/>
      <c r="BT142" s="69"/>
      <c r="BU142" s="69"/>
      <c r="BV142" s="69"/>
      <c r="BW142" s="69"/>
      <c r="BX142" s="69"/>
      <c r="BY142" s="69"/>
      <c r="BZ142" s="69"/>
      <c r="CA142" s="69"/>
      <c r="CB142" s="69"/>
      <c r="CC142" s="69"/>
      <c r="CD142" s="69"/>
      <c r="CE142" s="69"/>
      <c r="CF142" s="69"/>
      <c r="CG142" s="69"/>
      <c r="CH142" s="69"/>
      <c r="CI142" s="69"/>
      <c r="CJ142" s="69"/>
      <c r="CK142" s="69"/>
      <c r="CL142" s="103"/>
    </row>
    <row r="143" spans="2:90" x14ac:dyDescent="0.2">
      <c r="B143" s="69"/>
      <c r="C143" s="69"/>
      <c r="D143" s="69"/>
      <c r="E143" s="69"/>
      <c r="F143" s="69"/>
      <c r="G143" s="69"/>
      <c r="H143" s="69"/>
      <c r="I143" s="69"/>
      <c r="J143" s="69"/>
      <c r="K143" s="69"/>
      <c r="L143" s="69"/>
      <c r="M143" s="69"/>
      <c r="N143" s="70"/>
      <c r="O143" s="70"/>
      <c r="P143" s="70"/>
      <c r="Q143" s="70"/>
      <c r="R143" s="69"/>
      <c r="S143" s="103"/>
      <c r="T143" s="103"/>
      <c r="U143" s="69"/>
      <c r="V143" s="69"/>
      <c r="W143" s="69"/>
      <c r="X143" s="69"/>
      <c r="Y143" s="69"/>
      <c r="Z143" s="69"/>
      <c r="AA143" s="103"/>
      <c r="AB143" s="69"/>
      <c r="AC143" s="69"/>
      <c r="AD143" s="462"/>
      <c r="AE143" s="69"/>
      <c r="AF143" s="69"/>
      <c r="AG143" s="69"/>
      <c r="AH143" s="69"/>
      <c r="AI143" s="69"/>
      <c r="AJ143" s="69"/>
      <c r="AK143" s="69"/>
      <c r="AL143" s="69"/>
      <c r="AM143" s="69"/>
      <c r="AN143" s="69"/>
      <c r="AO143" s="69"/>
      <c r="AP143" s="69"/>
      <c r="AQ143" s="69"/>
      <c r="AR143" s="69"/>
      <c r="AS143" s="69"/>
      <c r="AT143" s="69"/>
      <c r="AU143" s="69"/>
      <c r="AV143" s="69"/>
      <c r="AW143" s="69"/>
      <c r="AX143" s="69"/>
      <c r="AY143" s="103"/>
      <c r="AZ143" s="103"/>
      <c r="BA143" s="69"/>
      <c r="BB143" s="69"/>
      <c r="BC143" s="69"/>
      <c r="BD143" s="462"/>
      <c r="BE143" s="69"/>
      <c r="BF143" s="69"/>
      <c r="BG143" s="69"/>
      <c r="BH143" s="69"/>
      <c r="BI143" s="69"/>
      <c r="BJ143" s="69"/>
      <c r="BK143" s="69"/>
      <c r="BL143" s="69"/>
      <c r="BM143" s="69"/>
      <c r="BN143" s="69"/>
      <c r="BO143" s="69"/>
      <c r="BP143" s="69"/>
      <c r="BQ143" s="69"/>
      <c r="BR143" s="69"/>
      <c r="BS143" s="69"/>
      <c r="BT143" s="69"/>
      <c r="BU143" s="69"/>
      <c r="BV143" s="69"/>
      <c r="BW143" s="69"/>
      <c r="BX143" s="69"/>
      <c r="BY143" s="69"/>
      <c r="BZ143" s="69"/>
      <c r="CA143" s="69"/>
      <c r="CB143" s="69"/>
      <c r="CC143" s="69"/>
      <c r="CD143" s="69"/>
      <c r="CE143" s="69"/>
      <c r="CF143" s="69"/>
      <c r="CG143" s="69"/>
      <c r="CH143" s="69"/>
      <c r="CI143" s="69"/>
      <c r="CJ143" s="69"/>
      <c r="CK143" s="69"/>
      <c r="CL143" s="103"/>
    </row>
    <row r="144" spans="2:90" x14ac:dyDescent="0.2">
      <c r="B144" s="69"/>
      <c r="C144" s="69"/>
      <c r="D144" s="69"/>
      <c r="E144" s="69"/>
      <c r="F144" s="69"/>
      <c r="G144" s="69"/>
      <c r="H144" s="69"/>
      <c r="I144" s="69"/>
      <c r="J144" s="69"/>
      <c r="K144" s="69"/>
      <c r="L144" s="69"/>
      <c r="M144" s="69"/>
      <c r="N144" s="70"/>
      <c r="O144" s="70"/>
      <c r="P144" s="70"/>
      <c r="Q144" s="70"/>
      <c r="R144" s="69"/>
      <c r="S144" s="103"/>
      <c r="T144" s="103"/>
      <c r="U144" s="69"/>
      <c r="V144" s="69"/>
      <c r="W144" s="69"/>
      <c r="X144" s="69"/>
      <c r="Y144" s="69"/>
      <c r="Z144" s="69"/>
      <c r="AA144" s="103"/>
      <c r="AB144" s="69"/>
      <c r="AC144" s="69"/>
      <c r="AD144" s="462"/>
      <c r="AE144" s="69"/>
      <c r="AF144" s="69"/>
      <c r="AG144" s="69"/>
      <c r="AH144" s="69"/>
      <c r="AI144" s="69"/>
      <c r="AJ144" s="69"/>
      <c r="AK144" s="69"/>
      <c r="AL144" s="69"/>
      <c r="AM144" s="69"/>
      <c r="AN144" s="69"/>
      <c r="AO144" s="69"/>
      <c r="AP144" s="69"/>
      <c r="AQ144" s="69"/>
      <c r="AR144" s="69"/>
      <c r="AS144" s="69"/>
      <c r="AT144" s="69"/>
      <c r="AU144" s="69"/>
      <c r="AV144" s="69"/>
      <c r="AW144" s="69"/>
      <c r="AX144" s="69"/>
      <c r="AY144" s="103"/>
      <c r="AZ144" s="103"/>
      <c r="BA144" s="69"/>
      <c r="BB144" s="69"/>
      <c r="BC144" s="69"/>
      <c r="BD144" s="462"/>
      <c r="BE144" s="69"/>
      <c r="BF144" s="69"/>
      <c r="BG144" s="69"/>
      <c r="BH144" s="69"/>
      <c r="BI144" s="69"/>
      <c r="BJ144" s="69"/>
      <c r="BK144" s="69"/>
      <c r="BL144" s="69"/>
      <c r="BM144" s="69"/>
      <c r="BN144" s="69"/>
      <c r="BO144" s="69"/>
      <c r="BP144" s="69"/>
      <c r="BQ144" s="69"/>
      <c r="BR144" s="69"/>
      <c r="BS144" s="69"/>
      <c r="BT144" s="69"/>
      <c r="BU144" s="69"/>
      <c r="BV144" s="69"/>
      <c r="BW144" s="69"/>
      <c r="BX144" s="69"/>
      <c r="BY144" s="69"/>
      <c r="BZ144" s="69"/>
      <c r="CA144" s="69"/>
      <c r="CB144" s="69"/>
      <c r="CC144" s="69"/>
      <c r="CD144" s="69"/>
      <c r="CE144" s="69"/>
      <c r="CF144" s="69"/>
      <c r="CG144" s="69"/>
      <c r="CH144" s="69"/>
      <c r="CI144" s="69"/>
      <c r="CJ144" s="69"/>
      <c r="CK144" s="69"/>
      <c r="CL144" s="103"/>
    </row>
    <row r="145" spans="2:90" x14ac:dyDescent="0.2">
      <c r="B145" s="69"/>
      <c r="C145" s="69"/>
      <c r="D145" s="69"/>
      <c r="E145" s="69"/>
      <c r="F145" s="69"/>
      <c r="G145" s="69"/>
      <c r="H145" s="69"/>
      <c r="I145" s="69"/>
      <c r="J145" s="69"/>
      <c r="K145" s="69"/>
      <c r="L145" s="69"/>
      <c r="M145" s="69"/>
      <c r="N145" s="70"/>
      <c r="O145" s="70"/>
      <c r="P145" s="70"/>
      <c r="Q145" s="70"/>
      <c r="R145" s="69"/>
      <c r="S145" s="103"/>
      <c r="T145" s="103"/>
      <c r="U145" s="69"/>
      <c r="V145" s="69"/>
      <c r="W145" s="69"/>
      <c r="X145" s="69"/>
      <c r="Y145" s="69"/>
      <c r="Z145" s="69"/>
      <c r="AA145" s="103"/>
      <c r="AB145" s="69"/>
      <c r="AC145" s="69"/>
      <c r="AD145" s="462"/>
      <c r="AE145" s="69"/>
      <c r="AF145" s="69"/>
      <c r="AG145" s="69"/>
      <c r="AH145" s="69"/>
      <c r="AI145" s="69"/>
      <c r="AJ145" s="69"/>
      <c r="AK145" s="69"/>
      <c r="AL145" s="69"/>
      <c r="AM145" s="69"/>
      <c r="AN145" s="69"/>
      <c r="AO145" s="69"/>
      <c r="AP145" s="69"/>
      <c r="AQ145" s="69"/>
      <c r="AR145" s="69"/>
      <c r="AS145" s="69"/>
      <c r="AT145" s="69"/>
      <c r="AU145" s="69"/>
      <c r="AV145" s="69"/>
      <c r="AW145" s="69"/>
      <c r="AX145" s="69"/>
      <c r="AY145" s="103"/>
      <c r="AZ145" s="103"/>
      <c r="BA145" s="69"/>
      <c r="BB145" s="69"/>
      <c r="BC145" s="69"/>
      <c r="BD145" s="462"/>
      <c r="BE145" s="69"/>
      <c r="BF145" s="69"/>
      <c r="BG145" s="69"/>
      <c r="BH145" s="69"/>
      <c r="BI145" s="69"/>
      <c r="BJ145" s="69"/>
      <c r="BK145" s="69"/>
      <c r="BL145" s="69"/>
      <c r="BM145" s="69"/>
      <c r="BN145" s="69"/>
      <c r="BO145" s="69"/>
      <c r="BP145" s="69"/>
      <c r="BQ145" s="69"/>
      <c r="BR145" s="69"/>
      <c r="BS145" s="69"/>
      <c r="BT145" s="69"/>
      <c r="BU145" s="69"/>
      <c r="BV145" s="69"/>
      <c r="BW145" s="69"/>
      <c r="BX145" s="69"/>
      <c r="BY145" s="69"/>
      <c r="BZ145" s="69"/>
      <c r="CA145" s="69"/>
      <c r="CB145" s="69"/>
      <c r="CC145" s="69"/>
      <c r="CD145" s="69"/>
      <c r="CE145" s="69"/>
      <c r="CF145" s="69"/>
      <c r="CG145" s="69"/>
      <c r="CH145" s="69"/>
      <c r="CI145" s="69"/>
      <c r="CJ145" s="69"/>
      <c r="CK145" s="69"/>
      <c r="CL145" s="103"/>
    </row>
    <row r="146" spans="2:90" x14ac:dyDescent="0.2">
      <c r="B146" s="69"/>
      <c r="C146" s="69"/>
      <c r="D146" s="69"/>
      <c r="E146" s="69"/>
      <c r="F146" s="69"/>
      <c r="G146" s="69"/>
      <c r="H146" s="69"/>
      <c r="I146" s="69"/>
      <c r="J146" s="69"/>
      <c r="K146" s="69"/>
      <c r="L146" s="69"/>
      <c r="M146" s="69"/>
      <c r="N146" s="70"/>
      <c r="O146" s="70"/>
      <c r="P146" s="70"/>
      <c r="Q146" s="70"/>
      <c r="R146" s="69"/>
      <c r="S146" s="103"/>
      <c r="T146" s="103"/>
      <c r="U146" s="69"/>
      <c r="V146" s="69"/>
      <c r="W146" s="69"/>
      <c r="X146" s="69"/>
      <c r="Y146" s="69"/>
      <c r="Z146" s="69"/>
      <c r="AA146" s="103"/>
      <c r="AB146" s="69"/>
      <c r="AC146" s="69"/>
      <c r="AD146" s="462"/>
      <c r="AE146" s="69"/>
      <c r="AF146" s="69"/>
      <c r="AG146" s="69"/>
      <c r="AH146" s="69"/>
      <c r="AI146" s="69"/>
      <c r="AJ146" s="69"/>
      <c r="AK146" s="69"/>
      <c r="AL146" s="69"/>
      <c r="AM146" s="69"/>
      <c r="AN146" s="69"/>
      <c r="AO146" s="69"/>
      <c r="AP146" s="69"/>
      <c r="AQ146" s="69"/>
      <c r="AR146" s="69"/>
      <c r="AS146" s="69"/>
      <c r="AT146" s="69"/>
      <c r="AU146" s="69"/>
      <c r="AV146" s="69"/>
      <c r="AW146" s="69"/>
      <c r="AX146" s="69"/>
      <c r="AY146" s="103"/>
      <c r="AZ146" s="103"/>
      <c r="BA146" s="69"/>
      <c r="BB146" s="69"/>
      <c r="BC146" s="69"/>
      <c r="BD146" s="462"/>
      <c r="BE146" s="69"/>
      <c r="BF146" s="69"/>
      <c r="BG146" s="69"/>
      <c r="BH146" s="69"/>
      <c r="BI146" s="69"/>
      <c r="BJ146" s="69"/>
      <c r="BK146" s="69"/>
      <c r="BL146" s="69"/>
      <c r="BM146" s="69"/>
      <c r="BN146" s="69"/>
      <c r="BO146" s="69"/>
      <c r="BP146" s="69"/>
      <c r="BQ146" s="69"/>
      <c r="BR146" s="69"/>
      <c r="BS146" s="69"/>
      <c r="BT146" s="69"/>
      <c r="BU146" s="69"/>
      <c r="BV146" s="69"/>
      <c r="BW146" s="69"/>
      <c r="BX146" s="69"/>
      <c r="BY146" s="69"/>
      <c r="BZ146" s="69"/>
      <c r="CA146" s="69"/>
      <c r="CB146" s="69"/>
      <c r="CC146" s="69"/>
      <c r="CD146" s="69"/>
      <c r="CE146" s="69"/>
      <c r="CF146" s="69"/>
      <c r="CG146" s="69"/>
      <c r="CH146" s="69"/>
      <c r="CI146" s="69"/>
      <c r="CJ146" s="69"/>
      <c r="CK146" s="69"/>
      <c r="CL146" s="103"/>
    </row>
    <row r="147" spans="2:90" x14ac:dyDescent="0.2">
      <c r="B147" s="69"/>
      <c r="C147" s="69"/>
      <c r="D147" s="69"/>
      <c r="E147" s="69"/>
      <c r="F147" s="69"/>
      <c r="G147" s="69"/>
      <c r="H147" s="69"/>
      <c r="I147" s="69"/>
      <c r="J147" s="69"/>
      <c r="K147" s="69"/>
      <c r="L147" s="69"/>
      <c r="M147" s="69"/>
      <c r="N147" s="70"/>
      <c r="O147" s="70"/>
      <c r="P147" s="70"/>
      <c r="Q147" s="70"/>
      <c r="R147" s="69"/>
      <c r="S147" s="103"/>
      <c r="T147" s="103"/>
      <c r="U147" s="69"/>
      <c r="V147" s="69"/>
      <c r="W147" s="69"/>
      <c r="X147" s="69"/>
      <c r="Y147" s="69"/>
      <c r="Z147" s="69"/>
      <c r="AA147" s="103"/>
      <c r="AB147" s="69"/>
      <c r="AC147" s="69"/>
      <c r="AD147" s="462"/>
      <c r="AE147" s="69"/>
      <c r="AF147" s="69"/>
      <c r="AG147" s="69"/>
      <c r="AH147" s="69"/>
      <c r="AI147" s="69"/>
      <c r="AJ147" s="69"/>
      <c r="AK147" s="69"/>
      <c r="AL147" s="69"/>
      <c r="AM147" s="69"/>
      <c r="AN147" s="69"/>
      <c r="AO147" s="69"/>
      <c r="AP147" s="69"/>
      <c r="AQ147" s="69"/>
      <c r="AR147" s="69"/>
      <c r="AS147" s="69"/>
      <c r="AT147" s="69"/>
      <c r="AU147" s="69"/>
      <c r="AV147" s="69"/>
      <c r="AW147" s="69"/>
      <c r="AX147" s="69"/>
      <c r="AY147" s="103"/>
      <c r="AZ147" s="103"/>
      <c r="BA147" s="69"/>
      <c r="BB147" s="69"/>
      <c r="BC147" s="69"/>
      <c r="BD147" s="462"/>
      <c r="BE147" s="69"/>
      <c r="BF147" s="69"/>
      <c r="BG147" s="69"/>
      <c r="BH147" s="69"/>
      <c r="BI147" s="69"/>
      <c r="BJ147" s="69"/>
      <c r="BK147" s="69"/>
      <c r="BL147" s="69"/>
      <c r="BM147" s="69"/>
      <c r="BN147" s="69"/>
      <c r="BO147" s="69"/>
      <c r="BP147" s="69"/>
      <c r="BQ147" s="69"/>
      <c r="BR147" s="69"/>
      <c r="BS147" s="69"/>
      <c r="BT147" s="69"/>
      <c r="BU147" s="69"/>
      <c r="BV147" s="69"/>
      <c r="BW147" s="69"/>
      <c r="BX147" s="69"/>
      <c r="BY147" s="69"/>
      <c r="BZ147" s="69"/>
      <c r="CA147" s="69"/>
      <c r="CB147" s="69"/>
      <c r="CC147" s="69"/>
      <c r="CD147" s="69"/>
      <c r="CE147" s="69"/>
      <c r="CF147" s="69"/>
      <c r="CG147" s="69"/>
      <c r="CH147" s="69"/>
      <c r="CI147" s="69"/>
      <c r="CJ147" s="69"/>
      <c r="CK147" s="69"/>
      <c r="CL147" s="103"/>
    </row>
    <row r="148" spans="2:90" x14ac:dyDescent="0.2">
      <c r="B148" s="69"/>
      <c r="C148" s="69"/>
      <c r="D148" s="69"/>
      <c r="E148" s="69"/>
      <c r="F148" s="69"/>
      <c r="G148" s="69"/>
      <c r="H148" s="69"/>
      <c r="I148" s="69"/>
      <c r="J148" s="69"/>
      <c r="K148" s="69"/>
      <c r="L148" s="69"/>
      <c r="M148" s="69"/>
      <c r="N148" s="69"/>
      <c r="O148" s="69"/>
      <c r="P148" s="69"/>
      <c r="Q148" s="69"/>
      <c r="R148" s="69"/>
      <c r="S148" s="103"/>
      <c r="T148" s="103"/>
      <c r="U148" s="69"/>
      <c r="V148" s="69"/>
      <c r="W148" s="69"/>
      <c r="X148" s="69"/>
      <c r="Y148" s="69"/>
      <c r="Z148" s="69"/>
      <c r="AA148" s="103"/>
      <c r="AB148" s="69"/>
      <c r="AC148" s="69"/>
      <c r="AD148" s="462"/>
      <c r="AE148" s="69"/>
      <c r="AF148" s="69"/>
      <c r="AG148" s="69"/>
      <c r="AH148" s="69"/>
      <c r="AI148" s="69"/>
      <c r="AJ148" s="69"/>
      <c r="AK148" s="69"/>
      <c r="AL148" s="69"/>
      <c r="AM148" s="69"/>
      <c r="AN148" s="69"/>
      <c r="AO148" s="69"/>
      <c r="AP148" s="69"/>
      <c r="AQ148" s="69"/>
      <c r="AR148" s="69"/>
      <c r="AS148" s="69"/>
      <c r="AT148" s="69"/>
      <c r="AU148" s="69"/>
      <c r="AV148" s="69"/>
      <c r="AW148" s="69"/>
      <c r="AX148" s="69"/>
      <c r="AY148" s="103"/>
      <c r="AZ148" s="103"/>
      <c r="BA148" s="69"/>
      <c r="BB148" s="69"/>
      <c r="BC148" s="69"/>
      <c r="BD148" s="462"/>
      <c r="BE148" s="69"/>
      <c r="BF148" s="69"/>
      <c r="BG148" s="69"/>
      <c r="BH148" s="69"/>
      <c r="BI148" s="69"/>
      <c r="BJ148" s="69"/>
      <c r="BK148" s="69"/>
      <c r="BL148" s="69"/>
      <c r="BM148" s="69"/>
      <c r="BN148" s="69"/>
      <c r="BO148" s="69"/>
      <c r="BP148" s="69"/>
      <c r="BQ148" s="69"/>
      <c r="BR148" s="69"/>
      <c r="BS148" s="69"/>
      <c r="BT148" s="69"/>
      <c r="BU148" s="69"/>
      <c r="BV148" s="69"/>
      <c r="BW148" s="69"/>
      <c r="BX148" s="69"/>
      <c r="BY148" s="69"/>
      <c r="BZ148" s="69"/>
      <c r="CA148" s="69"/>
      <c r="CB148" s="69"/>
      <c r="CC148" s="69"/>
      <c r="CD148" s="69"/>
      <c r="CE148" s="69"/>
      <c r="CF148" s="69"/>
      <c r="CG148" s="69"/>
      <c r="CH148" s="69"/>
      <c r="CI148" s="69"/>
      <c r="CJ148" s="69"/>
      <c r="CK148" s="69"/>
      <c r="CL148" s="103"/>
    </row>
    <row r="149" spans="2:90" x14ac:dyDescent="0.2">
      <c r="B149" s="69"/>
      <c r="C149" s="69"/>
      <c r="D149" s="69"/>
      <c r="E149" s="69"/>
      <c r="F149" s="69"/>
      <c r="G149" s="69"/>
      <c r="H149" s="69"/>
      <c r="I149" s="69"/>
      <c r="J149" s="69"/>
      <c r="K149" s="69"/>
      <c r="L149" s="69"/>
      <c r="M149" s="69"/>
      <c r="N149" s="69"/>
      <c r="O149" s="69"/>
      <c r="P149" s="69"/>
      <c r="Q149" s="69"/>
      <c r="R149" s="69"/>
      <c r="S149" s="103"/>
      <c r="T149" s="103"/>
      <c r="U149" s="69"/>
      <c r="V149" s="69"/>
      <c r="W149" s="69"/>
      <c r="X149" s="69"/>
      <c r="Y149" s="69"/>
      <c r="Z149" s="69"/>
      <c r="AA149" s="103"/>
      <c r="AB149" s="69"/>
      <c r="AC149" s="69"/>
      <c r="AD149" s="462"/>
      <c r="AE149" s="69"/>
      <c r="AF149" s="69"/>
      <c r="AG149" s="69"/>
      <c r="AH149" s="69"/>
      <c r="AI149" s="69"/>
      <c r="AJ149" s="69"/>
      <c r="AK149" s="69"/>
      <c r="AL149" s="69"/>
      <c r="AM149" s="69"/>
      <c r="AN149" s="69"/>
      <c r="AO149" s="69"/>
      <c r="AP149" s="69"/>
      <c r="AQ149" s="69"/>
      <c r="AR149" s="69"/>
      <c r="AS149" s="69"/>
      <c r="AT149" s="69"/>
      <c r="AU149" s="69"/>
      <c r="AV149" s="69"/>
      <c r="AW149" s="69"/>
      <c r="AX149" s="69"/>
      <c r="AY149" s="103"/>
      <c r="AZ149" s="103"/>
      <c r="BA149" s="69"/>
      <c r="BB149" s="69"/>
      <c r="BC149" s="69"/>
      <c r="BD149" s="462"/>
      <c r="BE149" s="69"/>
      <c r="BF149" s="69"/>
      <c r="BG149" s="69"/>
      <c r="BH149" s="69"/>
      <c r="BI149" s="69"/>
      <c r="BJ149" s="69"/>
      <c r="BK149" s="69"/>
      <c r="BL149" s="69"/>
      <c r="BM149" s="69"/>
      <c r="BN149" s="69"/>
      <c r="BO149" s="69"/>
      <c r="BP149" s="69"/>
      <c r="BQ149" s="69"/>
      <c r="BR149" s="69"/>
      <c r="BS149" s="69"/>
      <c r="BT149" s="69"/>
      <c r="BU149" s="69"/>
      <c r="BV149" s="69"/>
      <c r="BW149" s="69"/>
      <c r="BX149" s="69"/>
      <c r="BY149" s="69"/>
      <c r="BZ149" s="69"/>
      <c r="CA149" s="69"/>
      <c r="CB149" s="69"/>
      <c r="CC149" s="69"/>
      <c r="CD149" s="69"/>
      <c r="CE149" s="69"/>
      <c r="CF149" s="69"/>
      <c r="CG149" s="69"/>
      <c r="CH149" s="69"/>
      <c r="CI149" s="69"/>
      <c r="CJ149" s="69"/>
      <c r="CK149" s="69"/>
      <c r="CL149" s="103"/>
    </row>
    <row r="150" spans="2:90" x14ac:dyDescent="0.2">
      <c r="B150" s="69"/>
      <c r="C150" s="69"/>
      <c r="D150" s="69"/>
      <c r="E150" s="69"/>
      <c r="F150" s="69"/>
      <c r="G150" s="69"/>
      <c r="H150" s="69"/>
      <c r="I150" s="69"/>
      <c r="J150" s="69"/>
      <c r="K150" s="69"/>
      <c r="L150" s="69"/>
      <c r="M150" s="69"/>
      <c r="N150" s="69"/>
      <c r="O150" s="69"/>
      <c r="P150" s="69"/>
      <c r="Q150" s="69"/>
      <c r="R150" s="69"/>
      <c r="S150" s="103"/>
      <c r="T150" s="103"/>
      <c r="U150" s="69"/>
      <c r="V150" s="69"/>
      <c r="W150" s="69"/>
      <c r="X150" s="69"/>
      <c r="Y150" s="69"/>
      <c r="Z150" s="69"/>
      <c r="AA150" s="103"/>
      <c r="AB150" s="69"/>
      <c r="AC150" s="69"/>
      <c r="AD150" s="462"/>
      <c r="AE150" s="69"/>
      <c r="AF150" s="69"/>
      <c r="AG150" s="69"/>
      <c r="AH150" s="69"/>
      <c r="AI150" s="69"/>
      <c r="AJ150" s="69"/>
      <c r="AK150" s="69"/>
      <c r="AL150" s="69"/>
      <c r="AM150" s="69"/>
      <c r="AN150" s="69"/>
      <c r="AO150" s="69"/>
      <c r="AP150" s="69"/>
      <c r="AQ150" s="69"/>
      <c r="AR150" s="69"/>
      <c r="AS150" s="69"/>
      <c r="AT150" s="69"/>
      <c r="AU150" s="69"/>
      <c r="AV150" s="69"/>
      <c r="AW150" s="69"/>
      <c r="AX150" s="69"/>
      <c r="AY150" s="103"/>
      <c r="AZ150" s="103"/>
      <c r="BA150" s="69"/>
      <c r="BB150" s="69"/>
      <c r="BC150" s="69"/>
      <c r="BD150" s="462"/>
      <c r="BE150" s="69"/>
      <c r="BF150" s="69"/>
      <c r="BG150" s="69"/>
      <c r="BH150" s="69"/>
      <c r="BI150" s="69"/>
      <c r="BJ150" s="69"/>
      <c r="BK150" s="69"/>
      <c r="BL150" s="69"/>
      <c r="BM150" s="69"/>
      <c r="BN150" s="69"/>
      <c r="BO150" s="69"/>
      <c r="BP150" s="69"/>
      <c r="BQ150" s="69"/>
      <c r="BR150" s="69"/>
      <c r="BS150" s="69"/>
      <c r="BT150" s="69"/>
      <c r="BU150" s="69"/>
      <c r="BV150" s="69"/>
      <c r="BW150" s="69"/>
      <c r="BX150" s="69"/>
      <c r="BY150" s="69"/>
      <c r="BZ150" s="69"/>
      <c r="CA150" s="69"/>
      <c r="CB150" s="69"/>
      <c r="CC150" s="69"/>
      <c r="CD150" s="69"/>
      <c r="CE150" s="69"/>
      <c r="CF150" s="69"/>
      <c r="CG150" s="69"/>
      <c r="CH150" s="69"/>
      <c r="CI150" s="69"/>
      <c r="CJ150" s="69"/>
      <c r="CK150" s="69"/>
      <c r="CL150" s="103"/>
    </row>
    <row r="151" spans="2:90" x14ac:dyDescent="0.2">
      <c r="B151" s="69"/>
      <c r="C151" s="69"/>
      <c r="D151" s="69"/>
      <c r="E151" s="69"/>
      <c r="F151" s="69"/>
      <c r="G151" s="69"/>
      <c r="H151" s="69"/>
      <c r="I151" s="69"/>
      <c r="J151" s="69"/>
      <c r="K151" s="69"/>
      <c r="L151" s="69"/>
      <c r="M151" s="69"/>
      <c r="N151" s="69"/>
      <c r="O151" s="69"/>
      <c r="P151" s="69"/>
      <c r="Q151" s="69"/>
      <c r="R151" s="69"/>
      <c r="S151" s="103"/>
      <c r="T151" s="103"/>
      <c r="U151" s="69"/>
      <c r="V151" s="69"/>
      <c r="W151" s="69"/>
      <c r="X151" s="69"/>
      <c r="Y151" s="69"/>
      <c r="Z151" s="69"/>
      <c r="AA151" s="103"/>
      <c r="AB151" s="69"/>
      <c r="AC151" s="69"/>
      <c r="AD151" s="462"/>
      <c r="AE151" s="69"/>
      <c r="AF151" s="69"/>
      <c r="AG151" s="69"/>
      <c r="AH151" s="69"/>
      <c r="AI151" s="69"/>
      <c r="AJ151" s="69"/>
      <c r="AK151" s="69"/>
      <c r="AL151" s="69"/>
      <c r="AM151" s="69"/>
      <c r="AN151" s="69"/>
      <c r="AO151" s="69"/>
      <c r="AP151" s="69"/>
      <c r="AQ151" s="69"/>
      <c r="AR151" s="69"/>
      <c r="AS151" s="69"/>
      <c r="AT151" s="69"/>
      <c r="AU151" s="69"/>
      <c r="AV151" s="69"/>
      <c r="AW151" s="69"/>
      <c r="AX151" s="69"/>
      <c r="AY151" s="103"/>
      <c r="AZ151" s="103"/>
      <c r="BA151" s="69"/>
      <c r="BB151" s="69"/>
      <c r="BC151" s="69"/>
      <c r="BD151" s="462"/>
      <c r="BE151" s="69"/>
      <c r="BF151" s="69"/>
      <c r="BG151" s="69"/>
      <c r="BH151" s="69"/>
      <c r="BI151" s="69"/>
      <c r="BJ151" s="69"/>
      <c r="BK151" s="69"/>
      <c r="BL151" s="69"/>
      <c r="BM151" s="69"/>
      <c r="BN151" s="69"/>
      <c r="BO151" s="69"/>
      <c r="BP151" s="69"/>
      <c r="BQ151" s="69"/>
      <c r="BR151" s="69"/>
      <c r="BS151" s="69"/>
      <c r="BT151" s="69"/>
      <c r="BU151" s="69"/>
      <c r="BV151" s="69"/>
      <c r="BW151" s="69"/>
      <c r="BX151" s="69"/>
      <c r="BY151" s="69"/>
      <c r="BZ151" s="69"/>
      <c r="CA151" s="69"/>
      <c r="CB151" s="69"/>
      <c r="CC151" s="69"/>
      <c r="CD151" s="69"/>
      <c r="CE151" s="69"/>
      <c r="CF151" s="69"/>
      <c r="CG151" s="69"/>
      <c r="CH151" s="69"/>
      <c r="CI151" s="69"/>
      <c r="CJ151" s="69"/>
      <c r="CK151" s="69"/>
      <c r="CL151" s="103"/>
    </row>
    <row r="152" spans="2:90" x14ac:dyDescent="0.2">
      <c r="B152" s="69"/>
      <c r="C152" s="69"/>
      <c r="D152" s="69"/>
      <c r="E152" s="69"/>
      <c r="F152" s="69"/>
      <c r="G152" s="69"/>
      <c r="H152" s="69"/>
      <c r="I152" s="69"/>
      <c r="J152" s="69"/>
      <c r="K152" s="69"/>
      <c r="L152" s="69"/>
      <c r="M152" s="69"/>
      <c r="N152" s="69"/>
      <c r="O152" s="69"/>
      <c r="P152" s="69"/>
      <c r="Q152" s="69"/>
      <c r="R152" s="69"/>
      <c r="S152" s="103"/>
      <c r="T152" s="103"/>
      <c r="U152" s="69"/>
      <c r="V152" s="69"/>
      <c r="W152" s="69"/>
      <c r="X152" s="69"/>
      <c r="Y152" s="69"/>
      <c r="Z152" s="69"/>
      <c r="AA152" s="103"/>
      <c r="AB152" s="69"/>
      <c r="AC152" s="69"/>
      <c r="AD152" s="462"/>
      <c r="AE152" s="69"/>
      <c r="AF152" s="69"/>
      <c r="AG152" s="69"/>
      <c r="AH152" s="69"/>
      <c r="AI152" s="69"/>
      <c r="AJ152" s="69"/>
      <c r="AK152" s="69"/>
      <c r="AL152" s="69"/>
      <c r="AM152" s="69"/>
      <c r="AN152" s="69"/>
      <c r="AO152" s="69"/>
      <c r="AP152" s="69"/>
      <c r="AQ152" s="69"/>
      <c r="AR152" s="69"/>
      <c r="AS152" s="69"/>
      <c r="AT152" s="69"/>
      <c r="AU152" s="69"/>
      <c r="AV152" s="69"/>
      <c r="AW152" s="69"/>
      <c r="AX152" s="69"/>
      <c r="AY152" s="103"/>
      <c r="AZ152" s="103"/>
      <c r="BA152" s="69"/>
      <c r="BB152" s="69"/>
      <c r="BC152" s="69"/>
      <c r="BD152" s="462"/>
      <c r="BE152" s="69"/>
      <c r="BF152" s="69"/>
      <c r="BG152" s="69"/>
      <c r="BH152" s="69"/>
      <c r="BI152" s="69"/>
      <c r="BJ152" s="69"/>
      <c r="BK152" s="69"/>
      <c r="BL152" s="69"/>
      <c r="BM152" s="69"/>
      <c r="BN152" s="69"/>
      <c r="BO152" s="69"/>
      <c r="BP152" s="69"/>
      <c r="BQ152" s="69"/>
      <c r="BR152" s="69"/>
      <c r="BS152" s="69"/>
      <c r="BT152" s="69"/>
      <c r="BU152" s="69"/>
      <c r="BV152" s="69"/>
      <c r="BW152" s="69"/>
      <c r="BX152" s="69"/>
      <c r="BY152" s="69"/>
      <c r="BZ152" s="69"/>
      <c r="CA152" s="69"/>
      <c r="CB152" s="69"/>
      <c r="CC152" s="69"/>
      <c r="CD152" s="69"/>
      <c r="CE152" s="69"/>
      <c r="CF152" s="69"/>
      <c r="CG152" s="69"/>
      <c r="CH152" s="69"/>
      <c r="CI152" s="69"/>
      <c r="CJ152" s="69"/>
      <c r="CK152" s="69"/>
      <c r="CL152" s="103"/>
    </row>
    <row r="153" spans="2:90" x14ac:dyDescent="0.2">
      <c r="B153" s="69"/>
      <c r="C153" s="69"/>
      <c r="D153" s="69"/>
      <c r="E153" s="69"/>
      <c r="F153" s="69"/>
      <c r="G153" s="69"/>
      <c r="H153" s="69"/>
      <c r="I153" s="69"/>
      <c r="J153" s="69"/>
      <c r="K153" s="69"/>
      <c r="L153" s="69"/>
      <c r="M153" s="69"/>
      <c r="N153" s="69"/>
      <c r="O153" s="69"/>
      <c r="P153" s="69"/>
      <c r="Q153" s="69"/>
      <c r="R153" s="69"/>
      <c r="S153" s="103"/>
      <c r="T153" s="103"/>
      <c r="U153" s="69"/>
      <c r="V153" s="69"/>
      <c r="W153" s="69"/>
      <c r="X153" s="69"/>
      <c r="Y153" s="69"/>
      <c r="Z153" s="69"/>
      <c r="AA153" s="103"/>
      <c r="AB153" s="69"/>
      <c r="AC153" s="69"/>
      <c r="AD153" s="462"/>
      <c r="AE153" s="69"/>
      <c r="AF153" s="69"/>
      <c r="AG153" s="69"/>
      <c r="AH153" s="69"/>
      <c r="AI153" s="69"/>
      <c r="AJ153" s="69"/>
      <c r="AK153" s="69"/>
      <c r="AL153" s="69"/>
      <c r="AM153" s="69"/>
      <c r="AN153" s="69"/>
      <c r="AO153" s="69"/>
      <c r="AP153" s="69"/>
      <c r="AQ153" s="69"/>
      <c r="AR153" s="69"/>
      <c r="AS153" s="69"/>
      <c r="AT153" s="69"/>
      <c r="AU153" s="69"/>
      <c r="AV153" s="69"/>
      <c r="AW153" s="69"/>
      <c r="AX153" s="69"/>
      <c r="AY153" s="103"/>
      <c r="AZ153" s="103"/>
      <c r="BA153" s="69"/>
      <c r="BB153" s="69"/>
      <c r="BC153" s="69"/>
      <c r="BD153" s="462"/>
      <c r="BE153" s="69"/>
      <c r="BF153" s="69"/>
      <c r="BG153" s="69"/>
      <c r="BH153" s="69"/>
      <c r="BI153" s="69"/>
      <c r="BJ153" s="69"/>
      <c r="BK153" s="69"/>
      <c r="BL153" s="69"/>
      <c r="BM153" s="69"/>
      <c r="BN153" s="69"/>
      <c r="BO153" s="69"/>
      <c r="BP153" s="69"/>
      <c r="BQ153" s="69"/>
      <c r="BR153" s="69"/>
      <c r="BS153" s="69"/>
      <c r="BT153" s="69"/>
      <c r="BU153" s="69"/>
      <c r="BV153" s="69"/>
      <c r="BW153" s="69"/>
      <c r="BX153" s="69"/>
      <c r="BY153" s="69"/>
      <c r="BZ153" s="69"/>
      <c r="CA153" s="69"/>
      <c r="CB153" s="69"/>
      <c r="CC153" s="69"/>
      <c r="CD153" s="69"/>
      <c r="CE153" s="69"/>
      <c r="CF153" s="69"/>
      <c r="CG153" s="69"/>
      <c r="CH153" s="69"/>
      <c r="CI153" s="69"/>
      <c r="CJ153" s="69"/>
      <c r="CK153" s="69"/>
      <c r="CL153" s="103"/>
    </row>
    <row r="154" spans="2:90" x14ac:dyDescent="0.2">
      <c r="B154" s="69"/>
      <c r="C154" s="69"/>
      <c r="D154" s="69"/>
      <c r="E154" s="69"/>
      <c r="F154" s="69"/>
      <c r="G154" s="69"/>
      <c r="H154" s="69"/>
      <c r="I154" s="69"/>
      <c r="J154" s="69"/>
      <c r="K154" s="69"/>
      <c r="L154" s="69"/>
      <c r="M154" s="69"/>
      <c r="N154" s="69"/>
      <c r="O154" s="69"/>
      <c r="P154" s="69"/>
      <c r="Q154" s="69"/>
      <c r="R154" s="69"/>
      <c r="S154" s="103"/>
      <c r="T154" s="103"/>
      <c r="U154" s="69"/>
      <c r="V154" s="69"/>
      <c r="W154" s="69"/>
      <c r="X154" s="69"/>
      <c r="Y154" s="69"/>
      <c r="Z154" s="69"/>
      <c r="AA154" s="103"/>
      <c r="AB154" s="69"/>
      <c r="AC154" s="69"/>
      <c r="AD154" s="462"/>
      <c r="AE154" s="69"/>
      <c r="AF154" s="69"/>
      <c r="AG154" s="69"/>
      <c r="AH154" s="69"/>
      <c r="AI154" s="69"/>
      <c r="AJ154" s="69"/>
      <c r="AK154" s="69"/>
      <c r="AL154" s="69"/>
      <c r="AM154" s="69"/>
      <c r="AN154" s="69"/>
      <c r="AO154" s="69"/>
      <c r="AP154" s="69"/>
      <c r="AQ154" s="69"/>
      <c r="AR154" s="69"/>
      <c r="AS154" s="69"/>
      <c r="AT154" s="69"/>
      <c r="AU154" s="69"/>
      <c r="AV154" s="69"/>
      <c r="AW154" s="69"/>
      <c r="AX154" s="69"/>
      <c r="AY154" s="103"/>
      <c r="AZ154" s="103"/>
      <c r="BA154" s="69"/>
      <c r="BB154" s="69"/>
      <c r="BC154" s="69"/>
      <c r="BD154" s="462"/>
      <c r="BE154" s="69"/>
      <c r="BF154" s="69"/>
      <c r="BG154" s="69"/>
      <c r="BH154" s="69"/>
      <c r="BI154" s="69"/>
      <c r="BJ154" s="69"/>
      <c r="BK154" s="69"/>
      <c r="BL154" s="69"/>
      <c r="BM154" s="69"/>
      <c r="BN154" s="69"/>
      <c r="BO154" s="69"/>
      <c r="BP154" s="69"/>
      <c r="BQ154" s="69"/>
      <c r="BR154" s="69"/>
      <c r="BS154" s="69"/>
      <c r="BT154" s="69"/>
      <c r="BU154" s="69"/>
      <c r="BV154" s="69"/>
      <c r="BW154" s="69"/>
      <c r="BX154" s="69"/>
      <c r="BY154" s="69"/>
      <c r="BZ154" s="69"/>
      <c r="CA154" s="69"/>
      <c r="CB154" s="69"/>
      <c r="CC154" s="69"/>
      <c r="CD154" s="69"/>
      <c r="CE154" s="69"/>
      <c r="CF154" s="69"/>
      <c r="CG154" s="69"/>
      <c r="CH154" s="69"/>
      <c r="CI154" s="69"/>
      <c r="CJ154" s="69"/>
      <c r="CK154" s="69"/>
      <c r="CL154" s="103"/>
    </row>
    <row r="155" spans="2:90" x14ac:dyDescent="0.2">
      <c r="B155" s="69"/>
      <c r="C155" s="69"/>
      <c r="D155" s="69"/>
      <c r="E155" s="69"/>
      <c r="F155" s="69"/>
      <c r="G155" s="69"/>
      <c r="H155" s="69"/>
      <c r="I155" s="69"/>
      <c r="J155" s="69"/>
      <c r="K155" s="69"/>
      <c r="L155" s="69"/>
      <c r="M155" s="69"/>
      <c r="N155" s="69"/>
      <c r="O155" s="69"/>
      <c r="P155" s="69"/>
      <c r="Q155" s="69"/>
      <c r="R155" s="69"/>
      <c r="S155" s="103"/>
      <c r="T155" s="103"/>
      <c r="U155" s="69"/>
      <c r="V155" s="69"/>
      <c r="W155" s="69"/>
      <c r="X155" s="69"/>
      <c r="Y155" s="69"/>
      <c r="Z155" s="69"/>
      <c r="AA155" s="103"/>
      <c r="AB155" s="69"/>
      <c r="AC155" s="69"/>
      <c r="AD155" s="462"/>
      <c r="AE155" s="69"/>
      <c r="AF155" s="69"/>
      <c r="AG155" s="69"/>
      <c r="AH155" s="69"/>
      <c r="AI155" s="69"/>
      <c r="AJ155" s="69"/>
      <c r="AK155" s="69"/>
      <c r="AL155" s="69"/>
      <c r="AM155" s="69"/>
      <c r="AN155" s="69"/>
      <c r="AO155" s="69"/>
      <c r="AP155" s="69"/>
      <c r="AQ155" s="69"/>
      <c r="AR155" s="69"/>
      <c r="AS155" s="69"/>
      <c r="AT155" s="69"/>
      <c r="AU155" s="69"/>
      <c r="AV155" s="69"/>
      <c r="AW155" s="69"/>
      <c r="AX155" s="69"/>
      <c r="AY155" s="103"/>
      <c r="AZ155" s="103"/>
      <c r="BA155" s="69"/>
      <c r="BB155" s="69"/>
      <c r="BC155" s="69"/>
      <c r="BD155" s="462"/>
      <c r="BE155" s="69"/>
      <c r="BF155" s="69"/>
      <c r="BG155" s="69"/>
      <c r="BH155" s="69"/>
      <c r="BI155" s="69"/>
      <c r="BJ155" s="69"/>
      <c r="BK155" s="69"/>
      <c r="BL155" s="69"/>
      <c r="BM155" s="69"/>
      <c r="BN155" s="69"/>
      <c r="BO155" s="69"/>
      <c r="BP155" s="69"/>
      <c r="BQ155" s="69"/>
      <c r="BR155" s="69"/>
      <c r="BS155" s="69"/>
      <c r="BT155" s="69"/>
      <c r="BU155" s="69"/>
      <c r="BV155" s="69"/>
      <c r="BW155" s="69"/>
      <c r="BX155" s="69"/>
      <c r="BY155" s="69"/>
      <c r="BZ155" s="69"/>
      <c r="CA155" s="69"/>
      <c r="CB155" s="69"/>
      <c r="CC155" s="69"/>
      <c r="CD155" s="69"/>
      <c r="CE155" s="69"/>
      <c r="CF155" s="69"/>
      <c r="CG155" s="69"/>
      <c r="CH155" s="69"/>
      <c r="CI155" s="69"/>
      <c r="CJ155" s="69"/>
      <c r="CK155" s="69"/>
      <c r="CL155" s="103"/>
    </row>
  </sheetData>
  <sheetProtection algorithmName="SHA-512" hashValue="0AmhiiOfcTkV5r1It18RZaHZLGzMPAWTLTwLsvu3KWKBKS8OYJfHG1kTMKmw6OSAaeWB+r/PFUmhkBCH5BZ9og==" saltValue="oM1GhdzMwBm3IT4CStjSfQ==" spinCount="100000" sheet="1" objects="1" scenarios="1"/>
  <mergeCells count="2">
    <mergeCell ref="AB1:AC1"/>
    <mergeCell ref="I1:K1"/>
  </mergeCells>
  <conditionalFormatting sqref="C3">
    <cfRule type="expression" dxfId="416" priority="215">
      <formula>AND(B3&lt;&gt;"",C3="")</formula>
    </cfRule>
  </conditionalFormatting>
  <conditionalFormatting sqref="C4:C83">
    <cfRule type="expression" dxfId="415" priority="214">
      <formula>AND(B4&lt;&gt;"",C4="")</formula>
    </cfRule>
  </conditionalFormatting>
  <conditionalFormatting sqref="D3">
    <cfRule type="expression" dxfId="414" priority="213">
      <formula>AND(B3&lt;&gt;"",C3&lt;&gt;"",D3="")</formula>
    </cfRule>
  </conditionalFormatting>
  <conditionalFormatting sqref="D4:D17 D33:D83">
    <cfRule type="expression" dxfId="413" priority="212">
      <formula>AND(B4&lt;&gt;"",C4&lt;&gt;"",D4="")</formula>
    </cfRule>
  </conditionalFormatting>
  <conditionalFormatting sqref="E3">
    <cfRule type="expression" dxfId="412" priority="211">
      <formula>AND(B3&lt;&gt;"",C3&lt;&gt;"",E3="")</formula>
    </cfRule>
  </conditionalFormatting>
  <conditionalFormatting sqref="E4:E17 E33:E83">
    <cfRule type="expression" dxfId="411" priority="210">
      <formula>AND(B4&lt;&gt;"",C4&lt;&gt;"",E4="")</formula>
    </cfRule>
  </conditionalFormatting>
  <conditionalFormatting sqref="F3">
    <cfRule type="expression" dxfId="410" priority="209">
      <formula>AND(B3&lt;&gt;"",C3="solid round",F3="")</formula>
    </cfRule>
  </conditionalFormatting>
  <conditionalFormatting sqref="F4:F83">
    <cfRule type="expression" dxfId="409" priority="208">
      <formula>AND(B4&lt;&gt;"",C4="solid round",F4="")</formula>
    </cfRule>
  </conditionalFormatting>
  <conditionalFormatting sqref="G3:H83">
    <cfRule type="expression" dxfId="408" priority="207">
      <formula>AND($B3&lt;&gt;"",$C3="channel",$G3="")</formula>
    </cfRule>
  </conditionalFormatting>
  <conditionalFormatting sqref="L3">
    <cfRule type="expression" dxfId="407" priority="203">
      <formula>AND(B3&lt;&gt;"",OR(C3="channel",C3="arbitrary"),L3="")</formula>
    </cfRule>
  </conditionalFormatting>
  <conditionalFormatting sqref="L4:L83">
    <cfRule type="expression" dxfId="406" priority="202">
      <formula>AND(B4&lt;&gt;"",OR(C4="channel",C4="arbitrary"),L4="")</formula>
    </cfRule>
  </conditionalFormatting>
  <conditionalFormatting sqref="M3:M83">
    <cfRule type="expression" dxfId="405" priority="201">
      <formula>AND(B3&lt;&gt;"",OR(C3="channel",C3="solid round",C3="arbitrary"),M3="")</formula>
    </cfRule>
  </conditionalFormatting>
  <conditionalFormatting sqref="P3">
    <cfRule type="expression" dxfId="404" priority="199">
      <formula>AND(B3&lt;&gt;"",OR(C3="channel",C3="arbitrary"),P3="")</formula>
    </cfRule>
  </conditionalFormatting>
  <conditionalFormatting sqref="P4:P83">
    <cfRule type="expression" dxfId="403" priority="198">
      <formula>AND(B4&lt;&gt;"",OR(C4="channel",C4="arbitrary"),P4="")</formula>
    </cfRule>
  </conditionalFormatting>
  <conditionalFormatting sqref="R3">
    <cfRule type="expression" dxfId="402" priority="197">
      <formula>AND(B3&lt;&gt;"",OR(C3="channel",C3="arbitrary"),R3="")</formula>
    </cfRule>
  </conditionalFormatting>
  <conditionalFormatting sqref="R4:R83">
    <cfRule type="expression" dxfId="401" priority="196">
      <formula>AND(B4&lt;&gt;"",OR(C4="channel",C4="arbitrary"),R4="")</formula>
    </cfRule>
  </conditionalFormatting>
  <conditionalFormatting sqref="T3:T83">
    <cfRule type="expression" dxfId="400" priority="195">
      <formula>AND(B3&lt;&gt;"",C3&lt;&gt;"",T3="")</formula>
    </cfRule>
  </conditionalFormatting>
  <conditionalFormatting sqref="BZ3:BZ83">
    <cfRule type="expression" dxfId="399" priority="192">
      <formula>AND(B3&lt;&gt;"",C3="channel",BZ3="")</formula>
    </cfRule>
  </conditionalFormatting>
  <conditionalFormatting sqref="W3">
    <cfRule type="expression" dxfId="398" priority="191">
      <formula>AND(B3&lt;&gt;"",OR(C3="plate",C3="channel",C3="arbitrary"),W3="")</formula>
    </cfRule>
  </conditionalFormatting>
  <conditionalFormatting sqref="W4:W83">
    <cfRule type="expression" dxfId="397" priority="190">
      <formula>AND(B4&lt;&gt;"",OR(C4="plate",C4="channel",C4="arbitrary"),W4="")</formula>
    </cfRule>
  </conditionalFormatting>
  <conditionalFormatting sqref="Y3">
    <cfRule type="expression" dxfId="396" priority="189">
      <formula>AND(B3&lt;&gt;"",C3="arbitrary",Y3="")</formula>
    </cfRule>
  </conditionalFormatting>
  <conditionalFormatting sqref="Y4:Y83">
    <cfRule type="expression" dxfId="395" priority="188">
      <formula>AND(B4&lt;&gt;"",C4="arbitrary",Y4="")</formula>
    </cfRule>
  </conditionalFormatting>
  <conditionalFormatting sqref="Z3">
    <cfRule type="expression" dxfId="394" priority="187">
      <formula>AND(B3&lt;&gt;"",C3="arbitrary",Z3="")</formula>
    </cfRule>
  </conditionalFormatting>
  <conditionalFormatting sqref="Z4:Z83">
    <cfRule type="expression" dxfId="393" priority="186">
      <formula>AND(B4&lt;&gt;"",C4="arbitrary",Z4="")</formula>
    </cfRule>
  </conditionalFormatting>
  <conditionalFormatting sqref="O3">
    <cfRule type="expression" dxfId="392" priority="185">
      <formula>AND(B3&lt;&gt;"",C3&lt;&gt;"",O3="")</formula>
    </cfRule>
  </conditionalFormatting>
  <conditionalFormatting sqref="O4:O83">
    <cfRule type="expression" dxfId="391" priority="184">
      <formula>AND(B4&lt;&gt;"",C4&lt;&gt;"",O4="")</formula>
    </cfRule>
  </conditionalFormatting>
  <conditionalFormatting sqref="N3">
    <cfRule type="expression" dxfId="390" priority="183">
      <formula>AND(B3&lt;&gt;"",C3&lt;&gt;"",N3="")</formula>
    </cfRule>
  </conditionalFormatting>
  <conditionalFormatting sqref="N4:N83">
    <cfRule type="expression" dxfId="389" priority="182">
      <formula>AND(B4&lt;&gt;"",C4&lt;&gt;"",N4="")</formula>
    </cfRule>
  </conditionalFormatting>
  <conditionalFormatting sqref="U3">
    <cfRule type="expression" dxfId="388" priority="181">
      <formula>AND(B3&lt;&gt;"",C3&lt;&gt;"",U3="")</formula>
    </cfRule>
  </conditionalFormatting>
  <conditionalFormatting sqref="V3">
    <cfRule type="expression" dxfId="387" priority="180">
      <formula>AND(B3&lt;&gt;"",C3&lt;&gt;"",V3="")</formula>
    </cfRule>
  </conditionalFormatting>
  <conditionalFormatting sqref="U4:U83">
    <cfRule type="expression" dxfId="386" priority="179">
      <formula>AND(B4&lt;&gt;"",C4&lt;&gt;"",U4="")</formula>
    </cfRule>
  </conditionalFormatting>
  <conditionalFormatting sqref="V4:V83">
    <cfRule type="expression" dxfId="385" priority="178">
      <formula>AND(B4&lt;&gt;"",C4&lt;&gt;"",V4="")</formula>
    </cfRule>
  </conditionalFormatting>
  <conditionalFormatting sqref="B3:B19 B34 B36 B38 B40 B42:B83">
    <cfRule type="expression" dxfId="384" priority="176">
      <formula>AND(B2&lt;&gt;"",B3="")</formula>
    </cfRule>
  </conditionalFormatting>
  <conditionalFormatting sqref="B22:B24">
    <cfRule type="expression" dxfId="383" priority="353">
      <formula>AND(B17&lt;&gt;"",B22="")</formula>
    </cfRule>
  </conditionalFormatting>
  <conditionalFormatting sqref="B21">
    <cfRule type="expression" dxfId="382" priority="355">
      <formula>AND(B17&lt;&gt;"",B21="")</formula>
    </cfRule>
  </conditionalFormatting>
  <conditionalFormatting sqref="B20">
    <cfRule type="expression" dxfId="381" priority="357">
      <formula>AND(B18&lt;&gt;"",B20="")</formula>
    </cfRule>
  </conditionalFormatting>
  <conditionalFormatting sqref="D18:D22">
    <cfRule type="expression" dxfId="380" priority="174">
      <formula>AND(B18&lt;&gt;"",C18&lt;&gt;"",D18="")</formula>
    </cfRule>
  </conditionalFormatting>
  <conditionalFormatting sqref="E18:E22">
    <cfRule type="expression" dxfId="379" priority="173">
      <formula>AND(B18&lt;&gt;"",C18&lt;&gt;"",E18="")</formula>
    </cfRule>
  </conditionalFormatting>
  <conditionalFormatting sqref="AR3:AS83">
    <cfRule type="expression" dxfId="378" priority="361">
      <formula>AND(AE3&lt;&gt;"",AF3&lt;&gt;"",AR3="")</formula>
    </cfRule>
  </conditionalFormatting>
  <conditionalFormatting sqref="AY3:AY83">
    <cfRule type="expression" dxfId="377" priority="365">
      <formula>AND(AG3&lt;&gt;"",AH3&lt;&gt;"",AY3="")</formula>
    </cfRule>
  </conditionalFormatting>
  <conditionalFormatting sqref="BJ3:BK3 BH4:BK83">
    <cfRule type="expression" dxfId="376" priority="367">
      <formula>AND(P3&lt;&gt;"",Q3&lt;&gt;"",BH3="")</formula>
    </cfRule>
  </conditionalFormatting>
  <conditionalFormatting sqref="BF4:BG83">
    <cfRule type="expression" dxfId="375" priority="369">
      <formula>AND(R4&lt;&gt;"",S4&lt;&gt;"",BF4="")</formula>
    </cfRule>
  </conditionalFormatting>
  <conditionalFormatting sqref="AV3:AV83">
    <cfRule type="expression" dxfId="374" priority="397">
      <formula>AND(S3&lt;&gt;"",T3&lt;&gt;"",AV3="")</formula>
    </cfRule>
  </conditionalFormatting>
  <conditionalFormatting sqref="AU3:AU83">
    <cfRule type="expression" dxfId="373" priority="411">
      <formula>AND(AF3&lt;&gt;"",AG3&lt;&gt;"",AU3="")</formula>
    </cfRule>
  </conditionalFormatting>
  <conditionalFormatting sqref="AK3:AM83">
    <cfRule type="expression" dxfId="372" priority="424">
      <formula>AND(L3&lt;&gt;"",M3&lt;&gt;"",AK3="")</formula>
    </cfRule>
  </conditionalFormatting>
  <conditionalFormatting sqref="AN3:AO83">
    <cfRule type="expression" dxfId="371" priority="437">
      <formula>AND(Q3&lt;&gt;"",R3&lt;&gt;"",AN3="")</formula>
    </cfRule>
  </conditionalFormatting>
  <conditionalFormatting sqref="DE3:DE83">
    <cfRule type="expression" dxfId="370" priority="443">
      <formula>AND(AH3&lt;&gt;"",AI3&lt;&gt;"",DE3="")</formula>
    </cfRule>
  </conditionalFormatting>
  <conditionalFormatting sqref="AT3:AT83">
    <cfRule type="expression" dxfId="369" priority="450">
      <formula>AND(AA3&lt;&gt;"",AE3&lt;&gt;"",AT3="")</formula>
    </cfRule>
  </conditionalFormatting>
  <conditionalFormatting sqref="B27:B29">
    <cfRule type="expression" dxfId="368" priority="452">
      <formula>AND(B18&lt;&gt;"",B27="")</formula>
    </cfRule>
  </conditionalFormatting>
  <conditionalFormatting sqref="B26">
    <cfRule type="expression" dxfId="367" priority="454">
      <formula>AND(B18&lt;&gt;"",B26="")</formula>
    </cfRule>
  </conditionalFormatting>
  <conditionalFormatting sqref="B25">
    <cfRule type="expression" dxfId="366" priority="456">
      <formula>AND(B19&lt;&gt;"",B25="")</formula>
    </cfRule>
  </conditionalFormatting>
  <conditionalFormatting sqref="D23:D27">
    <cfRule type="expression" dxfId="365" priority="168">
      <formula>AND(B23&lt;&gt;"",C23&lt;&gt;"",D23="")</formula>
    </cfRule>
  </conditionalFormatting>
  <conditionalFormatting sqref="E23:E27">
    <cfRule type="expression" dxfId="364" priority="167">
      <formula>AND(B23&lt;&gt;"",C23&lt;&gt;"",E23="")</formula>
    </cfRule>
  </conditionalFormatting>
  <conditionalFormatting sqref="AA3:AB52 AB53:AB83">
    <cfRule type="expression" dxfId="363" priority="468">
      <formula>AND(C3&lt;&gt;"",D3&lt;&gt;"",AA3="")</formula>
    </cfRule>
  </conditionalFormatting>
  <conditionalFormatting sqref="AJ53:AJ83 AP3:AP83">
    <cfRule type="expression" dxfId="362" priority="471">
      <formula>AND(L3&lt;&gt;"",M3&lt;&gt;"",AJ3="")</formula>
    </cfRule>
  </conditionalFormatting>
  <conditionalFormatting sqref="AZ3 AZ4:BB83">
    <cfRule type="expression" dxfId="361" priority="535">
      <formula>AND(P3&lt;&gt;"",Q3&lt;&gt;"",AZ3="")</formula>
    </cfRule>
  </conditionalFormatting>
  <conditionalFormatting sqref="DD3:DD83">
    <cfRule type="expression" dxfId="360" priority="539">
      <formula>AND(AG3&lt;&gt;"",AH3&lt;&gt;"",DD3="")</formula>
    </cfRule>
  </conditionalFormatting>
  <conditionalFormatting sqref="DG3:DG83">
    <cfRule type="expression" dxfId="359" priority="544">
      <formula>AND(AE3&lt;&gt;"",AF3&lt;&gt;"",DG3="")</formula>
    </cfRule>
  </conditionalFormatting>
  <conditionalFormatting sqref="DZ3:EH83">
    <cfRule type="expression" dxfId="358" priority="545">
      <formula>AND(AF3&lt;&gt;"",AG3&lt;&gt;"",DZ3="")</formula>
    </cfRule>
  </conditionalFormatting>
  <conditionalFormatting sqref="DW3:DW83">
    <cfRule type="expression" dxfId="357" priority="547">
      <formula>AND(AG3&lt;&gt;"",AH3&lt;&gt;"",DW3="")</formula>
    </cfRule>
  </conditionalFormatting>
  <conditionalFormatting sqref="DY3:DY83">
    <cfRule type="expression" dxfId="356" priority="549">
      <formula>AND(W3&lt;&gt;"",X3&lt;&gt;"",DY3="")</formula>
    </cfRule>
  </conditionalFormatting>
  <conditionalFormatting sqref="BL3:BL83">
    <cfRule type="expression" dxfId="355" priority="557">
      <formula>AND(L3&lt;&gt;"",M3&lt;&gt;"",BL3="")</formula>
    </cfRule>
  </conditionalFormatting>
  <conditionalFormatting sqref="AQ3:AQ83">
    <cfRule type="expression" dxfId="354" priority="566">
      <formula>AND(T3&lt;&gt;"",AA3&lt;&gt;"",AQ3="")</formula>
    </cfRule>
  </conditionalFormatting>
  <conditionalFormatting sqref="DX3:DX83">
    <cfRule type="expression" dxfId="353" priority="568">
      <formula>AND(T3&lt;&gt;"",AA3&lt;&gt;"",DX3="")</formula>
    </cfRule>
  </conditionalFormatting>
  <conditionalFormatting sqref="DF3:DF83">
    <cfRule type="expression" dxfId="352" priority="569">
      <formula>AND(T3&lt;&gt;"",W3&lt;&gt;"",DF3="")</formula>
    </cfRule>
  </conditionalFormatting>
  <conditionalFormatting sqref="B30">
    <cfRule type="expression" dxfId="351" priority="575">
      <formula>AND(B20&lt;&gt;"",B30="")</formula>
    </cfRule>
  </conditionalFormatting>
  <conditionalFormatting sqref="B32">
    <cfRule type="expression" dxfId="350" priority="165">
      <formula>AND(B23&lt;&gt;"",B32="")</formula>
    </cfRule>
  </conditionalFormatting>
  <conditionalFormatting sqref="B31">
    <cfRule type="expression" dxfId="349" priority="166">
      <formula>AND(B23&lt;&gt;"",B31="")</formula>
    </cfRule>
  </conditionalFormatting>
  <conditionalFormatting sqref="D28:D32">
    <cfRule type="expression" dxfId="348" priority="164">
      <formula>AND(B28&lt;&gt;"",C28&lt;&gt;"",D28="")</formula>
    </cfRule>
  </conditionalFormatting>
  <conditionalFormatting sqref="E28:E32">
    <cfRule type="expression" dxfId="347" priority="163">
      <formula>AND(B28&lt;&gt;"",C28&lt;&gt;"",E28="")</formula>
    </cfRule>
  </conditionalFormatting>
  <conditionalFormatting sqref="AC3:AD83">
    <cfRule type="expression" dxfId="346" priority="587">
      <formula>AND(D3&lt;&gt;"",E3&lt;&gt;"",AC3="")</formula>
    </cfRule>
  </conditionalFormatting>
  <conditionalFormatting sqref="BV3:BY83">
    <cfRule type="expression" dxfId="345" priority="591">
      <formula>AND(X3&lt;&gt;"",Y3&lt;&gt;"",BV3="")</formula>
    </cfRule>
  </conditionalFormatting>
  <conditionalFormatting sqref="BA3:BB3">
    <cfRule type="expression" dxfId="344" priority="592">
      <formula>AND(T3&lt;&gt;"",AA3&lt;&gt;"",BA3="")</formula>
    </cfRule>
  </conditionalFormatting>
  <conditionalFormatting sqref="BE4:BE83">
    <cfRule type="expression" dxfId="343" priority="595">
      <formula>AND(R4&lt;&gt;"",S4&lt;&gt;"",BE4="")</formula>
    </cfRule>
  </conditionalFormatting>
  <conditionalFormatting sqref="BC4:BC83">
    <cfRule type="expression" dxfId="342" priority="600">
      <formula>AND(R4&lt;&gt;"",S4&lt;&gt;"",BC4="")</formula>
    </cfRule>
  </conditionalFormatting>
  <conditionalFormatting sqref="BC3:BD3 BD4:BD83">
    <cfRule type="expression" dxfId="341" priority="602">
      <formula>AND(U3&lt;&gt;"",AB3&lt;&gt;"",BC3="")</formula>
    </cfRule>
  </conditionalFormatting>
  <conditionalFormatting sqref="AA53:AA83">
    <cfRule type="expression" dxfId="340" priority="162">
      <formula>AND(L53&lt;&gt;"",M53&lt;&gt;"",AA53="")</formula>
    </cfRule>
  </conditionalFormatting>
  <conditionalFormatting sqref="AE3:AF52 AF53:AF83">
    <cfRule type="expression" dxfId="339" priority="109">
      <formula>AND(D3&lt;&gt;"",E3&lt;&gt;"",AE3="")</formula>
    </cfRule>
  </conditionalFormatting>
  <conditionalFormatting sqref="AE53:AE83">
    <cfRule type="expression" dxfId="338" priority="31">
      <formula>AND(D53&lt;&gt;"",E53&lt;&gt;"",AE53="")</formula>
    </cfRule>
  </conditionalFormatting>
  <conditionalFormatting sqref="FL3:FL83">
    <cfRule type="expression" dxfId="337" priority="604">
      <formula>AND(AO3&lt;&gt;"",AP3&lt;&gt;"",FL3="")</formula>
    </cfRule>
  </conditionalFormatting>
  <conditionalFormatting sqref="FG3:FK83">
    <cfRule type="expression" dxfId="336" priority="606">
      <formula>AND(AO3&lt;&gt;"",AP3&lt;&gt;"",FG3="")</formula>
    </cfRule>
  </conditionalFormatting>
  <conditionalFormatting sqref="ER3:FB83">
    <cfRule type="expression" dxfId="335" priority="608">
      <formula>AND(AM3&lt;&gt;"",AN3&lt;&gt;"",ER3="")</formula>
    </cfRule>
  </conditionalFormatting>
  <conditionalFormatting sqref="FC3:FF83">
    <cfRule type="expression" dxfId="334" priority="610">
      <formula>AND(AU3&lt;&gt;"",AV3&lt;&gt;"",FC3="")</formula>
    </cfRule>
  </conditionalFormatting>
  <conditionalFormatting sqref="EI3:EJ83">
    <cfRule type="expression" dxfId="333" priority="614">
      <formula>AND(AL3&lt;&gt;"",AM3&lt;&gt;"",EI3="")</formula>
    </cfRule>
  </conditionalFormatting>
  <conditionalFormatting sqref="EK3:EQ83">
    <cfRule type="expression" dxfId="332" priority="615">
      <formula>AND(AH3&lt;&gt;"",AI3&lt;&gt;"",EK3="")</formula>
    </cfRule>
  </conditionalFormatting>
  <conditionalFormatting sqref="AW3:AX83">
    <cfRule type="expression" dxfId="331" priority="623">
      <formula>AND(AA3&lt;&gt;"",AE3&lt;&gt;"",AW3="")</formula>
    </cfRule>
  </conditionalFormatting>
  <conditionalFormatting sqref="BE3:BI3">
    <cfRule type="expression" dxfId="330" priority="624">
      <formula>AND(U3&lt;&gt;"",AB3&lt;&gt;"",BE3="")</formula>
    </cfRule>
  </conditionalFormatting>
  <conditionalFormatting sqref="FM3:GC83">
    <cfRule type="expression" dxfId="329" priority="626">
      <formula>AND(AQ3&lt;&gt;"",AR3&lt;&gt;"",FM3="")</formula>
    </cfRule>
  </conditionalFormatting>
  <conditionalFormatting sqref="B33">
    <cfRule type="expression" dxfId="328" priority="5">
      <formula>AND(B25&lt;&gt;"",B33="")</formula>
    </cfRule>
  </conditionalFormatting>
  <conditionalFormatting sqref="B35">
    <cfRule type="expression" dxfId="327" priority="4">
      <formula>AND(B27&lt;&gt;"",B35="")</formula>
    </cfRule>
  </conditionalFormatting>
  <conditionalFormatting sqref="B37">
    <cfRule type="expression" dxfId="326" priority="3">
      <formula>AND(B29&lt;&gt;"",B37="")</formula>
    </cfRule>
  </conditionalFormatting>
  <conditionalFormatting sqref="B39">
    <cfRule type="expression" dxfId="325" priority="2">
      <formula>AND(B31&lt;&gt;"",B39="")</formula>
    </cfRule>
  </conditionalFormatting>
  <conditionalFormatting sqref="B41">
    <cfRule type="expression" dxfId="324" priority="1">
      <formula>AND(B33&lt;&gt;"",B41="")</formula>
    </cfRule>
  </conditionalFormatting>
  <conditionalFormatting sqref="AG3:AJ52 AG53:AI83">
    <cfRule type="expression" dxfId="323" priority="631">
      <formula>AND(E3&lt;&gt;"",F3&lt;&gt;"",AG3="")</formula>
    </cfRule>
  </conditionalFormatting>
  <conditionalFormatting sqref="BM3:BU83">
    <cfRule type="expression" dxfId="322" priority="649">
      <formula>AND(G3&lt;&gt;"",L3&lt;&gt;"",BM3="")</formula>
    </cfRule>
  </conditionalFormatting>
  <dataValidations count="10">
    <dataValidation type="list" allowBlank="1" showInputMessage="1" showErrorMessage="1" sqref="N4 N6 N8 N10 N12 N14 N16 N33 N35 N37 N39 N41 N43 N45 N47 N49 BN3:BN83 AZ3:AZ83 N51:N83 AN3:AN83" xr:uid="{00000000-0002-0000-0300-000000000000}">
      <formula1>"Yes,No"</formula1>
    </dataValidation>
    <dataValidation type="list" allowBlank="1" showInputMessage="1" showErrorMessage="1" sqref="N3 N5 N7 N9 N11 N13 N15 N50 N34 N36 N38 N40 N42 N44 N46 N48 N17:N32" xr:uid="{00000000-0002-0000-0300-000001000000}">
      <formula1>"Yes,No, "</formula1>
    </dataValidation>
    <dataValidation type="list" allowBlank="1" showInputMessage="1" showErrorMessage="1" sqref="O3:O83" xr:uid="{00000000-0002-0000-0300-000002000000}">
      <formula1>Material</formula1>
    </dataValidation>
    <dataValidation type="list" allowBlank="1" showInputMessage="1" showErrorMessage="1" sqref="BE3:BE83 AE3:AE83" xr:uid="{00000000-0002-0000-0300-000003000000}">
      <formula1>Bolt</formula1>
    </dataValidation>
    <dataValidation type="list" allowBlank="1" showInputMessage="1" showErrorMessage="1" sqref="AF3:AF83 BF3:BF83" xr:uid="{00000000-0002-0000-0300-000004000000}">
      <formula1>"N,X"</formula1>
    </dataValidation>
    <dataValidation type="list" allowBlank="1" showInputMessage="1" showErrorMessage="1" sqref="AS3:AS83 BS3:BS83" xr:uid="{00000000-0002-0000-0300-000005000000}">
      <formula1>"45,60"</formula1>
    </dataValidation>
    <dataValidation type="list" allowBlank="1" showInputMessage="1" showErrorMessage="1" sqref="AP3:AP22 AP33:AP56 AV3:AV83 BV3:BV83" xr:uid="{00000000-0002-0000-0300-000006000000}">
      <formula1>"Fillet,None"</formula1>
    </dataValidation>
    <dataValidation type="list" allowBlank="1" showInputMessage="1" showErrorMessage="1" sqref="AP23:AP32 AP57:AP83" xr:uid="{00000000-0002-0000-0300-000007000000}">
      <formula1>"CJP Groove,PJP Groove,Fillet Only,None"</formula1>
    </dataValidation>
    <dataValidation type="list" allowBlank="1" showInputMessage="1" showErrorMessage="1" sqref="AA3:AA83 BA3:BA83" xr:uid="{00000000-0002-0000-0300-000008000000}">
      <formula1>"Bolted,Welded,Capacity Input,None"</formula1>
    </dataValidation>
    <dataValidation type="list" allowBlank="1" showInputMessage="1" showErrorMessage="1" sqref="C3:C83" xr:uid="{00000000-0002-0000-0300-000009000000}">
      <formula1>"plate,channel,solid round"</formula1>
    </dataValidation>
  </dataValidations>
  <pageMargins left="0.7" right="0.7" top="0.75" bottom="0.75" header="0.3" footer="0.3"/>
  <pageSetup scale="68" orientation="landscape" r:id="rId1"/>
  <drawing r:id="rId2"/>
  <legacyDrawing r:id="rId3"/>
  <controls>
    <mc:AlternateContent xmlns:mc="http://schemas.openxmlformats.org/markup-compatibility/2006">
      <mc:Choice Requires="x14">
        <control shapeId="806957" r:id="rId4" name="CheckBox3">
          <controlPr defaultSize="0" autoLine="0" r:id="rId5">
            <anchor moveWithCells="1">
              <from>
                <xdr:col>19</xdr:col>
                <xdr:colOff>85725</xdr:colOff>
                <xdr:row>0</xdr:row>
                <xdr:rowOff>619125</xdr:rowOff>
              </from>
              <to>
                <xdr:col>21</xdr:col>
                <xdr:colOff>561975</xdr:colOff>
                <xdr:row>0</xdr:row>
                <xdr:rowOff>914400</xdr:rowOff>
              </to>
            </anchor>
          </controlPr>
        </control>
      </mc:Choice>
      <mc:Fallback>
        <control shapeId="806957" r:id="rId4" name="CheckBox3"/>
      </mc:Fallback>
    </mc:AlternateContent>
    <mc:AlternateContent xmlns:mc="http://schemas.openxmlformats.org/markup-compatibility/2006">
      <mc:Choice Requires="x14">
        <control shapeId="806956" r:id="rId6" name="CheckBox2">
          <controlPr defaultSize="0" autoLine="0" r:id="rId7">
            <anchor moveWithCells="1">
              <from>
                <xdr:col>19</xdr:col>
                <xdr:colOff>76200</xdr:colOff>
                <xdr:row>0</xdr:row>
                <xdr:rowOff>361950</xdr:rowOff>
              </from>
              <to>
                <xdr:col>21</xdr:col>
                <xdr:colOff>552450</xdr:colOff>
                <xdr:row>0</xdr:row>
                <xdr:rowOff>657225</xdr:rowOff>
              </to>
            </anchor>
          </controlPr>
        </control>
      </mc:Choice>
      <mc:Fallback>
        <control shapeId="806956" r:id="rId6" name="CheckBox2"/>
      </mc:Fallback>
    </mc:AlternateContent>
    <mc:AlternateContent xmlns:mc="http://schemas.openxmlformats.org/markup-compatibility/2006">
      <mc:Choice Requires="x14">
        <control shapeId="806951" r:id="rId8" name="Bolt_Dbase2">
          <controlPr defaultSize="0" autoFill="0" autoLine="0" r:id="rId9">
            <anchor moveWithCells="1">
              <from>
                <xdr:col>30</xdr:col>
                <xdr:colOff>123825</xdr:colOff>
                <xdr:row>0</xdr:row>
                <xdr:rowOff>819150</xdr:rowOff>
              </from>
              <to>
                <xdr:col>30</xdr:col>
                <xdr:colOff>1181100</xdr:colOff>
                <xdr:row>0</xdr:row>
                <xdr:rowOff>990600</xdr:rowOff>
              </to>
            </anchor>
          </controlPr>
        </control>
      </mc:Choice>
      <mc:Fallback>
        <control shapeId="806951" r:id="rId8" name="Bolt_Dbase2"/>
      </mc:Fallback>
    </mc:AlternateContent>
    <mc:AlternateContent xmlns:mc="http://schemas.openxmlformats.org/markup-compatibility/2006">
      <mc:Choice Requires="x14">
        <control shapeId="806950" r:id="rId10" name="Bolt_Dbase">
          <controlPr defaultSize="0" autoFill="0" autoLine="0" r:id="rId11">
            <anchor moveWithCells="1">
              <from>
                <xdr:col>56</xdr:col>
                <xdr:colOff>123825</xdr:colOff>
                <xdr:row>0</xdr:row>
                <xdr:rowOff>800100</xdr:rowOff>
              </from>
              <to>
                <xdr:col>56</xdr:col>
                <xdr:colOff>1181100</xdr:colOff>
                <xdr:row>0</xdr:row>
                <xdr:rowOff>971550</xdr:rowOff>
              </to>
            </anchor>
          </controlPr>
        </control>
      </mc:Choice>
      <mc:Fallback>
        <control shapeId="806950" r:id="rId10" name="Bolt_Dbase"/>
      </mc:Fallback>
    </mc:AlternateContent>
    <mc:AlternateContent xmlns:mc="http://schemas.openxmlformats.org/markup-compatibility/2006">
      <mc:Choice Requires="x14">
        <control shapeId="806926" r:id="rId12" name="CheckBox1">
          <controlPr defaultSize="0" autoLine="0" r:id="rId13">
            <anchor moveWithCells="1">
              <from>
                <xdr:col>19</xdr:col>
                <xdr:colOff>76200</xdr:colOff>
                <xdr:row>0</xdr:row>
                <xdr:rowOff>104775</xdr:rowOff>
              </from>
              <to>
                <xdr:col>21</xdr:col>
                <xdr:colOff>552450</xdr:colOff>
                <xdr:row>0</xdr:row>
                <xdr:rowOff>400050</xdr:rowOff>
              </to>
            </anchor>
          </controlPr>
        </control>
      </mc:Choice>
      <mc:Fallback>
        <control shapeId="806926" r:id="rId12" name="CheckBox1"/>
      </mc:Fallback>
    </mc:AlternateContent>
  </controls>
  <tableParts count="1">
    <tablePart r:id="rId1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dimension ref="B2:BK35"/>
  <sheetViews>
    <sheetView showGridLines="0" zoomScaleNormal="100" workbookViewId="0">
      <pane xSplit="2" ySplit="3" topLeftCell="C4" activePane="bottomRight" state="frozen"/>
      <selection pane="topRight" activeCell="C1" sqref="C1"/>
      <selection pane="bottomLeft" activeCell="A4" sqref="A4"/>
      <selection pane="bottomRight" activeCell="B16" sqref="B16"/>
    </sheetView>
  </sheetViews>
  <sheetFormatPr defaultRowHeight="12.75" x14ac:dyDescent="0.2"/>
  <cols>
    <col min="2" max="2" width="30.7109375" customWidth="1"/>
    <col min="3" max="3" width="60" style="65" bestFit="1" customWidth="1"/>
    <col min="4" max="4" width="13.5703125" customWidth="1"/>
    <col min="5" max="5" width="13.5703125" style="65" customWidth="1"/>
    <col min="6" max="6" width="14.140625" customWidth="1"/>
    <col min="7" max="7" width="9.7109375" customWidth="1"/>
    <col min="8" max="9" width="14.7109375" style="65" customWidth="1"/>
    <col min="10" max="10" width="13" hidden="1" customWidth="1"/>
    <col min="11" max="11" width="11" customWidth="1"/>
    <col min="12" max="13" width="9" hidden="1" customWidth="1"/>
    <col min="14" max="14" width="9" style="65" hidden="1" customWidth="1"/>
    <col min="15" max="15" width="8.85546875" style="65" hidden="1" customWidth="1"/>
    <col min="16" max="16" width="13" hidden="1" customWidth="1"/>
    <col min="17" max="17" width="12.7109375" hidden="1" customWidth="1"/>
    <col min="18" max="18" width="11.140625" style="10" hidden="1" customWidth="1"/>
    <col min="19" max="19" width="11" style="10" hidden="1" customWidth="1"/>
    <col min="20" max="20" width="10.140625" style="65" hidden="1" customWidth="1"/>
    <col min="21" max="21" width="9.85546875" hidden="1" customWidth="1"/>
    <col min="22" max="22" width="13" style="65" hidden="1" customWidth="1"/>
    <col min="23" max="23" width="15.7109375" style="65" hidden="1" customWidth="1"/>
    <col min="24" max="25" width="13.28515625" style="10" hidden="1" customWidth="1"/>
    <col min="26" max="26" width="14.85546875" style="10" hidden="1" customWidth="1"/>
    <col min="27" max="27" width="14.5703125" style="10" hidden="1" customWidth="1"/>
    <col min="28" max="28" width="13.28515625" style="10" hidden="1" customWidth="1"/>
    <col min="29" max="29" width="14" style="10" hidden="1" customWidth="1"/>
    <col min="30" max="30" width="17" customWidth="1"/>
    <col min="31" max="31" width="16.7109375" customWidth="1"/>
    <col min="32" max="32" width="14.85546875" customWidth="1"/>
    <col min="33" max="33" width="16.140625" customWidth="1"/>
    <col min="34" max="34" width="14.85546875" style="10" hidden="1" customWidth="1"/>
    <col min="35" max="35" width="16.140625" style="10" hidden="1" customWidth="1"/>
    <col min="36" max="36" width="16.5703125" style="10" hidden="1" customWidth="1"/>
    <col min="37" max="38" width="16.5703125" style="10" customWidth="1"/>
    <col min="39" max="39" width="17" customWidth="1"/>
    <col min="40" max="40" width="9.28515625" bestFit="1" customWidth="1"/>
    <col min="41" max="41" width="11.140625" bestFit="1" customWidth="1"/>
    <col min="53" max="53" width="4.28515625" customWidth="1"/>
    <col min="54" max="63" width="7.42578125" customWidth="1"/>
  </cols>
  <sheetData>
    <row r="2" spans="2:63" s="514" customFormat="1" x14ac:dyDescent="0.2">
      <c r="B2" s="49"/>
      <c r="C2" s="49"/>
      <c r="D2" s="49"/>
      <c r="E2" s="49"/>
      <c r="F2" s="49"/>
      <c r="G2" s="49"/>
      <c r="H2" s="49"/>
      <c r="I2" s="49"/>
      <c r="J2" s="49" t="s">
        <v>579</v>
      </c>
      <c r="K2" s="49"/>
      <c r="L2" s="49" t="s">
        <v>579</v>
      </c>
      <c r="M2" s="49" t="s">
        <v>579</v>
      </c>
      <c r="N2" s="49" t="s">
        <v>579</v>
      </c>
      <c r="O2" s="49" t="s">
        <v>579</v>
      </c>
      <c r="P2" s="49" t="s">
        <v>579</v>
      </c>
      <c r="Q2" s="49" t="s">
        <v>579</v>
      </c>
      <c r="R2" s="49" t="s">
        <v>579</v>
      </c>
      <c r="S2" s="49" t="s">
        <v>579</v>
      </c>
      <c r="T2" s="49" t="s">
        <v>579</v>
      </c>
      <c r="U2" s="49" t="s">
        <v>579</v>
      </c>
      <c r="V2" s="49" t="s">
        <v>579</v>
      </c>
      <c r="W2" s="49" t="s">
        <v>579</v>
      </c>
      <c r="X2" s="49" t="s">
        <v>579</v>
      </c>
      <c r="Y2" s="49" t="s">
        <v>579</v>
      </c>
      <c r="Z2" s="49" t="s">
        <v>579</v>
      </c>
      <c r="AA2" s="49" t="s">
        <v>579</v>
      </c>
      <c r="AB2" s="49" t="s">
        <v>579</v>
      </c>
      <c r="AC2" s="49" t="s">
        <v>579</v>
      </c>
      <c r="AD2" s="49"/>
      <c r="AE2" s="49"/>
      <c r="AF2" s="49"/>
      <c r="AG2" s="49"/>
      <c r="AH2" s="49" t="s">
        <v>579</v>
      </c>
      <c r="AI2" s="49" t="s">
        <v>579</v>
      </c>
      <c r="AJ2" s="49" t="s">
        <v>579</v>
      </c>
      <c r="AK2" s="49"/>
      <c r="AL2" s="49"/>
    </row>
    <row r="3" spans="2:63" ht="54" customHeight="1" x14ac:dyDescent="0.3">
      <c r="B3" s="140" t="s">
        <v>414</v>
      </c>
      <c r="C3" s="140" t="s">
        <v>415</v>
      </c>
      <c r="D3" s="140" t="s">
        <v>394</v>
      </c>
      <c r="E3" s="140" t="s">
        <v>475</v>
      </c>
      <c r="F3" s="140" t="s">
        <v>392</v>
      </c>
      <c r="G3" s="140" t="s">
        <v>393</v>
      </c>
      <c r="H3" s="140" t="s">
        <v>396</v>
      </c>
      <c r="I3" s="140" t="s">
        <v>397</v>
      </c>
      <c r="J3" s="140" t="s">
        <v>398</v>
      </c>
      <c r="K3" s="140" t="s">
        <v>395</v>
      </c>
      <c r="L3" s="140" t="s">
        <v>402</v>
      </c>
      <c r="M3" s="140" t="s">
        <v>403</v>
      </c>
      <c r="N3" s="140" t="s">
        <v>406</v>
      </c>
      <c r="O3" s="140" t="s">
        <v>407</v>
      </c>
      <c r="P3" s="140" t="s">
        <v>411</v>
      </c>
      <c r="Q3" s="140" t="s">
        <v>410</v>
      </c>
      <c r="R3" s="141" t="s">
        <v>400</v>
      </c>
      <c r="S3" s="141" t="s">
        <v>401</v>
      </c>
      <c r="T3" s="140" t="s">
        <v>408</v>
      </c>
      <c r="U3" s="140" t="s">
        <v>409</v>
      </c>
      <c r="V3" s="140" t="s">
        <v>405</v>
      </c>
      <c r="W3" s="140" t="s">
        <v>404</v>
      </c>
      <c r="X3" s="141" t="s">
        <v>790</v>
      </c>
      <c r="Y3" s="141" t="s">
        <v>791</v>
      </c>
      <c r="Z3" s="141" t="s">
        <v>792</v>
      </c>
      <c r="AA3" s="141" t="s">
        <v>793</v>
      </c>
      <c r="AB3" s="141" t="s">
        <v>794</v>
      </c>
      <c r="AC3" s="141" t="s">
        <v>795</v>
      </c>
      <c r="AD3" s="141" t="s">
        <v>418</v>
      </c>
      <c r="AE3" s="141" t="s">
        <v>419</v>
      </c>
      <c r="AF3" s="141" t="s">
        <v>420</v>
      </c>
      <c r="AG3" s="141" t="s">
        <v>421</v>
      </c>
      <c r="AH3" s="141" t="s">
        <v>796</v>
      </c>
      <c r="AI3" s="141" t="s">
        <v>797</v>
      </c>
      <c r="AJ3" s="141" t="s">
        <v>959</v>
      </c>
      <c r="AK3" s="550" t="s">
        <v>957</v>
      </c>
      <c r="AL3" s="550" t="s">
        <v>958</v>
      </c>
      <c r="AM3" s="550" t="s">
        <v>976</v>
      </c>
      <c r="AN3" s="601" t="s">
        <v>1204</v>
      </c>
      <c r="AO3" s="602" t="s">
        <v>1283</v>
      </c>
    </row>
    <row r="4" spans="2:63" s="65" customFormat="1" x14ac:dyDescent="0.2">
      <c r="B4" s="590" t="s">
        <v>631</v>
      </c>
      <c r="C4" s="73"/>
      <c r="D4" s="73"/>
      <c r="E4" s="73" t="str">
        <f>IF(Bolts[[#This Row],[Bolt Name]]="-","",Bolts[[#This Row],[Bolt Diameter (in)]]*25.4)</f>
        <v/>
      </c>
      <c r="F4" s="73" t="str">
        <f>IF(Bolts[[#This Row],[Bolt Name]]="-","",PI()/4*Bolts[[#This Row],[Bolt Diameter (in)]]^2)</f>
        <v/>
      </c>
      <c r="G4" s="73"/>
      <c r="H4" s="73"/>
      <c r="I4" s="73"/>
      <c r="J4" s="73">
        <f>IF(Bolts[[#This Row],[Bolt Name]]="","",PI()/4*(Bolts[[#This Row],[Sleeve Outer Diameter (in)]]^2-Bolts[[#This Row],[Sleeve Inner Diameter (in)]]^2))</f>
        <v>0</v>
      </c>
      <c r="K4" s="73"/>
      <c r="L4" s="73" t="str">
        <f>IF(Bolts[[#This Row],[Bolt Name]]="","",IF(Bolts[[#This Row],[Bolt Fu (ksi)]]=120,21,IF(Bolts[[#This Row],[Bolt Fu (ksi)]]=150,28,"Error")))</f>
        <v>Error</v>
      </c>
      <c r="M4" s="73" t="str">
        <f>IF(Bolts[[#This Row],[Bolt Name]]="","",IF(Bolts[[#This Row],[Bolt Fu (ksi)]]=120,30,IF(Bolts[[#This Row],[Bolt Fu (ksi)]]=150,40,"Error")))</f>
        <v>Error</v>
      </c>
      <c r="N4" s="73" t="e">
        <f>IF(Bolts[[#This Row],[Bolt Name]]="","",Bolts[[#This Row],[Rev. F FVN]]*Bolts[[#This Row],[Area of Bolt (in2)]])</f>
        <v>#VALUE!</v>
      </c>
      <c r="O4" s="73" t="e">
        <f>IF(Bolts[[#This Row],[Bolt Name]]="","",Bolts[[#This Row],[Rev. F FVX]]*Bolts[[#This Row],[Area of Bolt (in2)]])</f>
        <v>#VALUE!</v>
      </c>
      <c r="P4" s="73" t="e">
        <f>IF(Bolts[[#This Row],[Bolt Name]]="","",Bolts[[#This Row],[Rev. F FVX]]*(Bolts[[#This Row],[Sleeve Fu (ksi)]]/Bolts[[#This Row],[Bolt Fu (ksi)]]))</f>
        <v>#VALUE!</v>
      </c>
      <c r="Q4" s="73" t="e">
        <f>IF(Bolts[[#This Row],[Bolt Name]]="","",Bolts[[#This Row],[Rev. F Sleeve FVX]]*Bolts[[#This Row],[Sleeve Area (in2)]])</f>
        <v>#VALUE!</v>
      </c>
      <c r="R4" s="466">
        <f>IF(Bolts[[#This Row],[Bolt Name]]="","",0.45*Bolts[[#This Row],[Bolt Fu (ksi)]])</f>
        <v>0</v>
      </c>
      <c r="S4" s="466">
        <f>IF(Bolts[[#This Row],[Bolt Name]]="","",0.55*Bolts[[#This Row],[Bolt Fu (ksi)]])</f>
        <v>0</v>
      </c>
      <c r="T4" s="73" t="e">
        <f>IF(Bolts[[#This Row],[Bolt Name]]="","",φ_bolt_shear*Bolts[[#This Row],[Rev. G FNVN]]*Bolts[[#This Row],[Area of Bolt (in2)]])</f>
        <v>#VALUE!</v>
      </c>
      <c r="U4" s="73" t="e">
        <f>IF(Bolts[[#This Row],[Bolt Name]]="","",φ_bolt_shear*Bolts[[#This Row],[Rev. G FNVX]]*Bolts[[#This Row],[Area of Bolt (in2)]])</f>
        <v>#VALUE!</v>
      </c>
      <c r="V4" s="73">
        <f>IF(Bolts[[#This Row],[Bolt Name]]="","",0.55*Bolts[[#This Row],[Sleeve Fu (ksi)]])</f>
        <v>0</v>
      </c>
      <c r="W4" s="73">
        <f>IF(Bolts[[#This Row],[Bolt Name]]="","",φ_bolt_shear*Bolts[[#This Row],[Rev. G Sleeve FNVX]]*Bolts[[#This Row],[Sleeve Area (in2)]])</f>
        <v>0</v>
      </c>
      <c r="X4" s="466">
        <f>IF(Bolts[[#This Row],[Bolt Name]]="","",0.625*0.8*Bolts[[#This Row],[Bolt Fu (ksi)]])</f>
        <v>0</v>
      </c>
      <c r="Y4" s="466">
        <f>IF(Bolts[[#This Row],[Bolt Name]]="","",0.625*Bolts[[#This Row],[Bolt Fu (ksi)]])</f>
        <v>0</v>
      </c>
      <c r="Z4" s="466" t="e">
        <f>IF(Bolts[[#This Row],[Bolt Name]]="","",φ_bolt_shear*Bolts[[#This Row],[Rev. H FNVN]]*Bolts[[#This Row],[Area of Bolt (in2)]])</f>
        <v>#VALUE!</v>
      </c>
      <c r="AA4" s="466" t="e">
        <f>IF(Bolts[[#This Row],[Bolt Name]]="","",φ_bolt_shear*Bolts[[#This Row],[Rev. H FNVX]]*Bolts[[#This Row],[Area of Bolt (in2)]])</f>
        <v>#VALUE!</v>
      </c>
      <c r="AB4" s="466">
        <f>IF(Bolts[[#This Row],[Bolt Name]]="","",0.625*Bolts[[#This Row],[Sleeve Fu (ksi)]])</f>
        <v>0</v>
      </c>
      <c r="AC4" s="466">
        <f>IF(Bolts[[#This Row],[Bolt Name]]="","",φ_bolt_shear*Bolts[[#This Row],[Rev. H Sleeve FNVX]]*Bolts[[#This Row],[Sleeve Area (in2)]])</f>
        <v>0</v>
      </c>
      <c r="AD4" s="73" t="str">
        <f>IF(Bolts[[#This Row],[Bolt Name]]="-","",(Bolts[[#This Row],[Rev. F RN]]+Bolts[[#This Row],[Rev. F Sleeve RN]]))</f>
        <v/>
      </c>
      <c r="AE4" s="73" t="str">
        <f>IF(Bolts[[#This Row],[Bolt Name]]="-","",(Bolts[[#This Row],[Rev. F RX]]+Bolts[[#This Row],[Rev. F Sleeve RN]]))</f>
        <v/>
      </c>
      <c r="AF4" s="73" t="str">
        <f>IF(Bolts[[#This Row],[Bolt Name]]="-","",Bolts[[#This Row],[Rev. G ΦRNN]]+Bolts[[#This Row],[Rev. G Sleeve ΦRNX]])</f>
        <v/>
      </c>
      <c r="AG4" s="73" t="str">
        <f>IF(Bolts[[#This Row],[Bolt Name]]="-","",Bolts[[#This Row],[Rev. G ΦRNX]]+Bolts[[#This Row],[Rev. G Sleeve ΦRNX]])</f>
        <v/>
      </c>
      <c r="AH4" s="552" t="e">
        <f>IF(Bolts[[#This Row],[Bolt Name]]="","",Bolts[[#This Row],[Rev. H ΦRNN]])</f>
        <v>#VALUE!</v>
      </c>
      <c r="AI4" s="552" t="e">
        <f>IF(Bolts[[#This Row],[Bolt Name]]="","",Bolts[[#This Row],[Rev. H ΦRNX]])</f>
        <v>#VALUE!</v>
      </c>
      <c r="AJ4" s="552">
        <f>IF(Bolts[[#This Row],[Bolt Name]]="","",Bolts[[#This Row],[Rev. H Sleeve ΦRNX]])</f>
        <v>0</v>
      </c>
      <c r="AK4" s="552" t="str">
        <f>IF(Bolts[[#This Row],[Bolt Name]]="-","",Bolts[[#This Row],[Rev. H Bolt (N) Capacity]]+Bolts[[#This Row],[Rev. H Shear Sleeve Capacity]])</f>
        <v/>
      </c>
      <c r="AL4" s="552" t="str">
        <f>IF(Bolts[[#This Row],[Bolt Name]]="-","",Bolts[[#This Row],[Rev. H Bolt (X) Capacity]]+Bolts[[#This Row],[Rev. H Shear Sleeve Capacity]])</f>
        <v/>
      </c>
      <c r="AM4" s="564"/>
      <c r="AN4" s="607">
        <v>0</v>
      </c>
      <c r="AO4" s="552" t="b">
        <f>IF(Bolts[[#This Row],[Bolt Name]]="","",IF(ROW(Bolts[[#This Row],[Bolt Name]])&gt;15,FALSE,TRUE))</f>
        <v>1</v>
      </c>
    </row>
    <row r="5" spans="2:63" x14ac:dyDescent="0.2">
      <c r="B5" s="72" t="s">
        <v>416</v>
      </c>
      <c r="C5" s="72" t="s">
        <v>970</v>
      </c>
      <c r="D5" s="73">
        <f>20/25.4</f>
        <v>0.78740157480314965</v>
      </c>
      <c r="E5" s="73">
        <f>IF(Bolts[[#This Row],[Bolt Name]]="","",Bolts[[#This Row],[Bolt Diameter (in)]]*25.4)</f>
        <v>20</v>
      </c>
      <c r="F5" s="73">
        <f>IF(Bolts[[#This Row],[Bolt Name]]="","",PI()/4*Bolts[[#This Row],[Bolt Diameter (in)]]^2)</f>
        <v>0.48694783520208834</v>
      </c>
      <c r="G5" s="73">
        <v>120</v>
      </c>
      <c r="H5" s="73">
        <f>29/25.4</f>
        <v>1.1417322834645669</v>
      </c>
      <c r="I5" s="73">
        <f>20.295/25.4</f>
        <v>0.79901574803149622</v>
      </c>
      <c r="J5" s="73">
        <f>IF(Bolts[[#This Row],[Bolt Name]]="","",PI()/4*(Bolts[[#This Row],[Sleeve Outer Diameter (in)]]^2-Bolts[[#This Row],[Sleeve Inner Diameter (in)]]^2))</f>
        <v>0.52238908558344443</v>
      </c>
      <c r="K5" s="73">
        <v>100</v>
      </c>
      <c r="L5" s="73">
        <f>IF(Bolts[[#This Row],[Bolt Name]]="","",IF(Bolts[[#This Row],[Bolt Fu (ksi)]]=120,21,IF(Bolts[[#This Row],[Bolt Fu (ksi)]]=150,28,"Error")))</f>
        <v>21</v>
      </c>
      <c r="M5" s="73">
        <f>IF(Bolts[[#This Row],[Bolt Name]]="","",IF(Bolts[[#This Row],[Bolt Fu (ksi)]]=120,30,IF(Bolts[[#This Row],[Bolt Fu (ksi)]]=150,40,"Error")))</f>
        <v>30</v>
      </c>
      <c r="N5" s="73">
        <f>IF(Bolts[[#This Row],[Bolt Name]]="","",Bolts[[#This Row],[Rev. F FVN]]*Bolts[[#This Row],[Area of Bolt (in2)]])</f>
        <v>10.225904539243855</v>
      </c>
      <c r="O5" s="73">
        <f>IF(Bolts[[#This Row],[Bolt Name]]="","",Bolts[[#This Row],[Rev. F FVX]]*Bolts[[#This Row],[Area of Bolt (in2)]])</f>
        <v>14.60843505606265</v>
      </c>
      <c r="P5" s="73">
        <f>IF(Bolts[[#This Row],[Bolt Name]]="","",Bolts[[#This Row],[Rev. F FVX]]*(Bolts[[#This Row],[Sleeve Fu (ksi)]]/Bolts[[#This Row],[Bolt Fu (ksi)]]))</f>
        <v>25</v>
      </c>
      <c r="Q5" s="73">
        <f>IF(Bolts[[#This Row],[Bolt Name]]="","",Bolts[[#This Row],[Rev. F Sleeve FVX]]*Bolts[[#This Row],[Sleeve Area (in2)]])</f>
        <v>13.05972713958611</v>
      </c>
      <c r="R5" s="466">
        <f>IF(Bolts[[#This Row],[Bolt Name]]="","",0.45*Bolts[[#This Row],[Bolt Fu (ksi)]])</f>
        <v>54</v>
      </c>
      <c r="S5" s="466">
        <f>IF(Bolts[[#This Row],[Bolt Name]]="","",0.55*Bolts[[#This Row],[Bolt Fu (ksi)]])</f>
        <v>66</v>
      </c>
      <c r="T5" s="73">
        <f>IF(Bolts[[#This Row],[Bolt Name]]="","",φ_bolt_shear*Bolts[[#This Row],[Rev. G FNVN]]*Bolts[[#This Row],[Area of Bolt (in2)]])</f>
        <v>19.721387325684578</v>
      </c>
      <c r="U5" s="73">
        <f>IF(Bolts[[#This Row],[Bolt Name]]="","",φ_bolt_shear*Bolts[[#This Row],[Rev. G FNVX]]*Bolts[[#This Row],[Area of Bolt (in2)]])</f>
        <v>24.103917842503375</v>
      </c>
      <c r="V5" s="73">
        <f>IF(Bolts[[#This Row],[Bolt Name]]="","",0.55*Bolts[[#This Row],[Sleeve Fu (ksi)]])</f>
        <v>55.000000000000007</v>
      </c>
      <c r="W5" s="73">
        <f>IF(Bolts[[#This Row],[Bolt Name]]="","",φ_bolt_shear*Bolts[[#This Row],[Rev. G Sleeve FNVX]]*Bolts[[#This Row],[Sleeve Area (in2)]])</f>
        <v>21.548549780317085</v>
      </c>
      <c r="X5" s="466">
        <f>IF(Bolts[[#This Row],[Bolt Name]]="","",0.625*0.8*Bolts[[#This Row],[Bolt Fu (ksi)]])</f>
        <v>60</v>
      </c>
      <c r="Y5" s="466">
        <f>IF(Bolts[[#This Row],[Bolt Name]]="","",0.625*Bolts[[#This Row],[Bolt Fu (ksi)]])</f>
        <v>75</v>
      </c>
      <c r="Z5" s="466">
        <f>IF(Bolts[[#This Row],[Bolt Name]]="","",φ_bolt_shear*Bolts[[#This Row],[Rev. H FNVN]]*Bolts[[#This Row],[Area of Bolt (in2)]])</f>
        <v>21.912652584093976</v>
      </c>
      <c r="AA5" s="466">
        <f>IF(Bolts[[#This Row],[Bolt Name]]="","",φ_bolt_shear*Bolts[[#This Row],[Rev. H FNVX]]*Bolts[[#This Row],[Area of Bolt (in2)]])</f>
        <v>27.39081573011747</v>
      </c>
      <c r="AB5" s="466">
        <f>IF(Bolts[[#This Row],[Bolt Name]]="","",0.625*Bolts[[#This Row],[Sleeve Fu (ksi)]])</f>
        <v>62.5</v>
      </c>
      <c r="AC5" s="466">
        <f>IF(Bolts[[#This Row],[Bolt Name]]="","",φ_bolt_shear*Bolts[[#This Row],[Rev. H Sleeve FNVX]]*Bolts[[#This Row],[Sleeve Area (in2)]])</f>
        <v>24.486988386723958</v>
      </c>
      <c r="AD5" s="73">
        <f>IF(Bolts[[#This Row],[Bolt Name]]="","",(Bolts[[#This Row],[Rev. F RN]]+Bolts[[#This Row],[Rev. F Sleeve RN]]))</f>
        <v>23.285631678829965</v>
      </c>
      <c r="AE5" s="73">
        <f>IF(Bolts[[#This Row],[Bolt Name]]="","",(Bolts[[#This Row],[Rev. F RX]]+Bolts[[#This Row],[Rev. F Sleeve RN]]))</f>
        <v>27.668162195648762</v>
      </c>
      <c r="AF5" s="466">
        <f>IF(Bolts[[#This Row],[Bolt Name]]="","",Bolts[[#This Row],[Rev. G ΦRNN]]+Bolts[[#This Row],[Rev. G Sleeve ΦRNX]])</f>
        <v>41.269937106001663</v>
      </c>
      <c r="AG5" s="466">
        <f>IF(Bolts[[#This Row],[Bolt Name]]="","",Bolts[[#This Row],[Rev. G ΦRNX]]+Bolts[[#This Row],[Rev. G Sleeve ΦRNX]])</f>
        <v>45.65246762282046</v>
      </c>
      <c r="AH5" s="552">
        <f>IF(Bolts[[#This Row],[Bolt Name]]="","",Bolts[[#This Row],[Rev. H ΦRNN]])</f>
        <v>21.912652584093976</v>
      </c>
      <c r="AI5" s="552">
        <f>IF(Bolts[[#This Row],[Bolt Name]]="","",Bolts[[#This Row],[Rev. H ΦRNX]])</f>
        <v>27.39081573011747</v>
      </c>
      <c r="AJ5" s="552">
        <f>IF(Bolts[[#This Row],[Bolt Name]]="","",Bolts[[#This Row],[Rev. H Sleeve ΦRNX]])</f>
        <v>24.486988386723958</v>
      </c>
      <c r="AK5" s="552">
        <f>IF(Bolts[[#This Row],[Bolt Name]]="","",Bolts[[#This Row],[Rev. H Bolt (N) Capacity]]+Bolts[[#This Row],[Rev. H Shear Sleeve Capacity]])</f>
        <v>46.399640970817934</v>
      </c>
      <c r="AL5" s="552">
        <f>IF(Bolts[[#This Row],[Bolt Name]]="","",Bolts[[#This Row],[Rev. H Bolt (X) Capacity]]+Bolts[[#This Row],[Rev. H Shear Sleeve Capacity]])</f>
        <v>51.877804116841432</v>
      </c>
      <c r="AM5" s="564" t="b">
        <f>IF(Bolts[[#This Row],[Bolt Name]]="","",TRUE)</f>
        <v>1</v>
      </c>
      <c r="AN5" s="552">
        <v>1</v>
      </c>
      <c r="AO5" s="552" t="b">
        <f>IF(Bolts[[#This Row],[Bolt Name]]="","",IF(ROW(Bolts[[#This Row],[Bolt Name]])&gt;15,FALSE,TRUE))</f>
        <v>1</v>
      </c>
    </row>
    <row r="6" spans="2:63" x14ac:dyDescent="0.2">
      <c r="B6" s="72" t="s">
        <v>417</v>
      </c>
      <c r="C6" s="72" t="s">
        <v>971</v>
      </c>
      <c r="D6" s="73">
        <f>20/25.4</f>
        <v>0.78740157480314965</v>
      </c>
      <c r="E6" s="73">
        <f>IF(Bolts[[#This Row],[Bolt Name]]="","",Bolts[[#This Row],[Bolt Diameter (in)]]*25.4)</f>
        <v>20</v>
      </c>
      <c r="F6" s="73">
        <f>IF(Bolts[[#This Row],[Bolt Name]]="","",PI()/4*Bolts[[#This Row],[Bolt Diameter (in)]]^2)</f>
        <v>0.48694783520208834</v>
      </c>
      <c r="G6" s="73">
        <v>120</v>
      </c>
      <c r="H6" s="73">
        <f>29/25.4</f>
        <v>1.1417322834645669</v>
      </c>
      <c r="I6" s="73">
        <f>20.295/25.4</f>
        <v>0.79901574803149622</v>
      </c>
      <c r="J6" s="73">
        <f>IF(Bolts[[#This Row],[Bolt Name]]="","",PI()/4*(Bolts[[#This Row],[Sleeve Outer Diameter (in)]]^2-Bolts[[#This Row],[Sleeve Inner Diameter (in)]]^2))</f>
        <v>0.52238908558344443</v>
      </c>
      <c r="K6" s="73">
        <v>120</v>
      </c>
      <c r="L6" s="73">
        <f>IF(Bolts[[#This Row],[Bolt Name]]="","",IF(Bolts[[#This Row],[Bolt Fu (ksi)]]=120,21,IF(Bolts[[#This Row],[Bolt Fu (ksi)]]=150,28,"Error")))</f>
        <v>21</v>
      </c>
      <c r="M6" s="73">
        <f>IF(Bolts[[#This Row],[Bolt Name]]="","",IF(Bolts[[#This Row],[Bolt Fu (ksi)]]=120,30,IF(Bolts[[#This Row],[Bolt Fu (ksi)]]=150,40,"Error")))</f>
        <v>30</v>
      </c>
      <c r="N6" s="73">
        <f>IF(Bolts[[#This Row],[Bolt Name]]="","",Bolts[[#This Row],[Rev. F FVN]]*Bolts[[#This Row],[Area of Bolt (in2)]])</f>
        <v>10.225904539243855</v>
      </c>
      <c r="O6" s="73">
        <f>IF(Bolts[[#This Row],[Bolt Name]]="","",Bolts[[#This Row],[Rev. F FVX]]*Bolts[[#This Row],[Area of Bolt (in2)]])</f>
        <v>14.60843505606265</v>
      </c>
      <c r="P6" s="73">
        <f>IF(Bolts[[#This Row],[Bolt Name]]="","",Bolts[[#This Row],[Rev. F FVX]]*(Bolts[[#This Row],[Sleeve Fu (ksi)]]/Bolts[[#This Row],[Bolt Fu (ksi)]]))</f>
        <v>30</v>
      </c>
      <c r="Q6" s="73">
        <f>IF(Bolts[[#This Row],[Bolt Name]]="","",Bolts[[#This Row],[Rev. F Sleeve FVX]]*Bolts[[#This Row],[Sleeve Area (in2)]])</f>
        <v>15.671672567503332</v>
      </c>
      <c r="R6" s="466">
        <f>IF(Bolts[[#This Row],[Bolt Name]]="","",0.45*Bolts[[#This Row],[Bolt Fu (ksi)]])</f>
        <v>54</v>
      </c>
      <c r="S6" s="466">
        <f>IF(Bolts[[#This Row],[Bolt Name]]="","",0.55*Bolts[[#This Row],[Bolt Fu (ksi)]])</f>
        <v>66</v>
      </c>
      <c r="T6" s="73">
        <f>IF(Bolts[[#This Row],[Bolt Name]]="","",φ_bolt_shear*Bolts[[#This Row],[Rev. G FNVN]]*Bolts[[#This Row],[Area of Bolt (in2)]])</f>
        <v>19.721387325684578</v>
      </c>
      <c r="U6" s="73">
        <f>IF(Bolts[[#This Row],[Bolt Name]]="","",φ_bolt_shear*Bolts[[#This Row],[Rev. G FNVX]]*Bolts[[#This Row],[Area of Bolt (in2)]])</f>
        <v>24.103917842503375</v>
      </c>
      <c r="V6" s="73">
        <f>IF(Bolts[[#This Row],[Bolt Name]]="","",0.55*Bolts[[#This Row],[Sleeve Fu (ksi)]])</f>
        <v>66</v>
      </c>
      <c r="W6" s="73">
        <f>IF(Bolts[[#This Row],[Bolt Name]]="","",φ_bolt_shear*Bolts[[#This Row],[Rev. G Sleeve FNVX]]*Bolts[[#This Row],[Sleeve Area (in2)]])</f>
        <v>25.8582597363805</v>
      </c>
      <c r="X6" s="466">
        <f>IF(Bolts[[#This Row],[Bolt Name]]="","",0.625*0.8*Bolts[[#This Row],[Bolt Fu (ksi)]])</f>
        <v>60</v>
      </c>
      <c r="Y6" s="466">
        <f>IF(Bolts[[#This Row],[Bolt Name]]="","",0.625*Bolts[[#This Row],[Bolt Fu (ksi)]])</f>
        <v>75</v>
      </c>
      <c r="Z6" s="466">
        <f>IF(Bolts[[#This Row],[Bolt Name]]="","",φ_bolt_shear*Bolts[[#This Row],[Rev. H FNVN]]*Bolts[[#This Row],[Area of Bolt (in2)]])</f>
        <v>21.912652584093976</v>
      </c>
      <c r="AA6" s="466">
        <f>IF(Bolts[[#This Row],[Bolt Name]]="","",φ_bolt_shear*Bolts[[#This Row],[Rev. H FNVX]]*Bolts[[#This Row],[Area of Bolt (in2)]])</f>
        <v>27.39081573011747</v>
      </c>
      <c r="AB6" s="466">
        <f>IF(Bolts[[#This Row],[Bolt Name]]="","",0.625*Bolts[[#This Row],[Sleeve Fu (ksi)]])</f>
        <v>75</v>
      </c>
      <c r="AC6" s="466">
        <f>IF(Bolts[[#This Row],[Bolt Name]]="","",φ_bolt_shear*Bolts[[#This Row],[Rev. H Sleeve FNVX]]*Bolts[[#This Row],[Sleeve Area (in2)]])</f>
        <v>29.38438606406875</v>
      </c>
      <c r="AD6" s="73">
        <f>IF(Bolts[[#This Row],[Bolt Name]]="","",(Bolts[[#This Row],[Rev. F RN]]+Bolts[[#This Row],[Rev. F Sleeve RN]]))</f>
        <v>25.897577106747185</v>
      </c>
      <c r="AE6" s="73">
        <f>IF(Bolts[[#This Row],[Bolt Name]]="","",(Bolts[[#This Row],[Rev. F RX]]+Bolts[[#This Row],[Rev. F Sleeve RN]]))</f>
        <v>30.280107623565982</v>
      </c>
      <c r="AF6" s="466">
        <f>IF(Bolts[[#This Row],[Bolt Name]]="","",Bolts[[#This Row],[Rev. G ΦRNN]]+Bolts[[#This Row],[Rev. G Sleeve ΦRNX]])</f>
        <v>45.579647062065078</v>
      </c>
      <c r="AG6" s="466">
        <f>IF(Bolts[[#This Row],[Bolt Name]]="","",Bolts[[#This Row],[Rev. G ΦRNX]]+Bolts[[#This Row],[Rev. G Sleeve ΦRNX]])</f>
        <v>49.962177578883875</v>
      </c>
      <c r="AH6" s="552">
        <f>IF(Bolts[[#This Row],[Bolt Name]]="","",Bolts[[#This Row],[Rev. H ΦRNN]])</f>
        <v>21.912652584093976</v>
      </c>
      <c r="AI6" s="552">
        <f>IF(Bolts[[#This Row],[Bolt Name]]="","",Bolts[[#This Row],[Rev. H ΦRNX]])</f>
        <v>27.39081573011747</v>
      </c>
      <c r="AJ6" s="552">
        <f>IF(Bolts[[#This Row],[Bolt Name]]="","",Bolts[[#This Row],[Rev. H Sleeve ΦRNX]])</f>
        <v>29.38438606406875</v>
      </c>
      <c r="AK6" s="552">
        <f>IF(Bolts[[#This Row],[Bolt Name]]="","",Bolts[[#This Row],[Rev. H Bolt (N) Capacity]]+Bolts[[#This Row],[Rev. H Shear Sleeve Capacity]])</f>
        <v>51.297038648162726</v>
      </c>
      <c r="AL6" s="552">
        <f>IF(Bolts[[#This Row],[Bolt Name]]="","",Bolts[[#This Row],[Rev. H Bolt (X) Capacity]]+Bolts[[#This Row],[Rev. H Shear Sleeve Capacity]])</f>
        <v>56.775201794186216</v>
      </c>
      <c r="AM6" s="564" t="b">
        <f>IF(Bolts[[#This Row],[Bolt Name]]="","",TRUE)</f>
        <v>1</v>
      </c>
      <c r="AN6" s="552">
        <v>2</v>
      </c>
      <c r="AO6" s="552" t="b">
        <f>IF(Bolts[[#This Row],[Bolt Name]]="","",IF(ROW(Bolts[[#This Row],[Bolt Name]])&gt;15,FALSE,TRUE))</f>
        <v>1</v>
      </c>
      <c r="AW6" s="66"/>
      <c r="AX6" s="66"/>
      <c r="AY6" s="66"/>
      <c r="BA6" s="548"/>
      <c r="BB6" s="66"/>
      <c r="BC6" s="66"/>
      <c r="BD6" s="66"/>
      <c r="BE6" s="66"/>
      <c r="BF6" s="66"/>
      <c r="BG6" s="66"/>
      <c r="BH6" s="66"/>
      <c r="BI6" s="66"/>
      <c r="BJ6" s="66"/>
      <c r="BK6" s="66"/>
    </row>
    <row r="7" spans="2:63" s="65" customFormat="1" x14ac:dyDescent="0.2">
      <c r="B7" s="553" t="s">
        <v>962</v>
      </c>
      <c r="C7" s="553" t="s">
        <v>960</v>
      </c>
      <c r="D7" s="73">
        <f>20/25.4</f>
        <v>0.78740157480314965</v>
      </c>
      <c r="E7" s="554">
        <f>IF(Bolts[[#This Row],[Bolt Name]]="","",Bolts[[#This Row],[Bolt Diameter (in)]]*25.4)</f>
        <v>20</v>
      </c>
      <c r="F7" s="554">
        <f>IF(Bolts[[#This Row],[Bolt Name]]="","",PI()/4*Bolts[[#This Row],[Bolt Diameter (in)]]^2)</f>
        <v>0.48694783520208834</v>
      </c>
      <c r="G7" s="73">
        <v>120</v>
      </c>
      <c r="H7" s="73">
        <f>29/25.4</f>
        <v>1.1417322834645669</v>
      </c>
      <c r="I7" s="73">
        <f>20.295/25.4</f>
        <v>0.79901574803149622</v>
      </c>
      <c r="J7" s="555">
        <v>0.434</v>
      </c>
      <c r="K7" s="73">
        <v>100</v>
      </c>
      <c r="L7" s="73">
        <f>IF(Bolts[[#This Row],[Bolt Name]]="","",IF(Bolts[[#This Row],[Bolt Fu (ksi)]]=120,21,IF(Bolts[[#This Row],[Bolt Fu (ksi)]]=150,28,"Error")))</f>
        <v>21</v>
      </c>
      <c r="M7" s="73">
        <f>IF(Bolts[[#This Row],[Bolt Name]]="","",IF(Bolts[[#This Row],[Bolt Fu (ksi)]]=120,30,IF(Bolts[[#This Row],[Bolt Fu (ksi)]]=150,40,"Error")))</f>
        <v>30</v>
      </c>
      <c r="N7" s="73">
        <f>IF(Bolts[[#This Row],[Bolt Name]]="","",Bolts[[#This Row],[Rev. F FVN]]*Bolts[[#This Row],[Area of Bolt (in2)]])</f>
        <v>10.225904539243855</v>
      </c>
      <c r="O7" s="73">
        <f>IF(Bolts[[#This Row],[Bolt Name]]="","",Bolts[[#This Row],[Rev. F FVX]]*Bolts[[#This Row],[Area of Bolt (in2)]])</f>
        <v>14.60843505606265</v>
      </c>
      <c r="P7" s="73">
        <f>IF(Bolts[[#This Row],[Bolt Name]]="","",Bolts[[#This Row],[Rev. F FVX]]*(Bolts[[#This Row],[Sleeve Fu (ksi)]]/Bolts[[#This Row],[Bolt Fu (ksi)]]))</f>
        <v>25</v>
      </c>
      <c r="Q7" s="73">
        <f>IF(Bolts[[#This Row],[Bolt Name]]="","",Bolts[[#This Row],[Rev. F Sleeve FVX]]*Bolts[[#This Row],[Sleeve Area (in2)]])</f>
        <v>10.85</v>
      </c>
      <c r="R7" s="466">
        <f>IF(Bolts[[#This Row],[Bolt Name]]="","",0.45*Bolts[[#This Row],[Bolt Fu (ksi)]])</f>
        <v>54</v>
      </c>
      <c r="S7" s="466">
        <f>IF(Bolts[[#This Row],[Bolt Name]]="","",0.55*Bolts[[#This Row],[Bolt Fu (ksi)]])</f>
        <v>66</v>
      </c>
      <c r="T7" s="73">
        <f>IF(Bolts[[#This Row],[Bolt Name]]="","",φ_bolt_shear*Bolts[[#This Row],[Rev. G FNVN]]*Bolts[[#This Row],[Area of Bolt (in2)]])</f>
        <v>19.721387325684578</v>
      </c>
      <c r="U7" s="73">
        <f>IF(Bolts[[#This Row],[Bolt Name]]="","",φ_bolt_shear*Bolts[[#This Row],[Rev. G FNVX]]*Bolts[[#This Row],[Area of Bolt (in2)]])</f>
        <v>24.103917842503375</v>
      </c>
      <c r="V7" s="73">
        <f>IF(Bolts[[#This Row],[Bolt Name]]="","",0.55*Bolts[[#This Row],[Sleeve Fu (ksi)]])</f>
        <v>55.000000000000007</v>
      </c>
      <c r="W7" s="73">
        <f>IF(Bolts[[#This Row],[Bolt Name]]="","",φ_bolt_shear*Bolts[[#This Row],[Rev. G Sleeve FNVX]]*Bolts[[#This Row],[Sleeve Area (in2)]])</f>
        <v>17.902500000000003</v>
      </c>
      <c r="X7" s="552">
        <f>IF(Bolts[[#This Row],[Bolt Name]]="","",0.625*0.8*Bolts[[#This Row],[Bolt Fu (ksi)]])</f>
        <v>60</v>
      </c>
      <c r="Y7" s="552">
        <f>IF(Bolts[[#This Row],[Bolt Name]]="","",0.625*Bolts[[#This Row],[Bolt Fu (ksi)]])</f>
        <v>75</v>
      </c>
      <c r="Z7" s="466">
        <f>IF(Bolts[[#This Row],[Bolt Name]]="","",φ_bolt_shear*Bolts[[#This Row],[Rev. H FNVN]]*Bolts[[#This Row],[Area of Bolt (in2)]])</f>
        <v>21.912652584093976</v>
      </c>
      <c r="AA7" s="466">
        <f>IF(Bolts[[#This Row],[Bolt Name]]="","",φ_bolt_shear*Bolts[[#This Row],[Rev. H FNVX]]*Bolts[[#This Row],[Area of Bolt (in2)]])</f>
        <v>27.39081573011747</v>
      </c>
      <c r="AB7" s="552">
        <f>IF(Bolts[[#This Row],[Bolt Name]]="","",0.625*Bolts[[#This Row],[Sleeve Fu (ksi)]])</f>
        <v>62.5</v>
      </c>
      <c r="AC7" s="466">
        <f>IF(Bolts[[#This Row],[Bolt Name]]="","",φ_bolt_shear*Bolts[[#This Row],[Rev. H Sleeve FNVX]]*Bolts[[#This Row],[Sleeve Area (in2)]])</f>
        <v>20.34375</v>
      </c>
      <c r="AD7" s="554">
        <v>29.225000000000001</v>
      </c>
      <c r="AE7" s="554">
        <v>34.396000000000001</v>
      </c>
      <c r="AF7" s="552">
        <f>43.837*0.9</f>
        <v>39.453300000000006</v>
      </c>
      <c r="AG7" s="552">
        <f>51.593*0.9</f>
        <v>46.433700000000002</v>
      </c>
      <c r="AH7" s="552">
        <f>IF(Bolts[[#This Row],[Bolt Name]]="","",Bolts[[#This Row],[Rev. H ΦRNN]])</f>
        <v>21.912652584093976</v>
      </c>
      <c r="AI7" s="552">
        <f>IF(Bolts[[#This Row],[Bolt Name]]="","",Bolts[[#This Row],[Rev. H ΦRNX]])</f>
        <v>27.39081573011747</v>
      </c>
      <c r="AJ7" s="552">
        <f>IF(Bolts[[#This Row],[Bolt Name]]="","",Bolts[[#This Row],[Rev. H Sleeve ΦRNX]])</f>
        <v>20.34375</v>
      </c>
      <c r="AK7" s="552">
        <v>43.837000000000003</v>
      </c>
      <c r="AL7" s="552">
        <v>51.593000000000004</v>
      </c>
      <c r="AM7" s="564" t="b">
        <f>IF(Bolts[[#This Row],[Bolt Name]]="","",TRUE)</f>
        <v>1</v>
      </c>
      <c r="AN7" s="552">
        <v>3</v>
      </c>
      <c r="AO7" s="552" t="b">
        <f>IF(Bolts[[#This Row],[Bolt Name]]="","",IF(ROW(Bolts[[#This Row],[Bolt Name]])&gt;15,FALSE,TRUE))</f>
        <v>1</v>
      </c>
      <c r="AW7" s="66"/>
      <c r="AX7" s="66"/>
      <c r="AY7" s="66"/>
      <c r="BA7" s="548"/>
      <c r="BB7" s="66"/>
      <c r="BC7" s="66"/>
      <c r="BD7" s="66"/>
      <c r="BE7" s="66"/>
      <c r="BF7" s="66"/>
      <c r="BG7" s="66"/>
      <c r="BH7" s="66"/>
      <c r="BI7" s="66"/>
      <c r="BJ7" s="66"/>
      <c r="BK7" s="66"/>
    </row>
    <row r="8" spans="2:63" s="65" customFormat="1" x14ac:dyDescent="0.2">
      <c r="B8" s="560" t="s">
        <v>963</v>
      </c>
      <c r="C8" s="553" t="s">
        <v>961</v>
      </c>
      <c r="D8" s="73">
        <f>20/25.4</f>
        <v>0.78740157480314965</v>
      </c>
      <c r="E8" s="554">
        <f>IF(Bolts[[#This Row],[Bolt Name]]="","",Bolts[[#This Row],[Bolt Diameter (in)]]*25.4)</f>
        <v>20</v>
      </c>
      <c r="F8" s="554">
        <f>IF(Bolts[[#This Row],[Bolt Name]]="","",PI()/4*Bolts[[#This Row],[Bolt Diameter (in)]]^2)</f>
        <v>0.48694783520208834</v>
      </c>
      <c r="G8" s="73">
        <v>120</v>
      </c>
      <c r="H8" s="73">
        <f>29/25.4</f>
        <v>1.1417322834645669</v>
      </c>
      <c r="I8" s="73">
        <f>20.295/25.4</f>
        <v>0.79901574803149622</v>
      </c>
      <c r="J8" s="555">
        <v>0.434</v>
      </c>
      <c r="K8" s="73">
        <v>120</v>
      </c>
      <c r="L8" s="73">
        <f>IF(Bolts[[#This Row],[Bolt Name]]="","",IF(Bolts[[#This Row],[Bolt Fu (ksi)]]=120,21,IF(Bolts[[#This Row],[Bolt Fu (ksi)]]=150,28,"Error")))</f>
        <v>21</v>
      </c>
      <c r="M8" s="73">
        <f>IF(Bolts[[#This Row],[Bolt Name]]="","",IF(Bolts[[#This Row],[Bolt Fu (ksi)]]=120,30,IF(Bolts[[#This Row],[Bolt Fu (ksi)]]=150,40,"Error")))</f>
        <v>30</v>
      </c>
      <c r="N8" s="73">
        <f>IF(Bolts[[#This Row],[Bolt Name]]="","",Bolts[[#This Row],[Rev. F FVN]]*Bolts[[#This Row],[Area of Bolt (in2)]])</f>
        <v>10.225904539243855</v>
      </c>
      <c r="O8" s="73">
        <f>IF(Bolts[[#This Row],[Bolt Name]]="","",Bolts[[#This Row],[Rev. F FVX]]*Bolts[[#This Row],[Area of Bolt (in2)]])</f>
        <v>14.60843505606265</v>
      </c>
      <c r="P8" s="73">
        <f>IF(Bolts[[#This Row],[Bolt Name]]="","",Bolts[[#This Row],[Rev. F FVX]]*(Bolts[[#This Row],[Sleeve Fu (ksi)]]/Bolts[[#This Row],[Bolt Fu (ksi)]]))</f>
        <v>30</v>
      </c>
      <c r="Q8" s="73">
        <f>IF(Bolts[[#This Row],[Bolt Name]]="","",Bolts[[#This Row],[Rev. F Sleeve FVX]]*Bolts[[#This Row],[Sleeve Area (in2)]])</f>
        <v>13.02</v>
      </c>
      <c r="R8" s="466">
        <f>IF(Bolts[[#This Row],[Bolt Name]]="","",0.45*Bolts[[#This Row],[Bolt Fu (ksi)]])</f>
        <v>54</v>
      </c>
      <c r="S8" s="466">
        <f>IF(Bolts[[#This Row],[Bolt Name]]="","",0.55*Bolts[[#This Row],[Bolt Fu (ksi)]])</f>
        <v>66</v>
      </c>
      <c r="T8" s="73">
        <f>IF(Bolts[[#This Row],[Bolt Name]]="","",φ_bolt_shear*Bolts[[#This Row],[Rev. G FNVN]]*Bolts[[#This Row],[Area of Bolt (in2)]])</f>
        <v>19.721387325684578</v>
      </c>
      <c r="U8" s="73">
        <f>IF(Bolts[[#This Row],[Bolt Name]]="","",φ_bolt_shear*Bolts[[#This Row],[Rev. G FNVX]]*Bolts[[#This Row],[Area of Bolt (in2)]])</f>
        <v>24.103917842503375</v>
      </c>
      <c r="V8" s="73">
        <f>IF(Bolts[[#This Row],[Bolt Name]]="","",0.55*Bolts[[#This Row],[Sleeve Fu (ksi)]])</f>
        <v>66</v>
      </c>
      <c r="W8" s="73">
        <f>IF(Bolts[[#This Row],[Bolt Name]]="","",φ_bolt_shear*Bolts[[#This Row],[Rev. G Sleeve FNVX]]*Bolts[[#This Row],[Sleeve Area (in2)]])</f>
        <v>21.483000000000001</v>
      </c>
      <c r="X8" s="552">
        <f>IF(Bolts[[#This Row],[Bolt Name]]="","",0.625*0.8*Bolts[[#This Row],[Bolt Fu (ksi)]])</f>
        <v>60</v>
      </c>
      <c r="Y8" s="552">
        <f>IF(Bolts[[#This Row],[Bolt Name]]="","",0.625*Bolts[[#This Row],[Bolt Fu (ksi)]])</f>
        <v>75</v>
      </c>
      <c r="Z8" s="466">
        <f>IF(Bolts[[#This Row],[Bolt Name]]="","",φ_bolt_shear*Bolts[[#This Row],[Rev. H FNVN]]*Bolts[[#This Row],[Area of Bolt (in2)]])</f>
        <v>21.912652584093976</v>
      </c>
      <c r="AA8" s="466">
        <f>IF(Bolts[[#This Row],[Bolt Name]]="","",φ_bolt_shear*Bolts[[#This Row],[Rev. H FNVX]]*Bolts[[#This Row],[Area of Bolt (in2)]])</f>
        <v>27.39081573011747</v>
      </c>
      <c r="AB8" s="552">
        <f>IF(Bolts[[#This Row],[Bolt Name]]="","",0.625*Bolts[[#This Row],[Sleeve Fu (ksi)]])</f>
        <v>75</v>
      </c>
      <c r="AC8" s="466">
        <f>IF(Bolts[[#This Row],[Bolt Name]]="","",φ_bolt_shear*Bolts[[#This Row],[Rev. H Sleeve FNVX]]*Bolts[[#This Row],[Sleeve Area (in2)]])</f>
        <v>24.412500000000001</v>
      </c>
      <c r="AD8" s="554">
        <v>36.194000000000003</v>
      </c>
      <c r="AE8" s="554">
        <v>41.365000000000002</v>
      </c>
      <c r="AF8" s="552">
        <f>54.29*0.9</f>
        <v>48.860999999999997</v>
      </c>
      <c r="AG8" s="552">
        <f>62.047*0.9</f>
        <v>55.842300000000002</v>
      </c>
      <c r="AH8" s="552">
        <f>IF(Bolts[[#This Row],[Bolt Name]]="","",Bolts[[#This Row],[Rev. H ΦRNN]])</f>
        <v>21.912652584093976</v>
      </c>
      <c r="AI8" s="552">
        <f>IF(Bolts[[#This Row],[Bolt Name]]="","",Bolts[[#This Row],[Rev. H ΦRNX]])</f>
        <v>27.39081573011747</v>
      </c>
      <c r="AJ8" s="552">
        <f>IF(Bolts[[#This Row],[Bolt Name]]="","",Bolts[[#This Row],[Rev. H Sleeve ΦRNX]])</f>
        <v>24.412500000000001</v>
      </c>
      <c r="AK8" s="552">
        <v>54.29</v>
      </c>
      <c r="AL8" s="552">
        <v>62.046999999999997</v>
      </c>
      <c r="AM8" s="564" t="b">
        <f>IF(Bolts[[#This Row],[Bolt Name]]="","",TRUE)</f>
        <v>1</v>
      </c>
      <c r="AN8" s="552">
        <v>4</v>
      </c>
      <c r="AO8" s="552" t="b">
        <f>IF(Bolts[[#This Row],[Bolt Name]]="","",IF(ROW(Bolts[[#This Row],[Bolt Name]])&gt;15,FALSE,TRUE))</f>
        <v>1</v>
      </c>
      <c r="AW8" s="66"/>
      <c r="AX8" s="66"/>
      <c r="AY8" s="66"/>
      <c r="BA8" s="548"/>
      <c r="BB8" s="66"/>
      <c r="BC8" s="66"/>
      <c r="BD8" s="66"/>
      <c r="BE8" s="66"/>
      <c r="BF8" s="66"/>
      <c r="BG8" s="66"/>
      <c r="BH8" s="66"/>
      <c r="BI8" s="66"/>
      <c r="BJ8" s="66"/>
      <c r="BK8" s="66"/>
    </row>
    <row r="9" spans="2:63" x14ac:dyDescent="0.2">
      <c r="B9" s="243" t="s">
        <v>947</v>
      </c>
      <c r="C9" s="72" t="s">
        <v>948</v>
      </c>
      <c r="D9" s="73">
        <f>20/25.4</f>
        <v>0.78740157480314965</v>
      </c>
      <c r="E9" s="73">
        <f>IF(Bolts[[#This Row],[Bolt Name]]="","",Bolts[[#This Row],[Bolt Diameter (in)]]*25.4)</f>
        <v>20</v>
      </c>
      <c r="F9" s="73">
        <f>IF(Bolts[[#This Row],[Bolt Name]]="","",PI()/4*Bolts[[#This Row],[Bolt Diameter (in)]]^2)</f>
        <v>0.48694783520208834</v>
      </c>
      <c r="G9" s="73">
        <v>150</v>
      </c>
      <c r="H9" s="73">
        <f>29/25.4</f>
        <v>1.1417322834645669</v>
      </c>
      <c r="I9" s="73">
        <f>20.295/25.4</f>
        <v>0.79901574803149622</v>
      </c>
      <c r="J9" s="73">
        <f>IF(Bolts[[#This Row],[Bolt Name]]="","",PI()/4*(Bolts[[#This Row],[Sleeve Outer Diameter (in)]]^2-Bolts[[#This Row],[Sleeve Inner Diameter (in)]]^2))</f>
        <v>0.52238908558344443</v>
      </c>
      <c r="K9" s="73">
        <v>120</v>
      </c>
      <c r="L9" s="73">
        <f>IF(Bolts[[#This Row],[Bolt Name]]="","",IF(Bolts[[#This Row],[Bolt Fu (ksi)]]=120,21,IF(Bolts[[#This Row],[Bolt Fu (ksi)]]=150,28,"Error")))</f>
        <v>28</v>
      </c>
      <c r="M9" s="73">
        <f>IF(Bolts[[#This Row],[Bolt Name]]="","",IF(Bolts[[#This Row],[Bolt Fu (ksi)]]=120,30,IF(Bolts[[#This Row],[Bolt Fu (ksi)]]=150,40,"Error")))</f>
        <v>40</v>
      </c>
      <c r="N9" s="73">
        <f>IF(Bolts[[#This Row],[Bolt Name]]="","",Bolts[[#This Row],[Rev. F FVN]]*Bolts[[#This Row],[Area of Bolt (in2)]])</f>
        <v>13.634539385658474</v>
      </c>
      <c r="O9" s="73">
        <f>IF(Bolts[[#This Row],[Bolt Name]]="","",Bolts[[#This Row],[Rev. F FVX]]*Bolts[[#This Row],[Area of Bolt (in2)]])</f>
        <v>19.477913408083534</v>
      </c>
      <c r="P9" s="551">
        <v>30</v>
      </c>
      <c r="Q9" s="73">
        <f>IF(Bolts[[#This Row],[Bolt Name]]="","",Bolts[[#This Row],[Rev. F Sleeve FVX]]*Bolts[[#This Row],[Sleeve Area (in2)]])</f>
        <v>15.671672567503332</v>
      </c>
      <c r="R9" s="466">
        <f>IF(Bolts[[#This Row],[Bolt Name]]="","",0.45*Bolts[[#This Row],[Bolt Fu (ksi)]])</f>
        <v>67.5</v>
      </c>
      <c r="S9" s="466">
        <f>IF(Bolts[[#This Row],[Bolt Name]]="","",0.55*Bolts[[#This Row],[Bolt Fu (ksi)]])</f>
        <v>82.5</v>
      </c>
      <c r="T9" s="73">
        <f>IF(Bolts[[#This Row],[Bolt Name]]="","",φ_bolt_shear*Bolts[[#This Row],[Rev. G FNVN]]*Bolts[[#This Row],[Area of Bolt (in2)]])</f>
        <v>24.651734157105722</v>
      </c>
      <c r="U9" s="73">
        <f>IF(Bolts[[#This Row],[Bolt Name]]="","",φ_bolt_shear*Bolts[[#This Row],[Rev. G FNVX]]*Bolts[[#This Row],[Area of Bolt (in2)]])</f>
        <v>30.129897303129216</v>
      </c>
      <c r="V9" s="73">
        <f>IF(Bolts[[#This Row],[Bolt Name]]="","",0.55*Bolts[[#This Row],[Sleeve Fu (ksi)]])</f>
        <v>66</v>
      </c>
      <c r="W9" s="73">
        <f>IF(Bolts[[#This Row],[Bolt Name]]="","",φ_bolt_shear*Bolts[[#This Row],[Rev. G Sleeve FNVX]]*Bolts[[#This Row],[Sleeve Area (in2)]])</f>
        <v>25.8582597363805</v>
      </c>
      <c r="X9" s="466">
        <f>IF(Bolts[[#This Row],[Bolt Name]]="","",0.625*0.8*Bolts[[#This Row],[Bolt Fu (ksi)]])</f>
        <v>75</v>
      </c>
      <c r="Y9" s="466">
        <f>IF(Bolts[[#This Row],[Bolt Name]]="","",0.625*Bolts[[#This Row],[Bolt Fu (ksi)]])</f>
        <v>93.75</v>
      </c>
      <c r="Z9" s="466">
        <f>IF(Bolts[[#This Row],[Bolt Name]]="","",φ_bolt_shear*Bolts[[#This Row],[Rev. H FNVN]]*Bolts[[#This Row],[Area of Bolt (in2)]])</f>
        <v>27.39081573011747</v>
      </c>
      <c r="AA9" s="466">
        <f>IF(Bolts[[#This Row],[Bolt Name]]="","",φ_bolt_shear*Bolts[[#This Row],[Rev. H FNVX]]*Bolts[[#This Row],[Area of Bolt (in2)]])</f>
        <v>34.238519662646837</v>
      </c>
      <c r="AB9" s="466">
        <f>IF(Bolts[[#This Row],[Bolt Name]]="","",0.625*Bolts[[#This Row],[Sleeve Fu (ksi)]])</f>
        <v>75</v>
      </c>
      <c r="AC9" s="466">
        <f>IF(Bolts[[#This Row],[Bolt Name]]="","",φ_bolt_shear*Bolts[[#This Row],[Rev. H Sleeve FNVX]]*Bolts[[#This Row],[Sleeve Area (in2)]])</f>
        <v>29.38438606406875</v>
      </c>
      <c r="AD9" s="73">
        <f>IF(Bolts[[#This Row],[Bolt Name]]="","",(Bolts[[#This Row],[Rev. F RN]]+Bolts[[#This Row],[Rev. F Sleeve RN]]))</f>
        <v>29.306211953161807</v>
      </c>
      <c r="AE9" s="73">
        <f>IF(Bolts[[#This Row],[Bolt Name]]="","",(Bolts[[#This Row],[Rev. F RX]]+Bolts[[#This Row],[Rev. F Sleeve RN]]))</f>
        <v>35.149585975586866</v>
      </c>
      <c r="AF9" s="466">
        <f>IF(Bolts[[#This Row],[Bolt Name]]="","",Bolts[[#This Row],[Rev. G ΦRNN]]+Bolts[[#This Row],[Rev. G Sleeve ΦRNX]])</f>
        <v>50.509993893486225</v>
      </c>
      <c r="AG9" s="466">
        <f>IF(Bolts[[#This Row],[Bolt Name]]="","",Bolts[[#This Row],[Rev. G ΦRNX]]+Bolts[[#This Row],[Rev. G Sleeve ΦRNX]])</f>
        <v>55.988157039509716</v>
      </c>
      <c r="AH9" s="552">
        <f>IF(Bolts[[#This Row],[Bolt Name]]="","",Bolts[[#This Row],[Rev. H ΦRNN]])</f>
        <v>27.39081573011747</v>
      </c>
      <c r="AI9" s="552">
        <f>IF(Bolts[[#This Row],[Bolt Name]]="","",Bolts[[#This Row],[Rev. H ΦRNX]])</f>
        <v>34.238519662646837</v>
      </c>
      <c r="AJ9" s="552">
        <f>IF(Bolts[[#This Row],[Bolt Name]]="","",Bolts[[#This Row],[Rev. H Sleeve ΦRNX]])</f>
        <v>29.38438606406875</v>
      </c>
      <c r="AK9" s="552">
        <f>IF(Bolts[[#This Row],[Bolt Name]]="","",Bolts[[#This Row],[Rev. H Bolt (N) Capacity]]+Bolts[[#This Row],[Rev. H Shear Sleeve Capacity]])</f>
        <v>56.775201794186216</v>
      </c>
      <c r="AL9" s="552">
        <f>IF(Bolts[[#This Row],[Bolt Name]]="","",Bolts[[#This Row],[Rev. H Bolt (X) Capacity]]+Bolts[[#This Row],[Rev. H Shear Sleeve Capacity]])</f>
        <v>63.622905726715587</v>
      </c>
      <c r="AM9" s="564" t="b">
        <f>IF(Bolts[[#This Row],[Bolt Name]]="","",TRUE)</f>
        <v>1</v>
      </c>
      <c r="AN9" s="552">
        <v>5</v>
      </c>
      <c r="AO9" s="552" t="b">
        <f>IF(Bolts[[#This Row],[Bolt Name]]="","",IF(ROW(Bolts[[#This Row],[Bolt Name]])&gt;15,FALSE,TRUE))</f>
        <v>1</v>
      </c>
      <c r="AW9" s="546"/>
      <c r="AX9" s="546"/>
      <c r="AY9" s="546"/>
      <c r="AZ9" s="65"/>
      <c r="BA9" s="548"/>
      <c r="BE9" s="65"/>
      <c r="BF9" s="65"/>
      <c r="BI9" s="10"/>
      <c r="BJ9" s="10"/>
      <c r="BK9" s="10"/>
    </row>
    <row r="10" spans="2:63" x14ac:dyDescent="0.2">
      <c r="B10" s="243" t="s">
        <v>986</v>
      </c>
      <c r="C10" s="72" t="s">
        <v>949</v>
      </c>
      <c r="D10" s="73">
        <f>22/25.4</f>
        <v>0.86614173228346458</v>
      </c>
      <c r="E10" s="73">
        <f>IF(Bolts[[#This Row],[Bolt Name]]="","",Bolts[[#This Row],[Bolt Diameter (in)]]*25.4)</f>
        <v>22</v>
      </c>
      <c r="F10" s="73">
        <f>IF(Bolts[[#This Row],[Bolt Name]]="","",PI()/4*Bolts[[#This Row],[Bolt Diameter (in)]]^2)</f>
        <v>0.58920688059452686</v>
      </c>
      <c r="G10" s="73">
        <v>120</v>
      </c>
      <c r="H10" s="73">
        <f>30/25.4</f>
        <v>1.1811023622047245</v>
      </c>
      <c r="I10" s="73">
        <f>22/25.4</f>
        <v>0.86614173228346458</v>
      </c>
      <c r="J10" s="551">
        <v>0.46922599999999998</v>
      </c>
      <c r="K10" s="73">
        <v>120</v>
      </c>
      <c r="L10" s="551">
        <v>34</v>
      </c>
      <c r="M10" s="551">
        <v>34</v>
      </c>
      <c r="N10" s="73">
        <f>IF(Bolts[[#This Row],[Bolt Name]]="","",Bolts[[#This Row],[Rev. F FVN]]*Bolts[[#This Row],[Area of Bolt (in2)]])</f>
        <v>20.033033940213912</v>
      </c>
      <c r="O10" s="73">
        <f>IF(Bolts[[#This Row],[Bolt Name]]="","",Bolts[[#This Row],[Rev. F FVX]]*Bolts[[#This Row],[Area of Bolt (in2)]])</f>
        <v>20.033033940213912</v>
      </c>
      <c r="P10" s="551">
        <v>34</v>
      </c>
      <c r="Q10" s="73">
        <f>IF(Bolts[[#This Row],[Bolt Name]]="","",Bolts[[#This Row],[Rev. F Sleeve FVX]]*Bolts[[#This Row],[Sleeve Area (in2)]])</f>
        <v>15.953683999999999</v>
      </c>
      <c r="R10" s="551">
        <v>68</v>
      </c>
      <c r="S10" s="551">
        <v>68</v>
      </c>
      <c r="T10" s="73">
        <f>IF(Bolts[[#This Row],[Bolt Name]]="","",φ_bolt_shear*Bolts[[#This Row],[Rev. G FNVN]]*Bolts[[#This Row],[Area of Bolt (in2)]])</f>
        <v>30.049550910320871</v>
      </c>
      <c r="U10" s="73">
        <f>IF(Bolts[[#This Row],[Bolt Name]]="","",φ_bolt_shear*Bolts[[#This Row],[Rev. G FNVX]]*Bolts[[#This Row],[Area of Bolt (in2)]])</f>
        <v>30.049550910320871</v>
      </c>
      <c r="V10" s="551">
        <v>68</v>
      </c>
      <c r="W10" s="73">
        <f>IF(Bolts[[#This Row],[Bolt Name]]="","",φ_bolt_shear*Bolts[[#This Row],[Rev. G Sleeve FNVX]]*Bolts[[#This Row],[Sleeve Area (in2)]])</f>
        <v>23.930526</v>
      </c>
      <c r="X10" s="466">
        <f>IF(Bolts[[#This Row],[Bolt Name]]="","",0.625*0.8*Bolts[[#This Row],[Bolt Fu (ksi)]])</f>
        <v>60</v>
      </c>
      <c r="Y10" s="466">
        <f>IF(Bolts[[#This Row],[Bolt Name]]="","",0.625*Bolts[[#This Row],[Bolt Fu (ksi)]])</f>
        <v>75</v>
      </c>
      <c r="Z10" s="466">
        <f>IF(Bolts[[#This Row],[Bolt Name]]="","",φ_bolt_shear*Bolts[[#This Row],[Rev. H FNVN]]*Bolts[[#This Row],[Area of Bolt (in2)]])</f>
        <v>26.514309626753708</v>
      </c>
      <c r="AA10" s="466">
        <f>IF(Bolts[[#This Row],[Bolt Name]]="","",φ_bolt_shear*Bolts[[#This Row],[Rev. H FNVX]]*Bolts[[#This Row],[Area of Bolt (in2)]])</f>
        <v>33.142887033442136</v>
      </c>
      <c r="AB10" s="466">
        <f>IF(Bolts[[#This Row],[Bolt Name]]="","",0.625*Bolts[[#This Row],[Sleeve Fu (ksi)]])</f>
        <v>75</v>
      </c>
      <c r="AC10" s="466">
        <f>IF(Bolts[[#This Row],[Bolt Name]]="","",φ_bolt_shear*Bolts[[#This Row],[Rev. H Sleeve FNVX]]*Bolts[[#This Row],[Sleeve Area (in2)]])</f>
        <v>26.393962499999997</v>
      </c>
      <c r="AD10" s="73">
        <v>35.987000000000002</v>
      </c>
      <c r="AE10" s="73">
        <v>35.987000000000002</v>
      </c>
      <c r="AF10" s="466">
        <f>53.98</f>
        <v>53.98</v>
      </c>
      <c r="AG10" s="466">
        <f>53.98</f>
        <v>53.98</v>
      </c>
      <c r="AH10" s="552">
        <f>IF(Bolts[[#This Row],[Bolt Name]]="","",Bolts[[#This Row],[Rev. H ΦRNN]])</f>
        <v>26.514309626753708</v>
      </c>
      <c r="AI10" s="552">
        <f>IF(Bolts[[#This Row],[Bolt Name]]="","",Bolts[[#This Row],[Rev. H ΦRNX]])</f>
        <v>33.142887033442136</v>
      </c>
      <c r="AJ10" s="552">
        <f>IF(Bolts[[#This Row],[Bolt Name]]="","",Bolts[[#This Row],[Rev. H Sleeve ΦRNX]])</f>
        <v>26.393962499999997</v>
      </c>
      <c r="AK10" s="558">
        <f>53.98/0.9</f>
        <v>59.977777777777774</v>
      </c>
      <c r="AL10" s="558">
        <f>53.98/0.9</f>
        <v>59.977777777777774</v>
      </c>
      <c r="AM10" s="564" t="b">
        <f>IF(Bolts[[#This Row],[Bolt Name]]="","",TRUE)</f>
        <v>1</v>
      </c>
      <c r="AN10" s="552">
        <v>6</v>
      </c>
      <c r="AO10" s="552" t="b">
        <f>IF(Bolts[[#This Row],[Bolt Name]]="","",IF(ROW(Bolts[[#This Row],[Bolt Name]])&gt;15,FALSE,TRUE))</f>
        <v>1</v>
      </c>
      <c r="AW10" s="546"/>
      <c r="AX10" s="546"/>
      <c r="AY10" s="546"/>
      <c r="AZ10" s="65"/>
      <c r="BA10" s="548"/>
      <c r="BE10" s="65"/>
      <c r="BF10" s="65"/>
      <c r="BI10" s="10"/>
      <c r="BJ10" s="10"/>
      <c r="BK10" s="65"/>
    </row>
    <row r="11" spans="2:63" x14ac:dyDescent="0.2">
      <c r="B11" s="243" t="s">
        <v>987</v>
      </c>
      <c r="C11" s="72" t="s">
        <v>950</v>
      </c>
      <c r="D11" s="73">
        <f>22/25.4</f>
        <v>0.86614173228346458</v>
      </c>
      <c r="E11" s="73">
        <f>IF(Bolts[[#This Row],[Bolt Name]]="","",Bolts[[#This Row],[Bolt Diameter (in)]]*25.4)</f>
        <v>22</v>
      </c>
      <c r="F11" s="73">
        <f>IF(Bolts[[#This Row],[Bolt Name]]="","",PI()/4*Bolts[[#This Row],[Bolt Diameter (in)]]^2)</f>
        <v>0.58920688059452686</v>
      </c>
      <c r="G11" s="73">
        <v>150</v>
      </c>
      <c r="H11" s="73">
        <f>30/25.4</f>
        <v>1.1811023622047245</v>
      </c>
      <c r="I11" s="73">
        <f>22/25.4</f>
        <v>0.86614173228346458</v>
      </c>
      <c r="J11" s="551">
        <v>0.46922599999999998</v>
      </c>
      <c r="K11" s="73">
        <v>120</v>
      </c>
      <c r="L11" s="551">
        <v>42</v>
      </c>
      <c r="M11" s="551">
        <v>42</v>
      </c>
      <c r="N11" s="73">
        <f>IF(Bolts[[#This Row],[Bolt Name]]="","",Bolts[[#This Row],[Rev. F FVN]]*Bolts[[#This Row],[Area of Bolt (in2)]])</f>
        <v>24.746688984970127</v>
      </c>
      <c r="O11" s="73">
        <f>IF(Bolts[[#This Row],[Bolt Name]]="","",Bolts[[#This Row],[Rev. F FVX]]*Bolts[[#This Row],[Area of Bolt (in2)]])</f>
        <v>24.746688984970127</v>
      </c>
      <c r="P11" s="551">
        <v>42</v>
      </c>
      <c r="Q11" s="73">
        <f>IF(Bolts[[#This Row],[Bolt Name]]="","",Bolts[[#This Row],[Rev. F Sleeve FVX]]*Bolts[[#This Row],[Sleeve Area (in2)]])</f>
        <v>19.707491999999998</v>
      </c>
      <c r="R11" s="551">
        <v>84</v>
      </c>
      <c r="S11" s="551">
        <v>84</v>
      </c>
      <c r="T11" s="73">
        <f>IF(Bolts[[#This Row],[Bolt Name]]="","",φ_bolt_shear*Bolts[[#This Row],[Rev. G FNVN]]*Bolts[[#This Row],[Area of Bolt (in2)]])</f>
        <v>37.120033477455195</v>
      </c>
      <c r="U11" s="73">
        <f>IF(Bolts[[#This Row],[Bolt Name]]="","",φ_bolt_shear*Bolts[[#This Row],[Rev. G FNVX]]*Bolts[[#This Row],[Area of Bolt (in2)]])</f>
        <v>37.120033477455195</v>
      </c>
      <c r="V11" s="551">
        <v>84</v>
      </c>
      <c r="W11" s="73">
        <f>IF(Bolts[[#This Row],[Bolt Name]]="","",φ_bolt_shear*Bolts[[#This Row],[Rev. G Sleeve FNVX]]*Bolts[[#This Row],[Sleeve Area (in2)]])</f>
        <v>29.561237999999999</v>
      </c>
      <c r="X11" s="466">
        <f>IF(Bolts[[#This Row],[Bolt Name]]="","",0.625*0.8*Bolts[[#This Row],[Bolt Fu (ksi)]])</f>
        <v>75</v>
      </c>
      <c r="Y11" s="466">
        <f>IF(Bolts[[#This Row],[Bolt Name]]="","",0.625*Bolts[[#This Row],[Bolt Fu (ksi)]])</f>
        <v>93.75</v>
      </c>
      <c r="Z11" s="466">
        <f>IF(Bolts[[#This Row],[Bolt Name]]="","",φ_bolt_shear*Bolts[[#This Row],[Rev. H FNVN]]*Bolts[[#This Row],[Area of Bolt (in2)]])</f>
        <v>33.142887033442136</v>
      </c>
      <c r="AA11" s="466">
        <f>IF(Bolts[[#This Row],[Bolt Name]]="","",φ_bolt_shear*Bolts[[#This Row],[Rev. H FNVX]]*Bolts[[#This Row],[Area of Bolt (in2)]])</f>
        <v>41.428608791802667</v>
      </c>
      <c r="AB11" s="466">
        <f>IF(Bolts[[#This Row],[Bolt Name]]="","",0.625*Bolts[[#This Row],[Sleeve Fu (ksi)]])</f>
        <v>75</v>
      </c>
      <c r="AC11" s="466">
        <f>IF(Bolts[[#This Row],[Bolt Name]]="","",φ_bolt_shear*Bolts[[#This Row],[Rev. H Sleeve FNVX]]*Bolts[[#This Row],[Sleeve Area (in2)]])</f>
        <v>26.393962499999997</v>
      </c>
      <c r="AD11" s="73">
        <v>44.453000000000003</v>
      </c>
      <c r="AE11" s="73">
        <v>44.453000000000003</v>
      </c>
      <c r="AF11" s="552">
        <v>66.680000000000007</v>
      </c>
      <c r="AG11" s="552">
        <v>66.680000000000007</v>
      </c>
      <c r="AH11" s="552">
        <f>IF(Bolts[[#This Row],[Bolt Name]]="","",Bolts[[#This Row],[Rev. H ΦRNN]])</f>
        <v>33.142887033442136</v>
      </c>
      <c r="AI11" s="552">
        <f>IF(Bolts[[#This Row],[Bolt Name]]="","",Bolts[[#This Row],[Rev. H ΦRNX]])</f>
        <v>41.428608791802667</v>
      </c>
      <c r="AJ11" s="552">
        <f>IF(Bolts[[#This Row],[Bolt Name]]="","",Bolts[[#This Row],[Rev. H Sleeve ΦRNX]])</f>
        <v>26.393962499999997</v>
      </c>
      <c r="AK11" s="552">
        <f>66.68/0.9</f>
        <v>74.088888888888889</v>
      </c>
      <c r="AL11" s="552">
        <f>66.68/0.9</f>
        <v>74.088888888888889</v>
      </c>
      <c r="AM11" s="564" t="b">
        <f>IF(Bolts[[#This Row],[Bolt Name]]="","",TRUE)</f>
        <v>1</v>
      </c>
      <c r="AN11" s="552">
        <v>7</v>
      </c>
      <c r="AO11" s="552" t="b">
        <f>IF(Bolts[[#This Row],[Bolt Name]]="","",IF(ROW(Bolts[[#This Row],[Bolt Name]])&gt;15,FALSE,TRUE))</f>
        <v>1</v>
      </c>
      <c r="AW11" s="49"/>
      <c r="AX11" s="546"/>
      <c r="AY11" s="49"/>
      <c r="AZ11" s="65"/>
      <c r="BA11" s="548"/>
      <c r="BB11" s="65"/>
      <c r="BC11" s="65"/>
      <c r="BD11" s="65"/>
      <c r="BE11" s="65"/>
      <c r="BF11" s="65"/>
      <c r="BG11" s="65"/>
      <c r="BH11" s="65"/>
      <c r="BI11" s="10"/>
      <c r="BJ11" s="10"/>
      <c r="BK11" s="10"/>
    </row>
    <row r="12" spans="2:63" x14ac:dyDescent="0.2">
      <c r="B12" s="243" t="s">
        <v>953</v>
      </c>
      <c r="C12" s="72" t="s">
        <v>954</v>
      </c>
      <c r="D12" s="73">
        <v>0.625</v>
      </c>
      <c r="E12" s="73">
        <f>IF(Bolts[[#This Row],[Bolt Name]]="","",Bolts[[#This Row],[Bolt Diameter (in)]]*25.4)</f>
        <v>15.875</v>
      </c>
      <c r="F12" s="73">
        <f>IF(Bolts[[#This Row],[Bolt Name]]="","",PI()/4*Bolts[[#This Row],[Bolt Diameter (in)]]^2)</f>
        <v>0.30679615757712825</v>
      </c>
      <c r="G12" s="73">
        <v>120</v>
      </c>
      <c r="H12" s="466">
        <v>0.68500000000000005</v>
      </c>
      <c r="I12" s="73">
        <v>0.625</v>
      </c>
      <c r="J12" s="73">
        <f>IF(Bolts[[#This Row],[Bolt Name]]="","",PI()/4*(Bolts[[#This Row],[Sleeve Outer Diameter (in)]]^2-Bolts[[#This Row],[Sleeve Inner Diameter (in)]]^2))</f>
        <v>6.1732295643039482E-2</v>
      </c>
      <c r="K12" s="73">
        <v>120</v>
      </c>
      <c r="L12" s="73">
        <f>IF(Bolts[[#This Row],[Bolt Name]]="","",IF(Bolts[[#This Row],[Bolt Fu (ksi)]]=120,21,IF(Bolts[[#This Row],[Bolt Fu (ksi)]]=150,28,"Error")))</f>
        <v>21</v>
      </c>
      <c r="M12" s="73">
        <f>IF(Bolts[[#This Row],[Bolt Name]]="","",IF(Bolts[[#This Row],[Bolt Fu (ksi)]]=120,30,IF(Bolts[[#This Row],[Bolt Fu (ksi)]]=150,40,"Error")))</f>
        <v>30</v>
      </c>
      <c r="N12" s="73">
        <f>IF(Bolts[[#This Row],[Bolt Name]]="","",Bolts[[#This Row],[Rev. F FVN]]*Bolts[[#This Row],[Area of Bolt (in2)]])</f>
        <v>6.4427193091196928</v>
      </c>
      <c r="O12" s="73">
        <f>IF(Bolts[[#This Row],[Bolt Name]]="","",Bolts[[#This Row],[Rev. F FVX]]*Bolts[[#This Row],[Area of Bolt (in2)]])</f>
        <v>9.2038847273138469</v>
      </c>
      <c r="P12" s="73">
        <f>IF(Bolts[[#This Row],[Bolt Name]]="","",Bolts[[#This Row],[Rev. F FVX]]*(Bolts[[#This Row],[Sleeve Fu (ksi)]]/Bolts[[#This Row],[Bolt Fu (ksi)]]))</f>
        <v>30</v>
      </c>
      <c r="Q12" s="73">
        <f>IF(Bolts[[#This Row],[Bolt Name]]="","",Bolts[[#This Row],[Rev. F Sleeve FVX]]*Bolts[[#This Row],[Sleeve Area (in2)]])</f>
        <v>1.8519688692911844</v>
      </c>
      <c r="R12" s="466">
        <f>IF(Bolts[[#This Row],[Bolt Name]]="","",0.45*Bolts[[#This Row],[Bolt Fu (ksi)]])</f>
        <v>54</v>
      </c>
      <c r="S12" s="466">
        <f>IF(Bolts[[#This Row],[Bolt Name]]="","",0.55*Bolts[[#This Row],[Bolt Fu (ksi)]])</f>
        <v>66</v>
      </c>
      <c r="T12" s="73">
        <f>IF(Bolts[[#This Row],[Bolt Name]]="","",φ_bolt_shear*Bolts[[#This Row],[Rev. G FNVN]]*Bolts[[#This Row],[Area of Bolt (in2)]])</f>
        <v>12.425244381873695</v>
      </c>
      <c r="U12" s="73">
        <f>IF(Bolts[[#This Row],[Bolt Name]]="","",φ_bolt_shear*Bolts[[#This Row],[Rev. G FNVX]]*Bolts[[#This Row],[Area of Bolt (in2)]])</f>
        <v>15.186409800067848</v>
      </c>
      <c r="V12" s="73">
        <f>IF(Bolts[[#This Row],[Bolt Name]]="","",0.55*Bolts[[#This Row],[Sleeve Fu (ksi)]])</f>
        <v>66</v>
      </c>
      <c r="W12" s="73">
        <f>IF(Bolts[[#This Row],[Bolt Name]]="","",φ_bolt_shear*Bolts[[#This Row],[Rev. G Sleeve FNVX]]*Bolts[[#This Row],[Sleeve Area (in2)]])</f>
        <v>3.0557486343304543</v>
      </c>
      <c r="X12" s="466">
        <f>IF(Bolts[[#This Row],[Bolt Name]]="","",0.625*0.8*Bolts[[#This Row],[Bolt Fu (ksi)]])</f>
        <v>60</v>
      </c>
      <c r="Y12" s="466">
        <f>IF(Bolts[[#This Row],[Bolt Name]]="","",0.625*Bolts[[#This Row],[Bolt Fu (ksi)]])</f>
        <v>75</v>
      </c>
      <c r="Z12" s="466">
        <f>IF(Bolts[[#This Row],[Bolt Name]]="","",φ_bolt_shear*Bolts[[#This Row],[Rev. H FNVN]]*Bolts[[#This Row],[Area of Bolt (in2)]])</f>
        <v>13.805827090970771</v>
      </c>
      <c r="AA12" s="466">
        <f>IF(Bolts[[#This Row],[Bolt Name]]="","",φ_bolt_shear*Bolts[[#This Row],[Rev. H FNVX]]*Bolts[[#This Row],[Area of Bolt (in2)]])</f>
        <v>17.257283863713464</v>
      </c>
      <c r="AB12" s="466">
        <f>IF(Bolts[[#This Row],[Bolt Name]]="","",0.625*Bolts[[#This Row],[Sleeve Fu (ksi)]])</f>
        <v>75</v>
      </c>
      <c r="AC12" s="466">
        <f>IF(Bolts[[#This Row],[Bolt Name]]="","",φ_bolt_shear*Bolts[[#This Row],[Rev. H Sleeve FNVX]]*Bolts[[#This Row],[Sleeve Area (in2)]])</f>
        <v>3.4724416299209708</v>
      </c>
      <c r="AD12" s="466">
        <v>14.25</v>
      </c>
      <c r="AE12" s="466">
        <v>14.25</v>
      </c>
      <c r="AF12" s="466">
        <v>21.375</v>
      </c>
      <c r="AG12" s="466">
        <v>21.375</v>
      </c>
      <c r="AH12" s="552">
        <f>IF(Bolts[[#This Row],[Bolt Name]]="","",Bolts[[#This Row],[Rev. H ΦRNN]])</f>
        <v>13.805827090970771</v>
      </c>
      <c r="AI12" s="552">
        <f>IF(Bolts[[#This Row],[Bolt Name]]="","",Bolts[[#This Row],[Rev. H ΦRNX]])</f>
        <v>17.257283863713464</v>
      </c>
      <c r="AJ12" s="552">
        <f>IF(Bolts[[#This Row],[Bolt Name]]="","",Bolts[[#This Row],[Rev. H Sleeve ΦRNX]])</f>
        <v>3.4724416299209708</v>
      </c>
      <c r="AK12" s="466">
        <v>21.375</v>
      </c>
      <c r="AL12" s="466">
        <v>21.375</v>
      </c>
      <c r="AM12" s="564" t="b">
        <v>0</v>
      </c>
      <c r="AN12" s="552">
        <v>8</v>
      </c>
      <c r="AO12" s="552" t="b">
        <f>IF(Bolts[[#This Row],[Bolt Name]]="","",IF(ROW(Bolts[[#This Row],[Bolt Name]])&gt;15,FALSE,TRUE))</f>
        <v>1</v>
      </c>
      <c r="AW12" s="546"/>
      <c r="AX12" s="49"/>
      <c r="AY12" s="546"/>
      <c r="AZ12" s="65"/>
      <c r="BA12" s="548"/>
      <c r="BB12" s="65"/>
      <c r="BC12" s="65"/>
      <c r="BD12" s="65"/>
      <c r="BE12" s="65"/>
      <c r="BF12" s="65"/>
      <c r="BG12" s="65"/>
      <c r="BH12" s="65"/>
      <c r="BI12" s="10"/>
      <c r="BJ12" s="10"/>
      <c r="BK12" s="65"/>
    </row>
    <row r="13" spans="2:63" x14ac:dyDescent="0.2">
      <c r="B13" s="72" t="s">
        <v>951</v>
      </c>
      <c r="C13" s="72" t="s">
        <v>955</v>
      </c>
      <c r="D13" s="73">
        <v>0.625</v>
      </c>
      <c r="E13" s="73">
        <f>IF(Bolts[[#This Row],[Bolt Name]]="","",Bolts[[#This Row],[Bolt Diameter (in)]]*25.4)</f>
        <v>15.875</v>
      </c>
      <c r="F13" s="73">
        <f>IF(Bolts[[#This Row],[Bolt Name]]="","",PI()/4*Bolts[[#This Row],[Bolt Diameter (in)]]^2)</f>
        <v>0.30679615757712825</v>
      </c>
      <c r="G13" s="73">
        <v>120</v>
      </c>
      <c r="H13" s="466">
        <v>1</v>
      </c>
      <c r="I13" s="73">
        <v>0.625</v>
      </c>
      <c r="J13" s="73">
        <f>IF(Bolts[[#This Row],[Bolt Name]]="","",PI()/4*(Bolts[[#This Row],[Sleeve Outer Diameter (in)]]^2-Bolts[[#This Row],[Sleeve Inner Diameter (in)]]^2))</f>
        <v>0.47860200582032003</v>
      </c>
      <c r="K13" s="73">
        <v>120</v>
      </c>
      <c r="L13" s="73">
        <f>IF(Bolts[[#This Row],[Bolt Name]]="","",IF(Bolts[[#This Row],[Bolt Fu (ksi)]]=120,21,IF(Bolts[[#This Row],[Bolt Fu (ksi)]]=150,28,"Error")))</f>
        <v>21</v>
      </c>
      <c r="M13" s="73">
        <f>IF(Bolts[[#This Row],[Bolt Name]]="","",IF(Bolts[[#This Row],[Bolt Fu (ksi)]]=120,30,IF(Bolts[[#This Row],[Bolt Fu (ksi)]]=150,40,"Error")))</f>
        <v>30</v>
      </c>
      <c r="N13" s="73">
        <f>IF(Bolts[[#This Row],[Bolt Name]]="","",Bolts[[#This Row],[Rev. F FVN]]*Bolts[[#This Row],[Area of Bolt (in2)]])</f>
        <v>6.4427193091196928</v>
      </c>
      <c r="O13" s="73">
        <f>IF(Bolts[[#This Row],[Bolt Name]]="","",Bolts[[#This Row],[Rev. F FVX]]*Bolts[[#This Row],[Area of Bolt (in2)]])</f>
        <v>9.2038847273138469</v>
      </c>
      <c r="P13" s="73">
        <f>IF(Bolts[[#This Row],[Bolt Name]]="","",Bolts[[#This Row],[Rev. F FVX]]*(Bolts[[#This Row],[Sleeve Fu (ksi)]]/Bolts[[#This Row],[Bolt Fu (ksi)]]))</f>
        <v>30</v>
      </c>
      <c r="Q13" s="73">
        <f>IF(Bolts[[#This Row],[Bolt Name]]="","",Bolts[[#This Row],[Rev. F Sleeve FVX]]*Bolts[[#This Row],[Sleeve Area (in2)]])</f>
        <v>14.358060174609601</v>
      </c>
      <c r="R13" s="466">
        <f>IF(Bolts[[#This Row],[Bolt Name]]="","",0.45*Bolts[[#This Row],[Bolt Fu (ksi)]])</f>
        <v>54</v>
      </c>
      <c r="S13" s="466">
        <f>IF(Bolts[[#This Row],[Bolt Name]]="","",0.55*Bolts[[#This Row],[Bolt Fu (ksi)]])</f>
        <v>66</v>
      </c>
      <c r="T13" s="73">
        <f>IF(Bolts[[#This Row],[Bolt Name]]="","",φ_bolt_shear*Bolts[[#This Row],[Rev. G FNVN]]*Bolts[[#This Row],[Area of Bolt (in2)]])</f>
        <v>12.425244381873695</v>
      </c>
      <c r="U13" s="73">
        <f>IF(Bolts[[#This Row],[Bolt Name]]="","",φ_bolt_shear*Bolts[[#This Row],[Rev. G FNVX]]*Bolts[[#This Row],[Area of Bolt (in2)]])</f>
        <v>15.186409800067848</v>
      </c>
      <c r="V13" s="73">
        <f>IF(Bolts[[#This Row],[Bolt Name]]="","",0.55*Bolts[[#This Row],[Sleeve Fu (ksi)]])</f>
        <v>66</v>
      </c>
      <c r="W13" s="73">
        <f>IF(Bolts[[#This Row],[Bolt Name]]="","",φ_bolt_shear*Bolts[[#This Row],[Rev. G Sleeve FNVX]]*Bolts[[#This Row],[Sleeve Area (in2)]])</f>
        <v>23.69079928810584</v>
      </c>
      <c r="X13" s="466">
        <f>IF(Bolts[[#This Row],[Bolt Name]]="","",0.625*0.8*Bolts[[#This Row],[Bolt Fu (ksi)]])</f>
        <v>60</v>
      </c>
      <c r="Y13" s="466">
        <f>IF(Bolts[[#This Row],[Bolt Name]]="","",0.625*Bolts[[#This Row],[Bolt Fu (ksi)]])</f>
        <v>75</v>
      </c>
      <c r="Z13" s="466">
        <f>IF(Bolts[[#This Row],[Bolt Name]]="","",φ_bolt_shear*Bolts[[#This Row],[Rev. H FNVN]]*Bolts[[#This Row],[Area of Bolt (in2)]])</f>
        <v>13.805827090970771</v>
      </c>
      <c r="AA13" s="466">
        <f>IF(Bolts[[#This Row],[Bolt Name]]="","",φ_bolt_shear*Bolts[[#This Row],[Rev. H FNVX]]*Bolts[[#This Row],[Area of Bolt (in2)]])</f>
        <v>17.257283863713464</v>
      </c>
      <c r="AB13" s="466">
        <f>IF(Bolts[[#This Row],[Bolt Name]]="","",0.625*Bolts[[#This Row],[Sleeve Fu (ksi)]])</f>
        <v>75</v>
      </c>
      <c r="AC13" s="466">
        <f>IF(Bolts[[#This Row],[Bolt Name]]="","",φ_bolt_shear*Bolts[[#This Row],[Rev. H Sleeve FNVX]]*Bolts[[#This Row],[Sleeve Area (in2)]])</f>
        <v>26.921362827393001</v>
      </c>
      <c r="AD13" s="466">
        <v>19.719000000000001</v>
      </c>
      <c r="AE13" s="466">
        <v>19.719000000000001</v>
      </c>
      <c r="AF13" s="466">
        <v>29.577999999999999</v>
      </c>
      <c r="AG13" s="466">
        <v>29.577999999999999</v>
      </c>
      <c r="AH13" s="552">
        <f>IF(Bolts[[#This Row],[Bolt Name]]="","",Bolts[[#This Row],[Rev. H ΦRNN]])</f>
        <v>13.805827090970771</v>
      </c>
      <c r="AI13" s="552">
        <f>IF(Bolts[[#This Row],[Bolt Name]]="","",Bolts[[#This Row],[Rev. H ΦRNX]])</f>
        <v>17.257283863713464</v>
      </c>
      <c r="AJ13" s="552">
        <f>IF(Bolts[[#This Row],[Bolt Name]]="","",Bolts[[#This Row],[Rev. H Sleeve ΦRNX]])</f>
        <v>26.921362827393001</v>
      </c>
      <c r="AK13" s="466">
        <v>29.577999999999999</v>
      </c>
      <c r="AL13" s="466">
        <v>29.577999999999999</v>
      </c>
      <c r="AM13" s="564" t="b">
        <v>0</v>
      </c>
      <c r="AN13" s="552">
        <v>9</v>
      </c>
      <c r="AO13" s="552" t="b">
        <f>IF(Bolts[[#This Row],[Bolt Name]]="","",IF(ROW(Bolts[[#This Row],[Bolt Name]])&gt;15,FALSE,TRUE))</f>
        <v>1</v>
      </c>
      <c r="AW13" s="546"/>
      <c r="AX13" s="546"/>
      <c r="AY13" s="546"/>
      <c r="AZ13" s="65"/>
      <c r="BA13" s="548"/>
      <c r="BB13" s="65"/>
      <c r="BC13" s="65"/>
      <c r="BD13" s="65"/>
      <c r="BE13" s="65"/>
      <c r="BF13" s="65"/>
      <c r="BG13" s="65"/>
      <c r="BH13" s="65"/>
      <c r="BI13" s="10"/>
      <c r="BJ13" s="10"/>
      <c r="BK13" s="10"/>
    </row>
    <row r="14" spans="2:63" x14ac:dyDescent="0.2">
      <c r="B14" s="72" t="s">
        <v>952</v>
      </c>
      <c r="C14" s="553" t="s">
        <v>956</v>
      </c>
      <c r="D14" s="73">
        <v>0.625</v>
      </c>
      <c r="E14" s="73">
        <f>IF(Bolts[[#This Row],[Bolt Name]]="","",Bolts[[#This Row],[Bolt Diameter (in)]]*25.4)</f>
        <v>15.875</v>
      </c>
      <c r="F14" s="73">
        <f>IF(Bolts[[#This Row],[Bolt Name]]="","",PI()/4*Bolts[[#This Row],[Bolt Diameter (in)]]^2)</f>
        <v>0.30679615757712825</v>
      </c>
      <c r="G14" s="73">
        <v>120</v>
      </c>
      <c r="H14" s="466">
        <v>1</v>
      </c>
      <c r="I14" s="73">
        <v>0.625</v>
      </c>
      <c r="J14" s="73">
        <f>IF(Bolts[[#This Row],[Bolt Name]]="","",PI()/4*(Bolts[[#This Row],[Sleeve Outer Diameter (in)]]^2-Bolts[[#This Row],[Sleeve Inner Diameter (in)]]^2))</f>
        <v>0.47860200582032003</v>
      </c>
      <c r="K14" s="73">
        <v>120</v>
      </c>
      <c r="L14" s="73">
        <f>IF(Bolts[[#This Row],[Bolt Name]]="","",IF(Bolts[[#This Row],[Bolt Fu (ksi)]]=120,21,IF(Bolts[[#This Row],[Bolt Fu (ksi)]]=150,28,"Error")))</f>
        <v>21</v>
      </c>
      <c r="M14" s="73">
        <f>IF(Bolts[[#This Row],[Bolt Name]]="","",IF(Bolts[[#This Row],[Bolt Fu (ksi)]]=120,30,IF(Bolts[[#This Row],[Bolt Fu (ksi)]]=150,40,"Error")))</f>
        <v>30</v>
      </c>
      <c r="N14" s="73">
        <f>IF(Bolts[[#This Row],[Bolt Name]]="","",Bolts[[#This Row],[Rev. F FVN]]*Bolts[[#This Row],[Area of Bolt (in2)]])</f>
        <v>6.4427193091196928</v>
      </c>
      <c r="O14" s="73">
        <f>IF(Bolts[[#This Row],[Bolt Name]]="","",Bolts[[#This Row],[Rev. F FVX]]*Bolts[[#This Row],[Area of Bolt (in2)]])</f>
        <v>9.2038847273138469</v>
      </c>
      <c r="P14" s="73">
        <f>IF(Bolts[[#This Row],[Bolt Name]]="","",Bolts[[#This Row],[Rev. F FVX]]*(Bolts[[#This Row],[Sleeve Fu (ksi)]]/Bolts[[#This Row],[Bolt Fu (ksi)]]))</f>
        <v>30</v>
      </c>
      <c r="Q14" s="73">
        <f>IF(Bolts[[#This Row],[Bolt Name]]="","",Bolts[[#This Row],[Rev. F Sleeve FVX]]*Bolts[[#This Row],[Sleeve Area (in2)]])</f>
        <v>14.358060174609601</v>
      </c>
      <c r="R14" s="466">
        <f>IF(Bolts[[#This Row],[Bolt Name]]="","",0.45*Bolts[[#This Row],[Bolt Fu (ksi)]])</f>
        <v>54</v>
      </c>
      <c r="S14" s="466">
        <f>IF(Bolts[[#This Row],[Bolt Name]]="","",0.55*Bolts[[#This Row],[Bolt Fu (ksi)]])</f>
        <v>66</v>
      </c>
      <c r="T14" s="73">
        <f>IF(Bolts[[#This Row],[Bolt Name]]="","",φ_bolt_shear*Bolts[[#This Row],[Rev. G FNVN]]*Bolts[[#This Row],[Area of Bolt (in2)]])</f>
        <v>12.425244381873695</v>
      </c>
      <c r="U14" s="73">
        <f>IF(Bolts[[#This Row],[Bolt Name]]="","",φ_bolt_shear*Bolts[[#This Row],[Rev. G FNVX]]*Bolts[[#This Row],[Area of Bolt (in2)]])</f>
        <v>15.186409800067848</v>
      </c>
      <c r="V14" s="73">
        <f>IF(Bolts[[#This Row],[Bolt Name]]="","",0.55*Bolts[[#This Row],[Sleeve Fu (ksi)]])</f>
        <v>66</v>
      </c>
      <c r="W14" s="73">
        <f>IF(Bolts[[#This Row],[Bolt Name]]="","",φ_bolt_shear*Bolts[[#This Row],[Rev. G Sleeve FNVX]]*Bolts[[#This Row],[Sleeve Area (in2)]])</f>
        <v>23.69079928810584</v>
      </c>
      <c r="X14" s="466">
        <f>IF(Bolts[[#This Row],[Bolt Name]]="","",0.625*0.8*Bolts[[#This Row],[Bolt Fu (ksi)]])</f>
        <v>60</v>
      </c>
      <c r="Y14" s="466">
        <f>IF(Bolts[[#This Row],[Bolt Name]]="","",0.625*Bolts[[#This Row],[Bolt Fu (ksi)]])</f>
        <v>75</v>
      </c>
      <c r="Z14" s="466">
        <f>IF(Bolts[[#This Row],[Bolt Name]]="","",φ_bolt_shear*Bolts[[#This Row],[Rev. H FNVN]]*Bolts[[#This Row],[Area of Bolt (in2)]])</f>
        <v>13.805827090970771</v>
      </c>
      <c r="AA14" s="466">
        <f>IF(Bolts[[#This Row],[Bolt Name]]="","",φ_bolt_shear*Bolts[[#This Row],[Rev. H FNVX]]*Bolts[[#This Row],[Area of Bolt (in2)]])</f>
        <v>17.257283863713464</v>
      </c>
      <c r="AB14" s="466">
        <f>IF(Bolts[[#This Row],[Bolt Name]]="","",0.625*Bolts[[#This Row],[Sleeve Fu (ksi)]])</f>
        <v>75</v>
      </c>
      <c r="AC14" s="466">
        <f>IF(Bolts[[#This Row],[Bolt Name]]="","",φ_bolt_shear*Bolts[[#This Row],[Rev. H Sleeve FNVX]]*Bolts[[#This Row],[Sleeve Area (in2)]])</f>
        <v>26.921362827393001</v>
      </c>
      <c r="AD14" s="466">
        <v>7.2850000000000001</v>
      </c>
      <c r="AE14" s="466">
        <v>7.2850000000000001</v>
      </c>
      <c r="AF14" s="466">
        <v>11.645</v>
      </c>
      <c r="AG14" s="466">
        <v>11.645</v>
      </c>
      <c r="AH14" s="552">
        <f>IF(Bolts[[#This Row],[Bolt Name]]="","",Bolts[[#This Row],[Rev. H ΦRNN]])</f>
        <v>13.805827090970771</v>
      </c>
      <c r="AI14" s="552">
        <f>IF(Bolts[[#This Row],[Bolt Name]]="","",Bolts[[#This Row],[Rev. H ΦRNX]])</f>
        <v>17.257283863713464</v>
      </c>
      <c r="AJ14" s="552">
        <f>IF(Bolts[[#This Row],[Bolt Name]]="","",Bolts[[#This Row],[Rev. H Sleeve ΦRNX]])</f>
        <v>26.921362827393001</v>
      </c>
      <c r="AK14" s="466">
        <v>11.645</v>
      </c>
      <c r="AL14" s="466">
        <v>11.645</v>
      </c>
      <c r="AM14" s="564" t="b">
        <v>0</v>
      </c>
      <c r="AN14" s="552">
        <v>10</v>
      </c>
      <c r="AO14" s="552" t="b">
        <f>IF(Bolts[[#This Row],[Bolt Name]]="","",IF(ROW(Bolts[[#This Row],[Bolt Name]])&gt;15,FALSE,TRUE))</f>
        <v>1</v>
      </c>
      <c r="AW14" s="546"/>
      <c r="AX14" s="49"/>
      <c r="AY14" s="546"/>
      <c r="AZ14" s="65"/>
      <c r="BA14" s="548"/>
      <c r="BB14" s="65"/>
      <c r="BC14" s="65"/>
      <c r="BD14" s="65"/>
      <c r="BE14" s="65"/>
      <c r="BF14" s="65"/>
      <c r="BG14" s="65"/>
      <c r="BH14" s="65"/>
      <c r="BI14" s="10"/>
      <c r="BJ14" s="10"/>
      <c r="BK14" s="65"/>
    </row>
    <row r="15" spans="2:63" s="66" customFormat="1" x14ac:dyDescent="0.2">
      <c r="B15" s="72" t="s">
        <v>989</v>
      </c>
      <c r="C15" s="72" t="s">
        <v>988</v>
      </c>
      <c r="D15" s="72">
        <v>0.625</v>
      </c>
      <c r="E15" s="191" t="s">
        <v>1255</v>
      </c>
      <c r="F15" s="191" t="s">
        <v>1256</v>
      </c>
      <c r="G15" s="72">
        <v>120</v>
      </c>
      <c r="H15" s="72">
        <v>1</v>
      </c>
      <c r="I15" s="72">
        <v>0.625</v>
      </c>
      <c r="J15" s="72" t="s">
        <v>1257</v>
      </c>
      <c r="K15" s="72">
        <v>120</v>
      </c>
      <c r="L15" s="72" t="s">
        <v>1258</v>
      </c>
      <c r="M15" s="72" t="s">
        <v>1259</v>
      </c>
      <c r="N15" s="72" t="s">
        <v>1260</v>
      </c>
      <c r="O15" s="72" t="s">
        <v>1261</v>
      </c>
      <c r="P15" s="72" t="s">
        <v>1259</v>
      </c>
      <c r="Q15" s="72" t="s">
        <v>1262</v>
      </c>
      <c r="R15" s="72" t="s">
        <v>1263</v>
      </c>
      <c r="S15" s="72" t="s">
        <v>1264</v>
      </c>
      <c r="T15" s="72" t="s">
        <v>1265</v>
      </c>
      <c r="U15" s="72" t="s">
        <v>1266</v>
      </c>
      <c r="V15" s="72" t="s">
        <v>1264</v>
      </c>
      <c r="W15" s="72" t="s">
        <v>1267</v>
      </c>
      <c r="X15" s="72" t="s">
        <v>1268</v>
      </c>
      <c r="Y15" s="72" t="s">
        <v>1269</v>
      </c>
      <c r="Z15" s="72" t="s">
        <v>1270</v>
      </c>
      <c r="AA15" s="72" t="s">
        <v>1271</v>
      </c>
      <c r="AB15" s="72" t="s">
        <v>1269</v>
      </c>
      <c r="AC15" s="72" t="s">
        <v>1272</v>
      </c>
      <c r="AD15" s="191" t="s">
        <v>1273</v>
      </c>
      <c r="AE15" s="191" t="s">
        <v>1273</v>
      </c>
      <c r="AF15" s="191" t="s">
        <v>1274</v>
      </c>
      <c r="AG15" s="191" t="s">
        <v>1274</v>
      </c>
      <c r="AH15" s="191" t="s">
        <v>1270</v>
      </c>
      <c r="AI15" s="191" t="s">
        <v>1271</v>
      </c>
      <c r="AJ15" s="191" t="s">
        <v>1272</v>
      </c>
      <c r="AK15" s="191" t="s">
        <v>1274</v>
      </c>
      <c r="AL15" s="191" t="s">
        <v>1274</v>
      </c>
      <c r="AM15" s="564" t="b">
        <v>0</v>
      </c>
      <c r="AN15" s="558">
        <v>11</v>
      </c>
      <c r="AO15" s="558" t="b">
        <f>IF(Bolts[[#This Row],[Bolt Name]]="","",IF(ROW(Bolts[[#This Row],[Bolt Name]])&gt;15,FALSE,TRUE))</f>
        <v>1</v>
      </c>
      <c r="AW15" s="49"/>
      <c r="AX15" s="49"/>
      <c r="AY15" s="49"/>
      <c r="BA15" s="548"/>
      <c r="BI15" s="251"/>
      <c r="BJ15" s="251"/>
      <c r="BK15" s="251"/>
    </row>
    <row r="16" spans="2:63" s="65" customFormat="1" x14ac:dyDescent="0.2">
      <c r="B16" s="591"/>
      <c r="C16" s="591"/>
      <c r="D16" s="462"/>
      <c r="E16" s="462" t="str">
        <f>IF(Bolts[[#This Row],[Bolt Name]]="","",Bolts[[#This Row],[Bolt Diameter (in)]]*25.4)</f>
        <v/>
      </c>
      <c r="F16" s="462" t="str">
        <f>IF(Bolts[[#This Row],[Bolt Name]]="","",PI()/4*Bolts[[#This Row],[Bolt Diameter (in)]]^2)</f>
        <v/>
      </c>
      <c r="G16" s="462"/>
      <c r="H16" s="462"/>
      <c r="I16" s="462"/>
      <c r="J16" s="462" t="str">
        <f>IF(Bolts[[#This Row],[Bolt Name]]="","",PI()/4*(Bolts[[#This Row],[Sleeve Outer Diameter (in)]]^2-Bolts[[#This Row],[Sleeve Inner Diameter (in)]]^2))</f>
        <v/>
      </c>
      <c r="K16" s="462"/>
      <c r="L16" s="462" t="str">
        <f>IF(Bolts[[#This Row],[Bolt Name]]="","",IF(Bolts[[#This Row],[Bolt Fu (ksi)]]=120,21,IF(Bolts[[#This Row],[Bolt Fu (ksi)]]=150,28,"Error")))</f>
        <v/>
      </c>
      <c r="M16" s="462" t="str">
        <f>IF(Bolts[[#This Row],[Bolt Name]]="","",IF(Bolts[[#This Row],[Bolt Fu (ksi)]]=120,30,IF(Bolts[[#This Row],[Bolt Fu (ksi)]]=150,40,"Error")))</f>
        <v/>
      </c>
      <c r="N16" s="462" t="str">
        <f>IF(Bolts[[#This Row],[Bolt Name]]="","",Bolts[[#This Row],[Rev. F FVN]]*Bolts[[#This Row],[Area of Bolt (in2)]])</f>
        <v/>
      </c>
      <c r="O16" s="462" t="str">
        <f>IF(Bolts[[#This Row],[Bolt Name]]="","",Bolts[[#This Row],[Rev. F FVX]]*Bolts[[#This Row],[Area of Bolt (in2)]])</f>
        <v/>
      </c>
      <c r="P16" s="462" t="str">
        <f>IF(Bolts[[#This Row],[Bolt Name]]="","",Bolts[[#This Row],[Rev. F FVX]]*(Bolts[[#This Row],[Sleeve Fu (ksi)]]/Bolts[[#This Row],[Bolt Fu (ksi)]]))</f>
        <v/>
      </c>
      <c r="Q16" s="462" t="str">
        <f>IF(Bolts[[#This Row],[Bolt Name]]="","",Bolts[[#This Row],[Rev. F Sleeve FVX]]*Bolts[[#This Row],[Sleeve Area (in2)]])</f>
        <v/>
      </c>
      <c r="R16" s="462" t="str">
        <f>IF(Bolts[[#This Row],[Bolt Name]]="","",0.45*Bolts[[#This Row],[Bolt Fu (ksi)]])</f>
        <v/>
      </c>
      <c r="S16" s="462" t="str">
        <f>IF(Bolts[[#This Row],[Bolt Name]]="","",0.55*Bolts[[#This Row],[Bolt Fu (ksi)]])</f>
        <v/>
      </c>
      <c r="T16" s="462" t="str">
        <f>IF(Bolts[[#This Row],[Bolt Name]]="","",φ_bolt_shear*Bolts[[#This Row],[Rev. G FNVN]]*Bolts[[#This Row],[Area of Bolt (in2)]])</f>
        <v/>
      </c>
      <c r="U16" s="462" t="str">
        <f>IF(Bolts[[#This Row],[Bolt Name]]="","",φ_bolt_shear*Bolts[[#This Row],[Rev. G FNVX]]*Bolts[[#This Row],[Area of Bolt (in2)]])</f>
        <v/>
      </c>
      <c r="V16" s="462" t="str">
        <f>IF(Bolts[[#This Row],[Bolt Name]]="","",0.55*Bolts[[#This Row],[Sleeve Fu (ksi)]])</f>
        <v/>
      </c>
      <c r="W16" s="462" t="str">
        <f>IF(Bolts[[#This Row],[Bolt Name]]="","",φ_bolt_shear*Bolts[[#This Row],[Rev. G Sleeve FNVX]]*Bolts[[#This Row],[Sleeve Area (in2)]])</f>
        <v/>
      </c>
      <c r="X16" s="462" t="str">
        <f>IF(Bolts[[#This Row],[Bolt Name]]="","",0.625*0.8*Bolts[[#This Row],[Bolt Fu (ksi)]])</f>
        <v/>
      </c>
      <c r="Y16" s="462" t="str">
        <f>IF(Bolts[[#This Row],[Bolt Name]]="","",0.625*Bolts[[#This Row],[Bolt Fu (ksi)]])</f>
        <v/>
      </c>
      <c r="Z16" s="462" t="str">
        <f>IF(Bolts[[#This Row],[Bolt Name]]="","",φ_bolt_shear*Bolts[[#This Row],[Rev. H FNVN]]*Bolts[[#This Row],[Area of Bolt (in2)]])</f>
        <v/>
      </c>
      <c r="AA16" s="462" t="str">
        <f>IF(Bolts[[#This Row],[Bolt Name]]="","",φ_bolt_shear*Bolts[[#This Row],[Rev. H FNVX]]*Bolts[[#This Row],[Area of Bolt (in2)]])</f>
        <v/>
      </c>
      <c r="AB16" s="462" t="str">
        <f>IF(Bolts[[#This Row],[Bolt Name]]="","",0.625*Bolts[[#This Row],[Sleeve Fu (ksi)]])</f>
        <v/>
      </c>
      <c r="AC16" s="462" t="str">
        <f>IF(Bolts[[#This Row],[Bolt Name]]="","",φ_bolt_shear*Bolts[[#This Row],[Rev. H Sleeve FNVX]]*Bolts[[#This Row],[Sleeve Area (in2)]])</f>
        <v/>
      </c>
      <c r="AD16" s="462" t="str">
        <f>IF(Bolts[[#This Row],[Bolt Name]]="","",(Bolts[[#This Row],[Rev. F RN]]+Bolts[[#This Row],[Rev. F Sleeve RN]]))</f>
        <v/>
      </c>
      <c r="AE16" s="462" t="str">
        <f>IF(Bolts[[#This Row],[Bolt Name]]="","",(Bolts[[#This Row],[Rev. F RX]]+Bolts[[#This Row],[Rev. F Sleeve RN]]))</f>
        <v/>
      </c>
      <c r="AF16" s="462" t="str">
        <f>IF(Bolts[[#This Row],[Bolt Name]]="","",Bolts[[#This Row],[Rev. G ΦRNN]]+Bolts[[#This Row],[Rev. G Sleeve ΦRNX]])</f>
        <v/>
      </c>
      <c r="AG16" s="462" t="str">
        <f>IF(Bolts[[#This Row],[Bolt Name]]="","",Bolts[[#This Row],[Rev. G ΦRNX]]+Bolts[[#This Row],[Rev. G Sleeve ΦRNX]])</f>
        <v/>
      </c>
      <c r="AH16" s="495" t="str">
        <f>IF(Bolts[[#This Row],[Bolt Name]]="","",Bolts[[#This Row],[Rev. H ΦRNN]])</f>
        <v/>
      </c>
      <c r="AI16" s="495" t="str">
        <f>IF(Bolts[[#This Row],[Bolt Name]]="","",Bolts[[#This Row],[Rev. H ΦRNX]])</f>
        <v/>
      </c>
      <c r="AJ16" s="495" t="str">
        <f>IF(Bolts[[#This Row],[Bolt Name]]="","",Bolts[[#This Row],[Rev. H Sleeve ΦRNX]])</f>
        <v/>
      </c>
      <c r="AK16" s="495" t="str">
        <f>IF(Bolts[[#This Row],[Bolt Name]]="","",Bolts[[#This Row],[Rev. H Bolt (N) Capacity]]+Bolts[[#This Row],[Rev. H Shear Sleeve Capacity]])</f>
        <v/>
      </c>
      <c r="AL16" s="495" t="str">
        <f>IF(Bolts[[#This Row],[Bolt Name]]="","",Bolts[[#This Row],[Rev. H Bolt (X) Capacity]]+Bolts[[#This Row],[Rev. H Shear Sleeve Capacity]])</f>
        <v/>
      </c>
      <c r="AM16" s="564" t="str">
        <f>IF(Bolts[[#This Row],[Bolt Name]]="","",TRUE)</f>
        <v/>
      </c>
      <c r="AN16" s="552">
        <v>12</v>
      </c>
      <c r="AO16" s="552" t="str">
        <f>IF(Bolts[[#This Row],[Bolt Name]]="","",IF(ROW(Bolts[[#This Row],[Bolt Name]])&gt;15,FALSE,TRUE))</f>
        <v/>
      </c>
      <c r="AW16" s="546"/>
      <c r="AX16" s="546"/>
      <c r="AY16" s="49"/>
      <c r="BA16" s="548"/>
      <c r="BI16" s="10"/>
      <c r="BJ16" s="10"/>
    </row>
    <row r="17" spans="2:63" s="65" customFormat="1" x14ac:dyDescent="0.2">
      <c r="B17" s="591"/>
      <c r="C17" s="591"/>
      <c r="D17" s="462"/>
      <c r="E17" s="462" t="str">
        <f>IF(Bolts[[#This Row],[Bolt Name]]="","",Bolts[[#This Row],[Bolt Diameter (in)]]*25.4)</f>
        <v/>
      </c>
      <c r="F17" s="462" t="str">
        <f>IF(Bolts[[#This Row],[Bolt Name]]="","",PI()/4*Bolts[[#This Row],[Bolt Diameter (in)]]^2)</f>
        <v/>
      </c>
      <c r="G17" s="462"/>
      <c r="H17" s="462"/>
      <c r="I17" s="462"/>
      <c r="J17" s="462" t="str">
        <f>IF(Bolts[[#This Row],[Bolt Name]]="","",PI()/4*(Bolts[[#This Row],[Sleeve Outer Diameter (in)]]^2-Bolts[[#This Row],[Sleeve Inner Diameter (in)]]^2))</f>
        <v/>
      </c>
      <c r="K17" s="462"/>
      <c r="L17" s="462" t="str">
        <f>IF(Bolts[[#This Row],[Bolt Name]]="","",IF(Bolts[[#This Row],[Bolt Fu (ksi)]]=120,21,IF(Bolts[[#This Row],[Bolt Fu (ksi)]]=150,28,"Error")))</f>
        <v/>
      </c>
      <c r="M17" s="462" t="str">
        <f>IF(Bolts[[#This Row],[Bolt Name]]="","",IF(Bolts[[#This Row],[Bolt Fu (ksi)]]=120,30,IF(Bolts[[#This Row],[Bolt Fu (ksi)]]=150,40,"Error")))</f>
        <v/>
      </c>
      <c r="N17" s="462" t="str">
        <f>IF(Bolts[[#This Row],[Bolt Name]]="","",Bolts[[#This Row],[Rev. F FVN]]*Bolts[[#This Row],[Area of Bolt (in2)]])</f>
        <v/>
      </c>
      <c r="O17" s="462" t="str">
        <f>IF(Bolts[[#This Row],[Bolt Name]]="","",Bolts[[#This Row],[Rev. F FVX]]*Bolts[[#This Row],[Area of Bolt (in2)]])</f>
        <v/>
      </c>
      <c r="P17" s="462" t="str">
        <f>IF(Bolts[[#This Row],[Bolt Name]]="","",Bolts[[#This Row],[Rev. F FVX]]*(Bolts[[#This Row],[Sleeve Fu (ksi)]]/Bolts[[#This Row],[Bolt Fu (ksi)]]))</f>
        <v/>
      </c>
      <c r="Q17" s="462" t="str">
        <f>IF(Bolts[[#This Row],[Bolt Name]]="","",Bolts[[#This Row],[Rev. F Sleeve FVX]]*Bolts[[#This Row],[Sleeve Area (in2)]])</f>
        <v/>
      </c>
      <c r="R17" s="462" t="str">
        <f>IF(Bolts[[#This Row],[Bolt Name]]="","",0.45*Bolts[[#This Row],[Bolt Fu (ksi)]])</f>
        <v/>
      </c>
      <c r="S17" s="462" t="str">
        <f>IF(Bolts[[#This Row],[Bolt Name]]="","",0.55*Bolts[[#This Row],[Bolt Fu (ksi)]])</f>
        <v/>
      </c>
      <c r="T17" s="462" t="str">
        <f>IF(Bolts[[#This Row],[Bolt Name]]="","",φ_bolt_shear*Bolts[[#This Row],[Rev. G FNVN]]*Bolts[[#This Row],[Area of Bolt (in2)]])</f>
        <v/>
      </c>
      <c r="U17" s="462" t="str">
        <f>IF(Bolts[[#This Row],[Bolt Name]]="","",φ_bolt_shear*Bolts[[#This Row],[Rev. G FNVX]]*Bolts[[#This Row],[Area of Bolt (in2)]])</f>
        <v/>
      </c>
      <c r="V17" s="462" t="str">
        <f>IF(Bolts[[#This Row],[Bolt Name]]="","",0.55*Bolts[[#This Row],[Sleeve Fu (ksi)]])</f>
        <v/>
      </c>
      <c r="W17" s="462" t="str">
        <f>IF(Bolts[[#This Row],[Bolt Name]]="","",φ_bolt_shear*Bolts[[#This Row],[Rev. G Sleeve FNVX]]*Bolts[[#This Row],[Sleeve Area (in2)]])</f>
        <v/>
      </c>
      <c r="X17" s="462" t="str">
        <f>IF(Bolts[[#This Row],[Bolt Name]]="","",0.625*0.8*Bolts[[#This Row],[Bolt Fu (ksi)]])</f>
        <v/>
      </c>
      <c r="Y17" s="462" t="str">
        <f>IF(Bolts[[#This Row],[Bolt Name]]="","",0.625*Bolts[[#This Row],[Bolt Fu (ksi)]])</f>
        <v/>
      </c>
      <c r="Z17" s="462" t="str">
        <f>IF(Bolts[[#This Row],[Bolt Name]]="","",φ_bolt_shear*Bolts[[#This Row],[Rev. H FNVN]]*Bolts[[#This Row],[Area of Bolt (in2)]])</f>
        <v/>
      </c>
      <c r="AA17" s="462" t="str">
        <f>IF(Bolts[[#This Row],[Bolt Name]]="","",φ_bolt_shear*Bolts[[#This Row],[Rev. H FNVX]]*Bolts[[#This Row],[Area of Bolt (in2)]])</f>
        <v/>
      </c>
      <c r="AB17" s="462" t="str">
        <f>IF(Bolts[[#This Row],[Bolt Name]]="","",0.625*Bolts[[#This Row],[Sleeve Fu (ksi)]])</f>
        <v/>
      </c>
      <c r="AC17" s="462" t="str">
        <f>IF(Bolts[[#This Row],[Bolt Name]]="","",φ_bolt_shear*Bolts[[#This Row],[Rev. H Sleeve FNVX]]*Bolts[[#This Row],[Sleeve Area (in2)]])</f>
        <v/>
      </c>
      <c r="AD17" s="462" t="str">
        <f>IF(Bolts[[#This Row],[Bolt Name]]="","",(Bolts[[#This Row],[Rev. F RN]]+Bolts[[#This Row],[Rev. F Sleeve RN]]))</f>
        <v/>
      </c>
      <c r="AE17" s="462" t="str">
        <f>IF(Bolts[[#This Row],[Bolt Name]]="","",(Bolts[[#This Row],[Rev. F RX]]+Bolts[[#This Row],[Rev. F Sleeve RN]]))</f>
        <v/>
      </c>
      <c r="AF17" s="462" t="str">
        <f>IF(Bolts[[#This Row],[Bolt Name]]="","",Bolts[[#This Row],[Rev. G ΦRNN]]+Bolts[[#This Row],[Rev. G Sleeve ΦRNX]])</f>
        <v/>
      </c>
      <c r="AG17" s="462" t="str">
        <f>IF(Bolts[[#This Row],[Bolt Name]]="","",Bolts[[#This Row],[Rev. G ΦRNX]]+Bolts[[#This Row],[Rev. G Sleeve ΦRNX]])</f>
        <v/>
      </c>
      <c r="AH17" s="495" t="str">
        <f>IF(Bolts[[#This Row],[Bolt Name]]="","",Bolts[[#This Row],[Rev. H ΦRNN]])</f>
        <v/>
      </c>
      <c r="AI17" s="495" t="str">
        <f>IF(Bolts[[#This Row],[Bolt Name]]="","",Bolts[[#This Row],[Rev. H ΦRNX]])</f>
        <v/>
      </c>
      <c r="AJ17" s="495" t="str">
        <f>IF(Bolts[[#This Row],[Bolt Name]]="","",Bolts[[#This Row],[Rev. H Sleeve ΦRNX]])</f>
        <v/>
      </c>
      <c r="AK17" s="495" t="str">
        <f>IF(Bolts[[#This Row],[Bolt Name]]="","",Bolts[[#This Row],[Rev. H Bolt (N) Capacity]]+Bolts[[#This Row],[Rev. H Shear Sleeve Capacity]])</f>
        <v/>
      </c>
      <c r="AL17" s="495" t="str">
        <f>IF(Bolts[[#This Row],[Bolt Name]]="","",Bolts[[#This Row],[Rev. H Bolt (X) Capacity]]+Bolts[[#This Row],[Rev. H Shear Sleeve Capacity]])</f>
        <v/>
      </c>
      <c r="AM17" s="564" t="str">
        <f>IF(Bolts[[#This Row],[Bolt Name]]="","",TRUE)</f>
        <v/>
      </c>
      <c r="AN17" s="552">
        <v>13</v>
      </c>
      <c r="AO17" s="552" t="str">
        <f>IF(Bolts[[#This Row],[Bolt Name]]="","",IF(ROW(Bolts[[#This Row],[Bolt Name]])&gt;15,FALSE,TRUE))</f>
        <v/>
      </c>
      <c r="AW17" s="546"/>
      <c r="AX17" s="546"/>
      <c r="AY17" s="546"/>
      <c r="BA17" s="548"/>
      <c r="BI17" s="10"/>
      <c r="BJ17" s="10"/>
      <c r="BK17" s="10"/>
    </row>
    <row r="18" spans="2:63" x14ac:dyDescent="0.2">
      <c r="B18" s="591"/>
      <c r="C18" s="591"/>
      <c r="D18" s="462"/>
      <c r="E18" s="462" t="str">
        <f>IF(Bolts[[#This Row],[Bolt Name]]="","",Bolts[[#This Row],[Bolt Diameter (in)]]*25.4)</f>
        <v/>
      </c>
      <c r="F18" s="462" t="str">
        <f>IF(Bolts[[#This Row],[Bolt Name]]="","",PI()/4*Bolts[[#This Row],[Bolt Diameter (in)]]^2)</f>
        <v/>
      </c>
      <c r="G18" s="462"/>
      <c r="H18" s="462"/>
      <c r="I18" s="462"/>
      <c r="J18" s="462" t="str">
        <f>IF(Bolts[[#This Row],[Bolt Name]]="","",PI()/4*(Bolts[[#This Row],[Sleeve Outer Diameter (in)]]^2-Bolts[[#This Row],[Sleeve Inner Diameter (in)]]^2))</f>
        <v/>
      </c>
      <c r="K18" s="462"/>
      <c r="L18" s="462" t="str">
        <f>IF(Bolts[[#This Row],[Bolt Name]]="","",IF(Bolts[[#This Row],[Bolt Fu (ksi)]]=120,21,IF(Bolts[[#This Row],[Bolt Fu (ksi)]]=150,28,"Error")))</f>
        <v/>
      </c>
      <c r="M18" s="462" t="str">
        <f>IF(Bolts[[#This Row],[Bolt Name]]="","",IF(Bolts[[#This Row],[Bolt Fu (ksi)]]=120,30,IF(Bolts[[#This Row],[Bolt Fu (ksi)]]=150,40,"Error")))</f>
        <v/>
      </c>
      <c r="N18" s="462" t="str">
        <f>IF(Bolts[[#This Row],[Bolt Name]]="","",Bolts[[#This Row],[Rev. F FVN]]*Bolts[[#This Row],[Area of Bolt (in2)]])</f>
        <v/>
      </c>
      <c r="O18" s="462" t="str">
        <f>IF(Bolts[[#This Row],[Bolt Name]]="","",Bolts[[#This Row],[Rev. F FVX]]*Bolts[[#This Row],[Area of Bolt (in2)]])</f>
        <v/>
      </c>
      <c r="P18" s="462" t="str">
        <f>IF(Bolts[[#This Row],[Bolt Name]]="","",Bolts[[#This Row],[Rev. F FVX]]*(Bolts[[#This Row],[Sleeve Fu (ksi)]]/Bolts[[#This Row],[Bolt Fu (ksi)]]))</f>
        <v/>
      </c>
      <c r="Q18" s="462" t="str">
        <f>IF(Bolts[[#This Row],[Bolt Name]]="","",Bolts[[#This Row],[Rev. F Sleeve FVX]]*Bolts[[#This Row],[Sleeve Area (in2)]])</f>
        <v/>
      </c>
      <c r="R18" s="462" t="str">
        <f>IF(Bolts[[#This Row],[Bolt Name]]="","",0.45*Bolts[[#This Row],[Bolt Fu (ksi)]])</f>
        <v/>
      </c>
      <c r="S18" s="462" t="str">
        <f>IF(Bolts[[#This Row],[Bolt Name]]="","",0.55*Bolts[[#This Row],[Bolt Fu (ksi)]])</f>
        <v/>
      </c>
      <c r="T18" s="462" t="str">
        <f>IF(Bolts[[#This Row],[Bolt Name]]="","",φ_bolt_shear*Bolts[[#This Row],[Rev. G FNVN]]*Bolts[[#This Row],[Area of Bolt (in2)]])</f>
        <v/>
      </c>
      <c r="U18" s="462" t="str">
        <f>IF(Bolts[[#This Row],[Bolt Name]]="","",φ_bolt_shear*Bolts[[#This Row],[Rev. G FNVX]]*Bolts[[#This Row],[Area of Bolt (in2)]])</f>
        <v/>
      </c>
      <c r="V18" s="462" t="str">
        <f>IF(Bolts[[#This Row],[Bolt Name]]="","",0.55*Bolts[[#This Row],[Sleeve Fu (ksi)]])</f>
        <v/>
      </c>
      <c r="W18" s="462" t="str">
        <f>IF(Bolts[[#This Row],[Bolt Name]]="","",φ_bolt_shear*Bolts[[#This Row],[Rev. G Sleeve FNVX]]*Bolts[[#This Row],[Sleeve Area (in2)]])</f>
        <v/>
      </c>
      <c r="X18" s="462" t="str">
        <f>IF(Bolts[[#This Row],[Bolt Name]]="","",0.625*0.8*Bolts[[#This Row],[Bolt Fu (ksi)]])</f>
        <v/>
      </c>
      <c r="Y18" s="462" t="str">
        <f>IF(Bolts[[#This Row],[Bolt Name]]="","",0.625*Bolts[[#This Row],[Bolt Fu (ksi)]])</f>
        <v/>
      </c>
      <c r="Z18" s="462" t="str">
        <f>IF(Bolts[[#This Row],[Bolt Name]]="","",φ_bolt_shear*Bolts[[#This Row],[Rev. H FNVN]]*Bolts[[#This Row],[Area of Bolt (in2)]])</f>
        <v/>
      </c>
      <c r="AA18" s="462" t="str">
        <f>IF(Bolts[[#This Row],[Bolt Name]]="","",φ_bolt_shear*Bolts[[#This Row],[Rev. H FNVX]]*Bolts[[#This Row],[Area of Bolt (in2)]])</f>
        <v/>
      </c>
      <c r="AB18" s="462" t="str">
        <f>IF(Bolts[[#This Row],[Bolt Name]]="","",0.625*Bolts[[#This Row],[Sleeve Fu (ksi)]])</f>
        <v/>
      </c>
      <c r="AC18" s="462" t="str">
        <f>IF(Bolts[[#This Row],[Bolt Name]]="","",φ_bolt_shear*Bolts[[#This Row],[Rev. H Sleeve FNVX]]*Bolts[[#This Row],[Sleeve Area (in2)]])</f>
        <v/>
      </c>
      <c r="AD18" s="462" t="str">
        <f>IF(Bolts[[#This Row],[Bolt Name]]="","",(Bolts[[#This Row],[Rev. F RN]]+Bolts[[#This Row],[Rev. F Sleeve RN]]))</f>
        <v/>
      </c>
      <c r="AE18" s="462" t="str">
        <f>IF(Bolts[[#This Row],[Bolt Name]]="","",(Bolts[[#This Row],[Rev. F RX]]+Bolts[[#This Row],[Rev. F Sleeve RN]]))</f>
        <v/>
      </c>
      <c r="AF18" s="462" t="str">
        <f>IF(Bolts[[#This Row],[Bolt Name]]="","",Bolts[[#This Row],[Rev. G ΦRNN]]+Bolts[[#This Row],[Rev. G Sleeve ΦRNX]])</f>
        <v/>
      </c>
      <c r="AG18" s="462" t="str">
        <f>IF(Bolts[[#This Row],[Bolt Name]]="","",Bolts[[#This Row],[Rev. G ΦRNX]]+Bolts[[#This Row],[Rev. G Sleeve ΦRNX]])</f>
        <v/>
      </c>
      <c r="AH18" s="495" t="str">
        <f>IF(Bolts[[#This Row],[Bolt Name]]="","",Bolts[[#This Row],[Rev. H ΦRNN]])</f>
        <v/>
      </c>
      <c r="AI18" s="495" t="str">
        <f>IF(Bolts[[#This Row],[Bolt Name]]="","",Bolts[[#This Row],[Rev. H ΦRNX]])</f>
        <v/>
      </c>
      <c r="AJ18" s="495" t="str">
        <f>IF(Bolts[[#This Row],[Bolt Name]]="","",Bolts[[#This Row],[Rev. H Sleeve ΦRNX]])</f>
        <v/>
      </c>
      <c r="AK18" s="495" t="str">
        <f>IF(Bolts[[#This Row],[Bolt Name]]="","",Bolts[[#This Row],[Rev. H Bolt (N) Capacity]]+Bolts[[#This Row],[Rev. H Shear Sleeve Capacity]])</f>
        <v/>
      </c>
      <c r="AL18" s="495" t="str">
        <f>IF(Bolts[[#This Row],[Bolt Name]]="","",Bolts[[#This Row],[Rev. H Bolt (X) Capacity]]+Bolts[[#This Row],[Rev. H Shear Sleeve Capacity]])</f>
        <v/>
      </c>
      <c r="AM18" s="564" t="str">
        <f>IF(Bolts[[#This Row],[Bolt Name]]="","",TRUE)</f>
        <v/>
      </c>
      <c r="AN18" s="552">
        <v>14</v>
      </c>
      <c r="AO18" s="552" t="str">
        <f>IF(Bolts[[#This Row],[Bolt Name]]="","",IF(ROW(Bolts[[#This Row],[Bolt Name]])&gt;15,FALSE,TRUE))</f>
        <v/>
      </c>
      <c r="AW18" s="546"/>
      <c r="AX18" s="546"/>
      <c r="AY18" s="546"/>
      <c r="AZ18" s="65"/>
      <c r="BA18" s="548"/>
      <c r="BB18" s="65"/>
      <c r="BC18" s="65"/>
      <c r="BD18" s="65"/>
      <c r="BE18" s="65"/>
      <c r="BF18" s="65"/>
      <c r="BG18" s="65"/>
      <c r="BH18" s="65"/>
      <c r="BI18" s="10"/>
      <c r="BJ18" s="10"/>
      <c r="BK18" s="65"/>
    </row>
    <row r="19" spans="2:63" s="65" customFormat="1" x14ac:dyDescent="0.2">
      <c r="B19" s="591"/>
      <c r="C19" s="591"/>
      <c r="D19" s="462"/>
      <c r="E19" s="462" t="str">
        <f>IF(Bolts[[#This Row],[Bolt Name]]="","",Bolts[[#This Row],[Bolt Diameter (in)]]*25.4)</f>
        <v/>
      </c>
      <c r="F19" s="462" t="str">
        <f>IF(Bolts[[#This Row],[Bolt Name]]="","",PI()/4*Bolts[[#This Row],[Bolt Diameter (in)]]^2)</f>
        <v/>
      </c>
      <c r="G19" s="462"/>
      <c r="H19" s="462"/>
      <c r="I19" s="462"/>
      <c r="J19" s="462" t="str">
        <f>IF(Bolts[[#This Row],[Bolt Name]]="","",PI()/4*(Bolts[[#This Row],[Sleeve Outer Diameter (in)]]^2-Bolts[[#This Row],[Sleeve Inner Diameter (in)]]^2))</f>
        <v/>
      </c>
      <c r="K19" s="462"/>
      <c r="L19" s="462" t="str">
        <f>IF(Bolts[[#This Row],[Bolt Name]]="","",IF(Bolts[[#This Row],[Bolt Fu (ksi)]]=120,21,IF(Bolts[[#This Row],[Bolt Fu (ksi)]]=150,28,"Error")))</f>
        <v/>
      </c>
      <c r="M19" s="462" t="str">
        <f>IF(Bolts[[#This Row],[Bolt Name]]="","",IF(Bolts[[#This Row],[Bolt Fu (ksi)]]=120,30,IF(Bolts[[#This Row],[Bolt Fu (ksi)]]=150,40,"Error")))</f>
        <v/>
      </c>
      <c r="N19" s="462" t="str">
        <f>IF(Bolts[[#This Row],[Bolt Name]]="","",Bolts[[#This Row],[Rev. F FVN]]*Bolts[[#This Row],[Area of Bolt (in2)]])</f>
        <v/>
      </c>
      <c r="O19" s="462" t="str">
        <f>IF(Bolts[[#This Row],[Bolt Name]]="","",Bolts[[#This Row],[Rev. F FVX]]*Bolts[[#This Row],[Area of Bolt (in2)]])</f>
        <v/>
      </c>
      <c r="P19" s="462" t="str">
        <f>IF(Bolts[[#This Row],[Bolt Name]]="","",Bolts[[#This Row],[Rev. F FVX]]*(Bolts[[#This Row],[Sleeve Fu (ksi)]]/Bolts[[#This Row],[Bolt Fu (ksi)]]))</f>
        <v/>
      </c>
      <c r="Q19" s="462" t="str">
        <f>IF(Bolts[[#This Row],[Bolt Name]]="","",Bolts[[#This Row],[Rev. F Sleeve FVX]]*Bolts[[#This Row],[Sleeve Area (in2)]])</f>
        <v/>
      </c>
      <c r="R19" s="462" t="str">
        <f>IF(Bolts[[#This Row],[Bolt Name]]="","",0.45*Bolts[[#This Row],[Bolt Fu (ksi)]])</f>
        <v/>
      </c>
      <c r="S19" s="462" t="str">
        <f>IF(Bolts[[#This Row],[Bolt Name]]="","",0.55*Bolts[[#This Row],[Bolt Fu (ksi)]])</f>
        <v/>
      </c>
      <c r="T19" s="462" t="str">
        <f>IF(Bolts[[#This Row],[Bolt Name]]="","",φ_bolt_shear*Bolts[[#This Row],[Rev. G FNVN]]*Bolts[[#This Row],[Area of Bolt (in2)]])</f>
        <v/>
      </c>
      <c r="U19" s="462" t="str">
        <f>IF(Bolts[[#This Row],[Bolt Name]]="","",φ_bolt_shear*Bolts[[#This Row],[Rev. G FNVX]]*Bolts[[#This Row],[Area of Bolt (in2)]])</f>
        <v/>
      </c>
      <c r="V19" s="462" t="str">
        <f>IF(Bolts[[#This Row],[Bolt Name]]="","",0.55*Bolts[[#This Row],[Sleeve Fu (ksi)]])</f>
        <v/>
      </c>
      <c r="W19" s="462" t="str">
        <f>IF(Bolts[[#This Row],[Bolt Name]]="","",φ_bolt_shear*Bolts[[#This Row],[Rev. G Sleeve FNVX]]*Bolts[[#This Row],[Sleeve Area (in2)]])</f>
        <v/>
      </c>
      <c r="X19" s="462" t="str">
        <f>IF(Bolts[[#This Row],[Bolt Name]]="","",0.625*0.8*Bolts[[#This Row],[Bolt Fu (ksi)]])</f>
        <v/>
      </c>
      <c r="Y19" s="462" t="str">
        <f>IF(Bolts[[#This Row],[Bolt Name]]="","",0.625*Bolts[[#This Row],[Bolt Fu (ksi)]])</f>
        <v/>
      </c>
      <c r="Z19" s="462" t="str">
        <f>IF(Bolts[[#This Row],[Bolt Name]]="","",φ_bolt_shear*Bolts[[#This Row],[Rev. H FNVN]]*Bolts[[#This Row],[Area of Bolt (in2)]])</f>
        <v/>
      </c>
      <c r="AA19" s="462" t="str">
        <f>IF(Bolts[[#This Row],[Bolt Name]]="","",φ_bolt_shear*Bolts[[#This Row],[Rev. H FNVX]]*Bolts[[#This Row],[Area of Bolt (in2)]])</f>
        <v/>
      </c>
      <c r="AB19" s="462" t="str">
        <f>IF(Bolts[[#This Row],[Bolt Name]]="","",0.625*Bolts[[#This Row],[Sleeve Fu (ksi)]])</f>
        <v/>
      </c>
      <c r="AC19" s="462" t="str">
        <f>IF(Bolts[[#This Row],[Bolt Name]]="","",φ_bolt_shear*Bolts[[#This Row],[Rev. H Sleeve FNVX]]*Bolts[[#This Row],[Sleeve Area (in2)]])</f>
        <v/>
      </c>
      <c r="AD19" s="462" t="str">
        <f>IF(Bolts[[#This Row],[Bolt Name]]="","",(Bolts[[#This Row],[Rev. F RN]]+Bolts[[#This Row],[Rev. F Sleeve RN]]))</f>
        <v/>
      </c>
      <c r="AE19" s="462" t="str">
        <f>IF(Bolts[[#This Row],[Bolt Name]]="","",(Bolts[[#This Row],[Rev. F RX]]+Bolts[[#This Row],[Rev. F Sleeve RN]]))</f>
        <v/>
      </c>
      <c r="AF19" s="462" t="str">
        <f>IF(Bolts[[#This Row],[Bolt Name]]="","",Bolts[[#This Row],[Rev. G ΦRNN]]+Bolts[[#This Row],[Rev. G Sleeve ΦRNX]])</f>
        <v/>
      </c>
      <c r="AG19" s="462" t="str">
        <f>IF(Bolts[[#This Row],[Bolt Name]]="","",Bolts[[#This Row],[Rev. G ΦRNX]]+Bolts[[#This Row],[Rev. G Sleeve ΦRNX]])</f>
        <v/>
      </c>
      <c r="AH19" s="495" t="str">
        <f>IF(Bolts[[#This Row],[Bolt Name]]="","",Bolts[[#This Row],[Rev. H ΦRNN]])</f>
        <v/>
      </c>
      <c r="AI19" s="495" t="str">
        <f>IF(Bolts[[#This Row],[Bolt Name]]="","",Bolts[[#This Row],[Rev. H ΦRNX]])</f>
        <v/>
      </c>
      <c r="AJ19" s="495" t="str">
        <f>IF(Bolts[[#This Row],[Bolt Name]]="","",Bolts[[#This Row],[Rev. H Sleeve ΦRNX]])</f>
        <v/>
      </c>
      <c r="AK19" s="495" t="str">
        <f>IF(Bolts[[#This Row],[Bolt Name]]="","",Bolts[[#This Row],[Rev. H Bolt (N) Capacity]]+Bolts[[#This Row],[Rev. H Shear Sleeve Capacity]])</f>
        <v/>
      </c>
      <c r="AL19" s="495" t="str">
        <f>IF(Bolts[[#This Row],[Bolt Name]]="","",Bolts[[#This Row],[Rev. H Bolt (X) Capacity]]+Bolts[[#This Row],[Rev. H Shear Sleeve Capacity]])</f>
        <v/>
      </c>
      <c r="AM19" s="564" t="str">
        <f>IF(Bolts[[#This Row],[Bolt Name]]="","",TRUE)</f>
        <v/>
      </c>
      <c r="AN19" s="552">
        <v>15</v>
      </c>
      <c r="AO19" s="552" t="str">
        <f>IF(Bolts[[#This Row],[Bolt Name]]="","",IF(ROW(Bolts[[#This Row],[Bolt Name]])&gt;15,FALSE,TRUE))</f>
        <v/>
      </c>
      <c r="AW19" s="546"/>
      <c r="AX19" s="546"/>
      <c r="AY19" s="546"/>
      <c r="BA19" s="548"/>
      <c r="BI19" s="10"/>
      <c r="BJ19" s="10"/>
    </row>
    <row r="20" spans="2:63" s="65" customFormat="1" x14ac:dyDescent="0.2">
      <c r="B20" s="129"/>
      <c r="C20" s="129"/>
      <c r="D20" s="69"/>
      <c r="E20" s="69" t="str">
        <f>IF(Bolts[[#This Row],[Bolt Name]]="","",Bolts[[#This Row],[Bolt Diameter (in)]]*25.4)</f>
        <v/>
      </c>
      <c r="F20" s="69" t="str">
        <f>IF(Bolts[[#This Row],[Bolt Name]]="","",PI()/4*Bolts[[#This Row],[Bolt Diameter (in)]]^2)</f>
        <v/>
      </c>
      <c r="G20" s="69"/>
      <c r="H20" s="69"/>
      <c r="I20" s="69"/>
      <c r="J20" s="69" t="str">
        <f>IF(Bolts[[#This Row],[Bolt Name]]="","",PI()/4*(Bolts[[#This Row],[Sleeve Outer Diameter (in)]]^2-Bolts[[#This Row],[Sleeve Inner Diameter (in)]]^2))</f>
        <v/>
      </c>
      <c r="K20" s="69"/>
      <c r="L20" s="69" t="str">
        <f>IF(Bolts[[#This Row],[Bolt Name]]="","",IF(Bolts[[#This Row],[Bolt Fu (ksi)]]=120,21,IF(Bolts[[#This Row],[Bolt Fu (ksi)]]=150,28,"Error")))</f>
        <v/>
      </c>
      <c r="M20" s="69" t="str">
        <f>IF(Bolts[[#This Row],[Bolt Name]]="","",IF(Bolts[[#This Row],[Bolt Fu (ksi)]]=120,30,IF(Bolts[[#This Row],[Bolt Fu (ksi)]]=150,40,"Error")))</f>
        <v/>
      </c>
      <c r="N20" s="69" t="str">
        <f>IF(Bolts[[#This Row],[Bolt Name]]="","",Bolts[[#This Row],[Rev. F FVN]]*Bolts[[#This Row],[Area of Bolt (in2)]])</f>
        <v/>
      </c>
      <c r="O20" s="69" t="str">
        <f>IF(Bolts[[#This Row],[Bolt Name]]="","",Bolts[[#This Row],[Rev. F FVX]]*Bolts[[#This Row],[Area of Bolt (in2)]])</f>
        <v/>
      </c>
      <c r="P20" s="69" t="str">
        <f>IF(Bolts[[#This Row],[Bolt Name]]="","",Bolts[[#This Row],[Rev. F FVX]]*(Bolts[[#This Row],[Sleeve Fu (ksi)]]/Bolts[[#This Row],[Bolt Fu (ksi)]]))</f>
        <v/>
      </c>
      <c r="Q20" s="69" t="str">
        <f>IF(Bolts[[#This Row],[Bolt Name]]="","",Bolts[[#This Row],[Rev. F Sleeve FVX]]*Bolts[[#This Row],[Sleeve Area (in2)]])</f>
        <v/>
      </c>
      <c r="R20" s="462" t="str">
        <f>IF(Bolts[[#This Row],[Bolt Name]]="","",0.45*Bolts[[#This Row],[Bolt Fu (ksi)]])</f>
        <v/>
      </c>
      <c r="S20" s="462" t="str">
        <f>IF(Bolts[[#This Row],[Bolt Name]]="","",0.55*Bolts[[#This Row],[Bolt Fu (ksi)]])</f>
        <v/>
      </c>
      <c r="T20" s="69" t="str">
        <f>IF(Bolts[[#This Row],[Bolt Name]]="","",φ_bolt_shear*Bolts[[#This Row],[Rev. G FNVN]]*Bolts[[#This Row],[Area of Bolt (in2)]])</f>
        <v/>
      </c>
      <c r="U20" s="69" t="str">
        <f>IF(Bolts[[#This Row],[Bolt Name]]="","",φ_bolt_shear*Bolts[[#This Row],[Rev. G FNVX]]*Bolts[[#This Row],[Area of Bolt (in2)]])</f>
        <v/>
      </c>
      <c r="V20" s="69" t="str">
        <f>IF(Bolts[[#This Row],[Bolt Name]]="","",0.55*Bolts[[#This Row],[Sleeve Fu (ksi)]])</f>
        <v/>
      </c>
      <c r="W20" s="69" t="str">
        <f>IF(Bolts[[#This Row],[Bolt Name]]="","",φ_bolt_shear*Bolts[[#This Row],[Rev. G Sleeve FNVX]]*Bolts[[#This Row],[Sleeve Area (in2)]])</f>
        <v/>
      </c>
      <c r="X20" s="462" t="str">
        <f>IF(Bolts[[#This Row],[Bolt Name]]="","",0.625*0.8*Bolts[[#This Row],[Bolt Fu (ksi)]])</f>
        <v/>
      </c>
      <c r="Y20" s="462" t="str">
        <f>IF(Bolts[[#This Row],[Bolt Name]]="","",0.625*Bolts[[#This Row],[Bolt Fu (ksi)]])</f>
        <v/>
      </c>
      <c r="Z20" s="462" t="str">
        <f>IF(Bolts[[#This Row],[Bolt Name]]="","",φ_bolt_shear*Bolts[[#This Row],[Rev. H FNVN]]*Bolts[[#This Row],[Area of Bolt (in2)]])</f>
        <v/>
      </c>
      <c r="AA20" s="462" t="str">
        <f>IF(Bolts[[#This Row],[Bolt Name]]="","",φ_bolt_shear*Bolts[[#This Row],[Rev. H FNVX]]*Bolts[[#This Row],[Area of Bolt (in2)]])</f>
        <v/>
      </c>
      <c r="AB20" s="462" t="str">
        <f>IF(Bolts[[#This Row],[Bolt Name]]="","",0.625*Bolts[[#This Row],[Sleeve Fu (ksi)]])</f>
        <v/>
      </c>
      <c r="AC20" s="462" t="str">
        <f>IF(Bolts[[#This Row],[Bolt Name]]="","",φ_bolt_shear*Bolts[[#This Row],[Rev. H Sleeve FNVX]]*Bolts[[#This Row],[Sleeve Area (in2)]])</f>
        <v/>
      </c>
      <c r="AD20" s="69" t="str">
        <f>IF(Bolts[[#This Row],[Bolt Name]]="","",(Bolts[[#This Row],[Rev. F RN]]+Bolts[[#This Row],[Rev. F Sleeve RN]]))</f>
        <v/>
      </c>
      <c r="AE20" s="69" t="str">
        <f>IF(Bolts[[#This Row],[Bolt Name]]="","",(Bolts[[#This Row],[Rev. F RX]]+Bolts[[#This Row],[Rev. F Sleeve RN]]))</f>
        <v/>
      </c>
      <c r="AF20" s="69" t="str">
        <f>IF(Bolts[[#This Row],[Bolt Name]]="","",Bolts[[#This Row],[Rev. G ΦRNN]]+Bolts[[#This Row],[Rev. G Sleeve ΦRNX]])</f>
        <v/>
      </c>
      <c r="AG20" s="69" t="str">
        <f>IF(Bolts[[#This Row],[Bolt Name]]="","",Bolts[[#This Row],[Rev. G ΦRNX]]+Bolts[[#This Row],[Rev. G Sleeve ΦRNX]])</f>
        <v/>
      </c>
      <c r="AH20" s="495" t="str">
        <f>IF(Bolts[[#This Row],[Bolt Name]]="","",Bolts[[#This Row],[Rev. H ΦRNN]])</f>
        <v/>
      </c>
      <c r="AI20" s="495" t="str">
        <f>IF(Bolts[[#This Row],[Bolt Name]]="","",Bolts[[#This Row],[Rev. H ΦRNX]])</f>
        <v/>
      </c>
      <c r="AJ20" s="495" t="str">
        <f>IF(Bolts[[#This Row],[Bolt Name]]="","",Bolts[[#This Row],[Rev. H Sleeve ΦRNX]])</f>
        <v/>
      </c>
      <c r="AK20" s="495" t="str">
        <f>IF(Bolts[[#This Row],[Bolt Name]]="","",Bolts[[#This Row],[Rev. H Bolt (N) Capacity]]+Bolts[[#This Row],[Rev. H Shear Sleeve Capacity]])</f>
        <v/>
      </c>
      <c r="AL20" s="495" t="str">
        <f>IF(Bolts[[#This Row],[Bolt Name]]="","",Bolts[[#This Row],[Rev. H Bolt (X) Capacity]]+Bolts[[#This Row],[Rev. H Shear Sleeve Capacity]])</f>
        <v/>
      </c>
      <c r="AM20" s="564" t="str">
        <f>IF(Bolts[[#This Row],[Bolt Name]]="","",TRUE)</f>
        <v/>
      </c>
      <c r="AN20" s="552">
        <v>16</v>
      </c>
      <c r="AO20" s="552" t="str">
        <f>IF(Bolts[[#This Row],[Bolt Name]]="","",IF(ROW(Bolts[[#This Row],[Bolt Name]])&gt;15,FALSE,TRUE))</f>
        <v/>
      </c>
      <c r="AW20" s="546"/>
      <c r="AX20" s="546"/>
      <c r="AY20" s="546"/>
      <c r="BA20" s="548"/>
      <c r="BI20" s="10"/>
      <c r="BJ20" s="10"/>
    </row>
    <row r="21" spans="2:63" s="65" customFormat="1" x14ac:dyDescent="0.2">
      <c r="B21" s="129"/>
      <c r="C21" s="129"/>
      <c r="D21" s="69"/>
      <c r="E21" s="69" t="str">
        <f>IF(Bolts[[#This Row],[Bolt Name]]="","",Bolts[[#This Row],[Bolt Diameter (in)]]*25.4)</f>
        <v/>
      </c>
      <c r="F21" s="69" t="str">
        <f>IF(Bolts[[#This Row],[Bolt Name]]="","",PI()/4*Bolts[[#This Row],[Bolt Diameter (in)]]^2)</f>
        <v/>
      </c>
      <c r="G21" s="69"/>
      <c r="H21" s="69"/>
      <c r="I21" s="69"/>
      <c r="J21" s="69" t="str">
        <f>IF(Bolts[[#This Row],[Bolt Name]]="","",PI()/4*(Bolts[[#This Row],[Sleeve Outer Diameter (in)]]^2-Bolts[[#This Row],[Sleeve Inner Diameter (in)]]^2))</f>
        <v/>
      </c>
      <c r="K21" s="69"/>
      <c r="L21" s="69" t="str">
        <f>IF(Bolts[[#This Row],[Bolt Name]]="","",IF(Bolts[[#This Row],[Bolt Fu (ksi)]]=120,21,IF(Bolts[[#This Row],[Bolt Fu (ksi)]]=150,28,"Error")))</f>
        <v/>
      </c>
      <c r="M21" s="69" t="str">
        <f>IF(Bolts[[#This Row],[Bolt Name]]="","",IF(Bolts[[#This Row],[Bolt Fu (ksi)]]=120,30,IF(Bolts[[#This Row],[Bolt Fu (ksi)]]=150,40,"Error")))</f>
        <v/>
      </c>
      <c r="N21" s="69" t="str">
        <f>IF(Bolts[[#This Row],[Bolt Name]]="","",Bolts[[#This Row],[Rev. F FVN]]*Bolts[[#This Row],[Area of Bolt (in2)]])</f>
        <v/>
      </c>
      <c r="O21" s="69" t="str">
        <f>IF(Bolts[[#This Row],[Bolt Name]]="","",Bolts[[#This Row],[Rev. F FVX]]*Bolts[[#This Row],[Area of Bolt (in2)]])</f>
        <v/>
      </c>
      <c r="P21" s="69" t="str">
        <f>IF(Bolts[[#This Row],[Bolt Name]]="","",Bolts[[#This Row],[Rev. F FVX]]*(Bolts[[#This Row],[Sleeve Fu (ksi)]]/Bolts[[#This Row],[Bolt Fu (ksi)]]))</f>
        <v/>
      </c>
      <c r="Q21" s="69" t="str">
        <f>IF(Bolts[[#This Row],[Bolt Name]]="","",Bolts[[#This Row],[Rev. F Sleeve FVX]]*Bolts[[#This Row],[Sleeve Area (in2)]])</f>
        <v/>
      </c>
      <c r="R21" s="462" t="str">
        <f>IF(Bolts[[#This Row],[Bolt Name]]="","",0.45*Bolts[[#This Row],[Bolt Fu (ksi)]])</f>
        <v/>
      </c>
      <c r="S21" s="462" t="str">
        <f>IF(Bolts[[#This Row],[Bolt Name]]="","",0.55*Bolts[[#This Row],[Bolt Fu (ksi)]])</f>
        <v/>
      </c>
      <c r="T21" s="69" t="str">
        <f>IF(Bolts[[#This Row],[Bolt Name]]="","",φ_bolt_shear*Bolts[[#This Row],[Rev. G FNVN]]*Bolts[[#This Row],[Area of Bolt (in2)]])</f>
        <v/>
      </c>
      <c r="U21" s="69" t="str">
        <f>IF(Bolts[[#This Row],[Bolt Name]]="","",φ_bolt_shear*Bolts[[#This Row],[Rev. G FNVX]]*Bolts[[#This Row],[Area of Bolt (in2)]])</f>
        <v/>
      </c>
      <c r="V21" s="69" t="str">
        <f>IF(Bolts[[#This Row],[Bolt Name]]="","",0.55*Bolts[[#This Row],[Sleeve Fu (ksi)]])</f>
        <v/>
      </c>
      <c r="W21" s="69" t="str">
        <f>IF(Bolts[[#This Row],[Bolt Name]]="","",φ_bolt_shear*Bolts[[#This Row],[Rev. G Sleeve FNVX]]*Bolts[[#This Row],[Sleeve Area (in2)]])</f>
        <v/>
      </c>
      <c r="X21" s="462" t="str">
        <f>IF(Bolts[[#This Row],[Bolt Name]]="","",0.625*0.8*Bolts[[#This Row],[Bolt Fu (ksi)]])</f>
        <v/>
      </c>
      <c r="Y21" s="462" t="str">
        <f>IF(Bolts[[#This Row],[Bolt Name]]="","",0.625*Bolts[[#This Row],[Bolt Fu (ksi)]])</f>
        <v/>
      </c>
      <c r="Z21" s="462" t="str">
        <f>IF(Bolts[[#This Row],[Bolt Name]]="","",φ_bolt_shear*Bolts[[#This Row],[Rev. H FNVN]]*Bolts[[#This Row],[Area of Bolt (in2)]])</f>
        <v/>
      </c>
      <c r="AA21" s="462" t="str">
        <f>IF(Bolts[[#This Row],[Bolt Name]]="","",φ_bolt_shear*Bolts[[#This Row],[Rev. H FNVX]]*Bolts[[#This Row],[Area of Bolt (in2)]])</f>
        <v/>
      </c>
      <c r="AB21" s="462" t="str">
        <f>IF(Bolts[[#This Row],[Bolt Name]]="","",0.625*Bolts[[#This Row],[Sleeve Fu (ksi)]])</f>
        <v/>
      </c>
      <c r="AC21" s="462" t="str">
        <f>IF(Bolts[[#This Row],[Bolt Name]]="","",φ_bolt_shear*Bolts[[#This Row],[Rev. H Sleeve FNVX]]*Bolts[[#This Row],[Sleeve Area (in2)]])</f>
        <v/>
      </c>
      <c r="AD21" s="69" t="str">
        <f>IF(Bolts[[#This Row],[Bolt Name]]="","",(Bolts[[#This Row],[Rev. F RN]]+Bolts[[#This Row],[Rev. F Sleeve RN]]))</f>
        <v/>
      </c>
      <c r="AE21" s="69" t="str">
        <f>IF(Bolts[[#This Row],[Bolt Name]]="","",(Bolts[[#This Row],[Rev. F RX]]+Bolts[[#This Row],[Rev. F Sleeve RN]]))</f>
        <v/>
      </c>
      <c r="AF21" s="69" t="str">
        <f>IF(Bolts[[#This Row],[Bolt Name]]="","",Bolts[[#This Row],[Rev. G ΦRNN]]+Bolts[[#This Row],[Rev. G Sleeve ΦRNX]])</f>
        <v/>
      </c>
      <c r="AG21" s="69" t="str">
        <f>IF(Bolts[[#This Row],[Bolt Name]]="","",Bolts[[#This Row],[Rev. G ΦRNX]]+Bolts[[#This Row],[Rev. G Sleeve ΦRNX]])</f>
        <v/>
      </c>
      <c r="AH21" s="495" t="str">
        <f>IF(Bolts[[#This Row],[Bolt Name]]="","",Bolts[[#This Row],[Rev. H ΦRNN]])</f>
        <v/>
      </c>
      <c r="AI21" s="495" t="str">
        <f>IF(Bolts[[#This Row],[Bolt Name]]="","",Bolts[[#This Row],[Rev. H ΦRNX]])</f>
        <v/>
      </c>
      <c r="AJ21" s="495" t="str">
        <f>IF(Bolts[[#This Row],[Bolt Name]]="","",Bolts[[#This Row],[Rev. H Sleeve ΦRNX]])</f>
        <v/>
      </c>
      <c r="AK21" s="495" t="str">
        <f>IF(Bolts[[#This Row],[Bolt Name]]="","",Bolts[[#This Row],[Rev. H Bolt (N) Capacity]]+Bolts[[#This Row],[Rev. H Shear Sleeve Capacity]])</f>
        <v/>
      </c>
      <c r="AL21" s="495" t="str">
        <f>IF(Bolts[[#This Row],[Bolt Name]]="","",Bolts[[#This Row],[Rev. H Bolt (X) Capacity]]+Bolts[[#This Row],[Rev. H Shear Sleeve Capacity]])</f>
        <v/>
      </c>
      <c r="AM21" s="564" t="str">
        <f>IF(Bolts[[#This Row],[Bolt Name]]="","",TRUE)</f>
        <v/>
      </c>
      <c r="AN21" s="552">
        <v>17</v>
      </c>
      <c r="AO21" s="552" t="str">
        <f>IF(Bolts[[#This Row],[Bolt Name]]="","",IF(ROW(Bolts[[#This Row],[Bolt Name]])&gt;15,FALSE,TRUE))</f>
        <v/>
      </c>
      <c r="AW21" s="546"/>
      <c r="AX21" s="546"/>
      <c r="AY21" s="546"/>
      <c r="BA21" s="548"/>
      <c r="BI21" s="10"/>
      <c r="BJ21" s="10"/>
    </row>
    <row r="22" spans="2:63" s="65" customFormat="1" x14ac:dyDescent="0.2">
      <c r="B22" s="589"/>
      <c r="C22" s="589"/>
      <c r="D22" s="69"/>
      <c r="E22" s="69" t="str">
        <f>IF(Bolts[[#This Row],[Bolt Name]]="","",Bolts[[#This Row],[Bolt Diameter (in)]]*25.4)</f>
        <v/>
      </c>
      <c r="F22" s="69" t="str">
        <f>IF(Bolts[[#This Row],[Bolt Name]]="","",PI()/4*Bolts[[#This Row],[Bolt Diameter (in)]]^2)</f>
        <v/>
      </c>
      <c r="G22" s="69"/>
      <c r="H22" s="69"/>
      <c r="I22" s="69"/>
      <c r="J22" s="69" t="str">
        <f>IF(Bolts[[#This Row],[Bolt Name]]="","",PI()/4*(Bolts[[#This Row],[Sleeve Outer Diameter (in)]]^2-Bolts[[#This Row],[Sleeve Inner Diameter (in)]]^2))</f>
        <v/>
      </c>
      <c r="K22" s="69"/>
      <c r="L22" s="69" t="str">
        <f>IF(Bolts[[#This Row],[Bolt Name]]="","",IF(Bolts[[#This Row],[Bolt Fu (ksi)]]=120,21,IF(Bolts[[#This Row],[Bolt Fu (ksi)]]=150,28,"Error")))</f>
        <v/>
      </c>
      <c r="M22" s="69" t="str">
        <f>IF(Bolts[[#This Row],[Bolt Name]]="","",IF(Bolts[[#This Row],[Bolt Fu (ksi)]]=120,30,IF(Bolts[[#This Row],[Bolt Fu (ksi)]]=150,40,"Error")))</f>
        <v/>
      </c>
      <c r="N22" s="69" t="str">
        <f>IF(Bolts[[#This Row],[Bolt Name]]="","",Bolts[[#This Row],[Rev. F FVN]]*Bolts[[#This Row],[Area of Bolt (in2)]])</f>
        <v/>
      </c>
      <c r="O22" s="69" t="str">
        <f>IF(Bolts[[#This Row],[Bolt Name]]="","",Bolts[[#This Row],[Rev. F FVX]]*Bolts[[#This Row],[Area of Bolt (in2)]])</f>
        <v/>
      </c>
      <c r="P22" s="69" t="str">
        <f>IF(Bolts[[#This Row],[Bolt Name]]="","",Bolts[[#This Row],[Rev. F FVX]]*(Bolts[[#This Row],[Sleeve Fu (ksi)]]/Bolts[[#This Row],[Bolt Fu (ksi)]]))</f>
        <v/>
      </c>
      <c r="Q22" s="69" t="str">
        <f>IF(Bolts[[#This Row],[Bolt Name]]="","",Bolts[[#This Row],[Rev. F Sleeve FVX]]*Bolts[[#This Row],[Sleeve Area (in2)]])</f>
        <v/>
      </c>
      <c r="R22" s="462" t="str">
        <f>IF(Bolts[[#This Row],[Bolt Name]]="","",0.45*Bolts[[#This Row],[Bolt Fu (ksi)]])</f>
        <v/>
      </c>
      <c r="S22" s="462" t="str">
        <f>IF(Bolts[[#This Row],[Bolt Name]]="","",0.55*Bolts[[#This Row],[Bolt Fu (ksi)]])</f>
        <v/>
      </c>
      <c r="T22" s="69" t="str">
        <f>IF(Bolts[[#This Row],[Bolt Name]]="","",φ_bolt_shear*Bolts[[#This Row],[Rev. G FNVN]]*Bolts[[#This Row],[Area of Bolt (in2)]])</f>
        <v/>
      </c>
      <c r="U22" s="69" t="str">
        <f>IF(Bolts[[#This Row],[Bolt Name]]="","",φ_bolt_shear*Bolts[[#This Row],[Rev. G FNVX]]*Bolts[[#This Row],[Area of Bolt (in2)]])</f>
        <v/>
      </c>
      <c r="V22" s="69" t="str">
        <f>IF(Bolts[[#This Row],[Bolt Name]]="","",0.55*Bolts[[#This Row],[Sleeve Fu (ksi)]])</f>
        <v/>
      </c>
      <c r="W22" s="69" t="str">
        <f>IF(Bolts[[#This Row],[Bolt Name]]="","",φ_bolt_shear*Bolts[[#This Row],[Rev. G Sleeve FNVX]]*Bolts[[#This Row],[Sleeve Area (in2)]])</f>
        <v/>
      </c>
      <c r="X22" s="462" t="str">
        <f>IF(Bolts[[#This Row],[Bolt Name]]="","",0.625*0.8*Bolts[[#This Row],[Bolt Fu (ksi)]])</f>
        <v/>
      </c>
      <c r="Y22" s="462" t="str">
        <f>IF(Bolts[[#This Row],[Bolt Name]]="","",0.625*Bolts[[#This Row],[Bolt Fu (ksi)]])</f>
        <v/>
      </c>
      <c r="Z22" s="462" t="str">
        <f>IF(Bolts[[#This Row],[Bolt Name]]="","",φ_bolt_shear*Bolts[[#This Row],[Rev. H FNVN]]*Bolts[[#This Row],[Area of Bolt (in2)]])</f>
        <v/>
      </c>
      <c r="AA22" s="462" t="str">
        <f>IF(Bolts[[#This Row],[Bolt Name]]="","",φ_bolt_shear*Bolts[[#This Row],[Rev. H FNVX]]*Bolts[[#This Row],[Area of Bolt (in2)]])</f>
        <v/>
      </c>
      <c r="AB22" s="462" t="str">
        <f>IF(Bolts[[#This Row],[Bolt Name]]="","",0.625*Bolts[[#This Row],[Sleeve Fu (ksi)]])</f>
        <v/>
      </c>
      <c r="AC22" s="462" t="str">
        <f>IF(Bolts[[#This Row],[Bolt Name]]="","",φ_bolt_shear*Bolts[[#This Row],[Rev. H Sleeve FNVX]]*Bolts[[#This Row],[Sleeve Area (in2)]])</f>
        <v/>
      </c>
      <c r="AD22" s="69" t="str">
        <f>IF(Bolts[[#This Row],[Bolt Name]]="","",(Bolts[[#This Row],[Rev. F RN]]+Bolts[[#This Row],[Rev. F Sleeve RN]]))</f>
        <v/>
      </c>
      <c r="AE22" s="69" t="str">
        <f>IF(Bolts[[#This Row],[Bolt Name]]="","",(Bolts[[#This Row],[Rev. F RX]]+Bolts[[#This Row],[Rev. F Sleeve RN]]))</f>
        <v/>
      </c>
      <c r="AF22" s="69" t="str">
        <f>IF(Bolts[[#This Row],[Bolt Name]]="","",Bolts[[#This Row],[Rev. G ΦRNN]]+Bolts[[#This Row],[Rev. G Sleeve ΦRNX]])</f>
        <v/>
      </c>
      <c r="AG22" s="69" t="str">
        <f>IF(Bolts[[#This Row],[Bolt Name]]="","",Bolts[[#This Row],[Rev. G ΦRNX]]+Bolts[[#This Row],[Rev. G Sleeve ΦRNX]])</f>
        <v/>
      </c>
      <c r="AH22" s="495" t="str">
        <f>IF(Bolts[[#This Row],[Bolt Name]]="","",Bolts[[#This Row],[Rev. H ΦRNN]])</f>
        <v/>
      </c>
      <c r="AI22" s="495" t="str">
        <f>IF(Bolts[[#This Row],[Bolt Name]]="","",Bolts[[#This Row],[Rev. H ΦRNX]])</f>
        <v/>
      </c>
      <c r="AJ22" s="495" t="str">
        <f>IF(Bolts[[#This Row],[Bolt Name]]="","",Bolts[[#This Row],[Rev. H Sleeve ΦRNX]])</f>
        <v/>
      </c>
      <c r="AK22" s="495" t="str">
        <f>IF(Bolts[[#This Row],[Bolt Name]]="","",Bolts[[#This Row],[Rev. H Bolt (N) Capacity]]+Bolts[[#This Row],[Rev. H Shear Sleeve Capacity]])</f>
        <v/>
      </c>
      <c r="AL22" s="495" t="str">
        <f>IF(Bolts[[#This Row],[Bolt Name]]="","",Bolts[[#This Row],[Rev. H Bolt (X) Capacity]]+Bolts[[#This Row],[Rev. H Shear Sleeve Capacity]])</f>
        <v/>
      </c>
      <c r="AM22" s="564" t="str">
        <f>IF(Bolts[[#This Row],[Bolt Name]]="","",TRUE)</f>
        <v/>
      </c>
      <c r="AN22" s="552">
        <v>18</v>
      </c>
      <c r="AO22" s="552" t="str">
        <f>IF(Bolts[[#This Row],[Bolt Name]]="","",IF(ROW(Bolts[[#This Row],[Bolt Name]])&gt;15,FALSE,TRUE))</f>
        <v/>
      </c>
      <c r="AW22" s="585"/>
      <c r="AX22" s="585"/>
      <c r="AY22" s="585"/>
      <c r="BA22" s="548"/>
      <c r="BI22" s="10"/>
      <c r="BJ22" s="10"/>
    </row>
    <row r="23" spans="2:63" s="65" customFormat="1" x14ac:dyDescent="0.2">
      <c r="B23" s="129"/>
      <c r="C23" s="129"/>
      <c r="D23" s="69"/>
      <c r="E23" s="69" t="str">
        <f>IF(Bolts[[#This Row],[Bolt Name]]="","",Bolts[[#This Row],[Bolt Diameter (in)]]*25.4)</f>
        <v/>
      </c>
      <c r="F23" s="69" t="str">
        <f>IF(Bolts[[#This Row],[Bolt Name]]="","",PI()/4*Bolts[[#This Row],[Bolt Diameter (in)]]^2)</f>
        <v/>
      </c>
      <c r="G23" s="69"/>
      <c r="H23" s="69"/>
      <c r="I23" s="69"/>
      <c r="J23" s="69" t="str">
        <f>IF(Bolts[[#This Row],[Bolt Name]]="","",PI()/4*(Bolts[[#This Row],[Sleeve Outer Diameter (in)]]^2-Bolts[[#This Row],[Sleeve Inner Diameter (in)]]^2))</f>
        <v/>
      </c>
      <c r="K23" s="69"/>
      <c r="L23" s="69" t="str">
        <f>IF(Bolts[[#This Row],[Bolt Name]]="","",IF(Bolts[[#This Row],[Bolt Fu (ksi)]]=120,21,IF(Bolts[[#This Row],[Bolt Fu (ksi)]]=150,28,"Error")))</f>
        <v/>
      </c>
      <c r="M23" s="69" t="str">
        <f>IF(Bolts[[#This Row],[Bolt Name]]="","",IF(Bolts[[#This Row],[Bolt Fu (ksi)]]=120,30,IF(Bolts[[#This Row],[Bolt Fu (ksi)]]=150,40,"Error")))</f>
        <v/>
      </c>
      <c r="N23" s="69" t="str">
        <f>IF(Bolts[[#This Row],[Bolt Name]]="","",Bolts[[#This Row],[Rev. F FVN]]*Bolts[[#This Row],[Area of Bolt (in2)]])</f>
        <v/>
      </c>
      <c r="O23" s="69" t="str">
        <f>IF(Bolts[[#This Row],[Bolt Name]]="","",Bolts[[#This Row],[Rev. F FVX]]*Bolts[[#This Row],[Area of Bolt (in2)]])</f>
        <v/>
      </c>
      <c r="P23" s="69" t="str">
        <f>IF(Bolts[[#This Row],[Bolt Name]]="","",Bolts[[#This Row],[Rev. F FVX]]*(Bolts[[#This Row],[Sleeve Fu (ksi)]]/Bolts[[#This Row],[Bolt Fu (ksi)]]))</f>
        <v/>
      </c>
      <c r="Q23" s="69" t="str">
        <f>IF(Bolts[[#This Row],[Bolt Name]]="","",Bolts[[#This Row],[Rev. F Sleeve FVX]]*Bolts[[#This Row],[Sleeve Area (in2)]])</f>
        <v/>
      </c>
      <c r="R23" s="462" t="str">
        <f>IF(Bolts[[#This Row],[Bolt Name]]="","",0.45*Bolts[[#This Row],[Bolt Fu (ksi)]])</f>
        <v/>
      </c>
      <c r="S23" s="462" t="str">
        <f>IF(Bolts[[#This Row],[Bolt Name]]="","",0.55*Bolts[[#This Row],[Bolt Fu (ksi)]])</f>
        <v/>
      </c>
      <c r="T23" s="69" t="str">
        <f>IF(Bolts[[#This Row],[Bolt Name]]="","",φ_bolt_shear*Bolts[[#This Row],[Rev. G FNVN]]*Bolts[[#This Row],[Area of Bolt (in2)]])</f>
        <v/>
      </c>
      <c r="U23" s="69" t="str">
        <f>IF(Bolts[[#This Row],[Bolt Name]]="","",φ_bolt_shear*Bolts[[#This Row],[Rev. G FNVX]]*Bolts[[#This Row],[Area of Bolt (in2)]])</f>
        <v/>
      </c>
      <c r="V23" s="69" t="str">
        <f>IF(Bolts[[#This Row],[Bolt Name]]="","",0.55*Bolts[[#This Row],[Sleeve Fu (ksi)]])</f>
        <v/>
      </c>
      <c r="W23" s="69" t="str">
        <f>IF(Bolts[[#This Row],[Bolt Name]]="","",φ_bolt_shear*Bolts[[#This Row],[Rev. G Sleeve FNVX]]*Bolts[[#This Row],[Sleeve Area (in2)]])</f>
        <v/>
      </c>
      <c r="X23" s="462" t="str">
        <f>IF(Bolts[[#This Row],[Bolt Name]]="","",0.625*0.8*Bolts[[#This Row],[Bolt Fu (ksi)]])</f>
        <v/>
      </c>
      <c r="Y23" s="462" t="str">
        <f>IF(Bolts[[#This Row],[Bolt Name]]="","",0.625*Bolts[[#This Row],[Bolt Fu (ksi)]])</f>
        <v/>
      </c>
      <c r="Z23" s="462" t="str">
        <f>IF(Bolts[[#This Row],[Bolt Name]]="","",φ_bolt_shear*Bolts[[#This Row],[Rev. H FNVN]]*Bolts[[#This Row],[Area of Bolt (in2)]])</f>
        <v/>
      </c>
      <c r="AA23" s="462" t="str">
        <f>IF(Bolts[[#This Row],[Bolt Name]]="","",φ_bolt_shear*Bolts[[#This Row],[Rev. H FNVX]]*Bolts[[#This Row],[Area of Bolt (in2)]])</f>
        <v/>
      </c>
      <c r="AB23" s="462" t="str">
        <f>IF(Bolts[[#This Row],[Bolt Name]]="","",0.625*Bolts[[#This Row],[Sleeve Fu (ksi)]])</f>
        <v/>
      </c>
      <c r="AC23" s="462" t="str">
        <f>IF(Bolts[[#This Row],[Bolt Name]]="","",φ_bolt_shear*Bolts[[#This Row],[Rev. H Sleeve FNVX]]*Bolts[[#This Row],[Sleeve Area (in2)]])</f>
        <v/>
      </c>
      <c r="AD23" s="69" t="str">
        <f>IF(Bolts[[#This Row],[Bolt Name]]="","",(Bolts[[#This Row],[Rev. F RN]]+Bolts[[#This Row],[Rev. F Sleeve RN]]))</f>
        <v/>
      </c>
      <c r="AE23" s="69" t="str">
        <f>IF(Bolts[[#This Row],[Bolt Name]]="","",(Bolts[[#This Row],[Rev. F RX]]+Bolts[[#This Row],[Rev. F Sleeve RN]]))</f>
        <v/>
      </c>
      <c r="AF23" s="69" t="str">
        <f>IF(Bolts[[#This Row],[Bolt Name]]="","",Bolts[[#This Row],[Rev. G ΦRNN]]+Bolts[[#This Row],[Rev. G Sleeve ΦRNX]])</f>
        <v/>
      </c>
      <c r="AG23" s="69" t="str">
        <f>IF(Bolts[[#This Row],[Bolt Name]]="","",Bolts[[#This Row],[Rev. G ΦRNX]]+Bolts[[#This Row],[Rev. G Sleeve ΦRNX]])</f>
        <v/>
      </c>
      <c r="AH23" s="495" t="str">
        <f>IF(Bolts[[#This Row],[Bolt Name]]="","",Bolts[[#This Row],[Rev. H ΦRNN]])</f>
        <v/>
      </c>
      <c r="AI23" s="495" t="str">
        <f>IF(Bolts[[#This Row],[Bolt Name]]="","",Bolts[[#This Row],[Rev. H ΦRNX]])</f>
        <v/>
      </c>
      <c r="AJ23" s="495" t="str">
        <f>IF(Bolts[[#This Row],[Bolt Name]]="","",Bolts[[#This Row],[Rev. H Sleeve ΦRNX]])</f>
        <v/>
      </c>
      <c r="AK23" s="495" t="str">
        <f>IF(Bolts[[#This Row],[Bolt Name]]="","",Bolts[[#This Row],[Rev. H Bolt (N) Capacity]]+Bolts[[#This Row],[Rev. H Shear Sleeve Capacity]])</f>
        <v/>
      </c>
      <c r="AL23" s="495" t="str">
        <f>IF(Bolts[[#This Row],[Bolt Name]]="","",Bolts[[#This Row],[Rev. H Bolt (X) Capacity]]+Bolts[[#This Row],[Rev. H Shear Sleeve Capacity]])</f>
        <v/>
      </c>
      <c r="AM23" s="564" t="str">
        <f>IF(Bolts[[#This Row],[Bolt Name]]="","",TRUE)</f>
        <v/>
      </c>
      <c r="AN23" s="552">
        <v>19</v>
      </c>
      <c r="AO23" s="552" t="str">
        <f>IF(Bolts[[#This Row],[Bolt Name]]="","",IF(ROW(Bolts[[#This Row],[Bolt Name]])&gt;15,FALSE,TRUE))</f>
        <v/>
      </c>
      <c r="AW23" s="546"/>
      <c r="AX23" s="546"/>
      <c r="AY23" s="546"/>
      <c r="BA23" s="548"/>
      <c r="BI23" s="10"/>
      <c r="BJ23" s="10"/>
    </row>
    <row r="24" spans="2:63" x14ac:dyDescent="0.2">
      <c r="B24" s="129"/>
      <c r="C24" s="129"/>
      <c r="D24" s="69"/>
      <c r="E24" s="69" t="str">
        <f>IF(Bolts[[#This Row],[Bolt Name]]="","",Bolts[[#This Row],[Bolt Diameter (in)]]*25.4)</f>
        <v/>
      </c>
      <c r="F24" s="69" t="str">
        <f>IF(Bolts[[#This Row],[Bolt Name]]="","",PI()/4*Bolts[[#This Row],[Bolt Diameter (in)]]^2)</f>
        <v/>
      </c>
      <c r="G24" s="69"/>
      <c r="H24" s="69"/>
      <c r="I24" s="69"/>
      <c r="J24" s="69" t="str">
        <f>IF(Bolts[[#This Row],[Bolt Name]]="","",PI()/4*(Bolts[[#This Row],[Sleeve Outer Diameter (in)]]^2-Bolts[[#This Row],[Sleeve Inner Diameter (in)]]^2))</f>
        <v/>
      </c>
      <c r="K24" s="69"/>
      <c r="L24" s="69" t="str">
        <f>IF(Bolts[[#This Row],[Bolt Name]]="","",IF(Bolts[[#This Row],[Bolt Fu (ksi)]]=120,21,IF(Bolts[[#This Row],[Bolt Fu (ksi)]]=150,28,"Error")))</f>
        <v/>
      </c>
      <c r="M24" s="69" t="str">
        <f>IF(Bolts[[#This Row],[Bolt Name]]="","",IF(Bolts[[#This Row],[Bolt Fu (ksi)]]=120,30,IF(Bolts[[#This Row],[Bolt Fu (ksi)]]=150,40,"Error")))</f>
        <v/>
      </c>
      <c r="N24" s="69" t="str">
        <f>IF(Bolts[[#This Row],[Bolt Name]]="","",Bolts[[#This Row],[Rev. F FVN]]*Bolts[[#This Row],[Area of Bolt (in2)]])</f>
        <v/>
      </c>
      <c r="O24" s="69" t="str">
        <f>IF(Bolts[[#This Row],[Bolt Name]]="","",Bolts[[#This Row],[Rev. F FVX]]*Bolts[[#This Row],[Area of Bolt (in2)]])</f>
        <v/>
      </c>
      <c r="P24" s="69" t="str">
        <f>IF(Bolts[[#This Row],[Bolt Name]]="","",Bolts[[#This Row],[Rev. F FVX]]*(Bolts[[#This Row],[Sleeve Fu (ksi)]]/Bolts[[#This Row],[Bolt Fu (ksi)]]))</f>
        <v/>
      </c>
      <c r="Q24" s="69" t="str">
        <f>IF(Bolts[[#This Row],[Bolt Name]]="","",Bolts[[#This Row],[Rev. F Sleeve FVX]]*Bolts[[#This Row],[Sleeve Area (in2)]])</f>
        <v/>
      </c>
      <c r="R24" s="462" t="str">
        <f>IF(Bolts[[#This Row],[Bolt Name]]="","",0.45*Bolts[[#This Row],[Bolt Fu (ksi)]])</f>
        <v/>
      </c>
      <c r="S24" s="462" t="str">
        <f>IF(Bolts[[#This Row],[Bolt Name]]="","",0.55*Bolts[[#This Row],[Bolt Fu (ksi)]])</f>
        <v/>
      </c>
      <c r="T24" s="69" t="str">
        <f>IF(Bolts[[#This Row],[Bolt Name]]="","",φ_bolt_shear*Bolts[[#This Row],[Rev. G FNVN]]*Bolts[[#This Row],[Area of Bolt (in2)]])</f>
        <v/>
      </c>
      <c r="U24" s="69" t="str">
        <f>IF(Bolts[[#This Row],[Bolt Name]]="","",φ_bolt_shear*Bolts[[#This Row],[Rev. G FNVX]]*Bolts[[#This Row],[Area of Bolt (in2)]])</f>
        <v/>
      </c>
      <c r="V24" s="69" t="str">
        <f>IF(Bolts[[#This Row],[Bolt Name]]="","",0.55*Bolts[[#This Row],[Sleeve Fu (ksi)]])</f>
        <v/>
      </c>
      <c r="W24" s="69" t="str">
        <f>IF(Bolts[[#This Row],[Bolt Name]]="","",φ_bolt_shear*Bolts[[#This Row],[Rev. G Sleeve FNVX]]*Bolts[[#This Row],[Sleeve Area (in2)]])</f>
        <v/>
      </c>
      <c r="X24" s="462" t="str">
        <f>IF(Bolts[[#This Row],[Bolt Name]]="","",0.625*0.8*Bolts[[#This Row],[Bolt Fu (ksi)]])</f>
        <v/>
      </c>
      <c r="Y24" s="462" t="str">
        <f>IF(Bolts[[#This Row],[Bolt Name]]="","",0.625*Bolts[[#This Row],[Bolt Fu (ksi)]])</f>
        <v/>
      </c>
      <c r="Z24" s="462" t="str">
        <f>IF(Bolts[[#This Row],[Bolt Name]]="","",φ_bolt_shear*Bolts[[#This Row],[Rev. H FNVN]]*Bolts[[#This Row],[Area of Bolt (in2)]])</f>
        <v/>
      </c>
      <c r="AA24" s="462" t="str">
        <f>IF(Bolts[[#This Row],[Bolt Name]]="","",φ_bolt_shear*Bolts[[#This Row],[Rev. H FNVX]]*Bolts[[#This Row],[Area of Bolt (in2)]])</f>
        <v/>
      </c>
      <c r="AB24" s="462" t="str">
        <f>IF(Bolts[[#This Row],[Bolt Name]]="","",0.625*Bolts[[#This Row],[Sleeve Fu (ksi)]])</f>
        <v/>
      </c>
      <c r="AC24" s="462" t="str">
        <f>IF(Bolts[[#This Row],[Bolt Name]]="","",φ_bolt_shear*Bolts[[#This Row],[Rev. H Sleeve FNVX]]*Bolts[[#This Row],[Sleeve Area (in2)]])</f>
        <v/>
      </c>
      <c r="AD24" s="69" t="str">
        <f>IF(Bolts[[#This Row],[Bolt Name]]="","",(Bolts[[#This Row],[Rev. F RN]]+Bolts[[#This Row],[Rev. F Sleeve RN]]))</f>
        <v/>
      </c>
      <c r="AE24" s="69" t="str">
        <f>IF(Bolts[[#This Row],[Bolt Name]]="","",(Bolts[[#This Row],[Rev. F RX]]+Bolts[[#This Row],[Rev. F Sleeve RN]]))</f>
        <v/>
      </c>
      <c r="AF24" s="69" t="str">
        <f>IF(Bolts[[#This Row],[Bolt Name]]="","",Bolts[[#This Row],[Rev. G ΦRNN]]+Bolts[[#This Row],[Rev. G Sleeve ΦRNX]])</f>
        <v/>
      </c>
      <c r="AG24" s="69" t="str">
        <f>IF(Bolts[[#This Row],[Bolt Name]]="","",Bolts[[#This Row],[Rev. G ΦRNX]]+Bolts[[#This Row],[Rev. G Sleeve ΦRNX]])</f>
        <v/>
      </c>
      <c r="AH24" s="495" t="str">
        <f>IF(Bolts[[#This Row],[Bolt Name]]="","",Bolts[[#This Row],[Rev. H ΦRNN]])</f>
        <v/>
      </c>
      <c r="AI24" s="495" t="str">
        <f>IF(Bolts[[#This Row],[Bolt Name]]="","",Bolts[[#This Row],[Rev. H ΦRNX]])</f>
        <v/>
      </c>
      <c r="AJ24" s="495" t="str">
        <f>IF(Bolts[[#This Row],[Bolt Name]]="","",Bolts[[#This Row],[Rev. H Sleeve ΦRNX]])</f>
        <v/>
      </c>
      <c r="AK24" s="495" t="str">
        <f>IF(Bolts[[#This Row],[Bolt Name]]="","",Bolts[[#This Row],[Rev. H Bolt (N) Capacity]]+Bolts[[#This Row],[Rev. H Shear Sleeve Capacity]])</f>
        <v/>
      </c>
      <c r="AL24" s="495" t="str">
        <f>IF(Bolts[[#This Row],[Bolt Name]]="","",Bolts[[#This Row],[Rev. H Bolt (X) Capacity]]+Bolts[[#This Row],[Rev. H Shear Sleeve Capacity]])</f>
        <v/>
      </c>
      <c r="AM24" s="564" t="str">
        <f>IF(Bolts[[#This Row],[Bolt Name]]="","",TRUE)</f>
        <v/>
      </c>
      <c r="AN24" s="552">
        <v>20</v>
      </c>
      <c r="AO24" s="552" t="str">
        <f>IF(Bolts[[#This Row],[Bolt Name]]="","",IF(ROW(Bolts[[#This Row],[Bolt Name]])&gt;15,FALSE,TRUE))</f>
        <v/>
      </c>
      <c r="AZ24" s="65"/>
      <c r="BE24" s="65"/>
      <c r="BF24" s="65"/>
      <c r="BI24" s="10"/>
      <c r="BJ24" s="10"/>
      <c r="BK24" s="65"/>
    </row>
    <row r="25" spans="2:63" x14ac:dyDescent="0.2">
      <c r="AF25" s="559"/>
      <c r="AG25" s="559"/>
      <c r="AH25" s="559"/>
      <c r="AI25" s="559"/>
      <c r="AJ25" s="559"/>
      <c r="AK25" s="559"/>
      <c r="AL25" s="559"/>
    </row>
    <row r="26" spans="2:63" x14ac:dyDescent="0.2">
      <c r="B26" s="548" t="s">
        <v>965</v>
      </c>
    </row>
    <row r="27" spans="2:63" x14ac:dyDescent="0.2">
      <c r="B27" s="66" t="s">
        <v>964</v>
      </c>
    </row>
    <row r="28" spans="2:63" x14ac:dyDescent="0.2">
      <c r="B28" t="s">
        <v>615</v>
      </c>
    </row>
    <row r="29" spans="2:63" x14ac:dyDescent="0.2">
      <c r="B29" s="572" t="s">
        <v>1016</v>
      </c>
      <c r="M29" s="65"/>
    </row>
    <row r="30" spans="2:63" x14ac:dyDescent="0.2">
      <c r="B30" s="571"/>
    </row>
    <row r="31" spans="2:63" x14ac:dyDescent="0.2">
      <c r="C31"/>
    </row>
    <row r="32" spans="2:63" x14ac:dyDescent="0.2">
      <c r="C32"/>
      <c r="Y32"/>
      <c r="Z32" s="65"/>
      <c r="AA32" s="65"/>
      <c r="AB32" s="65"/>
      <c r="AD32" s="65"/>
      <c r="AE32" s="65"/>
    </row>
    <row r="33" spans="3:31" x14ac:dyDescent="0.2">
      <c r="C33" s="66"/>
    </row>
    <row r="34" spans="3:31" x14ac:dyDescent="0.2">
      <c r="C34"/>
      <c r="AE34" s="65"/>
    </row>
    <row r="35" spans="3:31" x14ac:dyDescent="0.2">
      <c r="AD35" s="65"/>
    </row>
  </sheetData>
  <sheetProtection algorithmName="SHA-512" hashValue="P3ll4tk0x4yM9rAEugA1XPkEnVbV1Dt3Zbu+c+lhhmcFzWFNng2zoLw/ZxckpXII9SgMmsQw2WxXhK39g0XV4w==" saltValue="DOYIclc76W4m5dCwbnGZrg==" spinCount="100000" sheet="1" objects="1" scenarios="1"/>
  <dataValidations count="1">
    <dataValidation type="list" allowBlank="1" showInputMessage="1" showErrorMessage="1" sqref="AM4:AM24" xr:uid="{6C6B5E13-F25D-4E50-BB59-CFE078E2601E}">
      <formula1>"TRUE, FALSE"</formula1>
    </dataValidation>
  </dataValidations>
  <hyperlinks>
    <hyperlink ref="B29" r:id="rId1" xr:uid="{1EAD46C2-7C99-482E-8406-E1FADE4A2842}"/>
  </hyperlinks>
  <pageMargins left="0.7" right="0.7" top="0.75" bottom="0.75" header="0.3" footer="0.3"/>
  <pageSetup orientation="portrait" horizontalDpi="90" verticalDpi="90"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DM289"/>
  <sheetViews>
    <sheetView topLeftCell="AY37" zoomScale="85" zoomScaleNormal="85" workbookViewId="0">
      <selection activeCell="BV60" sqref="BV60"/>
    </sheetView>
  </sheetViews>
  <sheetFormatPr defaultColWidth="9.140625" defaultRowHeight="12.75" x14ac:dyDescent="0.2"/>
  <cols>
    <col min="1" max="2" width="11.5703125" style="256" customWidth="1"/>
    <col min="3" max="3" width="13.140625" style="256" customWidth="1"/>
    <col min="4" max="4" width="12.42578125" style="256" customWidth="1"/>
    <col min="5" max="5" width="10.7109375" style="256" customWidth="1"/>
    <col min="6" max="6" width="15" style="256" customWidth="1"/>
    <col min="7" max="7" width="10.7109375" style="256" customWidth="1"/>
    <col min="8" max="8" width="14.42578125" style="256" customWidth="1"/>
    <col min="9" max="13" width="10.7109375" style="256" customWidth="1"/>
    <col min="14" max="14" width="14" style="256" customWidth="1"/>
    <col min="15" max="15" width="10.7109375" style="256" customWidth="1"/>
    <col min="16" max="16" width="12.7109375" style="256" customWidth="1"/>
    <col min="17" max="20" width="10.7109375" style="256" customWidth="1"/>
    <col min="21" max="21" width="11.28515625" style="256" customWidth="1"/>
    <col min="22" max="25" width="10.7109375" style="256" customWidth="1"/>
    <col min="26" max="26" width="11.85546875" style="256" customWidth="1"/>
    <col min="27" max="27" width="13.28515625" style="256" customWidth="1"/>
    <col min="28" max="28" width="11.42578125" style="256" customWidth="1"/>
    <col min="29" max="29" width="13.28515625" style="256" customWidth="1"/>
    <col min="30" max="30" width="14.85546875" style="256" customWidth="1"/>
    <col min="31" max="36" width="10.7109375" style="256" customWidth="1"/>
    <col min="37" max="38" width="12.5703125" style="256" customWidth="1"/>
    <col min="39" max="39" width="12.140625" style="256" customWidth="1"/>
    <col min="40" max="40" width="9.7109375" style="256" customWidth="1"/>
    <col min="41" max="42" width="10.7109375" style="256" customWidth="1"/>
    <col min="43" max="43" width="12.42578125" style="256" customWidth="1"/>
    <col min="44" max="45" width="10.7109375" style="256" customWidth="1"/>
    <col min="46" max="46" width="12.5703125" style="66" customWidth="1"/>
    <col min="47" max="50" width="10.7109375" style="256" customWidth="1"/>
    <col min="51" max="51" width="14.85546875" style="256" customWidth="1"/>
    <col min="52" max="52" width="14.28515625" style="256" customWidth="1"/>
    <col min="53" max="55" width="10.7109375" style="256" customWidth="1"/>
    <col min="56" max="56" width="12.42578125" style="256" customWidth="1"/>
    <col min="57" max="58" width="10.7109375" style="256" customWidth="1"/>
    <col min="59" max="59" width="13.140625" style="256" customWidth="1"/>
    <col min="60" max="60" width="14.7109375" style="256" customWidth="1"/>
    <col min="61" max="61" width="10.7109375" style="256" customWidth="1"/>
    <col min="62" max="62" width="14.140625" style="256" customWidth="1"/>
    <col min="63" max="63" width="10.7109375" style="256" customWidth="1"/>
    <col min="64" max="64" width="11.5703125" style="66" customWidth="1"/>
    <col min="65" max="67" width="10.7109375" style="256" customWidth="1"/>
    <col min="68" max="68" width="13" style="66" bestFit="1" customWidth="1"/>
    <col min="69" max="69" width="15.7109375" style="66" customWidth="1"/>
    <col min="70" max="70" width="32.140625" style="66" customWidth="1"/>
    <col min="71" max="72" width="9.140625" style="66"/>
    <col min="73" max="73" width="10.42578125" style="66" customWidth="1"/>
    <col min="74" max="74" width="10.7109375" style="66" customWidth="1"/>
    <col min="75" max="75" width="9.140625" style="66"/>
    <col min="76" max="76" width="10.28515625" style="66" customWidth="1"/>
    <col min="77" max="77" width="9.140625" style="66"/>
    <col min="78" max="78" width="0" style="66" hidden="1" customWidth="1"/>
    <col min="79" max="79" width="9.140625" style="66"/>
    <col min="80" max="80" width="12.7109375" style="66" customWidth="1"/>
    <col min="81" max="81" width="13" style="66" customWidth="1"/>
    <col min="82" max="82" width="9.140625" style="66"/>
    <col min="83" max="83" width="13.5703125" style="66" hidden="1" customWidth="1"/>
    <col min="84" max="84" width="0" style="66" hidden="1" customWidth="1"/>
    <col min="85" max="87" width="9.140625" style="66"/>
    <col min="88" max="90" width="9.140625" style="256"/>
    <col min="91" max="91" width="10.7109375" style="256" customWidth="1"/>
    <col min="92" max="92" width="9.5703125" style="256" customWidth="1"/>
    <col min="93" max="93" width="9.140625" style="256"/>
    <col min="94" max="94" width="10.28515625" style="256" customWidth="1"/>
    <col min="95" max="96" width="9.140625" style="256"/>
    <col min="97" max="101" width="10.28515625" style="256" customWidth="1"/>
    <col min="102" max="102" width="10.140625" style="256" customWidth="1"/>
    <col min="103" max="103" width="9.140625" style="256"/>
    <col min="104" max="105" width="10.7109375" style="256" customWidth="1"/>
    <col min="106" max="107" width="9.140625" style="256"/>
    <col min="108" max="108" width="9.7109375" style="256" customWidth="1"/>
    <col min="109" max="109" width="10.140625" style="256" customWidth="1"/>
    <col min="110" max="113" width="9.140625" style="256"/>
    <col min="114" max="114" width="11.28515625" style="256" hidden="1" customWidth="1"/>
    <col min="115" max="16384" width="9.140625" style="256"/>
  </cols>
  <sheetData>
    <row r="1" spans="1:70" ht="60" customHeight="1" x14ac:dyDescent="0.25">
      <c r="A1" s="864" t="s">
        <v>81</v>
      </c>
      <c r="B1" s="864"/>
      <c r="C1" s="864"/>
      <c r="D1" s="864"/>
      <c r="E1" s="320" t="str">
        <f>"               (Rev. "&amp;Rev&amp;")"</f>
        <v xml:space="preserve">               (Rev. H)</v>
      </c>
      <c r="AO1" s="257"/>
      <c r="AP1" s="257"/>
      <c r="AQ1" s="257"/>
      <c r="AR1" s="257"/>
      <c r="AS1" s="257"/>
      <c r="AT1" s="30"/>
      <c r="AU1" s="257"/>
      <c r="AV1" s="257"/>
      <c r="AW1" s="257"/>
      <c r="AX1" s="257"/>
      <c r="AY1" s="257"/>
      <c r="AZ1" s="257"/>
      <c r="BA1" s="257"/>
      <c r="BB1" s="257"/>
      <c r="BC1" s="257"/>
    </row>
    <row r="2" spans="1:70" ht="21.75" thickBot="1" x14ac:dyDescent="0.4">
      <c r="A2" s="258"/>
      <c r="B2" s="865" t="s">
        <v>80</v>
      </c>
      <c r="C2" s="865"/>
      <c r="D2" s="865"/>
      <c r="E2" s="865"/>
      <c r="F2" s="865"/>
      <c r="G2" s="865"/>
      <c r="V2" s="257"/>
      <c r="AO2" s="257"/>
      <c r="AP2" s="257"/>
      <c r="AQ2" s="257"/>
      <c r="AR2" s="257"/>
      <c r="AS2" s="257"/>
      <c r="AT2" s="30"/>
      <c r="AU2" s="257"/>
      <c r="AV2" s="257"/>
      <c r="AW2" s="257"/>
      <c r="AX2" s="257"/>
      <c r="AY2" s="257"/>
      <c r="AZ2" s="257"/>
      <c r="BA2" s="257"/>
      <c r="BB2" s="257"/>
      <c r="BC2" s="257"/>
      <c r="BE2" s="62"/>
      <c r="BF2" s="62"/>
      <c r="BG2" s="62"/>
      <c r="BH2" s="62"/>
      <c r="BI2" s="62"/>
      <c r="BJ2" s="62"/>
      <c r="BK2" s="62"/>
      <c r="BL2" s="62"/>
      <c r="BM2" s="62"/>
      <c r="BN2" s="62"/>
      <c r="BO2" s="62"/>
      <c r="BP2" s="62"/>
      <c r="BQ2" s="62"/>
      <c r="BR2" s="62"/>
    </row>
    <row r="3" spans="1:70" ht="21.75" thickTop="1" x14ac:dyDescent="0.35">
      <c r="A3" s="258"/>
      <c r="B3" s="321"/>
      <c r="C3" s="322"/>
      <c r="D3" s="606" t="e">
        <f>VLOOKUP(D4,'Macro References'!BB2:BC101,2,FALSE)</f>
        <v>#N/A</v>
      </c>
      <c r="E3" s="322"/>
      <c r="F3" s="322"/>
      <c r="G3" s="323"/>
      <c r="AO3" s="257"/>
      <c r="AP3" s="257"/>
      <c r="AQ3" s="257"/>
      <c r="AR3" s="257"/>
      <c r="AS3" s="257"/>
      <c r="AT3" s="30"/>
      <c r="AU3" s="257"/>
      <c r="AV3" s="257"/>
      <c r="AW3" s="257"/>
      <c r="AX3" s="257"/>
      <c r="AY3" s="257"/>
      <c r="AZ3" s="257"/>
      <c r="BA3" s="257"/>
      <c r="BB3" s="257"/>
      <c r="BC3" s="257"/>
      <c r="BE3" s="62"/>
      <c r="BF3" s="62"/>
      <c r="BG3" s="62"/>
      <c r="BH3" s="62"/>
      <c r="BI3" s="62"/>
      <c r="BJ3" s="62"/>
      <c r="BK3" s="62"/>
      <c r="BL3" s="62"/>
      <c r="BM3" s="62"/>
      <c r="BN3" s="62"/>
      <c r="BO3" s="62"/>
      <c r="BP3" s="62"/>
      <c r="BQ3" s="62"/>
      <c r="BR3" s="62"/>
    </row>
    <row r="4" spans="1:70" ht="15" customHeight="1" thickBot="1" x14ac:dyDescent="0.4">
      <c r="A4" s="258"/>
      <c r="B4" s="324"/>
      <c r="C4" s="325" t="s">
        <v>7</v>
      </c>
      <c r="D4" s="326">
        <v>0</v>
      </c>
      <c r="E4" s="327"/>
      <c r="F4" s="327"/>
      <c r="G4" s="328"/>
      <c r="K4" s="257"/>
      <c r="T4" s="405" t="s">
        <v>96</v>
      </c>
      <c r="U4" s="34"/>
      <c r="V4" s="34"/>
      <c r="W4" s="34"/>
      <c r="X4" s="257"/>
      <c r="Y4" s="257"/>
      <c r="Z4" s="257"/>
      <c r="AA4" s="257"/>
      <c r="AB4" s="34"/>
      <c r="AC4" s="257"/>
      <c r="AD4" s="257"/>
      <c r="AN4" s="257"/>
      <c r="AO4" s="257"/>
      <c r="AP4" s="257"/>
      <c r="AQ4" s="257"/>
      <c r="AR4" s="257"/>
      <c r="AS4" s="257"/>
      <c r="AT4" s="30"/>
      <c r="AU4" s="257"/>
      <c r="AV4" s="257"/>
      <c r="AW4" s="257"/>
      <c r="AX4" s="257"/>
      <c r="AY4" s="257"/>
      <c r="AZ4" s="257"/>
      <c r="BA4" s="257"/>
      <c r="BB4" s="257"/>
      <c r="BC4" s="257"/>
      <c r="BE4" s="62"/>
      <c r="BF4" s="62"/>
      <c r="BG4" s="62"/>
      <c r="BH4" s="62"/>
      <c r="BI4" s="62"/>
      <c r="BJ4" s="62"/>
      <c r="BK4" s="62"/>
      <c r="BL4" s="62"/>
      <c r="BM4" s="62"/>
      <c r="BN4" s="62"/>
      <c r="BO4" s="62"/>
      <c r="BP4" s="62"/>
      <c r="BQ4" s="62"/>
      <c r="BR4" s="62"/>
    </row>
    <row r="5" spans="1:70" ht="15" customHeight="1" x14ac:dyDescent="0.35">
      <c r="A5" s="258"/>
      <c r="B5" s="324"/>
      <c r="C5" s="325" t="s">
        <v>69</v>
      </c>
      <c r="D5" s="329">
        <v>10</v>
      </c>
      <c r="E5" s="327"/>
      <c r="F5" s="327"/>
      <c r="G5" s="328"/>
      <c r="J5" s="871" t="s">
        <v>74</v>
      </c>
      <c r="K5" s="872"/>
      <c r="L5" s="872"/>
      <c r="M5" s="871" t="s">
        <v>76</v>
      </c>
      <c r="N5" s="872"/>
      <c r="O5" s="875"/>
      <c r="P5" s="872" t="s">
        <v>75</v>
      </c>
      <c r="Q5" s="872"/>
      <c r="R5" s="875"/>
      <c r="T5" s="34"/>
      <c r="U5" s="406" t="s">
        <v>134</v>
      </c>
      <c r="V5" s="406" t="s">
        <v>135</v>
      </c>
      <c r="W5" s="406" t="s">
        <v>136</v>
      </c>
      <c r="X5" s="261"/>
      <c r="Y5" s="261"/>
      <c r="Z5" s="261"/>
      <c r="AA5" s="257"/>
      <c r="AB5" s="34"/>
      <c r="AC5" s="257"/>
      <c r="AD5" s="257"/>
      <c r="AO5" s="257"/>
      <c r="AP5" s="257"/>
      <c r="AQ5" s="257"/>
      <c r="AR5" s="257"/>
      <c r="AS5" s="257"/>
      <c r="AT5" s="30"/>
      <c r="AU5" s="262"/>
      <c r="AV5" s="257"/>
      <c r="AW5" s="262"/>
      <c r="AX5" s="257"/>
      <c r="AY5" s="257"/>
      <c r="AZ5" s="257"/>
      <c r="BA5" s="257"/>
      <c r="BB5" s="257"/>
      <c r="BC5" s="257"/>
      <c r="BE5" s="62"/>
      <c r="BF5" s="62"/>
      <c r="BG5" s="62"/>
      <c r="BH5" s="62"/>
      <c r="BI5" s="62"/>
      <c r="BJ5" s="62"/>
      <c r="BK5" s="62"/>
      <c r="BL5" s="62"/>
      <c r="BM5" s="62"/>
      <c r="BN5" s="62"/>
      <c r="BO5" s="62"/>
      <c r="BP5" s="62"/>
      <c r="BQ5" s="34">
        <v>1</v>
      </c>
      <c r="BR5" s="34">
        <v>1</v>
      </c>
    </row>
    <row r="6" spans="1:70" ht="15" customHeight="1" x14ac:dyDescent="0.35">
      <c r="B6" s="330"/>
      <c r="C6" s="325" t="s">
        <v>799</v>
      </c>
      <c r="D6" s="470" t="e">
        <f>VLOOKUP(VLOOKUP($D$4,Results!$G$4:$AX$105,38,FALSE),Materials[],2,FALSE)</f>
        <v>#N/A</v>
      </c>
      <c r="E6" s="327"/>
      <c r="F6" s="327"/>
      <c r="G6" s="328"/>
      <c r="J6" s="873"/>
      <c r="K6" s="874"/>
      <c r="L6" s="874"/>
      <c r="M6" s="873"/>
      <c r="N6" s="874"/>
      <c r="O6" s="876"/>
      <c r="P6" s="874"/>
      <c r="Q6" s="874"/>
      <c r="R6" s="876"/>
      <c r="T6" s="34"/>
      <c r="U6" s="407">
        <f>SUM(BJ40:BJ57,BJ60:BJ77,BJ79:BJ96)/12</f>
        <v>0</v>
      </c>
      <c r="V6" s="408">
        <f>SUM(BJ40:BJ57)/12</f>
        <v>0</v>
      </c>
      <c r="W6" s="408">
        <f>SUM(BJ60:BJ77,BJ79:BJ96)/12</f>
        <v>0</v>
      </c>
      <c r="X6" s="263"/>
      <c r="Y6" s="263"/>
      <c r="Z6" s="263"/>
      <c r="AA6" s="257"/>
      <c r="AB6" s="34" t="s">
        <v>93</v>
      </c>
      <c r="AC6" s="257"/>
      <c r="AD6" s="257"/>
      <c r="AO6" s="257"/>
      <c r="AP6" s="257"/>
      <c r="AQ6" s="257"/>
      <c r="AR6" s="257"/>
      <c r="AS6" s="257"/>
      <c r="AT6" s="30"/>
      <c r="AU6" s="262"/>
      <c r="AV6" s="257"/>
      <c r="AW6" s="262"/>
      <c r="AX6" s="257"/>
      <c r="AY6" s="257"/>
      <c r="AZ6" s="257"/>
      <c r="BA6" s="257"/>
      <c r="BB6" s="257"/>
      <c r="BC6" s="257"/>
      <c r="BE6" s="62"/>
      <c r="BF6" s="62"/>
      <c r="BG6" s="62"/>
      <c r="BH6" s="62"/>
      <c r="BI6" s="62"/>
      <c r="BJ6" s="62"/>
      <c r="BK6" s="62"/>
      <c r="BL6" s="62"/>
      <c r="BM6" s="62"/>
      <c r="BN6" s="62"/>
      <c r="BO6" s="62"/>
      <c r="BP6" s="62"/>
      <c r="BQ6" s="34">
        <v>2</v>
      </c>
      <c r="BR6" s="34">
        <v>1</v>
      </c>
    </row>
    <row r="7" spans="1:70" ht="15" customHeight="1" x14ac:dyDescent="0.35">
      <c r="B7" s="330"/>
      <c r="C7" s="331" t="s">
        <v>800</v>
      </c>
      <c r="D7" s="470" t="e">
        <f>VLOOKUP(VLOOKUP($D$4,Results!$G$4:$AX$105,38,FALSE),Materials[],3,FALSE)</f>
        <v>#N/A</v>
      </c>
      <c r="E7" s="327"/>
      <c r="F7" s="327"/>
      <c r="G7" s="328"/>
      <c r="J7" s="573" t="s">
        <v>833</v>
      </c>
      <c r="K7" s="456" t="e">
        <f>D11</f>
        <v>#N/A</v>
      </c>
      <c r="L7" s="868" t="e">
        <f>K7/K8</f>
        <v>#N/A</v>
      </c>
      <c r="M7" s="573" t="str">
        <f>IF(OR(Rev="G",Rev="H"),Q27,I17)</f>
        <v>Mu</v>
      </c>
      <c r="N7" s="468" t="e">
        <f>ROUND(IF(OR(Rev="G",Rev="H"),R27,K17),3)</f>
        <v>#N/A</v>
      </c>
      <c r="O7" s="911" t="e">
        <f>N7/N8</f>
        <v>#N/A</v>
      </c>
      <c r="P7" s="456" t="s">
        <v>834</v>
      </c>
      <c r="Q7" s="468" t="e">
        <f>IF(OR(Rev="G",Rev="H"),D13,D13/D33)</f>
        <v>#N/A</v>
      </c>
      <c r="R7" s="910" t="e">
        <f>Q7/Q8</f>
        <v>#N/A</v>
      </c>
      <c r="T7" s="34"/>
      <c r="U7" s="407" t="e">
        <f>SUM(BA40:BA57,BA60:BA77,BA79:BA96)/12</f>
        <v>#N/A</v>
      </c>
      <c r="V7" s="408" t="e">
        <f>SUM(BA40:BA57)/12</f>
        <v>#N/A</v>
      </c>
      <c r="W7" s="408">
        <f>SUM(BA60:BA77,BA79:BA96)/12</f>
        <v>0</v>
      </c>
      <c r="X7" s="263"/>
      <c r="Y7" s="263"/>
      <c r="Z7" s="263"/>
      <c r="AA7" s="257"/>
      <c r="AB7" s="34" t="s">
        <v>94</v>
      </c>
      <c r="AC7" s="257"/>
      <c r="AD7" s="257"/>
      <c r="AO7" s="257"/>
      <c r="AP7" s="257"/>
      <c r="AQ7" s="257"/>
      <c r="AR7" s="257"/>
      <c r="AS7" s="257"/>
      <c r="AT7" s="30"/>
      <c r="AU7" s="262"/>
      <c r="AV7" s="257"/>
      <c r="AW7" s="262"/>
      <c r="AX7" s="257"/>
      <c r="AY7" s="257"/>
      <c r="AZ7" s="257"/>
      <c r="BA7" s="257"/>
      <c r="BB7" s="257"/>
      <c r="BC7" s="257"/>
      <c r="BE7" s="62"/>
      <c r="BF7" s="62"/>
      <c r="BG7" s="62"/>
      <c r="BH7" s="62"/>
      <c r="BI7" s="62"/>
      <c r="BJ7" s="62"/>
      <c r="BK7" s="62"/>
      <c r="BL7" s="62"/>
      <c r="BM7" s="62"/>
      <c r="BN7" s="62"/>
      <c r="BO7" s="62"/>
      <c r="BP7" s="62"/>
      <c r="BQ7" s="34">
        <v>3</v>
      </c>
      <c r="BR7" s="34">
        <v>1</v>
      </c>
    </row>
    <row r="8" spans="1:70" ht="15" customHeight="1" x14ac:dyDescent="0.35">
      <c r="B8" s="330"/>
      <c r="C8" s="325" t="s">
        <v>68</v>
      </c>
      <c r="D8" s="470" t="e">
        <f>VLOOKUP($D$4,Results!$G$4:$AX$105,14,FALSE)</f>
        <v>#N/A</v>
      </c>
      <c r="E8" s="327"/>
      <c r="F8" s="327"/>
      <c r="G8" s="328"/>
      <c r="J8" s="574" t="s">
        <v>835</v>
      </c>
      <c r="K8" s="401" t="e">
        <f>SUM(AD40,AD60:AD77,AD79:AD96)</f>
        <v>#N/A</v>
      </c>
      <c r="L8" s="868"/>
      <c r="M8" s="574" t="str">
        <f>IF(OR(Rev="G",Rev="H"),Q28,I18)</f>
        <v>φMn</v>
      </c>
      <c r="N8" s="469" t="e">
        <f>ROUND(IF(OR(Rev="G",Rev="H"),R28,D16),3)</f>
        <v>#N/A</v>
      </c>
      <c r="O8" s="911"/>
      <c r="P8" s="401" t="s">
        <v>836</v>
      </c>
      <c r="Q8" s="453" t="e">
        <f>SUM(AE40,AE60:AE77,AE79:AE96)</f>
        <v>#N/A</v>
      </c>
      <c r="R8" s="910"/>
      <c r="T8" s="34"/>
      <c r="U8" s="407" t="e">
        <f>(SUM(M40:M57,M60:M77,M79:M96)/D25)*D16/12</f>
        <v>#N/A</v>
      </c>
      <c r="V8" s="408" t="e">
        <f>(SUM(M40:M57)/D26)*O21/12</f>
        <v>#N/A</v>
      </c>
      <c r="W8" s="408" t="e">
        <f>(SUM(M60:M77,M79:M96)/D27)*O22/12</f>
        <v>#DIV/0!</v>
      </c>
      <c r="X8" s="263"/>
      <c r="Y8" s="263"/>
      <c r="Z8" s="263"/>
      <c r="AA8" s="257"/>
      <c r="AB8" s="34" t="s">
        <v>95</v>
      </c>
      <c r="AC8" s="257"/>
      <c r="AD8" s="257"/>
      <c r="AO8" s="257"/>
      <c r="AP8" s="257"/>
      <c r="AQ8" s="257"/>
      <c r="AR8" s="257"/>
      <c r="AS8" s="257"/>
      <c r="AT8" s="30"/>
      <c r="AU8" s="262"/>
      <c r="AV8" s="257"/>
      <c r="AW8" s="262"/>
      <c r="AX8" s="257"/>
      <c r="AY8" s="257"/>
      <c r="AZ8" s="257"/>
      <c r="BA8" s="257"/>
      <c r="BB8" s="257"/>
      <c r="BC8" s="257"/>
      <c r="BE8" s="62"/>
      <c r="BF8" s="62"/>
      <c r="BG8" s="62"/>
      <c r="BH8" s="62"/>
      <c r="BI8" s="62"/>
      <c r="BJ8" s="62"/>
      <c r="BK8" s="62"/>
      <c r="BL8" s="62"/>
      <c r="BM8" s="62"/>
      <c r="BN8" s="62"/>
      <c r="BO8" s="62"/>
      <c r="BP8" s="62"/>
      <c r="BQ8" s="34">
        <v>4</v>
      </c>
      <c r="BR8" s="34">
        <v>0</v>
      </c>
    </row>
    <row r="9" spans="1:70" ht="15" customHeight="1" thickBot="1" x14ac:dyDescent="0.3">
      <c r="B9" s="330"/>
      <c r="C9" s="325" t="s">
        <v>70</v>
      </c>
      <c r="D9" s="470" t="e">
        <f>VLOOKUP($D$4,Results!$G$4:$AX$105,22,FALSE)</f>
        <v>#N/A</v>
      </c>
      <c r="E9" s="327"/>
      <c r="F9" s="327"/>
      <c r="G9" s="328"/>
      <c r="J9" s="575"/>
      <c r="K9" s="576"/>
      <c r="L9" s="577"/>
      <c r="M9" s="575"/>
      <c r="N9" s="576"/>
      <c r="O9" s="579"/>
      <c r="P9" s="576"/>
      <c r="Q9" s="576"/>
      <c r="R9" s="578"/>
      <c r="X9" s="257"/>
      <c r="AB9" s="62"/>
      <c r="AO9" s="257"/>
      <c r="AP9" s="257"/>
      <c r="AQ9" s="257"/>
      <c r="AR9" s="257"/>
      <c r="AS9" s="257"/>
      <c r="AT9" s="30"/>
      <c r="AU9" s="262"/>
      <c r="AV9" s="257"/>
      <c r="AW9" s="262"/>
      <c r="AX9" s="257"/>
      <c r="AY9" s="257"/>
      <c r="AZ9" s="257"/>
      <c r="BA9" s="257"/>
      <c r="BB9" s="257"/>
      <c r="BC9" s="257"/>
      <c r="BE9" s="62"/>
      <c r="BF9" s="62"/>
      <c r="BG9" s="62"/>
      <c r="BH9" s="62"/>
      <c r="BI9" s="62"/>
      <c r="BJ9" s="62"/>
      <c r="BK9" s="62"/>
      <c r="BL9" s="62"/>
      <c r="BM9" s="62"/>
      <c r="BN9" s="62"/>
      <c r="BO9" s="62"/>
      <c r="BP9" s="62"/>
      <c r="BQ9" s="34">
        <v>5</v>
      </c>
      <c r="BR9" s="34">
        <v>0</v>
      </c>
    </row>
    <row r="10" spans="1:70" ht="15" customHeight="1" x14ac:dyDescent="0.25">
      <c r="B10" s="330"/>
      <c r="C10" s="325" t="s">
        <v>37</v>
      </c>
      <c r="D10" s="470" t="e">
        <f>VLOOKUP($D$4,Results!$G$4:$AX$105,30,FALSE)</f>
        <v>#N/A</v>
      </c>
      <c r="E10" s="327"/>
      <c r="F10" s="327"/>
      <c r="G10" s="328"/>
      <c r="X10" s="257"/>
      <c r="AB10" s="62"/>
      <c r="AN10" s="257"/>
      <c r="AO10" s="257"/>
      <c r="AP10" s="257"/>
      <c r="AQ10" s="257"/>
      <c r="AR10" s="257"/>
      <c r="AS10" s="257"/>
      <c r="AT10" s="30"/>
      <c r="AU10" s="257"/>
      <c r="AV10" s="257"/>
      <c r="AW10" s="257"/>
      <c r="AX10" s="257"/>
      <c r="AY10" s="257"/>
      <c r="AZ10" s="257"/>
      <c r="BA10" s="257"/>
      <c r="BB10" s="257"/>
      <c r="BC10" s="257"/>
      <c r="BE10" s="62"/>
      <c r="BF10" s="62"/>
      <c r="BG10" s="62"/>
      <c r="BH10" s="62"/>
      <c r="BI10" s="62"/>
      <c r="BJ10" s="62"/>
      <c r="BK10" s="62"/>
      <c r="BL10" s="62"/>
      <c r="BM10" s="62"/>
      <c r="BN10" s="62"/>
      <c r="BO10" s="62"/>
      <c r="BP10" s="62"/>
      <c r="BQ10" s="34">
        <v>6</v>
      </c>
      <c r="BR10" s="34">
        <v>1</v>
      </c>
    </row>
    <row r="11" spans="1:70" ht="15" customHeight="1" thickBot="1" x14ac:dyDescent="0.4">
      <c r="B11" s="330"/>
      <c r="C11" s="325" t="s">
        <v>801</v>
      </c>
      <c r="D11" s="470" t="e">
        <f>VLOOKUP($D$4,Results!$G$4:$AX$105,3,FALSE)</f>
        <v>#N/A</v>
      </c>
      <c r="E11" s="327"/>
      <c r="F11" s="327"/>
      <c r="G11" s="328"/>
      <c r="I11" s="455" t="s">
        <v>77</v>
      </c>
      <c r="J11" s="866" t="e">
        <f>IF(OR(Rev="G",Rev="H"),L7+O7+R7^2,(L7+O7)/ASIF)/IF(OR(AND(Rev="H",F27=TRUE),AND(Rev&lt;&gt;"H",F30=TRUE)),1.05,1)</f>
        <v>#N/A</v>
      </c>
      <c r="K11" s="867"/>
      <c r="L11" s="265"/>
      <c r="N11" s="454" t="s">
        <v>85</v>
      </c>
      <c r="O11" s="901" t="str">
        <f>IFERROR("Reinf. " &amp; INDEX(BQ60:BQ96,MATCH(D28,AS60:AS96,0)) &amp; " " &amp; INDEX(AQ60:AQ96,MATCH(D28,AS60:AS96,0)),"Pole")</f>
        <v>Pole</v>
      </c>
      <c r="P11" s="901"/>
      <c r="Q11" s="901"/>
      <c r="R11" s="901"/>
      <c r="AB11" s="62"/>
      <c r="AN11" s="257"/>
      <c r="AO11" s="257"/>
      <c r="AP11" s="257"/>
      <c r="AQ11" s="257"/>
      <c r="AR11" s="257"/>
      <c r="AS11" s="257"/>
      <c r="AT11" s="30"/>
      <c r="AU11" s="257"/>
      <c r="AV11" s="257"/>
      <c r="AW11" s="257"/>
      <c r="AX11" s="257"/>
      <c r="AY11" s="257"/>
      <c r="AZ11" s="257"/>
      <c r="BA11" s="257"/>
      <c r="BB11" s="257"/>
      <c r="BC11" s="257"/>
      <c r="BE11" s="62"/>
      <c r="BF11" s="62"/>
      <c r="BG11" s="62"/>
      <c r="BH11" s="62"/>
      <c r="BI11" s="62"/>
      <c r="BJ11" s="62"/>
      <c r="BK11" s="62"/>
      <c r="BL11" s="62"/>
      <c r="BM11" s="62"/>
      <c r="BN11" s="62"/>
      <c r="BO11" s="62"/>
      <c r="BP11" s="62"/>
      <c r="BQ11" s="34">
        <v>1</v>
      </c>
      <c r="BR11" s="34">
        <v>1</v>
      </c>
    </row>
    <row r="12" spans="1:70" ht="15" customHeight="1" thickTop="1" x14ac:dyDescent="0.35">
      <c r="B12" s="330"/>
      <c r="C12" s="325" t="s">
        <v>802</v>
      </c>
      <c r="D12" s="470" t="e">
        <f>VLOOKUP($D$4,Results!$G$4:$AX$105,4,FALSE)</f>
        <v>#N/A</v>
      </c>
      <c r="E12" s="327"/>
      <c r="F12" s="327"/>
      <c r="G12" s="328"/>
      <c r="J12" s="265"/>
      <c r="K12" s="265"/>
      <c r="M12" s="266"/>
      <c r="N12" s="266"/>
      <c r="O12" s="267"/>
      <c r="P12" s="267"/>
      <c r="Q12" s="267"/>
      <c r="R12" s="267"/>
      <c r="AB12" s="62"/>
      <c r="AN12" s="257"/>
      <c r="AO12" s="257"/>
      <c r="AP12" s="257"/>
      <c r="AQ12" s="257"/>
      <c r="AR12" s="257"/>
      <c r="AS12" s="257"/>
      <c r="AT12" s="30"/>
      <c r="AU12" s="257"/>
      <c r="AV12" s="257"/>
      <c r="AW12" s="257"/>
      <c r="AX12" s="257"/>
      <c r="AY12" s="257"/>
      <c r="AZ12" s="257"/>
      <c r="BA12" s="257"/>
      <c r="BB12" s="257"/>
      <c r="BC12" s="257"/>
      <c r="BE12" s="62"/>
      <c r="BF12" s="62"/>
      <c r="BG12" s="62"/>
      <c r="BH12" s="62"/>
      <c r="BI12" s="62"/>
      <c r="BJ12" s="62"/>
      <c r="BK12" s="62"/>
      <c r="BL12" s="62"/>
      <c r="BM12" s="62"/>
      <c r="BN12" s="62"/>
      <c r="BO12" s="62"/>
      <c r="BP12" s="62"/>
      <c r="BQ12" s="34">
        <v>2</v>
      </c>
      <c r="BR12" s="34">
        <v>1</v>
      </c>
    </row>
    <row r="13" spans="1:70" ht="15" customHeight="1" x14ac:dyDescent="0.35">
      <c r="B13" s="330"/>
      <c r="C13" s="325" t="s">
        <v>803</v>
      </c>
      <c r="D13" s="470" t="e">
        <f>VLOOKUP($D$4,Results!$G$4:$AX$105,5,FALSE)</f>
        <v>#N/A</v>
      </c>
      <c r="E13" s="327"/>
      <c r="F13" s="327"/>
      <c r="G13" s="328"/>
      <c r="I13" s="268"/>
      <c r="J13" s="268"/>
      <c r="AN13" s="257"/>
      <c r="AO13" s="257"/>
      <c r="AP13" s="257"/>
      <c r="AQ13" s="257"/>
      <c r="AR13" s="257"/>
      <c r="AS13" s="257"/>
      <c r="AT13" s="30"/>
      <c r="AU13" s="257"/>
      <c r="AV13" s="257"/>
      <c r="AW13" s="257"/>
      <c r="AX13" s="257"/>
      <c r="AY13" s="257"/>
      <c r="AZ13" s="257"/>
      <c r="BA13" s="257"/>
      <c r="BB13" s="257"/>
      <c r="BC13" s="257"/>
      <c r="BE13" s="62"/>
      <c r="BF13" s="62"/>
      <c r="BG13" s="62"/>
      <c r="BH13" s="62"/>
      <c r="BI13" s="62"/>
      <c r="BJ13" s="62"/>
      <c r="BK13" s="62"/>
      <c r="BL13" s="62"/>
      <c r="BM13" s="62"/>
      <c r="BN13" s="62"/>
      <c r="BO13" s="62"/>
      <c r="BP13" s="62"/>
      <c r="BQ13" s="34">
        <v>3</v>
      </c>
      <c r="BR13" s="34">
        <v>0</v>
      </c>
    </row>
    <row r="14" spans="1:70" ht="18.75" thickBot="1" x14ac:dyDescent="0.4">
      <c r="B14" s="332"/>
      <c r="C14" s="333" t="s">
        <v>804</v>
      </c>
      <c r="D14" s="334">
        <v>50</v>
      </c>
      <c r="E14" s="335" t="s">
        <v>568</v>
      </c>
      <c r="F14" s="336"/>
      <c r="G14" s="337"/>
      <c r="I14" s="869" t="s">
        <v>115</v>
      </c>
      <c r="J14" s="869"/>
      <c r="K14" s="869"/>
      <c r="M14" s="903" t="s">
        <v>780</v>
      </c>
      <c r="N14" s="903"/>
      <c r="O14" s="903"/>
      <c r="P14" s="903"/>
      <c r="Q14" s="903"/>
      <c r="R14" s="903"/>
      <c r="S14" s="903"/>
      <c r="T14" s="904"/>
      <c r="U14" s="904"/>
      <c r="AN14" s="257"/>
      <c r="AO14" s="257"/>
      <c r="AP14" s="257"/>
      <c r="AQ14" s="257"/>
      <c r="AR14" s="257"/>
      <c r="AS14" s="257"/>
      <c r="AT14" s="30"/>
      <c r="AU14" s="257"/>
      <c r="AV14" s="257"/>
      <c r="AW14" s="257"/>
      <c r="AX14" s="257"/>
      <c r="AY14" s="257"/>
      <c r="AZ14" s="257"/>
      <c r="BA14" s="257"/>
      <c r="BB14" s="257"/>
      <c r="BC14" s="257"/>
      <c r="BE14" s="62"/>
      <c r="BF14" s="62"/>
      <c r="BG14" s="62"/>
      <c r="BH14" s="62"/>
      <c r="BI14" s="62"/>
      <c r="BJ14" s="62"/>
      <c r="BK14" s="62"/>
      <c r="BL14" s="62"/>
      <c r="BM14" s="62"/>
      <c r="BN14" s="62"/>
      <c r="BO14" s="62"/>
      <c r="BP14" s="62"/>
      <c r="BQ14" s="34">
        <v>4</v>
      </c>
      <c r="BR14" s="34">
        <v>0</v>
      </c>
    </row>
    <row r="15" spans="1:70" ht="15.75" thickTop="1" x14ac:dyDescent="0.25">
      <c r="B15" s="66"/>
      <c r="C15" s="66"/>
      <c r="D15" s="66"/>
      <c r="E15" s="66"/>
      <c r="F15" s="66"/>
      <c r="G15" s="66"/>
      <c r="I15" s="66"/>
      <c r="J15" s="66"/>
      <c r="K15" s="66"/>
      <c r="M15" s="386"/>
      <c r="N15" s="386"/>
      <c r="O15" s="386"/>
      <c r="P15" s="386"/>
      <c r="Q15" s="386"/>
      <c r="R15" s="386"/>
      <c r="S15" s="386"/>
      <c r="T15" s="909" t="s">
        <v>781</v>
      </c>
      <c r="U15" s="909"/>
      <c r="AO15" s="257"/>
      <c r="AP15" s="257"/>
      <c r="AQ15" s="257"/>
      <c r="AR15" s="257"/>
      <c r="AS15" s="257"/>
      <c r="AT15" s="30"/>
      <c r="AU15" s="257"/>
      <c r="AV15" s="269"/>
      <c r="AW15" s="257"/>
      <c r="AX15" s="257"/>
      <c r="AY15" s="257"/>
      <c r="AZ15" s="257"/>
      <c r="BA15" s="257"/>
      <c r="BB15" s="257"/>
      <c r="BC15" s="257"/>
      <c r="BE15" s="62"/>
      <c r="BF15" s="62"/>
      <c r="BG15" s="62"/>
      <c r="BH15" s="62"/>
      <c r="BI15" s="62"/>
      <c r="BJ15" s="62"/>
      <c r="BK15" s="62"/>
      <c r="BL15" s="62"/>
      <c r="BM15" s="62"/>
      <c r="BN15" s="62"/>
      <c r="BO15" s="62"/>
      <c r="BP15" s="62"/>
      <c r="BQ15" s="34">
        <v>5</v>
      </c>
      <c r="BR15" s="34">
        <v>0</v>
      </c>
    </row>
    <row r="16" spans="1:70" ht="18.75" x14ac:dyDescent="0.35">
      <c r="B16" s="851" t="s">
        <v>164</v>
      </c>
      <c r="C16" s="852"/>
      <c r="D16" s="338" t="str">
        <f>IFERROR(D28*D25,"")</f>
        <v/>
      </c>
      <c r="E16" s="66"/>
      <c r="F16" s="30"/>
      <c r="G16" s="66"/>
      <c r="I16" s="856" t="s">
        <v>111</v>
      </c>
      <c r="J16" s="856"/>
      <c r="K16" s="362" t="e">
        <f>IF(SQRT(D6)*D29/D10&gt;365,"CHECK",SQRT(D6)*D29/D10)</f>
        <v>#N/A</v>
      </c>
      <c r="M16" s="856" t="s">
        <v>824</v>
      </c>
      <c r="N16" s="856"/>
      <c r="O16" s="387" t="e">
        <f>SQRT(D6/29000)*D29/D10</f>
        <v>#N/A</v>
      </c>
      <c r="P16" s="386"/>
      <c r="Q16" s="902" t="s">
        <v>116</v>
      </c>
      <c r="R16" s="902"/>
      <c r="S16" s="386"/>
      <c r="T16" s="909"/>
      <c r="U16" s="909"/>
      <c r="AO16" s="257"/>
      <c r="AP16" s="257"/>
      <c r="AQ16" s="257"/>
      <c r="AR16" s="257"/>
      <c r="AS16" s="257"/>
      <c r="AT16" s="30"/>
      <c r="AU16" s="257"/>
      <c r="AV16" s="269"/>
      <c r="AW16" s="257"/>
      <c r="AX16" s="257"/>
      <c r="AY16" s="257"/>
      <c r="AZ16" s="257"/>
      <c r="BA16" s="257"/>
      <c r="BB16" s="257"/>
      <c r="BC16" s="257"/>
      <c r="BE16" s="62"/>
      <c r="BF16" s="62"/>
      <c r="BG16" s="62"/>
      <c r="BH16" s="62"/>
      <c r="BI16" s="62"/>
      <c r="BJ16" s="62"/>
      <c r="BK16" s="62"/>
      <c r="BL16" s="62"/>
      <c r="BM16" s="62"/>
      <c r="BN16" s="62"/>
      <c r="BO16" s="62"/>
      <c r="BP16" s="62"/>
      <c r="BQ16" s="34">
        <v>6</v>
      </c>
      <c r="BR16" s="34">
        <v>0</v>
      </c>
    </row>
    <row r="17" spans="2:73" ht="21" x14ac:dyDescent="0.35">
      <c r="B17" s="851" t="s">
        <v>131</v>
      </c>
      <c r="C17" s="852"/>
      <c r="D17" s="338">
        <f>MAX(AW40:AX57,ABS(MIN(AW40:AX57)))</f>
        <v>0</v>
      </c>
      <c r="E17" s="116" t="s">
        <v>805</v>
      </c>
      <c r="F17" s="117" t="e">
        <f>IF(D8=0,SUM(H60:H77,H79:H96)/SUM(F60:F77,F79:F96,D34),SUM(H40:H57,H60:H77,H79:H96)/SUM(F40:F57,F60:F77,F79:F96))</f>
        <v>#N/A</v>
      </c>
      <c r="G17" s="115" t="s">
        <v>339</v>
      </c>
      <c r="I17" s="856" t="s">
        <v>821</v>
      </c>
      <c r="J17" s="870"/>
      <c r="K17" s="363" t="e">
        <f>D12*12*D25/D31</f>
        <v>#N/A</v>
      </c>
      <c r="M17" s="861" t="s">
        <v>825</v>
      </c>
      <c r="N17" s="861"/>
      <c r="O17" s="388" t="e">
        <f>O19</f>
        <v>#N/A</v>
      </c>
      <c r="P17" s="386"/>
      <c r="Q17" s="389" t="s">
        <v>106</v>
      </c>
      <c r="R17" s="389" t="s">
        <v>826</v>
      </c>
      <c r="S17" s="386"/>
      <c r="T17" s="315" t="s">
        <v>106</v>
      </c>
      <c r="U17" s="315" t="s">
        <v>826</v>
      </c>
      <c r="AO17" s="257"/>
      <c r="AP17" s="257"/>
      <c r="AQ17" s="257"/>
      <c r="AR17" s="257"/>
      <c r="AS17" s="257"/>
      <c r="AT17" s="30"/>
      <c r="AU17" s="257"/>
      <c r="AV17" s="269"/>
      <c r="AW17" s="257"/>
      <c r="AX17" s="257"/>
      <c r="AY17" s="257"/>
      <c r="AZ17" s="257"/>
      <c r="BA17" s="257"/>
      <c r="BB17" s="257"/>
      <c r="BC17" s="257"/>
      <c r="BD17" s="257"/>
      <c r="BE17" s="34"/>
      <c r="BF17" s="34"/>
      <c r="BG17" s="34"/>
      <c r="BH17" s="34"/>
      <c r="BI17" s="34"/>
      <c r="BJ17" s="34"/>
      <c r="BK17" s="34"/>
      <c r="BL17" s="34"/>
      <c r="BM17" s="62"/>
      <c r="BN17" s="62"/>
      <c r="BO17" s="62"/>
      <c r="BP17" s="62"/>
      <c r="BQ17" s="34">
        <v>7</v>
      </c>
      <c r="BR17" s="34">
        <v>0</v>
      </c>
    </row>
    <row r="18" spans="2:73" ht="21" x14ac:dyDescent="0.35">
      <c r="B18" s="851" t="s">
        <v>132</v>
      </c>
      <c r="C18" s="852"/>
      <c r="D18" s="338" t="str">
        <f>IF('Macro References'!$A$8=TRUE,MAX(AW60:AX77,AW79:AX96,ABS(MIN(AW60:AX77,AW79:AX96))),"n/a")</f>
        <v>n/a</v>
      </c>
      <c r="E18" s="116" t="s">
        <v>338</v>
      </c>
      <c r="F18" s="603" t="e">
        <f>G19+F17</f>
        <v>#N/A</v>
      </c>
      <c r="G18" s="115" t="s">
        <v>340</v>
      </c>
      <c r="I18" s="856" t="s">
        <v>822</v>
      </c>
      <c r="J18" s="870"/>
      <c r="K18" s="364" t="e">
        <f>IF(D8=0,IF(D9/D10&lt;=3300/D6,J24,J30),IF(AND(D8=18,K16&gt;=200),J26,IF(AND(D8=16,K16&gt;=215),J27,IF(AND(D8=12,K16&gt;=240),J28,IF(AND(D8=8,K16&gt;=260),J29,J23)))))</f>
        <v>#N/A</v>
      </c>
      <c r="M18" s="863" t="s">
        <v>827</v>
      </c>
      <c r="N18" s="863"/>
      <c r="O18" s="390" t="e">
        <f>MIN(O19,D6)</f>
        <v>#N/A</v>
      </c>
      <c r="P18" s="386"/>
      <c r="Q18" s="888">
        <v>18</v>
      </c>
      <c r="R18" s="391" t="e">
        <f>$D$6</f>
        <v>#N/A</v>
      </c>
      <c r="S18" s="386"/>
      <c r="T18" s="890">
        <v>18</v>
      </c>
      <c r="U18" s="392" t="e">
        <f>1.27*D6</f>
        <v>#N/A</v>
      </c>
      <c r="AO18" s="257"/>
      <c r="AP18" s="257"/>
      <c r="AQ18" s="257"/>
      <c r="AR18" s="257"/>
      <c r="AS18" s="257"/>
      <c r="AT18" s="30"/>
      <c r="AU18" s="257"/>
      <c r="AV18" s="257"/>
      <c r="AW18" s="257"/>
      <c r="AX18" s="257"/>
      <c r="AY18" s="257"/>
      <c r="AZ18" s="257"/>
      <c r="BA18" s="257"/>
      <c r="BB18" s="257"/>
      <c r="BC18" s="257"/>
      <c r="BD18" s="257"/>
      <c r="BE18" s="34"/>
      <c r="BF18" s="34"/>
      <c r="BG18" s="34"/>
      <c r="BH18" s="34"/>
      <c r="BI18" s="34"/>
      <c r="BJ18" s="34"/>
      <c r="BK18" s="34"/>
      <c r="BL18" s="34"/>
      <c r="BM18" s="62"/>
      <c r="BN18" s="62"/>
      <c r="BO18" s="62"/>
      <c r="BP18" s="62"/>
      <c r="BQ18" s="34">
        <v>8</v>
      </c>
      <c r="BR18" s="34">
        <v>1</v>
      </c>
    </row>
    <row r="19" spans="2:73" ht="21" x14ac:dyDescent="0.35">
      <c r="B19" s="851" t="s">
        <v>806</v>
      </c>
      <c r="C19" s="852"/>
      <c r="D19" s="338" t="e">
        <f>360/D8</f>
        <v>#N/A</v>
      </c>
      <c r="E19" s="66"/>
      <c r="F19" s="116" t="s">
        <v>341</v>
      </c>
      <c r="G19" s="339">
        <v>0</v>
      </c>
      <c r="I19" s="66"/>
      <c r="J19" s="66"/>
      <c r="K19" s="66"/>
      <c r="M19" s="862" t="s">
        <v>828</v>
      </c>
      <c r="N19" s="862"/>
      <c r="O19" s="393" t="e">
        <f>IF(Calculations!D8=18,IF(O16&lt;0.759,U18,U19),IF(D8=16,IF(O16&lt;0.836,U20,U21),IF(D8=12,IF(O16&lt;0.992,U22,U23),IF(D8=8,IF(O16&lt;1.1,U24,U25)))))</f>
        <v>#N/A</v>
      </c>
      <c r="P19" s="386"/>
      <c r="Q19" s="888"/>
      <c r="R19" s="391" t="e">
        <f>1.404*$D$6*(1-0.245*SQRT($D$6/29000)*$D$29/$D$10)</f>
        <v>#N/A</v>
      </c>
      <c r="S19" s="386"/>
      <c r="T19" s="890"/>
      <c r="U19" s="392" t="e">
        <f>1.56*D6*(1-0.245*SQRT(D6/29000)*D29/D10)</f>
        <v>#N/A</v>
      </c>
      <c r="AO19" s="257"/>
      <c r="AP19" s="257"/>
      <c r="AQ19" s="257"/>
      <c r="AR19" s="257"/>
      <c r="AS19" s="257"/>
      <c r="AT19" s="30"/>
      <c r="AU19" s="257"/>
      <c r="AV19" s="257"/>
      <c r="AW19" s="257"/>
      <c r="AX19" s="257"/>
      <c r="AY19" s="257"/>
      <c r="AZ19" s="257"/>
      <c r="BA19" s="257"/>
      <c r="BB19" s="257"/>
      <c r="BC19" s="257"/>
      <c r="BD19" s="257"/>
      <c r="BE19" s="34"/>
      <c r="BF19" s="34"/>
      <c r="BG19" s="889">
        <v>2</v>
      </c>
      <c r="BH19" s="889"/>
      <c r="BI19" s="889">
        <v>3</v>
      </c>
      <c r="BJ19" s="889"/>
      <c r="BK19" s="34"/>
      <c r="BL19" s="34"/>
      <c r="BM19" s="62"/>
      <c r="BN19" s="62"/>
      <c r="BO19" s="62"/>
      <c r="BP19" s="62"/>
      <c r="BQ19" s="34"/>
      <c r="BR19" s="34"/>
    </row>
    <row r="20" spans="2:73" ht="18" x14ac:dyDescent="0.35">
      <c r="B20" s="851" t="s">
        <v>30</v>
      </c>
      <c r="C20" s="852"/>
      <c r="D20" s="338" t="e">
        <f>D9/2</f>
        <v>#N/A</v>
      </c>
      <c r="E20" s="66"/>
      <c r="F20" s="340"/>
      <c r="G20" s="66"/>
      <c r="I20" s="882" t="s">
        <v>108</v>
      </c>
      <c r="J20" s="845"/>
      <c r="K20" s="66"/>
      <c r="M20" s="861" t="s">
        <v>829</v>
      </c>
      <c r="N20" s="861"/>
      <c r="O20" s="388">
        <f>MIN(AN60:AP77,AN79:AP96,AH60:AL77,AH79:AL96)</f>
        <v>0</v>
      </c>
      <c r="P20" s="386"/>
      <c r="Q20" s="888">
        <v>16</v>
      </c>
      <c r="R20" s="391" t="e">
        <f>$D$6</f>
        <v>#N/A</v>
      </c>
      <c r="S20" s="386"/>
      <c r="T20" s="890">
        <v>16</v>
      </c>
      <c r="U20" s="392" t="e">
        <f>1.27*D6</f>
        <v>#N/A</v>
      </c>
      <c r="AO20" s="257"/>
      <c r="AP20" s="257"/>
      <c r="AQ20" s="257"/>
      <c r="AR20" s="257"/>
      <c r="AS20" s="257"/>
      <c r="AT20" s="30"/>
      <c r="AU20" s="257"/>
      <c r="AV20" s="257"/>
      <c r="AW20" s="257"/>
      <c r="AX20" s="257"/>
      <c r="AY20" s="257"/>
      <c r="AZ20" s="257"/>
      <c r="BA20" s="257"/>
      <c r="BB20" s="257"/>
      <c r="BC20" s="272"/>
      <c r="BD20" s="272"/>
      <c r="BE20" s="34" t="e">
        <f>IF(AND(MAX(O40:R40)&gt;=0,MIN(AVERAGE(O40:P40),AVERAGE(Q40:R40))&lt;=$D$30),IF(AND(MIN(AVERAGE(O40:P40),AVERAGE(Q40:R40))&gt;0,MAX(AVERAGE(O40:P40),AVERAGE(Q40:R40))&lt;$D$30),"case 1",IF(MIN(O40:R40)&gt;=0,"case 4",IF(MAX(AVERAGE(O40:P40),AVERAGE(Q40:R40))&gt;$D$30,"case 3","case 2"))),"")</f>
        <v>#DIV/0!</v>
      </c>
      <c r="BF20" s="34" t="s">
        <v>127</v>
      </c>
      <c r="BG20" s="34" t="e">
        <f>$D$28*$D$10*$D$23/2*(2*AV40+IF(OR(D40&gt;540,AND(D40&gt;180,D40&lt;=360)),-1,1)*$D$10*SIN(RADIANS(E40))+IF(OR(D40&gt;540,AND(D40&gt;180,D40&lt;=360)),-1,1)*$D$23*COS(RADIANS(E40)))</f>
        <v>#N/A</v>
      </c>
      <c r="BH20" s="34" t="e">
        <f>AV40+$D$28*$D$10*$D$23/(12*BC40)*(6*AV40*(IF(OR(D40&gt;540,AND(D40&gt;180,D40&lt;360)),-1,1)*$D$10*SIN(RADIANS(E40))+IF(OR(D40&gt;540,AND(D40&gt;180,D40&lt;360)),-1,1)*$D$23*COS(RADIANS(E40)))+3*$D$10*$D$23*SIN(RADIANS(2*E40))+4*$D$10^2*SIN(RADIANS(E40))^2+4*$D$23^2*COS(RADIANS(E40))^2)</f>
        <v>#N/A</v>
      </c>
      <c r="BI20" s="34" t="e">
        <f>$D$28*$D$10*$D$23/2*(2*AV40+IF(OR(D40&gt;540,AND(D40&gt;180,D40&lt;=360)),-1,1)*$D$10*SIN(RADIANS(E40))+IF(OR(D40&gt;540,AND(D40&gt;180,D40&lt;=360)),-1,1)*$D$23*COS(RADIANS(E40)))</f>
        <v>#N/A</v>
      </c>
      <c r="BJ20" s="34" t="e">
        <f>AV40+$D$28*$D$10*$D$23/(12*BD40)*(6*AV40*(IF(OR(D40&gt;540,AND(D40&gt;180,D40&lt;360)),-1,1)*$D$10*SIN(RADIANS(E40))+IF(OR(D40&gt;540,AND(D40&gt;180,D40&lt;360)),-1,1)*$D$23*COS(RADIANS(E40)))+3*$D$10*$D$23*SIN(RADIANS(2*E40))+4*$D$10^2*SIN(RADIANS(E40))^2+4*$D$23^2*COS(RADIANS(E40))^2)</f>
        <v>#N/A</v>
      </c>
      <c r="BK20" s="34" t="e">
        <f>IF(AND(MIN(O40:R40)&lt;=0,MAX(AVERAGE(O40:P40),AVERAGE(Q40:R40))&gt;=-$D$30),IF(AND(MAX(AVERAGE(O40:P40),AVERAGE(Q40:R40))&lt;0,MIN(AVERAGE(O40:P40),AVERAGE(Q40:R40))&gt;$D$30),"case 1",IF(MAX(O40:R40)&lt;=0,"case 4",IF(MIN(AVERAGE(O40:P40),AVERAGE(Q40:R40))&lt;-$D$30,"case 3","case 2"))),"")</f>
        <v>#DIV/0!</v>
      </c>
      <c r="BL20" s="34"/>
      <c r="BM20" s="62"/>
      <c r="BN20" s="62"/>
      <c r="BO20" s="62"/>
      <c r="BP20" s="62"/>
      <c r="BQ20" s="34"/>
      <c r="BR20" s="34"/>
    </row>
    <row r="21" spans="2:73" ht="18" x14ac:dyDescent="0.35">
      <c r="B21" s="851" t="s">
        <v>29</v>
      </c>
      <c r="C21" s="852"/>
      <c r="D21" s="338" t="e">
        <f>D20-D10/2</f>
        <v>#N/A</v>
      </c>
      <c r="E21" s="66"/>
      <c r="F21" s="30"/>
      <c r="G21" s="66"/>
      <c r="I21" s="209" t="s">
        <v>106</v>
      </c>
      <c r="J21" s="209" t="s">
        <v>821</v>
      </c>
      <c r="K21" s="66"/>
      <c r="M21" s="856" t="s">
        <v>131</v>
      </c>
      <c r="N21" s="857"/>
      <c r="O21" s="394">
        <f>MAX(AW40:AX57,ABS(MIN(AW40:AX57)))</f>
        <v>0</v>
      </c>
      <c r="P21" s="386"/>
      <c r="Q21" s="888"/>
      <c r="R21" s="391" t="e">
        <f>1.42*$D$6*(1-0.233*SQRT($D$6/29000)*$D$29/$D$10)</f>
        <v>#N/A</v>
      </c>
      <c r="S21" s="386"/>
      <c r="T21" s="890"/>
      <c r="U21" s="392" t="e">
        <f>1.578*D6*(1-0.233*SQRT(D6/29000)*D29/D10)</f>
        <v>#N/A</v>
      </c>
      <c r="BD21" s="257"/>
      <c r="BE21" s="34"/>
      <c r="BF21" s="34" t="s">
        <v>128</v>
      </c>
      <c r="BG21" s="34" t="e">
        <f>$D$28*$D$10*(MAX(AVERAGE(O40:P40),AVERAGE(Q40:R40))/COS(RADIANS(E40)))/2*(2*(-$D$10/2*SIN(RADIANS(E40))*COS(RADIANS(E40)))+IF(OR(D40&gt;540,AND(D40&gt;180,D40&lt;=360)),-1,1)*$D$10*SIN(RADIANS(E40))+IF(OR(D40&gt;540,AND(D40&gt;180,D40&lt;=360)),-1,1)*(MAX(AVERAGE(O40:P40),AVERAGE(Q40:R40))/COS(RADIANS(E40)))*COS(RADIANS(E40)))</f>
        <v>#N/A</v>
      </c>
      <c r="BH21" s="34" t="e">
        <f>(-$D$10/2*SIN(RADIANS(E40))*COS(RADIANS(E40)))+$D$28*$D$10*(MAX(AVERAGE(O40:P40),AVERAGE(Q40:R40))/COS(RADIANS(E40)))/(12*BC40)*(6*(-$D$10/2*SIN(RADIANS(E40))*COS(RADIANS(E40)))*(IF(OR(D40&gt;540,AND(D40&gt;180,D40&lt;360)),-1,1)*$D$10*SIN(RADIANS(E40))+IF(OR(D40&gt;540,AND(D40&gt;180,D40&lt;360)),-1,1)*(MAX(AVERAGE(O40:P40),AVERAGE(Q40:R40))/COS(RADIANS(E40)))*COS(RADIANS(E40)))+3*$D$10*(MAX(AVERAGE(O40:P40),AVERAGE(Q40:R40))/COS(RADIANS(E40)))*SIN(RADIANS(2*E40))+4*$D$10^2*SIN(RADIANS(E40))^2+4*(MAX(AVERAGE(O40:P40),AVERAGE(Q40:R40))/COS(RADIANS(E40)))^2*COS(RADIANS(E40))^2)</f>
        <v>#N/A</v>
      </c>
      <c r="BI21" s="34" t="e">
        <f>$D$28*$D$10*(MIN(AVERAGE(O40:P40),AVERAGE(Q40:R40))/COS(RADIANS(E40)))/2*(2*(-$D$10/2*SIN(RADIANS(E40))*COS(RADIANS(E40)))+IF(OR(D40&gt;540,AND(D40&gt;180,D40&lt;=360)),-1,1)*$D$10*SIN(RADIANS(E40))+IF(OR(D40&gt;540,AND(D40&gt;180,D40&lt;=360)),-1,1)*(MIN(AVERAGE(O40:P40),AVERAGE(Q40:R40))/COS(RADIANS(E40)))*COS(RADIANS(E40)))</f>
        <v>#N/A</v>
      </c>
      <c r="BJ21" s="34" t="e">
        <f>($D$10/2*SIN(RADIANS(E40))*COS(RADIANS(E40)))+$D$28*$D$10*(MIN(AVERAGE(O40:P40),AVERAGE(Q40:R40))/COS(RADIANS(E40)))/(12*BD40)*(6*($D$10/2*SIN(RADIANS(E40))*COS(RADIANS(E40)))*(IF(OR(D40&gt;540,AND(D40&gt;180,D40&lt;360)),-1,1)*$D$10*SIN(RADIANS(E40))+IF(OR(D40&gt;540,AND(D40&gt;180,D40&lt;360)),-1,1)*(MIN(AVERAGE(O40:P40),AVERAGE(Q40:R40))/COS(RADIANS(E40)))*COS(RADIANS(E40)))+3*$D$10*(MIN(AVERAGE(O40:P40),AVERAGE(Q40:R40))/COS(RADIANS(E40)))*SIN(RADIANS(2*E40))+4*$D$10^2*SIN(RADIANS(E40))^2+4*(MIN(AVERAGE(O40:P40),AVERAGE(Q40:R40))/COS(RADIANS(E40)))^2*COS(RADIANS(E40))^2)</f>
        <v>#N/A</v>
      </c>
      <c r="BK21" s="34"/>
      <c r="BL21" s="34"/>
      <c r="BM21" s="62"/>
      <c r="BN21" s="62"/>
      <c r="BO21" s="62"/>
      <c r="BP21" s="62"/>
      <c r="BQ21" s="34"/>
      <c r="BR21" s="34"/>
    </row>
    <row r="22" spans="2:73" ht="15.75" x14ac:dyDescent="0.25">
      <c r="B22" s="851" t="s">
        <v>28</v>
      </c>
      <c r="C22" s="852"/>
      <c r="D22" s="338" t="e">
        <f>D20-D10</f>
        <v>#N/A</v>
      </c>
      <c r="E22" s="341" t="s">
        <v>342</v>
      </c>
      <c r="F22" s="342">
        <f>SUM(BB40:BE57,BB60:BE77,BB79:BE96)</f>
        <v>0</v>
      </c>
      <c r="G22" s="66"/>
      <c r="I22" s="819" t="s">
        <v>109</v>
      </c>
      <c r="J22" s="821"/>
      <c r="K22" s="66"/>
      <c r="M22" s="856" t="s">
        <v>132</v>
      </c>
      <c r="N22" s="857"/>
      <c r="O22" s="395" t="str">
        <f>IF('Macro References'!$A$8=TRUE,MAX(AW60:AX77,AW79:AX96,ABS(MIN(AW60:AX77,AW79:AX96))),"n/a")</f>
        <v>n/a</v>
      </c>
      <c r="P22" s="386"/>
      <c r="Q22" s="888">
        <v>12</v>
      </c>
      <c r="R22" s="391" t="e">
        <f>$D$6</f>
        <v>#N/A</v>
      </c>
      <c r="S22" s="386"/>
      <c r="T22" s="890">
        <v>12</v>
      </c>
      <c r="U22" s="392" t="e">
        <f>1.26*D6</f>
        <v>#N/A</v>
      </c>
      <c r="BD22" s="257"/>
      <c r="BE22" s="34"/>
      <c r="BF22" s="34" t="s">
        <v>129</v>
      </c>
      <c r="BG22" s="34" t="e">
        <f>$D$28*$D$10*($D$30/COS(RADIANS(E40)))/2*(2*(-$D$10/2*SIN(RADIANS(E40))*COS(RADIANS(E40)))+IF(OR(D40&gt;540,AND(D40&gt;180,D40&lt;=360)),-1,1)*$D$10*SIN(RADIANS(E40))+IF(OR(D40&gt;540,AND(D40&gt;180,D40&lt;=360)),-1,1)*($D$30/COS(RADIANS(E40)))*COS(RADIANS(E40)))</f>
        <v>#N/A</v>
      </c>
      <c r="BH22" s="34" t="e">
        <f>(-$D$10/2*SIN(RADIANS(E40))*COS(RADIANS(E40)))+$D$28*$D$10*($D$30/COS(RADIANS(E40)))/(12*BC40)*(6*(-$D$10/2*SIN(RADIANS(E40))*COS(RADIANS(E40)))*(IF(OR(D40&gt;540,AND(D40&gt;180,D40&lt;360)),-1,1)*$D$10*SIN(RADIANS(E40))+IF(OR(D40&gt;540,AND(D40&gt;180,D40&lt;360)),-1,1)*($D$30/COS(RADIANS(E40)))*COS(RADIANS(E40)))+3*$D$10*($D$30/COS(RADIANS(E40)))*SIN(RADIANS(2*E40))+4*$D$10^2*SIN(RADIANS(E40))^2+4*($D$30/COS(RADIANS(E40)))^2*COS(RADIANS(E40))^2)</f>
        <v>#N/A</v>
      </c>
      <c r="BI22" s="34" t="e">
        <f>$D$28*$D$10*($D$30/COS(RADIANS(E40)))/2*(2*(-$D$10/2*SIN(RADIANS(E40))*COS(RADIANS(E40)))+IF(OR(D40&gt;540,AND(D40&gt;180,D40&lt;=360)),-1,1)*$D$10*SIN(RADIANS(E40))+IF(OR(D40&gt;540,AND(D40&gt;180,D40&lt;=360)),-1,1)*($D$30/COS(RADIANS(E40)))*COS(RADIANS(E40)))</f>
        <v>#N/A</v>
      </c>
      <c r="BJ22" s="34" t="e">
        <f>(-$D$10/2*SIN(RADIANS(E40))*COS(RADIANS(E40)))+$D$28*$D$10*($D$30/COS(RADIANS(E40)))/(12*BD40)*(6*(-$D$10/2*SIN(RADIANS(E40))*COS(RADIANS(E40)))*(IF(OR(D40&gt;540,AND(D40&gt;180,D40&lt;360)),-1,1)*$D$10*SIN(RADIANS(E40))+IF(OR(D40&gt;540,AND(D40&gt;180,D40&lt;360)),-1,1)*($D$30/COS(RADIANS(E40)))*COS(RADIANS(E40)))+3*$D$10*($D$30/COS(RADIANS(E40)))*SIN(RADIANS(2*E40))+4*$D$10^2*SIN(RADIANS(E40))^2+4*($D$30/COS(RADIANS(E40)))^2*COS(RADIANS(E40))^2)</f>
        <v>#N/A</v>
      </c>
      <c r="BK22" s="34"/>
      <c r="BL22" s="34"/>
      <c r="BM22" s="62"/>
      <c r="BN22" s="62"/>
      <c r="BO22" s="62"/>
      <c r="BP22" s="62"/>
      <c r="BQ22" s="34"/>
      <c r="BR22" s="34"/>
    </row>
    <row r="23" spans="2:73" ht="15" x14ac:dyDescent="0.25">
      <c r="B23" s="851" t="s">
        <v>27</v>
      </c>
      <c r="C23" s="852"/>
      <c r="D23" s="338" t="e">
        <f>2*D21*TAN(RADIANS(D19/2))</f>
        <v>#N/A</v>
      </c>
      <c r="E23" s="66"/>
      <c r="F23" s="30"/>
      <c r="G23" s="66"/>
      <c r="I23" s="365" t="s">
        <v>823</v>
      </c>
      <c r="J23" s="209" t="e">
        <f>0.6*D6</f>
        <v>#N/A</v>
      </c>
      <c r="K23" s="66"/>
      <c r="M23" s="856" t="s">
        <v>133</v>
      </c>
      <c r="N23" s="857"/>
      <c r="O23" s="395">
        <f>IF('Macro References'!$A$8=TRUE,O18*D27/O20,0)</f>
        <v>0</v>
      </c>
      <c r="P23" s="386"/>
      <c r="Q23" s="888"/>
      <c r="R23" s="391" t="e">
        <f>1.45*$D$6*(1-0.22*SQRT($D$6/29000)*$D$29/$D$10)</f>
        <v>#N/A</v>
      </c>
      <c r="S23" s="386"/>
      <c r="T23" s="890"/>
      <c r="U23" s="392" t="e">
        <f>1.611*D6*(1-0.22*SQRT(D6/29000)*D29/D10)</f>
        <v>#N/A</v>
      </c>
      <c r="W23" s="259"/>
      <c r="X23" s="259"/>
      <c r="Y23" s="259"/>
      <c r="Z23" s="259"/>
      <c r="AU23" s="273"/>
      <c r="AV23" s="273"/>
      <c r="AW23" s="273"/>
      <c r="AX23" s="273"/>
      <c r="BD23" s="257"/>
      <c r="BE23" s="34"/>
      <c r="BF23" s="34" t="s">
        <v>130</v>
      </c>
      <c r="BG23" s="34" t="e">
        <f>$D$28*$D$10*($D$30-MIN(AVERAGE(O40:P40),AVERAGE(Q40:R40)))/COS(RADIANS(E40))/2*(2*(MIN(AVERAGE(O40:P40),AVERAGE(Q40:R40)))+IF(OR(D40&gt;540,AND(D40&gt;180,D40&lt;=360)),-1,1)*$D$10*SIN(RADIANS(E40))+IF(OR(D40&gt;540,AND(D40&gt;180,D40&lt;=360)),-1,1)*($D$30-MIN(AVERAGE(O40:P40),AVERAGE(Q40:R40)))/COS(RADIANS(E40))*COS(RADIANS(E40)))</f>
        <v>#N/A</v>
      </c>
      <c r="BH23" s="34" t="e">
        <f>(MIN(AVERAGE(O40:P40),AVERAGE(Q40:R40)))+$D$28*$D$10*($D$30-MIN(AVERAGE(O40:P40),AVERAGE(Q40:R40)))/COS(RADIANS(E40))/(12*BC40)*(6*(MIN(AVERAGE(O40:P40),AVERAGE(Q40:R40)))*(IF(OR(D40&gt;540,AND(D40&gt;180,D40&lt;360)),-1,1)*$D$10*SIN(RADIANS(E40))+IF(OR(D40&gt;540,AND(D40&gt;180,D40&lt;360)),-1,1)*($D$30-MIN(AVERAGE(O40:P40),AVERAGE(Q40:R40)))/COS(RADIANS(E40))*COS(RADIANS(E40)))+3*$D$10*($D$30-MIN(AVERAGE(O40:P40),AVERAGE(Q40:R40)))/COS(RADIANS(E40))*SIN(RADIANS(2*E40))+4*$D$10^2*SIN(RADIANS(E40))^2+4*(($D$30-MIN(AVERAGE(O40:P40),AVERAGE(Q40:R40)))/COS(RADIANS(E40)))^2*COS(RADIANS(E40))^2)</f>
        <v>#DIV/0!</v>
      </c>
      <c r="BI23" s="34" t="e">
        <f>$D$28*$D$10*(MAX(AVERAGE(O40:P40),AVERAGE(Q40:R40))+$D$30)/COS(RADIANS(E40))/2*(2*(MAX(AVERAGE(O40:P40),AVERAGE(Q40:R40)))+IF(OR(D40&gt;540,AND(D40&gt;180,D40&lt;=360)),-1,1)*$D$10*SIN(RADIANS(E40))+IF(OR(D40&gt;540,AND(D40&gt;180,D40&lt;=360)),-1,1)*(MAX(AVERAGE(O40:P40),AVERAGE(Q40:R40))+$D$30)/COS(RADIANS(E40))*COS(RADIANS(E40)))</f>
        <v>#N/A</v>
      </c>
      <c r="BJ23" s="34" t="e">
        <f>(MAX(AVERAGE(O40:P40),AVERAGE(Q40:R40)))+$D$28*$D$10*(MAX(AVERAGE(O40:P40),AVERAGE(Q40:R40))+$D$30)/COS(RADIANS(E40))/(12*BD40)*(6*(MAX(AVERAGE(O40:P40),AVERAGE(Q40:R40)))*(IF(OR(D40&gt;540,AND(D40&gt;180,D40&lt;360)),-1,1)*$D$10*SIN(RADIANS(E40))+IF(OR(D40&gt;540,AND(D40&gt;180,D40&lt;360)),-1,1)*(MAX(AVERAGE(O40:P40),AVERAGE(Q40:R40))+$D$30)/COS(RADIANS(E40))*COS(RADIANS(E40)))+3*$D$10*(MAX(AVERAGE(O40:P40),AVERAGE(Q40:R40))+$D$30)/COS(RADIANS(E40))*SIN(RADIANS(2*E40))+4*$D$10^2*SIN(RADIANS(E40))^2+4*((MAX(AVERAGE(O40:P40),AVERAGE(Q40:R40))+$D$30)/COS(RADIANS(E40)))^2*COS(RADIANS(E40))^2)</f>
        <v>#DIV/0!</v>
      </c>
      <c r="BK23" s="34"/>
      <c r="BL23" s="34"/>
      <c r="BM23" s="62"/>
      <c r="BN23" s="62"/>
      <c r="BO23" s="62"/>
      <c r="BP23" s="62"/>
      <c r="BQ23" s="34"/>
      <c r="BR23" s="34"/>
    </row>
    <row r="24" spans="2:73" ht="15" x14ac:dyDescent="0.25">
      <c r="B24" s="851" t="s">
        <v>26</v>
      </c>
      <c r="C24" s="852"/>
      <c r="D24" s="338" t="e">
        <f>2*D22*TAN(RADIANS(D19/2))</f>
        <v>#N/A</v>
      </c>
      <c r="E24" s="66"/>
      <c r="F24" s="66"/>
      <c r="G24" s="66"/>
      <c r="I24" s="366">
        <v>0</v>
      </c>
      <c r="J24" s="209" t="e">
        <f>0.66*D6</f>
        <v>#N/A</v>
      </c>
      <c r="K24" s="66"/>
      <c r="M24" s="386"/>
      <c r="N24" s="386"/>
      <c r="O24" s="386"/>
      <c r="P24" s="386"/>
      <c r="Q24" s="888">
        <v>8</v>
      </c>
      <c r="R24" s="391" t="e">
        <f>$D$6</f>
        <v>#N/A</v>
      </c>
      <c r="S24" s="386"/>
      <c r="T24" s="890">
        <v>8</v>
      </c>
      <c r="U24" s="392" t="e">
        <f>1.24*D6</f>
        <v>#N/A</v>
      </c>
      <c r="W24" s="259"/>
      <c r="X24" s="259"/>
      <c r="Y24" s="259"/>
      <c r="Z24" s="259"/>
      <c r="AU24" s="273"/>
      <c r="AV24" s="273"/>
      <c r="AW24" s="274"/>
      <c r="AX24" s="274"/>
      <c r="AY24" s="274"/>
      <c r="AZ24" s="274"/>
      <c r="BA24" s="274"/>
      <c r="BB24" s="419"/>
      <c r="BC24" s="62"/>
      <c r="BD24" s="34"/>
      <c r="BE24" s="34"/>
      <c r="BF24" s="420"/>
      <c r="BG24" s="420"/>
      <c r="BH24" s="420"/>
      <c r="BI24" s="420"/>
      <c r="BJ24" s="420"/>
      <c r="BK24" s="34"/>
      <c r="BL24" s="34"/>
      <c r="BM24" s="62"/>
      <c r="BN24" s="62"/>
      <c r="BO24" s="62"/>
      <c r="BP24" s="62"/>
      <c r="BQ24" s="34"/>
      <c r="BR24" s="34"/>
    </row>
    <row r="25" spans="2:73" ht="15" x14ac:dyDescent="0.25">
      <c r="B25" s="851" t="s">
        <v>120</v>
      </c>
      <c r="C25" s="852"/>
      <c r="D25" s="338" t="e">
        <f>MAX(D26:D27)</f>
        <v>#N/A</v>
      </c>
      <c r="E25" s="66"/>
      <c r="F25" s="30"/>
      <c r="G25" s="66"/>
      <c r="I25" s="819" t="s">
        <v>110</v>
      </c>
      <c r="J25" s="821"/>
      <c r="K25" s="66"/>
      <c r="M25" s="885" t="s">
        <v>155</v>
      </c>
      <c r="N25" s="885"/>
      <c r="O25" s="885"/>
      <c r="P25" s="396"/>
      <c r="Q25" s="888"/>
      <c r="R25" s="391" t="e">
        <f>1.42*$D$6*(1-0.194*SQRT($D$6/29000)*$D$29/$D$10)</f>
        <v>#N/A</v>
      </c>
      <c r="S25" s="386"/>
      <c r="T25" s="890"/>
      <c r="U25" s="392" t="e">
        <f>1.578*D6*(1-0.194*SQRT(D6/29000)*D29/D10)</f>
        <v>#N/A</v>
      </c>
      <c r="AU25" s="275"/>
      <c r="AV25" s="275"/>
      <c r="BB25" s="62"/>
      <c r="BC25" s="62"/>
      <c r="BD25" s="34"/>
      <c r="BE25" s="34"/>
      <c r="BF25" s="34"/>
      <c r="BG25" s="34"/>
      <c r="BH25" s="34"/>
      <c r="BI25" s="34"/>
      <c r="BJ25" s="421"/>
      <c r="BK25" s="34"/>
      <c r="BL25" s="34"/>
      <c r="BM25" s="62"/>
      <c r="BN25" s="62"/>
      <c r="BO25" s="62"/>
      <c r="BP25" s="62"/>
      <c r="BQ25" s="34"/>
      <c r="BR25" s="34"/>
    </row>
    <row r="26" spans="2:73" ht="15" x14ac:dyDescent="0.25">
      <c r="B26" s="851" t="s">
        <v>117</v>
      </c>
      <c r="C26" s="852"/>
      <c r="D26" s="338" t="e">
        <f>IF(D8=0,D9/2+ABS(D35),MAX(ABS(MAX(O40:R57)),ABS(MIN(O40:R57))))</f>
        <v>#N/A</v>
      </c>
      <c r="E26" s="66"/>
      <c r="F26" s="66" t="s">
        <v>839</v>
      </c>
      <c r="G26" s="66"/>
      <c r="I26" s="367">
        <v>18</v>
      </c>
      <c r="J26" s="368" t="e">
        <f>R19*0.6</f>
        <v>#N/A</v>
      </c>
      <c r="K26" s="66"/>
      <c r="M26" s="856" t="s">
        <v>156</v>
      </c>
      <c r="N26" s="857"/>
      <c r="O26" s="397" t="e">
        <f>D9/D10</f>
        <v>#N/A</v>
      </c>
      <c r="P26" s="398"/>
      <c r="Q26" s="384"/>
      <c r="R26" s="386"/>
      <c r="S26" s="386"/>
      <c r="T26" s="386"/>
      <c r="U26" s="386"/>
      <c r="AU26" s="275"/>
      <c r="AV26" s="275"/>
      <c r="BB26" s="62"/>
      <c r="BC26" s="62"/>
      <c r="BD26" s="34"/>
      <c r="BE26" s="34"/>
      <c r="BF26" s="34"/>
      <c r="BG26" s="34"/>
      <c r="BH26" s="34"/>
      <c r="BI26" s="34"/>
      <c r="BJ26" s="34"/>
      <c r="BK26" s="34"/>
      <c r="BL26" s="34"/>
      <c r="BM26" s="62"/>
      <c r="BN26" s="62"/>
      <c r="BO26" s="62"/>
      <c r="BP26" s="62"/>
      <c r="BQ26" s="422">
        <v>1</v>
      </c>
      <c r="BR26" s="422">
        <f>IF(BR11=1,1,-1)</f>
        <v>1</v>
      </c>
    </row>
    <row r="27" spans="2:73" ht="18" x14ac:dyDescent="0.35">
      <c r="B27" s="851" t="s">
        <v>118</v>
      </c>
      <c r="C27" s="852"/>
      <c r="D27" s="338">
        <f>MAX(ABS(MAX(S60:V77,S79:V96)),ABS(MIN(S60:V77,S79:V96)))</f>
        <v>0</v>
      </c>
      <c r="E27" s="66"/>
      <c r="F27" s="129" t="b">
        <v>1</v>
      </c>
      <c r="G27" s="66"/>
      <c r="I27" s="367">
        <v>16</v>
      </c>
      <c r="J27" s="209" t="e">
        <f>(0.852*D6*(1-0.00137*K16))</f>
        <v>#N/A</v>
      </c>
      <c r="K27" s="66"/>
      <c r="M27" s="856" t="s">
        <v>159</v>
      </c>
      <c r="N27" s="857"/>
      <c r="O27" s="397" t="e">
        <f>29000/D6</f>
        <v>#N/A</v>
      </c>
      <c r="P27" s="386"/>
      <c r="Q27" s="399" t="s">
        <v>830</v>
      </c>
      <c r="R27" s="400" t="e">
        <f>D12</f>
        <v>#N/A</v>
      </c>
      <c r="S27" s="386"/>
      <c r="T27" s="846" t="s">
        <v>1018</v>
      </c>
      <c r="U27" s="891"/>
      <c r="AU27" s="275"/>
      <c r="AV27" s="275"/>
      <c r="BB27" s="62"/>
      <c r="BC27" s="62"/>
      <c r="BD27" s="34"/>
      <c r="BE27" s="34"/>
      <c r="BF27" s="34"/>
      <c r="BG27" s="34"/>
      <c r="BH27" s="34"/>
      <c r="BI27" s="34"/>
      <c r="BJ27" s="423" t="s">
        <v>349</v>
      </c>
      <c r="BK27" s="406" t="s">
        <v>350</v>
      </c>
      <c r="BL27" s="406" t="s">
        <v>351</v>
      </c>
      <c r="BM27" s="406" t="s">
        <v>352</v>
      </c>
      <c r="BN27" s="406" t="s">
        <v>353</v>
      </c>
      <c r="BO27" s="406" t="s">
        <v>354</v>
      </c>
      <c r="BP27" s="424"/>
      <c r="BQ27" s="422">
        <v>2</v>
      </c>
      <c r="BR27" s="422">
        <f t="shared" ref="BR27:BR33" si="0">IF(BR12=1,1,-1)</f>
        <v>1</v>
      </c>
      <c r="BS27" s="49"/>
      <c r="BT27" s="49"/>
      <c r="BU27" s="49"/>
    </row>
    <row r="28" spans="2:73" ht="15" customHeight="1" x14ac:dyDescent="0.35">
      <c r="B28" s="851" t="s">
        <v>25</v>
      </c>
      <c r="C28" s="852"/>
      <c r="D28" s="338" t="e">
        <f>MIN(AS40,AS60:AS77,AS79:AS96)</f>
        <v>#N/A</v>
      </c>
      <c r="E28" s="30"/>
      <c r="F28" s="30"/>
      <c r="G28" s="30"/>
      <c r="I28" s="367">
        <v>12</v>
      </c>
      <c r="J28" s="209" t="e">
        <f>(0.87*D6*(1-0.00129*K16))</f>
        <v>#N/A</v>
      </c>
      <c r="K28" s="66"/>
      <c r="M28" s="856" t="s">
        <v>157</v>
      </c>
      <c r="N28" s="857"/>
      <c r="O28" s="397" t="e">
        <f>(D9^3-(D9-2*D10)^3)/6</f>
        <v>#N/A</v>
      </c>
      <c r="P28" s="386"/>
      <c r="Q28" s="401" t="s">
        <v>831</v>
      </c>
      <c r="R28" s="400" t="e">
        <f>IF(D8=0,1*IF('Macro References'!$A$8=TRUE,Calculations!O34+SUM(BJ60:BJ77,BJ79:BJ96)/12,Calculations!O30),1*SUM(BJ40:BJ57,BJ60:BJ77,BJ79:BJ96)/12)</f>
        <v>#N/A</v>
      </c>
      <c r="S28" s="386"/>
      <c r="T28" s="451" t="s">
        <v>1019</v>
      </c>
      <c r="U28" s="580" t="e">
        <f>1.6*29000/(SQRT(IF(D4=0,0.001,D4)*12/D9)*(D9/D10)^(5/4))</f>
        <v>#N/A</v>
      </c>
      <c r="AU28" s="275"/>
      <c r="AV28" s="275"/>
      <c r="AW28" s="271"/>
      <c r="BB28" s="62"/>
      <c r="BC28" s="62"/>
      <c r="BD28" s="34"/>
      <c r="BE28" s="34"/>
      <c r="BF28" s="34"/>
      <c r="BG28" s="34"/>
      <c r="BH28" s="34"/>
      <c r="BI28" s="34"/>
      <c r="BJ28" s="423" t="e">
        <f>($D$10/2*SIN(RADIANS(E40))*COS(RADIANS(E40)))</f>
        <v>#N/A</v>
      </c>
      <c r="BK28" s="406" t="e">
        <f>D28</f>
        <v>#N/A</v>
      </c>
      <c r="BL28" s="406" t="e">
        <f>D10</f>
        <v>#N/A</v>
      </c>
      <c r="BM28" s="406" t="e">
        <f>AVERAGE(O40:P40)/COS(BO28)</f>
        <v>#DIV/0!</v>
      </c>
      <c r="BN28" s="425" t="str">
        <f>BC40</f>
        <v/>
      </c>
      <c r="BO28" s="406">
        <f>RADIANS(5)</f>
        <v>8.7266462599716474E-2</v>
      </c>
      <c r="BP28" s="424"/>
      <c r="BQ28" s="422">
        <v>3</v>
      </c>
      <c r="BR28" s="422">
        <f t="shared" si="0"/>
        <v>-1</v>
      </c>
      <c r="BS28" s="49"/>
      <c r="BT28" s="49"/>
      <c r="BU28" s="49"/>
    </row>
    <row r="29" spans="2:73" ht="15" customHeight="1" x14ac:dyDescent="0.3">
      <c r="B29" s="883" t="s">
        <v>24</v>
      </c>
      <c r="C29" s="884"/>
      <c r="D29" s="467" t="e">
        <f>D24-2*(VLOOKUP($D$4,'Geometry 2'!E4:AM14,35,TRUE)/TAN(RADIANS(90-180/D8)))</f>
        <v>#N/A</v>
      </c>
      <c r="E29" s="30"/>
      <c r="F29" s="66" t="s">
        <v>861</v>
      </c>
      <c r="G29" s="30"/>
      <c r="I29" s="367">
        <v>8</v>
      </c>
      <c r="J29" s="209" t="e">
        <f>(0.852*D6*(1-0.00114*K16))</f>
        <v>#N/A</v>
      </c>
      <c r="K29" s="66"/>
      <c r="M29" s="856" t="s">
        <v>158</v>
      </c>
      <c r="N29" s="857"/>
      <c r="O29" s="397" t="e">
        <f>D32/D26</f>
        <v>#N/A</v>
      </c>
      <c r="P29" s="386"/>
      <c r="Q29" s="386"/>
      <c r="R29" s="386"/>
      <c r="S29" s="386"/>
      <c r="T29" s="451" t="s">
        <v>1020</v>
      </c>
      <c r="U29" s="580" t="e">
        <f>0.78*29000/((D9/D10)^(3/2))</f>
        <v>#N/A</v>
      </c>
      <c r="AU29" s="275"/>
      <c r="AV29" s="275"/>
      <c r="AW29" s="271"/>
      <c r="BB29" s="62"/>
      <c r="BC29" s="62"/>
      <c r="BD29" s="34"/>
      <c r="BE29" s="34"/>
      <c r="BF29" s="34"/>
      <c r="BG29" s="34"/>
      <c r="BH29" s="34"/>
      <c r="BI29" s="34"/>
      <c r="BJ29" s="406">
        <f>IF(BR5=1,1,-1)</f>
        <v>1</v>
      </c>
      <c r="BK29" s="406">
        <f>IF(BR6=1,1,-1)</f>
        <v>1</v>
      </c>
      <c r="BL29" s="406">
        <f>IF(BR7=1,1,-1)</f>
        <v>1</v>
      </c>
      <c r="BM29" s="406">
        <f>IF(BR8=1,1,-1)</f>
        <v>-1</v>
      </c>
      <c r="BN29" s="406">
        <f>IF(BR9=1,1,-1)</f>
        <v>-1</v>
      </c>
      <c r="BO29" s="406">
        <f>IF(BR10=1,1,-1)</f>
        <v>1</v>
      </c>
      <c r="BP29" s="62"/>
      <c r="BQ29" s="422">
        <v>4</v>
      </c>
      <c r="BR29" s="422">
        <f t="shared" si="0"/>
        <v>-1</v>
      </c>
    </row>
    <row r="30" spans="2:73" ht="15" customHeight="1" x14ac:dyDescent="0.3">
      <c r="B30" s="851" t="s">
        <v>39</v>
      </c>
      <c r="C30" s="852"/>
      <c r="D30" s="338" t="e">
        <f>D25</f>
        <v>#N/A</v>
      </c>
      <c r="E30" s="30"/>
      <c r="F30" s="524" t="b">
        <v>0</v>
      </c>
      <c r="G30" s="30"/>
      <c r="I30" s="369">
        <v>0</v>
      </c>
      <c r="J30" s="369" t="e">
        <f>(0.4*D6+662/(D9/D10))</f>
        <v>#N/A</v>
      </c>
      <c r="K30" s="30"/>
      <c r="M30" s="856" t="s">
        <v>625</v>
      </c>
      <c r="N30" s="857"/>
      <c r="O30" s="402" t="e">
        <f>φ_f*IF(O26&lt;=0.0714*O27,D6*O28,IF(O26&lt;=0.309*O27,(0.0207*O27/O26+1)*D6*O29,0.33*29000/O26*O29))/12</f>
        <v>#N/A</v>
      </c>
      <c r="P30" s="386"/>
      <c r="Q30" s="386"/>
      <c r="R30" s="386"/>
      <c r="S30" s="386"/>
      <c r="T30" s="451" t="s">
        <v>1021</v>
      </c>
      <c r="U30" s="581" t="e">
        <f>MIN(0.6*D6,MAX(U28,U29))</f>
        <v>#N/A</v>
      </c>
      <c r="AU30" s="275"/>
      <c r="AV30" s="275"/>
      <c r="BB30" s="62"/>
      <c r="BC30" s="62"/>
      <c r="BD30" s="34"/>
      <c r="BE30" s="34"/>
      <c r="BF30" s="34"/>
      <c r="BG30" s="34"/>
      <c r="BH30" s="34"/>
      <c r="BI30" s="34"/>
      <c r="BJ30" s="62"/>
      <c r="BK30" s="34"/>
      <c r="BL30" s="34"/>
      <c r="BM30" s="62"/>
      <c r="BN30" s="62"/>
      <c r="BO30" s="62"/>
      <c r="BP30" s="62"/>
      <c r="BQ30" s="422">
        <v>5</v>
      </c>
      <c r="BR30" s="422">
        <f t="shared" si="0"/>
        <v>-1</v>
      </c>
    </row>
    <row r="31" spans="2:73" ht="15" customHeight="1" x14ac:dyDescent="0.35">
      <c r="B31" s="851" t="s">
        <v>807</v>
      </c>
      <c r="C31" s="852"/>
      <c r="D31" s="343" t="e">
        <f>SUM(D32,M60:M77,M79:M96)</f>
        <v>#N/A</v>
      </c>
      <c r="E31" s="66"/>
      <c r="F31" s="66"/>
      <c r="G31" s="66"/>
      <c r="M31" s="854" t="s">
        <v>624</v>
      </c>
      <c r="N31" s="855"/>
      <c r="O31" s="403" t="e">
        <f>φ_f*MIN(0.33*29000/O26,D6)*O29/12</f>
        <v>#N/A</v>
      </c>
      <c r="P31" s="386"/>
      <c r="Q31" s="386"/>
      <c r="R31" s="386"/>
      <c r="S31" s="386"/>
      <c r="T31" s="386"/>
      <c r="U31" s="386"/>
      <c r="AU31" s="275"/>
      <c r="AV31" s="275"/>
      <c r="BB31" s="62"/>
      <c r="BC31" s="426"/>
      <c r="BD31" s="34"/>
      <c r="BE31" s="34"/>
      <c r="BF31" s="34"/>
      <c r="BG31" s="426"/>
      <c r="BH31" s="34"/>
      <c r="BI31" s="34" t="s">
        <v>627</v>
      </c>
      <c r="BJ31" s="34" t="s">
        <v>630</v>
      </c>
      <c r="BK31" s="34"/>
      <c r="BL31" s="34"/>
      <c r="BM31" s="62"/>
      <c r="BN31" s="62"/>
      <c r="BO31" s="62"/>
      <c r="BP31" s="62"/>
      <c r="BQ31" s="422">
        <v>6</v>
      </c>
      <c r="BR31" s="422">
        <f t="shared" si="0"/>
        <v>-1</v>
      </c>
    </row>
    <row r="32" spans="2:73" ht="15" customHeight="1" x14ac:dyDescent="0.35">
      <c r="B32" s="851" t="s">
        <v>808</v>
      </c>
      <c r="C32" s="852"/>
      <c r="D32" s="338" t="e">
        <f>IF(D8=0,PI()/4*((D9/2)^4-(D9/2-D10)^4)+D34*D35^2,SUM(M40:M57))</f>
        <v>#N/A</v>
      </c>
      <c r="E32" s="66"/>
      <c r="F32" s="66"/>
      <c r="G32" s="66"/>
      <c r="M32" s="856" t="s">
        <v>161</v>
      </c>
      <c r="N32" s="857"/>
      <c r="O32" s="402" t="e">
        <f>IF('Macro References'!$A$8=TRUE,O30*12/O29,O30*12/O29)</f>
        <v>#N/A</v>
      </c>
      <c r="P32" s="386"/>
      <c r="Q32" s="386"/>
      <c r="R32" s="386"/>
      <c r="S32" s="386"/>
      <c r="T32" s="386"/>
      <c r="U32" s="386"/>
      <c r="AU32" s="275"/>
      <c r="AV32" s="275"/>
      <c r="BB32" s="34"/>
      <c r="BC32" s="426"/>
      <c r="BD32" s="427">
        <f>SUM(BC40:BD55)</f>
        <v>0</v>
      </c>
      <c r="BE32" s="34"/>
      <c r="BF32" s="34"/>
      <c r="BG32" s="426"/>
      <c r="BH32" s="34"/>
      <c r="BI32" s="34"/>
      <c r="BJ32" s="34"/>
      <c r="BK32" s="62"/>
      <c r="BL32" s="62"/>
      <c r="BM32" s="34"/>
      <c r="BN32" s="62"/>
      <c r="BO32" s="62"/>
      <c r="BP32" s="62"/>
      <c r="BQ32" s="422">
        <v>7</v>
      </c>
      <c r="BR32" s="422">
        <f t="shared" si="0"/>
        <v>-1</v>
      </c>
    </row>
    <row r="33" spans="2:87" ht="15" customHeight="1" x14ac:dyDescent="0.35">
      <c r="B33" s="851" t="s">
        <v>809</v>
      </c>
      <c r="C33" s="852"/>
      <c r="D33" s="338" t="e">
        <f>SUM(D34,F60:F77,F79:F96)</f>
        <v>#N/A</v>
      </c>
      <c r="E33" s="66"/>
      <c r="F33" s="66"/>
      <c r="G33" s="66"/>
      <c r="H33" s="278"/>
      <c r="M33" s="856" t="s">
        <v>160</v>
      </c>
      <c r="N33" s="857"/>
      <c r="O33" s="402" t="e">
        <f>IF(O26&lt;=0.114*O27,D6,IF(O26&lt;=0.448*O27,(0.0379*29000/O26/D6+2/3)*D6,0.337*29000/O26))</f>
        <v>#N/A</v>
      </c>
      <c r="P33" s="386"/>
      <c r="Q33" s="386"/>
      <c r="R33" s="386"/>
      <c r="S33" s="386"/>
      <c r="T33" s="386"/>
      <c r="U33" s="386"/>
      <c r="AU33" s="275"/>
      <c r="AV33" s="275"/>
      <c r="BB33" s="34" t="s">
        <v>127</v>
      </c>
      <c r="BC33" s="34" t="e">
        <f>$D$28*$D$10*$D$23/2*(2*AV37+IF(OR(D37&gt;540,AND(D37&gt;180,D37&lt;=360)),-1,1)*$D$10*SIN(RADIANS(E37))+IF(OR(D37&gt;540,AND(D37&gt;180,D37&lt;=360)),-1,1)*$D$23*COS(RADIANS(E37)))</f>
        <v>#N/A</v>
      </c>
      <c r="BD33" s="34" t="e">
        <f>$D$28*$D$10*$D$23/2*(2*AV37+IF(OR(D37&gt;540,AND(D37&gt;180,D37&lt;=360)),-1,1)*$D$10*SIN(RADIANS(E37))+IF(OR(D37&gt;540,AND(D37&gt;180,D37&lt;=360)),-1,1)*$D$23*COS(RADIANS(E37)))</f>
        <v>#N/A</v>
      </c>
      <c r="BE33" s="34"/>
      <c r="BF33" s="428"/>
      <c r="BG33" s="34" t="e">
        <f>AV37+$D$28*$D$10*$D$23/(12*BC37)*(6*AV37*(IF(OR(D37&gt;540,AND(D37&gt;180,D37&lt;360)),-1,1)*$D$10*SIN(RADIANS(E37))+IF(OR(D37&gt;540,AND(D37&gt;180,D37&lt;360)),-1,1)*$D$23*COS(RADIANS(E37)))+3*$D$10*$D$23*SIN(RADIANS(2*E37))+4*$D$10^2*SIN(RADIANS(E37))^2+4*$D$23^2*COS(RADIANS(E37))^2)</f>
        <v>#N/A</v>
      </c>
      <c r="BH33" s="34" t="e">
        <f>AV37+$D$28*$D$10*$D$23/(12*BD37)*(6*AV37*(IF(OR(D37&gt;540,AND(D37&gt;180,D37&lt;360)),-1,1)*$D$10*SIN(RADIANS(E37))+IF(OR(D37&gt;540,AND(D37&gt;180,D37&lt;360)),-1,1)*$D$23*COS(RADIANS(E37)))+3*$D$10*$D$23*SIN(RADIANS(2*E37))+4*$D$10^2*SIN(RADIANS(E37))^2+4*$D$23^2*COS(RADIANS(E37))^2)</f>
        <v>#N/A</v>
      </c>
      <c r="BI33" s="34" t="s">
        <v>628</v>
      </c>
      <c r="BJ33" s="428">
        <f>SUM(BJ40:BJ57)/12</f>
        <v>0</v>
      </c>
      <c r="BK33" s="62"/>
      <c r="BL33" s="62"/>
      <c r="BM33" s="62"/>
      <c r="BN33" s="62"/>
      <c r="BO33" s="62"/>
      <c r="BP33" s="62"/>
      <c r="BQ33" s="422">
        <v>8</v>
      </c>
      <c r="BR33" s="422">
        <f t="shared" si="0"/>
        <v>1</v>
      </c>
    </row>
    <row r="34" spans="2:87" ht="15" customHeight="1" x14ac:dyDescent="0.35">
      <c r="B34" s="851" t="s">
        <v>810</v>
      </c>
      <c r="C34" s="852"/>
      <c r="D34" s="338" t="e">
        <f>IF(D8=0,PI()/4*(D9^2-(D9-2*D10)^2),SUM(F40:F57))</f>
        <v>#N/A</v>
      </c>
      <c r="E34" s="66"/>
      <c r="F34" s="66"/>
      <c r="G34" s="66"/>
      <c r="M34" s="856" t="s">
        <v>626</v>
      </c>
      <c r="N34" s="857"/>
      <c r="O34" s="402" t="e">
        <f>O30*D28/AS40</f>
        <v>#N/A</v>
      </c>
      <c r="P34" s="386"/>
      <c r="Q34" s="386"/>
      <c r="R34" s="404"/>
      <c r="S34" s="386"/>
      <c r="T34" s="386"/>
      <c r="U34" s="386"/>
      <c r="AU34" s="275"/>
      <c r="AV34" s="275"/>
      <c r="BB34" s="34" t="s">
        <v>128</v>
      </c>
      <c r="BC34" s="34" t="e">
        <f>$D$28*$D$10*(MAX(AVERAGE(O37:P37),AVERAGE(Q37:R37))/COS(RADIANS(E37)))/2*(2*(-$D$10/2*SIN(RADIANS(E37))*COS(RADIANS(E37)))+$D$10*SIN(RADIANS(E37))+(MAX(AVERAGE(O37:P37),AVERAGE(Q37:R37))/COS(RADIANS(E37)))*COS(RADIANS(E37)))</f>
        <v>#N/A</v>
      </c>
      <c r="BD34" s="34" t="e">
        <f>$D$28*$D$10*(MIN(AVERAGE(O37:P37),AVERAGE(Q37:R37))/COS(RADIANS(E37)))/2*(2*(-$D$10/2*SIN(RADIANS(E37))*COS(RADIANS(E37)))+$D$10*SIN(RADIANS(E37))-(MIN(AVERAGE(O37:P37),AVERAGE(Q37:R37))/COS(RADIANS(E37)))*COS(RADIANS(E37)))</f>
        <v>#N/A</v>
      </c>
      <c r="BE34" s="34"/>
      <c r="BF34" s="34"/>
      <c r="BG34" s="34" t="e">
        <f>(-$D$10/2*SIN(RADIANS(E37))*COS(RADIANS(E37)))+$D$28*$D$10*(MAX(AVERAGE(O37:P37),AVERAGE(Q37:R37))/COS(RADIANS(E37)))/(12*BC37)*(6*(-$D$10/2*SIN(RADIANS(E37))*COS(RADIANS(E37)))*($D$10*SIN(RADIANS(E37))+(MAX(AVERAGE(O37:P37),AVERAGE(Q37:R37))/COS(RADIANS(E37)))*COS(RADIANS(E37)))+3*$D$10*(MAX(AVERAGE(O37:P37),AVERAGE(Q37:R37))/COS(RADIANS(E37)))*SIN(RADIANS(2*E37))+4*$D$10^2*SIN(RADIANS(E37))^2+4*(MAX(AVERAGE(O37:P37),AVERAGE(Q37:R37))/COS(RADIANS(E37)))^2*COS(RADIANS(E37))^2)</f>
        <v>#N/A</v>
      </c>
      <c r="BH34" s="34" t="e">
        <f>(($D$10/2*SIN(RADIANS(E37))*COS(RADIANS(E37)))+$D$28*$D$10*(MIN(AVERAGE(O37:P37),AVERAGE(Q37:R37))/COS(RADIANS(E37)))/(12*BD37)*(-6*($D$10/2*SIN(RADIANS(E37))*COS(RADIANS(E37)))*(-$D$10*SIN(RADIANS(E37))+(MIN(AVERAGE(O37:P37),AVERAGE(Q37:R37))/COS(RADIANS(E37)))*COS(RADIANS(E37)))+3*$D$10*(MIN(AVERAGE(O37:P37),AVERAGE(Q37:R37))/COS(RADIANS(E37)))*SIN(RADIANS(2*E37))-4*$D$10^2*SIN(RADIANS(E37))^2-4*(MIN(AVERAGE(O37:P37),AVERAGE(Q37:R37))/COS(RADIANS(E37)))^2*COS(RADIANS(E37))^2))</f>
        <v>#N/A</v>
      </c>
      <c r="BI34" s="34" t="s">
        <v>629</v>
      </c>
      <c r="BJ34" s="34">
        <v>4473.4854128101533</v>
      </c>
      <c r="BK34" s="62"/>
      <c r="BM34" s="62"/>
      <c r="BN34" s="62"/>
      <c r="BO34" s="62"/>
    </row>
    <row r="35" spans="2:87" ht="15" customHeight="1" x14ac:dyDescent="0.3">
      <c r="B35" s="851" t="s">
        <v>811</v>
      </c>
      <c r="C35" s="852"/>
      <c r="D35" s="338" t="e">
        <f>F18</f>
        <v>#N/A</v>
      </c>
      <c r="E35" s="66"/>
      <c r="F35" s="66"/>
      <c r="G35" s="66"/>
      <c r="M35" s="280"/>
      <c r="N35" s="281"/>
      <c r="O35" s="264"/>
      <c r="R35" s="273"/>
      <c r="AU35" s="275"/>
      <c r="AV35" s="275"/>
      <c r="BB35" s="34" t="s">
        <v>129</v>
      </c>
      <c r="BC35" s="34" t="e">
        <f>$D$28*$D$10*($D$30/COS(RADIANS(E37)))/2*(2*(-$D$10/2*SIN(RADIANS(E37))*COS(RADIANS(E37)))+IF(OR(D37&gt;540,AND(D37&gt;180,D37&lt;=360)),-1,1)*$D$10*SIN(RADIANS(E37))+IF(OR(D37&gt;540,AND(D37&gt;180,D37&lt;=360)),-1,1)*($D$30/COS(RADIANS(E37)))*COS(RADIANS(E37)))</f>
        <v>#N/A</v>
      </c>
      <c r="BD35" s="34" t="e">
        <f>$D$28*$D$10*($D$30/COS(RADIANS(E37)))/2*(2*(-$D$10/2*SIN(RADIANS(E37))*COS(RADIANS(E37)))+IF(OR(D37&gt;540,AND(D37&gt;180,D37&lt;=360)),-1,1)*$D$10*SIN(RADIANS(E37))+IF(OR(D37&gt;540,AND(D37&gt;180,D37&lt;=360)),-1,1)*($D$30/COS(RADIANS(E37)))*COS(RADIANS(E37)))</f>
        <v>#N/A</v>
      </c>
      <c r="BE35" s="34"/>
      <c r="BF35" s="34" t="str">
        <f>IFERROR(IF(AND(MAX(O37:R37)&gt;=0,MIN(AVERAGE(O37:P37),AVERAGE(Q37:R37))&lt;=$D$30),IF(AND(MIN(AVERAGE(O37:P37),AVERAGE(Q37:R37))&gt;0,MAX(AVERAGE(O37:P37),AVERAGE(Q37:R37))&lt;=$D$30),$D$28*$D$10*$D$23/2*(2*AV37+IF(OR(D37&gt;540,AND(D37&gt;180,D37&lt;=360)),-1,1)*$D$10*SIN(RADIANS(E37))+IF(OR(D37&gt;540,AND(D37&gt;180,D37&lt;=360)),-1,1)*$D$23*COS(RADIANS(E37))),IF(MIN(O37:R37)&gt;=0,$D$28*$D$10*($D$30-MIN(AVERAGE(O37:P37),AVERAGE(Q37:R37)))/COS(RADIANS(E37))/2*(2*(MIN(AVERAGE(O37:P37),AVERAGE(Q37:R37)))+IF(OR(D37&gt;540,AND(D37&gt;180,D37&lt;=360)),-1,1)*$D$10*SIN(RADIANS(E37))+IF(OR(D37&gt;540,AND(D37&gt;180,D37&lt;=360)),-1,1)*($D$30-MIN(AVERAGE(O37:P37),AVERAGE(Q37:R37)))/COS(RADIANS(E37))*COS(RADIANS(E37))),IF(MAX(AVERAGE(O37:P37),AVERAGE(Q37:R37))&gt;$D$30,$D$28*$D$10*($D$30/COS(RADIANS(E37)))/2*(2*(-$D$10/2*SIN(RADIANS(E37))*COS(RADIANS(E37)))+IF(OR(D37&gt;540,AND(D37&gt;180,D37&lt;=360)),-1,1)*$D$10*SIN(RADIANS(E37))+IF(OR(D37&gt;540,AND(D37&gt;180,D37&lt;=360)),-1,1)*($D$30/COS(RADIANS(E37)))*COS(RADIANS(E37))), $D$28*$D$10*(MAX(AVERAGE(O37:P37),AVERAGE(Q37:R37))/COS(RADIANS(E37)))/2*(2*(-$D$10/2*SIN(RADIANS(E37))*COS(RADIANS(E37)))+IF(OR(D37&gt;540,AND(D37&gt;180,D37&lt;=360)),-1,1)*$D$10*SIN(RADIANS(E37))+IF(OR(D37&gt;540,AND(D37&gt;180,D37&lt;=360)),-1,1)*(MAX(AVERAGE(O37:P37),AVERAGE(Q37:R37))/COS(RADIANS(E37)))*COS(RADIANS(E37)))))),""),"")</f>
        <v/>
      </c>
      <c r="BG35" s="34" t="e">
        <f>(-$D$10/2*SIN(RADIANS(E37))*COS(RADIANS(E37)))+$D$28*$D$10*($D$30/COS(RADIANS(E37)))/(12*BC37)*(6*(-$D$10/2*SIN(RADIANS(E37))*COS(RADIANS(E37)))*(IF(OR(D37&gt;540,AND(D37&gt;180,D37&lt;360)),-1,1)*$D$10*SIN(RADIANS(E37))+IF(OR(D37&gt;540,AND(D37&gt;180,D37&lt;360)),-1,1)*($D$30/COS(RADIANS(E37)))*COS(RADIANS(E37)))+3*$D$10*($D$30/COS(RADIANS(E37)))*SIN(RADIANS(2*E37))+4*$D$10^2*SIN(RADIANS(E37))^2+4*($D$30/COS(RADIANS(E37)))^2*COS(RADIANS(E37))^2)</f>
        <v>#N/A</v>
      </c>
      <c r="BH35" s="34" t="e">
        <f>(-$D$10/2*SIN(RADIANS(E37))*COS(RADIANS(E37)))+$D$28*$D$10*($D$30/COS(RADIANS(E37)))/(12*BD37)*(6*(-$D$10/2*SIN(RADIANS(E37))*COS(RADIANS(E37)))*(IF(OR(D37&gt;540,AND(D37&gt;180,D37&lt;360)),-1,1)*$D$10*SIN(RADIANS(E37))+IF(OR(D37&gt;540,AND(D37&gt;180,D37&lt;360)),-1,1)*($D$30/COS(RADIANS(E37)))*COS(RADIANS(E37)))+3*$D$10*($D$30/COS(RADIANS(E37)))*SIN(RADIANS(2*E37))+4*$D$10^2*SIN(RADIANS(E37))^2+4*($D$30/COS(RADIANS(E37)))^2*COS(RADIANS(E37))^2)</f>
        <v>#N/A</v>
      </c>
      <c r="BI35" s="62"/>
      <c r="BJ35" s="62"/>
      <c r="BK35" s="62"/>
      <c r="BM35" s="62"/>
      <c r="BN35" s="62"/>
      <c r="BO35" s="62"/>
    </row>
    <row r="36" spans="2:87" ht="15" customHeight="1" x14ac:dyDescent="0.25">
      <c r="B36" s="851" t="s">
        <v>202</v>
      </c>
      <c r="C36" s="852"/>
      <c r="D36" s="338" t="e">
        <f>D12*12*D25/D31</f>
        <v>#N/A</v>
      </c>
      <c r="E36" s="66"/>
      <c r="F36" s="66"/>
      <c r="G36" s="66"/>
      <c r="M36" s="280"/>
      <c r="N36" s="281"/>
      <c r="O36" s="264"/>
      <c r="Q36" s="282"/>
      <c r="AU36" s="275"/>
      <c r="AV36" s="275"/>
      <c r="BB36" s="34" t="s">
        <v>130</v>
      </c>
      <c r="BC36" s="428" t="e">
        <f>$D$28*$D$10*($D$30-MIN(AVERAGE(O37:P37),AVERAGE(Q37:R37)))/COS(RADIANS(E37))/2*(2*(MIN(AVERAGE(O37:P37),AVERAGE(Q37:R37)))+IF(OR(D37&gt;540,AND(D37&gt;180,D37&lt;=360)),-1,1)*$D$10*SIN(RADIANS(E37))+IF(OR(D37&gt;540,AND(D37&gt;180,D37&lt;=360)),-1,1)*($D$30-MIN(AVERAGE(O37:P37),AVERAGE(Q37:R37)))/COS(RADIANS(E37))*COS(RADIANS(E37)))</f>
        <v>#N/A</v>
      </c>
      <c r="BD36" s="34" t="e">
        <f>$D$28*$D$10*(MAX(AVERAGE(O37:P37),AVERAGE(Q37:R37))+$D$30)/COS(RADIANS(E37))/2*(2*(MAX(AVERAGE(O37:P37),AVERAGE(Q37:R37)))+IF(OR(D37&gt;540,AND(D37&gt;180,D37&lt;=360)),-1,1)*$D$10*SIN(RADIANS(E37))+IF(OR(D37&gt;540,AND(D37&gt;180,D37&lt;=360)),-1,1)*(MAX(AVERAGE(O37:P37),AVERAGE(Q37:R37))+$D$30)/COS(RADIANS(E37))*COS(RADIANS(E37)))</f>
        <v>#N/A</v>
      </c>
      <c r="BE36" s="34"/>
      <c r="BF36" s="34"/>
      <c r="BG36" s="34" t="e">
        <f>(MIN(AVERAGE(O37:P37),AVERAGE(Q37:R37)))+$D$28*$D$10*($D$30-MIN(AVERAGE(O37:P37),AVERAGE(Q37:R37)))/COS(RADIANS(E37))/(12*BC37)*(6*(MIN(AVERAGE(O37:P37),AVERAGE(Q37:R37)))*(IF(OR(D37&gt;540,AND(D37&gt;180,D37&lt;360)),-1,1)*$D$10*SIN(RADIANS(E37))+IF(OR(D37&gt;540,AND(D37&gt;180,D37&lt;360)),-1,1)*($D$30-MIN(AVERAGE(O37:P37),AVERAGE(Q37:R37)))/COS(RADIANS(E37))*COS(RADIANS(E37)))+3*$D$10*($D$30-MIN(AVERAGE(O37:P37),AVERAGE(Q37:R37)))/COS(RADIANS(E37))*SIN(RADIANS(2*E37))+4*$D$10^2*SIN(RADIANS(E37))^2+4*(($D$30-MIN(AVERAGE(O37:P37),AVERAGE(Q37:R37)))/COS(RADIANS(E37)))^2*COS(RADIANS(E37))^2)</f>
        <v>#DIV/0!</v>
      </c>
      <c r="BH36" s="34" t="e">
        <f>(MAX(AVERAGE(O37:P37),AVERAGE(Q37:R37)))+$D$28*$D$10*(MAX(AVERAGE(O37:P37),AVERAGE(Q37:R37))+$D$30)/COS(RADIANS(E37))/(12*BD37)*(6*(MAX(AVERAGE(O37:P37),AVERAGE(Q37:R37)))*(IF(OR(D37&gt;540,AND(D37&gt;180,D37&lt;360)),-1,1)*$D$10*SIN(RADIANS(E37))+IF(OR(D37&gt;540,AND(D37&gt;180,D37&lt;360)),-1,1)*(MAX(AVERAGE(O37:P37),AVERAGE(Q37:R37))+$D$30)/COS(RADIANS(E37))*COS(RADIANS(E37)))+3*$D$10*(MAX(AVERAGE(O37:P37),AVERAGE(Q37:R37))+$D$30)/COS(RADIANS(E37))*SIN(RADIANS(2*E37))+4*$D$10^2*SIN(RADIANS(E37))^2+4*((MAX(AVERAGE(O37:P37),AVERAGE(Q37:R37))+$D$30)/COS(RADIANS(E37)))^2*COS(RADIANS(E37))^2)</f>
        <v>#DIV/0!</v>
      </c>
      <c r="BI36" s="62"/>
      <c r="BJ36" s="62"/>
      <c r="BK36" s="62"/>
      <c r="BM36" s="62"/>
      <c r="BN36" s="62"/>
      <c r="BO36" s="62"/>
    </row>
    <row r="37" spans="2:87" ht="15" customHeight="1" x14ac:dyDescent="0.35">
      <c r="B37" s="851" t="s">
        <v>812</v>
      </c>
      <c r="C37" s="852"/>
      <c r="D37" s="338" t="e">
        <f>IF(D8=0,PI()/4*((D9/2)^4-(D9/2-D10)^4),AB128)</f>
        <v>#N/A</v>
      </c>
      <c r="E37" s="66"/>
      <c r="F37" s="66"/>
      <c r="G37" s="66"/>
      <c r="Z37" s="260"/>
      <c r="AA37" s="260"/>
      <c r="AU37" s="275"/>
      <c r="AV37" s="275"/>
      <c r="AY37" s="30" t="s">
        <v>382</v>
      </c>
      <c r="BB37" s="62"/>
      <c r="BC37" s="429" t="e">
        <f>$D$28*$D$10*(MAX(AVERAGE(O37:P37),AVERAGE(Q37:R37))/COS(RADIANS(E37)))/2*(2*(-$D$10/2*SIN(RADIANS(E37))*COS(RADIANS(E37)))+$D$10*SIN(RADIANS(E37))+(MAX(AVERAGE(O37:P37),AVERAGE(Q37:R37))/COS(RADIANS(E37)))*COS(RADIANS(E37)))</f>
        <v>#N/A</v>
      </c>
      <c r="BD37" s="429" t="str">
        <f>IFERROR(IF(AND(MIN(AVERAGE(O37:P37),AVERAGE(Q37:R37))&lt;0,MAX(AVERAGE(O37:P37),AVERAGE(Q37:R37))&gt;=-$D$30),IF(AND(MAX(AVERAGE(O37:P37),AVERAGE(Q37:R37))&lt;=0,MIN(AVERAGE(O37:P37),AVERAGE(Q37:R37))&gt;=-$D$30),$D$28*$D$10*$D$23/2*(2*AV37+IF(OR(D37&gt;540,AND(D37&gt;180,D37&lt;=360)),-1,1)*$D$10*SIN(RADIANS(E37))+IF(OR(D37&gt;540,AND(D37&gt;180,D37&lt;=360)),-1,1)*$D$23*COS(RADIANS(E37))),IF(MAX(AVERAGE(O37:P37),AVERAGE(Q37:R37))&lt;=0,$D$28*$D$10*(MAX(AVERAGE(O37:P37),AVERAGE(Q37:R37))+$D$30)/COS(RADIANS(E37))/2*(2*(MAX(AVERAGE(O37:P37),AVERAGE(Q37:R37)))+IF(OR(D37&gt;540,AND(D37&gt;180,D37&lt;=360)),-1,1)*$D$10*SIN(RADIANS(E37))+IF(OR(D37&gt;540,AND(D37&gt;180,D37&lt;=360)),-1,1)*(MAX(AVERAGE(O37:P37),AVERAGE(Q37:R37))+$D$30)/COS(RADIANS(E37))*COS(RADIANS(E37))),IF(MIN(AVERAGE(O37:P37),AVERAGE(Q37:R37))&lt;-$D$30,$D$28*$D$10*($D$30/COS(RADIANS(E37)))/2*(2*(-$D$10/2*SIN(RADIANS(E37))*COS(RADIANS(E37)))+IF(OR(D37&gt;540,AND(D37&gt;180,D37&lt;=360)),-1,1)*$D$10*SIN(RADIANS(E37))+IF(OR(D37&gt;540,AND(D37&gt;180,D37&lt;=360)),-1,1)*($D$30/COS(RADIANS(E37)))*COS(RADIANS(E37))),$D$28*$D$10*(MIN(AVERAGE(O37:P37),AVERAGE(Q37:R37))/COS(RADIANS(E37)))/2*(2*(-$D$10/2*SIN(RADIANS(E37))*COS(RADIANS(E37)))+$D$10*SIN(RADIANS(E37))-(MIN(AVERAGE(O37:P37),AVERAGE(Q37:R37))/COS(RADIANS(E37)))*COS(RADIANS(E37)))))),""),"")</f>
        <v/>
      </c>
      <c r="BE37" s="62" t="str">
        <f>IFERROR(IF(AND(MIN(AVERAGE(O37:P37),AVERAGE(Q37:R37))&lt;0,MAX(AVERAGE(O37:P37),AVERAGE(Q37:R37))&gt;=-$D$30),IF(AND(MAX(AVERAGE(O37:P37),AVERAGE(Q37:R37))&lt;=0,MIN(AVERAGE(O37:P37),AVERAGE(Q37:R37))&gt;=-$D$30),$D$28*$D$10*$D$23/2*(2*AV37+IF(OR(D37&gt;540,AND(D37&gt;180,D37&lt;=360)),-1,1)*$D$10*SIN(RADIANS(E37))+IF(OR(D37&gt;540,AND(D37&gt;180,D37&lt;=360)),-1,1)*$D$23*COS(RADIANS(E37))),IF(MAX(AVERAGE(O37:P37),AVERAGE(Q37:R37))&lt;=0,$D$28*$D$10*(MAX(AVERAGE(O37:P37),AVERAGE(Q37:R37))+$D$30)/COS(RADIANS(E37))/2*(2*(MAX(AVERAGE(O37:P37),AVERAGE(Q37:R37)))+IF(OR(D37&gt;540,AND(D37&gt;180,D37&lt;=360)),-1,1)*$D$10*SIN(RADIANS(E37))+IF(OR(D37&gt;540,AND(D37&gt;180,D37&lt;=360)),-1,1)*(MAX(AVERAGE(O37:P37),AVERAGE(Q37:R37))+$D$30)/COS(RADIANS(E37))*COS(RADIANS(E37))),IF(MIN(AVERAGE(O37:P37),AVERAGE(Q37:R37))&lt;-$D$30,$D$28*$D$10*($D$30/COS(RADIANS(E37)))/2*(2*(-$D$10/2*SIN(RADIANS(E37))*COS(RADIANS(E37)))+IF(OR(D37&gt;540,AND(D37&gt;180,D37&lt;=360)),-1,1)*$D$10*SIN(RADIANS(E37))+IF(OR(D37&gt;540,AND(D37&gt;180,D37&lt;=360)),-1,1)*($D$30/COS(RADIANS(E37)))*COS(RADIANS(E37))),-$D$28*$D$10*(MIN(AVERAGE(O37:P37),AVERAGE(Q37:R37))/COS(RADIANS(E37)))/2*(2*(-$D$10/2*SIN(RADIANS(E37))*COS(RADIANS(E37)))+$D$10*SIN(RADIANS(E37))+(MIN(AVERAGE(O37:P37),AVERAGE(Q37:R37))/COS(RADIANS(E37)))*COS(RADIANS(E37)))))),""),"")</f>
        <v/>
      </c>
      <c r="BF37" s="62"/>
      <c r="BG37" s="430" t="str">
        <f>IFERROR(IF(AND(MAX(AVERAGE(O37:P37),AVERAGE(Q37:R37))&gt;0,MIN(AVERAGE(O37:P37),AVERAGE(Q37:R37))&lt;=$D$30),IF(AND(MIN(AVERAGE(O37:P37),AVERAGE(Q37:R37))&gt;=0,MAX(AVERAGE(O37:P37),AVERAGE(Q37:R37))&lt;=$D$30),AV37+$D$28*$D$10*$D$23/(12*BC37)*(6*AV37*(IF(OR(D37&gt;540,AND(D37&gt;180,D37&lt;360)),-1,1)*$D$10*SIN(RADIANS(E37))+IF(OR(D37&gt;540,AND(D37&gt;180,D37&lt;360)),-1,1)*$D$23*COS(RADIANS(E37)))+3*$D$10*$D$23*SIN(RADIANS(2*E37))+4*$D$10^2*SIN(RADIANS(E37))^2+4*$D$23^2*COS(RADIANS(E37))^2),IF(MIN(AVERAGE(O37:P37),AVERAGE(Q37:R37))&gt;=0,(MIN(AVERAGE(O37:P37),AVERAGE(Q37:R37)))+$D$28*$D$10*($D$30-MIN(AVERAGE(O37:P37),AVERAGE(Q37:R37)))/COS(RADIANS(E37))/(12*BC37)*(6*(MIN(AVERAGE(O37:P37),AVERAGE(Q37:R37)))*(IF(OR(D37&gt;540,AND(D37&gt;180,D37&lt;360)),-1,1)*$D$10*SIN(RADIANS(E37))+IF(OR(D37&gt;540,AND(D37&gt;180,D37&lt;360)),-1,1)*($D$30-MIN(AVERAGE(O37:P37),AVERAGE(Q37:R37)))/COS(RADIANS(E37))*COS(RADIANS(E37)))+3*$D$10*($D$30-MIN(AVERAGE(O37:P37),AVERAGE(Q37:R37)))/COS(RADIANS(E37))*SIN(RADIANS(2*E37))+4*$D$10^2*SIN(RADIANS(E37))^2+4*(($D$30-MIN(AVERAGE(O37:P37),AVERAGE(Q37:R37)))/COS(RADIANS(E37)))^2*COS(RADIANS(E37))^2),IF(MAX(AVERAGE(O37:P37),AVERAGE(Q37:R37))&gt;$D$30,(-$D$10/2*SIN(RADIANS(E37))*COS(RADIANS(E37)))+$D$28*$D$10*($D$30/COS(RADIANS(E37)))/(12*BC37)*(6*(-$D$10/2*SIN(RADIANS(E37))*COS(RADIANS(E37)))*(IF(OR(D37&gt;540,AND(D37&gt;180,D37&lt;360)),-1,1)*$D$10*SIN(RADIANS(E37))+IF(OR(D37&gt;540,AND(D37&gt;180,D37&lt;360)),-1,1)*($D$30/COS(RADIANS(E37)))*COS(RADIANS(E37)))+3*$D$10*($D$30/COS(RADIANS(E37)))*SIN(RADIANS(2*E37))+4*$D$10^2*SIN(RADIANS(E37))^2+4*($D$30/COS(RADIANS(E37)))^2*COS(RADIANS(E37))^2),(-$D$10/2*SIN(RADIANS(E37))*COS(RADIANS(E37)))+$D$28*$D$10*(MAX(AVERAGE(O37:P37),AVERAGE(Q37:R37))/COS(RADIANS(E37)))/(12*BC37)*(6*(-$D$10/2*SIN(RADIANS(E37))*COS(RADIANS(E37)))*($D$10*SIN(RADIANS(E37))+(MAX(AVERAGE(O37:P37),AVERAGE(Q37:R37))/COS(RADIANS(E37)))*COS(RADIANS(E37)))+3*$D$10*(MAX(AVERAGE(O37:P37),AVERAGE(Q37:R37))/COS(RADIANS(E37)))*SIN(RADIANS(2*E37))+4*$D$10^2*SIN(RADIANS(E37))^2+4*(MAX(AVERAGE(O37:P37),AVERAGE(Q37:R37))/COS(RADIANS(E37)))^2*COS(RADIANS(E37))^2)))),""),"")</f>
        <v/>
      </c>
      <c r="BH37" s="430" t="str">
        <f>IFERROR(IF(AND(MIN(AVERAGE(O37:P37),AVERAGE(Q37:R37))&lt;0,MAX(AVERAGE(O37:P37),AVERAGE(Q37:R37))&gt;=-$D$30),IF(AND(MAX(AVERAGE(O37:P37),AVERAGE(Q37:R37))&lt;=0,MIN(AVERAGE(O37:P37),AVERAGE(Q37:R37))&gt;=-$D$30),AV37+$D$28*$D$10*$D$23/(12*BD37)*(6*AV37*(IF(OR(D37&gt;540,AND(D37&gt;180,D37&lt;360)),-1,1)*$D$10*SIN(RADIANS(E37))+IF(OR(D37&gt;540,AND(D37&gt;180,D37&lt;360)),-1,1)*$D$23*COS(RADIANS(E37)))+3*$D$10*$D$23*SIN(RADIANS(2*E37))+4*$D$10^2*SIN(RADIANS(E37))^2+4*$D$23^2*COS(RADIANS(E37))^2),IF(MAX(AVERAGE(O37:P37),AVERAGE(Q37:R37))&lt;=0,(MAX(AVERAGE(O37:P37),AVERAGE(Q37:R37)))+$D$28*$D$10*(MAX(AVERAGE(O37:P37),AVERAGE(Q37:R37))+$D$30)/COS(RADIANS(E37))/(12*BD37)*(6*(MAX(AVERAGE(O37:P37),AVERAGE(Q37:R37)))*(IF(OR(D37&gt;540,AND(D37&gt;180,D37&lt;360)),-1,1)*$D$10*SIN(RADIANS(E37))+IF(OR(D37&gt;540,AND(D37&gt;180,D37&lt;360)),-1,1)*(MAX(AVERAGE(O37:P37),AVERAGE(Q37:R37))+$D$30)/COS(RADIANS(E37))*COS(RADIANS(E37)))+3*$D$10*(MAX(AVERAGE(O37:P37),AVERAGE(Q37:R37))+$D$30)/COS(RADIANS(E37))*SIN(RADIANS(2*E37))+4*$D$10^2*SIN(RADIANS(E37))^2+4*((MAX(AVERAGE(O37:P37),AVERAGE(Q37:R37))+$D$30)/COS(RADIANS(E37)))^2*COS(RADIANS(E37))^2),IF(MIN(AVERAGE(O37:P37),AVERAGE(Q37:R37))&lt;-$D$30,(-$D$10/2*SIN(RADIANS(E37))*COS(RADIANS(E37)))+$D$28*$D$10*($D$30/COS(RADIANS(E37)))/(12*BD37)*(6*(-$D$10/2*SIN(RADIANS(E37))*COS(RADIANS(E37)))*(IF(OR(D37&gt;540,AND(D37&gt;180,D37&lt;360)),-1,1)*$D$10*SIN(RADIANS(E37))+IF(OR(D37&gt;540,AND(D37&gt;180,D37&lt;360)),-1,1)*($D$30/COS(RADIANS(E37)))*COS(RADIANS(E37)))+3*$D$10*($D$30/COS(RADIANS(E37)))*SIN(RADIANS(2*E37))+4*$D$10^2*SIN(RADIANS(E37))^2+4*($D$30/COS(RADIANS(E37)))^2*COS(RADIANS(E37))^2),(($D$10/2*SIN(RADIANS(E37))*COS(RADIANS(E37)))+$D$28*$D$10*(MIN(AVERAGE(O37:P37),AVERAGE(Q37:R37))/COS(RADIANS(E37)))/(12*BD37)*(-6*($D$10/2*SIN(RADIANS(E37))*COS(RADIANS(E37)))*(-$D$10*SIN(RADIANS(E37))+(MIN(AVERAGE(O37:P37),AVERAGE(Q37:R37))/COS(RADIANS(E37)))*COS(RADIANS(E37)))+3*$D$10*(MIN(AVERAGE(O37:P37),AVERAGE(Q37:R37))/COS(RADIANS(E37)))*SIN(RADIANS(2*E37))-4*$D$10^2*SIN(RADIANS(E37))^2-4*(MIN(AVERAGE(O37:P37),AVERAGE(Q37:R37))/COS(RADIANS(E37)))^2*COS(RADIANS(E37))^2))))),""),"")</f>
        <v/>
      </c>
      <c r="BI37" s="62"/>
      <c r="BJ37" s="62"/>
      <c r="BK37" s="34">
        <f>IF(BC40="",0,ABS(BC40*BG40))+IF(BC41="",0,ABS(BC41*BG41))+IF(BC42="",0,ABS(BC42*BG42))+IF(BC43="",0,ABS(BC43*BG43))+IF(BC44="",0,ABS(BC44*BG44))+IF(BC45="",0,ABS(BC45*BG45))+IF(BC46="",0,ABS(BC46*BG46))+IF(BC47="",0,ABS(BC47*BG47))+IF(BC48="",0,ABS(BC48*BG48))+IF(BC49="",0,ABS(BC49*BG49))+IF(BC50="",0,ABS(BC50*BG50))+IF(BC51="",0,ABS(BC51*BG51))-IF(BD40="",0,ABS(BD40*BH40))-IF(BD41="",0,ABS(BD41*BH41))-IF(BD42="",0,ABS(BD42*BH42))-IF(BD43="",0,ABS(BD43*BH43))-IF(BD44="",0,ABS(BD44*BH44))-IF(BD45="",0,ABS(BD45*BH45))-IF(BD46="",0,ABS(BD46*BH46))-IF(BD47="",0,ABS(BD47*BH47))-IF(BD48="",0,ABS(BD48*BH48))-IF(BD49="",0,ABS(BD49*BH49))-IF(BD50="",0,ABS(BD50*BH50))-IF(BD51="",0,ABS(BD51*BH51))</f>
        <v>0</v>
      </c>
      <c r="BM37" s="62"/>
      <c r="BN37" s="62"/>
      <c r="BO37" s="62"/>
    </row>
    <row r="38" spans="2:87" s="66" customFormat="1" ht="15" customHeight="1" x14ac:dyDescent="0.25">
      <c r="G38" s="858" t="s">
        <v>87</v>
      </c>
      <c r="H38" s="859"/>
      <c r="I38" s="859"/>
      <c r="J38" s="859"/>
      <c r="K38" s="859"/>
      <c r="L38" s="859"/>
      <c r="M38" s="860"/>
      <c r="N38" s="858" t="s">
        <v>88</v>
      </c>
      <c r="O38" s="859"/>
      <c r="P38" s="859"/>
      <c r="Q38" s="859"/>
      <c r="R38" s="882"/>
      <c r="S38" s="886" t="s">
        <v>86</v>
      </c>
      <c r="T38" s="887"/>
      <c r="U38" s="887"/>
      <c r="V38" s="887"/>
      <c r="W38" s="907" t="s">
        <v>457</v>
      </c>
      <c r="X38" s="908"/>
      <c r="Y38" s="908"/>
      <c r="Z38" s="898" t="s">
        <v>576</v>
      </c>
      <c r="AA38" s="899"/>
      <c r="AB38" s="900"/>
      <c r="AC38" s="880" t="s">
        <v>609</v>
      </c>
      <c r="AD38" s="471" t="s">
        <v>458</v>
      </c>
      <c r="AE38" s="880" t="s">
        <v>200</v>
      </c>
      <c r="AF38" s="896" t="s">
        <v>62</v>
      </c>
      <c r="AG38" s="897"/>
      <c r="AH38" s="881" t="s">
        <v>89</v>
      </c>
      <c r="AI38" s="820"/>
      <c r="AJ38" s="820"/>
      <c r="AK38" s="820"/>
      <c r="AL38" s="820"/>
      <c r="AM38" s="820"/>
      <c r="AN38" s="820"/>
      <c r="AO38" s="820"/>
      <c r="AP38" s="821"/>
      <c r="AQ38" s="912" t="s">
        <v>456</v>
      </c>
      <c r="AR38" s="905" t="s">
        <v>832</v>
      </c>
      <c r="AS38" s="838" t="s">
        <v>119</v>
      </c>
      <c r="AT38" s="880" t="s">
        <v>198</v>
      </c>
      <c r="AU38" s="846" t="s">
        <v>90</v>
      </c>
      <c r="AV38" s="847"/>
      <c r="AW38" s="847"/>
      <c r="AX38" s="847"/>
      <c r="AY38" s="847"/>
      <c r="AZ38" s="847"/>
      <c r="BA38" s="848"/>
      <c r="BB38" s="843" t="s">
        <v>91</v>
      </c>
      <c r="BC38" s="844"/>
      <c r="BD38" s="844"/>
      <c r="BE38" s="844"/>
      <c r="BF38" s="844"/>
      <c r="BG38" s="844"/>
      <c r="BH38" s="844"/>
      <c r="BI38" s="844"/>
      <c r="BJ38" s="844"/>
      <c r="BK38" s="845"/>
    </row>
    <row r="39" spans="2:87" s="140" customFormat="1" ht="47.25" customHeight="1" x14ac:dyDescent="0.35">
      <c r="C39" s="316" t="s">
        <v>31</v>
      </c>
      <c r="D39" s="344" t="s">
        <v>23</v>
      </c>
      <c r="E39" s="345" t="s">
        <v>813</v>
      </c>
      <c r="F39" s="346" t="s">
        <v>22</v>
      </c>
      <c r="G39" s="347" t="s">
        <v>21</v>
      </c>
      <c r="H39" s="344" t="s">
        <v>20</v>
      </c>
      <c r="I39" s="344" t="s">
        <v>19</v>
      </c>
      <c r="J39" s="344" t="s">
        <v>18</v>
      </c>
      <c r="K39" s="344" t="s">
        <v>17</v>
      </c>
      <c r="L39" s="344" t="s">
        <v>16</v>
      </c>
      <c r="M39" s="346" t="s">
        <v>814</v>
      </c>
      <c r="N39" s="347" t="s">
        <v>815</v>
      </c>
      <c r="O39" s="344" t="s">
        <v>816</v>
      </c>
      <c r="P39" s="344" t="s">
        <v>817</v>
      </c>
      <c r="Q39" s="344" t="s">
        <v>818</v>
      </c>
      <c r="R39" s="344" t="s">
        <v>819</v>
      </c>
      <c r="S39" s="344" t="s">
        <v>816</v>
      </c>
      <c r="T39" s="344" t="s">
        <v>817</v>
      </c>
      <c r="U39" s="344" t="s">
        <v>818</v>
      </c>
      <c r="V39" s="344" t="s">
        <v>819</v>
      </c>
      <c r="W39" s="472" t="s">
        <v>453</v>
      </c>
      <c r="X39" s="473" t="s">
        <v>454</v>
      </c>
      <c r="Y39" s="473" t="s">
        <v>455</v>
      </c>
      <c r="Z39" s="474" t="s">
        <v>539</v>
      </c>
      <c r="AA39" s="475" t="s">
        <v>538</v>
      </c>
      <c r="AB39" s="476" t="s">
        <v>603</v>
      </c>
      <c r="AC39" s="895"/>
      <c r="AD39" s="477" t="s">
        <v>199</v>
      </c>
      <c r="AE39" s="895"/>
      <c r="AF39" s="478" t="s">
        <v>451</v>
      </c>
      <c r="AG39" s="479" t="s">
        <v>452</v>
      </c>
      <c r="AH39" s="348" t="s">
        <v>453</v>
      </c>
      <c r="AI39" s="349" t="s">
        <v>454</v>
      </c>
      <c r="AJ39" s="349" t="s">
        <v>455</v>
      </c>
      <c r="AK39" s="349" t="s">
        <v>575</v>
      </c>
      <c r="AL39" s="350" t="s">
        <v>609</v>
      </c>
      <c r="AM39" s="350" t="s">
        <v>376</v>
      </c>
      <c r="AN39" s="351" t="s">
        <v>82</v>
      </c>
      <c r="AO39" s="351" t="s">
        <v>83</v>
      </c>
      <c r="AP39" s="352" t="s">
        <v>84</v>
      </c>
      <c r="AQ39" s="913"/>
      <c r="AR39" s="906"/>
      <c r="AS39" s="839"/>
      <c r="AT39" s="839"/>
      <c r="AU39" s="353" t="s">
        <v>32</v>
      </c>
      <c r="AV39" s="351" t="s">
        <v>33</v>
      </c>
      <c r="AW39" s="344" t="s">
        <v>34</v>
      </c>
      <c r="AX39" s="344" t="s">
        <v>35</v>
      </c>
      <c r="AY39" s="344" t="s">
        <v>15</v>
      </c>
      <c r="AZ39" s="344" t="s">
        <v>14</v>
      </c>
      <c r="BA39" s="354" t="s">
        <v>13</v>
      </c>
      <c r="BB39" s="355" t="s">
        <v>40</v>
      </c>
      <c r="BC39" s="356" t="s">
        <v>41</v>
      </c>
      <c r="BD39" s="356" t="s">
        <v>42</v>
      </c>
      <c r="BE39" s="357" t="s">
        <v>43</v>
      </c>
      <c r="BF39" s="358" t="s">
        <v>44</v>
      </c>
      <c r="BG39" s="356" t="s">
        <v>45</v>
      </c>
      <c r="BH39" s="356" t="s">
        <v>46</v>
      </c>
      <c r="BI39" s="357" t="s">
        <v>47</v>
      </c>
      <c r="BJ39" s="359" t="s">
        <v>820</v>
      </c>
      <c r="BK39" s="344" t="s">
        <v>49</v>
      </c>
      <c r="BL39" s="140" t="s">
        <v>92</v>
      </c>
      <c r="BM39" s="360"/>
      <c r="BP39" s="361"/>
    </row>
    <row r="40" spans="2:87" ht="15" x14ac:dyDescent="0.25">
      <c r="B40" s="66"/>
      <c r="C40" s="317" t="e">
        <f>IF($D$8&lt;1,"",1)</f>
        <v>#N/A</v>
      </c>
      <c r="D40" s="370" t="e">
        <f>IF(OR(D5=0,MOD(D5,360/D8)=0),D5+0.0001,D5)</f>
        <v>#N/A</v>
      </c>
      <c r="E40" s="370" t="e">
        <f>IF(D40&gt;630,360-(D40-360),IF(D40&gt;540,(D40-360)-180,IF(D40&gt;450,180-(D40-360),IF(D40&gt;360,D40-360,IF(D40&gt;270,360-D40,IF(D40&gt;180,D40-180,IF(D40&gt;90,180-D40,D40)))))))</f>
        <v>#N/A</v>
      </c>
      <c r="F40" s="371" t="e">
        <f t="shared" ref="F40:F57" si="1">IF(C40="","",$D$23*$D$10)</f>
        <v>#N/A</v>
      </c>
      <c r="G40" s="372" t="e">
        <f t="shared" ref="G40:G47" si="2">$D$21*SIN(RADIANS(D40))</f>
        <v>#N/A</v>
      </c>
      <c r="H40" s="373" t="e">
        <f t="shared" ref="H40:H47" si="3">F40*G40</f>
        <v>#N/A</v>
      </c>
      <c r="I40" s="373" t="e">
        <f>G40-$F$18</f>
        <v>#N/A</v>
      </c>
      <c r="J40" s="373" t="e">
        <f t="shared" ref="J40:J57" si="4">IF(C40="","",$D$23*$D$10^3/12)</f>
        <v>#N/A</v>
      </c>
      <c r="K40" s="373" t="e">
        <f t="shared" ref="K40:K57" si="5">IF(C40="","",$D$23^3*$D$10/12)</f>
        <v>#N/A</v>
      </c>
      <c r="L40" s="373" t="e">
        <f>(J40+K40)/2+(J40-K40)/2*COS(2*RADIANS(D40+90))</f>
        <v>#N/A</v>
      </c>
      <c r="M40" s="374" t="e">
        <f t="shared" ref="M40:M47" si="6">IF($C40="","",L40+F40*I40^2)</f>
        <v>#N/A</v>
      </c>
      <c r="N40" s="372" t="str">
        <f t="shared" ref="N40:N57" si="7">IFERROR(($D$20-$D$10/2)*SIN(RADIANS(D40))-$F$18,"")</f>
        <v/>
      </c>
      <c r="O40" s="375" t="str">
        <f t="shared" ref="O40:O57" si="8">IFERROR(ROUND(N40+(-$D$10/2)*SIN(RADIANS(D40))+($D$23/2)*COS(RADIANS(D40)),8),"")</f>
        <v/>
      </c>
      <c r="P40" s="375" t="str">
        <f t="shared" ref="P40:P57" si="9">IFERROR(ROUND(N40+($D$10/2)*SIN(RADIANS(D40))+($D$23/2)*COS(RADIANS(D40)),8),"")</f>
        <v/>
      </c>
      <c r="Q40" s="375" t="str">
        <f t="shared" ref="Q40:Q57" si="10">IFERROR(ROUND(N40+($D$10/2)*SIN(RADIANS(D40))+(-$D$23/2)*COS(RADIANS(D40)),8),"")</f>
        <v/>
      </c>
      <c r="R40" s="376" t="str">
        <f t="shared" ref="R40:R57" si="11">IFERROR(ROUND(N40+(-$D$10/2)*SIN(RADIANS(D40))+(-$D$23/2)*COS(RADIANS(D40)),8),"")</f>
        <v/>
      </c>
      <c r="S40" s="284"/>
      <c r="T40" s="285"/>
      <c r="U40" s="285"/>
      <c r="V40" s="452"/>
      <c r="W40" s="286"/>
      <c r="X40" s="287"/>
      <c r="Y40" s="287"/>
      <c r="Z40" s="287"/>
      <c r="AA40" s="287"/>
      <c r="AB40" s="288"/>
      <c r="AC40" s="288"/>
      <c r="AD40" s="840" t="e">
        <f>D34*IF(Rev="G",φ_c*IF(D8=0,O33,O17),IF(Rev="H",φ_c*MIN(IF(D8=0,O33,O17),D6),K18))</f>
        <v>#N/A</v>
      </c>
      <c r="AE40" s="840" t="e">
        <f>IF(Rev="G",φ_v*0.5*IF(D8=0,O33,O17)*D34,IF(Rev="H",φ_v*IF(D8=0,0.5*U30*D34,0.6*D6*D34/2),0.4*D6))</f>
        <v>#N/A</v>
      </c>
      <c r="AF40" s="289"/>
      <c r="AG40" s="290"/>
      <c r="AH40" s="291"/>
      <c r="AI40" s="288"/>
      <c r="AJ40" s="288"/>
      <c r="AK40" s="288"/>
      <c r="AL40" s="288"/>
      <c r="AM40" s="287"/>
      <c r="AN40" s="287"/>
      <c r="AO40" s="287"/>
      <c r="AP40" s="287"/>
      <c r="AQ40" s="287"/>
      <c r="AR40" s="292"/>
      <c r="AS40" s="840" t="e">
        <f>IF(OR(Rev="G",Rev="H"),IF(D8=0,O32,φ_f*O17)/D26,K18/D26)</f>
        <v>#N/A</v>
      </c>
      <c r="AT40" s="877" t="e">
        <f>((($D$36/$D$25)/(AS40))+$L$7+IF(OR(Rev="G",Rev="H"),($Q$7/$Q$8)^2,0))*IF(Rev="F",0.75,1)/IF(OR(AND(Rev="H",$F$27=TRUE),AND(Rev&lt;&gt;"H",$F$30=TRUE)),1.05,1)</f>
        <v>#N/A</v>
      </c>
      <c r="AU40" s="412" t="e">
        <f t="shared" ref="AU40:AU57" si="12">IF(C40="","",IF(OR(D40&gt;540,AND(D40&gt;180,D40&lt;=360)),MIN(O40:R40),MAX(O40:R40)))</f>
        <v>#N/A</v>
      </c>
      <c r="AV40" s="413" t="e">
        <f t="shared" ref="AV40:AV57" si="13">IF(C40="","",IF(AU40=MAX(O40:R40),MIN(O40:R40),MAX(O40:R40)))</f>
        <v>#N/A</v>
      </c>
      <c r="AW40" s="413" t="str">
        <f t="shared" ref="AW40:AW57" si="14">IFERROR($D$28*AU40,"")</f>
        <v/>
      </c>
      <c r="AX40" s="413" t="str">
        <f t="shared" ref="AX40:AX57" si="15">IFERROR($D$28*AV40,"")</f>
        <v/>
      </c>
      <c r="AY40" s="414" t="e">
        <f t="shared" ref="AY40:AY57" si="16">$D$28*$D$10*$D$23/2*(2*AV40+IF(OR(D40&gt;540,AND(D40&gt;180,D40&lt;=360)),-1,1)*$D$10*SIN(RADIANS(E40))+IF(OR(D40&gt;540,AND(D40&gt;180,D40&lt;=360)),-1,1)*$D$23*COS(RADIANS(E40)))</f>
        <v>#N/A</v>
      </c>
      <c r="AZ40" s="413" t="e">
        <f t="shared" ref="AZ40:AZ57" si="17">IF(ABS(AY40)&lt;0.0001,0,AV40+$D$28*$D$10*$D$23/(12*AY40)*(6*AV40*(IF(OR(D40&gt;540,AND(D40&gt;180,D40&lt;360)),-1,1)*$D$10*SIN(RADIANS(E40))+IF(OR(D40&gt;540,AND(D40&gt;180,D40&lt;360)),-1,1)*$D$23*COS(RADIANS(E40)))+3*$D$10*$D$23*SIN(RADIANS(2*E40))+4*$D$10^2*SIN(RADIANS(E40))^2+4*$D$23^2*COS(RADIANS(E40))^2))</f>
        <v>#N/A</v>
      </c>
      <c r="BA40" s="415" t="e">
        <f t="shared" ref="BA40:BA47" si="18">AY40*AZ40</f>
        <v>#N/A</v>
      </c>
      <c r="BB40" s="436" t="str">
        <f t="shared" ref="BB40:BB57" si="19">IFERROR(IF(MAX(AVERAGE(O40:P40),AVERAGE(Q40:R40))&gt;$D$30,MIN((MAX(AVERAGE(O40:P40),AVERAGE(Q40:R40))-$D$30)/COS(RADIANS($E40)),$D$23)*$D$10*$O$17,""),"")</f>
        <v/>
      </c>
      <c r="BC40" s="437" t="str">
        <f t="shared" ref="BC40:BC57" si="20">IFERROR(IF(AND(MAX(AVERAGE(O40:P40),AVERAGE(Q40:R40))&gt;0,MIN(AVERAGE(O40:P40),AVERAGE(Q40:R40))&lt;=$D$30),IF(AND(MIN(AVERAGE(O40:P40),AVERAGE(Q40:R40))&gt;=0,MAX(AVERAGE(O40:P40),AVERAGE(Q40:R40))&lt;=$D$30),$D$28*$D$10*$D$23/2*(2*AV40+IF(OR(D40&gt;540,AND(D40&gt;180,D40&lt;=360)),-1,1)*$D$10*SIN(RADIANS(E40))+IF(OR(D40&gt;540,AND(D40&gt;180,D40&lt;=360)),-1,1)*$D$23*COS(RADIANS(E40))),IF(MIN(AVERAGE(O40:P40),AVERAGE(Q40:R40))&gt;=0,$D$28*$D$10*($D$30-MIN(AVERAGE(O40:P40),AVERAGE(Q40:R40)))/COS(RADIANS(E40))/2*(2*(MIN(AVERAGE(O40:P40),AVERAGE(Q40:R40)))+IF(OR(D40&gt;540,AND(D40&gt;180,D40&lt;=360)),-1,1)*$D$10*SIN(RADIANS(E40))+IF(OR(D40&gt;540,AND(D40&gt;180,D40&lt;=360)),-1,1)*($D$30-MIN(AVERAGE(O40:P40),AVERAGE(Q40:R40)))/COS(RADIANS(E40))*COS(RADIANS(E40))),IF(MAX(AVERAGE(O40:P40),AVERAGE(Q40:R40))&gt;$D$30,$D$28*$D$10*($D$30/COS(RADIANS(E40)))/2*(2*(-$D$10/2*SIN(RADIANS(E40))*COS(RADIANS(E40)))+IF(OR(D40&gt;540,AND(D40&gt;180,D40&lt;=360)),-1,1)*$D$10*SIN(RADIANS(E40))+IF(OR(D40&gt;540,AND(D40&gt;180,D40&lt;=360)),-1,1)*($D$30/COS(RADIANS(E40)))*COS(RADIANS(E40))),$D$28*$D$10*(MAX(AVERAGE(O40:P40),AVERAGE(Q40:R40))/COS(RADIANS(E40)))/2*(2*(-$D$10/2*SIN(RADIANS(E40))*COS(RADIANS(E40)))+$D$10*SIN(RADIANS(E40))+(MAX(AVERAGE(O40:P40),AVERAGE(Q40:R40))/COS(RADIANS(E40)))*COS(RADIANS(E40)))))),""),"")</f>
        <v/>
      </c>
      <c r="BD40" s="437" t="str">
        <f t="shared" ref="BD40:BD57" si="21">IFERROR(IF(AND(MIN(AVERAGE(O40:P40),AVERAGE(Q40:R40))&lt;0,MAX(AVERAGE(O40:P40),AVERAGE(Q40:R40))&gt;=-$D$30),IF(AND(MAX(AVERAGE(O40:P40),AVERAGE(Q40:R40))&lt;=0,MIN(AVERAGE(O40:P40),AVERAGE(Q40:R40))&gt;=-$D$30),$D$28*$D$10*$D$23/2*(2*AV40+IF(OR(D40&gt;540,AND(D40&gt;180,D40&lt;=360)),-1,1)*$D$10*SIN(RADIANS(E40))+IF(OR(D40&gt;540,AND(D40&gt;180,D40&lt;=360)),-1,1)*$D$23*COS(RADIANS(E40))),IF(MAX(AVERAGE(O40:P40),AVERAGE(Q40:R40))&lt;=0,$D$28*$D$10*(MAX(AVERAGE(O40:P40),AVERAGE(Q40:R40))+$D$30)/COS(RADIANS(E40))/2*(2*(MAX(AVERAGE(O40:P40),AVERAGE(Q40:R40)))+IF(OR(D40&gt;540,AND(D40&gt;180,D40&lt;=360)),-1,1)*$D$10*SIN(RADIANS(E40))+IF(OR(D40&gt;540,AND(D40&gt;180,D40&lt;=360)),-1,1)*(MAX(AVERAGE(O40:P40),AVERAGE(Q40:R40))+$D$30)/COS(RADIANS(E40))*COS(RADIANS(E40))),IF(MIN(AVERAGE(O40:P40),AVERAGE(Q40:R40))&lt;-$D$30,$D$28*$D$10*($D$30/COS(RADIANS(E40)))/2*(2*(-$D$10/2*SIN(RADIANS(E40))*COS(RADIANS(E40)))+IF(OR(D40&gt;540,AND(D40&gt;180,D40&lt;=360)),-1,1)*$D$10*SIN(RADIANS(E40))+IF(OR(D40&gt;540,AND(D40&gt;180,D40&lt;=360)),-1,1)*($D$30/COS(RADIANS(E40)))*COS(RADIANS(E40))),$D$28*$D$10*(MIN(AVERAGE(O40:P40),AVERAGE(Q40:R40))/COS(RADIANS(E40)))/2*(2*(-$D$10/2*SIN(RADIANS(E40))*COS(RADIANS(E40)))+$D$10*SIN(RADIANS(E40))-(MIN(AVERAGE(O40:P40),AVERAGE(Q40:R40))/COS(RADIANS(E40)))*COS(RADIANS(E40)))))),""),"")</f>
        <v/>
      </c>
      <c r="BE40" s="433" t="str">
        <f t="shared" ref="BE40:BE57" si="22">IFERROR(IF(MIN(AVERAGE(O40:P40),AVERAGE(Q40:R40))&lt;-$D$30,MAX((MIN(AVERAGE(O40:P40),AVERAGE(Q40:R40))+$D$30)/COS(RADIANS($E40)),-$D$23)*$D$10*$O$17,""),"")</f>
        <v/>
      </c>
      <c r="BF40" s="438" t="str">
        <f t="shared" ref="BF40:BF57" si="23">IFERROR(IF(MAX(AVERAGE(O40:P40),AVERAGE(Q40:R40))&gt;$D$30,MAX(AVERAGE(MAX(AVERAGE(O40:P40),AVERAGE(Q40:R40)),$D$30),AVERAGE(O40:R40)),""),"")</f>
        <v/>
      </c>
      <c r="BG40" s="439" t="str">
        <f t="shared" ref="BG40:BG57" si="24">IFERROR(IF(AND(MAX(AVERAGE(O40:P40),AVERAGE(Q40:R40))&gt;0,MIN(AVERAGE(O40:P40),AVERAGE(Q40:R40))&lt;=$D$30),IF(AND(MIN(AVERAGE(O40:P40),AVERAGE(Q40:R40))&gt;=0,MAX(AVERAGE(O40:P40),AVERAGE(Q40:R40))&lt;=$D$30),AV40+$D$28*$D$10*$D$23/(12*BC40)*(6*AV40*(IF(OR(D40&gt;540,AND(D40&gt;180,D40&lt;360)),-1,1)*$D$10*SIN(RADIANS(E40))+IF(OR(D40&gt;540,AND(D40&gt;180,D40&lt;360)),-1,1)*$D$23*COS(RADIANS(E40)))+3*$D$10*$D$23*SIN(RADIANS(2*E40))+4*$D$10^2*SIN(RADIANS(E40))^2+4*$D$23^2*COS(RADIANS(E40))^2),IF(MIN(AVERAGE(O40:P40),AVERAGE(Q40:R40))&gt;=0,(MIN(AVERAGE(O40:P40),AVERAGE(Q40:R40)))+$D$28*$D$10*($D$30-MIN(AVERAGE(O40:P40),AVERAGE(Q40:R40)))/COS(RADIANS(E40))/(12*BC40)*(6*(MIN(AVERAGE(O40:P40),AVERAGE(Q40:R40)))*(IF(OR(D40&gt;540,AND(D40&gt;180,D40&lt;360)),-1,1)*$D$10*SIN(RADIANS(E40))+IF(OR(D40&gt;540,AND(D40&gt;180,D40&lt;360)),-1,1)*($D$30-MIN(AVERAGE(O40:P40),AVERAGE(Q40:R40)))/COS(RADIANS(E40))*COS(RADIANS(E40)))+3*$D$10*($D$30-MIN(AVERAGE(O40:P40),AVERAGE(Q40:R40)))/COS(RADIANS(E40))*SIN(RADIANS(2*E40))+4*$D$10^2*SIN(RADIANS(E40))^2+4*(($D$30-MIN(AVERAGE(O40:P40),AVERAGE(Q40:R40)))/COS(RADIANS(E40)))^2*COS(RADIANS(E40))^2),IF(MAX(AVERAGE(O40:P40),AVERAGE(Q40:R40))&gt;$D$30,(-$D$10/2*SIN(RADIANS(E40))*COS(RADIANS(E40)))+$D$28*$D$10*($D$30/COS(RADIANS(E40)))/(12*BC40)*(6*(-$D$10/2*SIN(RADIANS(E40))*COS(RADIANS(E40)))*(IF(OR(D40&gt;540,AND(D40&gt;180,D40&lt;360)),-1,1)*$D$10*SIN(RADIANS(E40))+IF(OR(D40&gt;540,AND(D40&gt;180,D40&lt;360)),-1,1)*($D$30/COS(RADIANS(E40)))*COS(RADIANS(E40)))+3*$D$10*($D$30/COS(RADIANS(E40)))*SIN(RADIANS(2*E40))+4*$D$10^2*SIN(RADIANS(E40))^2+4*($D$30/COS(RADIANS(E40)))^2*COS(RADIANS(E40))^2),(-$D$10/2*SIN(RADIANS(E40))*COS(RADIANS(E40)))+$D$28*$D$10*(MAX(AVERAGE(O40:P40),AVERAGE(Q40:R40))/COS(RADIANS(E40)))/(12*BC40)*(6*(-$D$10/2*SIN(RADIANS(E40))*COS(RADIANS(E40)))*($D$10*SIN(RADIANS(E40))+(MAX(AVERAGE(O40:P40),AVERAGE(Q40:R40))/COS(RADIANS(E40)))*COS(RADIANS(E40)))+3*$D$10*(MAX(AVERAGE(O40:P40),AVERAGE(Q40:R40))/COS(RADIANS(E40)))*SIN(RADIANS(2*E40))+4*$D$10^2*SIN(RADIANS(E40))^2+4*(MAX(AVERAGE(O40:P40),AVERAGE(Q40:R40))/COS(RADIANS(E40)))^2*COS(RADIANS(E40))^2)))),""),"")</f>
        <v/>
      </c>
      <c r="BH40" s="439" t="str">
        <f t="shared" ref="BH40:BH57" si="25">IFERROR(IF(AND(MIN(AVERAGE(O40:P40),AVERAGE(Q40:R40))&lt;0,MAX(AVERAGE(O40:P40),AVERAGE(Q40:R40))&gt;=-$D$30),IF(AND(MAX(AVERAGE(O40:P40),AVERAGE(Q40:R40))&lt;=0,MIN(AVERAGE(O40:P40),AVERAGE(Q40:R40))&gt;=-$D$30),AV40+$D$28*$D$10*$D$23/(12*BD40)*(6*AV40*(IF(OR(D40&gt;540,AND(D40&gt;180,D40&lt;360)),-1,1)*$D$10*SIN(RADIANS(E40))+IF(OR(D40&gt;540,AND(D40&gt;180,D40&lt;360)),-1,1)*$D$23*COS(RADIANS(E40)))+3*$D$10*$D$23*SIN(RADIANS(2*E40))+4*$D$10^2*SIN(RADIANS(E40))^2+4*$D$23^2*COS(RADIANS(E40))^2),IF(MAX(AVERAGE(O40:P40),AVERAGE(Q40:R40))&lt;=0,(MAX(AVERAGE(O40:P40),AVERAGE(Q40:R40)))+$D$28*$D$10*(MAX(AVERAGE(O40:P40),AVERAGE(Q40:R40))+$D$30)/COS(RADIANS(E40))/(12*BD40)*(6*(MAX(AVERAGE(O40:P40),AVERAGE(Q40:R40)))*(IF(OR(D40&gt;540,AND(D40&gt;180,D40&lt;360)),-1,1)*$D$10*SIN(RADIANS(E40))+IF(OR(D40&gt;540,AND(D40&gt;180,D40&lt;360)),-1,1)*(MAX(AVERAGE(O40:P40),AVERAGE(Q40:R40))+$D$30)/COS(RADIANS(E40))*COS(RADIANS(E40)))+3*$D$10*(MAX(AVERAGE(O40:P40),AVERAGE(Q40:R40))+$D$30)/COS(RADIANS(E40))*SIN(RADIANS(2*E40))+4*$D$10^2*SIN(RADIANS(E40))^2+4*((MAX(AVERAGE(O40:P40),AVERAGE(Q40:R40))+$D$30)/COS(RADIANS(E40)))^2*COS(RADIANS(E40))^2),IF(MIN(AVERAGE(O40:P40),AVERAGE(Q40:R40))&lt;-$D$30,(-$D$10/2*SIN(RADIANS(E40))*COS(RADIANS(E40)))+$D$28*$D$10*($D$30/COS(RADIANS(E40)))/(12*BD40)*(6*(-$D$10/2*SIN(RADIANS(E40))*COS(RADIANS(E40)))*(IF(OR(D40&gt;540,AND(D40&gt;180,D40&lt;360)),-1,1)*$D$10*SIN(RADIANS(E40))+IF(OR(D40&gt;540,AND(D40&gt;180,D40&lt;360)),-1,1)*($D$30/COS(RADIANS(E40)))*COS(RADIANS(E40)))+3*$D$10*($D$30/COS(RADIANS(E40)))*SIN(RADIANS(2*E40))+4*$D$10^2*SIN(RADIANS(E40))^2+4*($D$30/COS(RADIANS(E40)))^2*COS(RADIANS(E40))^2),(($D$10/2*SIN(RADIANS(E40))*COS(RADIANS(E40)))+$D$28*$D$10*(MIN(AVERAGE(O40:P40),AVERAGE(Q40:R40))/COS(RADIANS(E40)))/(12*BD40)*(-6*($D$10/2*SIN(RADIANS(E40))*COS(RADIANS(E40)))*(-$D$10*SIN(RADIANS(E40))+(MIN(AVERAGE(O40:P40),AVERAGE(Q40:R40))/COS(RADIANS(E40)))*COS(RADIANS(E40)))+3*$D$10*(MIN(AVERAGE(O40:P40),AVERAGE(Q40:R40))/COS(RADIANS(E40)))*SIN(RADIANS(2*E40))-4*$D$10^2*SIN(RADIANS(E40))^2-4*(MIN(AVERAGE(O40:P40),AVERAGE(Q40:R40))/COS(RADIANS(E40)))^2*COS(RADIANS(E40))^2))))),""),"")</f>
        <v/>
      </c>
      <c r="BI40" s="433" t="str">
        <f t="shared" ref="BI40:BI57" si="26">IFERROR(IF(MIN(AVERAGE(O40:P40),AVERAGE(Q40:R40))&lt;-$D$30,MIN(AVERAGE(MIN(AVERAGE(O40:P40),AVERAGE(Q40:R40)),-$D$30),AVERAGE(O40:R40)),""),"")</f>
        <v/>
      </c>
      <c r="BJ40" s="438">
        <f>IFERROR(IF(BB40="",0,ABS(BB40))*IF(BF40="",0,ABS(BF40))+IF(BC40="",0,ABS(BC40))*IF(BG40="",0,ABS(BG40))+IF(BD40="",0,ABS(BD40))*IF(BH40="",0,ABS(BH40))+IF(BE40="",0,ABS(BE40))*IF(BI40="",0,ABS(BI40)),"")</f>
        <v>0</v>
      </c>
      <c r="BK40" s="413" t="e">
        <f t="shared" ref="BK40:BK57" si="27">(IF(BB40="",0,ABS(BB40))*IF(BF40="",0,BF40)+IF(BC40="",0,ABS(BC40))*IF(BG40="",0,BG40)+IF(BD40="",0,ABS(BD40))*IF(BH40="",0,BH40)+IF(BE40="",0,ABS(BE40))*IF(BI40="",0,BI40))/(IF(BB40="",0,ABS(BB40))+IF(BC40="",0,ABS(BC40))+IF(BD40="",0,ABS(BD40))+IF(BE40="",0,ABS(BE40)))</f>
        <v>#DIV/0!</v>
      </c>
      <c r="BL40" s="442" t="e">
        <f t="shared" ref="BL40:BL57" si="28">BA40-BJ40</f>
        <v>#N/A</v>
      </c>
      <c r="BP40" s="443"/>
      <c r="BQ40" s="340"/>
      <c r="BR40" s="340"/>
    </row>
    <row r="41" spans="2:87" ht="15" x14ac:dyDescent="0.25">
      <c r="B41" s="66"/>
      <c r="C41" s="317" t="e">
        <f>IF($D$8&lt;2,"",2)</f>
        <v>#N/A</v>
      </c>
      <c r="D41" s="370" t="e">
        <f t="shared" ref="D41:D47" si="29">D40+$D$19</f>
        <v>#N/A</v>
      </c>
      <c r="E41" s="370" t="e">
        <f t="shared" ref="E41:E57" si="30">IF(D41&gt;630,360-(D41-360),IF(D41&gt;540,(D41-360)-180,IF(D41&gt;450,180-(D41-360),IF(D41&gt;360,D41-360,IF(D41&gt;270,360-D41,IF(D41&gt;180,D41-180,IF(D41&gt;90,180-D41,D41)))))))</f>
        <v>#N/A</v>
      </c>
      <c r="F41" s="371" t="e">
        <f t="shared" si="1"/>
        <v>#N/A</v>
      </c>
      <c r="G41" s="372" t="e">
        <f t="shared" si="2"/>
        <v>#N/A</v>
      </c>
      <c r="H41" s="373" t="e">
        <f t="shared" si="3"/>
        <v>#N/A</v>
      </c>
      <c r="I41" s="373" t="e">
        <f t="shared" ref="I41:I57" si="31">G41-$F$18</f>
        <v>#N/A</v>
      </c>
      <c r="J41" s="373" t="e">
        <f t="shared" si="4"/>
        <v>#N/A</v>
      </c>
      <c r="K41" s="373" t="e">
        <f t="shared" si="5"/>
        <v>#N/A</v>
      </c>
      <c r="L41" s="373" t="e">
        <f t="shared" ref="L41:L57" si="32">(J41+K41)/2+(J41-K41)/2*COS(2*RADIANS(D41+90))</f>
        <v>#N/A</v>
      </c>
      <c r="M41" s="374" t="e">
        <f t="shared" si="6"/>
        <v>#N/A</v>
      </c>
      <c r="N41" s="372" t="str">
        <f t="shared" si="7"/>
        <v/>
      </c>
      <c r="O41" s="375" t="str">
        <f t="shared" si="8"/>
        <v/>
      </c>
      <c r="P41" s="375" t="str">
        <f t="shared" si="9"/>
        <v/>
      </c>
      <c r="Q41" s="375" t="str">
        <f t="shared" si="10"/>
        <v/>
      </c>
      <c r="R41" s="376" t="str">
        <f t="shared" si="11"/>
        <v/>
      </c>
      <c r="S41" s="284"/>
      <c r="T41" s="285"/>
      <c r="U41" s="285"/>
      <c r="V41" s="285"/>
      <c r="W41" s="293"/>
      <c r="X41" s="288"/>
      <c r="Y41" s="288"/>
      <c r="Z41" s="288"/>
      <c r="AA41" s="288"/>
      <c r="AB41" s="288"/>
      <c r="AC41" s="288"/>
      <c r="AD41" s="841"/>
      <c r="AE41" s="841"/>
      <c r="AF41" s="294"/>
      <c r="AG41" s="295"/>
      <c r="AH41" s="296"/>
      <c r="AI41" s="288"/>
      <c r="AJ41" s="288"/>
      <c r="AK41" s="288"/>
      <c r="AL41" s="288"/>
      <c r="AM41" s="288"/>
      <c r="AN41" s="288"/>
      <c r="AO41" s="288"/>
      <c r="AP41" s="288"/>
      <c r="AQ41" s="288"/>
      <c r="AR41" s="297"/>
      <c r="AS41" s="841"/>
      <c r="AT41" s="878"/>
      <c r="AU41" s="412" t="e">
        <f t="shared" si="12"/>
        <v>#N/A</v>
      </c>
      <c r="AV41" s="413" t="e">
        <f t="shared" si="13"/>
        <v>#N/A</v>
      </c>
      <c r="AW41" s="413" t="str">
        <f t="shared" si="14"/>
        <v/>
      </c>
      <c r="AX41" s="413" t="str">
        <f t="shared" si="15"/>
        <v/>
      </c>
      <c r="AY41" s="413" t="e">
        <f t="shared" si="16"/>
        <v>#N/A</v>
      </c>
      <c r="AZ41" s="413" t="e">
        <f t="shared" si="17"/>
        <v>#N/A</v>
      </c>
      <c r="BA41" s="415" t="e">
        <f t="shared" si="18"/>
        <v>#N/A</v>
      </c>
      <c r="BB41" s="436" t="str">
        <f t="shared" si="19"/>
        <v/>
      </c>
      <c r="BC41" s="437" t="str">
        <f t="shared" si="20"/>
        <v/>
      </c>
      <c r="BD41" s="437" t="str">
        <f t="shared" si="21"/>
        <v/>
      </c>
      <c r="BE41" s="433" t="str">
        <f t="shared" si="22"/>
        <v/>
      </c>
      <c r="BF41" s="438" t="str">
        <f t="shared" si="23"/>
        <v/>
      </c>
      <c r="BG41" s="439" t="str">
        <f t="shared" si="24"/>
        <v/>
      </c>
      <c r="BH41" s="439" t="str">
        <f t="shared" si="25"/>
        <v/>
      </c>
      <c r="BI41" s="433" t="str">
        <f t="shared" si="26"/>
        <v/>
      </c>
      <c r="BJ41" s="438">
        <f t="shared" ref="BJ41:BJ57" si="33">IFERROR(IF(BB41="",0,ABS(BB41))*IF(BF41="",0,ABS(BF41))+IF(BC41="",0,ABS(BC41))*IF(BG41="",0,ABS(BG41))+IF(BD41="",0,ABS(BD41))*IF(BH41="",0,ABS(BH41))+IF(BE41="",0,ABS(BE41))*IF(BI41="",0,ABS(BI41)),"")</f>
        <v>0</v>
      </c>
      <c r="BK41" s="413" t="e">
        <f t="shared" si="27"/>
        <v>#DIV/0!</v>
      </c>
      <c r="BL41" s="442" t="e">
        <f t="shared" si="28"/>
        <v>#N/A</v>
      </c>
    </row>
    <row r="42" spans="2:87" ht="15" x14ac:dyDescent="0.25">
      <c r="B42" s="66"/>
      <c r="C42" s="317" t="e">
        <f>IF($D$8&lt;3,"",3)</f>
        <v>#N/A</v>
      </c>
      <c r="D42" s="370" t="e">
        <f t="shared" si="29"/>
        <v>#N/A</v>
      </c>
      <c r="E42" s="370" t="e">
        <f t="shared" si="30"/>
        <v>#N/A</v>
      </c>
      <c r="F42" s="371" t="e">
        <f t="shared" si="1"/>
        <v>#N/A</v>
      </c>
      <c r="G42" s="372" t="e">
        <f t="shared" si="2"/>
        <v>#N/A</v>
      </c>
      <c r="H42" s="373" t="e">
        <f t="shared" si="3"/>
        <v>#N/A</v>
      </c>
      <c r="I42" s="373" t="e">
        <f t="shared" si="31"/>
        <v>#N/A</v>
      </c>
      <c r="J42" s="373" t="e">
        <f t="shared" si="4"/>
        <v>#N/A</v>
      </c>
      <c r="K42" s="373" t="e">
        <f t="shared" si="5"/>
        <v>#N/A</v>
      </c>
      <c r="L42" s="373" t="e">
        <f t="shared" si="32"/>
        <v>#N/A</v>
      </c>
      <c r="M42" s="374" t="e">
        <f t="shared" si="6"/>
        <v>#N/A</v>
      </c>
      <c r="N42" s="372" t="str">
        <f t="shared" si="7"/>
        <v/>
      </c>
      <c r="O42" s="375" t="str">
        <f t="shared" si="8"/>
        <v/>
      </c>
      <c r="P42" s="375" t="str">
        <f t="shared" si="9"/>
        <v/>
      </c>
      <c r="Q42" s="375" t="str">
        <f t="shared" si="10"/>
        <v/>
      </c>
      <c r="R42" s="376" t="str">
        <f t="shared" si="11"/>
        <v/>
      </c>
      <c r="S42" s="284"/>
      <c r="T42" s="285"/>
      <c r="U42" s="285"/>
      <c r="V42" s="285"/>
      <c r="W42" s="293"/>
      <c r="X42" s="288"/>
      <c r="Y42" s="288"/>
      <c r="Z42" s="288"/>
      <c r="AA42" s="288"/>
      <c r="AB42" s="288"/>
      <c r="AC42" s="288"/>
      <c r="AD42" s="841"/>
      <c r="AE42" s="841"/>
      <c r="AF42" s="294"/>
      <c r="AG42" s="295"/>
      <c r="AH42" s="296"/>
      <c r="AI42" s="288"/>
      <c r="AJ42" s="288"/>
      <c r="AK42" s="288"/>
      <c r="AL42" s="288"/>
      <c r="AM42" s="288"/>
      <c r="AN42" s="288"/>
      <c r="AO42" s="288"/>
      <c r="AP42" s="288"/>
      <c r="AQ42" s="288"/>
      <c r="AR42" s="297"/>
      <c r="AS42" s="841"/>
      <c r="AT42" s="878"/>
      <c r="AU42" s="412" t="e">
        <f t="shared" si="12"/>
        <v>#N/A</v>
      </c>
      <c r="AV42" s="413" t="e">
        <f t="shared" si="13"/>
        <v>#N/A</v>
      </c>
      <c r="AW42" s="413" t="str">
        <f t="shared" si="14"/>
        <v/>
      </c>
      <c r="AX42" s="413" t="str">
        <f t="shared" si="15"/>
        <v/>
      </c>
      <c r="AY42" s="413" t="e">
        <f t="shared" si="16"/>
        <v>#N/A</v>
      </c>
      <c r="AZ42" s="413" t="e">
        <f t="shared" si="17"/>
        <v>#N/A</v>
      </c>
      <c r="BA42" s="415" t="e">
        <f t="shared" si="18"/>
        <v>#N/A</v>
      </c>
      <c r="BB42" s="436" t="str">
        <f t="shared" si="19"/>
        <v/>
      </c>
      <c r="BC42" s="437" t="str">
        <f t="shared" si="20"/>
        <v/>
      </c>
      <c r="BD42" s="437" t="str">
        <f t="shared" si="21"/>
        <v/>
      </c>
      <c r="BE42" s="433" t="str">
        <f t="shared" si="22"/>
        <v/>
      </c>
      <c r="BF42" s="438" t="str">
        <f t="shared" si="23"/>
        <v/>
      </c>
      <c r="BG42" s="439" t="str">
        <f t="shared" si="24"/>
        <v/>
      </c>
      <c r="BH42" s="439" t="str">
        <f t="shared" si="25"/>
        <v/>
      </c>
      <c r="BI42" s="433" t="str">
        <f t="shared" si="26"/>
        <v/>
      </c>
      <c r="BJ42" s="438">
        <f t="shared" si="33"/>
        <v>0</v>
      </c>
      <c r="BK42" s="413" t="e">
        <f t="shared" si="27"/>
        <v>#DIV/0!</v>
      </c>
      <c r="BL42" s="442" t="e">
        <f t="shared" si="28"/>
        <v>#N/A</v>
      </c>
    </row>
    <row r="43" spans="2:87" ht="15" x14ac:dyDescent="0.25">
      <c r="B43" s="66"/>
      <c r="C43" s="317" t="e">
        <f>IF($D$8&lt;4,"",4)</f>
        <v>#N/A</v>
      </c>
      <c r="D43" s="370" t="e">
        <f t="shared" si="29"/>
        <v>#N/A</v>
      </c>
      <c r="E43" s="370" t="e">
        <f t="shared" si="30"/>
        <v>#N/A</v>
      </c>
      <c r="F43" s="371" t="e">
        <f t="shared" si="1"/>
        <v>#N/A</v>
      </c>
      <c r="G43" s="372" t="e">
        <f t="shared" si="2"/>
        <v>#N/A</v>
      </c>
      <c r="H43" s="373" t="e">
        <f t="shared" si="3"/>
        <v>#N/A</v>
      </c>
      <c r="I43" s="373" t="e">
        <f t="shared" si="31"/>
        <v>#N/A</v>
      </c>
      <c r="J43" s="373" t="e">
        <f t="shared" si="4"/>
        <v>#N/A</v>
      </c>
      <c r="K43" s="373" t="e">
        <f t="shared" si="5"/>
        <v>#N/A</v>
      </c>
      <c r="L43" s="373" t="e">
        <f t="shared" si="32"/>
        <v>#N/A</v>
      </c>
      <c r="M43" s="374" t="e">
        <f t="shared" si="6"/>
        <v>#N/A</v>
      </c>
      <c r="N43" s="372" t="str">
        <f t="shared" si="7"/>
        <v/>
      </c>
      <c r="O43" s="375" t="str">
        <f t="shared" si="8"/>
        <v/>
      </c>
      <c r="P43" s="375" t="str">
        <f t="shared" si="9"/>
        <v/>
      </c>
      <c r="Q43" s="375" t="str">
        <f t="shared" si="10"/>
        <v/>
      </c>
      <c r="R43" s="376" t="str">
        <f t="shared" si="11"/>
        <v/>
      </c>
      <c r="S43" s="284"/>
      <c r="T43" s="285"/>
      <c r="U43" s="285"/>
      <c r="V43" s="285"/>
      <c r="W43" s="293"/>
      <c r="X43" s="288"/>
      <c r="Y43" s="288"/>
      <c r="Z43" s="288"/>
      <c r="AA43" s="288"/>
      <c r="AB43" s="288"/>
      <c r="AC43" s="288"/>
      <c r="AD43" s="841"/>
      <c r="AE43" s="841"/>
      <c r="AF43" s="294"/>
      <c r="AG43" s="295"/>
      <c r="AH43" s="296"/>
      <c r="AI43" s="288"/>
      <c r="AJ43" s="288"/>
      <c r="AK43" s="288"/>
      <c r="AL43" s="288"/>
      <c r="AM43" s="288"/>
      <c r="AN43" s="288"/>
      <c r="AO43" s="288"/>
      <c r="AP43" s="288"/>
      <c r="AQ43" s="288"/>
      <c r="AR43" s="297"/>
      <c r="AS43" s="841"/>
      <c r="AT43" s="878"/>
      <c r="AU43" s="412" t="e">
        <f t="shared" si="12"/>
        <v>#N/A</v>
      </c>
      <c r="AV43" s="413" t="e">
        <f t="shared" si="13"/>
        <v>#N/A</v>
      </c>
      <c r="AW43" s="413" t="str">
        <f t="shared" si="14"/>
        <v/>
      </c>
      <c r="AX43" s="413" t="str">
        <f t="shared" si="15"/>
        <v/>
      </c>
      <c r="AY43" s="413" t="e">
        <f t="shared" si="16"/>
        <v>#N/A</v>
      </c>
      <c r="AZ43" s="413" t="e">
        <f t="shared" si="17"/>
        <v>#N/A</v>
      </c>
      <c r="BA43" s="415" t="e">
        <f t="shared" si="18"/>
        <v>#N/A</v>
      </c>
      <c r="BB43" s="436" t="str">
        <f t="shared" si="19"/>
        <v/>
      </c>
      <c r="BC43" s="437" t="str">
        <f t="shared" si="20"/>
        <v/>
      </c>
      <c r="BD43" s="437" t="str">
        <f t="shared" si="21"/>
        <v/>
      </c>
      <c r="BE43" s="433" t="str">
        <f t="shared" si="22"/>
        <v/>
      </c>
      <c r="BF43" s="438" t="str">
        <f t="shared" si="23"/>
        <v/>
      </c>
      <c r="BG43" s="439" t="str">
        <f t="shared" si="24"/>
        <v/>
      </c>
      <c r="BH43" s="439" t="str">
        <f t="shared" si="25"/>
        <v/>
      </c>
      <c r="BI43" s="433" t="str">
        <f t="shared" si="26"/>
        <v/>
      </c>
      <c r="BJ43" s="438">
        <f t="shared" si="33"/>
        <v>0</v>
      </c>
      <c r="BK43" s="413" t="e">
        <f t="shared" si="27"/>
        <v>#DIV/0!</v>
      </c>
      <c r="BL43" s="442" t="e">
        <f t="shared" si="28"/>
        <v>#N/A</v>
      </c>
    </row>
    <row r="44" spans="2:87" s="277" customFormat="1" ht="15" x14ac:dyDescent="0.25">
      <c r="B44" s="113"/>
      <c r="C44" s="317" t="e">
        <f>IF($D$8&lt;5,"",5)</f>
        <v>#N/A</v>
      </c>
      <c r="D44" s="377" t="e">
        <f t="shared" si="29"/>
        <v>#N/A</v>
      </c>
      <c r="E44" s="370" t="e">
        <f t="shared" si="30"/>
        <v>#N/A</v>
      </c>
      <c r="F44" s="371" t="e">
        <f t="shared" si="1"/>
        <v>#N/A</v>
      </c>
      <c r="G44" s="378" t="e">
        <f t="shared" si="2"/>
        <v>#N/A</v>
      </c>
      <c r="H44" s="379" t="e">
        <f t="shared" si="3"/>
        <v>#N/A</v>
      </c>
      <c r="I44" s="373" t="e">
        <f t="shared" si="31"/>
        <v>#N/A</v>
      </c>
      <c r="J44" s="373" t="e">
        <f t="shared" si="4"/>
        <v>#N/A</v>
      </c>
      <c r="K44" s="373" t="e">
        <f t="shared" si="5"/>
        <v>#N/A</v>
      </c>
      <c r="L44" s="373" t="e">
        <f t="shared" si="32"/>
        <v>#N/A</v>
      </c>
      <c r="M44" s="374" t="e">
        <f t="shared" si="6"/>
        <v>#N/A</v>
      </c>
      <c r="N44" s="372" t="str">
        <f t="shared" si="7"/>
        <v/>
      </c>
      <c r="O44" s="375" t="str">
        <f t="shared" si="8"/>
        <v/>
      </c>
      <c r="P44" s="375" t="str">
        <f t="shared" si="9"/>
        <v/>
      </c>
      <c r="Q44" s="375" t="str">
        <f t="shared" si="10"/>
        <v/>
      </c>
      <c r="R44" s="376" t="str">
        <f t="shared" si="11"/>
        <v/>
      </c>
      <c r="S44" s="284"/>
      <c r="T44" s="285"/>
      <c r="U44" s="285"/>
      <c r="V44" s="285"/>
      <c r="W44" s="298"/>
      <c r="X44" s="299"/>
      <c r="Y44" s="299"/>
      <c r="Z44" s="299"/>
      <c r="AA44" s="299"/>
      <c r="AB44" s="288"/>
      <c r="AC44" s="288"/>
      <c r="AD44" s="841"/>
      <c r="AE44" s="841"/>
      <c r="AF44" s="300"/>
      <c r="AG44" s="301"/>
      <c r="AH44" s="302"/>
      <c r="AI44" s="288"/>
      <c r="AJ44" s="288"/>
      <c r="AK44" s="288"/>
      <c r="AL44" s="288"/>
      <c r="AM44" s="299"/>
      <c r="AN44" s="299"/>
      <c r="AO44" s="299"/>
      <c r="AP44" s="299"/>
      <c r="AQ44" s="299"/>
      <c r="AR44" s="303"/>
      <c r="AS44" s="841"/>
      <c r="AT44" s="878"/>
      <c r="AU44" s="412" t="e">
        <f t="shared" si="12"/>
        <v>#N/A</v>
      </c>
      <c r="AV44" s="413" t="e">
        <f t="shared" si="13"/>
        <v>#N/A</v>
      </c>
      <c r="AW44" s="413" t="str">
        <f t="shared" si="14"/>
        <v/>
      </c>
      <c r="AX44" s="413" t="str">
        <f t="shared" si="15"/>
        <v/>
      </c>
      <c r="AY44" s="413" t="e">
        <f t="shared" si="16"/>
        <v>#N/A</v>
      </c>
      <c r="AZ44" s="413" t="e">
        <f t="shared" si="17"/>
        <v>#N/A</v>
      </c>
      <c r="BA44" s="416" t="e">
        <f t="shared" si="18"/>
        <v>#N/A</v>
      </c>
      <c r="BB44" s="436" t="str">
        <f t="shared" si="19"/>
        <v/>
      </c>
      <c r="BC44" s="437" t="str">
        <f t="shared" si="20"/>
        <v/>
      </c>
      <c r="BD44" s="437" t="str">
        <f t="shared" si="21"/>
        <v/>
      </c>
      <c r="BE44" s="433" t="str">
        <f t="shared" si="22"/>
        <v/>
      </c>
      <c r="BF44" s="438" t="str">
        <f t="shared" si="23"/>
        <v/>
      </c>
      <c r="BG44" s="439" t="str">
        <f t="shared" si="24"/>
        <v/>
      </c>
      <c r="BH44" s="439" t="str">
        <f t="shared" si="25"/>
        <v/>
      </c>
      <c r="BI44" s="433" t="str">
        <f t="shared" si="26"/>
        <v/>
      </c>
      <c r="BJ44" s="438">
        <f t="shared" si="33"/>
        <v>0</v>
      </c>
      <c r="BK44" s="413" t="e">
        <f t="shared" si="27"/>
        <v>#DIV/0!</v>
      </c>
      <c r="BL44" s="442" t="e">
        <f t="shared" si="28"/>
        <v>#N/A</v>
      </c>
      <c r="BM44" s="256"/>
      <c r="BN44" s="256"/>
      <c r="BO44" s="256"/>
      <c r="BP44" s="113"/>
      <c r="BQ44" s="113"/>
      <c r="BR44" s="113"/>
      <c r="BS44" s="113"/>
      <c r="BT44" s="113"/>
      <c r="BU44" s="113"/>
      <c r="BV44" s="113"/>
      <c r="BW44" s="113"/>
      <c r="BX44" s="113"/>
      <c r="BY44" s="113"/>
      <c r="BZ44" s="113"/>
      <c r="CA44" s="113"/>
      <c r="CB44" s="113"/>
      <c r="CC44" s="113"/>
      <c r="CD44" s="113"/>
      <c r="CE44" s="113"/>
      <c r="CF44" s="113"/>
      <c r="CG44" s="113"/>
      <c r="CH44" s="113"/>
      <c r="CI44" s="113"/>
    </row>
    <row r="45" spans="2:87" ht="15" x14ac:dyDescent="0.25">
      <c r="B45" s="66"/>
      <c r="C45" s="317" t="e">
        <f>IF($D$8&lt;6,"",6)</f>
        <v>#N/A</v>
      </c>
      <c r="D45" s="370" t="e">
        <f t="shared" si="29"/>
        <v>#N/A</v>
      </c>
      <c r="E45" s="370" t="e">
        <f t="shared" si="30"/>
        <v>#N/A</v>
      </c>
      <c r="F45" s="371" t="e">
        <f t="shared" si="1"/>
        <v>#N/A</v>
      </c>
      <c r="G45" s="372" t="e">
        <f t="shared" si="2"/>
        <v>#N/A</v>
      </c>
      <c r="H45" s="373" t="e">
        <f t="shared" si="3"/>
        <v>#N/A</v>
      </c>
      <c r="I45" s="373" t="e">
        <f t="shared" si="31"/>
        <v>#N/A</v>
      </c>
      <c r="J45" s="373" t="e">
        <f t="shared" si="4"/>
        <v>#N/A</v>
      </c>
      <c r="K45" s="373" t="e">
        <f t="shared" si="5"/>
        <v>#N/A</v>
      </c>
      <c r="L45" s="373" t="e">
        <f t="shared" si="32"/>
        <v>#N/A</v>
      </c>
      <c r="M45" s="374" t="e">
        <f t="shared" si="6"/>
        <v>#N/A</v>
      </c>
      <c r="N45" s="372" t="str">
        <f t="shared" si="7"/>
        <v/>
      </c>
      <c r="O45" s="375" t="str">
        <f t="shared" si="8"/>
        <v/>
      </c>
      <c r="P45" s="375" t="str">
        <f t="shared" si="9"/>
        <v/>
      </c>
      <c r="Q45" s="375" t="str">
        <f t="shared" si="10"/>
        <v/>
      </c>
      <c r="R45" s="376" t="str">
        <f t="shared" si="11"/>
        <v/>
      </c>
      <c r="S45" s="284"/>
      <c r="T45" s="285"/>
      <c r="U45" s="285"/>
      <c r="V45" s="285"/>
      <c r="W45" s="293"/>
      <c r="X45" s="288"/>
      <c r="Y45" s="288"/>
      <c r="Z45" s="288"/>
      <c r="AA45" s="288"/>
      <c r="AB45" s="288"/>
      <c r="AC45" s="288"/>
      <c r="AD45" s="841"/>
      <c r="AE45" s="841"/>
      <c r="AF45" s="294"/>
      <c r="AG45" s="295"/>
      <c r="AH45" s="296"/>
      <c r="AI45" s="288"/>
      <c r="AJ45" s="288"/>
      <c r="AK45" s="288"/>
      <c r="AL45" s="288"/>
      <c r="AM45" s="288"/>
      <c r="AN45" s="288"/>
      <c r="AO45" s="288"/>
      <c r="AP45" s="288"/>
      <c r="AQ45" s="288"/>
      <c r="AR45" s="297"/>
      <c r="AS45" s="841"/>
      <c r="AT45" s="878"/>
      <c r="AU45" s="412" t="e">
        <f t="shared" si="12"/>
        <v>#N/A</v>
      </c>
      <c r="AV45" s="413" t="e">
        <f t="shared" si="13"/>
        <v>#N/A</v>
      </c>
      <c r="AW45" s="413" t="str">
        <f t="shared" si="14"/>
        <v/>
      </c>
      <c r="AX45" s="413" t="str">
        <f t="shared" si="15"/>
        <v/>
      </c>
      <c r="AY45" s="413" t="e">
        <f t="shared" si="16"/>
        <v>#N/A</v>
      </c>
      <c r="AZ45" s="413" t="e">
        <f t="shared" si="17"/>
        <v>#N/A</v>
      </c>
      <c r="BA45" s="415" t="e">
        <f t="shared" si="18"/>
        <v>#N/A</v>
      </c>
      <c r="BB45" s="436" t="str">
        <f t="shared" si="19"/>
        <v/>
      </c>
      <c r="BC45" s="437" t="str">
        <f t="shared" si="20"/>
        <v/>
      </c>
      <c r="BD45" s="437" t="str">
        <f t="shared" si="21"/>
        <v/>
      </c>
      <c r="BE45" s="433" t="str">
        <f t="shared" si="22"/>
        <v/>
      </c>
      <c r="BF45" s="438" t="str">
        <f t="shared" si="23"/>
        <v/>
      </c>
      <c r="BG45" s="439" t="str">
        <f t="shared" si="24"/>
        <v/>
      </c>
      <c r="BH45" s="439" t="str">
        <f t="shared" si="25"/>
        <v/>
      </c>
      <c r="BI45" s="433" t="str">
        <f t="shared" si="26"/>
        <v/>
      </c>
      <c r="BJ45" s="438">
        <f t="shared" si="33"/>
        <v>0</v>
      </c>
      <c r="BK45" s="413" t="e">
        <f t="shared" si="27"/>
        <v>#DIV/0!</v>
      </c>
      <c r="BL45" s="442" t="e">
        <f t="shared" si="28"/>
        <v>#N/A</v>
      </c>
      <c r="CD45" s="30"/>
    </row>
    <row r="46" spans="2:87" ht="15" x14ac:dyDescent="0.25">
      <c r="B46" s="66"/>
      <c r="C46" s="317" t="e">
        <f>IF($D$8&lt;7,"",7)</f>
        <v>#N/A</v>
      </c>
      <c r="D46" s="370" t="e">
        <f t="shared" si="29"/>
        <v>#N/A</v>
      </c>
      <c r="E46" s="370" t="e">
        <f t="shared" si="30"/>
        <v>#N/A</v>
      </c>
      <c r="F46" s="371" t="e">
        <f t="shared" si="1"/>
        <v>#N/A</v>
      </c>
      <c r="G46" s="372" t="e">
        <f t="shared" si="2"/>
        <v>#N/A</v>
      </c>
      <c r="H46" s="373" t="e">
        <f t="shared" si="3"/>
        <v>#N/A</v>
      </c>
      <c r="I46" s="373" t="e">
        <f t="shared" si="31"/>
        <v>#N/A</v>
      </c>
      <c r="J46" s="373" t="e">
        <f t="shared" si="4"/>
        <v>#N/A</v>
      </c>
      <c r="K46" s="373" t="e">
        <f t="shared" si="5"/>
        <v>#N/A</v>
      </c>
      <c r="L46" s="373" t="e">
        <f t="shared" si="32"/>
        <v>#N/A</v>
      </c>
      <c r="M46" s="374" t="e">
        <f t="shared" si="6"/>
        <v>#N/A</v>
      </c>
      <c r="N46" s="372" t="str">
        <f t="shared" si="7"/>
        <v/>
      </c>
      <c r="O46" s="375" t="str">
        <f t="shared" si="8"/>
        <v/>
      </c>
      <c r="P46" s="375" t="str">
        <f t="shared" si="9"/>
        <v/>
      </c>
      <c r="Q46" s="375" t="str">
        <f t="shared" si="10"/>
        <v/>
      </c>
      <c r="R46" s="376" t="str">
        <f t="shared" si="11"/>
        <v/>
      </c>
      <c r="S46" s="284"/>
      <c r="T46" s="285"/>
      <c r="U46" s="285"/>
      <c r="V46" s="285"/>
      <c r="W46" s="293"/>
      <c r="X46" s="288"/>
      <c r="Y46" s="288"/>
      <c r="Z46" s="288"/>
      <c r="AA46" s="288"/>
      <c r="AB46" s="288"/>
      <c r="AC46" s="288"/>
      <c r="AD46" s="841"/>
      <c r="AE46" s="841"/>
      <c r="AF46" s="294"/>
      <c r="AG46" s="295"/>
      <c r="AH46" s="296"/>
      <c r="AI46" s="288"/>
      <c r="AJ46" s="288"/>
      <c r="AK46" s="288"/>
      <c r="AL46" s="288"/>
      <c r="AM46" s="288"/>
      <c r="AN46" s="288"/>
      <c r="AO46" s="288"/>
      <c r="AP46" s="288"/>
      <c r="AQ46" s="288"/>
      <c r="AR46" s="297"/>
      <c r="AS46" s="841"/>
      <c r="AT46" s="878"/>
      <c r="AU46" s="412" t="e">
        <f t="shared" si="12"/>
        <v>#N/A</v>
      </c>
      <c r="AV46" s="413" t="e">
        <f t="shared" si="13"/>
        <v>#N/A</v>
      </c>
      <c r="AW46" s="413" t="str">
        <f t="shared" si="14"/>
        <v/>
      </c>
      <c r="AX46" s="413" t="str">
        <f t="shared" si="15"/>
        <v/>
      </c>
      <c r="AY46" s="413" t="e">
        <f t="shared" si="16"/>
        <v>#N/A</v>
      </c>
      <c r="AZ46" s="413" t="e">
        <f t="shared" si="17"/>
        <v>#N/A</v>
      </c>
      <c r="BA46" s="415" t="e">
        <f t="shared" si="18"/>
        <v>#N/A</v>
      </c>
      <c r="BB46" s="436" t="str">
        <f t="shared" si="19"/>
        <v/>
      </c>
      <c r="BC46" s="437" t="str">
        <f t="shared" si="20"/>
        <v/>
      </c>
      <c r="BD46" s="437" t="str">
        <f t="shared" si="21"/>
        <v/>
      </c>
      <c r="BE46" s="433" t="str">
        <f t="shared" si="22"/>
        <v/>
      </c>
      <c r="BF46" s="438" t="str">
        <f t="shared" si="23"/>
        <v/>
      </c>
      <c r="BG46" s="439" t="str">
        <f t="shared" si="24"/>
        <v/>
      </c>
      <c r="BH46" s="439" t="str">
        <f t="shared" si="25"/>
        <v/>
      </c>
      <c r="BI46" s="433" t="str">
        <f t="shared" si="26"/>
        <v/>
      </c>
      <c r="BJ46" s="438">
        <f t="shared" si="33"/>
        <v>0</v>
      </c>
      <c r="BK46" s="413" t="e">
        <f t="shared" si="27"/>
        <v>#DIV/0!</v>
      </c>
      <c r="BL46" s="442" t="e">
        <f t="shared" si="28"/>
        <v>#N/A</v>
      </c>
    </row>
    <row r="47" spans="2:87" ht="15" x14ac:dyDescent="0.25">
      <c r="B47" s="66"/>
      <c r="C47" s="317" t="e">
        <f>IF($D$8&lt;8,"",8)</f>
        <v>#N/A</v>
      </c>
      <c r="D47" s="370" t="e">
        <f t="shared" si="29"/>
        <v>#N/A</v>
      </c>
      <c r="E47" s="370" t="e">
        <f t="shared" si="30"/>
        <v>#N/A</v>
      </c>
      <c r="F47" s="371" t="e">
        <f t="shared" si="1"/>
        <v>#N/A</v>
      </c>
      <c r="G47" s="372" t="e">
        <f t="shared" si="2"/>
        <v>#N/A</v>
      </c>
      <c r="H47" s="373" t="e">
        <f t="shared" si="3"/>
        <v>#N/A</v>
      </c>
      <c r="I47" s="373" t="e">
        <f t="shared" si="31"/>
        <v>#N/A</v>
      </c>
      <c r="J47" s="373" t="e">
        <f t="shared" si="4"/>
        <v>#N/A</v>
      </c>
      <c r="K47" s="373" t="e">
        <f t="shared" si="5"/>
        <v>#N/A</v>
      </c>
      <c r="L47" s="373" t="e">
        <f t="shared" si="32"/>
        <v>#N/A</v>
      </c>
      <c r="M47" s="374" t="e">
        <f t="shared" si="6"/>
        <v>#N/A</v>
      </c>
      <c r="N47" s="372" t="str">
        <f t="shared" si="7"/>
        <v/>
      </c>
      <c r="O47" s="375" t="str">
        <f t="shared" si="8"/>
        <v/>
      </c>
      <c r="P47" s="375" t="str">
        <f t="shared" si="9"/>
        <v/>
      </c>
      <c r="Q47" s="375" t="str">
        <f t="shared" si="10"/>
        <v/>
      </c>
      <c r="R47" s="376" t="str">
        <f t="shared" si="11"/>
        <v/>
      </c>
      <c r="S47" s="284"/>
      <c r="T47" s="285"/>
      <c r="U47" s="285"/>
      <c r="V47" s="285"/>
      <c r="W47" s="293"/>
      <c r="X47" s="288"/>
      <c r="Y47" s="288"/>
      <c r="Z47" s="288"/>
      <c r="AA47" s="288"/>
      <c r="AB47" s="288"/>
      <c r="AC47" s="288"/>
      <c r="AD47" s="841"/>
      <c r="AE47" s="841"/>
      <c r="AF47" s="294"/>
      <c r="AG47" s="295"/>
      <c r="AH47" s="296"/>
      <c r="AI47" s="288"/>
      <c r="AJ47" s="288"/>
      <c r="AK47" s="288"/>
      <c r="AL47" s="288"/>
      <c r="AM47" s="288"/>
      <c r="AN47" s="288"/>
      <c r="AO47" s="288"/>
      <c r="AP47" s="288"/>
      <c r="AQ47" s="288"/>
      <c r="AR47" s="297"/>
      <c r="AS47" s="841"/>
      <c r="AT47" s="878"/>
      <c r="AU47" s="412" t="e">
        <f t="shared" si="12"/>
        <v>#N/A</v>
      </c>
      <c r="AV47" s="413" t="e">
        <f t="shared" si="13"/>
        <v>#N/A</v>
      </c>
      <c r="AW47" s="413" t="str">
        <f t="shared" si="14"/>
        <v/>
      </c>
      <c r="AX47" s="413" t="str">
        <f t="shared" si="15"/>
        <v/>
      </c>
      <c r="AY47" s="413" t="e">
        <f t="shared" si="16"/>
        <v>#N/A</v>
      </c>
      <c r="AZ47" s="413" t="e">
        <f t="shared" si="17"/>
        <v>#N/A</v>
      </c>
      <c r="BA47" s="415" t="e">
        <f t="shared" si="18"/>
        <v>#N/A</v>
      </c>
      <c r="BB47" s="436" t="str">
        <f t="shared" si="19"/>
        <v/>
      </c>
      <c r="BC47" s="437" t="str">
        <f t="shared" si="20"/>
        <v/>
      </c>
      <c r="BD47" s="437" t="str">
        <f t="shared" si="21"/>
        <v/>
      </c>
      <c r="BE47" s="433" t="str">
        <f t="shared" si="22"/>
        <v/>
      </c>
      <c r="BF47" s="438" t="str">
        <f t="shared" si="23"/>
        <v/>
      </c>
      <c r="BG47" s="439" t="str">
        <f t="shared" si="24"/>
        <v/>
      </c>
      <c r="BH47" s="439" t="str">
        <f t="shared" si="25"/>
        <v/>
      </c>
      <c r="BI47" s="433" t="str">
        <f t="shared" si="26"/>
        <v/>
      </c>
      <c r="BJ47" s="438">
        <f t="shared" si="33"/>
        <v>0</v>
      </c>
      <c r="BK47" s="413" t="e">
        <f t="shared" si="27"/>
        <v>#DIV/0!</v>
      </c>
      <c r="BL47" s="442" t="e">
        <f t="shared" si="28"/>
        <v>#N/A</v>
      </c>
    </row>
    <row r="48" spans="2:87" ht="15" x14ac:dyDescent="0.25">
      <c r="B48" s="66"/>
      <c r="C48" s="317" t="e">
        <f>IF($D$8&lt;9,"",9)</f>
        <v>#N/A</v>
      </c>
      <c r="D48" s="370" t="e">
        <f t="shared" ref="D48:D57" si="34">IF($C48="","",D47+$D$19)</f>
        <v>#N/A</v>
      </c>
      <c r="E48" s="370" t="e">
        <f t="shared" si="30"/>
        <v>#N/A</v>
      </c>
      <c r="F48" s="371" t="e">
        <f t="shared" si="1"/>
        <v>#N/A</v>
      </c>
      <c r="G48" s="372" t="e">
        <f t="shared" ref="G48:G57" si="35">IF($C48="","",$D$21*SIN(RADIANS(D48)))</f>
        <v>#N/A</v>
      </c>
      <c r="H48" s="373" t="e">
        <f t="shared" ref="H48:H57" si="36">IF($C48="","",F48*G48)</f>
        <v>#N/A</v>
      </c>
      <c r="I48" s="373" t="e">
        <f t="shared" si="31"/>
        <v>#N/A</v>
      </c>
      <c r="J48" s="373" t="e">
        <f t="shared" si="4"/>
        <v>#N/A</v>
      </c>
      <c r="K48" s="373" t="e">
        <f t="shared" si="5"/>
        <v>#N/A</v>
      </c>
      <c r="L48" s="373" t="e">
        <f t="shared" si="32"/>
        <v>#N/A</v>
      </c>
      <c r="M48" s="374" t="e">
        <f t="shared" ref="M48:M57" si="37">IF($C48="","",L48+F48*I48^2)</f>
        <v>#N/A</v>
      </c>
      <c r="N48" s="372" t="str">
        <f t="shared" si="7"/>
        <v/>
      </c>
      <c r="O48" s="375" t="str">
        <f t="shared" si="8"/>
        <v/>
      </c>
      <c r="P48" s="375" t="str">
        <f t="shared" si="9"/>
        <v/>
      </c>
      <c r="Q48" s="375" t="str">
        <f t="shared" si="10"/>
        <v/>
      </c>
      <c r="R48" s="376" t="str">
        <f t="shared" si="11"/>
        <v/>
      </c>
      <c r="S48" s="284"/>
      <c r="T48" s="285"/>
      <c r="U48" s="285"/>
      <c r="V48" s="285"/>
      <c r="W48" s="293"/>
      <c r="X48" s="288"/>
      <c r="Y48" s="288"/>
      <c r="Z48" s="288"/>
      <c r="AA48" s="288"/>
      <c r="AB48" s="288"/>
      <c r="AC48" s="288"/>
      <c r="AD48" s="841"/>
      <c r="AE48" s="841"/>
      <c r="AF48" s="294"/>
      <c r="AG48" s="295"/>
      <c r="AH48" s="296"/>
      <c r="AI48" s="288"/>
      <c r="AJ48" s="288"/>
      <c r="AK48" s="288"/>
      <c r="AL48" s="288"/>
      <c r="AM48" s="288"/>
      <c r="AN48" s="288"/>
      <c r="AO48" s="288"/>
      <c r="AP48" s="288"/>
      <c r="AQ48" s="288"/>
      <c r="AR48" s="297"/>
      <c r="AS48" s="841"/>
      <c r="AT48" s="878"/>
      <c r="AU48" s="412" t="e">
        <f t="shared" si="12"/>
        <v>#N/A</v>
      </c>
      <c r="AV48" s="413" t="e">
        <f t="shared" si="13"/>
        <v>#N/A</v>
      </c>
      <c r="AW48" s="413" t="str">
        <f t="shared" si="14"/>
        <v/>
      </c>
      <c r="AX48" s="413" t="str">
        <f t="shared" si="15"/>
        <v/>
      </c>
      <c r="AY48" s="413" t="e">
        <f t="shared" si="16"/>
        <v>#N/A</v>
      </c>
      <c r="AZ48" s="417" t="e">
        <f t="shared" si="17"/>
        <v>#N/A</v>
      </c>
      <c r="BA48" s="418" t="e">
        <f t="shared" ref="BA48:BA57" si="38">IF($C48="","",AY48*AZ48)</f>
        <v>#N/A</v>
      </c>
      <c r="BB48" s="436" t="str">
        <f t="shared" si="19"/>
        <v/>
      </c>
      <c r="BC48" s="437" t="str">
        <f t="shared" si="20"/>
        <v/>
      </c>
      <c r="BD48" s="437" t="str">
        <f t="shared" si="21"/>
        <v/>
      </c>
      <c r="BE48" s="433" t="str">
        <f t="shared" si="22"/>
        <v/>
      </c>
      <c r="BF48" s="438" t="str">
        <f t="shared" si="23"/>
        <v/>
      </c>
      <c r="BG48" s="439" t="str">
        <f t="shared" si="24"/>
        <v/>
      </c>
      <c r="BH48" s="439" t="str">
        <f t="shared" si="25"/>
        <v/>
      </c>
      <c r="BI48" s="433" t="str">
        <f t="shared" si="26"/>
        <v/>
      </c>
      <c r="BJ48" s="438">
        <f t="shared" si="33"/>
        <v>0</v>
      </c>
      <c r="BK48" s="413" t="e">
        <f t="shared" si="27"/>
        <v>#DIV/0!</v>
      </c>
      <c r="BL48" s="442" t="e">
        <f t="shared" si="28"/>
        <v>#N/A</v>
      </c>
    </row>
    <row r="49" spans="2:117" ht="15" x14ac:dyDescent="0.25">
      <c r="B49" s="66"/>
      <c r="C49" s="317" t="e">
        <f>IF($D$8&lt;10,"",10)</f>
        <v>#N/A</v>
      </c>
      <c r="D49" s="370" t="e">
        <f t="shared" si="34"/>
        <v>#N/A</v>
      </c>
      <c r="E49" s="370" t="e">
        <f t="shared" si="30"/>
        <v>#N/A</v>
      </c>
      <c r="F49" s="371" t="e">
        <f t="shared" si="1"/>
        <v>#N/A</v>
      </c>
      <c r="G49" s="372" t="e">
        <f t="shared" si="35"/>
        <v>#N/A</v>
      </c>
      <c r="H49" s="373" t="e">
        <f t="shared" si="36"/>
        <v>#N/A</v>
      </c>
      <c r="I49" s="373" t="e">
        <f t="shared" si="31"/>
        <v>#N/A</v>
      </c>
      <c r="J49" s="373" t="e">
        <f t="shared" si="4"/>
        <v>#N/A</v>
      </c>
      <c r="K49" s="373" t="e">
        <f t="shared" si="5"/>
        <v>#N/A</v>
      </c>
      <c r="L49" s="373" t="e">
        <f t="shared" si="32"/>
        <v>#N/A</v>
      </c>
      <c r="M49" s="374" t="e">
        <f t="shared" si="37"/>
        <v>#N/A</v>
      </c>
      <c r="N49" s="372" t="str">
        <f t="shared" si="7"/>
        <v/>
      </c>
      <c r="O49" s="375" t="str">
        <f t="shared" si="8"/>
        <v/>
      </c>
      <c r="P49" s="375" t="str">
        <f t="shared" si="9"/>
        <v/>
      </c>
      <c r="Q49" s="375" t="str">
        <f t="shared" si="10"/>
        <v/>
      </c>
      <c r="R49" s="376" t="str">
        <f t="shared" si="11"/>
        <v/>
      </c>
      <c r="S49" s="284"/>
      <c r="T49" s="285"/>
      <c r="U49" s="285"/>
      <c r="V49" s="285"/>
      <c r="W49" s="293"/>
      <c r="X49" s="288"/>
      <c r="Y49" s="288"/>
      <c r="Z49" s="288"/>
      <c r="AA49" s="288"/>
      <c r="AB49" s="288"/>
      <c r="AC49" s="288"/>
      <c r="AD49" s="841"/>
      <c r="AE49" s="841"/>
      <c r="AF49" s="294"/>
      <c r="AG49" s="295"/>
      <c r="AH49" s="296"/>
      <c r="AI49" s="288"/>
      <c r="AJ49" s="288"/>
      <c r="AK49" s="288"/>
      <c r="AL49" s="288"/>
      <c r="AM49" s="288"/>
      <c r="AN49" s="288"/>
      <c r="AO49" s="288"/>
      <c r="AP49" s="288"/>
      <c r="AQ49" s="288"/>
      <c r="AR49" s="297"/>
      <c r="AS49" s="841"/>
      <c r="AT49" s="878"/>
      <c r="AU49" s="412" t="e">
        <f t="shared" si="12"/>
        <v>#N/A</v>
      </c>
      <c r="AV49" s="413" t="e">
        <f t="shared" si="13"/>
        <v>#N/A</v>
      </c>
      <c r="AW49" s="413" t="str">
        <f t="shared" si="14"/>
        <v/>
      </c>
      <c r="AX49" s="413" t="str">
        <f t="shared" si="15"/>
        <v/>
      </c>
      <c r="AY49" s="413" t="e">
        <f t="shared" si="16"/>
        <v>#N/A</v>
      </c>
      <c r="AZ49" s="413" t="e">
        <f t="shared" si="17"/>
        <v>#N/A</v>
      </c>
      <c r="BA49" s="415" t="e">
        <f t="shared" si="38"/>
        <v>#N/A</v>
      </c>
      <c r="BB49" s="436" t="str">
        <f t="shared" si="19"/>
        <v/>
      </c>
      <c r="BC49" s="437" t="str">
        <f t="shared" si="20"/>
        <v/>
      </c>
      <c r="BD49" s="437" t="str">
        <f t="shared" si="21"/>
        <v/>
      </c>
      <c r="BE49" s="433" t="str">
        <f t="shared" si="22"/>
        <v/>
      </c>
      <c r="BF49" s="438" t="str">
        <f t="shared" si="23"/>
        <v/>
      </c>
      <c r="BG49" s="439" t="str">
        <f t="shared" si="24"/>
        <v/>
      </c>
      <c r="BH49" s="439" t="str">
        <f t="shared" si="25"/>
        <v/>
      </c>
      <c r="BI49" s="433" t="str">
        <f t="shared" si="26"/>
        <v/>
      </c>
      <c r="BJ49" s="438">
        <f t="shared" si="33"/>
        <v>0</v>
      </c>
      <c r="BK49" s="413" t="e">
        <f t="shared" si="27"/>
        <v>#DIV/0!</v>
      </c>
      <c r="BL49" s="442" t="e">
        <f t="shared" si="28"/>
        <v>#N/A</v>
      </c>
    </row>
    <row r="50" spans="2:117" ht="15" x14ac:dyDescent="0.25">
      <c r="B50" s="66"/>
      <c r="C50" s="317" t="e">
        <f>IF($D$8&lt;11,"",11)</f>
        <v>#N/A</v>
      </c>
      <c r="D50" s="370" t="e">
        <f t="shared" si="34"/>
        <v>#N/A</v>
      </c>
      <c r="E50" s="370" t="e">
        <f t="shared" si="30"/>
        <v>#N/A</v>
      </c>
      <c r="F50" s="371" t="e">
        <f t="shared" si="1"/>
        <v>#N/A</v>
      </c>
      <c r="G50" s="372" t="e">
        <f t="shared" si="35"/>
        <v>#N/A</v>
      </c>
      <c r="H50" s="373" t="e">
        <f t="shared" si="36"/>
        <v>#N/A</v>
      </c>
      <c r="I50" s="373" t="e">
        <f t="shared" si="31"/>
        <v>#N/A</v>
      </c>
      <c r="J50" s="373" t="e">
        <f t="shared" si="4"/>
        <v>#N/A</v>
      </c>
      <c r="K50" s="373" t="e">
        <f t="shared" si="5"/>
        <v>#N/A</v>
      </c>
      <c r="L50" s="373" t="e">
        <f t="shared" si="32"/>
        <v>#N/A</v>
      </c>
      <c r="M50" s="374" t="e">
        <f t="shared" si="37"/>
        <v>#N/A</v>
      </c>
      <c r="N50" s="372" t="str">
        <f t="shared" si="7"/>
        <v/>
      </c>
      <c r="O50" s="375" t="str">
        <f t="shared" si="8"/>
        <v/>
      </c>
      <c r="P50" s="375" t="str">
        <f t="shared" si="9"/>
        <v/>
      </c>
      <c r="Q50" s="375" t="str">
        <f t="shared" si="10"/>
        <v/>
      </c>
      <c r="R50" s="376" t="str">
        <f t="shared" si="11"/>
        <v/>
      </c>
      <c r="S50" s="284"/>
      <c r="T50" s="285"/>
      <c r="U50" s="285"/>
      <c r="V50" s="285"/>
      <c r="W50" s="293"/>
      <c r="X50" s="288"/>
      <c r="Y50" s="288"/>
      <c r="Z50" s="288"/>
      <c r="AA50" s="288"/>
      <c r="AB50" s="288"/>
      <c r="AC50" s="288"/>
      <c r="AD50" s="841"/>
      <c r="AE50" s="841"/>
      <c r="AF50" s="294"/>
      <c r="AG50" s="295"/>
      <c r="AH50" s="296"/>
      <c r="AI50" s="288"/>
      <c r="AJ50" s="288"/>
      <c r="AK50" s="288"/>
      <c r="AL50" s="288"/>
      <c r="AM50" s="288"/>
      <c r="AN50" s="288"/>
      <c r="AO50" s="288"/>
      <c r="AP50" s="288"/>
      <c r="AQ50" s="288"/>
      <c r="AR50" s="297"/>
      <c r="AS50" s="841"/>
      <c r="AT50" s="878"/>
      <c r="AU50" s="412" t="e">
        <f t="shared" si="12"/>
        <v>#N/A</v>
      </c>
      <c r="AV50" s="413" t="e">
        <f t="shared" si="13"/>
        <v>#N/A</v>
      </c>
      <c r="AW50" s="413" t="str">
        <f t="shared" si="14"/>
        <v/>
      </c>
      <c r="AX50" s="413" t="str">
        <f t="shared" si="15"/>
        <v/>
      </c>
      <c r="AY50" s="413" t="e">
        <f t="shared" si="16"/>
        <v>#N/A</v>
      </c>
      <c r="AZ50" s="413" t="e">
        <f t="shared" si="17"/>
        <v>#N/A</v>
      </c>
      <c r="BA50" s="415" t="e">
        <f t="shared" si="38"/>
        <v>#N/A</v>
      </c>
      <c r="BB50" s="436" t="str">
        <f t="shared" si="19"/>
        <v/>
      </c>
      <c r="BC50" s="437" t="str">
        <f t="shared" si="20"/>
        <v/>
      </c>
      <c r="BD50" s="437" t="str">
        <f t="shared" si="21"/>
        <v/>
      </c>
      <c r="BE50" s="433" t="str">
        <f t="shared" si="22"/>
        <v/>
      </c>
      <c r="BF50" s="438" t="str">
        <f t="shared" si="23"/>
        <v/>
      </c>
      <c r="BG50" s="439" t="str">
        <f t="shared" si="24"/>
        <v/>
      </c>
      <c r="BH50" s="439" t="str">
        <f t="shared" si="25"/>
        <v/>
      </c>
      <c r="BI50" s="433" t="str">
        <f t="shared" si="26"/>
        <v/>
      </c>
      <c r="BJ50" s="438">
        <f t="shared" si="33"/>
        <v>0</v>
      </c>
      <c r="BK50" s="413" t="e">
        <f t="shared" si="27"/>
        <v>#DIV/0!</v>
      </c>
      <c r="BL50" s="442" t="e">
        <f t="shared" si="28"/>
        <v>#N/A</v>
      </c>
      <c r="BP50" s="340"/>
      <c r="BQ50" s="340"/>
      <c r="BR50" s="340"/>
    </row>
    <row r="51" spans="2:117" ht="15" x14ac:dyDescent="0.25">
      <c r="B51" s="66"/>
      <c r="C51" s="317" t="e">
        <f>IF($D$8&lt;12,"",12)</f>
        <v>#N/A</v>
      </c>
      <c r="D51" s="370" t="e">
        <f t="shared" si="34"/>
        <v>#N/A</v>
      </c>
      <c r="E51" s="370" t="e">
        <f t="shared" si="30"/>
        <v>#N/A</v>
      </c>
      <c r="F51" s="371" t="e">
        <f t="shared" si="1"/>
        <v>#N/A</v>
      </c>
      <c r="G51" s="372" t="e">
        <f t="shared" si="35"/>
        <v>#N/A</v>
      </c>
      <c r="H51" s="373" t="e">
        <f t="shared" si="36"/>
        <v>#N/A</v>
      </c>
      <c r="I51" s="373" t="e">
        <f t="shared" si="31"/>
        <v>#N/A</v>
      </c>
      <c r="J51" s="373" t="e">
        <f t="shared" si="4"/>
        <v>#N/A</v>
      </c>
      <c r="K51" s="373" t="e">
        <f t="shared" si="5"/>
        <v>#N/A</v>
      </c>
      <c r="L51" s="373" t="e">
        <f t="shared" si="32"/>
        <v>#N/A</v>
      </c>
      <c r="M51" s="374" t="e">
        <f t="shared" si="37"/>
        <v>#N/A</v>
      </c>
      <c r="N51" s="372" t="str">
        <f t="shared" si="7"/>
        <v/>
      </c>
      <c r="O51" s="375" t="str">
        <f t="shared" si="8"/>
        <v/>
      </c>
      <c r="P51" s="375" t="str">
        <f t="shared" si="9"/>
        <v/>
      </c>
      <c r="Q51" s="375" t="str">
        <f t="shared" si="10"/>
        <v/>
      </c>
      <c r="R51" s="376" t="str">
        <f t="shared" si="11"/>
        <v/>
      </c>
      <c r="S51" s="284"/>
      <c r="T51" s="285"/>
      <c r="U51" s="285"/>
      <c r="V51" s="285"/>
      <c r="W51" s="293"/>
      <c r="X51" s="288"/>
      <c r="Y51" s="288"/>
      <c r="Z51" s="288"/>
      <c r="AA51" s="288"/>
      <c r="AB51" s="288"/>
      <c r="AC51" s="288"/>
      <c r="AD51" s="841"/>
      <c r="AE51" s="841"/>
      <c r="AF51" s="294"/>
      <c r="AG51" s="295"/>
      <c r="AH51" s="296"/>
      <c r="AI51" s="288"/>
      <c r="AJ51" s="288"/>
      <c r="AK51" s="288"/>
      <c r="AL51" s="288"/>
      <c r="AM51" s="288"/>
      <c r="AN51" s="288"/>
      <c r="AO51" s="288"/>
      <c r="AP51" s="288"/>
      <c r="AQ51" s="288"/>
      <c r="AR51" s="297"/>
      <c r="AS51" s="841"/>
      <c r="AT51" s="878"/>
      <c r="AU51" s="412" t="e">
        <f t="shared" si="12"/>
        <v>#N/A</v>
      </c>
      <c r="AV51" s="413" t="e">
        <f t="shared" si="13"/>
        <v>#N/A</v>
      </c>
      <c r="AW51" s="413" t="str">
        <f t="shared" si="14"/>
        <v/>
      </c>
      <c r="AX51" s="413" t="str">
        <f t="shared" si="15"/>
        <v/>
      </c>
      <c r="AY51" s="413" t="e">
        <f t="shared" si="16"/>
        <v>#N/A</v>
      </c>
      <c r="AZ51" s="413" t="e">
        <f t="shared" si="17"/>
        <v>#N/A</v>
      </c>
      <c r="BA51" s="415" t="e">
        <f t="shared" si="38"/>
        <v>#N/A</v>
      </c>
      <c r="BB51" s="436" t="str">
        <f t="shared" si="19"/>
        <v/>
      </c>
      <c r="BC51" s="437" t="str">
        <f t="shared" si="20"/>
        <v/>
      </c>
      <c r="BD51" s="437" t="str">
        <f t="shared" si="21"/>
        <v/>
      </c>
      <c r="BE51" s="433" t="str">
        <f t="shared" si="22"/>
        <v/>
      </c>
      <c r="BF51" s="438" t="str">
        <f t="shared" si="23"/>
        <v/>
      </c>
      <c r="BG51" s="439" t="str">
        <f t="shared" si="24"/>
        <v/>
      </c>
      <c r="BH51" s="439" t="str">
        <f t="shared" si="25"/>
        <v/>
      </c>
      <c r="BI51" s="433" t="str">
        <f t="shared" si="26"/>
        <v/>
      </c>
      <c r="BJ51" s="438">
        <f t="shared" si="33"/>
        <v>0</v>
      </c>
      <c r="BK51" s="413" t="e">
        <f t="shared" si="27"/>
        <v>#DIV/0!</v>
      </c>
      <c r="BL51" s="442" t="e">
        <f t="shared" si="28"/>
        <v>#N/A</v>
      </c>
    </row>
    <row r="52" spans="2:117" ht="15" x14ac:dyDescent="0.25">
      <c r="B52" s="66"/>
      <c r="C52" s="317" t="e">
        <f>IF($D$8&lt;13,"",13)</f>
        <v>#N/A</v>
      </c>
      <c r="D52" s="370" t="e">
        <f t="shared" si="34"/>
        <v>#N/A</v>
      </c>
      <c r="E52" s="370" t="e">
        <f t="shared" si="30"/>
        <v>#N/A</v>
      </c>
      <c r="F52" s="371" t="e">
        <f t="shared" si="1"/>
        <v>#N/A</v>
      </c>
      <c r="G52" s="372" t="e">
        <f t="shared" si="35"/>
        <v>#N/A</v>
      </c>
      <c r="H52" s="373" t="e">
        <f t="shared" si="36"/>
        <v>#N/A</v>
      </c>
      <c r="I52" s="373" t="e">
        <f t="shared" si="31"/>
        <v>#N/A</v>
      </c>
      <c r="J52" s="373" t="e">
        <f t="shared" si="4"/>
        <v>#N/A</v>
      </c>
      <c r="K52" s="373" t="e">
        <f t="shared" si="5"/>
        <v>#N/A</v>
      </c>
      <c r="L52" s="373" t="e">
        <f t="shared" si="32"/>
        <v>#N/A</v>
      </c>
      <c r="M52" s="374" t="e">
        <f t="shared" si="37"/>
        <v>#N/A</v>
      </c>
      <c r="N52" s="372" t="str">
        <f t="shared" si="7"/>
        <v/>
      </c>
      <c r="O52" s="375" t="str">
        <f t="shared" si="8"/>
        <v/>
      </c>
      <c r="P52" s="375" t="str">
        <f t="shared" si="9"/>
        <v/>
      </c>
      <c r="Q52" s="375" t="str">
        <f t="shared" si="10"/>
        <v/>
      </c>
      <c r="R52" s="376" t="str">
        <f t="shared" si="11"/>
        <v/>
      </c>
      <c r="S52" s="284"/>
      <c r="T52" s="285"/>
      <c r="U52" s="285"/>
      <c r="V52" s="285"/>
      <c r="W52" s="293"/>
      <c r="X52" s="288"/>
      <c r="Y52" s="288"/>
      <c r="Z52" s="288"/>
      <c r="AA52" s="288"/>
      <c r="AB52" s="288"/>
      <c r="AC52" s="288"/>
      <c r="AD52" s="841"/>
      <c r="AE52" s="841"/>
      <c r="AF52" s="294"/>
      <c r="AG52" s="295"/>
      <c r="AH52" s="296"/>
      <c r="AI52" s="288"/>
      <c r="AJ52" s="288"/>
      <c r="AK52" s="288"/>
      <c r="AL52" s="288"/>
      <c r="AM52" s="288"/>
      <c r="AN52" s="288"/>
      <c r="AO52" s="288"/>
      <c r="AP52" s="288"/>
      <c r="AQ52" s="288"/>
      <c r="AR52" s="297"/>
      <c r="AS52" s="841"/>
      <c r="AT52" s="878"/>
      <c r="AU52" s="412" t="e">
        <f t="shared" si="12"/>
        <v>#N/A</v>
      </c>
      <c r="AV52" s="413" t="e">
        <f t="shared" si="13"/>
        <v>#N/A</v>
      </c>
      <c r="AW52" s="413" t="str">
        <f t="shared" si="14"/>
        <v/>
      </c>
      <c r="AX52" s="413" t="str">
        <f t="shared" si="15"/>
        <v/>
      </c>
      <c r="AY52" s="413" t="e">
        <f t="shared" si="16"/>
        <v>#N/A</v>
      </c>
      <c r="AZ52" s="413" t="e">
        <f t="shared" si="17"/>
        <v>#N/A</v>
      </c>
      <c r="BA52" s="415" t="e">
        <f t="shared" si="38"/>
        <v>#N/A</v>
      </c>
      <c r="BB52" s="436" t="str">
        <f t="shared" si="19"/>
        <v/>
      </c>
      <c r="BC52" s="437" t="str">
        <f t="shared" si="20"/>
        <v/>
      </c>
      <c r="BD52" s="437" t="str">
        <f t="shared" si="21"/>
        <v/>
      </c>
      <c r="BE52" s="433" t="str">
        <f t="shared" si="22"/>
        <v/>
      </c>
      <c r="BF52" s="438" t="str">
        <f t="shared" si="23"/>
        <v/>
      </c>
      <c r="BG52" s="439" t="str">
        <f t="shared" si="24"/>
        <v/>
      </c>
      <c r="BH52" s="439" t="str">
        <f t="shared" si="25"/>
        <v/>
      </c>
      <c r="BI52" s="433" t="str">
        <f t="shared" si="26"/>
        <v/>
      </c>
      <c r="BJ52" s="438">
        <f t="shared" si="33"/>
        <v>0</v>
      </c>
      <c r="BK52" s="413" t="e">
        <f t="shared" si="27"/>
        <v>#DIV/0!</v>
      </c>
      <c r="BL52" s="442" t="e">
        <f t="shared" si="28"/>
        <v>#N/A</v>
      </c>
    </row>
    <row r="53" spans="2:117" ht="15" x14ac:dyDescent="0.25">
      <c r="B53" s="66"/>
      <c r="C53" s="317" t="e">
        <f>IF($D$8&lt;14,"",14)</f>
        <v>#N/A</v>
      </c>
      <c r="D53" s="370" t="e">
        <f t="shared" si="34"/>
        <v>#N/A</v>
      </c>
      <c r="E53" s="370" t="e">
        <f t="shared" si="30"/>
        <v>#N/A</v>
      </c>
      <c r="F53" s="371" t="e">
        <f t="shared" si="1"/>
        <v>#N/A</v>
      </c>
      <c r="G53" s="372" t="e">
        <f t="shared" si="35"/>
        <v>#N/A</v>
      </c>
      <c r="H53" s="373" t="e">
        <f t="shared" si="36"/>
        <v>#N/A</v>
      </c>
      <c r="I53" s="373" t="e">
        <f t="shared" si="31"/>
        <v>#N/A</v>
      </c>
      <c r="J53" s="373" t="e">
        <f t="shared" si="4"/>
        <v>#N/A</v>
      </c>
      <c r="K53" s="373" t="e">
        <f t="shared" si="5"/>
        <v>#N/A</v>
      </c>
      <c r="L53" s="373" t="e">
        <f t="shared" si="32"/>
        <v>#N/A</v>
      </c>
      <c r="M53" s="374" t="e">
        <f t="shared" si="37"/>
        <v>#N/A</v>
      </c>
      <c r="N53" s="372" t="str">
        <f t="shared" si="7"/>
        <v/>
      </c>
      <c r="O53" s="375" t="str">
        <f t="shared" si="8"/>
        <v/>
      </c>
      <c r="P53" s="375" t="str">
        <f t="shared" si="9"/>
        <v/>
      </c>
      <c r="Q53" s="375" t="str">
        <f t="shared" si="10"/>
        <v/>
      </c>
      <c r="R53" s="376" t="str">
        <f t="shared" si="11"/>
        <v/>
      </c>
      <c r="S53" s="284"/>
      <c r="T53" s="285"/>
      <c r="U53" s="285"/>
      <c r="V53" s="285"/>
      <c r="W53" s="293"/>
      <c r="X53" s="288"/>
      <c r="Y53" s="288"/>
      <c r="Z53" s="288"/>
      <c r="AA53" s="288"/>
      <c r="AB53" s="288"/>
      <c r="AC53" s="288"/>
      <c r="AD53" s="841"/>
      <c r="AE53" s="841"/>
      <c r="AF53" s="294"/>
      <c r="AG53" s="295"/>
      <c r="AH53" s="296"/>
      <c r="AI53" s="288"/>
      <c r="AJ53" s="288"/>
      <c r="AK53" s="288"/>
      <c r="AL53" s="288"/>
      <c r="AM53" s="288"/>
      <c r="AN53" s="288"/>
      <c r="AO53" s="288"/>
      <c r="AP53" s="288"/>
      <c r="AQ53" s="288"/>
      <c r="AR53" s="297"/>
      <c r="AS53" s="841"/>
      <c r="AT53" s="878"/>
      <c r="AU53" s="412" t="e">
        <f t="shared" si="12"/>
        <v>#N/A</v>
      </c>
      <c r="AV53" s="413" t="e">
        <f t="shared" si="13"/>
        <v>#N/A</v>
      </c>
      <c r="AW53" s="413" t="str">
        <f t="shared" si="14"/>
        <v/>
      </c>
      <c r="AX53" s="413" t="str">
        <f t="shared" si="15"/>
        <v/>
      </c>
      <c r="AY53" s="413" t="e">
        <f t="shared" si="16"/>
        <v>#N/A</v>
      </c>
      <c r="AZ53" s="413" t="e">
        <f t="shared" si="17"/>
        <v>#N/A</v>
      </c>
      <c r="BA53" s="415" t="e">
        <f t="shared" si="38"/>
        <v>#N/A</v>
      </c>
      <c r="BB53" s="436" t="str">
        <f t="shared" si="19"/>
        <v/>
      </c>
      <c r="BC53" s="437" t="str">
        <f t="shared" si="20"/>
        <v/>
      </c>
      <c r="BD53" s="437" t="str">
        <f t="shared" si="21"/>
        <v/>
      </c>
      <c r="BE53" s="433" t="str">
        <f t="shared" si="22"/>
        <v/>
      </c>
      <c r="BF53" s="438" t="str">
        <f t="shared" si="23"/>
        <v/>
      </c>
      <c r="BG53" s="439" t="str">
        <f t="shared" si="24"/>
        <v/>
      </c>
      <c r="BH53" s="439" t="str">
        <f t="shared" si="25"/>
        <v/>
      </c>
      <c r="BI53" s="433" t="str">
        <f t="shared" si="26"/>
        <v/>
      </c>
      <c r="BJ53" s="438">
        <f t="shared" si="33"/>
        <v>0</v>
      </c>
      <c r="BK53" s="413" t="e">
        <f t="shared" si="27"/>
        <v>#DIV/0!</v>
      </c>
      <c r="BL53" s="442" t="e">
        <f t="shared" si="28"/>
        <v>#N/A</v>
      </c>
    </row>
    <row r="54" spans="2:117" ht="15" x14ac:dyDescent="0.25">
      <c r="B54" s="66"/>
      <c r="C54" s="317" t="e">
        <f>IF($D$8&lt;15,"",15)</f>
        <v>#N/A</v>
      </c>
      <c r="D54" s="370" t="e">
        <f t="shared" si="34"/>
        <v>#N/A</v>
      </c>
      <c r="E54" s="370" t="e">
        <f t="shared" si="30"/>
        <v>#N/A</v>
      </c>
      <c r="F54" s="371" t="e">
        <f t="shared" si="1"/>
        <v>#N/A</v>
      </c>
      <c r="G54" s="372" t="e">
        <f t="shared" si="35"/>
        <v>#N/A</v>
      </c>
      <c r="H54" s="373" t="e">
        <f t="shared" si="36"/>
        <v>#N/A</v>
      </c>
      <c r="I54" s="373" t="e">
        <f t="shared" si="31"/>
        <v>#N/A</v>
      </c>
      <c r="J54" s="373" t="e">
        <f t="shared" si="4"/>
        <v>#N/A</v>
      </c>
      <c r="K54" s="373" t="e">
        <f t="shared" si="5"/>
        <v>#N/A</v>
      </c>
      <c r="L54" s="373" t="e">
        <f t="shared" si="32"/>
        <v>#N/A</v>
      </c>
      <c r="M54" s="374" t="e">
        <f t="shared" si="37"/>
        <v>#N/A</v>
      </c>
      <c r="N54" s="372" t="str">
        <f t="shared" si="7"/>
        <v/>
      </c>
      <c r="O54" s="375" t="str">
        <f t="shared" si="8"/>
        <v/>
      </c>
      <c r="P54" s="375" t="str">
        <f t="shared" si="9"/>
        <v/>
      </c>
      <c r="Q54" s="375" t="str">
        <f t="shared" si="10"/>
        <v/>
      </c>
      <c r="R54" s="376" t="str">
        <f t="shared" si="11"/>
        <v/>
      </c>
      <c r="S54" s="284"/>
      <c r="T54" s="285"/>
      <c r="U54" s="285"/>
      <c r="V54" s="285"/>
      <c r="W54" s="293"/>
      <c r="X54" s="288"/>
      <c r="Y54" s="288"/>
      <c r="Z54" s="288"/>
      <c r="AA54" s="288"/>
      <c r="AB54" s="288"/>
      <c r="AC54" s="288"/>
      <c r="AD54" s="841"/>
      <c r="AE54" s="841"/>
      <c r="AF54" s="294"/>
      <c r="AG54" s="295"/>
      <c r="AH54" s="296"/>
      <c r="AI54" s="288"/>
      <c r="AJ54" s="288"/>
      <c r="AK54" s="288"/>
      <c r="AL54" s="288"/>
      <c r="AM54" s="288"/>
      <c r="AN54" s="288"/>
      <c r="AO54" s="288"/>
      <c r="AP54" s="288"/>
      <c r="AQ54" s="288"/>
      <c r="AR54" s="297"/>
      <c r="AS54" s="841"/>
      <c r="AT54" s="878"/>
      <c r="AU54" s="412" t="e">
        <f t="shared" si="12"/>
        <v>#N/A</v>
      </c>
      <c r="AV54" s="413" t="e">
        <f t="shared" si="13"/>
        <v>#N/A</v>
      </c>
      <c r="AW54" s="413" t="str">
        <f t="shared" si="14"/>
        <v/>
      </c>
      <c r="AX54" s="413" t="str">
        <f t="shared" si="15"/>
        <v/>
      </c>
      <c r="AY54" s="413" t="e">
        <f t="shared" si="16"/>
        <v>#N/A</v>
      </c>
      <c r="AZ54" s="413" t="e">
        <f t="shared" si="17"/>
        <v>#N/A</v>
      </c>
      <c r="BA54" s="415" t="e">
        <f t="shared" si="38"/>
        <v>#N/A</v>
      </c>
      <c r="BB54" s="436" t="str">
        <f t="shared" si="19"/>
        <v/>
      </c>
      <c r="BC54" s="437" t="str">
        <f t="shared" si="20"/>
        <v/>
      </c>
      <c r="BD54" s="437" t="str">
        <f t="shared" si="21"/>
        <v/>
      </c>
      <c r="BE54" s="433" t="str">
        <f t="shared" si="22"/>
        <v/>
      </c>
      <c r="BF54" s="438" t="str">
        <f t="shared" si="23"/>
        <v/>
      </c>
      <c r="BG54" s="439" t="str">
        <f t="shared" si="24"/>
        <v/>
      </c>
      <c r="BH54" s="439" t="str">
        <f t="shared" si="25"/>
        <v/>
      </c>
      <c r="BI54" s="433" t="str">
        <f t="shared" si="26"/>
        <v/>
      </c>
      <c r="BJ54" s="438">
        <f t="shared" si="33"/>
        <v>0</v>
      </c>
      <c r="BK54" s="413" t="e">
        <f t="shared" si="27"/>
        <v>#DIV/0!</v>
      </c>
      <c r="BL54" s="442" t="e">
        <f t="shared" si="28"/>
        <v>#N/A</v>
      </c>
    </row>
    <row r="55" spans="2:117" ht="15" x14ac:dyDescent="0.25">
      <c r="B55" s="66"/>
      <c r="C55" s="317" t="e">
        <f>IF($D$8&lt;16,"",16)</f>
        <v>#N/A</v>
      </c>
      <c r="D55" s="370" t="e">
        <f t="shared" si="34"/>
        <v>#N/A</v>
      </c>
      <c r="E55" s="370" t="e">
        <f t="shared" si="30"/>
        <v>#N/A</v>
      </c>
      <c r="F55" s="371" t="e">
        <f t="shared" si="1"/>
        <v>#N/A</v>
      </c>
      <c r="G55" s="372" t="e">
        <f t="shared" si="35"/>
        <v>#N/A</v>
      </c>
      <c r="H55" s="373" t="e">
        <f t="shared" si="36"/>
        <v>#N/A</v>
      </c>
      <c r="I55" s="373" t="e">
        <f t="shared" si="31"/>
        <v>#N/A</v>
      </c>
      <c r="J55" s="373" t="e">
        <f t="shared" si="4"/>
        <v>#N/A</v>
      </c>
      <c r="K55" s="373" t="e">
        <f t="shared" si="5"/>
        <v>#N/A</v>
      </c>
      <c r="L55" s="373" t="e">
        <f t="shared" si="32"/>
        <v>#N/A</v>
      </c>
      <c r="M55" s="374" t="e">
        <f t="shared" si="37"/>
        <v>#N/A</v>
      </c>
      <c r="N55" s="372" t="str">
        <f t="shared" si="7"/>
        <v/>
      </c>
      <c r="O55" s="375" t="str">
        <f t="shared" si="8"/>
        <v/>
      </c>
      <c r="P55" s="375" t="str">
        <f t="shared" si="9"/>
        <v/>
      </c>
      <c r="Q55" s="375" t="str">
        <f t="shared" si="10"/>
        <v/>
      </c>
      <c r="R55" s="376" t="str">
        <f t="shared" si="11"/>
        <v/>
      </c>
      <c r="S55" s="284"/>
      <c r="T55" s="285"/>
      <c r="U55" s="285"/>
      <c r="V55" s="285"/>
      <c r="W55" s="293"/>
      <c r="X55" s="288"/>
      <c r="Y55" s="288"/>
      <c r="Z55" s="288"/>
      <c r="AA55" s="288"/>
      <c r="AB55" s="288"/>
      <c r="AC55" s="288"/>
      <c r="AD55" s="841"/>
      <c r="AE55" s="841"/>
      <c r="AF55" s="294"/>
      <c r="AG55" s="295"/>
      <c r="AH55" s="296"/>
      <c r="AI55" s="288"/>
      <c r="AJ55" s="288"/>
      <c r="AK55" s="288"/>
      <c r="AL55" s="288"/>
      <c r="AM55" s="288"/>
      <c r="AN55" s="288"/>
      <c r="AO55" s="288"/>
      <c r="AP55" s="288"/>
      <c r="AQ55" s="288"/>
      <c r="AR55" s="297"/>
      <c r="AS55" s="841"/>
      <c r="AT55" s="878"/>
      <c r="AU55" s="412" t="e">
        <f t="shared" si="12"/>
        <v>#N/A</v>
      </c>
      <c r="AV55" s="413" t="e">
        <f t="shared" si="13"/>
        <v>#N/A</v>
      </c>
      <c r="AW55" s="413" t="str">
        <f t="shared" si="14"/>
        <v/>
      </c>
      <c r="AX55" s="413" t="str">
        <f t="shared" si="15"/>
        <v/>
      </c>
      <c r="AY55" s="413" t="e">
        <f t="shared" si="16"/>
        <v>#N/A</v>
      </c>
      <c r="AZ55" s="413" t="e">
        <f t="shared" si="17"/>
        <v>#N/A</v>
      </c>
      <c r="BA55" s="415" t="e">
        <f t="shared" si="38"/>
        <v>#N/A</v>
      </c>
      <c r="BB55" s="436" t="str">
        <f t="shared" si="19"/>
        <v/>
      </c>
      <c r="BC55" s="437" t="str">
        <f t="shared" si="20"/>
        <v/>
      </c>
      <c r="BD55" s="437" t="str">
        <f t="shared" si="21"/>
        <v/>
      </c>
      <c r="BE55" s="433" t="str">
        <f t="shared" si="22"/>
        <v/>
      </c>
      <c r="BF55" s="438" t="str">
        <f t="shared" si="23"/>
        <v/>
      </c>
      <c r="BG55" s="439" t="str">
        <f t="shared" si="24"/>
        <v/>
      </c>
      <c r="BH55" s="439" t="str">
        <f t="shared" si="25"/>
        <v/>
      </c>
      <c r="BI55" s="433" t="str">
        <f t="shared" si="26"/>
        <v/>
      </c>
      <c r="BJ55" s="438">
        <f t="shared" si="33"/>
        <v>0</v>
      </c>
      <c r="BK55" s="413" t="e">
        <f t="shared" si="27"/>
        <v>#DIV/0!</v>
      </c>
      <c r="BL55" s="442" t="e">
        <f t="shared" si="28"/>
        <v>#N/A</v>
      </c>
    </row>
    <row r="56" spans="2:117" ht="15" x14ac:dyDescent="0.25">
      <c r="B56" s="66"/>
      <c r="C56" s="317" t="e">
        <f>IF($D$8&lt;17,"",17)</f>
        <v>#N/A</v>
      </c>
      <c r="D56" s="370" t="e">
        <f t="shared" si="34"/>
        <v>#N/A</v>
      </c>
      <c r="E56" s="370" t="e">
        <f t="shared" si="30"/>
        <v>#N/A</v>
      </c>
      <c r="F56" s="371" t="e">
        <f t="shared" si="1"/>
        <v>#N/A</v>
      </c>
      <c r="G56" s="372" t="e">
        <f t="shared" si="35"/>
        <v>#N/A</v>
      </c>
      <c r="H56" s="373" t="e">
        <f t="shared" si="36"/>
        <v>#N/A</v>
      </c>
      <c r="I56" s="373" t="e">
        <f t="shared" si="31"/>
        <v>#N/A</v>
      </c>
      <c r="J56" s="373" t="e">
        <f t="shared" si="4"/>
        <v>#N/A</v>
      </c>
      <c r="K56" s="373" t="e">
        <f t="shared" si="5"/>
        <v>#N/A</v>
      </c>
      <c r="L56" s="373" t="e">
        <f t="shared" si="32"/>
        <v>#N/A</v>
      </c>
      <c r="M56" s="374" t="e">
        <f t="shared" si="37"/>
        <v>#N/A</v>
      </c>
      <c r="N56" s="372" t="str">
        <f t="shared" si="7"/>
        <v/>
      </c>
      <c r="O56" s="375" t="str">
        <f t="shared" si="8"/>
        <v/>
      </c>
      <c r="P56" s="375" t="str">
        <f t="shared" si="9"/>
        <v/>
      </c>
      <c r="Q56" s="375" t="str">
        <f t="shared" si="10"/>
        <v/>
      </c>
      <c r="R56" s="376" t="str">
        <f t="shared" si="11"/>
        <v/>
      </c>
      <c r="S56" s="284"/>
      <c r="T56" s="285"/>
      <c r="U56" s="285"/>
      <c r="V56" s="285"/>
      <c r="W56" s="293"/>
      <c r="X56" s="288"/>
      <c r="Y56" s="288"/>
      <c r="Z56" s="288"/>
      <c r="AA56" s="288"/>
      <c r="AB56" s="288"/>
      <c r="AC56" s="288"/>
      <c r="AD56" s="841"/>
      <c r="AE56" s="841"/>
      <c r="AF56" s="294"/>
      <c r="AG56" s="295"/>
      <c r="AH56" s="296"/>
      <c r="AI56" s="288"/>
      <c r="AJ56" s="288"/>
      <c r="AK56" s="288"/>
      <c r="AL56" s="288"/>
      <c r="AM56" s="288"/>
      <c r="AN56" s="288"/>
      <c r="AO56" s="288"/>
      <c r="AP56" s="288"/>
      <c r="AQ56" s="288"/>
      <c r="AR56" s="297"/>
      <c r="AS56" s="841"/>
      <c r="AT56" s="878"/>
      <c r="AU56" s="412" t="e">
        <f t="shared" si="12"/>
        <v>#N/A</v>
      </c>
      <c r="AV56" s="413" t="e">
        <f t="shared" si="13"/>
        <v>#N/A</v>
      </c>
      <c r="AW56" s="413" t="str">
        <f t="shared" si="14"/>
        <v/>
      </c>
      <c r="AX56" s="413" t="str">
        <f t="shared" si="15"/>
        <v/>
      </c>
      <c r="AY56" s="413" t="e">
        <f t="shared" si="16"/>
        <v>#N/A</v>
      </c>
      <c r="AZ56" s="413" t="e">
        <f t="shared" si="17"/>
        <v>#N/A</v>
      </c>
      <c r="BA56" s="415" t="e">
        <f t="shared" si="38"/>
        <v>#N/A</v>
      </c>
      <c r="BB56" s="436" t="str">
        <f t="shared" si="19"/>
        <v/>
      </c>
      <c r="BC56" s="437" t="str">
        <f t="shared" si="20"/>
        <v/>
      </c>
      <c r="BD56" s="437" t="str">
        <f t="shared" si="21"/>
        <v/>
      </c>
      <c r="BE56" s="433" t="str">
        <f t="shared" si="22"/>
        <v/>
      </c>
      <c r="BF56" s="438" t="str">
        <f t="shared" si="23"/>
        <v/>
      </c>
      <c r="BG56" s="439" t="str">
        <f t="shared" si="24"/>
        <v/>
      </c>
      <c r="BH56" s="439" t="str">
        <f t="shared" si="25"/>
        <v/>
      </c>
      <c r="BI56" s="433" t="str">
        <f t="shared" si="26"/>
        <v/>
      </c>
      <c r="BJ56" s="438">
        <f t="shared" si="33"/>
        <v>0</v>
      </c>
      <c r="BK56" s="413" t="e">
        <f t="shared" si="27"/>
        <v>#DIV/0!</v>
      </c>
      <c r="BL56" s="442" t="e">
        <f t="shared" si="28"/>
        <v>#N/A</v>
      </c>
      <c r="BT56" s="826" t="s">
        <v>139</v>
      </c>
      <c r="BU56" s="826"/>
      <c r="BV56" s="826"/>
      <c r="BW56" s="826" t="s">
        <v>140</v>
      </c>
      <c r="BX56" s="826"/>
      <c r="CG56" s="30"/>
      <c r="CH56" s="30"/>
      <c r="CJ56" s="892" t="s">
        <v>461</v>
      </c>
      <c r="CK56" s="893"/>
      <c r="CL56" s="894"/>
      <c r="CM56" s="829" t="s">
        <v>553</v>
      </c>
      <c r="CN56" s="830"/>
      <c r="CO56" s="830"/>
      <c r="CP56" s="830"/>
      <c r="CQ56" s="830"/>
      <c r="CR56" s="830"/>
      <c r="CS56" s="830"/>
      <c r="CT56" s="830"/>
      <c r="CU56" s="830"/>
      <c r="CV56" s="830"/>
      <c r="CW56" s="831"/>
      <c r="CX56" s="826" t="s">
        <v>555</v>
      </c>
      <c r="CY56" s="826"/>
      <c r="CZ56" s="826"/>
      <c r="DA56" s="826"/>
      <c r="DB56" s="826"/>
      <c r="DC56" s="826"/>
      <c r="DD56" s="826"/>
      <c r="DE56" s="826"/>
      <c r="DF56" s="826"/>
      <c r="DG56" s="826"/>
      <c r="DH56" s="826"/>
      <c r="DI56" s="819" t="s">
        <v>675</v>
      </c>
      <c r="DJ56" s="820"/>
      <c r="DK56" s="820"/>
      <c r="DL56" s="820"/>
      <c r="DM56" s="821"/>
    </row>
    <row r="57" spans="2:117" ht="14.45" customHeight="1" x14ac:dyDescent="0.25">
      <c r="B57" s="66"/>
      <c r="C57" s="317" t="e">
        <f>IF($D$8&lt;18,"",18)</f>
        <v>#N/A</v>
      </c>
      <c r="D57" s="370" t="e">
        <f t="shared" si="34"/>
        <v>#N/A</v>
      </c>
      <c r="E57" s="370" t="e">
        <f t="shared" si="30"/>
        <v>#N/A</v>
      </c>
      <c r="F57" s="371" t="e">
        <f t="shared" si="1"/>
        <v>#N/A</v>
      </c>
      <c r="G57" s="372" t="e">
        <f t="shared" si="35"/>
        <v>#N/A</v>
      </c>
      <c r="H57" s="373" t="e">
        <f t="shared" si="36"/>
        <v>#N/A</v>
      </c>
      <c r="I57" s="373" t="e">
        <f t="shared" si="31"/>
        <v>#N/A</v>
      </c>
      <c r="J57" s="373" t="e">
        <f t="shared" si="4"/>
        <v>#N/A</v>
      </c>
      <c r="K57" s="373" t="e">
        <f t="shared" si="5"/>
        <v>#N/A</v>
      </c>
      <c r="L57" s="373" t="e">
        <f t="shared" si="32"/>
        <v>#N/A</v>
      </c>
      <c r="M57" s="374" t="e">
        <f t="shared" si="37"/>
        <v>#N/A</v>
      </c>
      <c r="N57" s="372" t="str">
        <f t="shared" si="7"/>
        <v/>
      </c>
      <c r="O57" s="375" t="str">
        <f t="shared" si="8"/>
        <v/>
      </c>
      <c r="P57" s="375" t="str">
        <f t="shared" si="9"/>
        <v/>
      </c>
      <c r="Q57" s="375" t="str">
        <f t="shared" si="10"/>
        <v/>
      </c>
      <c r="R57" s="376" t="str">
        <f t="shared" si="11"/>
        <v/>
      </c>
      <c r="S57" s="304"/>
      <c r="T57" s="305"/>
      <c r="U57" s="305"/>
      <c r="V57" s="305"/>
      <c r="W57" s="306"/>
      <c r="X57" s="307"/>
      <c r="Y57" s="307"/>
      <c r="Z57" s="307"/>
      <c r="AA57" s="307"/>
      <c r="AB57" s="307"/>
      <c r="AC57" s="307"/>
      <c r="AD57" s="842"/>
      <c r="AE57" s="842"/>
      <c r="AF57" s="308"/>
      <c r="AG57" s="309"/>
      <c r="AH57" s="310"/>
      <c r="AI57" s="307"/>
      <c r="AJ57" s="307"/>
      <c r="AK57" s="307"/>
      <c r="AL57" s="307"/>
      <c r="AM57" s="307"/>
      <c r="AN57" s="307"/>
      <c r="AO57" s="307"/>
      <c r="AP57" s="307"/>
      <c r="AQ57" s="307"/>
      <c r="AR57" s="311"/>
      <c r="AS57" s="842"/>
      <c r="AT57" s="879"/>
      <c r="AU57" s="412" t="e">
        <f t="shared" si="12"/>
        <v>#N/A</v>
      </c>
      <c r="AV57" s="413" t="e">
        <f t="shared" si="13"/>
        <v>#N/A</v>
      </c>
      <c r="AW57" s="413" t="str">
        <f t="shared" si="14"/>
        <v/>
      </c>
      <c r="AX57" s="413" t="str">
        <f t="shared" si="15"/>
        <v/>
      </c>
      <c r="AY57" s="413" t="e">
        <f t="shared" si="16"/>
        <v>#N/A</v>
      </c>
      <c r="AZ57" s="413" t="e">
        <f t="shared" si="17"/>
        <v>#N/A</v>
      </c>
      <c r="BA57" s="415" t="e">
        <f t="shared" si="38"/>
        <v>#N/A</v>
      </c>
      <c r="BB57" s="436" t="str">
        <f t="shared" si="19"/>
        <v/>
      </c>
      <c r="BC57" s="437" t="str">
        <f t="shared" si="20"/>
        <v/>
      </c>
      <c r="BD57" s="437" t="str">
        <f t="shared" si="21"/>
        <v/>
      </c>
      <c r="BE57" s="433" t="str">
        <f t="shared" si="22"/>
        <v/>
      </c>
      <c r="BF57" s="438" t="str">
        <f t="shared" si="23"/>
        <v/>
      </c>
      <c r="BG57" s="439" t="str">
        <f t="shared" si="24"/>
        <v/>
      </c>
      <c r="BH57" s="439" t="str">
        <f t="shared" si="25"/>
        <v/>
      </c>
      <c r="BI57" s="433" t="str">
        <f t="shared" si="26"/>
        <v/>
      </c>
      <c r="BJ57" s="438">
        <f t="shared" si="33"/>
        <v>0</v>
      </c>
      <c r="BK57" s="413" t="e">
        <f t="shared" si="27"/>
        <v>#DIV/0!</v>
      </c>
      <c r="BL57" s="442" t="e">
        <f t="shared" si="28"/>
        <v>#N/A</v>
      </c>
      <c r="BQ57" s="835" t="s">
        <v>323</v>
      </c>
      <c r="BR57" s="835" t="s">
        <v>322</v>
      </c>
      <c r="BS57" s="832"/>
      <c r="BT57" s="835" t="s">
        <v>138</v>
      </c>
      <c r="BU57" s="835" t="s">
        <v>137</v>
      </c>
      <c r="BV57" s="835" t="s">
        <v>154</v>
      </c>
      <c r="BW57" s="835" t="s">
        <v>138</v>
      </c>
      <c r="BX57" s="835" t="s">
        <v>137</v>
      </c>
      <c r="BY57" s="832" t="s">
        <v>54</v>
      </c>
      <c r="BZ57" s="832" t="s">
        <v>55</v>
      </c>
      <c r="CA57" s="832" t="s">
        <v>48</v>
      </c>
      <c r="CB57" s="835" t="s">
        <v>355</v>
      </c>
      <c r="CC57" s="835" t="s">
        <v>356</v>
      </c>
      <c r="CD57" s="832" t="s">
        <v>51</v>
      </c>
      <c r="CE57" s="827" t="s">
        <v>141</v>
      </c>
      <c r="CF57" s="832" t="s">
        <v>53</v>
      </c>
      <c r="CG57" s="832" t="s">
        <v>36</v>
      </c>
      <c r="CH57" s="832" t="s">
        <v>61</v>
      </c>
      <c r="CI57" s="835" t="s">
        <v>336</v>
      </c>
      <c r="CJ57" s="826" t="s">
        <v>460</v>
      </c>
      <c r="CK57" s="826" t="s">
        <v>459</v>
      </c>
      <c r="CL57" s="826" t="s">
        <v>50</v>
      </c>
      <c r="CM57" s="822" t="s">
        <v>541</v>
      </c>
      <c r="CN57" s="822" t="s">
        <v>565</v>
      </c>
      <c r="CO57" s="822" t="s">
        <v>540</v>
      </c>
      <c r="CP57" s="825" t="s">
        <v>554</v>
      </c>
      <c r="CQ57" s="836" t="s">
        <v>562</v>
      </c>
      <c r="CR57" s="836" t="s">
        <v>558</v>
      </c>
      <c r="CS57" s="825" t="s">
        <v>559</v>
      </c>
      <c r="CT57" s="825" t="s">
        <v>560</v>
      </c>
      <c r="CU57" s="825" t="s">
        <v>561</v>
      </c>
      <c r="CV57" s="825" t="s">
        <v>563</v>
      </c>
      <c r="CW57" s="825" t="s">
        <v>564</v>
      </c>
      <c r="CX57" s="822" t="s">
        <v>543</v>
      </c>
      <c r="CY57" s="822" t="s">
        <v>569</v>
      </c>
      <c r="CZ57" s="822" t="s">
        <v>542</v>
      </c>
      <c r="DA57" s="822" t="s">
        <v>554</v>
      </c>
      <c r="DB57" s="825" t="s">
        <v>562</v>
      </c>
      <c r="DC57" s="825" t="s">
        <v>558</v>
      </c>
      <c r="DD57" s="825" t="s">
        <v>559</v>
      </c>
      <c r="DE57" s="825" t="s">
        <v>560</v>
      </c>
      <c r="DF57" s="825" t="s">
        <v>561</v>
      </c>
      <c r="DG57" s="825" t="s">
        <v>563</v>
      </c>
      <c r="DH57" s="825" t="s">
        <v>564</v>
      </c>
      <c r="DI57" s="818" t="s">
        <v>671</v>
      </c>
      <c r="DJ57" s="827" t="s">
        <v>582</v>
      </c>
      <c r="DK57" s="818" t="s">
        <v>673</v>
      </c>
      <c r="DL57" s="818" t="s">
        <v>672</v>
      </c>
      <c r="DM57" s="818" t="s">
        <v>674</v>
      </c>
    </row>
    <row r="58" spans="2:117" ht="9.9499999999999993" customHeight="1" x14ac:dyDescent="0.2">
      <c r="B58" s="66"/>
      <c r="C58" s="66"/>
      <c r="F58" s="276"/>
      <c r="W58" s="312"/>
      <c r="X58" s="259"/>
      <c r="Y58" s="259"/>
      <c r="Z58" s="259"/>
      <c r="AA58" s="259"/>
      <c r="AD58" s="259"/>
      <c r="AE58" s="259"/>
      <c r="AF58" s="312"/>
      <c r="AG58" s="259"/>
      <c r="AM58" s="259"/>
      <c r="AN58" s="312"/>
      <c r="AW58" s="273"/>
      <c r="AX58" s="273"/>
      <c r="AY58" s="313"/>
      <c r="AZ58" s="313"/>
      <c r="BA58" s="313"/>
      <c r="BB58" s="440"/>
      <c r="BC58" s="413" t="str">
        <f>IFERROR(IF(AND(MAX(AVERAGE(O58:P58),AVERAGE(Q58:R58))&gt;0,MIN(AVERAGE(O58:P58),AVERAGE(Q58:R58))&lt;=$D$30),IF(AND(MIN(AVERAGE(O58:P58),AVERAGE(Q58:R58))&gt;=0,MAX(AVERAGE(O58:P58),AVERAGE(Q58:R58))&lt;=$D$30),"case1",IF(MIN(AVERAGE(O58:P58),AVERAGE(Q58:R58))&gt;=0,"case4",IF(MAX(AVERAGE(O58:P58),AVERAGE(Q58:R58))&gt;$D$30,"case3","case2"))),""),"")</f>
        <v/>
      </c>
      <c r="BD58" s="413" t="str">
        <f>IFERROR(IF(AND(MIN(AVERAGE(O58:P58),AVERAGE(Q58:R58))&lt;0,MAX(AVERAGE(O58:P58),AVERAGE(Q58:R58))&gt;=-$D$30),IF(AND(MAX(AVERAGE(O58:P58),AVERAGE(Q58:R58))&lt;=0,MIN(AVERAGE(O58:P58),AVERAGE(Q58:R58))&gt;=-$D$30),"case1",IF(MAX(AVERAGE(O58:P58),AVERAGE(Q58:R58))&lt;=0,"case4",IF(MIN(AVERAGE(O58:P58),AVERAGE(Q58:R58))&lt;-$D$30,"case3","case2"))),""),"")</f>
        <v/>
      </c>
      <c r="BE58" s="49"/>
      <c r="BF58" s="49"/>
      <c r="BG58" s="209" t="str">
        <f>IFERROR(IF(AND(MAX(AVERAGE(O58:P58),AVERAGE(Q58:R58))&gt;0,MIN(AVERAGE(O58:P58),AVERAGE(Q58:R58))&lt;=$D$30),IF(AND(MIN(AVERAGE(O58:P58),AVERAGE(Q58:R58))&gt;=0,MAX(AVERAGE(O58:P58),AVERAGE(Q58:R58))&lt;=$D$30),"case1",IF(MIN(AVERAGE(O58:P58),AVERAGE(Q58:R58))&gt;=0,"case4",IF(MAX(AVERAGE(O58:P58),AVERAGE(Q58:R58))&gt;$D$30,"case3","case2"))),""),"")</f>
        <v/>
      </c>
      <c r="BH58" s="209" t="str">
        <f>IFERROR(IF(AND(MIN(AVERAGE(O58:P58),AVERAGE(Q58:R58))&lt;0,MAX(AVERAGE(O58:P58),AVERAGE(Q58:R58))&gt;=-$D$30),IF(AND(MAX(AVERAGE(O58:P58),AVERAGE(Q58:R58))&lt;=0,MIN(AVERAGE(O58:P58),AVERAGE(Q58:R58))&gt;=-$D$30),"case1",IF(MAX(AVERAGE(O58:P58),AVERAGE(Q58:R58))&lt;=0,"case4",IF(MIN(AVERAGE(O58:P58),AVERAGE(Q58:R58))&lt;-$D$30,"case3","case2"))),""),"")</f>
        <v/>
      </c>
      <c r="BI58" s="49"/>
      <c r="BJ58" s="441"/>
      <c r="BK58" s="66"/>
      <c r="BQ58" s="833"/>
      <c r="BR58" s="849"/>
      <c r="BS58" s="833"/>
      <c r="BT58" s="833"/>
      <c r="BU58" s="833"/>
      <c r="BV58" s="833"/>
      <c r="BW58" s="833"/>
      <c r="BX58" s="833"/>
      <c r="BY58" s="833"/>
      <c r="BZ58" s="833"/>
      <c r="CA58" s="833"/>
      <c r="CB58" s="833"/>
      <c r="CC58" s="833"/>
      <c r="CD58" s="833"/>
      <c r="CE58" s="828"/>
      <c r="CF58" s="833"/>
      <c r="CG58" s="833"/>
      <c r="CH58" s="833"/>
      <c r="CI58" s="833"/>
      <c r="CJ58" s="837"/>
      <c r="CK58" s="837"/>
      <c r="CL58" s="826"/>
      <c r="CM58" s="823"/>
      <c r="CN58" s="823"/>
      <c r="CO58" s="823"/>
      <c r="CP58" s="825"/>
      <c r="CQ58" s="836"/>
      <c r="CR58" s="836"/>
      <c r="CS58" s="825"/>
      <c r="CT58" s="825"/>
      <c r="CU58" s="825"/>
      <c r="CV58" s="825"/>
      <c r="CW58" s="825"/>
      <c r="CX58" s="823"/>
      <c r="CY58" s="823"/>
      <c r="CZ58" s="823"/>
      <c r="DA58" s="823"/>
      <c r="DB58" s="825"/>
      <c r="DC58" s="825"/>
      <c r="DD58" s="825"/>
      <c r="DE58" s="825"/>
      <c r="DF58" s="825"/>
      <c r="DG58" s="825"/>
      <c r="DH58" s="825"/>
      <c r="DI58" s="818"/>
      <c r="DJ58" s="828"/>
      <c r="DK58" s="818"/>
      <c r="DL58" s="818"/>
      <c r="DM58" s="818"/>
    </row>
    <row r="59" spans="2:117" ht="12.75" customHeight="1" x14ac:dyDescent="0.2">
      <c r="B59" s="318" t="s">
        <v>378</v>
      </c>
      <c r="C59" s="158"/>
      <c r="F59" s="276"/>
      <c r="W59" s="480"/>
      <c r="X59" s="481"/>
      <c r="Y59" s="481"/>
      <c r="Z59" s="481"/>
      <c r="AA59" s="481"/>
      <c r="AB59" s="275"/>
      <c r="AC59" s="275"/>
      <c r="AD59" s="481"/>
      <c r="AE59" s="481"/>
      <c r="AF59" s="480"/>
      <c r="AG59" s="481"/>
      <c r="AM59" s="259"/>
      <c r="AN59" s="314"/>
      <c r="AW59" s="273"/>
      <c r="AX59" s="273"/>
      <c r="BB59" s="66"/>
      <c r="BC59" s="66"/>
      <c r="BD59" s="66"/>
      <c r="BE59" s="66"/>
      <c r="BF59" s="66"/>
      <c r="BG59" s="66"/>
      <c r="BH59" s="66"/>
      <c r="BI59" s="66"/>
      <c r="BJ59" s="441"/>
      <c r="BK59" s="66"/>
      <c r="BQ59" s="834"/>
      <c r="BR59" s="850"/>
      <c r="BS59" s="834"/>
      <c r="BT59" s="834"/>
      <c r="BU59" s="834"/>
      <c r="BV59" s="834"/>
      <c r="BW59" s="834"/>
      <c r="BX59" s="834"/>
      <c r="BY59" s="834"/>
      <c r="BZ59" s="834"/>
      <c r="CA59" s="834"/>
      <c r="CB59" s="834"/>
      <c r="CC59" s="834"/>
      <c r="CD59" s="834"/>
      <c r="CE59" s="828"/>
      <c r="CF59" s="834"/>
      <c r="CG59" s="834"/>
      <c r="CH59" s="834"/>
      <c r="CI59" s="834"/>
      <c r="CJ59" s="837"/>
      <c r="CK59" s="837"/>
      <c r="CL59" s="826"/>
      <c r="CM59" s="824"/>
      <c r="CN59" s="824"/>
      <c r="CO59" s="824"/>
      <c r="CP59" s="825"/>
      <c r="CQ59" s="836"/>
      <c r="CR59" s="836"/>
      <c r="CS59" s="825"/>
      <c r="CT59" s="825"/>
      <c r="CU59" s="825"/>
      <c r="CV59" s="825"/>
      <c r="CW59" s="825"/>
      <c r="CX59" s="824"/>
      <c r="CY59" s="824"/>
      <c r="CZ59" s="824"/>
      <c r="DA59" s="824"/>
      <c r="DB59" s="825"/>
      <c r="DC59" s="825"/>
      <c r="DD59" s="825"/>
      <c r="DE59" s="825"/>
      <c r="DF59" s="825"/>
      <c r="DG59" s="825"/>
      <c r="DH59" s="825"/>
      <c r="DI59" s="818"/>
      <c r="DJ59" s="828"/>
      <c r="DK59" s="818"/>
      <c r="DL59" s="818"/>
      <c r="DM59" s="818"/>
    </row>
    <row r="60" spans="2:117" ht="15.75" customHeight="1" x14ac:dyDescent="0.25">
      <c r="B60" s="66" t="str">
        <f>IFERROR(F60*IF(CI60="Yes",BP60,1),"")</f>
        <v/>
      </c>
      <c r="C60" s="317">
        <v>1</v>
      </c>
      <c r="D60" s="380" t="str">
        <f>IF(BQ60="","",IF($D$8=0,IF(OR(VLOOKUP(BQ60,Input!$B$21:$AL$50,19+C60,FALSE)+$D$5=0,VLOOKUP(BQ60,Input!$B$21:$AL$50,19+C60,FALSE)+$D$5=180),VLOOKUP(BQ60,Input!$B$21:$AL$50,19+C60,FALSE)+$D$5+0.0001,VLOOKUP(BQ60,Input!$B$21:$AL$50,19+C60,FALSE)+$D$5),IF(VLOOKUP(BQ60,Input!$B$21:$AL$50,19+C60,FALSE)="c",VLOOKUP($C60,$C$40:$E$57,2,FALSE)+180/$D$8,VLOOKUP($C60,$C$40:$E$57,2,FALSE))))</f>
        <v/>
      </c>
      <c r="E60" s="370" t="str">
        <f t="shared" ref="E60:E77" si="39">IF(D60="","",IF(D60&gt;630,360-(D60-360),IF(D60&gt;540,(D60-360)-180,IF(D60&gt;450,180-(D60-360),IF(D60&gt;360,D60-360,IF(D60&gt;270,360-D60,IF(D60&gt;180,D60-180,IF(D60&gt;90,180-D60,D60))))))))</f>
        <v/>
      </c>
      <c r="F60" s="381" t="str">
        <f>IF(BR60="","",VLOOKUP(BR60,Reinforcements[],COLUMN(Reinforcements[[#Headers],[Gross Area (in2)]])-1,FALSE))</f>
        <v/>
      </c>
      <c r="G60" s="378" t="e">
        <f>(IF(VLOOKUP(BQ60,Input!$B$21:$AL$50,19+C60,FALSE)="c",$D$20/COS(RADIANS(180/$D$8)),$D$20)+CA60)*SIN(RADIANS(D60))-IF(AND(ISNUMBER(VLOOKUP(BQ60,Input!$B$21:$AL$50,19+C60,FALSE)),$D$8&lt;&gt;0),VLOOKUP(BQ60,Input!$B$21:$AL$50,19+C60,FALSE)*COS(RADIANS(D60)),0)</f>
        <v>#N/A</v>
      </c>
      <c r="H60" s="373" t="str">
        <f>IF(ISERROR(F60*G60),"",F60*G60)</f>
        <v/>
      </c>
      <c r="I60" s="373" t="e">
        <f t="shared" ref="I60:I77" si="40">G60-$D$35</f>
        <v>#N/A</v>
      </c>
      <c r="J60" s="373" t="e">
        <f t="shared" ref="J60:J77" si="41">CB60</f>
        <v>#N/A</v>
      </c>
      <c r="K60" s="373" t="e">
        <f t="shared" ref="K60:K77" si="42">CC60</f>
        <v>#N/A</v>
      </c>
      <c r="L60" s="373" t="e">
        <f>(J60+K60)/2+(J60-K60)/2*COS(2*RADIANS(D60+90))</f>
        <v>#N/A</v>
      </c>
      <c r="M60" s="374" t="str">
        <f>IFERROR((L60+F60*I60^2)*IF(CI60="Yes",BP60,1),"")</f>
        <v/>
      </c>
      <c r="N60" s="372" t="str">
        <f>IFERROR((IF(VLOOKUP(BQ60,Input!$B$21:$AL$50,19+C60,FALSE)="c",$D$20/COS(RADIANS(180/$D$8)),$D$20)+CA60)*SIN(RADIANS(D60))-IF(AND(ISNUMBER(VLOOKUP(BQ60,Input!$B$21:$AL$50,19+C60,FALSE)),$D$8&lt;&gt;0),VLOOKUP(BQ60,Input!$B$21:$AL$50,19+C60,FALSE)*COS(RADIANS(D60)),0)-$D$35,"")</f>
        <v/>
      </c>
      <c r="O60" s="375" t="str">
        <f t="shared" ref="O60:O77" si="43">IFERROR(N60+(-BX60/2)*SIN(RADIANS(D60))+(BW60/2)*COS(RADIANS(D60)),"")</f>
        <v/>
      </c>
      <c r="P60" s="375" t="str">
        <f t="shared" ref="P60:P77" si="44">IFERROR(N60+(BX60/2)*SIN(RADIANS(D60))+(BW60/2)*COS(RADIANS(D60)),"")</f>
        <v/>
      </c>
      <c r="Q60" s="375" t="str">
        <f t="shared" ref="Q60:Q77" si="45">IFERROR(N60+(BX60/2)*SIN(RADIANS(D60))+(-BW60/2)*COS(RADIANS(D60)),"")</f>
        <v/>
      </c>
      <c r="R60" s="376" t="str">
        <f t="shared" ref="R60:R77" si="46">IFERROR(N60+(-BX60/2)*SIN(RADIANS(D60))+(-BW60/2)*COS(RADIANS(D60)),"")</f>
        <v/>
      </c>
      <c r="S60" s="373" t="str">
        <f>IFERROR(BV60+(-BU60/2)*SIN(RADIANS(D60))+(BT60/2)*COS(RADIANS(D60)),"")</f>
        <v/>
      </c>
      <c r="T60" s="373" t="str">
        <f>IFERROR(BV60+(BU60/2)*SIN(RADIANS(D60))+(BT60/2)*COS(RADIANS(D60)),"")</f>
        <v/>
      </c>
      <c r="U60" s="373" t="str">
        <f>IFERROR(BV60+(BU60/2)*SIN(RADIANS(D60))+(-BT60/2)*COS(RADIANS(D60)),"")</f>
        <v/>
      </c>
      <c r="V60" s="374" t="str">
        <f>IFERROR(BV60+(-BU60/2)*SIN(RADIANS(D60))+(-BT60/2)*COS(RADIANS(D60)),"")</f>
        <v/>
      </c>
      <c r="W60" s="482" t="str">
        <f>IFERROR(IF('Macro References'!$A$9,IF(AND(Calculations!CK60,CL60="Bolted"),VLOOKUP($BR60,Reinforcements[],COLUMN(IF(Rev="F",Reinforcements[[#Headers],[Rev. F Bolt Shear Capacity   (Top)        (kips)]],IF(Rev="G",Reinforcements[[#Headers],[Rev. G Bolt Shear Capacity (Top)     (kips)]],Reinforcements[[#Headers],[Rev. H Bolt Shear Capacity (Top) (kips)]])))-1,FALSE),IF(AND(Calculations!CJ60,CL60="Bolted"),VLOOKUP($BR60,Reinforcements[],COLUMN(IF(Rev="F",Reinforcements[[#Headers],[Rev. F Bolt Shear Capacity (Bottom)   (kips)]],IF(Rev="G",Reinforcements[[#Headers],[Rev. G Bolt Shear Capacity (Bottom) (kips)]],Reinforcements[[#Headers],[Rev. H Bolt Shear Capacity (Bottom) (kips)]])))-1,FALSE),"")),""),"")</f>
        <v/>
      </c>
      <c r="X60" s="483" t="str">
        <f>IFERROR(IF('Macro References'!$A$9,IF('Macro References'!$A$10,IF(AND(Calculations!CK60,CL60="Bolted"),VLOOKUP($BR60,Reinforcements[],COLUMN(IF(Rev="F",Reinforcements[[#Headers],[Rev.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kips)]])))-1,FALSE),IF(AND(Calculations!CJ60,CL60="Bolted"),VLOOKUP($BR60,Reinforcements[],COLUMN(IF(Rev="F",Reinforcements[[#Headers],[Rev.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kips)]])))-1,FALSE),"")),IF(AND(Calculations!CK60,CL60="Bolted"),VLOOKUP($BR60,Reinforcements[],COLUMN(IF(Rev="F",Reinforcements[[#Headers],[Rev.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kips)]])))-1,FALSE),IF(AND(Calculations!CJ60,CL60="Bolted"),VLOOKUP($BR60,Reinforcements[],COLUMN(IF(Rev="F",Reinforcements[[#Headers],[Rev.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0" s="483" t="str">
        <f>IFERROR(IF('Macro References'!$A$9,IF('Macro References'!$A$10,IF(AND(Calculations!CK60,CL60="Bolted"),VLOOKUP($BR60,Reinforcements[],COLUMN(IF(Rev="F",Reinforcements[[#Headers],[Rev.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(kips)]])))-1,FALSE),IF(AND(Calculations!CJ60,CL60="Bolted"),VLOOKUP($BR60,Reinforcements[],COLUMN(IF(Rev="F",Reinforcements[[#Headers],[Rev.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(kips)]])))-1,FALSE),"")),IF(AND(Calculations!CK60,CL60="Bolted"),VLOOKUP($BR60,Reinforcements[],COLUMN(IF(Rev="F",Reinforcements[[#Headers],[Rev.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(kips)]])))-1,FALSE),IF(AND(Calculations!CJ60,CL60="Bolted"),VLOOKUP($BR60,Reinforcements[],COLUMN(IF(Rev="F",Reinforcements[[#Headers],[Rev.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0" s="483" t="str">
        <f>IFERROR(IF('Macro References'!$A$9,IF(AND(CJ60,CL60="Welded"),MIN(CQ60:CT60),IF(AND(CK60,CL60="Welded"),MIN(DB60:DE60),"")),""),"")</f>
        <v/>
      </c>
      <c r="AA60" s="484" t="str">
        <f>IFERROR(IF('Macro References'!$A$9,IF(AND(CJ60,CL60="Welded"),MIN(CU60:CW60),IF(AND(CK60,CL60="Welded"),MIN(DF60:DH60),"")),""),"")</f>
        <v/>
      </c>
      <c r="AB60" s="484" t="str">
        <f>IFERROR(IF('Macro References'!$A$9,IF(AND(CJ60,CL60="Welded",CN60="Fillet",CU60&gt;0),TRUE,IF(AND(CK60,CL60="Welded",CY60="Fillet",DF60&gt;0),TRUE,"")),""),"")</f>
        <v/>
      </c>
      <c r="AC60" s="484" t="e">
        <f>IF('Macro References'!$A$9,IF(AND(CJ60,CL60="Capacity Input"),IF(Rev="F",VLOOKUP(BR60,Reinforcements[],COLUMN(Reinforcements[[#Headers],[Rev. F Bottom Connection Capacity (kips)]])-1,FALSE),IF(Rev="G",VLOOKUP(BR60,Reinforcements[],COLUMN(Reinforcements[[#Headers],[Rev. G Bottom Connection Capacity (kips)]])-1,FALSE),VLOOKUP(BR60,Reinforcements[],COLUMN(Reinforcements[[#Headers],[Rev. H Bottom Connection Capacity (kips)]])-1,FALSE))),IF(AND(CK60,CL60="Capacity Input"),IF(Rev="F",VLOOKUP(BR60,Reinforcements[],COLUMN(Reinforcements[[#Headers],[Rev. F Top Connection Capacity (kips)]])-1,FALSE),IF(Rev="G",VLOOKUP(BR60,Reinforcements[],COLUMN(Reinforcements[[#Headers],[Rev. G Top Connection Capacity (kips)]])-1,FALSE),VLOOKUP(BR60,Reinforcements[],COLUMN(Reinforcements[[#Headers],[Rev. H Top Connection Capacity (kips)]])-1,FALSE))),"")),"")</f>
        <v>#VALUE!</v>
      </c>
      <c r="AD60" s="484" t="str">
        <f>IFERROR(IF(Rev="F",MIN(VLOOKUP(BR60,Reinforcements[],COLUMN(Reinforcements[[#Headers],[Rev. F Compression Capacity x-x (kips)]])-1,FALSE),VLOOKUP(BR60,Reinforcements[],COLUMN(Reinforcements[[#Headers],[Rev. F Compression Capacity y-y (kips)]])-1,FALSE)),IF(Rev="G",MIN(VLOOKUP(BR60,Reinforcements[],COLUMN(Reinforcements[[#Headers],[Rev. G Compression Capacity x-x (kips)]])-1,FALSE),VLOOKUP(BR60,Reinforcements[],COLUMN(Reinforcements[[#Headers],[Rev. G Compression Capacity y-y (kips)]])-1,FALSE)),MIN(VLOOKUP(BR60,Reinforcements[],COLUMN(Reinforcements[[#Headers],[Rev. H Compression Capacity x-x (kips)]])-1,FALSE),VLOOKUP(BR60,Reinforcements[],COLUMN(Reinforcements[[#Headers],[Rev. H Compression Capacity y-y (kips)]])-1,FALSE)))),"")</f>
        <v/>
      </c>
      <c r="AE60" s="485" t="str">
        <f>IFERROR(IF(Rev="F",VLOOKUP(BR60,Reinforcements[],COLUMN(Reinforcements[[#Headers],[Rev. F Shear Capacity (kips)]])-1,FALSE)/BY60,IF(Rev="G",VLOOKUP(Calculations!BR60,Reinforcements[],COLUMN(Reinforcements[[#Headers],[Rev. G Shear Capacity (kips)]])-1,FALSE),VLOOKUP(Calculations!BR60,Reinforcements[],COLUMN(Reinforcements[[#Headers],[Rev. H Shear Capacity (kips)]])-1,FALSE))),"")</f>
        <v/>
      </c>
      <c r="AF60" s="451" t="str">
        <f>IFERROR(IF(Rev="F",VLOOKUP(BR60,Reinforcements[],COLUMN(Reinforcements[[#Headers],[Rev. F Tension Yield Capacity (kips)]])-1,FALSE),IF(Rev="G",VLOOKUP(Calculations!BR60,Reinforcements[],COLUMN(Reinforcements[[#Headers],[Rev. G Tension Yield Capacity (kips)]])-1,FALSE),VLOOKUP(Calculations!BR60,Reinforcements[],COLUMN(Reinforcements[[#Headers],[Rev. H Tension Yield Capacity (kips)]])-1,FALSE))),"")</f>
        <v/>
      </c>
      <c r="AG60" s="486" t="str">
        <f>IFERROR(IF(Rev="F",VLOOKUP(BR60,Reinforcements[],COLUMN(Reinforcements[[#Headers],[Rev. F Tension Rupture Capacity (kips)]])-1,FALSE),IF(Rev="G",VLOOKUP(Calculations!BR60,Reinforcements[],COLUMN(Reinforcements[[#Headers],[Rev. G Tension Rupture Capacity (kips)]])-1,FALSE),VLOOKUP(Calculations!BR60,Reinforcements[],COLUMN(Reinforcements[[#Headers],[Rev. H Tension Rupture Capacity (kips)]])-1,FALSE))),"")</f>
        <v/>
      </c>
      <c r="AH60" s="409" t="str">
        <f t="shared" ref="AH60:AH77" si="47">IFERROR(ABS((W60/BY60)/N60*$D$25),"")</f>
        <v/>
      </c>
      <c r="AI60" s="380" t="str">
        <f t="shared" ref="AI60:AI77" si="48">IFERROR(ABS((X60/BY60)/N60*$D$25),"")</f>
        <v/>
      </c>
      <c r="AJ60" s="380" t="str">
        <f t="shared" ref="AJ60:AJ77" si="49">IFERROR(ABS((Y60/BY60)/N60*$D$25),"")</f>
        <v/>
      </c>
      <c r="AK60" s="380" t="str">
        <f>IFERROR(IF(AND(Z60="",AA60=""),"",ABS((IF(AB60=TRUE,MAX(0.85*AA60+1.5*Z60,AA60+Z60),SUM(Z60:AA60))/BY60)/N60*$D$25)),"")</f>
        <v/>
      </c>
      <c r="AL60" s="369" t="str">
        <f>IFERROR(ABS((AC60/BY60)/N60*$D$25),"")</f>
        <v/>
      </c>
      <c r="AM60" s="380" t="str">
        <f>""</f>
        <v/>
      </c>
      <c r="AN60" s="380" t="str">
        <f t="shared" ref="AN60:AN77" si="50">IFERROR(IF(CI60="Yes","",ABS((AD60/BY60)/N60*$D$25)),"")</f>
        <v/>
      </c>
      <c r="AO60" s="369" t="str">
        <f t="shared" ref="AO60:AO77" si="51">IFERROR(ABS((AF60/BY60)/N60*$D$25),"")</f>
        <v/>
      </c>
      <c r="AP60" s="410" t="str">
        <f t="shared" ref="AP60:AP77" si="52">IFERROR(ABS((AG60/BY60)/N60*$D$25),"")</f>
        <v/>
      </c>
      <c r="AQ60" s="411" t="str">
        <f t="shared" ref="AQ60:AQ96" si="53">IF(AH60=MIN(AH60:AP60),"Bolt Shear",IF(AI60=MIN(AH60:AP60),"Bolt-Shaft Bearing",IF(AJ60=MIN(AH60:AP60),"Bolt-Reinf. Bearing",IF(AK60=MIN(AH60:AP60),"Weldment",IF(AL60=MIN(AH60:AP60),"Connection",IF(AM60=MIN(AH60:AP60),"Elastic",IF(AN60=MIN(AH60:AP60),"Compression",IF(AO60=MIN(AH60:AP60),"Tension Yield",IF(AP60=MIN(AH60:AP60),"Tension Rupture","")))))))))</f>
        <v/>
      </c>
      <c r="AR60" s="380" t="str">
        <f>IF(BR60="","",VLOOKUP(VLOOKUP(BR60,Reinforcements[],COLUMN(Reinforcements[[#Headers],[Material]])-1,FALSE),Materials[],2,FALSE)/$D$28)</f>
        <v/>
      </c>
      <c r="AS60" s="369" t="str">
        <f t="shared" ref="AS60:AS96" si="54">IF(BR60="","",MIN(AN60:AP60,AH60:AL60)/$D$25)</f>
        <v/>
      </c>
      <c r="AT60" s="489" t="str">
        <f t="shared" ref="AT60:AT77" si="55">IFERROR((($D$36/$D$25)/(AS60)+$L$7+IF(OR(Rev="G",Rev="H"),($Q$7/$Q$8)^2,0))/IF(Rev="F",ASIF,1)/IF(OR(AND(Rev="H",$F$27=TRUE),AND(Rev&lt;&gt;"H",$F$30=TRUE)),1.05,1),"")</f>
        <v/>
      </c>
      <c r="AU60" s="412">
        <f t="shared" ref="AU60:AU77" si="56">IF(ISERROR(IF(OR(D60&gt;540,AND(D60&gt;180,D60&lt;=360)),MIN(O60:R60),MAX(O60:R60))),"",IF(OR(D60&gt;540,AND(D60&gt;180,D60&lt;=360)),MIN(O60:R60),MAX(O60:R60)))</f>
        <v>0</v>
      </c>
      <c r="AV60" s="413">
        <f t="shared" ref="AV60:AV77" si="57">IF(ISERROR(IF(AU60=MAX(O60:R60),MIN(O60:R60),MAX(O60:R60))),"",IF(AU60=MAX(O60:R60),MIN(O60:R60),MAX(O60:R60)))</f>
        <v>0</v>
      </c>
      <c r="AW60" s="413" t="e">
        <f t="shared" ref="AW60:AW77" si="58">$D$28*AU60</f>
        <v>#N/A</v>
      </c>
      <c r="AX60" s="413" t="e">
        <f t="shared" ref="AX60:AX77" si="59">$D$28*AV60</f>
        <v>#N/A</v>
      </c>
      <c r="AY60" s="413" t="str">
        <f t="shared" ref="AY60:AY77" si="60">IFERROR($D$28*BX60*BW60/2*(2*AV60+IF(OR(D60&gt;540,AND(D60&gt;180,D60&lt;=360)),-1,1)*BX60*SIN(RADIANS(E60))+IF(OR(D60&gt;540,AND(D60&gt;180,D60&lt;=360)),-1,1)*BW60*COS(RADIANS(E60))),"")</f>
        <v/>
      </c>
      <c r="AZ60" s="413" t="e">
        <f t="shared" ref="AZ60:AZ77" si="61">IF(ABS(AY60)&lt;0.0001,0,AV60+$D$28*BX60*BW60/(12*AY60)*(6*AV60*(IF(OR(D60&gt;540,AND(D60&gt;180,D60&lt;360)),-1,1)*BX60*SIN(RADIANS(E60))+IF(OR(D60&gt;540,AND(D60&gt;180,D60&lt;360)),-1,1)*BW60*COS(RADIANS(E60)))+3*BX60*BW60*SIN(RADIANS(2*E60))+4*BX60^2*SIN(RADIANS(E60))^2+4*BW60^2*COS(RADIANS(E60))^2))</f>
        <v>#VALUE!</v>
      </c>
      <c r="BA60" s="433" t="str">
        <f t="shared" ref="BA60:BA77" si="62">IF(ISERROR(AZ60*AY60),"",AZ60*AY60)</f>
        <v/>
      </c>
      <c r="BB60" s="436" t="str">
        <f>IFERROR(IF(MAX(AVERAGE(O60:P60),AVERAGE(Q60:R60))&gt;$AR60,MIN((MAX(AVERAGE(O60:P60),AVERAGE(Q60:R60))-$AR60)/COS(RADIANS($E60)),$BW60)*$BX60*$CG60,""),"")</f>
        <v/>
      </c>
      <c r="BC60" s="437" t="str">
        <f t="shared" ref="BC60:BC77" si="63">IFERROR(IF(AND(MAX(AVERAGE(O60:P60),AVERAGE(Q60:R60))&gt;0,MIN(AVERAGE(O60:P60),AVERAGE(Q60:R60))&lt;=$AR60),IF(AND(MIN(AVERAGE(O60:P60),AVERAGE(Q60:R60))&gt;=0,MAX(AVERAGE(O60:P60),AVERAGE(Q60:R60))&lt;=$AR60),$D$28*BX60*BW60/2*(2*AV60+IF(OR(D60&gt;540,AND(D60&gt;180,D60&lt;=360)),-1,1)*BX60*SIN(RADIANS(E60))+IF(OR(D60&gt;540,AND(D60&gt;180,D60&lt;=360)),-1,1)*BW60*COS(RADIANS(E60))),IF(MIN(AVERAGE(O60:P60),AVERAGE(Q60:R60))&gt;=0,$D$28*BX60*($AR60-MIN(AVERAGE(O60:P60),AVERAGE(Q60:R60)))/COS(RADIANS(E60))/2*(2*(MIN(AVERAGE(O60:P60),AVERAGE(Q60:R60)))+IF(OR(D60&gt;540,AND(D60&gt;180,D60&lt;=360)),-1,1)*BX60*SIN(RADIANS(E60))+IF(OR(D60&gt;540,AND(D60&gt;180,D60&lt;=360)),-1,1)*($AR60-MIN(AVERAGE(O60:P60),AVERAGE(Q60:R60)))/COS(RADIANS(E60))*COS(RADIANS(E60))),IF(MAX(AVERAGE(O60:P60),AVERAGE(Q60:R60))&gt;$AR60,$D$28*BX60*($AR60/COS(RADIANS(E60)))/2*(2*(-BX60/2*SIN(RADIANS(E60))*COS(RADIANS(E60)))+IF(OR(D60&gt;540,AND(D60&gt;180,D60&lt;=360)),-1,1)*BX60*SIN(RADIANS(E60))+IF(OR(D60&gt;540,AND(D60&gt;180,D60&lt;=360)),-1,1)*($AR60/COS(RADIANS(E60)))*COS(RADIANS(E60))),$D$28*BX60*(MAX(AVERAGE(O60:P60),AVERAGE(Q60:R60))/COS(RADIANS(E60)))/2*(2*(-BX60/2*SIN(RADIANS(E60))*COS(RADIANS(E60)))+BX60*SIN(RADIANS(E60))+(MAX(AVERAGE(O60:P60),AVERAGE(Q60:R60))/COS(RADIANS(E60)))*COS(RADIANS(E60)))))),""),"")</f>
        <v/>
      </c>
      <c r="BD60" s="437" t="str">
        <f t="shared" ref="BD60:BD77" si="64">IFERROR(IF(CI60="Yes","",IF(AND(MIN(AVERAGE(O60:P60),AVERAGE(Q60:R60))&lt;0,MAX(AVERAGE(O60:P60),AVERAGE(Q60:R60))&gt;=-AR60),IF(AND(MAX(AVERAGE(O60:P60),AVERAGE(Q60:R60))&lt;=0,MIN(AVERAGE(O60:P60),AVERAGE(Q60:R60))&gt;=-AR60),$D$28*BX60*BW60/2*(2*AV60+IF(OR(D60&gt;540,AND(D60&gt;180,D60&lt;=360)),-1,1)*BX60*SIN(RADIANS(E60))+IF(OR(D60&gt;540,AND(D60&gt;180,D60&lt;=360)),-1,1)*BW60*COS(RADIANS(E60))),IF(MAX(AVERAGE(O60:P60),AVERAGE(Q60:R60))&lt;=0,$D$28*BX60*(MAX(AVERAGE(O60:P60),AVERAGE(Q60:R60))+AR60)/COS(RADIANS(E60))/2*(2*(MAX(AVERAGE(O60:P60),AVERAGE(Q60:R60)))+IF(OR(D60&gt;540,AND(D60&gt;180,D60&lt;=360)),-1,1)*BX60*SIN(RADIANS(E60))+IF(OR(D60&gt;540,AND(D60&gt;180,D60&lt;=360)),-1,1)*(MAX(AVERAGE(O60:P60),AVERAGE(Q60:R60))+AR60)/COS(RADIANS(E60))*COS(RADIANS(E60))),IF(MIN(AVERAGE(O60:P60),AVERAGE(Q60:R60))&lt;-AR60,$D$28*BX60*(AR60/COS(RADIANS(E60)))/2*(2*(-BX60/2*SIN(RADIANS(E60))*COS(RADIANS(E60)))+IF(OR(D60&gt;540,AND(D60&gt;180,D60&lt;=360)),-1,1)*BX60*SIN(RADIANS(E60))+IF(OR(D60&gt;540,AND(D60&gt;180,D60&lt;=360)),-1,1)*(AR60/COS(RADIANS(E60)))*COS(RADIANS(E60))),$D$28*BX60*(MIN(AVERAGE(O60:P60),AVERAGE(Q60:R60))/COS(RADIANS(E60)))/2*(2*(-BX60/2*SIN(RADIANS(E60))*COS(RADIANS(E60)))+BX60*SIN(RADIANS(E60))-(MIN(AVERAGE(O60:P60),AVERAGE(Q60:R60))/COS(RADIANS(E60)))*COS(RADIANS(E60)))))),"")),"")</f>
        <v/>
      </c>
      <c r="BE60" s="433" t="str">
        <f>IFERROR(IF(CI60="Yes","",IF(MIN(AVERAGE(O60:P60),AVERAGE(Q60:R60))&lt;-$AR60,MAX((MIN(AVERAGE(O60:P60),AVERAGE(Q60:R60))+$AR60)/COS(RADIANS($E60)),-$BW60)*$BX60*$CG60,"")),"")</f>
        <v/>
      </c>
      <c r="BF60" s="438" t="e">
        <f>IF(MAX(AVERAGE(O60:P60),AVERAGE(Q60:R60))&gt;$AR60,MAX(AVERAGE(MAX(AVERAGE(O60:P60),AVERAGE(Q60:R60)),$AR60),AVERAGE(O60:R60)),"")</f>
        <v>#DIV/0!</v>
      </c>
      <c r="BG60" s="439" t="str">
        <f t="shared" ref="BG60:BG77" si="65">IFERROR(IF(AND(MAX(AVERAGE(O60:P60),AVERAGE(Q60:R60))&gt;0,MIN(AVERAGE(O60:P60),AVERAGE(Q60:R60))&lt;=AR60),IF(AND(MIN(AVERAGE(O60:P60),AVERAGE(Q60:R60))&gt;=0,MAX(AVERAGE(O60:P60),AVERAGE(Q60:R60))&lt;=AR60),AV60+$D$28*BX60*BW60/(12*BC60)*(6*AV60*(IF(OR(D60&gt;540,AND(D60&gt;180,D60&lt;360)),-1,1)*BX60*SIN(RADIANS(E60))+IF(OR(D60&gt;540,AND(D60&gt;180,D60&lt;360)),-1,1)*BW60*COS(RADIANS(E60)))+3*BX60*BW60*SIN(RADIANS(2*E60))+4*BX60^2*SIN(RADIANS(E60))^2+4*BW60^2*COS(RADIANS(E60))^2),IF(MIN(AVERAGE(O60:P60),AVERAGE(Q60:R60))&gt;=0,(MIN(AVERAGE(O60:P60),AVERAGE(Q60:R60)))+$D$28*BX60*(AR60-MIN(AVERAGE(O60:P60),AVERAGE(Q60:R60)))/COS(RADIANS(E60))/(12*BC60)*(6*(MIN(AVERAGE(O60:P60),AVERAGE(Q60:R60)))*(IF(OR(D60&gt;540,AND(D60&gt;180,D60&lt;360)),-1,1)*BX60*SIN(RADIANS(E60))+IF(OR(D60&gt;540,AND(D60&gt;180,D60&lt;360)),-1,1)*(AR60-MIN(AVERAGE(O60:P60),AVERAGE(Q60:R60)))/COS(RADIANS(E60))*COS(RADIANS(E60)))+3*BX60*(AR60-MIN(AVERAGE(O60:P60),AVERAGE(Q60:R60)))/COS(RADIANS(E60))*SIN(RADIANS(2*E60))+4*BX60^2*SIN(RADIANS(E60))^2+4*((AR60-MIN(AVERAGE(O60:P60),AVERAGE(Q60:R60)))/COS(RADIANS(E60)))^2*COS(RADIANS(E60))^2),IF(MAX(AVERAGE(O60:P60),AVERAGE(Q60:R60))&gt;AR60,(-BX60/2*SIN(RADIANS(E60))*COS(RADIANS(E60)))+$D$28*BX60*(AR60/COS(RADIANS(E60)))/(12*BC60)*(6*(-BX60/2*SIN(RADIANS(E60))*COS(RADIANS(E60)))*(IF(OR(D60&gt;540,AND(D60&gt;180,D60&lt;360)),-1,1)*BX60*SIN(RADIANS(E60))+IF(OR(D60&gt;540,AND(D60&gt;180,D60&lt;360)),-1,1)*(AR60/COS(RADIANS(E60)))*COS(RADIANS(E60)))+3*BX60*(AR60/COS(RADIANS(E60)))*SIN(RADIANS(2*E60))+4*BX60^2*SIN(RADIANS(E60))^2+4*(AR60/COS(RADIANS(E60)))^2*COS(RADIANS(E60))^2),(-BX60/2*SIN(RADIANS(E60))*COS(RADIANS(E60)))+$D$28*BX60*(MAX(AVERAGE(O60:P60),AVERAGE(Q60:R60))/COS(RADIANS(E60)))/(12*BC60)*(6*(-BX60/2*SIN(RADIANS(E60))*COS(RADIANS(E60)))*(BX60*SIN(RADIANS(E60))+(MAX(AVERAGE(O60:P60),AVERAGE(Q60:R60))/COS(RADIANS(E60)))*COS(RADIANS(E60)))+3*BX60*(MAX(AVERAGE(O60:P60),AVERAGE(Q60:R60))/COS(RADIANS(E60)))*SIN(RADIANS(2*E60))+4*BX60^2*SIN(RADIANS(E60))^2+4*(MAX(AVERAGE(O60:P60),AVERAGE(Q60:R60))/COS(RADIANS(E60)))^2*COS(RADIANS(E60))^2)))),""),"")</f>
        <v/>
      </c>
      <c r="BH60" s="439" t="str">
        <f t="shared" ref="BH60:BH77" si="66">IFERROR(IF(AND(MIN(AVERAGE(O60:P60),AVERAGE(Q60:R60))&lt;0,MAX(AVERAGE(O60:P60),AVERAGE(Q60:R60))&gt;=-AR60),IF(AND(MAX(AVERAGE(O60:P60),AVERAGE(Q60:R60))&lt;=0,MIN(AVERAGE(O60:P60),AVERAGE(Q60:R60))&gt;=-AR60),AV60+$D$28*BX60*BW60/(12*BD60)*(6*AV60*(IF(OR(D60&gt;540,AND(D60&gt;180,D60&lt;360)),-1,1)*BX60*SIN(RADIANS(E60))+IF(OR(D60&gt;540,AND(D60&gt;180,D60&lt;360)),-1,1)*BW60*COS(RADIANS(E60)))+3*BX60*BW60*SIN(RADIANS(2*E60))+4*BX60^2*SIN(RADIANS(E60))^2+4*BW60^2*COS(RADIANS(E60))^2),IF(MAX(AVERAGE(O60:P60),AVERAGE(Q60:R60))&lt;=0,(MAX(AVERAGE(O60:P60),AVERAGE(Q60:R60)))+$D$28*BX60*(MAX(AVERAGE(O60:P60),AVERAGE(Q60:R60))+AR60)/COS(RADIANS(E60))/(12*BD60)*(6*(MAX(AVERAGE(O60:P60),AVERAGE(Q60:R60)))*(IF(OR(D60&gt;540,AND(D60&gt;180,D60&lt;360)),-1,1)*BX60*SIN(RADIANS(E60))+IF(OR(D60&gt;540,AND(D60&gt;180,D60&lt;360)),-1,1)*(MAX(AVERAGE(O60:P60),AVERAGE(Q60:R60))+AR60)/COS(RADIANS(E60))*COS(RADIANS(E60)))+3*BX60*(MAX(AVERAGE(O60:P60),AVERAGE(Q60:R60))+AR60)/COS(RADIANS(E60))*SIN(RADIANS(2*E60))+4*BX60^2*SIN(RADIANS(E60))^2+4*((MAX(AVERAGE(O60:P60),AVERAGE(Q60:R60))+AR60)/COS(RADIANS(E60)))^2*COS(RADIANS(E60))^2),IF(MIN(AVERAGE(O60:P60),AVERAGE(Q60:R60))&lt;-AR60,(-BX60/2*SIN(RADIANS(E60))*COS(RADIANS(E60)))+$D$28*BX60*(AR60/COS(RADIANS(E60)))/(12*BD60)*(6*(-BX60/2*SIN(RADIANS(E60))*COS(RADIANS(E60)))*(IF(OR(D60&gt;540,AND(D60&gt;180,D60&lt;360)),-1,1)*BX60*SIN(RADIANS(E60))+IF(OR(D60&gt;540,AND(D60&gt;180,D60&lt;360)),-1,1)*(AR60/COS(RADIANS(E60)))*COS(RADIANS(E60)))+3*BX60*(AR60/COS(RADIANS(E60)))*SIN(RADIANS(2*E60))+4*BX60^2*SIN(RADIANS(E60))^2+4*(AR60/COS(RADIANS(E60)))^2*COS(RADIANS(E60))^2),((BX60/2*SIN(RADIANS(E60))*COS(RADIANS(E60)))+$D$28*BX60*(MIN(AVERAGE(O60:P60),AVERAGE(Q60:R60))/COS(RADIANS(E60)))/(12*BD60)*(-6*(BX60/2*SIN(RADIANS(E60))*COS(RADIANS(E60)))*(-BX60*SIN(RADIANS(E60))+(MIN(AVERAGE(O60:P60),AVERAGE(Q60:R60))/COS(RADIANS(E60)))*COS(RADIANS(E60)))+3*BX60*(MIN(AVERAGE(O60:P60),AVERAGE(Q60:R60))/COS(RADIANS(E60)))*SIN(RADIANS(2*E60))-4*BX60^2*SIN(RADIANS(E60))^2-4*(MIN(AVERAGE(O60:P60),AVERAGE(Q60:R60))/COS(RADIANS(E60)))^2*COS(RADIANS(E60))^2))))),""),"")</f>
        <v/>
      </c>
      <c r="BI60" s="433" t="e">
        <f>IF(MIN(AVERAGE(O60:P60),AVERAGE(Q60:R60))&lt;-$AR60,MIN(AVERAGE(MIN(AVERAGE(O60:P60),AVERAGE(Q60:R60)),-$AR60),AVERAGE(O60:R60)),"")</f>
        <v>#DIV/0!</v>
      </c>
      <c r="BJ60" s="438" t="str">
        <f>IFERROR(IF(BB60="",0,ABS(BB60))*IF(BF60="",0,ABS(BF60))+IF(BC60="",0,ABS(BC60))*IF(BG60="",0,ABS(BG60))+IF(BD60="",0,ABS(BD60))*IF(BH60="",0,ABS(BH60))+IF(BE60="",0,ABS(BE60))*IF(BI60="",0,ABS(BI60)),"")</f>
        <v/>
      </c>
      <c r="BK60" s="413" t="e">
        <f t="shared" ref="BK60:BK77" si="67">(IF(BB60="",0,ABS(BB60))*IF(BF60="",0,BF60)+IF(BC60="",0,ABS(BC60))*IF(BG60="",0,BG60)+IF(BD60="",0,ABS(BD60))*IF(BH60="",0,BH60)+IF(BE60="",0,ABS(BE60))*IF(BI60="",0,BI60))/(IF(BB60="",0,ABS(BB60))+IF(BC60="",0,ABS(BC60))+IF(BD60="",0,ABS(BD60))+IF(BE60="",0,ABS(BE60)))</f>
        <v>#DIV/0!</v>
      </c>
      <c r="BL60" s="66" t="str">
        <f t="shared" ref="BL60:BL96" si="68">IFERROR(BA60-BJ60,"")</f>
        <v/>
      </c>
      <c r="BP60" s="30" t="e">
        <f t="shared" ref="BP60:BP77" si="69">SUM(BB60:BC60)/(SUM(BB60:BC60,ABS(IFERROR(IF(AND(MIN(O60:R60)&lt;=0,MAX(AVERAGE(O60:P60),AVERAGE(Q60:R60))&gt;=-$AR60),-ABS(IF(AND(MAX(AVERAGE(O60:P60),AVERAGE(Q60:R60))&lt;0,MIN(AVERAGE(O60:P60),AVERAGE(Q60:R60))&gt;-$AR60),$D$28*$BX60*$BW60/2*(2*AV60+IF(OR(D60&gt;540,AND(D60&gt;180,D60&lt;=360)),-1,1)*$BX60*SIN(RADIANS(E60))+IF(OR(D60&gt;540,AND(D60&gt;180,D60&lt;=360)),-1,1)*$BW60*COS(RADIANS(E60))),IF(MAX(O60:R60)&lt;=0,$D$28*$BX60*(MAX(AVERAGE(O60:P60),AVERAGE(Q60:R60))+$AR60)/COS(RADIANS(E60))/2*(2*(MAX(AVERAGE(O60:P60),AVERAGE(Q60:R60)))+IF(OR(D60&gt;540,AND(D60&gt;180,D60&lt;=360)),-1,1)*$BX60*SIN(RADIANS(E60))+IF(OR(D60&gt;540,AND(D60&gt;180,D60&lt;=360)),-1,1)*(MAX(AVERAGE(O60:P60),AVERAGE(Q60:R60))+$AR60)/COS(RADIANS(E60))*COS(RADIANS(E60))),IF(MIN(AVERAGE(O60:P60),AVERAGE(Q60:R60))&lt;-$AR60,$D$28*$BX60*($AR60/COS(RADIANS(E60)))/2*(2*(-$BX60/2*SIN(RADIANS(E60))*COS(RADIANS(E60)))+IF(OR(D60&gt;540,AND(D60&gt;180,D60&lt;=360)),-1,1)*$BX60*SIN(RADIANS(E60))+IF(OR(D60&gt;540,AND(D60&gt;180,D60&lt;=360)),-1,1)*($AR60/COS(RADIANS(E60)))*COS(RADIANS(E60))),$D$28*$BX60*(MIN(AVERAGE(O60:P60),AVERAGE(Q60:R60))/COS(RADIANS(E60)))/2*(2*(-$BX60/2*SIN(RADIANS(E60))*COS(RADIANS(E60)))+IF(OR(D60&gt;540,AND(D60&gt;180,D60&lt;=360)),-1,1)*$BX60*SIN(RADIANS(E60))+IF(OR(D60&gt;540,AND(D60&gt;180,D60&lt;=360)),-1,1)*(MIN(AVERAGE(O60:P60),AVERAGE(Q60:R60))/COS(RADIANS(E60)))*COS(RADIANS(E60))))))),0),0)),ABS(IFERROR(IF(MIN(AVERAGE(O60:P60),AVERAGE(Q60:R60))&lt;-$AR60,MAX((MIN(AVERAGE(O60:P60),AVERAGE(Q60:R60))+$AR60)/COS(RADIANS($E60)),-$BW60)*$BX60*$CG60,0),0))))</f>
        <v>#DIV/0!</v>
      </c>
      <c r="BQ60" s="344" t="str">
        <f>IFERROR(VALUE(LEFT(VLOOKUP(Calculations!$D$4,Results!$G$5:$CM$105,67+$C60,FALSE),FIND(";",VLOOKUP(Calculations!$D$4,Results!$G$5:$CM$105,67+$C60,FALSE))-1)),"")</f>
        <v/>
      </c>
      <c r="BR60" s="444" t="str">
        <f>IF(BQ60="","",VLOOKUP(BQ60,Input!$B$21:$Q$50,13,FALSE))</f>
        <v/>
      </c>
      <c r="BS60" s="369" t="e">
        <f>VLOOKUP(BR60,Reinforcements[],COLUMN(Reinforcements[[#Headers],[Type]])-1,FALSE)</f>
        <v>#N/A</v>
      </c>
      <c r="BT60" s="369" t="e">
        <f>IF(BS60="solid round",VLOOKUP(BR60,Reinforcements[],COLUMN(Reinforcements[[#Headers],[Diameter (in)]])-1,FALSE),VLOOKUP(BR60,Reinforcements[],COLUMN(Reinforcements[[#Headers],[B (in)]])-1,FALSE))</f>
        <v>#N/A</v>
      </c>
      <c r="BU60" s="369" t="e">
        <f>IF(BS60="solid round",VLOOKUP(BR60,Reinforcements[],COLUMN(Reinforcements[[#Headers],[Diameter (in)]])-1,FALSE),VLOOKUP(BR60,Reinforcements[],COLUMN(Reinforcements[[#Headers],[H (in)]])-1,FALSE))</f>
        <v>#N/A</v>
      </c>
      <c r="BV60" s="413" t="e">
        <f>IFERROR((IF(VLOOKUP(BQ60,Input!$B$21:$AL$50,19+C60,FALSE)="c",$D$20/COS(RADIANS(180/$D$8)),$D$20)+BU60/2)*SIN(RADIANS(D60))-IF(ISNUMBER(VLOOKUP(BQ60,Input!$B$21:$AL$50,19+C60,FALSE)),VLOOKUP(BQ60,Input!$B$21:$AL$50,19+C60,FALSE)*COS(RADIANS(D60)),0)-$D$35,"")*0+N60*1</f>
        <v>#VALUE!</v>
      </c>
      <c r="BW60" s="369" t="e">
        <f>VLOOKUP(BR60,Reinforcements[],COLUMN(Reinforcements[[#Headers],[Effective B (in)]])-1,FALSE)</f>
        <v>#N/A</v>
      </c>
      <c r="BX60" s="369" t="e">
        <f>VLOOKUP(BR60,Reinforcements[],COLUMN(Reinforcements[[#Headers],[Effective H (in)]])-1,FALSE)</f>
        <v>#N/A</v>
      </c>
      <c r="BY60" s="369" t="e">
        <f>VLOOKUP(BR60,Reinforcements[],COLUMN(Reinforcements[[#Headers],[Gross Area (in2)]])-1,FALSE)</f>
        <v>#N/A</v>
      </c>
      <c r="BZ60" s="380" t="s">
        <v>335</v>
      </c>
      <c r="CA60" s="369" t="e">
        <f>VLOOKUP(BR60,Reinforcements[],COLUMN(Reinforcements[[#Headers],[Pole Face to Centroid (in)]])-1,FALSE)</f>
        <v>#N/A</v>
      </c>
      <c r="CB60" s="369" t="e">
        <f>VLOOKUP(BR60,Reinforcements[],COLUMN(Reinforcements[[#Headers],[Equivalent Rectangle Ix (in4)]])-1,FALSE)</f>
        <v>#N/A</v>
      </c>
      <c r="CC60" s="369" t="e">
        <f>VLOOKUP(BR60,Reinforcements[],COLUMN(Reinforcements[[#Headers],[Equivalent Rectangle Iy (in4)]])-1,FALSE)</f>
        <v>#N/A</v>
      </c>
      <c r="CD60" s="369" t="e">
        <f>VLOOKUP(BR60,Reinforcements[],COLUMN(Reinforcements[[#Headers],[Lu (in)]])-1,FALSE)</f>
        <v>#N/A</v>
      </c>
      <c r="CE60" s="380" t="s">
        <v>335</v>
      </c>
      <c r="CF60" s="380" t="s">
        <v>335</v>
      </c>
      <c r="CG60" s="369" t="e">
        <f>VLOOKUP(VLOOKUP(BR60,Reinforcements[],COLUMN(Reinforcements[[#Headers],[Material]])-1,FALSE),Materials[],2,FALSE)</f>
        <v>#N/A</v>
      </c>
      <c r="CH60" s="369" t="e">
        <f>VLOOKUP(VLOOKUP(BR60,Reinforcements[],COLUMN(Reinforcements[[#Headers],[Material]])-1,FALSE),Materials[],3,FALSE)</f>
        <v>#N/A</v>
      </c>
      <c r="CI60" s="380" t="e">
        <f>VLOOKUP(BR60,Reinforcements[],COLUMN(Reinforcements[[#Headers],[Tension Only?]])-1,FALSE)</f>
        <v>#N/A</v>
      </c>
      <c r="CJ60" s="449" t="str">
        <f>IF(BQ60="","",AND(INDEX(Results!$G$5:$G$104,MATCH(VLOOKUP($BQ60,Input!$B$21:$J$50,2,FALSE)-0.001,Results!$G$5:$G$104,-1))=$D$4))</f>
        <v/>
      </c>
      <c r="CK60" s="449" t="str">
        <f>IF(BQ60="","",AND(INDEX('Macro References'!$BB$2:$BB$101,MATCH(VLOOKUP($BQ60,Input!$B$21:$J$50,6,FALSE)-0.001,'Macro References'!$BB$2:$BB$101,1))=$D$4))</f>
        <v/>
      </c>
      <c r="CL60" s="449" t="e">
        <f>IF(CJ60,VLOOKUP(BR60,Reinforcements[],COLUMN(Reinforcements[[#Headers],[Bottom End Connection Type]])-1,FALSE),IF(CK60,VLOOKUP(BR60,Reinforcements[],COLUMN(Reinforcements[[#Headers],[Top End Connection Type]])-1,FALSE),""))</f>
        <v>#VALUE!</v>
      </c>
      <c r="CM60" s="449" t="e">
        <f>IF(ISBLANK(VLOOKUP(BR60,Reinforcements[],COLUMN(Reinforcements[[#Headers],[Bottom Transverse Weld Length]])-1,FALSE)),"",(VLOOKUP(BR60,Reinforcements[],COLUMN(Reinforcements[[#Headers],[Bottom Transverse Weld Length]])-1,FALSE)))</f>
        <v>#N/A</v>
      </c>
      <c r="CN60" s="449" t="e">
        <f>IF(ISBLANK(VLOOKUP(BR60,Reinforcements[],COLUMN(Reinforcements[[#Headers],[Bottom Transverse (Horizontal) Weld]])-1,FALSE)),"",(VLOOKUP(BR60,Reinforcements[],COLUMN(Reinforcements[[#Headers],[Bottom Transverse (Horizontal) Weld]])-1,FALSE)))</f>
        <v>#N/A</v>
      </c>
      <c r="CO60" s="449" t="e">
        <f>IF(ISBLANK(VLOOKUP(BR60,Reinforcements[],COLUMN(Reinforcements[[#Headers],[Bottom Longitudinal Weld Length]])-1,FALSE)),"",(VLOOKUP(BR60,Reinforcements[],COLUMN(Reinforcements[[#Headers],[Bottom Longitudinal Weld Length]])-1,FALSE)))</f>
        <v>#N/A</v>
      </c>
      <c r="CP60" s="449" t="str">
        <f>IFERROR(VLOOKUP(BR60,Reinforcements[],COLUMN(Reinforcements[[#Headers],[Bottom Connected to Flange/Base Plate?]])-1,FALSE),"")</f>
        <v/>
      </c>
      <c r="CQ60" s="451" t="e">
        <f>IF(Rev="F",VLOOKUP(BR60,Reinforcements[],COLUMN(Reinforcements[[#Headers],[Rev. F Bottom Transverse Weld Strength]])-1,FALSE),VLOOKUP(BR60,Reinforcements[],COLUMN(Reinforcements[[#Headers],[Rev. G Bottom Transverse Weld Strength]])-1,FALSE))</f>
        <v>#N/A</v>
      </c>
      <c r="CR60" s="451" t="e">
        <f>IF(CP60="Yes",IF(CN60="Fillet",VLOOKUP(BR60,Reinforcements[],COLUMN(Reinforcements[[#Headers],[Bottom Transverse Weld Fillet Size (in)]])-1,FALSE)*CM60*MIN(IF(Rev="F",0.4,φ_shear_yield*0.6)*CG60,IF(Rev="F",0.3,φ_shear_rupture*0.6)*CH60),VLOOKUP(BR60,Reinforcements[],COLUMN(Reinforcements[[#Headers],[Bottom Transverse Weld Groove Depth (in)]])-1,FALSE)/COS(RADIANS(VLOOKUP(BR60,Reinforcements[],COLUMN(Reinforcements[[#Headers],[Bottom Transverse Weld Groove Angle (degrees)]])-1,FALSE)))*CM60*IF(Rev="F",0.6,φ_t_y)*CG60),VLOOKUP(BR60,Reinforcements[],COLUMN(Reinforcements[[#Headers],[Bottom Transverse Weld Fillet Size (in)]])-1,FALSE)*CM60*IF(Rev="F",0.6,φ_t_y)*CG60)</f>
        <v>#N/A</v>
      </c>
      <c r="CS60" s="451" t="str">
        <f>IF(CP60&lt;&gt;"Yes","",(VLOOKUP(BR60,Reinforcements[],COLUMN(Reinforcements[[#Headers],[Bottom Transverse Weld Groove Depth (in)]])-1,FALSE)+VLOOKUP(BR60,Reinforcements[],COLUMN(Reinforcements[[#Headers],[Bottom Transverse Weld Fillet Size (in)]])-1,FALSE))*CM60*IF(Rev="F",0.6,φ_t_y)*$D$14)</f>
        <v/>
      </c>
      <c r="CT60" s="451" t="e">
        <f>IF(CP60="Yes","",VLOOKUP(BR60,Reinforcements[],COLUMN(Reinforcements[[#Headers],[Bottom Transverse Weld Fillet Size (in)]])-1,FALSE)*CM60*MIN(IF(Rev="F",0.4,φ_shear_yield*0.6)*$D$6,IF(Rev="F",0.3,φ_shear_rupture*0.6)*$D$7))</f>
        <v>#N/A</v>
      </c>
      <c r="CU60" s="451" t="e">
        <f>IF(Rev="F",VLOOKUP(BR60,Reinforcements[],COLUMN(Reinforcements[[#Headers],[Rev. F Bottom Longitudinal Weld Strength]])-1,FALSE),VLOOKUP(BR60,Reinforcements[],COLUMN(Reinforcements[[#Headers],[Rev. G Bottom Longitudinal Weld Strength]])-1,FALSE))</f>
        <v>#N/A</v>
      </c>
      <c r="CV60" s="451" t="e">
        <f>2*VLOOKUP(BR60,Reinforcements[],COLUMN(Reinforcements[[#Headers],[Bottom Longitudinal Weld Fillet Size (in)]])-1,FALSE)*CO60*MIN(IF(Rev="F",0.4,φ_shear_yield*0.6)*CG60,IF(Rev="F",0.3,φ_shear_rupture*0.6)*CH60)</f>
        <v>#N/A</v>
      </c>
      <c r="CW60" s="451" t="e">
        <f>2*VLOOKUP(BR60,Reinforcements[],COLUMN(Reinforcements[[#Headers],[Bottom Longitudinal Weld Fillet Size (in)]])-1,FALSE)*CO60*MIN(IF(Rev="F",0.4,φ_shear_yield*0.6)*$D$6,IF(Rev="F",0.3,φ_shear_rupture*0.6)*$D$7)</f>
        <v>#N/A</v>
      </c>
      <c r="CX60" s="451" t="e">
        <f>IF(ISBLANK(VLOOKUP(BR60,Reinforcements[],COLUMN(Reinforcements[[#Headers],[Top Transverse Weld Length]])-1,FALSE)),"",(VLOOKUP(BR60,Reinforcements[],COLUMN(Reinforcements[[#Headers],[Top Transverse Weld Length]])-1,FALSE)))</f>
        <v>#N/A</v>
      </c>
      <c r="CY60" s="451" t="e">
        <f>IF(ISBLANK(VLOOKUP(BR60,Reinforcements[],COLUMN(Reinforcements[[#Headers],[Top Transverse (Horizontal) Weld]])-1,FALSE)),"",(VLOOKUP(BR60,Reinforcements[],COLUMN(Reinforcements[[#Headers],[Top Transverse (Horizontal) Weld]])-1,FALSE)))</f>
        <v>#N/A</v>
      </c>
      <c r="CZ60" s="451" t="e">
        <f>IF(ISBLANK(VLOOKUP(BR60,Reinforcements[],COLUMN(Reinforcements[[#Headers],[Top Longitudinal Weld Length]])-1,FALSE)),"",(VLOOKUP(BR60,Reinforcements[],COLUMN(Reinforcements[[#Headers],[Top Longitudinal Weld Length]])-1,FALSE)))</f>
        <v>#N/A</v>
      </c>
      <c r="DA60" s="451" t="str">
        <f>IFERROR(VLOOKUP(BR60,Reinforcements[],COLUMN(Reinforcements[[#Headers],[Top Connected to Flange/Base Plate?]])-1,FALSE),"")</f>
        <v/>
      </c>
      <c r="DB60" s="451" t="e">
        <f>IF(Rev="F",VLOOKUP(BR60,Reinforcements[],COLUMN(Reinforcements[[#Headers],[Rev. F Top Transverse Weld Strength]])-1,FALSE),VLOOKUP(BR60,Reinforcements[],COLUMN(Reinforcements[[#Headers],[Rev. G Top Transverse Weld Strength]])-1,FALSE))</f>
        <v>#N/A</v>
      </c>
      <c r="DC60" s="451" t="e">
        <f>IF(DA60="Yes",IF(CY60="Fillet",VLOOKUP(BR60,Reinforcements[],COLUMN(Reinforcements[[#Headers],[Top Transverse Weld Fillet Size (in)]])-1,FALSE)*CX60*MIN(IF(Rev="F",0.4,φ_shear_yield*0.6)*CG60,IF(Rev="F",0.3,φ_shear_rupture*0.6)*CH60),VLOOKUP(BR60,Reinforcements[],COLUMN(Reinforcements[[#Headers],[Top Transverse Weld Groove Depth (in)]])-1,FALSE)/COS(RADIANS(VLOOKUP(BR60,Reinforcements[],COLUMN(Reinforcements[[#Headers],[Top Transverse Weld Groove Angle (degrees)]])-1,FALSE)))*CX60*IF(Rev="F",0.6,φ_t_y)*CG60),VLOOKUP(BR60,Reinforcements[],COLUMN(Reinforcements[[#Headers],[Top Transverse Weld Fillet Size (in)]])-1,FALSE)*CX60*IF(Rev="F",0.6,φ_t_y)*CG60)</f>
        <v>#N/A</v>
      </c>
      <c r="DD60" s="451" t="str">
        <f>IF(DA60&lt;&gt;"Yes","",(VLOOKUP(BR60,Reinforcements[],COLUMN(Reinforcements[[#Headers],[Top Transverse Weld Groove Depth (in)]])-1,FALSE)+VLOOKUP(BR60,Reinforcements[],COLUMN(Reinforcements[[#Headers],[Top Transverse Weld Fillet Size (in)]])-1,FALSE))*CX60*IF(Rev="F",0.6,φ_t_y)*$D$14)</f>
        <v/>
      </c>
      <c r="DE60" s="451" t="e">
        <f>IF(DA60="Yes","",VLOOKUP(BR60,Reinforcements[],COLUMN(Reinforcements[[#Headers],[Top Transverse Weld Fillet Size (in)]])-1,FALSE)*CX60*MIN(IF(Rev="F",0.4,φ_shear_yield*0.6)*$D$6,IF(Rev="F",0.3,φ_shear_rupture*0.6)*$D$7))</f>
        <v>#N/A</v>
      </c>
      <c r="DF60" s="451" t="e">
        <f>IF(Rev="F",VLOOKUP(BR60,Reinforcements[],COLUMN(Reinforcements[[#Headers],[Rev. F Top Longitudinal Weld Strength]])-1,FALSE),VLOOKUP(BR60,Reinforcements[],COLUMN(Reinforcements[[#Headers],[Rev. G Top Longitudinal Weld Strength]])-1,FALSE))</f>
        <v>#N/A</v>
      </c>
      <c r="DG60" s="451" t="e">
        <f>2*VLOOKUP(BR60,Reinforcements[],COLUMN(Reinforcements[[#Headers],[Top Longitudinal Weld Fillet Size (in)]])-1,FALSE)*CZ60*MIN(IF(Rev="F",0.4,φ_shear_yield*0.6)*CG60,IF(Rev="F",0.3,φ_shear_rupture*0.6)*CH60)</f>
        <v>#N/A</v>
      </c>
      <c r="DH60" s="451" t="e">
        <f>2*VLOOKUP(BR60,Reinforcements[],COLUMN(Reinforcements[[#Headers],[Top Longitudinal Weld Fillet Size (in)]])-1,FALSE)*CZ60*MIN(IF(Rev="F",0.4,φ_shear_yield*0.6)*$D$6,IF(Rev="F",0.3,φ_shear_rupture*0.6)*$D$7)</f>
        <v>#N/A</v>
      </c>
      <c r="DI60" s="251" t="e">
        <f>IF(BS60="channel",VLOOKUP(Calculations!BR60,Reinforcements[],COLUMN(Reinforcements[[#Headers],['[Channel']Web Thickness (in)]])-1,FALSE),"")</f>
        <v>#N/A</v>
      </c>
      <c r="DJ60" s="66" t="b">
        <f>OR(AND(CJ60,CP60="Yes"),AND(CK60,DA60="Yes"))</f>
        <v>0</v>
      </c>
      <c r="DK60" s="66" t="e">
        <f>IF(BS60="channel",Calculations!BU60-DI60,"")</f>
        <v>#N/A</v>
      </c>
      <c r="DL60" s="66" t="e">
        <f>IF(BS60="channel",(Calculations!BY60-Calculations!BT60*DI60)/(2*DK60))</f>
        <v>#N/A</v>
      </c>
      <c r="DM60" s="66" t="e">
        <f>IF(BS60="channel",(Calculations!BT60*(DI60^2)/2+2*DK60*DL60*(DI60+DK60/2))/Calculations!BY60,"")</f>
        <v>#N/A</v>
      </c>
    </row>
    <row r="61" spans="2:117" ht="15.75" customHeight="1" x14ac:dyDescent="0.25">
      <c r="B61" s="66" t="str">
        <f t="shared" ref="B61:B96" si="70">IFERROR(F61*IF(CI61="Yes",BP61,1),"")</f>
        <v/>
      </c>
      <c r="C61" s="317">
        <v>2</v>
      </c>
      <c r="D61" s="380" t="str">
        <f>IF(BQ61="","",IF($D$8=0,IF(OR(VLOOKUP(BQ61,Input!$B$21:$AL$50,19+C61,FALSE)+$D$5=0,VLOOKUP(BQ61,Input!$B$21:$AL$50,19+C61,FALSE)+$D$5=180),VLOOKUP(BQ61,Input!$B$21:$AL$50,19+C61,FALSE)+$D$5+0.0001,VLOOKUP(BQ61,Input!$B$21:$AL$50,19+C61,FALSE)+$D$5),IF(VLOOKUP(BQ61,Input!$B$21:$AL$50,19+C61,FALSE)="c",VLOOKUP($C61,$C$40:$E$57,2,FALSE)+180/$D$8,VLOOKUP($C61,$C$40:$E$57,2,FALSE))))</f>
        <v/>
      </c>
      <c r="E61" s="370" t="str">
        <f t="shared" si="39"/>
        <v/>
      </c>
      <c r="F61" s="381" t="str">
        <f>IF(BR61="","",VLOOKUP(BR61,Reinforcements[],COLUMN(Reinforcements[[#Headers],[Gross Area (in2)]])-1,FALSE))</f>
        <v/>
      </c>
      <c r="G61" s="378" t="e">
        <f>(IF(VLOOKUP(BQ61,Input!$B$21:$AL$50,19+C61,FALSE)="c",$D$20/COS(RADIANS(180/$D$8)),$D$20)+CA61)*SIN(RADIANS(D61))-IF(AND(ISNUMBER(VLOOKUP(BQ61,Input!$B$21:$AL$50,19+C61,FALSE)),$D$8&lt;&gt;0),VLOOKUP(BQ61,Input!$B$21:$AL$50,19+C61,FALSE)*COS(RADIANS(D61)),0)</f>
        <v>#N/A</v>
      </c>
      <c r="H61" s="373" t="str">
        <f t="shared" ref="H61:H77" si="71">IF(ISERROR(F61*G61),"",F61*G61)</f>
        <v/>
      </c>
      <c r="I61" s="373" t="e">
        <f t="shared" si="40"/>
        <v>#N/A</v>
      </c>
      <c r="J61" s="373" t="e">
        <f t="shared" si="41"/>
        <v>#N/A</v>
      </c>
      <c r="K61" s="373" t="e">
        <f t="shared" si="42"/>
        <v>#N/A</v>
      </c>
      <c r="L61" s="373" t="e">
        <f t="shared" ref="L61:L77" si="72">(J61+K61)/2+(J61-K61)/2*COS(2*RADIANS(D61+90))</f>
        <v>#N/A</v>
      </c>
      <c r="M61" s="374" t="str">
        <f t="shared" ref="M61:M77" si="73">IFERROR((L61+F61*I61^2)*IF(CI61="Yes",BP61,1),"")</f>
        <v/>
      </c>
      <c r="N61" s="372" t="str">
        <f>IFERROR((IF(VLOOKUP(BQ61,Input!$B$21:$AL$50,19+C61,FALSE)="c",$D$20/COS(RADIANS(180/$D$8)),$D$20)+CA61)*SIN(RADIANS(D61))-IF(AND(ISNUMBER(VLOOKUP(BQ61,Input!$B$21:$AL$50,19+C61,FALSE)),$D$8&lt;&gt;0),VLOOKUP(BQ61,Input!$B$21:$AL$50,19+C61,FALSE)*COS(RADIANS(D61)),0)-$D$35,"")</f>
        <v/>
      </c>
      <c r="O61" s="375" t="str">
        <f t="shared" si="43"/>
        <v/>
      </c>
      <c r="P61" s="375" t="str">
        <f t="shared" si="44"/>
        <v/>
      </c>
      <c r="Q61" s="375" t="str">
        <f t="shared" si="45"/>
        <v/>
      </c>
      <c r="R61" s="376" t="str">
        <f t="shared" si="46"/>
        <v/>
      </c>
      <c r="S61" s="373" t="str">
        <f t="shared" ref="S61:S77" si="74">IFERROR(BV61+(-BU61/2)*SIN(RADIANS(D61))+(BT61/2)*COS(RADIANS(D61)),"")</f>
        <v/>
      </c>
      <c r="T61" s="373" t="str">
        <f t="shared" ref="T61:T77" si="75">IFERROR(BV61+(BU61/2)*SIN(RADIANS(D61))+(BT61/2)*COS(RADIANS(D61)),"")</f>
        <v/>
      </c>
      <c r="U61" s="373" t="str">
        <f t="shared" ref="U61:U77" si="76">IFERROR(BV61+(BU61/2)*SIN(RADIANS(D61))+(-BT61/2)*COS(RADIANS(D61)),"")</f>
        <v/>
      </c>
      <c r="V61" s="374" t="str">
        <f t="shared" ref="V61:V77" si="77">IFERROR(BV61+(-BU61/2)*SIN(RADIANS(D61))+(-BT61/2)*COS(RADIANS(D61)),"")</f>
        <v/>
      </c>
      <c r="W61" s="482" t="str">
        <f>IFERROR(IF('Macro References'!$A$9,IF(AND(Calculations!CK61,CL61="Bolted"),VLOOKUP($BR61,Reinforcements[],COLUMN(IF(Rev="F",Reinforcements[[#Headers],[Rev. F Bolt Shear Capacity   (Top)        (kips)]],IF(Rev="G",Reinforcements[[#Headers],[Rev. G Bolt Shear Capacity (Top)     (kips)]],Reinforcements[[#Headers],[Rev. H Bolt Shear Capacity (Top) (kips)]])))-1,FALSE),IF(AND(Calculations!CJ61,CL61="Bolted"),VLOOKUP($BR61,Reinforcements[],COLUMN(IF(Rev="F",Reinforcements[[#Headers],[Rev. F Bolt Shear Capacity (Bottom)   (kips)]],IF(Rev="G",Reinforcements[[#Headers],[Rev. G Bolt Shear Capacity (Bottom) (kips)]],Reinforcements[[#Headers],[Rev. H Bolt Shear Capacity (Bottom) (kips)]])))-1,FALSE),"")),""),"")</f>
        <v/>
      </c>
      <c r="X61" s="483" t="str">
        <f>IFERROR(IF('Macro References'!$A$9,IF('Macro References'!$A$10,IF(AND(Calculations!CK61,CL61="Bolted"),VLOOKUP($BR61,Reinforcements[],COLUMN(IF(Rev="F",Reinforcements[[#Headers],[Rev.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kips)]])))-1,FALSE),IF(AND(Calculations!CJ61,CL61="Bolted"),VLOOKUP($BR61,Reinforcements[],COLUMN(IF(Rev="F",Reinforcements[[#Headers],[Rev.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kips)]])))-1,FALSE),"")),IF(AND(Calculations!CK61,CL61="Bolted"),VLOOKUP($BR61,Reinforcements[],COLUMN(IF(Rev="F",Reinforcements[[#Headers],[Rev.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kips)]])))-1,FALSE),IF(AND(Calculations!CJ61,CL61="Bolted"),VLOOKUP($BR61,Reinforcements[],COLUMN(IF(Rev="F",Reinforcements[[#Headers],[Rev.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1" s="483" t="str">
        <f>IFERROR(IF('Macro References'!$A$9,IF('Macro References'!$A$10,IF(AND(Calculations!CK61,CL61="Bolted"),VLOOKUP($BR61,Reinforcements[],COLUMN(IF(Rev="F",Reinforcements[[#Headers],[Rev.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(kips)]])))-1,FALSE),IF(AND(Calculations!CJ61,CL61="Bolted"),VLOOKUP($BR61,Reinforcements[],COLUMN(IF(Rev="F",Reinforcements[[#Headers],[Rev.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(kips)]])))-1,FALSE),"")),IF(AND(Calculations!CK61,CL61="Bolted"),VLOOKUP($BR61,Reinforcements[],COLUMN(IF(Rev="F",Reinforcements[[#Headers],[Rev.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(kips)]])))-1,FALSE),IF(AND(Calculations!CJ61,CL61="Bolted"),VLOOKUP($BR61,Reinforcements[],COLUMN(IF(Rev="F",Reinforcements[[#Headers],[Rev.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1" s="483" t="str">
        <f>IFERROR(IF('Macro References'!$A$9,IF(AND(CJ61,CL61="Welded"),MIN(CQ61:CT61),IF(AND(CK61,CL61="Welded"),MIN(DB61:DE61),"")),""),"")</f>
        <v/>
      </c>
      <c r="AA61" s="484" t="str">
        <f>IFERROR(IF('Macro References'!$A$9,IF(AND(CJ61,CL61="Welded"),MIN(CU61:CW61),IF(AND(CK61,CL61="Welded"),MIN(DF61:DH61),"")),""),"")</f>
        <v/>
      </c>
      <c r="AB61" s="484" t="str">
        <f>IFERROR(IF('Macro References'!$A$9,IF(AND(CJ61,CL61="Welded",CN61="Fillet",CU61&gt;0),TRUE,IF(AND(CK61,CL61="Welded",CY61="Fillet",DF61&gt;0),TRUE,"")),""),"")</f>
        <v/>
      </c>
      <c r="AC61" s="484" t="e">
        <f>IF('Macro References'!$A$9,IF(AND(CJ61,CL61="Capacity Input"),IF(Rev="F",VLOOKUP(BR61,Reinforcements[],COLUMN(Reinforcements[[#Headers],[Rev. F Bottom Connection Capacity (kips)]])-1,FALSE),IF(Rev="G",VLOOKUP(BR61,Reinforcements[],COLUMN(Reinforcements[[#Headers],[Rev. G Bottom Connection Capacity (kips)]])-1,FALSE),VLOOKUP(BR61,Reinforcements[],COLUMN(Reinforcements[[#Headers],[Rev. H Bottom Connection Capacity (kips)]])-1,FALSE))),IF(AND(CK61,CL61="Capacity Input"),IF(Rev="F",VLOOKUP(BR61,Reinforcements[],COLUMN(Reinforcements[[#Headers],[Rev. F Top Connection Capacity (kips)]])-1,FALSE),IF(Rev="G",VLOOKUP(BR61,Reinforcements[],COLUMN(Reinforcements[[#Headers],[Rev. G Top Connection Capacity (kips)]])-1,FALSE),VLOOKUP(BR61,Reinforcements[],COLUMN(Reinforcements[[#Headers],[Rev. H Top Connection Capacity (kips)]])-1,FALSE))),"")),"")</f>
        <v>#VALUE!</v>
      </c>
      <c r="AD61" s="484" t="str">
        <f>IFERROR(IF(Rev="F",MIN(VLOOKUP(BR61,Reinforcements[],COLUMN(Reinforcements[[#Headers],[Rev. F Compression Capacity x-x (kips)]])-1,FALSE),VLOOKUP(BR61,Reinforcements[],COLUMN(Reinforcements[[#Headers],[Rev. F Compression Capacity y-y (kips)]])-1,FALSE)),IF(Rev="G",MIN(VLOOKUP(BR61,Reinforcements[],COLUMN(Reinforcements[[#Headers],[Rev. G Compression Capacity x-x (kips)]])-1,FALSE),VLOOKUP(BR61,Reinforcements[],COLUMN(Reinforcements[[#Headers],[Rev. G Compression Capacity y-y (kips)]])-1,FALSE)),MIN(VLOOKUP(BR61,Reinforcements[],COLUMN(Reinforcements[[#Headers],[Rev. H Compression Capacity x-x (kips)]])-1,FALSE),VLOOKUP(BR61,Reinforcements[],COLUMN(Reinforcements[[#Headers],[Rev. H Compression Capacity y-y (kips)]])-1,FALSE)))),"")</f>
        <v/>
      </c>
      <c r="AE61" s="485" t="str">
        <f>IFERROR(IF(Rev="F",VLOOKUP(BR61,Reinforcements[],COLUMN(Reinforcements[[#Headers],[Rev. F Shear Capacity (kips)]])-1,FALSE)/BY61,IF(Rev="G",VLOOKUP(Calculations!BR61,Reinforcements[],COLUMN(Reinforcements[[#Headers],[Rev. G Shear Capacity (kips)]])-1,FALSE),VLOOKUP(Calculations!BR61,Reinforcements[],COLUMN(Reinforcements[[#Headers],[Rev. H Shear Capacity (kips)]])-1,FALSE))),"")</f>
        <v/>
      </c>
      <c r="AF61" s="451" t="str">
        <f>IFERROR(IF(Rev="F",VLOOKUP(BR61,Reinforcements[],COLUMN(Reinforcements[[#Headers],[Rev. F Tension Yield Capacity (kips)]])-1,FALSE),IF(Rev="G",VLOOKUP(Calculations!BR61,Reinforcements[],COLUMN(Reinforcements[[#Headers],[Rev. G Tension Yield Capacity (kips)]])-1,FALSE),VLOOKUP(Calculations!BR61,Reinforcements[],COLUMN(Reinforcements[[#Headers],[Rev. H Tension Yield Capacity (kips)]])-1,FALSE))),"")</f>
        <v/>
      </c>
      <c r="AG61" s="486" t="str">
        <f>IFERROR(IF(Rev="F",VLOOKUP(BR61,Reinforcements[],COLUMN(Reinforcements[[#Headers],[Rev. F Tension Rupture Capacity (kips)]])-1,FALSE),IF(Rev="G",VLOOKUP(Calculations!BR61,Reinforcements[],COLUMN(Reinforcements[[#Headers],[Rev. G Tension Rupture Capacity (kips)]])-1,FALSE),VLOOKUP(Calculations!BR61,Reinforcements[],COLUMN(Reinforcements[[#Headers],[Rev. H Tension Rupture Capacity (kips)]])-1,FALSE))),"")</f>
        <v/>
      </c>
      <c r="AH61" s="409" t="str">
        <f t="shared" si="47"/>
        <v/>
      </c>
      <c r="AI61" s="380" t="str">
        <f t="shared" si="48"/>
        <v/>
      </c>
      <c r="AJ61" s="380" t="str">
        <f t="shared" si="49"/>
        <v/>
      </c>
      <c r="AK61" s="380" t="str">
        <f>IFERROR(IF(AND(Z61="",AA61=""),"",ABS((IF(AB61=TRUE,MAX(0.85*AA61+1.5*Z61,AA61+Z61),SUM(Z61:AA61))/BY61)/N61*$D$25)),"")</f>
        <v/>
      </c>
      <c r="AL61" s="369" t="str">
        <f t="shared" ref="AL61:AL96" si="78">IFERROR(ABS((AC61/BY61)/N61*$D$25),"")</f>
        <v/>
      </c>
      <c r="AM61" s="380" t="str">
        <f>""</f>
        <v/>
      </c>
      <c r="AN61" s="380" t="str">
        <f t="shared" si="50"/>
        <v/>
      </c>
      <c r="AO61" s="369" t="str">
        <f t="shared" si="51"/>
        <v/>
      </c>
      <c r="AP61" s="410" t="str">
        <f t="shared" si="52"/>
        <v/>
      </c>
      <c r="AQ61" s="411" t="str">
        <f t="shared" si="53"/>
        <v/>
      </c>
      <c r="AR61" s="380" t="str">
        <f>IF(BR61="","",VLOOKUP(VLOOKUP(BR61,Reinforcements[],COLUMN(Reinforcements[[#Headers],[Material]])-1,FALSE),Materials[],2,FALSE)/$D$28)</f>
        <v/>
      </c>
      <c r="AS61" s="369" t="str">
        <f t="shared" si="54"/>
        <v/>
      </c>
      <c r="AT61" s="489" t="str">
        <f t="shared" si="55"/>
        <v/>
      </c>
      <c r="AU61" s="412">
        <f t="shared" si="56"/>
        <v>0</v>
      </c>
      <c r="AV61" s="413">
        <f t="shared" si="57"/>
        <v>0</v>
      </c>
      <c r="AW61" s="413" t="e">
        <f t="shared" si="58"/>
        <v>#N/A</v>
      </c>
      <c r="AX61" s="413" t="e">
        <f t="shared" si="59"/>
        <v>#N/A</v>
      </c>
      <c r="AY61" s="413" t="str">
        <f t="shared" si="60"/>
        <v/>
      </c>
      <c r="AZ61" s="413" t="e">
        <f t="shared" si="61"/>
        <v>#VALUE!</v>
      </c>
      <c r="BA61" s="433" t="str">
        <f t="shared" si="62"/>
        <v/>
      </c>
      <c r="BB61" s="436" t="str">
        <f t="shared" ref="BB61:BB77" si="79">IFERROR(IF(MAX(AVERAGE(O61:P61),AVERAGE(Q61:R61))&gt;$AR61,MIN((MAX(AVERAGE(O61:P61),AVERAGE(Q61:R61))-$AR61)/COS(RADIANS($E61)),$BW61)*$BX61*$CG61,""),"")</f>
        <v/>
      </c>
      <c r="BC61" s="437" t="str">
        <f t="shared" si="63"/>
        <v/>
      </c>
      <c r="BD61" s="437" t="str">
        <f t="shared" si="64"/>
        <v/>
      </c>
      <c r="BE61" s="433" t="str">
        <f t="shared" ref="BE61:BE77" si="80">IFERROR(IF(CI61="Yes","",IF(MIN(AVERAGE(O61:P61),AVERAGE(Q61:R61))&lt;-$AR61,MAX((MIN(AVERAGE(O61:P61),AVERAGE(Q61:R61))+$AR61)/COS(RADIANS($E61)),-$BW61)*$BX61*$CG61,"")),"")</f>
        <v/>
      </c>
      <c r="BF61" s="438" t="e">
        <f t="shared" ref="BF61:BF77" si="81">IF(MAX(AVERAGE(O61:P61),AVERAGE(Q61:R61))&gt;$AR61,MAX(AVERAGE(MAX(AVERAGE(O61:P61),AVERAGE(Q61:R61)),$AR61),AVERAGE(O61:R61)),"")</f>
        <v>#DIV/0!</v>
      </c>
      <c r="BG61" s="439" t="str">
        <f t="shared" si="65"/>
        <v/>
      </c>
      <c r="BH61" s="439" t="str">
        <f t="shared" si="66"/>
        <v/>
      </c>
      <c r="BI61" s="433" t="e">
        <f t="shared" ref="BI61:BI77" si="82">IF(MIN(AVERAGE(O61:P61),AVERAGE(Q61:R61))&lt;-$AR61,MIN(AVERAGE(MIN(AVERAGE(O61:P61),AVERAGE(Q61:R61)),-$AR61),AVERAGE(O61:R61)),"")</f>
        <v>#DIV/0!</v>
      </c>
      <c r="BJ61" s="438" t="str">
        <f t="shared" ref="BJ61:BJ77" si="83">IFERROR(IF(BB61="",0,ABS(BB61))*IF(BF61="",0,ABS(BF61))+IF(BC61="",0,ABS(BC61))*IF(BG61="",0,ABS(BG61))+IF(BD61="",0,ABS(BD61))*IF(BH61="",0,ABS(BH61))+IF(BE61="",0,ABS(BE61))*IF(BI61="",0,ABS(BI61)),"")</f>
        <v/>
      </c>
      <c r="BK61" s="413" t="e">
        <f t="shared" si="67"/>
        <v>#DIV/0!</v>
      </c>
      <c r="BL61" s="66" t="str">
        <f t="shared" si="68"/>
        <v/>
      </c>
      <c r="BP61" s="30" t="e">
        <f t="shared" si="69"/>
        <v>#DIV/0!</v>
      </c>
      <c r="BQ61" s="344" t="str">
        <f>IFERROR(VALUE(LEFT(VLOOKUP(Calculations!$D$4,Results!$G$5:$CM$105,67+$C61,FALSE),FIND(";",VLOOKUP(Calculations!$D$4,Results!$G$5:$CM$105,67+$C61,FALSE))-1)),"")</f>
        <v/>
      </c>
      <c r="BR61" s="444" t="str">
        <f>IF(BQ61="","",VLOOKUP(BQ61,Input!$B$21:$Q$50,13,FALSE))</f>
        <v/>
      </c>
      <c r="BS61" s="369" t="e">
        <f>VLOOKUP(BR61,Reinforcements[],COLUMN(Reinforcements[[#Headers],[Type]])-1,FALSE)</f>
        <v>#N/A</v>
      </c>
      <c r="BT61" s="369" t="e">
        <f>IF(BS61="solid round",VLOOKUP(BR61,Reinforcements[],COLUMN(Reinforcements[[#Headers],[Diameter (in)]])-1,FALSE),VLOOKUP(BR61,Reinforcements[],COLUMN(Reinforcements[[#Headers],[B (in)]])-1,FALSE))</f>
        <v>#N/A</v>
      </c>
      <c r="BU61" s="369" t="e">
        <f>IF(BS61="solid round",VLOOKUP(BR61,Reinforcements[],COLUMN(Reinforcements[[#Headers],[Diameter (in)]])-1,FALSE),VLOOKUP(BR61,Reinforcements[],COLUMN(Reinforcements[[#Headers],[H (in)]])-1,FALSE))</f>
        <v>#N/A</v>
      </c>
      <c r="BV61" s="413" t="e">
        <f>IFERROR((IF(VLOOKUP(BQ61,Input!$B$21:$AL$50,19+C61,FALSE)="c",$D$20/COS(RADIANS(180/$D$8)),$D$20)+BU61/2)*SIN(RADIANS(D61))-IF(ISNUMBER(VLOOKUP(BQ61,Input!$B$21:$AL$50,19+C61,FALSE)),VLOOKUP(BQ61,Input!$B$21:$AL$50,19+C61,FALSE)*COS(RADIANS(D61)),0)-$D$35,"")*0+N61*1</f>
        <v>#VALUE!</v>
      </c>
      <c r="BW61" s="369" t="e">
        <f>VLOOKUP(BR61,Reinforcements[],COLUMN(Reinforcements[[#Headers],[Effective B (in)]])-1,FALSE)</f>
        <v>#N/A</v>
      </c>
      <c r="BX61" s="369" t="e">
        <f>VLOOKUP(BR61,Reinforcements[],COLUMN(Reinforcements[[#Headers],[Effective H (in)]])-1,FALSE)</f>
        <v>#N/A</v>
      </c>
      <c r="BY61" s="369" t="e">
        <f>VLOOKUP(BR61,Reinforcements[],COLUMN(Reinforcements[[#Headers],[Gross Area (in2)]])-1,FALSE)</f>
        <v>#N/A</v>
      </c>
      <c r="BZ61" s="380" t="s">
        <v>335</v>
      </c>
      <c r="CA61" s="369" t="e">
        <f>VLOOKUP(BR61,Reinforcements[],COLUMN(Reinforcements[[#Headers],[Pole Face to Centroid (in)]])-1,FALSE)</f>
        <v>#N/A</v>
      </c>
      <c r="CB61" s="369" t="e">
        <f>VLOOKUP(BR61,Reinforcements[],COLUMN(Reinforcements[[#Headers],[Equivalent Rectangle Ix (in4)]])-1,FALSE)</f>
        <v>#N/A</v>
      </c>
      <c r="CC61" s="369" t="e">
        <f>VLOOKUP(BR61,Reinforcements[],COLUMN(Reinforcements[[#Headers],[Equivalent Rectangle Iy (in4)]])-1,FALSE)</f>
        <v>#N/A</v>
      </c>
      <c r="CD61" s="369" t="e">
        <f>VLOOKUP(BR61,Reinforcements[],COLUMN(Reinforcements[[#Headers],[Lu (in)]])-1,FALSE)</f>
        <v>#N/A</v>
      </c>
      <c r="CE61" s="380" t="s">
        <v>335</v>
      </c>
      <c r="CF61" s="380" t="s">
        <v>335</v>
      </c>
      <c r="CG61" s="369" t="e">
        <f>VLOOKUP(VLOOKUP(BR61,Reinforcements[],COLUMN(Reinforcements[[#Headers],[Material]])-1,FALSE),Materials[],2,FALSE)</f>
        <v>#N/A</v>
      </c>
      <c r="CH61" s="369" t="e">
        <f>VLOOKUP(VLOOKUP(BR61,Reinforcements[],COLUMN(Reinforcements[[#Headers],[Material]])-1,FALSE),Materials[],3,FALSE)</f>
        <v>#N/A</v>
      </c>
      <c r="CI61" s="380" t="e">
        <f>VLOOKUP(BR61,Reinforcements[],COLUMN(Reinforcements[[#Headers],[Tension Only?]])-1,FALSE)</f>
        <v>#N/A</v>
      </c>
      <c r="CJ61" s="449" t="str">
        <f>IF(BQ61="","",AND(INDEX(Results!$G$5:$G$104,MATCH(VLOOKUP($BQ61,Input!$B$21:$J$50,2,FALSE)-0.001,Results!$G$5:$G$104,-1))=$D$4))</f>
        <v/>
      </c>
      <c r="CK61" s="449" t="str">
        <f>IF(BQ61="","",AND(INDEX('Macro References'!$BB$2:$BB$101,MATCH(VLOOKUP($BQ61,Input!$B$21:$J$50,6,FALSE)-0.001,'Macro References'!$BB$2:$BB$101,1))=$D$4))</f>
        <v/>
      </c>
      <c r="CL61" s="449" t="e">
        <f>IF(CJ61,VLOOKUP(BR61,Reinforcements[],COLUMN(Reinforcements[[#Headers],[Bottom End Connection Type]])-1,FALSE),IF(CK61,VLOOKUP(BR61,Reinforcements[],COLUMN(Reinforcements[[#Headers],[Top End Connection Type]])-1,FALSE),""))</f>
        <v>#VALUE!</v>
      </c>
      <c r="CM61" s="449" t="e">
        <f>IF(ISBLANK(VLOOKUP(BR61,Reinforcements[],COLUMN(Reinforcements[[#Headers],[Bottom Transverse Weld Length]])-1,FALSE)),"",(VLOOKUP(BR61,Reinforcements[],COLUMN(Reinforcements[[#Headers],[Bottom Transverse Weld Length]])-1,FALSE)))</f>
        <v>#N/A</v>
      </c>
      <c r="CN61" s="449" t="e">
        <f>IF(ISBLANK(VLOOKUP(BR61,Reinforcements[],COLUMN(Reinforcements[[#Headers],[Bottom Transverse (Horizontal) Weld]])-1,FALSE)),"",(VLOOKUP(BR61,Reinforcements[],COLUMN(Reinforcements[[#Headers],[Bottom Transverse (Horizontal) Weld]])-1,FALSE)))</f>
        <v>#N/A</v>
      </c>
      <c r="CO61" s="449" t="e">
        <f>IF(ISBLANK(VLOOKUP(BR61,Reinforcements[],COLUMN(Reinforcements[[#Headers],[Bottom Longitudinal Weld Length]])-1,FALSE)),"",(VLOOKUP(BR61,Reinforcements[],COLUMN(Reinforcements[[#Headers],[Bottom Longitudinal Weld Length]])-1,FALSE)))</f>
        <v>#N/A</v>
      </c>
      <c r="CP61" s="449" t="str">
        <f>IFERROR(VLOOKUP(BR61,Reinforcements[],COLUMN(Reinforcements[[#Headers],[Bottom Connected to Flange/Base Plate?]])-1,FALSE),"")</f>
        <v/>
      </c>
      <c r="CQ61" s="369" t="e">
        <f>IF(Rev="F",VLOOKUP(BR61,Reinforcements[],COLUMN(Reinforcements[[#Headers],[Rev. F Bottom Transverse Weld Strength]])-1,FALSE),VLOOKUP(BR61,Reinforcements[],COLUMN(Reinforcements[[#Headers],[Rev. G Bottom Transverse Weld Strength]])-1,FALSE))</f>
        <v>#N/A</v>
      </c>
      <c r="CR61" s="369" t="e">
        <f>IF(CP61="Yes",IF(CN61="Fillet",VLOOKUP(BR61,Reinforcements[],COLUMN(Reinforcements[[#Headers],[Bottom Transverse Weld Fillet Size (in)]])-1,FALSE)*CM61*MIN(IF(Rev="F",0.4,φ_shear_yield*0.6)*CG61,IF(Rev="F",0.3,φ_shear_rupture*0.6)*CH61),VLOOKUP(BR61,Reinforcements[],COLUMN(Reinforcements[[#Headers],[Bottom Transverse Weld Groove Depth (in)]])-1,FALSE)/COS(RADIANS(VLOOKUP(BR61,Reinforcements[],COLUMN(Reinforcements[[#Headers],[Bottom Transverse Weld Groove Angle (degrees)]])-1,FALSE)))*CM61*IF(Rev="F",0.6,φ_t_y)*CG61),VLOOKUP(BR61,Reinforcements[],COLUMN(Reinforcements[[#Headers],[Bottom Transverse Weld Fillet Size (in)]])-1,FALSE)*CM61*IF(Rev="F",0.6,φ_t_y)*CG61)</f>
        <v>#N/A</v>
      </c>
      <c r="CS61" s="369" t="str">
        <f>IF(CP61&lt;&gt;"Yes","",(VLOOKUP(BR61,Reinforcements[],COLUMN(Reinforcements[[#Headers],[Bottom Transverse Weld Groove Depth (in)]])-1,FALSE)+VLOOKUP(BR61,Reinforcements[],COLUMN(Reinforcements[[#Headers],[Bottom Transverse Weld Fillet Size (in)]])-1,FALSE))*CM61*IF(Rev="F",0.6,φ_t_y)*$D$14)</f>
        <v/>
      </c>
      <c r="CT61" s="369" t="e">
        <f>IF(CP61="Yes","",VLOOKUP(BR61,Reinforcements[],COLUMN(Reinforcements[[#Headers],[Bottom Transverse Weld Fillet Size (in)]])-1,FALSE)*CM61*MIN(IF(Rev="F",0.4,φ_shear_yield*0.6)*$D$6,IF(Rev="F",0.3,φ_shear_rupture*0.6)*$D$7))</f>
        <v>#N/A</v>
      </c>
      <c r="CU61" s="369" t="e">
        <f>IF(Rev="F",VLOOKUP(BR61,Reinforcements[],COLUMN(Reinforcements[[#Headers],[Rev. F Bottom Longitudinal Weld Strength]])-1,FALSE),VLOOKUP(BR61,Reinforcements[],COLUMN(Reinforcements[[#Headers],[Rev. G Bottom Longitudinal Weld Strength]])-1,FALSE))</f>
        <v>#N/A</v>
      </c>
      <c r="CV61" s="369" t="e">
        <f>2*VLOOKUP(BR61,Reinforcements[],COLUMN(Reinforcements[[#Headers],[Bottom Longitudinal Weld Fillet Size (in)]])-1,FALSE)*CO61*MIN(IF(Rev="F",0.4,φ_shear_yield*0.6)*CG61,IF(Rev="F",0.3,φ_shear_rupture*0.6)*CH61)</f>
        <v>#N/A</v>
      </c>
      <c r="CW61" s="369" t="e">
        <f>2*VLOOKUP(BR61,Reinforcements[],COLUMN(Reinforcements[[#Headers],[Bottom Longitudinal Weld Fillet Size (in)]])-1,FALSE)*CO61*MIN(IF(Rev="F",0.4,φ_shear_yield*0.6)*$D$6,IF(Rev="F",0.3,φ_shear_rupture*0.6)*$D$7)</f>
        <v>#N/A</v>
      </c>
      <c r="CX61" s="451" t="e">
        <f>IF(ISBLANK(VLOOKUP(BR61,Reinforcements[],COLUMN(Reinforcements[[#Headers],[Top Transverse Weld Length]])-1,FALSE)),"",(VLOOKUP(BR61,Reinforcements[],COLUMN(Reinforcements[[#Headers],[Top Transverse Weld Length]])-1,FALSE)))</f>
        <v>#N/A</v>
      </c>
      <c r="CY61" s="451" t="e">
        <f>IF(ISBLANK(VLOOKUP(BR61,Reinforcements[],COLUMN(Reinforcements[[#Headers],[Top Transverse (Horizontal) Weld]])-1,FALSE)),"",(VLOOKUP(BR61,Reinforcements[],COLUMN(Reinforcements[[#Headers],[Top Transverse (Horizontal) Weld]])-1,FALSE)))</f>
        <v>#N/A</v>
      </c>
      <c r="CZ61" s="451" t="e">
        <f>IF(ISBLANK(VLOOKUP(BR61,Reinforcements[],COLUMN(Reinforcements[[#Headers],[Top Longitudinal Weld Length]])-1,FALSE)),"",(VLOOKUP(BR61,Reinforcements[],COLUMN(Reinforcements[[#Headers],[Top Longitudinal Weld Length]])-1,FALSE)))</f>
        <v>#N/A</v>
      </c>
      <c r="DA61" s="369" t="str">
        <f>IFERROR(VLOOKUP(BR61,Reinforcements[],COLUMN(Reinforcements[[#Headers],[Top Connected to Flange/Base Plate?]])-1,FALSE),"")</f>
        <v/>
      </c>
      <c r="DB61" s="369" t="e">
        <f>IF(Rev="F",VLOOKUP(BR61,Reinforcements[],COLUMN(Reinforcements[[#Headers],[Rev. F Top Transverse Weld Strength]])-1,FALSE),VLOOKUP(BR61,Reinforcements[],COLUMN(Reinforcements[[#Headers],[Rev. G Top Transverse Weld Strength]])-1,FALSE))</f>
        <v>#N/A</v>
      </c>
      <c r="DC61" s="369" t="e">
        <f>IF(DA61="Yes",IF(CY61="Fillet",VLOOKUP(BR61,Reinforcements[],COLUMN(Reinforcements[[#Headers],[Top Transverse Weld Fillet Size (in)]])-1,FALSE)*CX61*MIN(IF(Rev="F",0.4,φ_shear_yield*0.6)*CG61,IF(Rev="F",0.3,φ_shear_rupture*0.6)*CH61),VLOOKUP(BR61,Reinforcements[],COLUMN(Reinforcements[[#Headers],[Top Transverse Weld Groove Depth (in)]])-1,FALSE)/COS(RADIANS(VLOOKUP(BR61,Reinforcements[],COLUMN(Reinforcements[[#Headers],[Top Transverse Weld Groove Angle (degrees)]])-1,FALSE)))*CX61*IF(Rev="F",0.6,φ_t_y)*CG61),VLOOKUP(BR61,Reinforcements[],COLUMN(Reinforcements[[#Headers],[Top Transverse Weld Fillet Size (in)]])-1,FALSE)*CX61*IF(Rev="F",0.6,φ_t_y)*CG61)</f>
        <v>#N/A</v>
      </c>
      <c r="DD61" s="369" t="str">
        <f>IF(DA61&lt;&gt;"Yes","",(VLOOKUP(BR61,Reinforcements[],COLUMN(Reinforcements[[#Headers],[Top Transverse Weld Groove Depth (in)]])-1,FALSE)+VLOOKUP(BR61,Reinforcements[],COLUMN(Reinforcements[[#Headers],[Top Transverse Weld Fillet Size (in)]])-1,FALSE))*CX61*IF(Rev="F",0.6,φ_t_y)*$D$14)</f>
        <v/>
      </c>
      <c r="DE61" s="369" t="e">
        <f>IF(DA61="Yes","",VLOOKUP(BR61,Reinforcements[],COLUMN(Reinforcements[[#Headers],[Top Transverse Weld Fillet Size (in)]])-1,FALSE)*CX61*MIN(IF(Rev="F",0.4,φ_shear_yield*0.6)*$D$6,IF(Rev="F",0.3,φ_shear_rupture*0.6)*$D$7))</f>
        <v>#N/A</v>
      </c>
      <c r="DF61" s="369" t="e">
        <f>IF(Rev="F",VLOOKUP(BR61,Reinforcements[],COLUMN(Reinforcements[[#Headers],[Rev. F Top Longitudinal Weld Strength]])-1,FALSE),VLOOKUP(BR61,Reinforcements[],COLUMN(Reinforcements[[#Headers],[Rev. G Top Longitudinal Weld Strength]])-1,FALSE))</f>
        <v>#N/A</v>
      </c>
      <c r="DG61" s="369" t="e">
        <f>2*VLOOKUP(BR61,Reinforcements[],COLUMN(Reinforcements[[#Headers],[Top Longitudinal Weld Fillet Size (in)]])-1,FALSE)*CZ61*MIN(IF(Rev="F",0.4,φ_shear_yield*0.6)*CG61,IF(Rev="F",0.3,φ_shear_rupture*0.6)*CH61)</f>
        <v>#N/A</v>
      </c>
      <c r="DH61" s="369" t="e">
        <f>2*VLOOKUP(BR61,Reinforcements[],COLUMN(Reinforcements[[#Headers],[Top Longitudinal Weld Fillet Size (in)]])-1,FALSE)*CZ61*MIN(IF(Rev="F",0.4,φ_shear_yield*0.6)*$D$6,IF(Rev="F",0.3,φ_shear_rupture*0.6)*$D$7)</f>
        <v>#N/A</v>
      </c>
      <c r="DI61" s="66" t="e">
        <f>IF(BS61="channel",VLOOKUP(Calculations!BR61,Reinforcements[],COLUMN(Reinforcements[[#Headers],['[Channel']Web Thickness (in)]])-1,FALSE),"")</f>
        <v>#N/A</v>
      </c>
      <c r="DJ61" s="66" t="b">
        <f t="shared" ref="DJ61:DJ77" si="84">OR(AND(CJ61,CP61="Yes"),AND(CK61,DA61="Yes"))</f>
        <v>0</v>
      </c>
      <c r="DK61" s="66" t="e">
        <f>IF(BS61="channel",Calculations!BU61-DI61,"")</f>
        <v>#N/A</v>
      </c>
      <c r="DL61" s="66" t="e">
        <f>IF(BS61="channel",(Calculations!BY61-Calculations!BT61*DI61)/(2*DK61))</f>
        <v>#N/A</v>
      </c>
      <c r="DM61" s="66" t="e">
        <f>IF(BS61="channel",(Calculations!BT61*(DI61^2)/2+2*DK61*DL61*(DI61+DK61/2))/Calculations!BY61,"")</f>
        <v>#N/A</v>
      </c>
    </row>
    <row r="62" spans="2:117" ht="18" customHeight="1" x14ac:dyDescent="0.25">
      <c r="B62" s="66" t="str">
        <f t="shared" si="70"/>
        <v/>
      </c>
      <c r="C62" s="317">
        <v>3</v>
      </c>
      <c r="D62" s="380" t="str">
        <f>IF(BQ62="","",IF($D$8=0,IF(OR(VLOOKUP(BQ62,Input!$B$21:$AL$50,19+C62,FALSE)+$D$5=0,VLOOKUP(BQ62,Input!$B$21:$AL$50,19+C62,FALSE)+$D$5=180),VLOOKUP(BQ62,Input!$B$21:$AL$50,19+C62,FALSE)+$D$5+0.0001,VLOOKUP(BQ62,Input!$B$21:$AL$50,19+C62,FALSE)+$D$5),IF(VLOOKUP(BQ62,Input!$B$21:$AL$50,19+C62,FALSE)="c",VLOOKUP($C62,$C$40:$E$57,2,FALSE)+180/$D$8,VLOOKUP($C62,$C$40:$E$57,2,FALSE))))</f>
        <v/>
      </c>
      <c r="E62" s="370" t="str">
        <f t="shared" si="39"/>
        <v/>
      </c>
      <c r="F62" s="381" t="str">
        <f>IF(BR62="","",VLOOKUP(BR62,Reinforcements[],COLUMN(Reinforcements[[#Headers],[Gross Area (in2)]])-1,FALSE))</f>
        <v/>
      </c>
      <c r="G62" s="378" t="e">
        <f>(IF(VLOOKUP(BQ62,Input!$B$21:$AL$50,19+C62,FALSE)="c",$D$20/COS(RADIANS(180/$D$8)),$D$20)+CA62)*SIN(RADIANS(D62))-IF(AND(ISNUMBER(VLOOKUP(BQ62,Input!$B$21:$AL$50,19+C62,FALSE)),$D$8&lt;&gt;0),VLOOKUP(BQ62,Input!$B$21:$AL$50,19+C62,FALSE)*COS(RADIANS(D62)),0)</f>
        <v>#N/A</v>
      </c>
      <c r="H62" s="373" t="str">
        <f t="shared" si="71"/>
        <v/>
      </c>
      <c r="I62" s="373" t="e">
        <f t="shared" si="40"/>
        <v>#N/A</v>
      </c>
      <c r="J62" s="373" t="e">
        <f t="shared" si="41"/>
        <v>#N/A</v>
      </c>
      <c r="K62" s="373" t="e">
        <f t="shared" si="42"/>
        <v>#N/A</v>
      </c>
      <c r="L62" s="373" t="e">
        <f t="shared" si="72"/>
        <v>#N/A</v>
      </c>
      <c r="M62" s="374" t="str">
        <f t="shared" si="73"/>
        <v/>
      </c>
      <c r="N62" s="372" t="str">
        <f>IFERROR((IF(VLOOKUP(BQ62,Input!$B$21:$AL$50,19+C62,FALSE)="c",$D$20/COS(RADIANS(180/$D$8)),$D$20)+CA62)*SIN(RADIANS(D62))-IF(AND(ISNUMBER(VLOOKUP(BQ62,Input!$B$21:$AL$50,19+C62,FALSE)),$D$8&lt;&gt;0),VLOOKUP(BQ62,Input!$B$21:$AL$50,19+C62,FALSE)*COS(RADIANS(D62)),0)-$D$35,"")</f>
        <v/>
      </c>
      <c r="O62" s="375" t="str">
        <f t="shared" si="43"/>
        <v/>
      </c>
      <c r="P62" s="375" t="str">
        <f t="shared" si="44"/>
        <v/>
      </c>
      <c r="Q62" s="375" t="str">
        <f t="shared" si="45"/>
        <v/>
      </c>
      <c r="R62" s="376" t="str">
        <f t="shared" si="46"/>
        <v/>
      </c>
      <c r="S62" s="373" t="str">
        <f t="shared" si="74"/>
        <v/>
      </c>
      <c r="T62" s="373" t="str">
        <f t="shared" si="75"/>
        <v/>
      </c>
      <c r="U62" s="373" t="str">
        <f t="shared" si="76"/>
        <v/>
      </c>
      <c r="V62" s="374" t="str">
        <f t="shared" si="77"/>
        <v/>
      </c>
      <c r="W62" s="482" t="str">
        <f>IFERROR(IF('Macro References'!$A$9,IF(AND(Calculations!CK62,CL62="Bolted"),VLOOKUP($BR62,Reinforcements[],COLUMN(IF(Rev="F",Reinforcements[[#Headers],[Rev. F Bolt Shear Capacity   (Top)        (kips)]],IF(Rev="G",Reinforcements[[#Headers],[Rev. G Bolt Shear Capacity (Top)     (kips)]],Reinforcements[[#Headers],[Rev. H Bolt Shear Capacity (Top) (kips)]])))-1,FALSE),IF(AND(Calculations!CJ62,CL62="Bolted"),VLOOKUP($BR62,Reinforcements[],COLUMN(IF(Rev="F",Reinforcements[[#Headers],[Rev. F Bolt Shear Capacity (Bottom)   (kips)]],IF(Rev="G",Reinforcements[[#Headers],[Rev. G Bolt Shear Capacity (Bottom) (kips)]],Reinforcements[[#Headers],[Rev. H Bolt Shear Capacity (Bottom) (kips)]])))-1,FALSE),"")),""),"")</f>
        <v/>
      </c>
      <c r="X62" s="483" t="str">
        <f>IFERROR(IF('Macro References'!$A$9,IF('Macro References'!$A$10,IF(AND(Calculations!CK62,CL62="Bolted"),VLOOKUP($BR62,Reinforcements[],COLUMN(IF(Rev="F",Reinforcements[[#Headers],[Rev.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kips)]])))-1,FALSE),IF(AND(Calculations!CJ62,CL62="Bolted"),VLOOKUP($BR62,Reinforcements[],COLUMN(IF(Rev="F",Reinforcements[[#Headers],[Rev.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kips)]])))-1,FALSE),"")),IF(AND(Calculations!CK62,CL62="Bolted"),VLOOKUP($BR62,Reinforcements[],COLUMN(IF(Rev="F",Reinforcements[[#Headers],[Rev.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kips)]])))-1,FALSE),IF(AND(Calculations!CJ62,CL62="Bolted"),VLOOKUP($BR62,Reinforcements[],COLUMN(IF(Rev="F",Reinforcements[[#Headers],[Rev.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2" s="483" t="str">
        <f>IFERROR(IF('Macro References'!$A$9,IF('Macro References'!$A$10,IF(AND(Calculations!CK62,CL62="Bolted"),VLOOKUP($BR62,Reinforcements[],COLUMN(IF(Rev="F",Reinforcements[[#Headers],[Rev.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(kips)]])))-1,FALSE),IF(AND(Calculations!CJ62,CL62="Bolted"),VLOOKUP($BR62,Reinforcements[],COLUMN(IF(Rev="F",Reinforcements[[#Headers],[Rev.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(kips)]])))-1,FALSE),"")),IF(AND(Calculations!CK62,CL62="Bolted"),VLOOKUP($BR62,Reinforcements[],COLUMN(IF(Rev="F",Reinforcements[[#Headers],[Rev.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(kips)]])))-1,FALSE),IF(AND(Calculations!CJ62,CL62="Bolted"),VLOOKUP($BR62,Reinforcements[],COLUMN(IF(Rev="F",Reinforcements[[#Headers],[Rev.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2" s="483" t="str">
        <f>IFERROR(IF('Macro References'!$A$9,IF(AND(CJ62,CL62="Welded"),MIN(CQ62:CT62),IF(AND(CK62,CL62="Welded"),MIN(DB62:DE62),"")),""),"")</f>
        <v/>
      </c>
      <c r="AA62" s="484" t="str">
        <f>IFERROR(IF('Macro References'!$A$9,IF(AND(CJ62,CL62="Welded"),MIN(CU62:CW62),IF(AND(CK62,CL62="Welded"),MIN(DF62:DH62),"")),""),"")</f>
        <v/>
      </c>
      <c r="AB62" s="484" t="str">
        <f>IFERROR(IF('Macro References'!$A$9,IF(AND(CJ62,CL62="Welded",CN62="Fillet",CU62&gt;0),TRUE,IF(AND(CK62,CL62="Welded",CY62="Fillet",DF62&gt;0),TRUE,"")),""),"")</f>
        <v/>
      </c>
      <c r="AC62" s="484" t="e">
        <f>IF('Macro References'!$A$9,IF(AND(CJ62,CL62="Capacity Input"),IF(Rev="F",VLOOKUP(BR62,Reinforcements[],COLUMN(Reinforcements[[#Headers],[Rev. F Bottom Connection Capacity (kips)]])-1,FALSE),IF(Rev="G",VLOOKUP(BR62,Reinforcements[],COLUMN(Reinforcements[[#Headers],[Rev. G Bottom Connection Capacity (kips)]])-1,FALSE),VLOOKUP(BR62,Reinforcements[],COLUMN(Reinforcements[[#Headers],[Rev. H Bottom Connection Capacity (kips)]])-1,FALSE))),IF(AND(CK62,CL62="Capacity Input"),IF(Rev="F",VLOOKUP(BR62,Reinforcements[],COLUMN(Reinforcements[[#Headers],[Rev. F Top Connection Capacity (kips)]])-1,FALSE),IF(Rev="G",VLOOKUP(BR62,Reinforcements[],COLUMN(Reinforcements[[#Headers],[Rev. G Top Connection Capacity (kips)]])-1,FALSE),VLOOKUP(BR62,Reinforcements[],COLUMN(Reinforcements[[#Headers],[Rev. H Top Connection Capacity (kips)]])-1,FALSE))),"")),"")</f>
        <v>#VALUE!</v>
      </c>
      <c r="AD62" s="484" t="str">
        <f>IFERROR(IF(Rev="F",MIN(VLOOKUP(BR62,Reinforcements[],COLUMN(Reinforcements[[#Headers],[Rev. F Compression Capacity x-x (kips)]])-1,FALSE),VLOOKUP(BR62,Reinforcements[],COLUMN(Reinforcements[[#Headers],[Rev. F Compression Capacity y-y (kips)]])-1,FALSE)),IF(Rev="G",MIN(VLOOKUP(BR62,Reinforcements[],COLUMN(Reinforcements[[#Headers],[Rev. G Compression Capacity x-x (kips)]])-1,FALSE),VLOOKUP(BR62,Reinforcements[],COLUMN(Reinforcements[[#Headers],[Rev. G Compression Capacity y-y (kips)]])-1,FALSE)),MIN(VLOOKUP(BR62,Reinforcements[],COLUMN(Reinforcements[[#Headers],[Rev. H Compression Capacity x-x (kips)]])-1,FALSE),VLOOKUP(BR62,Reinforcements[],COLUMN(Reinforcements[[#Headers],[Rev. H Compression Capacity y-y (kips)]])-1,FALSE)))),"")</f>
        <v/>
      </c>
      <c r="AE62" s="485" t="str">
        <f>IFERROR(IF(Rev="F",VLOOKUP(BR62,Reinforcements[],COLUMN(Reinforcements[[#Headers],[Rev. F Shear Capacity (kips)]])-1,FALSE)/BY62,IF(Rev="G",VLOOKUP(Calculations!BR62,Reinforcements[],COLUMN(Reinforcements[[#Headers],[Rev. G Shear Capacity (kips)]])-1,FALSE),VLOOKUP(Calculations!BR62,Reinforcements[],COLUMN(Reinforcements[[#Headers],[Rev. H Shear Capacity (kips)]])-1,FALSE))),"")</f>
        <v/>
      </c>
      <c r="AF62" s="451" t="str">
        <f>IFERROR(IF(Rev="F",VLOOKUP(BR62,Reinforcements[],COLUMN(Reinforcements[[#Headers],[Rev. F Tension Yield Capacity (kips)]])-1,FALSE),IF(Rev="G",VLOOKUP(Calculations!BR62,Reinforcements[],COLUMN(Reinforcements[[#Headers],[Rev. G Tension Yield Capacity (kips)]])-1,FALSE),VLOOKUP(Calculations!BR62,Reinforcements[],COLUMN(Reinforcements[[#Headers],[Rev. H Tension Yield Capacity (kips)]])-1,FALSE))),"")</f>
        <v/>
      </c>
      <c r="AG62" s="486" t="str">
        <f>IFERROR(IF(Rev="F",VLOOKUP(BR62,Reinforcements[],COLUMN(Reinforcements[[#Headers],[Rev. F Tension Rupture Capacity (kips)]])-1,FALSE),IF(Rev="G",VLOOKUP(Calculations!BR62,Reinforcements[],COLUMN(Reinforcements[[#Headers],[Rev. G Tension Rupture Capacity (kips)]])-1,FALSE),VLOOKUP(Calculations!BR62,Reinforcements[],COLUMN(Reinforcements[[#Headers],[Rev. H Tension Rupture Capacity (kips)]])-1, FALSE))),"")</f>
        <v/>
      </c>
      <c r="AH62" s="409" t="str">
        <f t="shared" si="47"/>
        <v/>
      </c>
      <c r="AI62" s="380" t="str">
        <f t="shared" si="48"/>
        <v/>
      </c>
      <c r="AJ62" s="380" t="str">
        <f t="shared" si="49"/>
        <v/>
      </c>
      <c r="AK62" s="380" t="str">
        <f>IFERROR(IF(AND(Z62="",AA62=""),"",ABS((IF(AB62=TRUE,MAX(0.85*AA62+1.5*Z62,AA62+Z62),SUM(Z62:AA62))/BY62)/N62*$D$25)),"")</f>
        <v/>
      </c>
      <c r="AL62" s="369" t="str">
        <f t="shared" si="78"/>
        <v/>
      </c>
      <c r="AM62" s="380" t="str">
        <f>""</f>
        <v/>
      </c>
      <c r="AN62" s="380" t="str">
        <f t="shared" si="50"/>
        <v/>
      </c>
      <c r="AO62" s="369" t="str">
        <f t="shared" si="51"/>
        <v/>
      </c>
      <c r="AP62" s="410" t="str">
        <f t="shared" si="52"/>
        <v/>
      </c>
      <c r="AQ62" s="411" t="str">
        <f t="shared" si="53"/>
        <v/>
      </c>
      <c r="AR62" s="380" t="str">
        <f>IF(BR62="","",VLOOKUP(VLOOKUP(BR62,Reinforcements[],COLUMN(Reinforcements[[#Headers],[Material]])-1,FALSE),Materials[],2,FALSE)/$D$28)</f>
        <v/>
      </c>
      <c r="AS62" s="369" t="str">
        <f t="shared" si="54"/>
        <v/>
      </c>
      <c r="AT62" s="489" t="str">
        <f t="shared" si="55"/>
        <v/>
      </c>
      <c r="AU62" s="412">
        <f t="shared" si="56"/>
        <v>0</v>
      </c>
      <c r="AV62" s="413">
        <f t="shared" si="57"/>
        <v>0</v>
      </c>
      <c r="AW62" s="413" t="e">
        <f t="shared" si="58"/>
        <v>#N/A</v>
      </c>
      <c r="AX62" s="413" t="e">
        <f t="shared" si="59"/>
        <v>#N/A</v>
      </c>
      <c r="AY62" s="413" t="str">
        <f t="shared" si="60"/>
        <v/>
      </c>
      <c r="AZ62" s="413" t="e">
        <f t="shared" si="61"/>
        <v>#VALUE!</v>
      </c>
      <c r="BA62" s="433" t="str">
        <f t="shared" si="62"/>
        <v/>
      </c>
      <c r="BB62" s="436" t="str">
        <f t="shared" si="79"/>
        <v/>
      </c>
      <c r="BC62" s="437" t="str">
        <f t="shared" si="63"/>
        <v/>
      </c>
      <c r="BD62" s="437" t="str">
        <f t="shared" si="64"/>
        <v/>
      </c>
      <c r="BE62" s="433" t="str">
        <f t="shared" si="80"/>
        <v/>
      </c>
      <c r="BF62" s="438" t="e">
        <f t="shared" si="81"/>
        <v>#DIV/0!</v>
      </c>
      <c r="BG62" s="439" t="str">
        <f t="shared" si="65"/>
        <v/>
      </c>
      <c r="BH62" s="439" t="str">
        <f t="shared" si="66"/>
        <v/>
      </c>
      <c r="BI62" s="433" t="e">
        <f t="shared" si="82"/>
        <v>#DIV/0!</v>
      </c>
      <c r="BJ62" s="438" t="str">
        <f t="shared" si="83"/>
        <v/>
      </c>
      <c r="BK62" s="413" t="e">
        <f t="shared" si="67"/>
        <v>#DIV/0!</v>
      </c>
      <c r="BL62" s="66" t="str">
        <f t="shared" si="68"/>
        <v/>
      </c>
      <c r="BO62" s="271"/>
      <c r="BP62" s="30" t="e">
        <f t="shared" si="69"/>
        <v>#DIV/0!</v>
      </c>
      <c r="BQ62" s="344" t="str">
        <f>IFERROR(VALUE(LEFT(VLOOKUP(Calculations!$D$4,Results!$G$5:$CM$105,67+$C62,FALSE),FIND(";",VLOOKUP(Calculations!$D$4,Results!$G$5:$CM$105,67+$C62,FALSE))-1)),"")</f>
        <v/>
      </c>
      <c r="BR62" s="444" t="str">
        <f>IF(BQ62="","",VLOOKUP(BQ62,Input!$B$21:$Q$50,13,FALSE))</f>
        <v/>
      </c>
      <c r="BS62" s="369" t="e">
        <f>VLOOKUP(BR62,Reinforcements[],COLUMN(Reinforcements[[#Headers],[Type]])-1,FALSE)</f>
        <v>#N/A</v>
      </c>
      <c r="BT62" s="369" t="e">
        <f>IF(BS62="solid round",VLOOKUP(BR62,Reinforcements[],COLUMN(Reinforcements[[#Headers],[Diameter (in)]])-1,FALSE),VLOOKUP(BR62,Reinforcements[],COLUMN(Reinforcements[[#Headers],[B (in)]])-1,FALSE))</f>
        <v>#N/A</v>
      </c>
      <c r="BU62" s="369" t="e">
        <f>IF(BS62="solid round",VLOOKUP(BR62,Reinforcements[],COLUMN(Reinforcements[[#Headers],[Diameter (in)]])-1,FALSE),VLOOKUP(BR62,Reinforcements[],COLUMN(Reinforcements[[#Headers],[H (in)]])-1,FALSE))</f>
        <v>#N/A</v>
      </c>
      <c r="BV62" s="413" t="e">
        <f>IFERROR((IF(VLOOKUP(BQ62,Input!$B$21:$AL$50,19+C62,FALSE)="c",$D$20/COS(RADIANS(180/$D$8)),$D$20)+BU62/2)*SIN(RADIANS(D62))-IF(ISNUMBER(VLOOKUP(BQ62,Input!$B$21:$AL$50,19+C62,FALSE)),VLOOKUP(BQ62,Input!$B$21:$AL$50,19+C62,FALSE)*COS(RADIANS(D62)),0)-$D$35,"")*0+N62*1</f>
        <v>#VALUE!</v>
      </c>
      <c r="BW62" s="369" t="e">
        <f>VLOOKUP(BR62,Reinforcements[],COLUMN(Reinforcements[[#Headers],[Effective B (in)]])-1,FALSE)</f>
        <v>#N/A</v>
      </c>
      <c r="BX62" s="369" t="e">
        <f>VLOOKUP(BR62,Reinforcements[],COLUMN(Reinforcements[[#Headers],[Effective H (in)]])-1,FALSE)</f>
        <v>#N/A</v>
      </c>
      <c r="BY62" s="369" t="e">
        <f>VLOOKUP(BR62,Reinforcements[],COLUMN(Reinforcements[[#Headers],[Gross Area (in2)]])-1,FALSE)</f>
        <v>#N/A</v>
      </c>
      <c r="BZ62" s="380" t="s">
        <v>335</v>
      </c>
      <c r="CA62" s="369" t="e">
        <f>VLOOKUP(BR62,Reinforcements[],COLUMN(Reinforcements[[#Headers],[Pole Face to Centroid (in)]])-1,FALSE)</f>
        <v>#N/A</v>
      </c>
      <c r="CB62" s="369" t="e">
        <f>VLOOKUP(BR62,Reinforcements[],COLUMN(Reinforcements[[#Headers],[Equivalent Rectangle Ix (in4)]])-1,FALSE)</f>
        <v>#N/A</v>
      </c>
      <c r="CC62" s="369" t="e">
        <f>VLOOKUP(BR62,Reinforcements[],COLUMN(Reinforcements[[#Headers],[Equivalent Rectangle Iy (in4)]])-1,FALSE)</f>
        <v>#N/A</v>
      </c>
      <c r="CD62" s="369" t="e">
        <f>VLOOKUP(BR62,Reinforcements[],COLUMN(Reinforcements[[#Headers],[Lu (in)]])-1,FALSE)</f>
        <v>#N/A</v>
      </c>
      <c r="CE62" s="380" t="s">
        <v>335</v>
      </c>
      <c r="CF62" s="380" t="s">
        <v>335</v>
      </c>
      <c r="CG62" s="369" t="e">
        <f>VLOOKUP(VLOOKUP(BR62,Reinforcements[],COLUMN(Reinforcements[[#Headers],[Material]])-1,FALSE),Materials[],2,FALSE)</f>
        <v>#N/A</v>
      </c>
      <c r="CH62" s="369" t="e">
        <f>VLOOKUP(VLOOKUP(BR62,Reinforcements[],COLUMN(Reinforcements[[#Headers],[Material]])-1,FALSE),Materials[],3,FALSE)</f>
        <v>#N/A</v>
      </c>
      <c r="CI62" s="380" t="e">
        <f>VLOOKUP(BR62,Reinforcements[],COLUMN(Reinforcements[[#Headers],[Tension Only?]])-1,FALSE)</f>
        <v>#N/A</v>
      </c>
      <c r="CJ62" s="449" t="str">
        <f>IF(BQ62="","",AND(INDEX(Results!$G$5:$G$104,MATCH(VLOOKUP($BQ62,Input!$B$21:$J$50,2,FALSE)-0.001,Results!$G$5:$G$104,-1))=$D$4))</f>
        <v/>
      </c>
      <c r="CK62" s="449" t="str">
        <f>IF(BQ62="","",AND(INDEX('Macro References'!$BB$2:$BB$101,MATCH(VLOOKUP($BQ62,Input!$B$21:$J$50,6,FALSE)-0.001,'Macro References'!$BB$2:$BB$101,1))=$D$4))</f>
        <v/>
      </c>
      <c r="CL62" s="449" t="e">
        <f>IF(CJ62,VLOOKUP(BR62,Reinforcements[],COLUMN(Reinforcements[[#Headers],[Bottom End Connection Type]])-1,FALSE),IF(CK62,VLOOKUP(BR62,Reinforcements[],COLUMN(Reinforcements[[#Headers],[Top End Connection Type]])-1,FALSE),""))</f>
        <v>#VALUE!</v>
      </c>
      <c r="CM62" s="449" t="e">
        <f>IF(ISBLANK(VLOOKUP(BR62,Reinforcements[],COLUMN(Reinforcements[[#Headers],[Bottom Transverse Weld Length]])-1,FALSE)),"",(VLOOKUP(BR62,Reinforcements[],COLUMN(Reinforcements[[#Headers],[Bottom Transverse Weld Length]])-1,FALSE)))</f>
        <v>#N/A</v>
      </c>
      <c r="CN62" s="449" t="e">
        <f>IF(ISBLANK(VLOOKUP(BR62,Reinforcements[],COLUMN(Reinforcements[[#Headers],[Bottom Transverse (Horizontal) Weld]])-1,FALSE)),"",(VLOOKUP(BR62,Reinforcements[],COLUMN(Reinforcements[[#Headers],[Bottom Transverse (Horizontal) Weld]])-1,FALSE)))</f>
        <v>#N/A</v>
      </c>
      <c r="CO62" s="449" t="e">
        <f>IF(ISBLANK(VLOOKUP(BR62,Reinforcements[],COLUMN(Reinforcements[[#Headers],[Bottom Longitudinal Weld Length]])-1,FALSE)),"",(VLOOKUP(BR62,Reinforcements[],COLUMN(Reinforcements[[#Headers],[Bottom Longitudinal Weld Length]])-1,FALSE)))</f>
        <v>#N/A</v>
      </c>
      <c r="CP62" s="449" t="str">
        <f>IFERROR(VLOOKUP(BR62,Reinforcements[],COLUMN(Reinforcements[[#Headers],[Bottom Connected to Flange/Base Plate?]])-1,FALSE),"")</f>
        <v/>
      </c>
      <c r="CQ62" s="369" t="e">
        <f>IF(Rev="F",VLOOKUP(BR62,Reinforcements[],COLUMN(Reinforcements[[#Headers],[Rev. F Bottom Transverse Weld Strength]])-1,FALSE),VLOOKUP(BR62,Reinforcements[],COLUMN(Reinforcements[[#Headers],[Rev. G Bottom Transverse Weld Strength]])-1,FALSE))</f>
        <v>#N/A</v>
      </c>
      <c r="CR62" s="369" t="e">
        <f>IF(CP62="Yes",IF(CN62="Fillet",VLOOKUP(BR62,Reinforcements[],COLUMN(Reinforcements[[#Headers],[Bottom Transverse Weld Fillet Size (in)]])-1,FALSE)*CM62*MIN(IF(Rev="F",0.4,φ_shear_yield*0.6)*CG62,IF(Rev="F",0.3,φ_shear_rupture*0.6)*CH62),VLOOKUP(BR62,Reinforcements[],COLUMN(Reinforcements[[#Headers],[Bottom Transverse Weld Groove Depth (in)]])-1,FALSE)/COS(RADIANS(VLOOKUP(BR62,Reinforcements[],COLUMN(Reinforcements[[#Headers],[Bottom Transverse Weld Groove Angle (degrees)]])-1,FALSE)))*CM62*IF(Rev="F",0.6,φ_t_y)*CG62),VLOOKUP(BR62,Reinforcements[],COLUMN(Reinforcements[[#Headers],[Bottom Transverse Weld Fillet Size (in)]])-1,FALSE)*CM62*IF(Rev="F",0.6,φ_t_y)*CG62)</f>
        <v>#N/A</v>
      </c>
      <c r="CS62" s="369" t="str">
        <f>IF(CP62&lt;&gt;"Yes","",(VLOOKUP(BR62,Reinforcements[],COLUMN(Reinforcements[[#Headers],[Bottom Transverse Weld Groove Depth (in)]])-1,FALSE)+VLOOKUP(BR62,Reinforcements[],COLUMN(Reinforcements[[#Headers],[Bottom Transverse Weld Fillet Size (in)]])-1,FALSE))*CM62*IF(Rev="F",0.6,φ_t_y)*$D$14)</f>
        <v/>
      </c>
      <c r="CT62" s="369" t="e">
        <f>IF(CP62="Yes","",VLOOKUP(BR62,Reinforcements[],COLUMN(Reinforcements[[#Headers],[Bottom Transverse Weld Fillet Size (in)]])-1,FALSE)*CM62*MIN(IF(Rev="F",0.4,φ_shear_yield*0.6)*$D$6,IF(Rev="F",0.3,φ_shear_rupture*0.6)*$D$7))</f>
        <v>#N/A</v>
      </c>
      <c r="CU62" s="369" t="e">
        <f>IF(Rev="F",VLOOKUP(BR62,Reinforcements[],COLUMN(Reinforcements[[#Headers],[Rev. F Bottom Longitudinal Weld Strength]])-1,FALSE),VLOOKUP(BR62,Reinforcements[],COLUMN(Reinforcements[[#Headers],[Rev. G Bottom Longitudinal Weld Strength]])-1,FALSE))</f>
        <v>#N/A</v>
      </c>
      <c r="CV62" s="369" t="e">
        <f>2*VLOOKUP(BR62,Reinforcements[],COLUMN(Reinforcements[[#Headers],[Bottom Longitudinal Weld Fillet Size (in)]])-1,FALSE)*CO62*MIN(IF(Rev="F",0.4,φ_shear_yield*0.6)*CG62,IF(Rev="F",0.3,φ_shear_rupture*0.6)*CH62)</f>
        <v>#N/A</v>
      </c>
      <c r="CW62" s="369" t="e">
        <f>2*VLOOKUP(BR62,Reinforcements[],COLUMN(Reinforcements[[#Headers],[Bottom Longitudinal Weld Fillet Size (in)]])-1,FALSE)*CO62*MIN(IF(Rev="F",0.4,φ_shear_yield*0.6)*$D$6,IF(Rev="F",0.3,φ_shear_rupture*0.6)*$D$7)</f>
        <v>#N/A</v>
      </c>
      <c r="CX62" s="451" t="e">
        <f>IF(ISBLANK(VLOOKUP(BR62,Reinforcements[],COLUMN(Reinforcements[[#Headers],[Top Transverse Weld Length]])-1,FALSE)),"",(VLOOKUP(BR62,Reinforcements[],COLUMN(Reinforcements[[#Headers],[Top Transverse Weld Length]])-1,FALSE)))</f>
        <v>#N/A</v>
      </c>
      <c r="CY62" s="451" t="e">
        <f>IF(ISBLANK(VLOOKUP(BR62,Reinforcements[],COLUMN(Reinforcements[[#Headers],[Top Transverse (Horizontal) Weld]])-1,FALSE)),"",(VLOOKUP(BR62,Reinforcements[],COLUMN(Reinforcements[[#Headers],[Top Transverse (Horizontal) Weld]])-1,FALSE)))</f>
        <v>#N/A</v>
      </c>
      <c r="CZ62" s="451" t="e">
        <f>IF(ISBLANK(VLOOKUP(BR62,Reinforcements[],COLUMN(Reinforcements[[#Headers],[Top Longitudinal Weld Length]])-1,FALSE)),"",(VLOOKUP(BR62,Reinforcements[],COLUMN(Reinforcements[[#Headers],[Top Longitudinal Weld Length]])-1,FALSE)))</f>
        <v>#N/A</v>
      </c>
      <c r="DA62" s="369" t="str">
        <f>IFERROR(VLOOKUP(BR62,Reinforcements[],COLUMN(Reinforcements[[#Headers],[Top Connected to Flange/Base Plate?]])-1,FALSE),"")</f>
        <v/>
      </c>
      <c r="DB62" s="369" t="e">
        <f>IF(Rev="F",VLOOKUP(BR62,Reinforcements[],COLUMN(Reinforcements[[#Headers],[Rev. F Top Transverse Weld Strength]])-1,FALSE),VLOOKUP(BR62,Reinforcements[],COLUMN(Reinforcements[[#Headers],[Rev. G Top Transverse Weld Strength]])-1,FALSE))</f>
        <v>#N/A</v>
      </c>
      <c r="DC62" s="369" t="e">
        <f>IF(DA62="Yes",IF(CY62="Fillet",VLOOKUP(BR62,Reinforcements[],COLUMN(Reinforcements[[#Headers],[Top Transverse Weld Fillet Size (in)]])-1,FALSE)*CX62*MIN(IF(Rev="F",0.4,φ_shear_yield*0.6)*CG62,IF(Rev="F",0.3,φ_shear_rupture*0.6)*CH62),VLOOKUP(BR62,Reinforcements[],COLUMN(Reinforcements[[#Headers],[Top Transverse Weld Groove Depth (in)]])-1,FALSE)/COS(RADIANS(VLOOKUP(BR62,Reinforcements[],COLUMN(Reinforcements[[#Headers],[Top Transverse Weld Groove Angle (degrees)]])-1,FALSE)))*CX62*IF(Rev="F",0.6,φ_t_y)*CG62),VLOOKUP(BR62,Reinforcements[],COLUMN(Reinforcements[[#Headers],[Top Transverse Weld Fillet Size (in)]])-1,FALSE)*CX62*IF(Rev="F",0.6,φ_t_y)*CG62)</f>
        <v>#N/A</v>
      </c>
      <c r="DD62" s="369" t="str">
        <f>IF(DA62&lt;&gt;"Yes","",(VLOOKUP(BR62,Reinforcements[],COLUMN(Reinforcements[[#Headers],[Top Transverse Weld Groove Depth (in)]])-1,FALSE)+VLOOKUP(BR62,Reinforcements[],COLUMN(Reinforcements[[#Headers],[Top Transverse Weld Fillet Size (in)]])-1,FALSE))*CX62*IF(Rev="F",0.6,φ_t_y)*$D$14)</f>
        <v/>
      </c>
      <c r="DE62" s="369" t="e">
        <f>IF(DA62="Yes","",VLOOKUP(BR62,Reinforcements[],COLUMN(Reinforcements[[#Headers],[Top Transverse Weld Fillet Size (in)]])-1,FALSE)*CX62*MIN(IF(Rev="F",0.4,φ_shear_yield*0.6)*$D$6,IF(Rev="F",0.3,φ_shear_rupture*0.6)*$D$7))</f>
        <v>#N/A</v>
      </c>
      <c r="DF62" s="369" t="e">
        <f>IF(Rev="F",VLOOKUP(BR62,Reinforcements[],COLUMN(Reinforcements[[#Headers],[Rev. F Top Longitudinal Weld Strength]])-1,FALSE),VLOOKUP(BR62,Reinforcements[],COLUMN(Reinforcements[[#Headers],[Rev. G Top Longitudinal Weld Strength]])-1,FALSE))</f>
        <v>#N/A</v>
      </c>
      <c r="DG62" s="369" t="e">
        <f>2*VLOOKUP(BR62,Reinforcements[],COLUMN(Reinforcements[[#Headers],[Top Longitudinal Weld Fillet Size (in)]])-1,FALSE)*CZ62*MIN(IF(Rev="F",0.4,φ_shear_yield*0.6)*CG62,IF(Rev="F",0.3,φ_shear_rupture*0.6)*CH62)</f>
        <v>#N/A</v>
      </c>
      <c r="DH62" s="369" t="e">
        <f>2*VLOOKUP(BR62,Reinforcements[],COLUMN(Reinforcements[[#Headers],[Top Longitudinal Weld Fillet Size (in)]])-1,FALSE)*CZ62*MIN(IF(Rev="F",0.4,φ_shear_yield*0.6)*$D$6,IF(Rev="F",0.3,φ_shear_rupture*0.6)*$D$7)</f>
        <v>#N/A</v>
      </c>
      <c r="DI62" s="66" t="e">
        <f>IF(BS62="channel",VLOOKUP(Calculations!BR62,Reinforcements[],COLUMN(Reinforcements[[#Headers],['[Channel']Web Thickness (in)]])-1,FALSE),"")</f>
        <v>#N/A</v>
      </c>
      <c r="DJ62" s="66" t="b">
        <f t="shared" si="84"/>
        <v>0</v>
      </c>
      <c r="DK62" s="66" t="e">
        <f>IF(BS62="channel",Calculations!BU62-DI62,"")</f>
        <v>#N/A</v>
      </c>
      <c r="DL62" s="66" t="e">
        <f>IF(BS62="channel",(Calculations!BY62-Calculations!BT62*DI62)/(2*DK62))</f>
        <v>#N/A</v>
      </c>
      <c r="DM62" s="66" t="e">
        <f>IF(BS62="channel",(Calculations!BT62*(DI62^2)/2+2*DK62*DL62*(DI62+DK62/2))/Calculations!BY62,"")</f>
        <v>#N/A</v>
      </c>
    </row>
    <row r="63" spans="2:117" ht="15.75" customHeight="1" x14ac:dyDescent="0.25">
      <c r="B63" s="66" t="str">
        <f t="shared" si="70"/>
        <v/>
      </c>
      <c r="C63" s="317">
        <v>4</v>
      </c>
      <c r="D63" s="380" t="str">
        <f>IF(BQ63="","",IF($D$8=0,IF(OR(VLOOKUP(BQ63,Input!$B$21:$AL$50,19+C63,FALSE)+$D$5=0,VLOOKUP(BQ63,Input!$B$21:$AL$50,19+C63,FALSE)+$D$5=180),VLOOKUP(BQ63,Input!$B$21:$AL$50,19+C63,FALSE)+$D$5+0.0001,VLOOKUP(BQ63,Input!$B$21:$AL$50,19+C63,FALSE)+$D$5),IF(VLOOKUP(BQ63,Input!$B$21:$AL$50,19+C63,FALSE)="c",VLOOKUP($C63,$C$40:$E$57,2,FALSE)+180/$D$8,VLOOKUP($C63,$C$40:$E$57,2,FALSE))))</f>
        <v/>
      </c>
      <c r="E63" s="370" t="str">
        <f t="shared" si="39"/>
        <v/>
      </c>
      <c r="F63" s="381" t="str">
        <f>IF(BR63="","",VLOOKUP(BR63,Reinforcements[],COLUMN(Reinforcements[[#Headers],[Gross Area (in2)]])-1,FALSE))</f>
        <v/>
      </c>
      <c r="G63" s="378" t="e">
        <f>(IF(VLOOKUP(BQ63,Input!$B$21:$AL$50,19+C63,FALSE)="c",$D$20/COS(RADIANS(180/$D$8)),$D$20)+CA63)*SIN(RADIANS(D63))-IF(AND(ISNUMBER(VLOOKUP(BQ63,Input!$B$21:$AL$50,19+C63,FALSE)),$D$8&lt;&gt;0),VLOOKUP(BQ63,Input!$B$21:$AL$50,19+C63,FALSE)*COS(RADIANS(D63)),0)</f>
        <v>#N/A</v>
      </c>
      <c r="H63" s="373" t="str">
        <f t="shared" si="71"/>
        <v/>
      </c>
      <c r="I63" s="373" t="e">
        <f t="shared" si="40"/>
        <v>#N/A</v>
      </c>
      <c r="J63" s="373" t="e">
        <f t="shared" si="41"/>
        <v>#N/A</v>
      </c>
      <c r="K63" s="373" t="e">
        <f t="shared" si="42"/>
        <v>#N/A</v>
      </c>
      <c r="L63" s="373" t="e">
        <f t="shared" si="72"/>
        <v>#N/A</v>
      </c>
      <c r="M63" s="374" t="str">
        <f t="shared" si="73"/>
        <v/>
      </c>
      <c r="N63" s="372" t="str">
        <f>IFERROR((IF(VLOOKUP(BQ63,Input!$B$21:$AL$50,19+C63,FALSE)="c",$D$20/COS(RADIANS(180/$D$8)),$D$20)+CA63)*SIN(RADIANS(D63))-IF(AND(ISNUMBER(VLOOKUP(BQ63,Input!$B$21:$AL$50,19+C63,FALSE)),$D$8&lt;&gt;0),VLOOKUP(BQ63,Input!$B$21:$AL$50,19+C63,FALSE)*COS(RADIANS(D63)),0)-$D$35,"")</f>
        <v/>
      </c>
      <c r="O63" s="375" t="str">
        <f t="shared" si="43"/>
        <v/>
      </c>
      <c r="P63" s="375" t="str">
        <f t="shared" si="44"/>
        <v/>
      </c>
      <c r="Q63" s="375" t="str">
        <f t="shared" si="45"/>
        <v/>
      </c>
      <c r="R63" s="376" t="str">
        <f t="shared" si="46"/>
        <v/>
      </c>
      <c r="S63" s="373" t="str">
        <f t="shared" si="74"/>
        <v/>
      </c>
      <c r="T63" s="373" t="str">
        <f t="shared" si="75"/>
        <v/>
      </c>
      <c r="U63" s="373" t="str">
        <f t="shared" si="76"/>
        <v/>
      </c>
      <c r="V63" s="374" t="str">
        <f t="shared" si="77"/>
        <v/>
      </c>
      <c r="W63" s="482" t="str">
        <f>IFERROR(IF('Macro References'!$A$9,IF(AND(Calculations!CK63,CL63="Bolted"),VLOOKUP($BR63,Reinforcements[],COLUMN(IF(Rev="F",Reinforcements[[#Headers],[Rev. F Bolt Shear Capacity   (Top)        (kips)]],IF(Rev="G",Reinforcements[[#Headers],[Rev. G Bolt Shear Capacity (Top)     (kips)]],Reinforcements[[#Headers],[Rev. H Bolt Shear Capacity (Top) (kips)]])))-1,FALSE),IF(AND(Calculations!CJ63,CL63="Bolted"),VLOOKUP($BR63,Reinforcements[],COLUMN(IF(Rev="F",Reinforcements[[#Headers],[Rev. F Bolt Shear Capacity (Bottom)   (kips)]],IF(Rev="G",Reinforcements[[#Headers],[Rev. G Bolt Shear Capacity (Bottom) (kips)]],Reinforcements[[#Headers],[Rev. H Bolt Shear Capacity (Bottom) (kips)]])))-1,FALSE),"")),""),"")</f>
        <v/>
      </c>
      <c r="X63" s="483" t="str">
        <f>IFERROR(IF('Macro References'!$A$9,IF('Macro References'!$A$10,IF(AND(Calculations!CK63,CL63="Bolted"),VLOOKUP($BR63,Reinforcements[],COLUMN(IF(Rev="F",Reinforcements[[#Headers],[Rev.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kips)]])))-1,FALSE),IF(AND(Calculations!CJ63,CL63="Bolted"),VLOOKUP($BR63,Reinforcements[],COLUMN(IF(Rev="F",Reinforcements[[#Headers],[Rev.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kips)]])))-1,FALSE),"")),IF(AND(Calculations!CK63,CL63="Bolted"),VLOOKUP($BR63,Reinforcements[],COLUMN(IF(Rev="F",Reinforcements[[#Headers],[Rev.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kips)]])))-1,FALSE),IF(AND(Calculations!CJ63,CL63="Bolted"),VLOOKUP($BR63,Reinforcements[],COLUMN(IF(Rev="F",Reinforcements[[#Headers],[Rev.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3" s="483" t="str">
        <f>IFERROR(IF('Macro References'!$A$9,IF('Macro References'!$A$10,IF(AND(Calculations!CK63,CL63="Bolted"),VLOOKUP($BR63,Reinforcements[],COLUMN(IF(Rev="F",Reinforcements[[#Headers],[Rev.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(kips)]])))-1,FALSE),IF(AND(Calculations!CJ63,CL63="Bolted"),VLOOKUP($BR63,Reinforcements[],COLUMN(IF(Rev="F",Reinforcements[[#Headers],[Rev.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(kips)]])))-1,FALSE),"")),IF(AND(Calculations!CK63,CL63="Bolted"),VLOOKUP($BR63,Reinforcements[],COLUMN(IF(Rev="F",Reinforcements[[#Headers],[Rev.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(kips)]])))-1,FALSE),IF(AND(Calculations!CJ63,CL63="Bolted"),VLOOKUP($BR63,Reinforcements[],COLUMN(IF(Rev="F",Reinforcements[[#Headers],[Rev.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3" s="483" t="str">
        <f>IFERROR(IF('Macro References'!$A$9,IF(AND(CJ63,CL63="Welded"),MIN(CQ63:CT63),IF(AND(CK63,CL63="Welded"),MIN(DB63:DE63),"")),""),"")</f>
        <v/>
      </c>
      <c r="AA63" s="484" t="str">
        <f>IFERROR(IF('Macro References'!$A$9,IF(AND(CJ63,CL63="Welded"),MIN(CU63:CW63),IF(AND(CK63,CL63="Welded"),MIN(DF63:DH63),"")),""),"")</f>
        <v/>
      </c>
      <c r="AB63" s="484" t="str">
        <f>IFERROR(IF('Macro References'!$A$9,IF(AND(CJ63,CL63="Welded",CN63="Fillet",CU63&gt;0),TRUE,IF(AND(CK63,CL63="Welded",CY63="Fillet",DF63&gt;0),TRUE,"")),""),"")</f>
        <v/>
      </c>
      <c r="AC63" s="484" t="e">
        <f>IF('Macro References'!$A$9,IF(AND(CJ63,CL63="Capacity Input"),IF(Rev="F",VLOOKUP(BR63,Reinforcements[],COLUMN(Reinforcements[[#Headers],[Rev. F Bottom Connection Capacity (kips)]])-1,FALSE),IF(Rev="G",VLOOKUP(BR63,Reinforcements[],COLUMN(Reinforcements[[#Headers],[Rev. G Bottom Connection Capacity (kips)]])-1,FALSE),VLOOKUP(BR63,Reinforcements[],COLUMN(Reinforcements[[#Headers],[Rev. H Bottom Connection Capacity (kips)]])-1,FALSE))),IF(AND(CK63,CL63="Capacity Input"),IF(Rev="F",VLOOKUP(BR63,Reinforcements[],COLUMN(Reinforcements[[#Headers],[Rev. F Top Connection Capacity (kips)]])-1,FALSE),IF(Rev="G",VLOOKUP(BR63,Reinforcements[],COLUMN(Reinforcements[[#Headers],[Rev. G Top Connection Capacity (kips)]])-1,FALSE),VLOOKUP(BR63,Reinforcements[],COLUMN(Reinforcements[[#Headers],[Rev. H Top Connection Capacity (kips)]])-1,FALSE))),"")),"")</f>
        <v>#VALUE!</v>
      </c>
      <c r="AD63" s="484" t="str">
        <f>IFERROR(IF(Rev="F",MIN(VLOOKUP(BR63,Reinforcements[],COLUMN(Reinforcements[[#Headers],[Rev. F Compression Capacity x-x (kips)]])-1,FALSE),VLOOKUP(BR63,Reinforcements[],COLUMN(Reinforcements[[#Headers],[Rev. F Compression Capacity y-y (kips)]])-1,FALSE)),IF(Rev="G",MIN(VLOOKUP(BR63,Reinforcements[],COLUMN(Reinforcements[[#Headers],[Rev. G Compression Capacity x-x (kips)]])-1,FALSE),VLOOKUP(BR63,Reinforcements[],COLUMN(Reinforcements[[#Headers],[Rev. G Compression Capacity y-y (kips)]])-1,FALSE)),MIN(VLOOKUP(BR63,Reinforcements[],COLUMN(Reinforcements[[#Headers],[Rev. H Compression Capacity x-x (kips)]])-1,FALSE),VLOOKUP(BR63,Reinforcements[],COLUMN(Reinforcements[[#Headers],[Rev. H Compression Capacity y-y (kips)]])-1,FALSE)))),"")</f>
        <v/>
      </c>
      <c r="AE63" s="485" t="str">
        <f>IFERROR(IF(Rev="F",VLOOKUP(BR63,Reinforcements[],COLUMN(Reinforcements[[#Headers],[Rev. F Shear Capacity (kips)]])-1,FALSE)/BY63,IF(Rev="G",VLOOKUP(Calculations!BR63,Reinforcements[],COLUMN(Reinforcements[[#Headers],[Rev. G Shear Capacity (kips)]])-1,FALSE),VLOOKUP(Calculations!BR63,Reinforcements[],COLUMN(Reinforcements[[#Headers],[Rev. H Shear Capacity (kips)]])-1,FALSE))),"")</f>
        <v/>
      </c>
      <c r="AF63" s="451" t="str">
        <f>IFERROR(IF(Rev="F",VLOOKUP(BR63,Reinforcements[],COLUMN(Reinforcements[[#Headers],[Rev. F Tension Yield Capacity (kips)]])-1,FALSE),IF(Rev="G",VLOOKUP(Calculations!BR63,Reinforcements[],COLUMN(Reinforcements[[#Headers],[Rev. G Tension Yield Capacity (kips)]])-1,FALSE),VLOOKUP(Calculations!BR63,Reinforcements[],COLUMN(Reinforcements[[#Headers],[Rev. H Tension Yield Capacity (kips)]])-1,FALSE))),"")</f>
        <v/>
      </c>
      <c r="AG63" s="486" t="str">
        <f>IFERROR(IF(Rev="F",VLOOKUP(BR63,Reinforcements[],COLUMN(Reinforcements[[#Headers],[Rev. F Tension Rupture Capacity (kips)]])-1,FALSE),IF(Rev="G",VLOOKUP(Calculations!BR63,Reinforcements[],COLUMN(Reinforcements[[#Headers],[Rev. G Tension Rupture Capacity (kips)]])-1,FALSE),VLOOKUP(Calculations!BR63,Reinforcements[],COLUMN(Reinforcements[[#Headers],[Rev. H Tension Rupture Capacity (kips)]])-1, FALSE))),"")</f>
        <v/>
      </c>
      <c r="AH63" s="409" t="str">
        <f t="shared" si="47"/>
        <v/>
      </c>
      <c r="AI63" s="380" t="str">
        <f t="shared" si="48"/>
        <v/>
      </c>
      <c r="AJ63" s="380" t="str">
        <f t="shared" si="49"/>
        <v/>
      </c>
      <c r="AK63" s="380" t="str">
        <f t="shared" ref="AK63:AK96" si="85">IFERROR(IF(AND(Z63="",AA63=""),"",ABS((IF(AB63=TRUE,MAX(0.85*AA63+1.5*Z63,AA63+Z63),SUM(Z63:AA63))/BY63)/N63*$D$25)),"")</f>
        <v/>
      </c>
      <c r="AL63" s="369" t="str">
        <f t="shared" si="78"/>
        <v/>
      </c>
      <c r="AM63" s="380" t="str">
        <f>""</f>
        <v/>
      </c>
      <c r="AN63" s="380" t="str">
        <f t="shared" si="50"/>
        <v/>
      </c>
      <c r="AO63" s="369" t="str">
        <f t="shared" si="51"/>
        <v/>
      </c>
      <c r="AP63" s="410" t="str">
        <f t="shared" si="52"/>
        <v/>
      </c>
      <c r="AQ63" s="411" t="str">
        <f t="shared" si="53"/>
        <v/>
      </c>
      <c r="AR63" s="380" t="str">
        <f>IF(BR63="","",VLOOKUP(VLOOKUP(BR63,Reinforcements[],COLUMN(Reinforcements[[#Headers],[Material]])-1,FALSE),Materials[],2,FALSE)/$D$28)</f>
        <v/>
      </c>
      <c r="AS63" s="369" t="str">
        <f t="shared" si="54"/>
        <v/>
      </c>
      <c r="AT63" s="489" t="str">
        <f t="shared" si="55"/>
        <v/>
      </c>
      <c r="AU63" s="412">
        <f t="shared" si="56"/>
        <v>0</v>
      </c>
      <c r="AV63" s="413">
        <f t="shared" si="57"/>
        <v>0</v>
      </c>
      <c r="AW63" s="413" t="e">
        <f t="shared" si="58"/>
        <v>#N/A</v>
      </c>
      <c r="AX63" s="413" t="e">
        <f t="shared" si="59"/>
        <v>#N/A</v>
      </c>
      <c r="AY63" s="413" t="str">
        <f t="shared" si="60"/>
        <v/>
      </c>
      <c r="AZ63" s="413" t="e">
        <f t="shared" si="61"/>
        <v>#VALUE!</v>
      </c>
      <c r="BA63" s="433" t="str">
        <f t="shared" si="62"/>
        <v/>
      </c>
      <c r="BB63" s="436" t="str">
        <f t="shared" si="79"/>
        <v/>
      </c>
      <c r="BC63" s="437" t="str">
        <f t="shared" si="63"/>
        <v/>
      </c>
      <c r="BD63" s="437" t="str">
        <f t="shared" si="64"/>
        <v/>
      </c>
      <c r="BE63" s="433" t="str">
        <f t="shared" si="80"/>
        <v/>
      </c>
      <c r="BF63" s="438" t="e">
        <f t="shared" si="81"/>
        <v>#DIV/0!</v>
      </c>
      <c r="BG63" s="439" t="str">
        <f t="shared" si="65"/>
        <v/>
      </c>
      <c r="BH63" s="439" t="str">
        <f t="shared" si="66"/>
        <v/>
      </c>
      <c r="BI63" s="433" t="e">
        <f t="shared" si="82"/>
        <v>#DIV/0!</v>
      </c>
      <c r="BJ63" s="438" t="str">
        <f t="shared" si="83"/>
        <v/>
      </c>
      <c r="BK63" s="413" t="e">
        <f t="shared" si="67"/>
        <v>#DIV/0!</v>
      </c>
      <c r="BL63" s="66" t="str">
        <f t="shared" si="68"/>
        <v/>
      </c>
      <c r="BP63" s="30" t="e">
        <f t="shared" si="69"/>
        <v>#DIV/0!</v>
      </c>
      <c r="BQ63" s="344" t="str">
        <f>IFERROR(VALUE(LEFT(VLOOKUP(Calculations!$D$4,Results!$G$5:$CM$105,67+$C63,FALSE),FIND(";",VLOOKUP(Calculations!$D$4,Results!$G$5:$CM$105,67+$C63,FALSE))-1)),"")</f>
        <v/>
      </c>
      <c r="BR63" s="444" t="str">
        <f>IF(BQ63="","",VLOOKUP(BQ63,Input!$B$21:$Q$50,13,FALSE))</f>
        <v/>
      </c>
      <c r="BS63" s="369" t="e">
        <f>VLOOKUP(BR63,Reinforcements[],COLUMN(Reinforcements[[#Headers],[Type]])-1,FALSE)</f>
        <v>#N/A</v>
      </c>
      <c r="BT63" s="369" t="e">
        <f>IF(BS63="solid round",VLOOKUP(BR63,Reinforcements[],COLUMN(Reinforcements[[#Headers],[Diameter (in)]])-1,FALSE),VLOOKUP(BR63,Reinforcements[],COLUMN(Reinforcements[[#Headers],[B (in)]])-1,FALSE))</f>
        <v>#N/A</v>
      </c>
      <c r="BU63" s="369" t="e">
        <f>IF(BS63="solid round",VLOOKUP(BR63,Reinforcements[],COLUMN(Reinforcements[[#Headers],[Diameter (in)]])-1,FALSE),VLOOKUP(BR63,Reinforcements[],COLUMN(Reinforcements[[#Headers],[H (in)]])-1,FALSE))</f>
        <v>#N/A</v>
      </c>
      <c r="BV63" s="413" t="e">
        <f>IFERROR((IF(VLOOKUP(BQ63,Input!$B$21:$AL$50,19+C63,FALSE)="c",$D$20/COS(RADIANS(180/$D$8)),$D$20)+BU63/2)*SIN(RADIANS(D63))-IF(ISNUMBER(VLOOKUP(BQ63,Input!$B$21:$AL$50,19+C63,FALSE)),VLOOKUP(BQ63,Input!$B$21:$AL$50,19+C63,FALSE)*COS(RADIANS(D63)),0)-$D$35,"")*0+N63*1</f>
        <v>#VALUE!</v>
      </c>
      <c r="BW63" s="369" t="e">
        <f>VLOOKUP(BR63,Reinforcements[],COLUMN(Reinforcements[[#Headers],[Effective B (in)]])-1,FALSE)</f>
        <v>#N/A</v>
      </c>
      <c r="BX63" s="369" t="e">
        <f>VLOOKUP(BR63,Reinforcements[],COLUMN(Reinforcements[[#Headers],[Effective H (in)]])-1,FALSE)</f>
        <v>#N/A</v>
      </c>
      <c r="BY63" s="369" t="e">
        <f>VLOOKUP(BR63,Reinforcements[],COLUMN(Reinforcements[[#Headers],[Gross Area (in2)]])-1,FALSE)</f>
        <v>#N/A</v>
      </c>
      <c r="BZ63" s="380" t="s">
        <v>335</v>
      </c>
      <c r="CA63" s="369" t="e">
        <f>VLOOKUP(BR63,Reinforcements[],COLUMN(Reinforcements[[#Headers],[Pole Face to Centroid (in)]])-1,FALSE)</f>
        <v>#N/A</v>
      </c>
      <c r="CB63" s="369" t="e">
        <f>VLOOKUP(BR63,Reinforcements[],COLUMN(Reinforcements[[#Headers],[Equivalent Rectangle Ix (in4)]])-1,FALSE)</f>
        <v>#N/A</v>
      </c>
      <c r="CC63" s="369" t="e">
        <f>VLOOKUP(BR63,Reinforcements[],COLUMN(Reinforcements[[#Headers],[Equivalent Rectangle Iy (in4)]])-1,FALSE)</f>
        <v>#N/A</v>
      </c>
      <c r="CD63" s="369" t="e">
        <f>VLOOKUP(BR63,Reinforcements[],COLUMN(Reinforcements[[#Headers],[Lu (in)]])-1,FALSE)</f>
        <v>#N/A</v>
      </c>
      <c r="CE63" s="380" t="s">
        <v>335</v>
      </c>
      <c r="CF63" s="380" t="s">
        <v>335</v>
      </c>
      <c r="CG63" s="369" t="e">
        <f>VLOOKUP(VLOOKUP(BR63,Reinforcements[],COLUMN(Reinforcements[[#Headers],[Material]])-1,FALSE),Materials[],2,FALSE)</f>
        <v>#N/A</v>
      </c>
      <c r="CH63" s="369" t="e">
        <f>VLOOKUP(VLOOKUP(BR63,Reinforcements[],COLUMN(Reinforcements[[#Headers],[Material]])-1,FALSE),Materials[],3,FALSE)</f>
        <v>#N/A</v>
      </c>
      <c r="CI63" s="380" t="e">
        <f>VLOOKUP(BR63,Reinforcements[],COLUMN(Reinforcements[[#Headers],[Tension Only?]])-1,FALSE)</f>
        <v>#N/A</v>
      </c>
      <c r="CJ63" s="449" t="str">
        <f>IF(BQ63="","",AND(INDEX(Results!$G$5:$G$104,MATCH(VLOOKUP($BQ63,Input!$B$21:$J$50,2,FALSE)-0.001,Results!$G$5:$G$104,-1))=$D$4))</f>
        <v/>
      </c>
      <c r="CK63" s="449" t="str">
        <f>IF(BQ63="","",AND(INDEX('Macro References'!$BB$2:$BB$101,MATCH(VLOOKUP($BQ63,Input!$B$21:$J$50,6,FALSE)-0.001,'Macro References'!$BB$2:$BB$101,1))=$D$4))</f>
        <v/>
      </c>
      <c r="CL63" s="449" t="e">
        <f>IF(CJ63,VLOOKUP(BR63,Reinforcements[],COLUMN(Reinforcements[[#Headers],[Bottom End Connection Type]])-1,FALSE),IF(CK63,VLOOKUP(BR63,Reinforcements[],COLUMN(Reinforcements[[#Headers],[Top End Connection Type]])-1,FALSE),""))</f>
        <v>#VALUE!</v>
      </c>
      <c r="CM63" s="449" t="e">
        <f>IF(ISBLANK(VLOOKUP(BR63,Reinforcements[],COLUMN(Reinforcements[[#Headers],[Bottom Transverse Weld Length]])-1,FALSE)),"",(VLOOKUP(BR63,Reinforcements[],COLUMN(Reinforcements[[#Headers],[Bottom Transverse Weld Length]])-1,FALSE)))</f>
        <v>#N/A</v>
      </c>
      <c r="CN63" s="449" t="e">
        <f>IF(ISBLANK(VLOOKUP(BR63,Reinforcements[],COLUMN(Reinforcements[[#Headers],[Bottom Transverse (Horizontal) Weld]])-1,FALSE)),"",(VLOOKUP(BR63,Reinforcements[],COLUMN(Reinforcements[[#Headers],[Bottom Transverse (Horizontal) Weld]])-1,FALSE)))</f>
        <v>#N/A</v>
      </c>
      <c r="CO63" s="449" t="e">
        <f>IF(ISBLANK(VLOOKUP(BR63,Reinforcements[],COLUMN(Reinforcements[[#Headers],[Bottom Longitudinal Weld Length]])-1,FALSE)),"",(VLOOKUP(BR63,Reinforcements[],COLUMN(Reinforcements[[#Headers],[Bottom Longitudinal Weld Length]])-1,FALSE)))</f>
        <v>#N/A</v>
      </c>
      <c r="CP63" s="449" t="str">
        <f>IFERROR(VLOOKUP(BR63,Reinforcements[],COLUMN(Reinforcements[[#Headers],[Bottom Connected to Flange/Base Plate?]])-1,FALSE),"")</f>
        <v/>
      </c>
      <c r="CQ63" s="369" t="e">
        <f>IF(Rev="F",VLOOKUP(BR63,Reinforcements[],COLUMN(Reinforcements[[#Headers],[Rev. F Bottom Transverse Weld Strength]])-1,FALSE),VLOOKUP(BR63,Reinforcements[],COLUMN(Reinforcements[[#Headers],[Rev. G Bottom Transverse Weld Strength]])-1,FALSE))</f>
        <v>#N/A</v>
      </c>
      <c r="CR63" s="369" t="e">
        <f>IF(CP63="Yes",IF(CN63="Fillet",VLOOKUP(BR63,Reinforcements[],COLUMN(Reinforcements[[#Headers],[Bottom Transverse Weld Fillet Size (in)]])-1,FALSE)*CM63*MIN(IF(Rev="F",0.4,φ_shear_yield*0.6)*CG63,IF(Rev="F",0.3,φ_shear_rupture*0.6)*CH63),VLOOKUP(BR63,Reinforcements[],COLUMN(Reinforcements[[#Headers],[Bottom Transverse Weld Groove Depth (in)]])-1,FALSE)/COS(RADIANS(VLOOKUP(BR63,Reinforcements[],COLUMN(Reinforcements[[#Headers],[Bottom Transverse Weld Groove Angle (degrees)]])-1,FALSE)))*CM63*IF(Rev="F",0.6,φ_t_y)*CG63),VLOOKUP(BR63,Reinforcements[],COLUMN(Reinforcements[[#Headers],[Bottom Transverse Weld Fillet Size (in)]])-1,FALSE)*CM63*IF(Rev="F",0.6,φ_t_y)*CG63)</f>
        <v>#N/A</v>
      </c>
      <c r="CS63" s="369" t="str">
        <f>IF(CP63&lt;&gt;"Yes","",(VLOOKUP(BR63,Reinforcements[],COLUMN(Reinforcements[[#Headers],[Bottom Transverse Weld Groove Depth (in)]])-1,FALSE)+VLOOKUP(BR63,Reinforcements[],COLUMN(Reinforcements[[#Headers],[Bottom Transverse Weld Fillet Size (in)]])-1,FALSE))*CM63*IF(Rev="F",0.6,φ_t_y)*$D$14)</f>
        <v/>
      </c>
      <c r="CT63" s="369" t="e">
        <f>IF(CP63="Yes","",VLOOKUP(BR63,Reinforcements[],COLUMN(Reinforcements[[#Headers],[Bottom Transverse Weld Fillet Size (in)]])-1,FALSE)*CM63*MIN(IF(Rev="F",0.4,φ_shear_yield*0.6)*$D$6,IF(Rev="F",0.3,φ_shear_rupture*0.6)*$D$7))</f>
        <v>#N/A</v>
      </c>
      <c r="CU63" s="369" t="e">
        <f>IF(Rev="F",VLOOKUP(BR63,Reinforcements[],COLUMN(Reinforcements[[#Headers],[Rev. F Bottom Longitudinal Weld Strength]])-1,FALSE),VLOOKUP(BR63,Reinforcements[],COLUMN(Reinforcements[[#Headers],[Rev. G Bottom Longitudinal Weld Strength]])-1,FALSE))</f>
        <v>#N/A</v>
      </c>
      <c r="CV63" s="369" t="e">
        <f>2*VLOOKUP(BR63,Reinforcements[],COLUMN(Reinforcements[[#Headers],[Bottom Longitudinal Weld Fillet Size (in)]])-1,FALSE)*CO63*MIN(IF(Rev="F",0.4,φ_shear_yield*0.6)*CG63,IF(Rev="F",0.3,φ_shear_rupture*0.6)*CH63)</f>
        <v>#N/A</v>
      </c>
      <c r="CW63" s="369" t="e">
        <f>2*VLOOKUP(BR63,Reinforcements[],COLUMN(Reinforcements[[#Headers],[Bottom Longitudinal Weld Fillet Size (in)]])-1,FALSE)*CO63*MIN(IF(Rev="F",0.4,φ_shear_yield*0.6)*$D$6,IF(Rev="F",0.3,φ_shear_rupture*0.6)*$D$7)</f>
        <v>#N/A</v>
      </c>
      <c r="CX63" s="451" t="e">
        <f>IF(ISBLANK(VLOOKUP(BR63,Reinforcements[],COLUMN(Reinforcements[[#Headers],[Top Transverse Weld Length]])-1,FALSE)),"",(VLOOKUP(BR63,Reinforcements[],COLUMN(Reinforcements[[#Headers],[Top Transverse Weld Length]])-1,FALSE)))</f>
        <v>#N/A</v>
      </c>
      <c r="CY63" s="451" t="e">
        <f>IF(ISBLANK(VLOOKUP(BR63,Reinforcements[],COLUMN(Reinforcements[[#Headers],[Top Transverse (Horizontal) Weld]])-1,FALSE)),"",(VLOOKUP(BR63,Reinforcements[],COLUMN(Reinforcements[[#Headers],[Top Transverse (Horizontal) Weld]])-1,FALSE)))</f>
        <v>#N/A</v>
      </c>
      <c r="CZ63" s="451" t="e">
        <f>IF(ISBLANK(VLOOKUP(BR63,Reinforcements[],COLUMN(Reinforcements[[#Headers],[Top Longitudinal Weld Length]])-1,FALSE)),"",(VLOOKUP(BR63,Reinforcements[],COLUMN(Reinforcements[[#Headers],[Top Longitudinal Weld Length]])-1,FALSE)))</f>
        <v>#N/A</v>
      </c>
      <c r="DA63" s="369" t="str">
        <f>IFERROR(VLOOKUP(BR63,Reinforcements[],COLUMN(Reinforcements[[#Headers],[Top Connected to Flange/Base Plate?]])-1,FALSE),"")</f>
        <v/>
      </c>
      <c r="DB63" s="369" t="e">
        <f>IF(Rev="F",VLOOKUP(BR63,Reinforcements[],COLUMN(Reinforcements[[#Headers],[Rev. F Top Transverse Weld Strength]])-1,FALSE),VLOOKUP(BR63,Reinforcements[],COLUMN(Reinforcements[[#Headers],[Rev. G Top Transverse Weld Strength]])-1,FALSE))</f>
        <v>#N/A</v>
      </c>
      <c r="DC63" s="369" t="e">
        <f>IF(DA63="Yes",IF(CY63="Fillet",VLOOKUP(BR63,Reinforcements[],COLUMN(Reinforcements[[#Headers],[Top Transverse Weld Fillet Size (in)]])-1,FALSE)*CX63*MIN(IF(Rev="F",0.4,φ_shear_yield*0.6)*CG63,IF(Rev="F",0.3,φ_shear_rupture*0.6)*CH63),VLOOKUP(BR63,Reinforcements[],COLUMN(Reinforcements[[#Headers],[Top Transverse Weld Groove Depth (in)]])-1,FALSE)/COS(RADIANS(VLOOKUP(BR63,Reinforcements[],COLUMN(Reinforcements[[#Headers],[Top Transverse Weld Groove Angle (degrees)]])-1,FALSE)))*CX63*IF(Rev="F",0.6,φ_t_y)*CG63),VLOOKUP(BR63,Reinforcements[],COLUMN(Reinforcements[[#Headers],[Top Transverse Weld Fillet Size (in)]])-1,FALSE)*CX63*IF(Rev="F",0.6,φ_t_y)*CG63)</f>
        <v>#N/A</v>
      </c>
      <c r="DD63" s="369" t="str">
        <f>IF(DA63&lt;&gt;"Yes","",(VLOOKUP(BR63,Reinforcements[],COLUMN(Reinforcements[[#Headers],[Top Transverse Weld Groove Depth (in)]])-1,FALSE)+VLOOKUP(BR63,Reinforcements[],COLUMN(Reinforcements[[#Headers],[Top Transverse Weld Fillet Size (in)]])-1,FALSE))*CX63*IF(Rev="F",0.6,φ_t_y)*$D$14)</f>
        <v/>
      </c>
      <c r="DE63" s="369" t="e">
        <f>IF(DA63="Yes","",VLOOKUP(BR63,Reinforcements[],COLUMN(Reinforcements[[#Headers],[Top Transverse Weld Fillet Size (in)]])-1,FALSE)*CX63*MIN(IF(Rev="F",0.4,φ_shear_yield*0.6)*$D$6,IF(Rev="F",0.3,φ_shear_rupture*0.6)*$D$7))</f>
        <v>#N/A</v>
      </c>
      <c r="DF63" s="369" t="e">
        <f>IF(Rev="F",VLOOKUP(BR63,Reinforcements[],COLUMN(Reinforcements[[#Headers],[Rev. F Top Longitudinal Weld Strength]])-1,FALSE),VLOOKUP(BR63,Reinforcements[],COLUMN(Reinforcements[[#Headers],[Rev. G Top Longitudinal Weld Strength]])-1,FALSE))</f>
        <v>#N/A</v>
      </c>
      <c r="DG63" s="369" t="e">
        <f>2*VLOOKUP(BR63,Reinforcements[],COLUMN(Reinforcements[[#Headers],[Top Longitudinal Weld Fillet Size (in)]])-1,FALSE)*CZ63*MIN(IF(Rev="F",0.4,φ_shear_yield*0.6)*CG63,IF(Rev="F",0.3,φ_shear_rupture*0.6)*CH63)</f>
        <v>#N/A</v>
      </c>
      <c r="DH63" s="369" t="e">
        <f>2*VLOOKUP(BR63,Reinforcements[],COLUMN(Reinforcements[[#Headers],[Top Longitudinal Weld Fillet Size (in)]])-1,FALSE)*CZ63*MIN(IF(Rev="F",0.4,φ_shear_yield*0.6)*$D$6,IF(Rev="F",0.3,φ_shear_rupture*0.6)*$D$7)</f>
        <v>#N/A</v>
      </c>
      <c r="DI63" s="66" t="e">
        <f>IF(BS63="channel",VLOOKUP(Calculations!BR63,Reinforcements[],COLUMN(Reinforcements[[#Headers],['[Channel']Web Thickness (in)]])-1,FALSE),"")</f>
        <v>#N/A</v>
      </c>
      <c r="DJ63" s="66" t="b">
        <f t="shared" si="84"/>
        <v>0</v>
      </c>
      <c r="DK63" s="66" t="e">
        <f>IF(BS63="channel",Calculations!BU63-DI63,"")</f>
        <v>#N/A</v>
      </c>
      <c r="DL63" s="66" t="e">
        <f>IF(BS63="channel",(Calculations!BY63-Calculations!BT63*DI63)/(2*DK63))</f>
        <v>#N/A</v>
      </c>
      <c r="DM63" s="66" t="e">
        <f>IF(BS63="channel",(Calculations!BT63*(DI63^2)/2+2*DK63*DL63*(DI63+DK63/2))/Calculations!BY63,"")</f>
        <v>#N/A</v>
      </c>
    </row>
    <row r="64" spans="2:117" ht="15" x14ac:dyDescent="0.25">
      <c r="B64" s="66" t="str">
        <f t="shared" si="70"/>
        <v/>
      </c>
      <c r="C64" s="317">
        <v>5</v>
      </c>
      <c r="D64" s="380" t="str">
        <f>IF(BQ64="","",IF($D$8=0,IF(OR(VLOOKUP(BQ64,Input!$B$21:$AL$50,19+C64,FALSE)+$D$5=0,VLOOKUP(BQ64,Input!$B$21:$AL$50,19+C64,FALSE)+$D$5=180),VLOOKUP(BQ64,Input!$B$21:$AL$50,19+C64,FALSE)+$D$5+0.0001,VLOOKUP(BQ64,Input!$B$21:$AL$50,19+C64,FALSE)+$D$5),IF(VLOOKUP(BQ64,Input!$B$21:$AL$50,19+C64,FALSE)="c",VLOOKUP($C64,$C$40:$E$57,2,FALSE)+180/$D$8,VLOOKUP($C64,$C$40:$E$57,2,FALSE))))</f>
        <v/>
      </c>
      <c r="E64" s="370" t="str">
        <f t="shared" si="39"/>
        <v/>
      </c>
      <c r="F64" s="381" t="str">
        <f>IF(BR64="","",VLOOKUP(BR64,Reinforcements[],COLUMN(Reinforcements[[#Headers],[Gross Area (in2)]])-1,FALSE))</f>
        <v/>
      </c>
      <c r="G64" s="378" t="e">
        <f>(IF(VLOOKUP(BQ64,Input!$B$21:$AL$50,19+C64,FALSE)="c",$D$20/COS(RADIANS(180/$D$8)),$D$20)+CA64)*SIN(RADIANS(D64))-IF(AND(ISNUMBER(VLOOKUP(BQ64,Input!$B$21:$AL$50,19+C64,FALSE)),$D$8&lt;&gt;0),VLOOKUP(BQ64,Input!$B$21:$AL$50,19+C64,FALSE)*COS(RADIANS(D64)),0)</f>
        <v>#N/A</v>
      </c>
      <c r="H64" s="373" t="str">
        <f t="shared" si="71"/>
        <v/>
      </c>
      <c r="I64" s="373" t="e">
        <f t="shared" si="40"/>
        <v>#N/A</v>
      </c>
      <c r="J64" s="373" t="e">
        <f t="shared" si="41"/>
        <v>#N/A</v>
      </c>
      <c r="K64" s="373" t="e">
        <f t="shared" si="42"/>
        <v>#N/A</v>
      </c>
      <c r="L64" s="373" t="e">
        <f t="shared" si="72"/>
        <v>#N/A</v>
      </c>
      <c r="M64" s="374" t="str">
        <f t="shared" si="73"/>
        <v/>
      </c>
      <c r="N64" s="372" t="str">
        <f>IFERROR((IF(VLOOKUP(BQ64,Input!$B$21:$AL$50,19+C64,FALSE)="c",$D$20/COS(RADIANS(180/$D$8)),$D$20)+CA64)*SIN(RADIANS(D64))-IF(AND(ISNUMBER(VLOOKUP(BQ64,Input!$B$21:$AL$50,19+C64,FALSE)),$D$8&lt;&gt;0),VLOOKUP(BQ64,Input!$B$21:$AL$50,19+C64,FALSE)*COS(RADIANS(D64)),0)-$D$35,"")</f>
        <v/>
      </c>
      <c r="O64" s="375" t="str">
        <f t="shared" si="43"/>
        <v/>
      </c>
      <c r="P64" s="375" t="str">
        <f t="shared" si="44"/>
        <v/>
      </c>
      <c r="Q64" s="375" t="str">
        <f t="shared" si="45"/>
        <v/>
      </c>
      <c r="R64" s="376" t="str">
        <f t="shared" si="46"/>
        <v/>
      </c>
      <c r="S64" s="373" t="str">
        <f t="shared" si="74"/>
        <v/>
      </c>
      <c r="T64" s="373" t="str">
        <f t="shared" si="75"/>
        <v/>
      </c>
      <c r="U64" s="373" t="str">
        <f t="shared" si="76"/>
        <v/>
      </c>
      <c r="V64" s="374" t="str">
        <f t="shared" si="77"/>
        <v/>
      </c>
      <c r="W64" s="482" t="str">
        <f>IFERROR(IF('Macro References'!$A$9,IF(AND(Calculations!CK64,CL64="Bolted"),VLOOKUP($BR64,Reinforcements[],COLUMN(IF(Rev="F",Reinforcements[[#Headers],[Rev. F Bolt Shear Capacity   (Top)        (kips)]],IF(Rev="G",Reinforcements[[#Headers],[Rev. G Bolt Shear Capacity (Top)     (kips)]],Reinforcements[[#Headers],[Rev. H Bolt Shear Capacity (Top) (kips)]])))-1,FALSE),IF(AND(Calculations!CJ64,CL64="Bolted"),VLOOKUP($BR64,Reinforcements[],COLUMN(IF(Rev="F",Reinforcements[[#Headers],[Rev. F Bolt Shear Capacity (Bottom)   (kips)]],IF(Rev="G",Reinforcements[[#Headers],[Rev. G Bolt Shear Capacity (Bottom) (kips)]],Reinforcements[[#Headers],[Rev. H Bolt Shear Capacity (Bottom) (kips)]])))-1,FALSE),"")),""),"")</f>
        <v/>
      </c>
      <c r="X64" s="483" t="str">
        <f>IFERROR(IF('Macro References'!$A$9,IF('Macro References'!$A$10,IF(AND(Calculations!CK64,CL64="Bolted"),VLOOKUP($BR64,Reinforcements[],COLUMN(IF(Rev="F",Reinforcements[[#Headers],[Rev.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kips)]])))-1,FALSE),IF(AND(Calculations!CJ64,CL64="Bolted"),VLOOKUP($BR64,Reinforcements[],COLUMN(IF(Rev="F",Reinforcements[[#Headers],[Rev.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kips)]])))-1,FALSE),"")),IF(AND(Calculations!CK64,CL64="Bolted"),VLOOKUP($BR64,Reinforcements[],COLUMN(IF(Rev="F",Reinforcements[[#Headers],[Rev.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kips)]])))-1,FALSE),IF(AND(Calculations!CJ64,CL64="Bolted"),VLOOKUP($BR64,Reinforcements[],COLUMN(IF(Rev="F",Reinforcements[[#Headers],[Rev.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4" s="483" t="str">
        <f>IFERROR(IF('Macro References'!$A$9,IF('Macro References'!$A$10,IF(AND(Calculations!CK64,CL64="Bolted"),VLOOKUP($BR64,Reinforcements[],COLUMN(IF(Rev="F",Reinforcements[[#Headers],[Rev.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(kips)]])))-1,FALSE),IF(AND(Calculations!CJ64,CL64="Bolted"),VLOOKUP($BR64,Reinforcements[],COLUMN(IF(Rev="F",Reinforcements[[#Headers],[Rev.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(kips)]])))-1,FALSE),"")),IF(AND(Calculations!CK64,CL64="Bolted"),VLOOKUP($BR64,Reinforcements[],COLUMN(IF(Rev="F",Reinforcements[[#Headers],[Rev.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(kips)]])))-1,FALSE),IF(AND(Calculations!CJ64,CL64="Bolted"),VLOOKUP($BR64,Reinforcements[],COLUMN(IF(Rev="F",Reinforcements[[#Headers],[Rev.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4" s="483" t="str">
        <f>IFERROR(IF('Macro References'!$A$9,IF(AND(CJ64,CL64="Welded"),MIN(CQ64:CT64),IF(AND(CK64,CL64="Welded"),MIN(DB64:DE64),"")),""),"")</f>
        <v/>
      </c>
      <c r="AA64" s="484" t="str">
        <f>IFERROR(IF('Macro References'!$A$9,IF(AND(CJ64,CL64="Welded"),MIN(CU64:CW64),IF(AND(CK64,CL64="Welded"),MIN(DF64:DH64),"")),""),"")</f>
        <v/>
      </c>
      <c r="AB64" s="484" t="str">
        <f>IFERROR(IF('Macro References'!$A$9,IF(AND(CJ64,CL64="Welded",CN64="Fillet",CU64&gt;0),TRUE,IF(AND(CK64,CL64="Welded",CY64="Fillet",DF64&gt;0),TRUE,"")),""),"")</f>
        <v/>
      </c>
      <c r="AC64" s="484" t="e">
        <f>IF('Macro References'!$A$9,IF(AND(CJ64,CL64="Capacity Input"),IF(Rev="F",VLOOKUP(BR64,Reinforcements[],COLUMN(Reinforcements[[#Headers],[Rev. F Bottom Connection Capacity (kips)]])-1,FALSE),IF(Rev="G",VLOOKUP(BR64,Reinforcements[],COLUMN(Reinforcements[[#Headers],[Rev. G Bottom Connection Capacity (kips)]])-1,FALSE),VLOOKUP(BR64,Reinforcements[],COLUMN(Reinforcements[[#Headers],[Rev. H Bottom Connection Capacity (kips)]])-1,FALSE))),IF(AND(CK64,CL64="Capacity Input"),IF(Rev="F",VLOOKUP(BR64,Reinforcements[],COLUMN(Reinforcements[[#Headers],[Rev. F Top Connection Capacity (kips)]])-1,FALSE),IF(Rev="G",VLOOKUP(BR64,Reinforcements[],COLUMN(Reinforcements[[#Headers],[Rev. G Top Connection Capacity (kips)]])-1,FALSE),VLOOKUP(BR64,Reinforcements[],COLUMN(Reinforcements[[#Headers],[Rev. H Top Connection Capacity (kips)]])-1,FALSE))),"")),"")</f>
        <v>#VALUE!</v>
      </c>
      <c r="AD64" s="484" t="str">
        <f>IFERROR(IF(Rev="F",MIN(VLOOKUP(BR64,Reinforcements[],COLUMN(Reinforcements[[#Headers],[Rev. F Compression Capacity x-x (kips)]])-1,FALSE),VLOOKUP(BR64,Reinforcements[],COLUMN(Reinforcements[[#Headers],[Rev. F Compression Capacity y-y (kips)]])-1,FALSE)),IF(Rev="G",MIN(VLOOKUP(BR64,Reinforcements[],COLUMN(Reinforcements[[#Headers],[Rev. G Compression Capacity x-x (kips)]])-1,FALSE),VLOOKUP(BR64,Reinforcements[],COLUMN(Reinforcements[[#Headers],[Rev. G Compression Capacity y-y (kips)]])-1,FALSE)),MIN(VLOOKUP(BR64,Reinforcements[],COLUMN(Reinforcements[[#Headers],[Rev. H Compression Capacity x-x (kips)]])-1,FALSE),VLOOKUP(BR64,Reinforcements[],COLUMN(Reinforcements[[#Headers],[Rev. H Compression Capacity y-y (kips)]])-1,FALSE)))),"")</f>
        <v/>
      </c>
      <c r="AE64" s="485" t="str">
        <f>IFERROR(IF(Rev="F",VLOOKUP(BR64,Reinforcements[],COLUMN(Reinforcements[[#Headers],[Rev. F Shear Capacity (kips)]])-1,FALSE)/BY64,IF(Rev="G",VLOOKUP(Calculations!BR64,Reinforcements[],COLUMN(Reinforcements[[#Headers],[Rev. G Shear Capacity (kips)]])-1,FALSE),VLOOKUP(Calculations!BR64,Reinforcements[],COLUMN(Reinforcements[[#Headers],[Rev. H Shear Capacity (kips)]])-1,FALSE))),"")</f>
        <v/>
      </c>
      <c r="AF64" s="451" t="str">
        <f>IFERROR(IF(Rev="F",VLOOKUP(BR64,Reinforcements[],COLUMN(Reinforcements[[#Headers],[Rev. F Tension Yield Capacity (kips)]])-1,FALSE),IF(Rev="G",VLOOKUP(Calculations!BR64,Reinforcements[],COLUMN(Reinforcements[[#Headers],[Rev. G Tension Yield Capacity (kips)]])-1,FALSE),VLOOKUP(Calculations!BR64,Reinforcements[],COLUMN(Reinforcements[[#Headers],[Rev. H Tension Yield Capacity (kips)]])-1,FALSE))),"")</f>
        <v/>
      </c>
      <c r="AG64" s="486" t="str">
        <f>IFERROR(IF(Rev="F",VLOOKUP(BR64,Reinforcements[],COLUMN(Reinforcements[[#Headers],[Rev. F Tension Rupture Capacity (kips)]])-1,FALSE),IF(Rev="G",VLOOKUP(Calculations!BR64,Reinforcements[],COLUMN(Reinforcements[[#Headers],[Rev. G Tension Rupture Capacity (kips)]])-1,FALSE),VLOOKUP(Calculations!BR64,Reinforcements[],COLUMN(Reinforcements[[#Headers],[Rev. H Tension Rupture Capacity (kips)]])-1, FALSE))),"")</f>
        <v/>
      </c>
      <c r="AH64" s="409" t="str">
        <f t="shared" si="47"/>
        <v/>
      </c>
      <c r="AI64" s="380" t="str">
        <f t="shared" si="48"/>
        <v/>
      </c>
      <c r="AJ64" s="380" t="str">
        <f t="shared" si="49"/>
        <v/>
      </c>
      <c r="AK64" s="380" t="str">
        <f t="shared" si="85"/>
        <v/>
      </c>
      <c r="AL64" s="369" t="str">
        <f t="shared" si="78"/>
        <v/>
      </c>
      <c r="AM64" s="380" t="str">
        <f>""</f>
        <v/>
      </c>
      <c r="AN64" s="380" t="str">
        <f t="shared" si="50"/>
        <v/>
      </c>
      <c r="AO64" s="369" t="str">
        <f t="shared" si="51"/>
        <v/>
      </c>
      <c r="AP64" s="410" t="str">
        <f t="shared" si="52"/>
        <v/>
      </c>
      <c r="AQ64" s="411" t="str">
        <f t="shared" si="53"/>
        <v/>
      </c>
      <c r="AR64" s="380" t="str">
        <f>IF(BR64="","",VLOOKUP(VLOOKUP(BR64,Reinforcements[],COLUMN(Reinforcements[[#Headers],[Material]])-1,FALSE),Materials[],2,FALSE)/$D$28)</f>
        <v/>
      </c>
      <c r="AS64" s="369" t="str">
        <f t="shared" si="54"/>
        <v/>
      </c>
      <c r="AT64" s="489" t="str">
        <f t="shared" si="55"/>
        <v/>
      </c>
      <c r="AU64" s="412">
        <f t="shared" si="56"/>
        <v>0</v>
      </c>
      <c r="AV64" s="413">
        <f t="shared" si="57"/>
        <v>0</v>
      </c>
      <c r="AW64" s="413" t="e">
        <f t="shared" si="58"/>
        <v>#N/A</v>
      </c>
      <c r="AX64" s="413" t="e">
        <f t="shared" si="59"/>
        <v>#N/A</v>
      </c>
      <c r="AY64" s="413" t="str">
        <f t="shared" si="60"/>
        <v/>
      </c>
      <c r="AZ64" s="413" t="e">
        <f t="shared" si="61"/>
        <v>#VALUE!</v>
      </c>
      <c r="BA64" s="433" t="str">
        <f t="shared" si="62"/>
        <v/>
      </c>
      <c r="BB64" s="436" t="str">
        <f t="shared" si="79"/>
        <v/>
      </c>
      <c r="BC64" s="437" t="str">
        <f t="shared" si="63"/>
        <v/>
      </c>
      <c r="BD64" s="437" t="str">
        <f t="shared" si="64"/>
        <v/>
      </c>
      <c r="BE64" s="433" t="str">
        <f t="shared" si="80"/>
        <v/>
      </c>
      <c r="BF64" s="438" t="e">
        <f t="shared" si="81"/>
        <v>#DIV/0!</v>
      </c>
      <c r="BG64" s="439" t="str">
        <f t="shared" si="65"/>
        <v/>
      </c>
      <c r="BH64" s="439" t="str">
        <f t="shared" si="66"/>
        <v/>
      </c>
      <c r="BI64" s="433" t="e">
        <f t="shared" si="82"/>
        <v>#DIV/0!</v>
      </c>
      <c r="BJ64" s="438" t="str">
        <f t="shared" si="83"/>
        <v/>
      </c>
      <c r="BK64" s="413" t="e">
        <f t="shared" si="67"/>
        <v>#DIV/0!</v>
      </c>
      <c r="BL64" s="66" t="str">
        <f t="shared" si="68"/>
        <v/>
      </c>
      <c r="BP64" s="30" t="e">
        <f t="shared" si="69"/>
        <v>#DIV/0!</v>
      </c>
      <c r="BQ64" s="344" t="str">
        <f>IFERROR(VALUE(LEFT(VLOOKUP(Calculations!$D$4,Results!$G$5:$CM$105,67+$C64,FALSE),FIND(";",VLOOKUP(Calculations!$D$4,Results!$G$5:$CM$105,67+$C64,FALSE))-1)),"")</f>
        <v/>
      </c>
      <c r="BR64" s="444" t="str">
        <f>IF(BQ64="","",VLOOKUP(BQ64,Input!$B$21:$Q$50,13,FALSE))</f>
        <v/>
      </c>
      <c r="BS64" s="369" t="e">
        <f>VLOOKUP(BR64,Reinforcements[],COLUMN(Reinforcements[[#Headers],[Type]])-1,FALSE)</f>
        <v>#N/A</v>
      </c>
      <c r="BT64" s="369" t="e">
        <f>IF(BS64="solid round",VLOOKUP(BR64,Reinforcements[],COLUMN(Reinforcements[[#Headers],[Diameter (in)]])-1,FALSE),VLOOKUP(BR64,Reinforcements[],COLUMN(Reinforcements[[#Headers],[B (in)]])-1,FALSE))</f>
        <v>#N/A</v>
      </c>
      <c r="BU64" s="369" t="e">
        <f>IF(BS64="solid round",VLOOKUP(BR64,Reinforcements[],COLUMN(Reinforcements[[#Headers],[Diameter (in)]])-1,FALSE),VLOOKUP(BR64,Reinforcements[],COLUMN(Reinforcements[[#Headers],[H (in)]])-1,FALSE))</f>
        <v>#N/A</v>
      </c>
      <c r="BV64" s="413" t="e">
        <f>IFERROR((IF(VLOOKUP(BQ64,Input!$B$21:$AL$50,19+C64,FALSE)="c",$D$20/COS(RADIANS(180/$D$8)),$D$20)+BU64/2)*SIN(RADIANS(D64))-IF(ISNUMBER(VLOOKUP(BQ64,Input!$B$21:$AL$50,19+C64,FALSE)),VLOOKUP(BQ64,Input!$B$21:$AL$50,19+C64,FALSE)*COS(RADIANS(D64)),0)-$D$35,"")*0+N64*1</f>
        <v>#VALUE!</v>
      </c>
      <c r="BW64" s="369" t="e">
        <f>VLOOKUP(BR64,Reinforcements[],COLUMN(Reinforcements[[#Headers],[Effective B (in)]])-1,FALSE)</f>
        <v>#N/A</v>
      </c>
      <c r="BX64" s="369" t="e">
        <f>VLOOKUP(BR64,Reinforcements[],COLUMN(Reinforcements[[#Headers],[Effective H (in)]])-1,FALSE)</f>
        <v>#N/A</v>
      </c>
      <c r="BY64" s="369" t="e">
        <f>VLOOKUP(BR64,Reinforcements[],COLUMN(Reinforcements[[#Headers],[Gross Area (in2)]])-1,FALSE)</f>
        <v>#N/A</v>
      </c>
      <c r="BZ64" s="380" t="s">
        <v>335</v>
      </c>
      <c r="CA64" s="369" t="e">
        <f>VLOOKUP(BR64,Reinforcements[],COLUMN(Reinforcements[[#Headers],[Pole Face to Centroid (in)]])-1,FALSE)</f>
        <v>#N/A</v>
      </c>
      <c r="CB64" s="369" t="e">
        <f>VLOOKUP(BR64,Reinforcements[],COLUMN(Reinforcements[[#Headers],[Equivalent Rectangle Ix (in4)]])-1,FALSE)</f>
        <v>#N/A</v>
      </c>
      <c r="CC64" s="369" t="e">
        <f>VLOOKUP(BR64,Reinforcements[],COLUMN(Reinforcements[[#Headers],[Equivalent Rectangle Iy (in4)]])-1,FALSE)</f>
        <v>#N/A</v>
      </c>
      <c r="CD64" s="369" t="e">
        <f>VLOOKUP(BR64,Reinforcements[],COLUMN(Reinforcements[[#Headers],[Lu (in)]])-1,FALSE)</f>
        <v>#N/A</v>
      </c>
      <c r="CE64" s="380" t="s">
        <v>335</v>
      </c>
      <c r="CF64" s="380" t="s">
        <v>335</v>
      </c>
      <c r="CG64" s="369" t="e">
        <f>VLOOKUP(VLOOKUP(BR64,Reinforcements[],COLUMN(Reinforcements[[#Headers],[Material]])-1,FALSE),Materials[],2,FALSE)</f>
        <v>#N/A</v>
      </c>
      <c r="CH64" s="369" t="e">
        <f>VLOOKUP(VLOOKUP(BR64,Reinforcements[],COLUMN(Reinforcements[[#Headers],[Material]])-1,FALSE),Materials[],3,FALSE)</f>
        <v>#N/A</v>
      </c>
      <c r="CI64" s="380" t="e">
        <f>VLOOKUP(BR64,Reinforcements[],COLUMN(Reinforcements[[#Headers],[Tension Only?]])-1,FALSE)</f>
        <v>#N/A</v>
      </c>
      <c r="CJ64" s="449" t="str">
        <f>IF(BQ64="","",AND(INDEX(Results!$G$5:$G$104,MATCH(VLOOKUP($BQ64,Input!$B$21:$J$50,2,FALSE)-0.001,Results!$G$5:$G$104,-1))=$D$4))</f>
        <v/>
      </c>
      <c r="CK64" s="449" t="str">
        <f>IF(BQ64="","",AND(INDEX('Macro References'!$BB$2:$BB$101,MATCH(VLOOKUP($BQ64,Input!$B$21:$J$50,6,FALSE)-0.001,'Macro References'!$BB$2:$BB$101,1))=$D$4))</f>
        <v/>
      </c>
      <c r="CL64" s="449" t="e">
        <f>IF(CJ64,VLOOKUP(BR64,Reinforcements[],COLUMN(Reinforcements[[#Headers],[Bottom End Connection Type]])-1,FALSE),IF(CK64,VLOOKUP(BR64,Reinforcements[],COLUMN(Reinforcements[[#Headers],[Top End Connection Type]])-1,FALSE),""))</f>
        <v>#VALUE!</v>
      </c>
      <c r="CM64" s="449" t="e">
        <f>IF(ISBLANK(VLOOKUP(BR64,Reinforcements[],COLUMN(Reinforcements[[#Headers],[Bottom Transverse Weld Length]])-1,FALSE)),"",(VLOOKUP(BR64,Reinforcements[],COLUMN(Reinforcements[[#Headers],[Bottom Transverse Weld Length]])-1,FALSE)))</f>
        <v>#N/A</v>
      </c>
      <c r="CN64" s="449" t="e">
        <f>IF(ISBLANK(VLOOKUP(BR64,Reinforcements[],COLUMN(Reinforcements[[#Headers],[Bottom Transverse (Horizontal) Weld]])-1,FALSE)),"",(VLOOKUP(BR64,Reinforcements[],COLUMN(Reinforcements[[#Headers],[Bottom Transverse (Horizontal) Weld]])-1,FALSE)))</f>
        <v>#N/A</v>
      </c>
      <c r="CO64" s="449" t="e">
        <f>IF(ISBLANK(VLOOKUP(BR64,Reinforcements[],COLUMN(Reinforcements[[#Headers],[Bottom Longitudinal Weld Length]])-1,FALSE)),"",(VLOOKUP(BR64,Reinforcements[],COLUMN(Reinforcements[[#Headers],[Bottom Longitudinal Weld Length]])-1,FALSE)))</f>
        <v>#N/A</v>
      </c>
      <c r="CP64" s="449" t="str">
        <f>IFERROR(VLOOKUP(BR64,Reinforcements[],COLUMN(Reinforcements[[#Headers],[Bottom Connected to Flange/Base Plate?]])-1,FALSE),"")</f>
        <v/>
      </c>
      <c r="CQ64" s="369" t="e">
        <f>IF(Rev="F",VLOOKUP(BR64,Reinforcements[],COLUMN(Reinforcements[[#Headers],[Rev. F Bottom Transverse Weld Strength]])-1,FALSE),VLOOKUP(BR64,Reinforcements[],COLUMN(Reinforcements[[#Headers],[Rev. G Bottom Transverse Weld Strength]])-1,FALSE))</f>
        <v>#N/A</v>
      </c>
      <c r="CR64" s="369" t="e">
        <f>IF(CP64="Yes",IF(CN64="Fillet",VLOOKUP(BR64,Reinforcements[],COLUMN(Reinforcements[[#Headers],[Bottom Transverse Weld Fillet Size (in)]])-1,FALSE)*CM64*MIN(IF(Rev="F",0.4,φ_shear_yield*0.6)*CG64,IF(Rev="F",0.3,φ_shear_rupture*0.6)*CH64),VLOOKUP(BR64,Reinforcements[],COLUMN(Reinforcements[[#Headers],[Bottom Transverse Weld Groove Depth (in)]])-1,FALSE)/COS(RADIANS(VLOOKUP(BR64,Reinforcements[],COLUMN(Reinforcements[[#Headers],[Bottom Transverse Weld Groove Angle (degrees)]])-1,FALSE)))*CM64*IF(Rev="F",0.6,φ_t_y)*CG64),VLOOKUP(BR64,Reinforcements[],COLUMN(Reinforcements[[#Headers],[Bottom Transverse Weld Fillet Size (in)]])-1,FALSE)*CM64*IF(Rev="F",0.6,φ_t_y)*CG64)</f>
        <v>#N/A</v>
      </c>
      <c r="CS64" s="369" t="str">
        <f>IF(CP64&lt;&gt;"Yes","",(VLOOKUP(BR64,Reinforcements[],COLUMN(Reinforcements[[#Headers],[Bottom Transverse Weld Groove Depth (in)]])-1,FALSE)+VLOOKUP(BR64,Reinforcements[],COLUMN(Reinforcements[[#Headers],[Bottom Transverse Weld Fillet Size (in)]])-1,FALSE))*CM64*IF(Rev="F",0.6,φ_t_y)*$D$14)</f>
        <v/>
      </c>
      <c r="CT64" s="369" t="e">
        <f>IF(CP64="Yes","",VLOOKUP(BR64,Reinforcements[],COLUMN(Reinforcements[[#Headers],[Bottom Transverse Weld Fillet Size (in)]])-1,FALSE)*CM64*MIN(IF(Rev="F",0.4,φ_shear_yield*0.6)*$D$6,IF(Rev="F",0.3,φ_shear_rupture*0.6)*$D$7))</f>
        <v>#N/A</v>
      </c>
      <c r="CU64" s="369" t="e">
        <f>IF(Rev="F",VLOOKUP(BR64,Reinforcements[],COLUMN(Reinforcements[[#Headers],[Rev. F Bottom Longitudinal Weld Strength]])-1,FALSE),VLOOKUP(BR64,Reinforcements[],COLUMN(Reinforcements[[#Headers],[Rev. G Bottom Longitudinal Weld Strength]])-1,FALSE))</f>
        <v>#N/A</v>
      </c>
      <c r="CV64" s="369" t="e">
        <f>2*VLOOKUP(BR64,Reinforcements[],COLUMN(Reinforcements[[#Headers],[Bottom Longitudinal Weld Fillet Size (in)]])-1,FALSE)*CO64*MIN(IF(Rev="F",0.4,φ_shear_yield*0.6)*CG64,IF(Rev="F",0.3,φ_shear_rupture*0.6)*CH64)</f>
        <v>#N/A</v>
      </c>
      <c r="CW64" s="369" t="e">
        <f>2*VLOOKUP(BR64,Reinforcements[],COLUMN(Reinforcements[[#Headers],[Bottom Longitudinal Weld Fillet Size (in)]])-1,FALSE)*CO64*MIN(IF(Rev="F",0.4,φ_shear_yield*0.6)*$D$6,IF(Rev="F",0.3,φ_shear_rupture*0.6)*$D$7)</f>
        <v>#N/A</v>
      </c>
      <c r="CX64" s="451" t="e">
        <f>IF(ISBLANK(VLOOKUP(BR64,Reinforcements[],COLUMN(Reinforcements[[#Headers],[Top Transverse Weld Length]])-1,FALSE)),"",(VLOOKUP(BR64,Reinforcements[],COLUMN(Reinforcements[[#Headers],[Top Transverse Weld Length]])-1,FALSE)))</f>
        <v>#N/A</v>
      </c>
      <c r="CY64" s="451" t="e">
        <f>IF(ISBLANK(VLOOKUP(BR64,Reinforcements[],COLUMN(Reinforcements[[#Headers],[Top Transverse (Horizontal) Weld]])-1,FALSE)),"",(VLOOKUP(BR64,Reinforcements[],COLUMN(Reinforcements[[#Headers],[Top Transverse (Horizontal) Weld]])-1,FALSE)))</f>
        <v>#N/A</v>
      </c>
      <c r="CZ64" s="451" t="e">
        <f>IF(ISBLANK(VLOOKUP(BR64,Reinforcements[],COLUMN(Reinforcements[[#Headers],[Top Longitudinal Weld Length]])-1,FALSE)),"",(VLOOKUP(BR64,Reinforcements[],COLUMN(Reinforcements[[#Headers],[Top Longitudinal Weld Length]])-1,FALSE)))</f>
        <v>#N/A</v>
      </c>
      <c r="DA64" s="369" t="str">
        <f>IFERROR(VLOOKUP(BR64,Reinforcements[],COLUMN(Reinforcements[[#Headers],[Top Connected to Flange/Base Plate?]])-1,FALSE),"")</f>
        <v/>
      </c>
      <c r="DB64" s="369" t="e">
        <f>IF(Rev="F",VLOOKUP(BR64,Reinforcements[],COLUMN(Reinforcements[[#Headers],[Rev. F Top Transverse Weld Strength]])-1,FALSE),VLOOKUP(BR64,Reinforcements[],COLUMN(Reinforcements[[#Headers],[Rev. G Top Transverse Weld Strength]])-1,FALSE))</f>
        <v>#N/A</v>
      </c>
      <c r="DC64" s="369" t="e">
        <f>IF(DA64="Yes",IF(CY64="Fillet",VLOOKUP(BR64,Reinforcements[],COLUMN(Reinforcements[[#Headers],[Top Transverse Weld Fillet Size (in)]])-1,FALSE)*CX64*MIN(IF(Rev="F",0.4,φ_shear_yield*0.6)*CG64,IF(Rev="F",0.3,φ_shear_rupture*0.6)*CH64),VLOOKUP(BR64,Reinforcements[],COLUMN(Reinforcements[[#Headers],[Top Transverse Weld Groove Depth (in)]])-1,FALSE)/COS(RADIANS(VLOOKUP(BR64,Reinforcements[],COLUMN(Reinforcements[[#Headers],[Top Transverse Weld Groove Angle (degrees)]])-1,FALSE)))*CX64*IF(Rev="F",0.6,φ_t_y)*CG64),VLOOKUP(BR64,Reinforcements[],COLUMN(Reinforcements[[#Headers],[Top Transverse Weld Fillet Size (in)]])-1,FALSE)*CX64*IF(Rev="F",0.6,φ_t_y)*CG64)</f>
        <v>#N/A</v>
      </c>
      <c r="DD64" s="369" t="str">
        <f>IF(DA64&lt;&gt;"Yes","",(VLOOKUP(BR64,Reinforcements[],COLUMN(Reinforcements[[#Headers],[Top Transverse Weld Groove Depth (in)]])-1,FALSE)+VLOOKUP(BR64,Reinforcements[],COLUMN(Reinforcements[[#Headers],[Top Transverse Weld Fillet Size (in)]])-1,FALSE))*CX64*IF(Rev="F",0.6,φ_t_y)*$D$14)</f>
        <v/>
      </c>
      <c r="DE64" s="369" t="e">
        <f>IF(DA64="Yes","",VLOOKUP(BR64,Reinforcements[],COLUMN(Reinforcements[[#Headers],[Top Transverse Weld Fillet Size (in)]])-1,FALSE)*CX64*MIN(IF(Rev="F",0.4,φ_shear_yield*0.6)*$D$6,IF(Rev="F",0.3,φ_shear_rupture*0.6)*$D$7))</f>
        <v>#N/A</v>
      </c>
      <c r="DF64" s="369" t="e">
        <f>IF(Rev="F",VLOOKUP(BR64,Reinforcements[],COLUMN(Reinforcements[[#Headers],[Rev. F Top Longitudinal Weld Strength]])-1,FALSE),VLOOKUP(BR64,Reinforcements[],COLUMN(Reinforcements[[#Headers],[Rev. G Top Longitudinal Weld Strength]])-1,FALSE))</f>
        <v>#N/A</v>
      </c>
      <c r="DG64" s="369" t="e">
        <f>2*VLOOKUP(BR64,Reinforcements[],COLUMN(Reinforcements[[#Headers],[Top Longitudinal Weld Fillet Size (in)]])-1,FALSE)*CZ64*MIN(IF(Rev="F",0.4,φ_shear_yield*0.6)*CG64,IF(Rev="F",0.3,φ_shear_rupture*0.6)*CH64)</f>
        <v>#N/A</v>
      </c>
      <c r="DH64" s="369" t="e">
        <f>2*VLOOKUP(BR64,Reinforcements[],COLUMN(Reinforcements[[#Headers],[Top Longitudinal Weld Fillet Size (in)]])-1,FALSE)*CZ64*MIN(IF(Rev="F",0.4,φ_shear_yield*0.6)*$D$6,IF(Rev="F",0.3,φ_shear_rupture*0.6)*$D$7)</f>
        <v>#N/A</v>
      </c>
      <c r="DI64" s="66" t="e">
        <f>IF(BS64="channel",VLOOKUP(Calculations!BR64,Reinforcements[],COLUMN(Reinforcements[[#Headers],['[Channel']Web Thickness (in)]])-1,FALSE),"")</f>
        <v>#N/A</v>
      </c>
      <c r="DJ64" s="66" t="b">
        <f t="shared" si="84"/>
        <v>0</v>
      </c>
      <c r="DK64" s="66" t="e">
        <f>IF(BS64="channel",Calculations!BU64-DI64,"")</f>
        <v>#N/A</v>
      </c>
      <c r="DL64" s="66" t="e">
        <f>IF(BS64="channel",(Calculations!BY64-Calculations!BT64*DI64)/(2*DK64))</f>
        <v>#N/A</v>
      </c>
      <c r="DM64" s="66" t="e">
        <f>IF(BS64="channel",(Calculations!BT64*(DI64^2)/2+2*DK64*DL64*(DI64+DK64/2))/Calculations!BY64,"")</f>
        <v>#N/A</v>
      </c>
    </row>
    <row r="65" spans="2:117" ht="15" x14ac:dyDescent="0.25">
      <c r="B65" s="66" t="str">
        <f t="shared" si="70"/>
        <v/>
      </c>
      <c r="C65" s="317">
        <v>6</v>
      </c>
      <c r="D65" s="380" t="str">
        <f>IF(BQ65="","",IF($D$8=0,IF(OR(VLOOKUP(BQ65,Input!$B$21:$AL$50,19+C65,FALSE)+$D$5=0,VLOOKUP(BQ65,Input!$B$21:$AL$50,19+C65,FALSE)+$D$5=180),VLOOKUP(BQ65,Input!$B$21:$AL$50,19+C65,FALSE)+$D$5+0.0001,VLOOKUP(BQ65,Input!$B$21:$AL$50,19+C65,FALSE)+$D$5),IF(VLOOKUP(BQ65,Input!$B$21:$AL$50,19+C65,FALSE)="c",VLOOKUP($C65,$C$40:$E$57,2,FALSE)+180/$D$8,VLOOKUP($C65,$C$40:$E$57,2,FALSE))))</f>
        <v/>
      </c>
      <c r="E65" s="370" t="str">
        <f t="shared" si="39"/>
        <v/>
      </c>
      <c r="F65" s="381" t="str">
        <f>IF(BR65="","",VLOOKUP(BR65,Reinforcements[],COLUMN(Reinforcements[[#Headers],[Gross Area (in2)]])-1,FALSE))</f>
        <v/>
      </c>
      <c r="G65" s="378" t="e">
        <f>(IF(VLOOKUP(BQ65,Input!$B$21:$AL$50,19+C65,FALSE)="c",$D$20/COS(RADIANS(180/$D$8)),$D$20)+CA65)*SIN(RADIANS(D65))-IF(AND(ISNUMBER(VLOOKUP(BQ65,Input!$B$21:$AL$50,19+C65,FALSE)),$D$8&lt;&gt;0),VLOOKUP(BQ65,Input!$B$21:$AL$50,19+C65,FALSE)*COS(RADIANS(D65)),0)</f>
        <v>#N/A</v>
      </c>
      <c r="H65" s="373" t="str">
        <f t="shared" si="71"/>
        <v/>
      </c>
      <c r="I65" s="373" t="e">
        <f t="shared" si="40"/>
        <v>#N/A</v>
      </c>
      <c r="J65" s="373" t="e">
        <f t="shared" si="41"/>
        <v>#N/A</v>
      </c>
      <c r="K65" s="373" t="e">
        <f t="shared" si="42"/>
        <v>#N/A</v>
      </c>
      <c r="L65" s="373" t="e">
        <f t="shared" si="72"/>
        <v>#N/A</v>
      </c>
      <c r="M65" s="374" t="str">
        <f t="shared" si="73"/>
        <v/>
      </c>
      <c r="N65" s="372" t="str">
        <f>IFERROR((IF(VLOOKUP(BQ65,Input!$B$21:$AL$50,19+C65,FALSE)="c",$D$20/COS(RADIANS(180/$D$8)),$D$20)+CA65)*SIN(RADIANS(D65))-IF(AND(ISNUMBER(VLOOKUP(BQ65,Input!$B$21:$AL$50,19+C65,FALSE)),$D$8&lt;&gt;0),VLOOKUP(BQ65,Input!$B$21:$AL$50,19+C65,FALSE)*COS(RADIANS(D65)),0)-$D$35,"")</f>
        <v/>
      </c>
      <c r="O65" s="375" t="str">
        <f t="shared" si="43"/>
        <v/>
      </c>
      <c r="P65" s="375" t="str">
        <f t="shared" si="44"/>
        <v/>
      </c>
      <c r="Q65" s="375" t="str">
        <f t="shared" si="45"/>
        <v/>
      </c>
      <c r="R65" s="376" t="str">
        <f t="shared" si="46"/>
        <v/>
      </c>
      <c r="S65" s="373" t="str">
        <f t="shared" si="74"/>
        <v/>
      </c>
      <c r="T65" s="373" t="str">
        <f t="shared" si="75"/>
        <v/>
      </c>
      <c r="U65" s="373" t="str">
        <f t="shared" si="76"/>
        <v/>
      </c>
      <c r="V65" s="374" t="str">
        <f t="shared" si="77"/>
        <v/>
      </c>
      <c r="W65" s="482" t="str">
        <f>IFERROR(IF('Macro References'!$A$9,IF(AND(Calculations!CK65,CL65="Bolted"),VLOOKUP($BR65,Reinforcements[],COLUMN(IF(Rev="F",Reinforcements[[#Headers],[Rev. F Bolt Shear Capacity   (Top)        (kips)]],IF(Rev="G",Reinforcements[[#Headers],[Rev. G Bolt Shear Capacity (Top)     (kips)]],Reinforcements[[#Headers],[Rev. H Bolt Shear Capacity (Top) (kips)]])))-1,FALSE),IF(AND(Calculations!CJ65,CL65="Bolted"),VLOOKUP($BR65,Reinforcements[],COLUMN(IF(Rev="F",Reinforcements[[#Headers],[Rev. F Bolt Shear Capacity (Bottom)   (kips)]],IF(Rev="G",Reinforcements[[#Headers],[Rev. G Bolt Shear Capacity (Bottom) (kips)]],Reinforcements[[#Headers],[Rev. H Bolt Shear Capacity (Bottom) (kips)]])))-1,FALSE),"")),""),"")</f>
        <v/>
      </c>
      <c r="X65" s="483" t="str">
        <f>IFERROR(IF('Macro References'!$A$9,IF('Macro References'!$A$10,IF(AND(Calculations!CK65,CL65="Bolted"),VLOOKUP($BR65,Reinforcements[],COLUMN(IF(Rev="F",Reinforcements[[#Headers],[Rev.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kips)]])))-1,FALSE),IF(AND(Calculations!CJ65,CL65="Bolted"),VLOOKUP($BR65,Reinforcements[],COLUMN(IF(Rev="F",Reinforcements[[#Headers],[Rev.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kips)]])))-1,FALSE),"")),IF(AND(Calculations!CK65,CL65="Bolted"),VLOOKUP($BR65,Reinforcements[],COLUMN(IF(Rev="F",Reinforcements[[#Headers],[Rev.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kips)]])))-1,FALSE),IF(AND(Calculations!CJ65,CL65="Bolted"),VLOOKUP($BR65,Reinforcements[],COLUMN(IF(Rev="F",Reinforcements[[#Headers],[Rev.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5" s="483" t="str">
        <f>IFERROR(IF('Macro References'!$A$9,IF('Macro References'!$A$10,IF(AND(Calculations!CK65,CL65="Bolted"),VLOOKUP($BR65,Reinforcements[],COLUMN(IF(Rev="F",Reinforcements[[#Headers],[Rev.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(kips)]])))-1,FALSE),IF(AND(Calculations!CJ65,CL65="Bolted"),VLOOKUP($BR65,Reinforcements[],COLUMN(IF(Rev="F",Reinforcements[[#Headers],[Rev.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(kips)]])))-1,FALSE),"")),IF(AND(Calculations!CK65,CL65="Bolted"),VLOOKUP($BR65,Reinforcements[],COLUMN(IF(Rev="F",Reinforcements[[#Headers],[Rev.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(kips)]])))-1,FALSE),IF(AND(Calculations!CJ65,CL65="Bolted"),VLOOKUP($BR65,Reinforcements[],COLUMN(IF(Rev="F",Reinforcements[[#Headers],[Rev.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5" s="483" t="str">
        <f>IFERROR(IF('Macro References'!$A$9,IF(AND(CJ65,CL65="Welded"),MIN(CQ65:CT65),IF(AND(CK65,CL65="Welded"),MIN(DB65:DE65),"")),""),"")</f>
        <v/>
      </c>
      <c r="AA65" s="484" t="str">
        <f>IFERROR(IF('Macro References'!$A$9,IF(AND(CJ65,CL65="Welded"),MIN(CU65:CW65),IF(AND(CK65,CL65="Welded"),MIN(DF65:DH65),"")),""),"")</f>
        <v/>
      </c>
      <c r="AB65" s="484" t="str">
        <f>IFERROR(IF('Macro References'!$A$9,IF(AND(CJ65,CL65="Welded",CN65="Fillet",CU65&gt;0),TRUE,IF(AND(CK65,CL65="Welded",CY65="Fillet",DF65&gt;0),TRUE,"")),""),"")</f>
        <v/>
      </c>
      <c r="AC65" s="484" t="e">
        <f>IF('Macro References'!$A$9,IF(AND(CJ65,CL65="Capacity Input"),IF(Rev="F",VLOOKUP(BR65,Reinforcements[],COLUMN(Reinforcements[[#Headers],[Rev. F Bottom Connection Capacity (kips)]])-1,FALSE),IF(Rev="G",VLOOKUP(BR65,Reinforcements[],COLUMN(Reinforcements[[#Headers],[Rev. G Bottom Connection Capacity (kips)]])-1,FALSE),VLOOKUP(BR65,Reinforcements[],COLUMN(Reinforcements[[#Headers],[Rev. H Bottom Connection Capacity (kips)]])-1,FALSE))),IF(AND(CK65,CL65="Capacity Input"),IF(Rev="F",VLOOKUP(BR65,Reinforcements[],COLUMN(Reinforcements[[#Headers],[Rev. F Top Connection Capacity (kips)]])-1,FALSE),IF(Rev="G",VLOOKUP(BR65,Reinforcements[],COLUMN(Reinforcements[[#Headers],[Rev. G Top Connection Capacity (kips)]])-1,FALSE),VLOOKUP(BR65,Reinforcements[],COLUMN(Reinforcements[[#Headers],[Rev. H Top Connection Capacity (kips)]])-1,FALSE))),"")),"")</f>
        <v>#VALUE!</v>
      </c>
      <c r="AD65" s="484" t="str">
        <f>IFERROR(IF(Rev="F",MIN(VLOOKUP(BR65,Reinforcements[],COLUMN(Reinforcements[[#Headers],[Rev. F Compression Capacity x-x (kips)]])-1,FALSE),VLOOKUP(BR65,Reinforcements[],COLUMN(Reinforcements[[#Headers],[Rev. F Compression Capacity y-y (kips)]])-1,FALSE)),IF(Rev="G",MIN(VLOOKUP(BR65,Reinforcements[],COLUMN(Reinforcements[[#Headers],[Rev. G Compression Capacity x-x (kips)]])-1,FALSE),VLOOKUP(BR65,Reinforcements[],COLUMN(Reinforcements[[#Headers],[Rev. G Compression Capacity y-y (kips)]])-1,FALSE)),MIN(VLOOKUP(BR65,Reinforcements[],COLUMN(Reinforcements[[#Headers],[Rev. H Compression Capacity x-x (kips)]])-1,FALSE),VLOOKUP(BR65,Reinforcements[],COLUMN(Reinforcements[[#Headers],[Rev. H Compression Capacity y-y (kips)]])-1,FALSE)))),"")</f>
        <v/>
      </c>
      <c r="AE65" s="485" t="str">
        <f>IFERROR(IF(Rev="F",VLOOKUP(BR65,Reinforcements[],COLUMN(Reinforcements[[#Headers],[Rev. F Shear Capacity (kips)]])-1,FALSE)/BY65,IF(Rev="G",VLOOKUP(Calculations!BR65,Reinforcements[],COLUMN(Reinforcements[[#Headers],[Rev. G Shear Capacity (kips)]])-1,FALSE),VLOOKUP(Calculations!BR65,Reinforcements[],COLUMN(Reinforcements[[#Headers],[Rev. H Shear Capacity (kips)]])-1,FALSE))),"")</f>
        <v/>
      </c>
      <c r="AF65" s="451" t="str">
        <f>IFERROR(IF(Rev="F",VLOOKUP(BR65,Reinforcements[],COLUMN(Reinforcements[[#Headers],[Rev. F Tension Yield Capacity (kips)]])-1,FALSE),IF(Rev="G",VLOOKUP(Calculations!BR65,Reinforcements[],COLUMN(Reinforcements[[#Headers],[Rev. G Tension Yield Capacity (kips)]])-1,FALSE),VLOOKUP(Calculations!BR65,Reinforcements[],COLUMN(Reinforcements[[#Headers],[Rev. H Tension Yield Capacity (kips)]])-1,FALSE))),"")</f>
        <v/>
      </c>
      <c r="AG65" s="486" t="str">
        <f>IFERROR(IF(Rev="F",VLOOKUP(BR65,Reinforcements[],COLUMN(Reinforcements[[#Headers],[Rev. F Tension Rupture Capacity (kips)]])-1,FALSE),IF(Rev="G",VLOOKUP(Calculations!BR65,Reinforcements[],COLUMN(Reinforcements[[#Headers],[Rev. G Tension Rupture Capacity (kips)]])-1,FALSE),VLOOKUP(Calculations!BR65,Reinforcements[],COLUMN(Reinforcements[[#Headers],[Rev. H Tension Rupture Capacity (kips)]])-1, FALSE))),"")</f>
        <v/>
      </c>
      <c r="AH65" s="409" t="str">
        <f t="shared" si="47"/>
        <v/>
      </c>
      <c r="AI65" s="380" t="str">
        <f t="shared" si="48"/>
        <v/>
      </c>
      <c r="AJ65" s="380" t="str">
        <f t="shared" si="49"/>
        <v/>
      </c>
      <c r="AK65" s="380" t="str">
        <f t="shared" si="85"/>
        <v/>
      </c>
      <c r="AL65" s="369" t="str">
        <f t="shared" si="78"/>
        <v/>
      </c>
      <c r="AM65" s="380" t="str">
        <f>""</f>
        <v/>
      </c>
      <c r="AN65" s="380" t="str">
        <f t="shared" si="50"/>
        <v/>
      </c>
      <c r="AO65" s="369" t="str">
        <f t="shared" si="51"/>
        <v/>
      </c>
      <c r="AP65" s="410" t="str">
        <f t="shared" si="52"/>
        <v/>
      </c>
      <c r="AQ65" s="411" t="str">
        <f t="shared" si="53"/>
        <v/>
      </c>
      <c r="AR65" s="380" t="str">
        <f>IF(BR65="","",VLOOKUP(VLOOKUP(BR65,Reinforcements[],COLUMN(Reinforcements[[#Headers],[Material]])-1,FALSE),Materials[],2,FALSE)/$D$28)</f>
        <v/>
      </c>
      <c r="AS65" s="369" t="str">
        <f t="shared" si="54"/>
        <v/>
      </c>
      <c r="AT65" s="489" t="str">
        <f t="shared" si="55"/>
        <v/>
      </c>
      <c r="AU65" s="412">
        <f t="shared" si="56"/>
        <v>0</v>
      </c>
      <c r="AV65" s="413">
        <f t="shared" si="57"/>
        <v>0</v>
      </c>
      <c r="AW65" s="413" t="e">
        <f t="shared" si="58"/>
        <v>#N/A</v>
      </c>
      <c r="AX65" s="413" t="e">
        <f t="shared" si="59"/>
        <v>#N/A</v>
      </c>
      <c r="AY65" s="413" t="str">
        <f t="shared" si="60"/>
        <v/>
      </c>
      <c r="AZ65" s="413" t="e">
        <f t="shared" si="61"/>
        <v>#VALUE!</v>
      </c>
      <c r="BA65" s="433" t="str">
        <f t="shared" si="62"/>
        <v/>
      </c>
      <c r="BB65" s="436" t="str">
        <f t="shared" si="79"/>
        <v/>
      </c>
      <c r="BC65" s="437" t="str">
        <f t="shared" si="63"/>
        <v/>
      </c>
      <c r="BD65" s="437" t="str">
        <f t="shared" si="64"/>
        <v/>
      </c>
      <c r="BE65" s="433" t="str">
        <f t="shared" si="80"/>
        <v/>
      </c>
      <c r="BF65" s="438" t="e">
        <f t="shared" si="81"/>
        <v>#DIV/0!</v>
      </c>
      <c r="BG65" s="439" t="str">
        <f t="shared" si="65"/>
        <v/>
      </c>
      <c r="BH65" s="439" t="str">
        <f t="shared" si="66"/>
        <v/>
      </c>
      <c r="BI65" s="433" t="e">
        <f t="shared" si="82"/>
        <v>#DIV/0!</v>
      </c>
      <c r="BJ65" s="438" t="str">
        <f t="shared" si="83"/>
        <v/>
      </c>
      <c r="BK65" s="413" t="e">
        <f t="shared" si="67"/>
        <v>#DIV/0!</v>
      </c>
      <c r="BL65" s="66" t="str">
        <f t="shared" si="68"/>
        <v/>
      </c>
      <c r="BP65" s="30" t="e">
        <f t="shared" si="69"/>
        <v>#DIV/0!</v>
      </c>
      <c r="BQ65" s="344" t="str">
        <f>IFERROR(VALUE(LEFT(VLOOKUP(Calculations!$D$4,Results!$G$5:$CM$105,67+$C65,FALSE),FIND(";",VLOOKUP(Calculations!$D$4,Results!$G$5:$CM$105,67+$C65,FALSE))-1)),"")</f>
        <v/>
      </c>
      <c r="BR65" s="444" t="str">
        <f>IF(BQ65="","",VLOOKUP(BQ65,Input!$B$21:$Q$50,13,FALSE))</f>
        <v/>
      </c>
      <c r="BS65" s="369" t="e">
        <f>VLOOKUP(BR65,Reinforcements[],COLUMN(Reinforcements[[#Headers],[Type]])-1,FALSE)</f>
        <v>#N/A</v>
      </c>
      <c r="BT65" s="369" t="e">
        <f>IF(BS65="solid round",VLOOKUP(BR65,Reinforcements[],COLUMN(Reinforcements[[#Headers],[Diameter (in)]])-1,FALSE),VLOOKUP(BR65,Reinforcements[],COLUMN(Reinforcements[[#Headers],[B (in)]])-1,FALSE))</f>
        <v>#N/A</v>
      </c>
      <c r="BU65" s="369" t="e">
        <f>IF(BS65="solid round",VLOOKUP(BR65,Reinforcements[],COLUMN(Reinforcements[[#Headers],[Diameter (in)]])-1,FALSE),VLOOKUP(BR65,Reinforcements[],COLUMN(Reinforcements[[#Headers],[H (in)]])-1,FALSE))</f>
        <v>#N/A</v>
      </c>
      <c r="BV65" s="413" t="e">
        <f>IFERROR((IF(VLOOKUP(BQ65,Input!$B$21:$AL$50,19+C65,FALSE)="c",$D$20/COS(RADIANS(180/$D$8)),$D$20)+BU65/2)*SIN(RADIANS(D65))-IF(ISNUMBER(VLOOKUP(BQ65,Input!$B$21:$AL$50,19+C65,FALSE)),VLOOKUP(BQ65,Input!$B$21:$AL$50,19+C65,FALSE)*COS(RADIANS(D65)),0)-$D$35,"")*0+N65*1</f>
        <v>#VALUE!</v>
      </c>
      <c r="BW65" s="369" t="e">
        <f>VLOOKUP(BR65,Reinforcements[],COLUMN(Reinforcements[[#Headers],[Effective B (in)]])-1,FALSE)</f>
        <v>#N/A</v>
      </c>
      <c r="BX65" s="369" t="e">
        <f>VLOOKUP(BR65,Reinforcements[],COLUMN(Reinforcements[[#Headers],[Effective H (in)]])-1,FALSE)</f>
        <v>#N/A</v>
      </c>
      <c r="BY65" s="369" t="e">
        <f>VLOOKUP(BR65,Reinforcements[],COLUMN(Reinforcements[[#Headers],[Gross Area (in2)]])-1,FALSE)</f>
        <v>#N/A</v>
      </c>
      <c r="BZ65" s="380" t="s">
        <v>335</v>
      </c>
      <c r="CA65" s="369" t="e">
        <f>VLOOKUP(BR65,Reinforcements[],COLUMN(Reinforcements[[#Headers],[Pole Face to Centroid (in)]])-1,FALSE)</f>
        <v>#N/A</v>
      </c>
      <c r="CB65" s="369" t="e">
        <f>VLOOKUP(BR65,Reinforcements[],COLUMN(Reinforcements[[#Headers],[Equivalent Rectangle Ix (in4)]])-1,FALSE)</f>
        <v>#N/A</v>
      </c>
      <c r="CC65" s="369" t="e">
        <f>VLOOKUP(BR65,Reinforcements[],COLUMN(Reinforcements[[#Headers],[Equivalent Rectangle Iy (in4)]])-1,FALSE)</f>
        <v>#N/A</v>
      </c>
      <c r="CD65" s="369" t="e">
        <f>VLOOKUP(BR65,Reinforcements[],COLUMN(Reinforcements[[#Headers],[Lu (in)]])-1,FALSE)</f>
        <v>#N/A</v>
      </c>
      <c r="CE65" s="380" t="s">
        <v>335</v>
      </c>
      <c r="CF65" s="380" t="s">
        <v>335</v>
      </c>
      <c r="CG65" s="369" t="e">
        <f>VLOOKUP(VLOOKUP(BR65,Reinforcements[],COLUMN(Reinforcements[[#Headers],[Material]])-1,FALSE),Materials[],2,FALSE)</f>
        <v>#N/A</v>
      </c>
      <c r="CH65" s="369" t="e">
        <f>VLOOKUP(VLOOKUP(BR65,Reinforcements[],COLUMN(Reinforcements[[#Headers],[Material]])-1,FALSE),Materials[],3,FALSE)</f>
        <v>#N/A</v>
      </c>
      <c r="CI65" s="380" t="e">
        <f>VLOOKUP(BR65,Reinforcements[],COLUMN(Reinforcements[[#Headers],[Tension Only?]])-1,FALSE)</f>
        <v>#N/A</v>
      </c>
      <c r="CJ65" s="449" t="str">
        <f>IF(BQ65="","",AND(INDEX(Results!$G$5:$G$104,MATCH(VLOOKUP($BQ65,Input!$B$21:$J$50,2,FALSE)-0.001,Results!$G$5:$G$104,-1))=$D$4))</f>
        <v/>
      </c>
      <c r="CK65" s="449" t="str">
        <f>IF(BQ65="","",AND(INDEX('Macro References'!$BB$2:$BB$101,MATCH(VLOOKUP($BQ65,Input!$B$21:$J$50,6,FALSE)-0.001,'Macro References'!$BB$2:$BB$101,1))=$D$4))</f>
        <v/>
      </c>
      <c r="CL65" s="449" t="e">
        <f>IF(CJ65,VLOOKUP(BR65,Reinforcements[],COLUMN(Reinforcements[[#Headers],[Bottom End Connection Type]])-1,FALSE),IF(CK65,VLOOKUP(BR65,Reinforcements[],COLUMN(Reinforcements[[#Headers],[Top End Connection Type]])-1,FALSE),""))</f>
        <v>#VALUE!</v>
      </c>
      <c r="CM65" s="449" t="e">
        <f>IF(ISBLANK(VLOOKUP(BR65,Reinforcements[],COLUMN(Reinforcements[[#Headers],[Bottom Transverse Weld Length]])-1,FALSE)),"",(VLOOKUP(BR65,Reinforcements[],COLUMN(Reinforcements[[#Headers],[Bottom Transverse Weld Length]])-1,FALSE)))</f>
        <v>#N/A</v>
      </c>
      <c r="CN65" s="449" t="e">
        <f>IF(ISBLANK(VLOOKUP(BR65,Reinforcements[],COLUMN(Reinforcements[[#Headers],[Bottom Transverse (Horizontal) Weld]])-1,FALSE)),"",(VLOOKUP(BR65,Reinforcements[],COLUMN(Reinforcements[[#Headers],[Bottom Transverse (Horizontal) Weld]])-1,FALSE)))</f>
        <v>#N/A</v>
      </c>
      <c r="CO65" s="449" t="e">
        <f>IF(ISBLANK(VLOOKUP(BR65,Reinforcements[],COLUMN(Reinforcements[[#Headers],[Bottom Longitudinal Weld Length]])-1,FALSE)),"",(VLOOKUP(BR65,Reinforcements[],COLUMN(Reinforcements[[#Headers],[Bottom Longitudinal Weld Length]])-1,FALSE)))</f>
        <v>#N/A</v>
      </c>
      <c r="CP65" s="449" t="str">
        <f>IFERROR(VLOOKUP(BR65,Reinforcements[],COLUMN(Reinforcements[[#Headers],[Bottom Connected to Flange/Base Plate?]])-1,FALSE),"")</f>
        <v/>
      </c>
      <c r="CQ65" s="369" t="e">
        <f>IF(Rev="F",VLOOKUP(BR65,Reinforcements[],COLUMN(Reinforcements[[#Headers],[Rev. F Bottom Transverse Weld Strength]])-1,FALSE),VLOOKUP(BR65,Reinforcements[],COLUMN(Reinforcements[[#Headers],[Rev. G Bottom Transverse Weld Strength]])-1,FALSE))</f>
        <v>#N/A</v>
      </c>
      <c r="CR65" s="369" t="e">
        <f>IF(CP65="Yes",IF(CN65="Fillet",VLOOKUP(BR65,Reinforcements[],COLUMN(Reinforcements[[#Headers],[Bottom Transverse Weld Fillet Size (in)]])-1,FALSE)*CM65*MIN(IF(Rev="F",0.4,φ_shear_yield*0.6)*CG65,IF(Rev="F",0.3,φ_shear_rupture*0.6)*CH65),VLOOKUP(BR65,Reinforcements[],COLUMN(Reinforcements[[#Headers],[Bottom Transverse Weld Groove Depth (in)]])-1,FALSE)/COS(RADIANS(VLOOKUP(BR65,Reinforcements[],COLUMN(Reinforcements[[#Headers],[Bottom Transverse Weld Groove Angle (degrees)]])-1,FALSE)))*CM65*IF(Rev="F",0.6,φ_t_y)*CG65),VLOOKUP(BR65,Reinforcements[],COLUMN(Reinforcements[[#Headers],[Bottom Transverse Weld Fillet Size (in)]])-1,FALSE)*CM65*IF(Rev="F",0.6,φ_t_y)*CG65)</f>
        <v>#N/A</v>
      </c>
      <c r="CS65" s="369" t="str">
        <f>IF(CP65&lt;&gt;"Yes","",(VLOOKUP(BR65,Reinforcements[],COLUMN(Reinforcements[[#Headers],[Bottom Transverse Weld Groove Depth (in)]])-1,FALSE)+VLOOKUP(BR65,Reinforcements[],COLUMN(Reinforcements[[#Headers],[Bottom Transverse Weld Fillet Size (in)]])-1,FALSE))*CM65*IF(Rev="F",0.6,φ_t_y)*$D$14)</f>
        <v/>
      </c>
      <c r="CT65" s="369" t="e">
        <f>IF(CP65="Yes","",VLOOKUP(BR65,Reinforcements[],COLUMN(Reinforcements[[#Headers],[Bottom Transverse Weld Fillet Size (in)]])-1,FALSE)*CM65*MIN(IF(Rev="F",0.4,φ_shear_yield*0.6)*$D$6,IF(Rev="F",0.3,φ_shear_rupture*0.6)*$D$7))</f>
        <v>#N/A</v>
      </c>
      <c r="CU65" s="369" t="e">
        <f>IF(Rev="F",VLOOKUP(BR65,Reinforcements[],COLUMN(Reinforcements[[#Headers],[Rev. F Bottom Longitudinal Weld Strength]])-1,FALSE),VLOOKUP(BR65,Reinforcements[],COLUMN(Reinforcements[[#Headers],[Rev. G Bottom Longitudinal Weld Strength]])-1,FALSE))</f>
        <v>#N/A</v>
      </c>
      <c r="CV65" s="369" t="e">
        <f>2*VLOOKUP(BR65,Reinforcements[],COLUMN(Reinforcements[[#Headers],[Bottom Longitudinal Weld Fillet Size (in)]])-1,FALSE)*CO65*MIN(IF(Rev="F",0.4,φ_shear_yield*0.6)*CG65,IF(Rev="F",0.3,φ_shear_rupture*0.6)*CH65)</f>
        <v>#N/A</v>
      </c>
      <c r="CW65" s="369" t="e">
        <f>2*VLOOKUP(BR65,Reinforcements[],COLUMN(Reinforcements[[#Headers],[Bottom Longitudinal Weld Fillet Size (in)]])-1,FALSE)*CO65*MIN(IF(Rev="F",0.4,φ_shear_yield*0.6)*$D$6,IF(Rev="F",0.3,φ_shear_rupture*0.6)*$D$7)</f>
        <v>#N/A</v>
      </c>
      <c r="CX65" s="451" t="e">
        <f>IF(ISBLANK(VLOOKUP(BR65,Reinforcements[],COLUMN(Reinforcements[[#Headers],[Top Transverse Weld Length]])-1,FALSE)),"",(VLOOKUP(BR65,Reinforcements[],COLUMN(Reinforcements[[#Headers],[Top Transverse Weld Length]])-1,FALSE)))</f>
        <v>#N/A</v>
      </c>
      <c r="CY65" s="451" t="e">
        <f>IF(ISBLANK(VLOOKUP(BR65,Reinforcements[],COLUMN(Reinforcements[[#Headers],[Top Transverse (Horizontal) Weld]])-1,FALSE)),"",(VLOOKUP(BR65,Reinforcements[],COLUMN(Reinforcements[[#Headers],[Top Transverse (Horizontal) Weld]])-1,FALSE)))</f>
        <v>#N/A</v>
      </c>
      <c r="CZ65" s="451" t="e">
        <f>IF(ISBLANK(VLOOKUP(BR65,Reinforcements[],COLUMN(Reinforcements[[#Headers],[Top Longitudinal Weld Length]])-1,FALSE)),"",(VLOOKUP(BR65,Reinforcements[],COLUMN(Reinforcements[[#Headers],[Top Longitudinal Weld Length]])-1,FALSE)))</f>
        <v>#N/A</v>
      </c>
      <c r="DA65" s="369" t="str">
        <f>IFERROR(VLOOKUP(BR65,Reinforcements[],COLUMN(Reinforcements[[#Headers],[Top Connected to Flange/Base Plate?]])-1,FALSE),"")</f>
        <v/>
      </c>
      <c r="DB65" s="369" t="e">
        <f>IF(Rev="F",VLOOKUP(BR65,Reinforcements[],COLUMN(Reinforcements[[#Headers],[Rev. F Top Transverse Weld Strength]])-1,FALSE),VLOOKUP(BR65,Reinforcements[],COLUMN(Reinforcements[[#Headers],[Rev. G Top Transverse Weld Strength]])-1,FALSE))</f>
        <v>#N/A</v>
      </c>
      <c r="DC65" s="369" t="e">
        <f>IF(DA65="Yes",IF(CY65="Fillet",VLOOKUP(BR65,Reinforcements[],COLUMN(Reinforcements[[#Headers],[Top Transverse Weld Fillet Size (in)]])-1,FALSE)*CX65*MIN(IF(Rev="F",0.4,φ_shear_yield*0.6)*CG65,IF(Rev="F",0.3,φ_shear_rupture*0.6)*CH65),VLOOKUP(BR65,Reinforcements[],COLUMN(Reinforcements[[#Headers],[Top Transverse Weld Groove Depth (in)]])-1,FALSE)/COS(RADIANS(VLOOKUP(BR65,Reinforcements[],COLUMN(Reinforcements[[#Headers],[Top Transverse Weld Groove Angle (degrees)]])-1,FALSE)))*CX65*IF(Rev="F",0.6,φ_t_y)*CG65),VLOOKUP(BR65,Reinforcements[],COLUMN(Reinforcements[[#Headers],[Top Transverse Weld Fillet Size (in)]])-1,FALSE)*CX65*IF(Rev="F",0.6,φ_t_y)*CG65)</f>
        <v>#N/A</v>
      </c>
      <c r="DD65" s="369" t="str">
        <f>IF(DA65&lt;&gt;"Yes","",(VLOOKUP(BR65,Reinforcements[],COLUMN(Reinforcements[[#Headers],[Top Transverse Weld Groove Depth (in)]])-1,FALSE)+VLOOKUP(BR65,Reinforcements[],COLUMN(Reinforcements[[#Headers],[Top Transverse Weld Fillet Size (in)]])-1,FALSE))*CX65*IF(Rev="F",0.6,φ_t_y)*$D$14)</f>
        <v/>
      </c>
      <c r="DE65" s="369" t="e">
        <f>IF(DA65="Yes","",VLOOKUP(BR65,Reinforcements[],COLUMN(Reinforcements[[#Headers],[Top Transverse Weld Fillet Size (in)]])-1,FALSE)*CX65*MIN(IF(Rev="F",0.4,φ_shear_yield*0.6)*$D$6,IF(Rev="F",0.3,φ_shear_rupture*0.6)*$D$7))</f>
        <v>#N/A</v>
      </c>
      <c r="DF65" s="369" t="e">
        <f>IF(Rev="F",VLOOKUP(BR65,Reinforcements[],COLUMN(Reinforcements[[#Headers],[Rev. F Top Longitudinal Weld Strength]])-1,FALSE),VLOOKUP(BR65,Reinforcements[],COLUMN(Reinforcements[[#Headers],[Rev. G Top Longitudinal Weld Strength]])-1,FALSE))</f>
        <v>#N/A</v>
      </c>
      <c r="DG65" s="369" t="e">
        <f>2*VLOOKUP(BR65,Reinforcements[],COLUMN(Reinforcements[[#Headers],[Top Longitudinal Weld Fillet Size (in)]])-1,FALSE)*CZ65*MIN(IF(Rev="F",0.4,φ_shear_yield*0.6)*CG65,IF(Rev="F",0.3,φ_shear_rupture*0.6)*CH65)</f>
        <v>#N/A</v>
      </c>
      <c r="DH65" s="369" t="e">
        <f>2*VLOOKUP(BR65,Reinforcements[],COLUMN(Reinforcements[[#Headers],[Top Longitudinal Weld Fillet Size (in)]])-1,FALSE)*CZ65*MIN(IF(Rev="F",0.4,φ_shear_yield*0.6)*$D$6,IF(Rev="F",0.3,φ_shear_rupture*0.6)*$D$7)</f>
        <v>#N/A</v>
      </c>
      <c r="DI65" s="66" t="e">
        <f>IF(BS65="channel",VLOOKUP(Calculations!BR65,Reinforcements[],COLUMN(Reinforcements[[#Headers],['[Channel']Web Thickness (in)]])-1,FALSE),"")</f>
        <v>#N/A</v>
      </c>
      <c r="DJ65" s="66" t="b">
        <f t="shared" si="84"/>
        <v>0</v>
      </c>
      <c r="DK65" s="66" t="e">
        <f>IF(BS65="channel",Calculations!BU65-DI65,"")</f>
        <v>#N/A</v>
      </c>
      <c r="DL65" s="66" t="e">
        <f>IF(BS65="channel",(Calculations!BY65-Calculations!BT65*DI65)/(2*DK65))</f>
        <v>#N/A</v>
      </c>
      <c r="DM65" s="66" t="e">
        <f>IF(BS65="channel",(Calculations!BT65*(DI65^2)/2+2*DK65*DL65*(DI65+DK65/2))/Calculations!BY65,"")</f>
        <v>#N/A</v>
      </c>
    </row>
    <row r="66" spans="2:117" ht="15" x14ac:dyDescent="0.25">
      <c r="B66" s="66" t="str">
        <f t="shared" si="70"/>
        <v/>
      </c>
      <c r="C66" s="317">
        <v>7</v>
      </c>
      <c r="D66" s="380" t="str">
        <f>IF(BQ66="","",IF($D$8=0,IF(OR(VLOOKUP(BQ66,Input!$B$21:$AL$50,19+C66,FALSE)+$D$5=0,VLOOKUP(BQ66,Input!$B$21:$AL$50,19+C66,FALSE)+$D$5=180),VLOOKUP(BQ66,Input!$B$21:$AL$50,19+C66,FALSE)+$D$5+0.0001,VLOOKUP(BQ66,Input!$B$21:$AL$50,19+C66,FALSE)+$D$5),IF(VLOOKUP(BQ66,Input!$B$21:$AL$50,19+C66,FALSE)="c",VLOOKUP($C66,$C$40:$E$57,2,FALSE)+180/$D$8,VLOOKUP($C66,$C$40:$E$57,2,FALSE))))</f>
        <v/>
      </c>
      <c r="E66" s="370" t="str">
        <f t="shared" si="39"/>
        <v/>
      </c>
      <c r="F66" s="381" t="str">
        <f>IF(BR66="","",VLOOKUP(BR66,Reinforcements[],COLUMN(Reinforcements[[#Headers],[Gross Area (in2)]])-1,FALSE))</f>
        <v/>
      </c>
      <c r="G66" s="378" t="e">
        <f>(IF(VLOOKUP(BQ66,Input!$B$21:$AL$50,19+C66,FALSE)="c",$D$20/COS(RADIANS(180/$D$8)),$D$20)+CA66)*SIN(RADIANS(D66))-IF(AND(ISNUMBER(VLOOKUP(BQ66,Input!$B$21:$AL$50,19+C66,FALSE)),$D$8&lt;&gt;0),VLOOKUP(BQ66,Input!$B$21:$AL$50,19+C66,FALSE)*COS(RADIANS(D66)),0)</f>
        <v>#N/A</v>
      </c>
      <c r="H66" s="373" t="str">
        <f t="shared" si="71"/>
        <v/>
      </c>
      <c r="I66" s="373" t="e">
        <f t="shared" si="40"/>
        <v>#N/A</v>
      </c>
      <c r="J66" s="373" t="e">
        <f t="shared" si="41"/>
        <v>#N/A</v>
      </c>
      <c r="K66" s="373" t="e">
        <f t="shared" si="42"/>
        <v>#N/A</v>
      </c>
      <c r="L66" s="373" t="e">
        <f t="shared" si="72"/>
        <v>#N/A</v>
      </c>
      <c r="M66" s="374" t="str">
        <f t="shared" si="73"/>
        <v/>
      </c>
      <c r="N66" s="372" t="str">
        <f>IFERROR((IF(VLOOKUP(BQ66,Input!$B$21:$AL$50,19+C66,FALSE)="c",$D$20/COS(RADIANS(180/$D$8)),$D$20)+CA66)*SIN(RADIANS(D66))-IF(AND(ISNUMBER(VLOOKUP(BQ66,Input!$B$21:$AL$50,19+C66,FALSE)),$D$8&lt;&gt;0),VLOOKUP(BQ66,Input!$B$21:$AL$50,19+C66,FALSE)*COS(RADIANS(D66)),0)-$D$35,"")</f>
        <v/>
      </c>
      <c r="O66" s="375" t="str">
        <f t="shared" si="43"/>
        <v/>
      </c>
      <c r="P66" s="375" t="str">
        <f t="shared" si="44"/>
        <v/>
      </c>
      <c r="Q66" s="375" t="str">
        <f t="shared" si="45"/>
        <v/>
      </c>
      <c r="R66" s="376" t="str">
        <f t="shared" si="46"/>
        <v/>
      </c>
      <c r="S66" s="373" t="str">
        <f t="shared" si="74"/>
        <v/>
      </c>
      <c r="T66" s="373" t="str">
        <f t="shared" si="75"/>
        <v/>
      </c>
      <c r="U66" s="373" t="str">
        <f t="shared" si="76"/>
        <v/>
      </c>
      <c r="V66" s="374" t="str">
        <f t="shared" si="77"/>
        <v/>
      </c>
      <c r="W66" s="482" t="str">
        <f>IFERROR(IF('Macro References'!$A$9,IF(AND(Calculations!CK66,CL66="Bolted"),VLOOKUP($BR66,Reinforcements[],COLUMN(IF(Rev="F",Reinforcements[[#Headers],[Rev. F Bolt Shear Capacity   (Top)        (kips)]],IF(Rev="G",Reinforcements[[#Headers],[Rev. G Bolt Shear Capacity (Top)     (kips)]],Reinforcements[[#Headers],[Rev. H Bolt Shear Capacity (Top) (kips)]])))-1,FALSE),IF(AND(Calculations!CJ66,CL66="Bolted"),VLOOKUP($BR66,Reinforcements[],COLUMN(IF(Rev="F",Reinforcements[[#Headers],[Rev. F Bolt Shear Capacity (Bottom)   (kips)]],IF(Rev="G",Reinforcements[[#Headers],[Rev. G Bolt Shear Capacity (Bottom) (kips)]],Reinforcements[[#Headers],[Rev. H Bolt Shear Capacity (Bottom) (kips)]])))-1,FALSE),"")),""),"")</f>
        <v/>
      </c>
      <c r="X66" s="483" t="str">
        <f>IFERROR(IF('Macro References'!$A$9,IF('Macro References'!$A$10,IF(AND(Calculations!CK66,CL66="Bolted"),VLOOKUP($BR66,Reinforcements[],COLUMN(IF(Rev="F",Reinforcements[[#Headers],[Rev.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kips)]])))-1,FALSE),IF(AND(Calculations!CJ66,CL66="Bolted"),VLOOKUP($BR66,Reinforcements[],COLUMN(IF(Rev="F",Reinforcements[[#Headers],[Rev.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kips)]])))-1,FALSE),"")),IF(AND(Calculations!CK66,CL66="Bolted"),VLOOKUP($BR66,Reinforcements[],COLUMN(IF(Rev="F",Reinforcements[[#Headers],[Rev.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kips)]])))-1,FALSE),IF(AND(Calculations!CJ66,CL66="Bolted"),VLOOKUP($BR66,Reinforcements[],COLUMN(IF(Rev="F",Reinforcements[[#Headers],[Rev.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6" s="483" t="str">
        <f>IFERROR(IF('Macro References'!$A$9,IF('Macro References'!$A$10,IF(AND(Calculations!CK66,CL66="Bolted"),VLOOKUP($BR66,Reinforcements[],COLUMN(IF(Rev="F",Reinforcements[[#Headers],[Rev.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(kips)]])))-1,FALSE),IF(AND(Calculations!CJ66,CL66="Bolted"),VLOOKUP($BR66,Reinforcements[],COLUMN(IF(Rev="F",Reinforcements[[#Headers],[Rev.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(kips)]])))-1,FALSE),"")),IF(AND(Calculations!CK66,CL66="Bolted"),VLOOKUP($BR66,Reinforcements[],COLUMN(IF(Rev="F",Reinforcements[[#Headers],[Rev.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(kips)]])))-1,FALSE),IF(AND(Calculations!CJ66,CL66="Bolted"),VLOOKUP($BR66,Reinforcements[],COLUMN(IF(Rev="F",Reinforcements[[#Headers],[Rev.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6" s="483" t="str">
        <f>IFERROR(IF('Macro References'!$A$9,IF(AND(CJ66,CL66="Welded"),MIN(CQ66:CT66),IF(AND(CK66,CL66="Welded"),MIN(DB66:DE66),"")),""),"")</f>
        <v/>
      </c>
      <c r="AA66" s="484" t="str">
        <f>IFERROR(IF('Macro References'!$A$9,IF(AND(CJ66,CL66="Welded"),MIN(CU66:CW66),IF(AND(CK66,CL66="Welded"),MIN(DF66:DH66),"")),""),"")</f>
        <v/>
      </c>
      <c r="AB66" s="484" t="str">
        <f>IFERROR(IF('Macro References'!$A$9,IF(AND(CJ66,CL66="Welded",CN66="Fillet",CU66&gt;0),TRUE,IF(AND(CK66,CL66="Welded",CY66="Fillet",DF66&gt;0),TRUE,"")),""),"")</f>
        <v/>
      </c>
      <c r="AC66" s="484" t="e">
        <f>IF('Macro References'!$A$9,IF(AND(CJ66,CL66="Capacity Input"),IF(Rev="F",VLOOKUP(BR66,Reinforcements[],COLUMN(Reinforcements[[#Headers],[Rev. F Bottom Connection Capacity (kips)]])-1,FALSE),IF(Rev="G",VLOOKUP(BR66,Reinforcements[],COLUMN(Reinforcements[[#Headers],[Rev. G Bottom Connection Capacity (kips)]])-1,FALSE),VLOOKUP(BR66,Reinforcements[],COLUMN(Reinforcements[[#Headers],[Rev. H Bottom Connection Capacity (kips)]])-1,FALSE))),IF(AND(CK66,CL66="Capacity Input"),IF(Rev="F",VLOOKUP(BR66,Reinforcements[],COLUMN(Reinforcements[[#Headers],[Rev. F Top Connection Capacity (kips)]])-1,FALSE),IF(Rev="G",VLOOKUP(BR66,Reinforcements[],COLUMN(Reinforcements[[#Headers],[Rev. G Top Connection Capacity (kips)]])-1,FALSE),VLOOKUP(BR66,Reinforcements[],COLUMN(Reinforcements[[#Headers],[Rev. H Top Connection Capacity (kips)]])-1,FALSE))),"")),"")</f>
        <v>#VALUE!</v>
      </c>
      <c r="AD66" s="484" t="str">
        <f>IFERROR(IF(Rev="F",MIN(VLOOKUP(BR66,Reinforcements[],COLUMN(Reinforcements[[#Headers],[Rev. F Compression Capacity x-x (kips)]])-1,FALSE),VLOOKUP(BR66,Reinforcements[],COLUMN(Reinforcements[[#Headers],[Rev. F Compression Capacity y-y (kips)]])-1,FALSE)),IF(Rev="G",MIN(VLOOKUP(BR66,Reinforcements[],COLUMN(Reinforcements[[#Headers],[Rev. G Compression Capacity x-x (kips)]])-1,FALSE),VLOOKUP(BR66,Reinforcements[],COLUMN(Reinforcements[[#Headers],[Rev. G Compression Capacity y-y (kips)]])-1,FALSE)),MIN(VLOOKUP(BR66,Reinforcements[],COLUMN(Reinforcements[[#Headers],[Rev. H Compression Capacity x-x (kips)]])-1,FALSE),VLOOKUP(BR66,Reinforcements[],COLUMN(Reinforcements[[#Headers],[Rev. H Compression Capacity y-y (kips)]])-1,FALSE)))),"")</f>
        <v/>
      </c>
      <c r="AE66" s="485" t="str">
        <f>IFERROR(IF(Rev="F",VLOOKUP(BR66,Reinforcements[],COLUMN(Reinforcements[[#Headers],[Rev. F Shear Capacity (kips)]])-1,FALSE)/BY66,IF(Rev="G",VLOOKUP(Calculations!BR66,Reinforcements[],COLUMN(Reinforcements[[#Headers],[Rev. G Shear Capacity (kips)]])-1,FALSE),VLOOKUP(Calculations!BR66,Reinforcements[],COLUMN(Reinforcements[[#Headers],[Rev. H Shear Capacity (kips)]])-1,FALSE))),"")</f>
        <v/>
      </c>
      <c r="AF66" s="451" t="str">
        <f>IFERROR(IF(Rev="F",VLOOKUP(BR66,Reinforcements[],COLUMN(Reinforcements[[#Headers],[Rev. F Tension Yield Capacity (kips)]])-1,FALSE),IF(Rev="G",VLOOKUP(Calculations!BR66,Reinforcements[],COLUMN(Reinforcements[[#Headers],[Rev. G Tension Yield Capacity (kips)]])-1,FALSE),VLOOKUP(Calculations!BR66,Reinforcements[],COLUMN(Reinforcements[[#Headers],[Rev. H Tension Yield Capacity (kips)]])-1,FALSE))),"")</f>
        <v/>
      </c>
      <c r="AG66" s="486" t="str">
        <f>IFERROR(IF(Rev="F",VLOOKUP(BR66,Reinforcements[],COLUMN(Reinforcements[[#Headers],[Rev. F Tension Rupture Capacity (kips)]])-1,FALSE),IF(Rev="G",VLOOKUP(Calculations!BR66,Reinforcements[],COLUMN(Reinforcements[[#Headers],[Rev. G Tension Rupture Capacity (kips)]])-1,FALSE),VLOOKUP(Calculations!BR66,Reinforcements[],COLUMN(Reinforcements[[#Headers],[Rev. H Tension Rupture Capacity (kips)]])-1, FALSE))),"")</f>
        <v/>
      </c>
      <c r="AH66" s="409" t="str">
        <f t="shared" si="47"/>
        <v/>
      </c>
      <c r="AI66" s="380" t="str">
        <f t="shared" si="48"/>
        <v/>
      </c>
      <c r="AJ66" s="380" t="str">
        <f t="shared" si="49"/>
        <v/>
      </c>
      <c r="AK66" s="380" t="str">
        <f t="shared" si="85"/>
        <v/>
      </c>
      <c r="AL66" s="369" t="str">
        <f t="shared" si="78"/>
        <v/>
      </c>
      <c r="AM66" s="380" t="str">
        <f>""</f>
        <v/>
      </c>
      <c r="AN66" s="380" t="str">
        <f t="shared" si="50"/>
        <v/>
      </c>
      <c r="AO66" s="369" t="str">
        <f t="shared" si="51"/>
        <v/>
      </c>
      <c r="AP66" s="410" t="str">
        <f t="shared" si="52"/>
        <v/>
      </c>
      <c r="AQ66" s="411" t="str">
        <f t="shared" si="53"/>
        <v/>
      </c>
      <c r="AR66" s="380" t="str">
        <f>IF(BR66="","",VLOOKUP(VLOOKUP(BR66,Reinforcements[],COLUMN(Reinforcements[[#Headers],[Material]])-1,FALSE),Materials[],2,FALSE)/$D$28)</f>
        <v/>
      </c>
      <c r="AS66" s="369" t="str">
        <f t="shared" si="54"/>
        <v/>
      </c>
      <c r="AT66" s="489" t="str">
        <f t="shared" si="55"/>
        <v/>
      </c>
      <c r="AU66" s="412">
        <f t="shared" si="56"/>
        <v>0</v>
      </c>
      <c r="AV66" s="413">
        <f t="shared" si="57"/>
        <v>0</v>
      </c>
      <c r="AW66" s="413" t="e">
        <f t="shared" si="58"/>
        <v>#N/A</v>
      </c>
      <c r="AX66" s="413" t="e">
        <f t="shared" si="59"/>
        <v>#N/A</v>
      </c>
      <c r="AY66" s="434" t="str">
        <f t="shared" si="60"/>
        <v/>
      </c>
      <c r="AZ66" s="413" t="e">
        <f t="shared" si="61"/>
        <v>#VALUE!</v>
      </c>
      <c r="BA66" s="433" t="str">
        <f t="shared" si="62"/>
        <v/>
      </c>
      <c r="BB66" s="436" t="str">
        <f t="shared" si="79"/>
        <v/>
      </c>
      <c r="BC66" s="437" t="str">
        <f t="shared" si="63"/>
        <v/>
      </c>
      <c r="BD66" s="437" t="str">
        <f t="shared" si="64"/>
        <v/>
      </c>
      <c r="BE66" s="433" t="str">
        <f t="shared" si="80"/>
        <v/>
      </c>
      <c r="BF66" s="438" t="e">
        <f t="shared" si="81"/>
        <v>#DIV/0!</v>
      </c>
      <c r="BG66" s="439" t="str">
        <f t="shared" si="65"/>
        <v/>
      </c>
      <c r="BH66" s="439" t="str">
        <f t="shared" si="66"/>
        <v/>
      </c>
      <c r="BI66" s="433" t="e">
        <f t="shared" si="82"/>
        <v>#DIV/0!</v>
      </c>
      <c r="BJ66" s="438" t="str">
        <f t="shared" si="83"/>
        <v/>
      </c>
      <c r="BK66" s="413" t="e">
        <f t="shared" si="67"/>
        <v>#DIV/0!</v>
      </c>
      <c r="BL66" s="66" t="str">
        <f t="shared" si="68"/>
        <v/>
      </c>
      <c r="BP66" s="30" t="e">
        <f t="shared" si="69"/>
        <v>#DIV/0!</v>
      </c>
      <c r="BQ66" s="344" t="str">
        <f>IFERROR(VALUE(LEFT(VLOOKUP(Calculations!$D$4,Results!$G$5:$CM$105,67+$C66,FALSE),FIND(";",VLOOKUP(Calculations!$D$4,Results!$G$5:$CM$105,67+$C66,FALSE))-1)),"")</f>
        <v/>
      </c>
      <c r="BR66" s="444" t="str">
        <f>IF(BQ66="","",VLOOKUP(BQ66,Input!$B$21:$Q$50,13,FALSE))</f>
        <v/>
      </c>
      <c r="BS66" s="369" t="e">
        <f>VLOOKUP(BR66,Reinforcements[],COLUMN(Reinforcements[[#Headers],[Type]])-1,FALSE)</f>
        <v>#N/A</v>
      </c>
      <c r="BT66" s="369" t="e">
        <f>IF(BS66="solid round",VLOOKUP(BR66,Reinforcements[],COLUMN(Reinforcements[[#Headers],[Diameter (in)]])-1,FALSE),VLOOKUP(BR66,Reinforcements[],COLUMN(Reinforcements[[#Headers],[B (in)]])-1,FALSE))</f>
        <v>#N/A</v>
      </c>
      <c r="BU66" s="369" t="e">
        <f>IF(BS66="solid round",VLOOKUP(BR66,Reinforcements[],COLUMN(Reinforcements[[#Headers],[Diameter (in)]])-1,FALSE),VLOOKUP(BR66,Reinforcements[],COLUMN(Reinforcements[[#Headers],[H (in)]])-1,FALSE))</f>
        <v>#N/A</v>
      </c>
      <c r="BV66" s="413" t="e">
        <f>IFERROR((IF(VLOOKUP(BQ66,Input!$B$21:$AL$50,19+C66,FALSE)="c",$D$20/COS(RADIANS(180/$D$8)),$D$20)+BU66/2)*SIN(RADIANS(D66))-IF(ISNUMBER(VLOOKUP(BQ66,Input!$B$21:$AL$50,19+C66,FALSE)),VLOOKUP(BQ66,Input!$B$21:$AL$50,19+C66,FALSE)*COS(RADIANS(D66)),0)-$D$35,"")*0+N66*1</f>
        <v>#VALUE!</v>
      </c>
      <c r="BW66" s="369" t="e">
        <f>VLOOKUP(BR66,Reinforcements[],COLUMN(Reinforcements[[#Headers],[Effective B (in)]])-1,FALSE)</f>
        <v>#N/A</v>
      </c>
      <c r="BX66" s="369" t="e">
        <f>VLOOKUP(BR66,Reinforcements[],COLUMN(Reinforcements[[#Headers],[Effective H (in)]])-1,FALSE)</f>
        <v>#N/A</v>
      </c>
      <c r="BY66" s="369" t="e">
        <f>VLOOKUP(BR66,Reinforcements[],COLUMN(Reinforcements[[#Headers],[Gross Area (in2)]])-1,FALSE)</f>
        <v>#N/A</v>
      </c>
      <c r="BZ66" s="380" t="s">
        <v>335</v>
      </c>
      <c r="CA66" s="369" t="e">
        <f>VLOOKUP(BR66,Reinforcements[],COLUMN(Reinforcements[[#Headers],[Pole Face to Centroid (in)]])-1,FALSE)</f>
        <v>#N/A</v>
      </c>
      <c r="CB66" s="369" t="e">
        <f>VLOOKUP(BR66,Reinforcements[],COLUMN(Reinforcements[[#Headers],[Equivalent Rectangle Ix (in4)]])-1,FALSE)</f>
        <v>#N/A</v>
      </c>
      <c r="CC66" s="369" t="e">
        <f>VLOOKUP(BR66,Reinforcements[],COLUMN(Reinforcements[[#Headers],[Equivalent Rectangle Iy (in4)]])-1,FALSE)</f>
        <v>#N/A</v>
      </c>
      <c r="CD66" s="369" t="e">
        <f>VLOOKUP(BR66,Reinforcements[],COLUMN(Reinforcements[[#Headers],[Lu (in)]])-1,FALSE)</f>
        <v>#N/A</v>
      </c>
      <c r="CE66" s="380" t="s">
        <v>335</v>
      </c>
      <c r="CF66" s="380" t="s">
        <v>335</v>
      </c>
      <c r="CG66" s="369" t="e">
        <f>VLOOKUP(VLOOKUP(BR66,Reinforcements[],COLUMN(Reinforcements[[#Headers],[Material]])-1,FALSE),Materials[],2,FALSE)</f>
        <v>#N/A</v>
      </c>
      <c r="CH66" s="369" t="e">
        <f>VLOOKUP(VLOOKUP(BR66,Reinforcements[],COLUMN(Reinforcements[[#Headers],[Material]])-1,FALSE),Materials[],3,FALSE)</f>
        <v>#N/A</v>
      </c>
      <c r="CI66" s="380" t="e">
        <f>VLOOKUP(BR66,Reinforcements[],COLUMN(Reinforcements[[#Headers],[Tension Only?]])-1,FALSE)</f>
        <v>#N/A</v>
      </c>
      <c r="CJ66" s="449" t="str">
        <f>IF(BQ66="","",AND(INDEX(Results!$G$5:$G$104,MATCH(VLOOKUP($BQ66,Input!$B$21:$J$50,2,FALSE)-0.001,Results!$G$5:$G$104,-1))=$D$4))</f>
        <v/>
      </c>
      <c r="CK66" s="449" t="str">
        <f>IF(BQ66="","",AND(INDEX('Macro References'!$BB$2:$BB$101,MATCH(VLOOKUP($BQ66,Input!$B$21:$J$50,6,FALSE)-0.001,'Macro References'!$BB$2:$BB$101,1))=$D$4))</f>
        <v/>
      </c>
      <c r="CL66" s="449" t="e">
        <f>IF(CJ66,VLOOKUP(BR66,Reinforcements[],COLUMN(Reinforcements[[#Headers],[Bottom End Connection Type]])-1,FALSE),IF(CK66,VLOOKUP(BR66,Reinforcements[],COLUMN(Reinforcements[[#Headers],[Top End Connection Type]])-1,FALSE),""))</f>
        <v>#VALUE!</v>
      </c>
      <c r="CM66" s="449" t="e">
        <f>IF(ISBLANK(VLOOKUP(BR66,Reinforcements[],COLUMN(Reinforcements[[#Headers],[Bottom Transverse Weld Length]])-1,FALSE)),"",(VLOOKUP(BR66,Reinforcements[],COLUMN(Reinforcements[[#Headers],[Bottom Transverse Weld Length]])-1,FALSE)))</f>
        <v>#N/A</v>
      </c>
      <c r="CN66" s="449" t="e">
        <f>IF(ISBLANK(VLOOKUP(BR66,Reinforcements[],COLUMN(Reinforcements[[#Headers],[Bottom Transverse (Horizontal) Weld]])-1,FALSE)),"",(VLOOKUP(BR66,Reinforcements[],COLUMN(Reinforcements[[#Headers],[Bottom Transverse (Horizontal) Weld]])-1,FALSE)))</f>
        <v>#N/A</v>
      </c>
      <c r="CO66" s="449" t="e">
        <f>IF(ISBLANK(VLOOKUP(BR66,Reinforcements[],COLUMN(Reinforcements[[#Headers],[Bottom Longitudinal Weld Length]])-1,FALSE)),"",(VLOOKUP(BR66,Reinforcements[],COLUMN(Reinforcements[[#Headers],[Bottom Longitudinal Weld Length]])-1,FALSE)))</f>
        <v>#N/A</v>
      </c>
      <c r="CP66" s="449" t="str">
        <f>IFERROR(VLOOKUP(BR66,Reinforcements[],COLUMN(Reinforcements[[#Headers],[Bottom Connected to Flange/Base Plate?]])-1,FALSE),"")</f>
        <v/>
      </c>
      <c r="CQ66" s="369" t="e">
        <f>IF(Rev="F",VLOOKUP(BR66,Reinforcements[],COLUMN(Reinforcements[[#Headers],[Rev. F Bottom Transverse Weld Strength]])-1,FALSE),VLOOKUP(BR66,Reinforcements[],COLUMN(Reinforcements[[#Headers],[Rev. G Bottom Transverse Weld Strength]])-1,FALSE))</f>
        <v>#N/A</v>
      </c>
      <c r="CR66" s="369" t="e">
        <f>IF(CP66="Yes",IF(CN66="Fillet",VLOOKUP(BR66,Reinforcements[],COLUMN(Reinforcements[[#Headers],[Bottom Transverse Weld Fillet Size (in)]])-1,FALSE)*CM66*MIN(IF(Rev="F",0.4,φ_shear_yield*0.6)*CG66,IF(Rev="F",0.3,φ_shear_rupture*0.6)*CH66),VLOOKUP(BR66,Reinforcements[],COLUMN(Reinforcements[[#Headers],[Bottom Transverse Weld Groove Depth (in)]])-1,FALSE)/COS(RADIANS(VLOOKUP(BR66,Reinforcements[],COLUMN(Reinforcements[[#Headers],[Bottom Transverse Weld Groove Angle (degrees)]])-1,FALSE)))*CM66*IF(Rev="F",0.6,φ_t_y)*CG66),VLOOKUP(BR66,Reinforcements[],COLUMN(Reinforcements[[#Headers],[Bottom Transverse Weld Fillet Size (in)]])-1,FALSE)*CM66*IF(Rev="F",0.6,φ_t_y)*CG66)</f>
        <v>#N/A</v>
      </c>
      <c r="CS66" s="369" t="str">
        <f>IF(CP66&lt;&gt;"Yes","",(VLOOKUP(BR66,Reinforcements[],COLUMN(Reinforcements[[#Headers],[Bottom Transverse Weld Groove Depth (in)]])-1,FALSE)+VLOOKUP(BR66,Reinforcements[],COLUMN(Reinforcements[[#Headers],[Bottom Transverse Weld Fillet Size (in)]])-1,FALSE))*CM66*IF(Rev="F",0.6,φ_t_y)*$D$14)</f>
        <v/>
      </c>
      <c r="CT66" s="369" t="e">
        <f>IF(CP66="Yes","",VLOOKUP(BR66,Reinforcements[],COLUMN(Reinforcements[[#Headers],[Bottom Transverse Weld Fillet Size (in)]])-1,FALSE)*CM66*MIN(IF(Rev="F",0.4,φ_shear_yield*0.6)*$D$6,IF(Rev="F",0.3,φ_shear_rupture*0.6)*$D$7))</f>
        <v>#N/A</v>
      </c>
      <c r="CU66" s="369" t="e">
        <f>IF(Rev="F",VLOOKUP(BR66,Reinforcements[],COLUMN(Reinforcements[[#Headers],[Rev. F Bottom Longitudinal Weld Strength]])-1,FALSE),VLOOKUP(BR66,Reinforcements[],COLUMN(Reinforcements[[#Headers],[Rev. G Bottom Longitudinal Weld Strength]])-1,FALSE))</f>
        <v>#N/A</v>
      </c>
      <c r="CV66" s="369" t="e">
        <f>2*VLOOKUP(BR66,Reinforcements[],COLUMN(Reinforcements[[#Headers],[Bottom Longitudinal Weld Fillet Size (in)]])-1,FALSE)*CO66*MIN(IF(Rev="F",0.4,φ_shear_yield*0.6)*CG66,IF(Rev="F",0.3,φ_shear_rupture*0.6)*CH66)</f>
        <v>#N/A</v>
      </c>
      <c r="CW66" s="369" t="e">
        <f>2*VLOOKUP(BR66,Reinforcements[],COLUMN(Reinforcements[[#Headers],[Bottom Longitudinal Weld Fillet Size (in)]])-1,FALSE)*CO66*MIN(IF(Rev="F",0.4,φ_shear_yield*0.6)*$D$6,IF(Rev="F",0.3,φ_shear_rupture*0.6)*$D$7)</f>
        <v>#N/A</v>
      </c>
      <c r="CX66" s="451" t="e">
        <f>IF(ISBLANK(VLOOKUP(BR66,Reinforcements[],COLUMN(Reinforcements[[#Headers],[Top Transverse Weld Length]])-1,FALSE)),"",(VLOOKUP(BR66,Reinforcements[],COLUMN(Reinforcements[[#Headers],[Top Transverse Weld Length]])-1,FALSE)))</f>
        <v>#N/A</v>
      </c>
      <c r="CY66" s="451" t="e">
        <f>IF(ISBLANK(VLOOKUP(BR66,Reinforcements[],COLUMN(Reinforcements[[#Headers],[Top Transverse (Horizontal) Weld]])-1,FALSE)),"",(VLOOKUP(BR66,Reinforcements[],COLUMN(Reinforcements[[#Headers],[Top Transverse (Horizontal) Weld]])-1,FALSE)))</f>
        <v>#N/A</v>
      </c>
      <c r="CZ66" s="451" t="e">
        <f>IF(ISBLANK(VLOOKUP(BR66,Reinforcements[],COLUMN(Reinforcements[[#Headers],[Top Longitudinal Weld Length]])-1,FALSE)),"",(VLOOKUP(BR66,Reinforcements[],COLUMN(Reinforcements[[#Headers],[Top Longitudinal Weld Length]])-1,FALSE)))</f>
        <v>#N/A</v>
      </c>
      <c r="DA66" s="369" t="str">
        <f>IFERROR(VLOOKUP(BR66,Reinforcements[],COLUMN(Reinforcements[[#Headers],[Top Connected to Flange/Base Plate?]])-1,FALSE),"")</f>
        <v/>
      </c>
      <c r="DB66" s="369" t="e">
        <f>IF(Rev="F",VLOOKUP(BR66,Reinforcements[],COLUMN(Reinforcements[[#Headers],[Rev. F Top Transverse Weld Strength]])-1,FALSE),VLOOKUP(BR66,Reinforcements[],COLUMN(Reinforcements[[#Headers],[Rev. G Top Transverse Weld Strength]])-1,FALSE))</f>
        <v>#N/A</v>
      </c>
      <c r="DC66" s="369" t="e">
        <f>IF(DA66="Yes",IF(CY66="Fillet",VLOOKUP(BR66,Reinforcements[],COLUMN(Reinforcements[[#Headers],[Top Transverse Weld Fillet Size (in)]])-1,FALSE)*CX66*MIN(IF(Rev="F",0.4,φ_shear_yield*0.6)*CG66,IF(Rev="F",0.3,φ_shear_rupture*0.6)*CH66),VLOOKUP(BR66,Reinforcements[],COLUMN(Reinforcements[[#Headers],[Top Transverse Weld Groove Depth (in)]])-1,FALSE)/COS(RADIANS(VLOOKUP(BR66,Reinforcements[],COLUMN(Reinforcements[[#Headers],[Top Transverse Weld Groove Angle (degrees)]])-1,FALSE)))*CX66*IF(Rev="F",0.6,φ_t_y)*CG66),VLOOKUP(BR66,Reinforcements[],COLUMN(Reinforcements[[#Headers],[Top Transverse Weld Fillet Size (in)]])-1,FALSE)*CX66*IF(Rev="F",0.6,φ_t_y)*CG66)</f>
        <v>#N/A</v>
      </c>
      <c r="DD66" s="369" t="str">
        <f>IF(DA66&lt;&gt;"Yes","",(VLOOKUP(BR66,Reinforcements[],COLUMN(Reinforcements[[#Headers],[Top Transverse Weld Groove Depth (in)]])-1,FALSE)+VLOOKUP(BR66,Reinforcements[],COLUMN(Reinforcements[[#Headers],[Top Transverse Weld Fillet Size (in)]])-1,FALSE))*CX66*IF(Rev="F",0.6,φ_t_y)*$D$14)</f>
        <v/>
      </c>
      <c r="DE66" s="369" t="e">
        <f>IF(DA66="Yes","",VLOOKUP(BR66,Reinforcements[],COLUMN(Reinforcements[[#Headers],[Top Transverse Weld Fillet Size (in)]])-1,FALSE)*CX66*MIN(IF(Rev="F",0.4,φ_shear_yield*0.6)*$D$6,IF(Rev="F",0.3,φ_shear_rupture*0.6)*$D$7))</f>
        <v>#N/A</v>
      </c>
      <c r="DF66" s="369" t="e">
        <f>IF(Rev="F",VLOOKUP(BR66,Reinforcements[],COLUMN(Reinforcements[[#Headers],[Rev. F Top Longitudinal Weld Strength]])-1,FALSE),VLOOKUP(BR66,Reinforcements[],COLUMN(Reinforcements[[#Headers],[Rev. G Top Longitudinal Weld Strength]])-1,FALSE))</f>
        <v>#N/A</v>
      </c>
      <c r="DG66" s="369" t="e">
        <f>2*VLOOKUP(BR66,Reinforcements[],COLUMN(Reinforcements[[#Headers],[Top Longitudinal Weld Fillet Size (in)]])-1,FALSE)*CZ66*MIN(IF(Rev="F",0.4,φ_shear_yield*0.6)*CG66,IF(Rev="F",0.3,φ_shear_rupture*0.6)*CH66)</f>
        <v>#N/A</v>
      </c>
      <c r="DH66" s="369" t="e">
        <f>2*VLOOKUP(BR66,Reinforcements[],COLUMN(Reinforcements[[#Headers],[Top Longitudinal Weld Fillet Size (in)]])-1,FALSE)*CZ66*MIN(IF(Rev="F",0.4,φ_shear_yield*0.6)*$D$6,IF(Rev="F",0.3,φ_shear_rupture*0.6)*$D$7)</f>
        <v>#N/A</v>
      </c>
      <c r="DI66" s="66" t="e">
        <f>IF(BS66="channel",VLOOKUP(Calculations!BR66,Reinforcements[],COLUMN(Reinforcements[[#Headers],['[Channel']Web Thickness (in)]])-1,FALSE),"")</f>
        <v>#N/A</v>
      </c>
      <c r="DJ66" s="66" t="b">
        <f t="shared" si="84"/>
        <v>0</v>
      </c>
      <c r="DK66" s="66" t="e">
        <f>IF(BS66="channel",Calculations!BU66-DI66,"")</f>
        <v>#N/A</v>
      </c>
      <c r="DL66" s="66" t="e">
        <f>IF(BS66="channel",(Calculations!BY66-Calculations!BT66*DI66)/(2*DK66))</f>
        <v>#N/A</v>
      </c>
      <c r="DM66" s="66" t="e">
        <f>IF(BS66="channel",(Calculations!BT66*(DI66^2)/2+2*DK66*DL66*(DI66+DK66/2))/Calculations!BY66,"")</f>
        <v>#N/A</v>
      </c>
    </row>
    <row r="67" spans="2:117" ht="15" x14ac:dyDescent="0.25">
      <c r="B67" s="66" t="str">
        <f t="shared" si="70"/>
        <v/>
      </c>
      <c r="C67" s="317">
        <v>8</v>
      </c>
      <c r="D67" s="380" t="str">
        <f>IF(BQ67="","",IF($D$8=0,IF(OR(VLOOKUP(BQ67,Input!$B$21:$AL$50,19+C67,FALSE)+$D$5=0,VLOOKUP(BQ67,Input!$B$21:$AL$50,19+C67,FALSE)+$D$5=180),VLOOKUP(BQ67,Input!$B$21:$AL$50,19+C67,FALSE)+$D$5+0.0001,VLOOKUP(BQ67,Input!$B$21:$AL$50,19+C67,FALSE)+$D$5),IF(VLOOKUP(BQ67,Input!$B$21:$AL$50,19+C67,FALSE)="c",VLOOKUP($C67,$C$40:$E$57,2,FALSE)+180/$D$8,VLOOKUP($C67,$C$40:$E$57,2,FALSE))))</f>
        <v/>
      </c>
      <c r="E67" s="370" t="str">
        <f t="shared" si="39"/>
        <v/>
      </c>
      <c r="F67" s="381" t="str">
        <f>IF(BR67="","",VLOOKUP(BR67,Reinforcements[],COLUMN(Reinforcements[[#Headers],[Gross Area (in2)]])-1,FALSE))</f>
        <v/>
      </c>
      <c r="G67" s="378" t="e">
        <f>(IF(VLOOKUP(BQ67,Input!$B$21:$AL$50,19+C67,FALSE)="c",$D$20/COS(RADIANS(180/$D$8)),$D$20)+CA67)*SIN(RADIANS(D67))-IF(AND(ISNUMBER(VLOOKUP(BQ67,Input!$B$21:$AL$50,19+C67,FALSE)),$D$8&lt;&gt;0),VLOOKUP(BQ67,Input!$B$21:$AL$50,19+C67,FALSE)*COS(RADIANS(D67)),0)</f>
        <v>#N/A</v>
      </c>
      <c r="H67" s="373" t="str">
        <f t="shared" si="71"/>
        <v/>
      </c>
      <c r="I67" s="373" t="e">
        <f t="shared" si="40"/>
        <v>#N/A</v>
      </c>
      <c r="J67" s="373" t="e">
        <f t="shared" si="41"/>
        <v>#N/A</v>
      </c>
      <c r="K67" s="373" t="e">
        <f t="shared" si="42"/>
        <v>#N/A</v>
      </c>
      <c r="L67" s="373" t="e">
        <f t="shared" si="72"/>
        <v>#N/A</v>
      </c>
      <c r="M67" s="374" t="str">
        <f t="shared" si="73"/>
        <v/>
      </c>
      <c r="N67" s="372" t="str">
        <f>IFERROR((IF(VLOOKUP(BQ67,Input!$B$21:$AL$50,19+C67,FALSE)="c",$D$20/COS(RADIANS(180/$D$8)),$D$20)+CA67)*SIN(RADIANS(D67))-IF(AND(ISNUMBER(VLOOKUP(BQ67,Input!$B$21:$AL$50,19+C67,FALSE)),$D$8&lt;&gt;0),VLOOKUP(BQ67,Input!$B$21:$AL$50,19+C67,FALSE)*COS(RADIANS(D67)),0)-$D$35,"")</f>
        <v/>
      </c>
      <c r="O67" s="375" t="str">
        <f t="shared" si="43"/>
        <v/>
      </c>
      <c r="P67" s="375" t="str">
        <f t="shared" si="44"/>
        <v/>
      </c>
      <c r="Q67" s="375" t="str">
        <f t="shared" si="45"/>
        <v/>
      </c>
      <c r="R67" s="376" t="str">
        <f t="shared" si="46"/>
        <v/>
      </c>
      <c r="S67" s="373" t="str">
        <f t="shared" si="74"/>
        <v/>
      </c>
      <c r="T67" s="373" t="str">
        <f t="shared" si="75"/>
        <v/>
      </c>
      <c r="U67" s="373" t="str">
        <f t="shared" si="76"/>
        <v/>
      </c>
      <c r="V67" s="374" t="str">
        <f t="shared" si="77"/>
        <v/>
      </c>
      <c r="W67" s="482" t="str">
        <f>IFERROR(IF('Macro References'!$A$9,IF(AND(Calculations!CK67,CL67="Bolted"),VLOOKUP($BR67,Reinforcements[],COLUMN(IF(Rev="F",Reinforcements[[#Headers],[Rev. F Bolt Shear Capacity   (Top)        (kips)]],IF(Rev="G",Reinforcements[[#Headers],[Rev. G Bolt Shear Capacity (Top)     (kips)]],Reinforcements[[#Headers],[Rev. H Bolt Shear Capacity (Top) (kips)]])))-1,FALSE),IF(AND(Calculations!CJ67,CL67="Bolted"),VLOOKUP($BR67,Reinforcements[],COLUMN(IF(Rev="F",Reinforcements[[#Headers],[Rev. F Bolt Shear Capacity (Bottom)   (kips)]],IF(Rev="G",Reinforcements[[#Headers],[Rev. G Bolt Shear Capacity (Bottom) (kips)]],Reinforcements[[#Headers],[Rev. H Bolt Shear Capacity (Bottom) (kips)]])))-1,FALSE),"")),""),"")</f>
        <v/>
      </c>
      <c r="X67" s="483" t="str">
        <f>IFERROR(IF('Macro References'!$A$9,IF('Macro References'!$A$10,IF(AND(Calculations!CK67,CL67="Bolted"),VLOOKUP($BR67,Reinforcements[],COLUMN(IF(Rev="F",Reinforcements[[#Headers],[Rev.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kips)]])))-1,FALSE),IF(AND(Calculations!CJ67,CL67="Bolted"),VLOOKUP($BR67,Reinforcements[],COLUMN(IF(Rev="F",Reinforcements[[#Headers],[Rev.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kips)]])))-1,FALSE),"")),IF(AND(Calculations!CK67,CL67="Bolted"),VLOOKUP($BR67,Reinforcements[],COLUMN(IF(Rev="F",Reinforcements[[#Headers],[Rev.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kips)]])))-1,FALSE),IF(AND(Calculations!CJ67,CL67="Bolted"),VLOOKUP($BR67,Reinforcements[],COLUMN(IF(Rev="F",Reinforcements[[#Headers],[Rev.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7" s="483" t="str">
        <f>IFERROR(IF('Macro References'!$A$9,IF('Macro References'!$A$10,IF(AND(Calculations!CK67,CL67="Bolted"),VLOOKUP($BR67,Reinforcements[],COLUMN(IF(Rev="F",Reinforcements[[#Headers],[Rev.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(kips)]])))-1,FALSE),IF(AND(Calculations!CJ67,CL67="Bolted"),VLOOKUP($BR67,Reinforcements[],COLUMN(IF(Rev="F",Reinforcements[[#Headers],[Rev.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(kips)]])))-1,FALSE),"")),IF(AND(Calculations!CK67,CL67="Bolted"),VLOOKUP($BR67,Reinforcements[],COLUMN(IF(Rev="F",Reinforcements[[#Headers],[Rev.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(kips)]])))-1,FALSE),IF(AND(Calculations!CJ67,CL67="Bolted"),VLOOKUP($BR67,Reinforcements[],COLUMN(IF(Rev="F",Reinforcements[[#Headers],[Rev.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7" s="483" t="str">
        <f>IFERROR(IF('Macro References'!$A$9,IF(AND(CJ67,CL67="Welded"),MIN(CQ67:CT67),IF(AND(CK67,CL67="Welded"),MIN(DB67:DE67),"")),""),"")</f>
        <v/>
      </c>
      <c r="AA67" s="484" t="str">
        <f>IFERROR(IF('Macro References'!$A$9,IF(AND(CJ67,CL67="Welded"),MIN(CU67:CW67),IF(AND(CK67,CL67="Welded"),MIN(DF67:DH67),"")),""),"")</f>
        <v/>
      </c>
      <c r="AB67" s="484" t="str">
        <f>IFERROR(IF('Macro References'!$A$9,IF(AND(CJ67,CL67="Welded",CN67="Fillet",CU67&gt;0),TRUE,IF(AND(CK67,CL67="Welded",CY67="Fillet",DF67&gt;0),TRUE,"")),""),"")</f>
        <v/>
      </c>
      <c r="AC67" s="484" t="e">
        <f>IF('Macro References'!$A$9,IF(AND(CJ67,CL67="Capacity Input"),IF(Rev="F",VLOOKUP(BR67,Reinforcements[],COLUMN(Reinforcements[[#Headers],[Rev. F Bottom Connection Capacity (kips)]])-1,FALSE),IF(Rev="G",VLOOKUP(BR67,Reinforcements[],COLUMN(Reinforcements[[#Headers],[Rev. G Bottom Connection Capacity (kips)]])-1,FALSE),VLOOKUP(BR67,Reinforcements[],COLUMN(Reinforcements[[#Headers],[Rev. H Bottom Connection Capacity (kips)]])-1,FALSE))),IF(AND(CK67,CL67="Capacity Input"),IF(Rev="F",VLOOKUP(BR67,Reinforcements[],COLUMN(Reinforcements[[#Headers],[Rev. F Top Connection Capacity (kips)]])-1,FALSE),IF(Rev="G",VLOOKUP(BR67,Reinforcements[],COLUMN(Reinforcements[[#Headers],[Rev. G Top Connection Capacity (kips)]])-1,FALSE),VLOOKUP(BR67,Reinforcements[],COLUMN(Reinforcements[[#Headers],[Rev. H Top Connection Capacity (kips)]])-1,FALSE))),"")),"")</f>
        <v>#VALUE!</v>
      </c>
      <c r="AD67" s="484" t="str">
        <f>IFERROR(IF(Rev="F",MIN(VLOOKUP(BR67,Reinforcements[],COLUMN(Reinforcements[[#Headers],[Rev. F Compression Capacity x-x (kips)]])-1,FALSE),VLOOKUP(BR67,Reinforcements[],COLUMN(Reinforcements[[#Headers],[Rev. F Compression Capacity y-y (kips)]])-1,FALSE)),IF(Rev="G",MIN(VLOOKUP(BR67,Reinforcements[],COLUMN(Reinforcements[[#Headers],[Rev. G Compression Capacity x-x (kips)]])-1,FALSE),VLOOKUP(BR67,Reinforcements[],COLUMN(Reinforcements[[#Headers],[Rev. G Compression Capacity y-y (kips)]])-1,FALSE)),MIN(VLOOKUP(BR67,Reinforcements[],COLUMN(Reinforcements[[#Headers],[Rev. H Compression Capacity x-x (kips)]])-1,FALSE),VLOOKUP(BR67,Reinforcements[],COLUMN(Reinforcements[[#Headers],[Rev. H Compression Capacity y-y (kips)]])-1,FALSE)))),"")</f>
        <v/>
      </c>
      <c r="AE67" s="485" t="str">
        <f>IFERROR(IF(Rev="F",VLOOKUP(BR67,Reinforcements[],COLUMN(Reinforcements[[#Headers],[Rev. F Shear Capacity (kips)]])-1,FALSE)/BY67,IF(Rev="G",VLOOKUP(Calculations!BR67,Reinforcements[],COLUMN(Reinforcements[[#Headers],[Rev. G Shear Capacity (kips)]])-1,FALSE),VLOOKUP(Calculations!BR67,Reinforcements[],COLUMN(Reinforcements[[#Headers],[Rev. H Shear Capacity (kips)]])-1,FALSE))),"")</f>
        <v/>
      </c>
      <c r="AF67" s="451" t="str">
        <f>IFERROR(IF(Rev="F",VLOOKUP(BR67,Reinforcements[],COLUMN(Reinforcements[[#Headers],[Rev. F Tension Yield Capacity (kips)]])-1,FALSE),IF(Rev="G",VLOOKUP(Calculations!BR67,Reinforcements[],COLUMN(Reinforcements[[#Headers],[Rev. G Tension Yield Capacity (kips)]])-1,FALSE),VLOOKUP(Calculations!BR67,Reinforcements[],COLUMN(Reinforcements[[#Headers],[Rev. H Tension Yield Capacity (kips)]])-1,FALSE))),"")</f>
        <v/>
      </c>
      <c r="AG67" s="486" t="str">
        <f>IFERROR(IF(Rev="F",VLOOKUP(BR67,Reinforcements[],COLUMN(Reinforcements[[#Headers],[Rev. F Tension Rupture Capacity (kips)]])-1,FALSE),IF(Rev="G",VLOOKUP(Calculations!BR67,Reinforcements[],COLUMN(Reinforcements[[#Headers],[Rev. G Tension Rupture Capacity (kips)]])-1,FALSE),VLOOKUP(Calculations!BR67,Reinforcements[],COLUMN(Reinforcements[[#Headers],[Rev. H Tension Rupture Capacity (kips)]])-1, FALSE))),"")</f>
        <v/>
      </c>
      <c r="AH67" s="409" t="str">
        <f t="shared" si="47"/>
        <v/>
      </c>
      <c r="AI67" s="380" t="str">
        <f t="shared" si="48"/>
        <v/>
      </c>
      <c r="AJ67" s="380" t="str">
        <f t="shared" si="49"/>
        <v/>
      </c>
      <c r="AK67" s="380" t="str">
        <f t="shared" si="85"/>
        <v/>
      </c>
      <c r="AL67" s="369" t="str">
        <f t="shared" si="78"/>
        <v/>
      </c>
      <c r="AM67" s="380" t="str">
        <f>""</f>
        <v/>
      </c>
      <c r="AN67" s="380" t="str">
        <f t="shared" si="50"/>
        <v/>
      </c>
      <c r="AO67" s="369" t="str">
        <f t="shared" si="51"/>
        <v/>
      </c>
      <c r="AP67" s="410" t="str">
        <f t="shared" si="52"/>
        <v/>
      </c>
      <c r="AQ67" s="411" t="str">
        <f t="shared" si="53"/>
        <v/>
      </c>
      <c r="AR67" s="380" t="str">
        <f>IF(BR67="","",VLOOKUP(VLOOKUP(BR67,Reinforcements[],COLUMN(Reinforcements[[#Headers],[Material]])-1,FALSE),Materials[],2,FALSE)/$D$28)</f>
        <v/>
      </c>
      <c r="AS67" s="369" t="str">
        <f t="shared" si="54"/>
        <v/>
      </c>
      <c r="AT67" s="489" t="str">
        <f t="shared" si="55"/>
        <v/>
      </c>
      <c r="AU67" s="412">
        <f t="shared" si="56"/>
        <v>0</v>
      </c>
      <c r="AV67" s="413">
        <f t="shared" si="57"/>
        <v>0</v>
      </c>
      <c r="AW67" s="413" t="e">
        <f t="shared" si="58"/>
        <v>#N/A</v>
      </c>
      <c r="AX67" s="413" t="e">
        <f t="shared" si="59"/>
        <v>#N/A</v>
      </c>
      <c r="AY67" s="413" t="str">
        <f t="shared" si="60"/>
        <v/>
      </c>
      <c r="AZ67" s="413" t="e">
        <f t="shared" si="61"/>
        <v>#VALUE!</v>
      </c>
      <c r="BA67" s="433" t="str">
        <f t="shared" si="62"/>
        <v/>
      </c>
      <c r="BB67" s="436" t="str">
        <f t="shared" si="79"/>
        <v/>
      </c>
      <c r="BC67" s="437" t="str">
        <f t="shared" si="63"/>
        <v/>
      </c>
      <c r="BD67" s="437" t="str">
        <f t="shared" si="64"/>
        <v/>
      </c>
      <c r="BE67" s="433" t="str">
        <f t="shared" si="80"/>
        <v/>
      </c>
      <c r="BF67" s="438" t="e">
        <f t="shared" si="81"/>
        <v>#DIV/0!</v>
      </c>
      <c r="BG67" s="439" t="str">
        <f t="shared" si="65"/>
        <v/>
      </c>
      <c r="BH67" s="439" t="str">
        <f t="shared" si="66"/>
        <v/>
      </c>
      <c r="BI67" s="433" t="e">
        <f t="shared" si="82"/>
        <v>#DIV/0!</v>
      </c>
      <c r="BJ67" s="438" t="str">
        <f t="shared" si="83"/>
        <v/>
      </c>
      <c r="BK67" s="413" t="e">
        <f t="shared" si="67"/>
        <v>#DIV/0!</v>
      </c>
      <c r="BL67" s="66" t="str">
        <f t="shared" si="68"/>
        <v/>
      </c>
      <c r="BP67" s="30" t="e">
        <f t="shared" si="69"/>
        <v>#DIV/0!</v>
      </c>
      <c r="BQ67" s="344" t="str">
        <f>IFERROR(VALUE(LEFT(VLOOKUP(Calculations!$D$4,Results!$G$5:$CM$105,67+$C67,FALSE),FIND(";",VLOOKUP(Calculations!$D$4,Results!$G$5:$CM$105,67+$C67,FALSE))-1)),"")</f>
        <v/>
      </c>
      <c r="BR67" s="444" t="str">
        <f>IF(BQ67="","",VLOOKUP(BQ67,Input!$B$21:$Q$50,13,FALSE))</f>
        <v/>
      </c>
      <c r="BS67" s="369" t="e">
        <f>VLOOKUP(BR67,Reinforcements[],COLUMN(Reinforcements[[#Headers],[Type]])-1,FALSE)</f>
        <v>#N/A</v>
      </c>
      <c r="BT67" s="369" t="e">
        <f>IF(BS67="solid round",VLOOKUP(BR67,Reinforcements[],COLUMN(Reinforcements[[#Headers],[Diameter (in)]])-1,FALSE),VLOOKUP(BR67,Reinforcements[],COLUMN(Reinforcements[[#Headers],[B (in)]])-1,FALSE))</f>
        <v>#N/A</v>
      </c>
      <c r="BU67" s="369" t="e">
        <f>IF(BS67="solid round",VLOOKUP(BR67,Reinforcements[],COLUMN(Reinforcements[[#Headers],[Diameter (in)]])-1,FALSE),VLOOKUP(BR67,Reinforcements[],COLUMN(Reinforcements[[#Headers],[H (in)]])-1,FALSE))</f>
        <v>#N/A</v>
      </c>
      <c r="BV67" s="413" t="e">
        <f>IFERROR((IF(VLOOKUP(BQ67,Input!$B$21:$AL$50,19+C67,FALSE)="c",$D$20/COS(RADIANS(180/$D$8)),$D$20)+BU67/2)*SIN(RADIANS(D67))-IF(ISNUMBER(VLOOKUP(BQ67,Input!$B$21:$AL$50,19+C67,FALSE)),VLOOKUP(BQ67,Input!$B$21:$AL$50,19+C67,FALSE)*COS(RADIANS(D67)),0)-$D$35,"")*0+N67*1</f>
        <v>#VALUE!</v>
      </c>
      <c r="BW67" s="369" t="e">
        <f>VLOOKUP(BR67,Reinforcements[],COLUMN(Reinforcements[[#Headers],[Effective B (in)]])-1,FALSE)</f>
        <v>#N/A</v>
      </c>
      <c r="BX67" s="369" t="e">
        <f>VLOOKUP(BR67,Reinforcements[],COLUMN(Reinforcements[[#Headers],[Effective H (in)]])-1,FALSE)</f>
        <v>#N/A</v>
      </c>
      <c r="BY67" s="369" t="e">
        <f>VLOOKUP(BR67,Reinforcements[],COLUMN(Reinforcements[[#Headers],[Gross Area (in2)]])-1,FALSE)</f>
        <v>#N/A</v>
      </c>
      <c r="BZ67" s="380" t="s">
        <v>335</v>
      </c>
      <c r="CA67" s="369" t="e">
        <f>VLOOKUP(BR67,Reinforcements[],COLUMN(Reinforcements[[#Headers],[Pole Face to Centroid (in)]])-1,FALSE)</f>
        <v>#N/A</v>
      </c>
      <c r="CB67" s="369" t="e">
        <f>VLOOKUP(BR67,Reinforcements[],COLUMN(Reinforcements[[#Headers],[Equivalent Rectangle Ix (in4)]])-1,FALSE)</f>
        <v>#N/A</v>
      </c>
      <c r="CC67" s="369" t="e">
        <f>VLOOKUP(BR67,Reinforcements[],COLUMN(Reinforcements[[#Headers],[Equivalent Rectangle Iy (in4)]])-1,FALSE)</f>
        <v>#N/A</v>
      </c>
      <c r="CD67" s="369" t="e">
        <f>VLOOKUP(BR67,Reinforcements[],COLUMN(Reinforcements[[#Headers],[Lu (in)]])-1,FALSE)</f>
        <v>#N/A</v>
      </c>
      <c r="CE67" s="380" t="s">
        <v>335</v>
      </c>
      <c r="CF67" s="380" t="s">
        <v>335</v>
      </c>
      <c r="CG67" s="369" t="e">
        <f>VLOOKUP(VLOOKUP(BR67,Reinforcements[],COLUMN(Reinforcements[[#Headers],[Material]])-1,FALSE),Materials[],2,FALSE)</f>
        <v>#N/A</v>
      </c>
      <c r="CH67" s="369" t="e">
        <f>VLOOKUP(VLOOKUP(BR67,Reinforcements[],COLUMN(Reinforcements[[#Headers],[Material]])-1,FALSE),Materials[],3,FALSE)</f>
        <v>#N/A</v>
      </c>
      <c r="CI67" s="380" t="e">
        <f>VLOOKUP(BR67,Reinforcements[],COLUMN(Reinforcements[[#Headers],[Tension Only?]])-1,FALSE)</f>
        <v>#N/A</v>
      </c>
      <c r="CJ67" s="449" t="str">
        <f>IF(BQ67="","",AND(INDEX(Results!$G$5:$G$104,MATCH(VLOOKUP($BQ67,Input!$B$21:$J$50,2,FALSE)-0.001,Results!$G$5:$G$104,-1))=$D$4))</f>
        <v/>
      </c>
      <c r="CK67" s="449" t="str">
        <f>IF(BQ67="","",AND(INDEX('Macro References'!$BB$2:$BB$101,MATCH(VLOOKUP($BQ67,Input!$B$21:$J$50,6,FALSE)-0.001,'Macro References'!$BB$2:$BB$101,1))=$D$4))</f>
        <v/>
      </c>
      <c r="CL67" s="449" t="e">
        <f>IF(CJ67,VLOOKUP(BR67,Reinforcements[],COLUMN(Reinforcements[[#Headers],[Bottom End Connection Type]])-1,FALSE),IF(CK67,VLOOKUP(BR67,Reinforcements[],COLUMN(Reinforcements[[#Headers],[Top End Connection Type]])-1,FALSE),""))</f>
        <v>#VALUE!</v>
      </c>
      <c r="CM67" s="449" t="e">
        <f>IF(ISBLANK(VLOOKUP(BR67,Reinforcements[],COLUMN(Reinforcements[[#Headers],[Bottom Transverse Weld Length]])-1,FALSE)),"",(VLOOKUP(BR67,Reinforcements[],COLUMN(Reinforcements[[#Headers],[Bottom Transverse Weld Length]])-1,FALSE)))</f>
        <v>#N/A</v>
      </c>
      <c r="CN67" s="449" t="e">
        <f>IF(ISBLANK(VLOOKUP(BR67,Reinforcements[],COLUMN(Reinforcements[[#Headers],[Bottom Transverse (Horizontal) Weld]])-1,FALSE)),"",(VLOOKUP(BR67,Reinforcements[],COLUMN(Reinforcements[[#Headers],[Bottom Transverse (Horizontal) Weld]])-1,FALSE)))</f>
        <v>#N/A</v>
      </c>
      <c r="CO67" s="449" t="e">
        <f>IF(ISBLANK(VLOOKUP(BR67,Reinforcements[],COLUMN(Reinforcements[[#Headers],[Bottom Longitudinal Weld Length]])-1,FALSE)),"",(VLOOKUP(BR67,Reinforcements[],COLUMN(Reinforcements[[#Headers],[Bottom Longitudinal Weld Length]])-1,FALSE)))</f>
        <v>#N/A</v>
      </c>
      <c r="CP67" s="449" t="str">
        <f>IFERROR(VLOOKUP(BR67,Reinforcements[],COLUMN(Reinforcements[[#Headers],[Bottom Connected to Flange/Base Plate?]])-1,FALSE),"")</f>
        <v/>
      </c>
      <c r="CQ67" s="369" t="e">
        <f>IF(Rev="F",VLOOKUP(BR67,Reinforcements[],COLUMN(Reinforcements[[#Headers],[Rev. F Bottom Transverse Weld Strength]])-1,FALSE),VLOOKUP(BR67,Reinforcements[],COLUMN(Reinforcements[[#Headers],[Rev. G Bottom Transverse Weld Strength]])-1,FALSE))</f>
        <v>#N/A</v>
      </c>
      <c r="CR67" s="369" t="e">
        <f>IF(CP67="Yes",IF(CN67="Fillet",VLOOKUP(BR67,Reinforcements[],COLUMN(Reinforcements[[#Headers],[Bottom Transverse Weld Fillet Size (in)]])-1,FALSE)*CM67*MIN(IF(Rev="F",0.4,φ_shear_yield*0.6)*CG67,IF(Rev="F",0.3,φ_shear_rupture*0.6)*CH67),VLOOKUP(BR67,Reinforcements[],COLUMN(Reinforcements[[#Headers],[Bottom Transverse Weld Groove Depth (in)]])-1,FALSE)/COS(RADIANS(VLOOKUP(BR67,Reinforcements[],COLUMN(Reinforcements[[#Headers],[Bottom Transverse Weld Groove Angle (degrees)]])-1,FALSE)))*CM67*IF(Rev="F",0.6,φ_t_y)*CG67),VLOOKUP(BR67,Reinforcements[],COLUMN(Reinforcements[[#Headers],[Bottom Transverse Weld Fillet Size (in)]])-1,FALSE)*CM67*IF(Rev="F",0.6,φ_t_y)*CG67)</f>
        <v>#N/A</v>
      </c>
      <c r="CS67" s="369" t="str">
        <f>IF(CP67&lt;&gt;"Yes","",(VLOOKUP(BR67,Reinforcements[],COLUMN(Reinforcements[[#Headers],[Bottom Transverse Weld Groove Depth (in)]])-1,FALSE)+VLOOKUP(BR67,Reinforcements[],COLUMN(Reinforcements[[#Headers],[Bottom Transverse Weld Fillet Size (in)]])-1,FALSE))*CM67*IF(Rev="F",0.6,φ_t_y)*$D$14)</f>
        <v/>
      </c>
      <c r="CT67" s="369" t="e">
        <f>IF(CP67="Yes","",VLOOKUP(BR67,Reinforcements[],COLUMN(Reinforcements[[#Headers],[Bottom Transverse Weld Fillet Size (in)]])-1,FALSE)*CM67*MIN(IF(Rev="F",0.4,φ_shear_yield*0.6)*$D$6,IF(Rev="F",0.3,φ_shear_rupture*0.6)*$D$7))</f>
        <v>#N/A</v>
      </c>
      <c r="CU67" s="369" t="e">
        <f>IF(Rev="F",VLOOKUP(BR67,Reinforcements[],COLUMN(Reinforcements[[#Headers],[Rev. F Bottom Longitudinal Weld Strength]])-1,FALSE),VLOOKUP(BR67,Reinforcements[],COLUMN(Reinforcements[[#Headers],[Rev. G Bottom Longitudinal Weld Strength]])-1,FALSE))</f>
        <v>#N/A</v>
      </c>
      <c r="CV67" s="369" t="e">
        <f>2*VLOOKUP(BR67,Reinforcements[],COLUMN(Reinforcements[[#Headers],[Bottom Longitudinal Weld Fillet Size (in)]])-1,FALSE)*CO67*MIN(IF(Rev="F",0.4,φ_shear_yield*0.6)*CG67,IF(Rev="F",0.3,φ_shear_rupture*0.6)*CH67)</f>
        <v>#N/A</v>
      </c>
      <c r="CW67" s="369" t="e">
        <f>2*VLOOKUP(BR67,Reinforcements[],COLUMN(Reinforcements[[#Headers],[Bottom Longitudinal Weld Fillet Size (in)]])-1,FALSE)*CO67*MIN(IF(Rev="F",0.4,φ_shear_yield*0.6)*$D$6,IF(Rev="F",0.3,φ_shear_rupture*0.6)*$D$7)</f>
        <v>#N/A</v>
      </c>
      <c r="CX67" s="451" t="e">
        <f>IF(ISBLANK(VLOOKUP(BR67,Reinforcements[],COLUMN(Reinforcements[[#Headers],[Top Transverse Weld Length]])-1,FALSE)),"",(VLOOKUP(BR67,Reinforcements[],COLUMN(Reinforcements[[#Headers],[Top Transverse Weld Length]])-1,FALSE)))</f>
        <v>#N/A</v>
      </c>
      <c r="CY67" s="451" t="e">
        <f>IF(ISBLANK(VLOOKUP(BR67,Reinforcements[],COLUMN(Reinforcements[[#Headers],[Top Transverse (Horizontal) Weld]])-1,FALSE)),"",(VLOOKUP(BR67,Reinforcements[],COLUMN(Reinforcements[[#Headers],[Top Transverse (Horizontal) Weld]])-1,FALSE)))</f>
        <v>#N/A</v>
      </c>
      <c r="CZ67" s="451" t="e">
        <f>IF(ISBLANK(VLOOKUP(BR67,Reinforcements[],COLUMN(Reinforcements[[#Headers],[Top Longitudinal Weld Length]])-1,FALSE)),"",(VLOOKUP(BR67,Reinforcements[],COLUMN(Reinforcements[[#Headers],[Top Longitudinal Weld Length]])-1,FALSE)))</f>
        <v>#N/A</v>
      </c>
      <c r="DA67" s="369" t="str">
        <f>IFERROR(VLOOKUP(BR67,Reinforcements[],COLUMN(Reinforcements[[#Headers],[Top Connected to Flange/Base Plate?]])-1,FALSE),"")</f>
        <v/>
      </c>
      <c r="DB67" s="369" t="e">
        <f>IF(Rev="F",VLOOKUP(BR67,Reinforcements[],COLUMN(Reinforcements[[#Headers],[Rev. F Top Transverse Weld Strength]])-1,FALSE),VLOOKUP(BR67,Reinforcements[],COLUMN(Reinforcements[[#Headers],[Rev. G Top Transverse Weld Strength]])-1,FALSE))</f>
        <v>#N/A</v>
      </c>
      <c r="DC67" s="369" t="e">
        <f>IF(DA67="Yes",IF(CY67="Fillet",VLOOKUP(BR67,Reinforcements[],COLUMN(Reinforcements[[#Headers],[Top Transverse Weld Fillet Size (in)]])-1,FALSE)*CX67*MIN(IF(Rev="F",0.4,φ_shear_yield*0.6)*CG67,IF(Rev="F",0.3,φ_shear_rupture*0.6)*CH67),VLOOKUP(BR67,Reinforcements[],COLUMN(Reinforcements[[#Headers],[Top Transverse Weld Groove Depth (in)]])-1,FALSE)/COS(RADIANS(VLOOKUP(BR67,Reinforcements[],COLUMN(Reinforcements[[#Headers],[Top Transverse Weld Groove Angle (degrees)]])-1,FALSE)))*CX67*IF(Rev="F",0.6,φ_t_y)*CG67),VLOOKUP(BR67,Reinforcements[],COLUMN(Reinforcements[[#Headers],[Top Transverse Weld Fillet Size (in)]])-1,FALSE)*CX67*IF(Rev="F",0.6,φ_t_y)*CG67)</f>
        <v>#N/A</v>
      </c>
      <c r="DD67" s="369" t="str">
        <f>IF(DA67&lt;&gt;"Yes","",(VLOOKUP(BR67,Reinforcements[],COLUMN(Reinforcements[[#Headers],[Top Transverse Weld Groove Depth (in)]])-1,FALSE)+VLOOKUP(BR67,Reinforcements[],COLUMN(Reinforcements[[#Headers],[Top Transverse Weld Fillet Size (in)]])-1,FALSE))*CX67*IF(Rev="F",0.6,φ_t_y)*$D$14)</f>
        <v/>
      </c>
      <c r="DE67" s="369" t="e">
        <f>IF(DA67="Yes","",VLOOKUP(BR67,Reinforcements[],COLUMN(Reinforcements[[#Headers],[Top Transverse Weld Fillet Size (in)]])-1,FALSE)*CX67*MIN(IF(Rev="F",0.4,φ_shear_yield*0.6)*$D$6,IF(Rev="F",0.3,φ_shear_rupture*0.6)*$D$7))</f>
        <v>#N/A</v>
      </c>
      <c r="DF67" s="369" t="e">
        <f>IF(Rev="F",VLOOKUP(BR67,Reinforcements[],COLUMN(Reinforcements[[#Headers],[Rev. F Top Longitudinal Weld Strength]])-1,FALSE),VLOOKUP(BR67,Reinforcements[],COLUMN(Reinforcements[[#Headers],[Rev. G Top Longitudinal Weld Strength]])-1,FALSE))</f>
        <v>#N/A</v>
      </c>
      <c r="DG67" s="369" t="e">
        <f>2*VLOOKUP(BR67,Reinforcements[],COLUMN(Reinforcements[[#Headers],[Top Longitudinal Weld Fillet Size (in)]])-1,FALSE)*CZ67*MIN(IF(Rev="F",0.4,φ_shear_yield*0.6)*CG67,IF(Rev="F",0.3,φ_shear_rupture*0.6)*CH67)</f>
        <v>#N/A</v>
      </c>
      <c r="DH67" s="369" t="e">
        <f>2*VLOOKUP(BR67,Reinforcements[],COLUMN(Reinforcements[[#Headers],[Top Longitudinal Weld Fillet Size (in)]])-1,FALSE)*CZ67*MIN(IF(Rev="F",0.4,φ_shear_yield*0.6)*$D$6,IF(Rev="F",0.3,φ_shear_rupture*0.6)*$D$7)</f>
        <v>#N/A</v>
      </c>
      <c r="DI67" s="66" t="e">
        <f>IF(BS67="channel",VLOOKUP(Calculations!BR67,Reinforcements[],COLUMN(Reinforcements[[#Headers],['[Channel']Web Thickness (in)]])-1,FALSE),"")</f>
        <v>#N/A</v>
      </c>
      <c r="DJ67" s="66" t="b">
        <f t="shared" si="84"/>
        <v>0</v>
      </c>
      <c r="DK67" s="66" t="e">
        <f>IF(BS67="channel",Calculations!BU67-DI67,"")</f>
        <v>#N/A</v>
      </c>
      <c r="DL67" s="66" t="e">
        <f>IF(BS67="channel",(Calculations!BY67-Calculations!BT67*DI67)/(2*DK67))</f>
        <v>#N/A</v>
      </c>
      <c r="DM67" s="66" t="e">
        <f>IF(BS67="channel",(Calculations!BT67*(DI67^2)/2+2*DK67*DL67*(DI67+DK67/2))/Calculations!BY67,"")</f>
        <v>#N/A</v>
      </c>
    </row>
    <row r="68" spans="2:117" ht="15" x14ac:dyDescent="0.25">
      <c r="B68" s="66" t="str">
        <f t="shared" si="70"/>
        <v/>
      </c>
      <c r="C68" s="317">
        <v>9</v>
      </c>
      <c r="D68" s="380" t="str">
        <f>IF(BQ68="","",IF($D$8=0,IF(OR(VLOOKUP(BQ68,Input!$B$21:$AL$50,19+C68,FALSE)+$D$5=0,VLOOKUP(BQ68,Input!$B$21:$AL$50,19+C68,FALSE)+$D$5=180),VLOOKUP(BQ68,Input!$B$21:$AL$50,19+C68,FALSE)+$D$5+0.0001,VLOOKUP(BQ68,Input!$B$21:$AL$50,19+C68,FALSE)+$D$5),IF(VLOOKUP(BQ68,Input!$B$21:$AL$50,19+C68,FALSE)="c",VLOOKUP($C68,$C$40:$E$57,2,FALSE)+180/$D$8,VLOOKUP($C68,$C$40:$E$57,2,FALSE))))</f>
        <v/>
      </c>
      <c r="E68" s="370" t="str">
        <f t="shared" si="39"/>
        <v/>
      </c>
      <c r="F68" s="381" t="str">
        <f>IF(BR68="","",VLOOKUP(BR68,Reinforcements[],COLUMN(Reinforcements[[#Headers],[Gross Area (in2)]])-1,FALSE))</f>
        <v/>
      </c>
      <c r="G68" s="378" t="e">
        <f>(IF(VLOOKUP(BQ68,Input!$B$21:$AL$50,19+C68,FALSE)="c",$D$20/COS(RADIANS(180/$D$8)),$D$20)+CA68)*SIN(RADIANS(D68))-IF(AND(ISNUMBER(VLOOKUP(BQ68,Input!$B$21:$AL$50,19+C68,FALSE)),$D$8&lt;&gt;0),VLOOKUP(BQ68,Input!$B$21:$AL$50,19+C68,FALSE)*COS(RADIANS(D68)),0)</f>
        <v>#N/A</v>
      </c>
      <c r="H68" s="373" t="str">
        <f t="shared" si="71"/>
        <v/>
      </c>
      <c r="I68" s="373" t="e">
        <f t="shared" si="40"/>
        <v>#N/A</v>
      </c>
      <c r="J68" s="373" t="e">
        <f t="shared" si="41"/>
        <v>#N/A</v>
      </c>
      <c r="K68" s="373" t="e">
        <f t="shared" si="42"/>
        <v>#N/A</v>
      </c>
      <c r="L68" s="373" t="e">
        <f t="shared" si="72"/>
        <v>#N/A</v>
      </c>
      <c r="M68" s="374" t="str">
        <f t="shared" si="73"/>
        <v/>
      </c>
      <c r="N68" s="372" t="str">
        <f>IFERROR((IF(VLOOKUP(BQ68,Input!$B$21:$AL$50,19+C68,FALSE)="c",$D$20/COS(RADIANS(180/$D$8)),$D$20)+CA68)*SIN(RADIANS(D68))-IF(AND(ISNUMBER(VLOOKUP(BQ68,Input!$B$21:$AL$50,19+C68,FALSE)),$D$8&lt;&gt;0),VLOOKUP(BQ68,Input!$B$21:$AL$50,19+C68,FALSE)*COS(RADIANS(D68)),0)-$D$35,"")</f>
        <v/>
      </c>
      <c r="O68" s="375" t="str">
        <f t="shared" si="43"/>
        <v/>
      </c>
      <c r="P68" s="375" t="str">
        <f t="shared" si="44"/>
        <v/>
      </c>
      <c r="Q68" s="375" t="str">
        <f t="shared" si="45"/>
        <v/>
      </c>
      <c r="R68" s="376" t="str">
        <f t="shared" si="46"/>
        <v/>
      </c>
      <c r="S68" s="373" t="str">
        <f t="shared" si="74"/>
        <v/>
      </c>
      <c r="T68" s="373" t="str">
        <f t="shared" si="75"/>
        <v/>
      </c>
      <c r="U68" s="373" t="str">
        <f t="shared" si="76"/>
        <v/>
      </c>
      <c r="V68" s="374" t="str">
        <f t="shared" si="77"/>
        <v/>
      </c>
      <c r="W68" s="482" t="str">
        <f>IFERROR(IF('Macro References'!$A$9,IF(AND(Calculations!CK68,CL68="Bolted"),VLOOKUP($BR68,Reinforcements[],COLUMN(IF(Rev="F",Reinforcements[[#Headers],[Rev. F Bolt Shear Capacity   (Top)        (kips)]],IF(Rev="G",Reinforcements[[#Headers],[Rev. G Bolt Shear Capacity (Top)     (kips)]],Reinforcements[[#Headers],[Rev. H Bolt Shear Capacity (Top) (kips)]])))-1,FALSE),IF(AND(Calculations!CJ68,CL68="Bolted"),VLOOKUP($BR68,Reinforcements[],COLUMN(IF(Rev="F",Reinforcements[[#Headers],[Rev. F Bolt Shear Capacity (Bottom)   (kips)]],IF(Rev="G",Reinforcements[[#Headers],[Rev. G Bolt Shear Capacity (Bottom) (kips)]],Reinforcements[[#Headers],[Rev. H Bolt Shear Capacity (Bottom) (kips)]])))-1,FALSE),"")),""),"")</f>
        <v/>
      </c>
      <c r="X68" s="483" t="str">
        <f>IFERROR(IF('Macro References'!$A$9,IF('Macro References'!$A$10,IF(AND(Calculations!CK68,CL68="Bolted"),VLOOKUP($BR68,Reinforcements[],COLUMN(IF(Rev="F",Reinforcements[[#Headers],[Rev.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kips)]])))-1,FALSE),IF(AND(Calculations!CJ68,CL68="Bolted"),VLOOKUP($BR68,Reinforcements[],COLUMN(IF(Rev="F",Reinforcements[[#Headers],[Rev.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kips)]])))-1,FALSE),"")),IF(AND(Calculations!CK68,CL68="Bolted"),VLOOKUP($BR68,Reinforcements[],COLUMN(IF(Rev="F",Reinforcements[[#Headers],[Rev.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kips)]])))-1,FALSE),IF(AND(Calculations!CJ68,CL68="Bolted"),VLOOKUP($BR68,Reinforcements[],COLUMN(IF(Rev="F",Reinforcements[[#Headers],[Rev.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8" s="483" t="str">
        <f>IFERROR(IF('Macro References'!$A$9,IF('Macro References'!$A$10,IF(AND(Calculations!CK68,CL68="Bolted"),VLOOKUP($BR68,Reinforcements[],COLUMN(IF(Rev="F",Reinforcements[[#Headers],[Rev.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(kips)]])))-1,FALSE),IF(AND(Calculations!CJ68,CL68="Bolted"),VLOOKUP($BR68,Reinforcements[],COLUMN(IF(Rev="F",Reinforcements[[#Headers],[Rev.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(kips)]])))-1,FALSE),"")),IF(AND(Calculations!CK68,CL68="Bolted"),VLOOKUP($BR68,Reinforcements[],COLUMN(IF(Rev="F",Reinforcements[[#Headers],[Rev.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(kips)]])))-1,FALSE),IF(AND(Calculations!CJ68,CL68="Bolted"),VLOOKUP($BR68,Reinforcements[],COLUMN(IF(Rev="F",Reinforcements[[#Headers],[Rev.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8" s="483" t="str">
        <f>IFERROR(IF('Macro References'!$A$9,IF(AND(CJ68,CL68="Welded"),MIN(CQ68:CT68),IF(AND(CK68,CL68="Welded"),MIN(DB68:DE68),"")),""),"")</f>
        <v/>
      </c>
      <c r="AA68" s="484" t="str">
        <f>IFERROR(IF('Macro References'!$A$9,IF(AND(CJ68,CL68="Welded"),MIN(CU68:CW68),IF(AND(CK68,CL68="Welded"),MIN(DF68:DH68),"")),""),"")</f>
        <v/>
      </c>
      <c r="AB68" s="484" t="str">
        <f>IFERROR(IF('Macro References'!$A$9,IF(AND(CJ68,CL68="Welded",CN68="Fillet",CU68&gt;0),TRUE,IF(AND(CK68,CL68="Welded",CY68="Fillet",DF68&gt;0),TRUE,"")),""),"")</f>
        <v/>
      </c>
      <c r="AC68" s="484" t="e">
        <f>IF('Macro References'!$A$9,IF(AND(CJ68,CL68="Capacity Input"),IF(Rev="F",VLOOKUP(BR68,Reinforcements[],COLUMN(Reinforcements[[#Headers],[Rev. F Bottom Connection Capacity (kips)]])-1,FALSE),IF(Rev="G",VLOOKUP(BR68,Reinforcements[],COLUMN(Reinforcements[[#Headers],[Rev. G Bottom Connection Capacity (kips)]])-1,FALSE),VLOOKUP(BR68,Reinforcements[],COLUMN(Reinforcements[[#Headers],[Rev. H Bottom Connection Capacity (kips)]])-1,FALSE))),IF(AND(CK68,CL68="Capacity Input"),IF(Rev="F",VLOOKUP(BR68,Reinforcements[],COLUMN(Reinforcements[[#Headers],[Rev. F Top Connection Capacity (kips)]])-1,FALSE),IF(Rev="G",VLOOKUP(BR68,Reinforcements[],COLUMN(Reinforcements[[#Headers],[Rev. G Top Connection Capacity (kips)]])-1,FALSE),VLOOKUP(BR68,Reinforcements[],COLUMN(Reinforcements[[#Headers],[Rev. H Top Connection Capacity (kips)]])-1,FALSE))),"")),"")</f>
        <v>#VALUE!</v>
      </c>
      <c r="AD68" s="484" t="str">
        <f>IFERROR(IF(Rev="F",MIN(VLOOKUP(BR68,Reinforcements[],COLUMN(Reinforcements[[#Headers],[Rev. F Compression Capacity x-x (kips)]])-1,FALSE),VLOOKUP(BR68,Reinforcements[],COLUMN(Reinforcements[[#Headers],[Rev. F Compression Capacity y-y (kips)]])-1,FALSE)),IF(Rev="G",MIN(VLOOKUP(BR68,Reinforcements[],COLUMN(Reinforcements[[#Headers],[Rev. G Compression Capacity x-x (kips)]])-1,FALSE),VLOOKUP(BR68,Reinforcements[],COLUMN(Reinforcements[[#Headers],[Rev. G Compression Capacity y-y (kips)]])-1,FALSE)),MIN(VLOOKUP(BR68,Reinforcements[],COLUMN(Reinforcements[[#Headers],[Rev. H Compression Capacity x-x (kips)]])-1,FALSE),VLOOKUP(BR68,Reinforcements[],COLUMN(Reinforcements[[#Headers],[Rev. H Compression Capacity y-y (kips)]])-1,FALSE)))),"")</f>
        <v/>
      </c>
      <c r="AE68" s="485" t="str">
        <f>IFERROR(IF(Rev="F",VLOOKUP(BR68,Reinforcements[],COLUMN(Reinforcements[[#Headers],[Rev. F Shear Capacity (kips)]])-1,FALSE)/BY68,IF(Rev="G",VLOOKUP(Calculations!BR68,Reinforcements[],COLUMN(Reinforcements[[#Headers],[Rev. G Shear Capacity (kips)]])-1,FALSE),VLOOKUP(Calculations!BR68,Reinforcements[],COLUMN(Reinforcements[[#Headers],[Rev. H Shear Capacity (kips)]])-1,FALSE))),"")</f>
        <v/>
      </c>
      <c r="AF68" s="451" t="str">
        <f>IFERROR(IF(Rev="F",VLOOKUP(BR68,Reinforcements[],COLUMN(Reinforcements[[#Headers],[Rev. F Tension Yield Capacity (kips)]])-1,FALSE),IF(Rev="G",VLOOKUP(Calculations!BR68,Reinforcements[],COLUMN(Reinforcements[[#Headers],[Rev. G Tension Yield Capacity (kips)]])-1,FALSE),VLOOKUP(Calculations!BR68,Reinforcements[],COLUMN(Reinforcements[[#Headers],[Rev. H Tension Yield Capacity (kips)]])-1,FALSE))),"")</f>
        <v/>
      </c>
      <c r="AG68" s="486" t="str">
        <f>IFERROR(IF(Rev="F",VLOOKUP(BR68,Reinforcements[],COLUMN(Reinforcements[[#Headers],[Rev. F Tension Rupture Capacity (kips)]])-1,FALSE),IF(Rev="G",VLOOKUP(Calculations!BR68,Reinforcements[],COLUMN(Reinforcements[[#Headers],[Rev. G Tension Rupture Capacity (kips)]])-1,FALSE),VLOOKUP(Calculations!BR68,Reinforcements[],COLUMN(Reinforcements[[#Headers],[Rev. H Tension Rupture Capacity (kips)]])-1, FALSE))),"")</f>
        <v/>
      </c>
      <c r="AH68" s="409" t="str">
        <f t="shared" si="47"/>
        <v/>
      </c>
      <c r="AI68" s="380" t="str">
        <f t="shared" si="48"/>
        <v/>
      </c>
      <c r="AJ68" s="380" t="str">
        <f t="shared" si="49"/>
        <v/>
      </c>
      <c r="AK68" s="380" t="str">
        <f t="shared" si="85"/>
        <v/>
      </c>
      <c r="AL68" s="369" t="str">
        <f t="shared" si="78"/>
        <v/>
      </c>
      <c r="AM68" s="380" t="str">
        <f>""</f>
        <v/>
      </c>
      <c r="AN68" s="380" t="str">
        <f t="shared" si="50"/>
        <v/>
      </c>
      <c r="AO68" s="369" t="str">
        <f t="shared" si="51"/>
        <v/>
      </c>
      <c r="AP68" s="410" t="str">
        <f t="shared" si="52"/>
        <v/>
      </c>
      <c r="AQ68" s="411" t="str">
        <f t="shared" si="53"/>
        <v/>
      </c>
      <c r="AR68" s="380" t="str">
        <f>IF(BR68="","",VLOOKUP(VLOOKUP(BR68,Reinforcements[],COLUMN(Reinforcements[[#Headers],[Material]])-1,FALSE),Materials[],2,FALSE)/$D$28)</f>
        <v/>
      </c>
      <c r="AS68" s="369" t="str">
        <f t="shared" si="54"/>
        <v/>
      </c>
      <c r="AT68" s="489" t="str">
        <f t="shared" si="55"/>
        <v/>
      </c>
      <c r="AU68" s="412">
        <f t="shared" si="56"/>
        <v>0</v>
      </c>
      <c r="AV68" s="413">
        <f t="shared" si="57"/>
        <v>0</v>
      </c>
      <c r="AW68" s="413" t="e">
        <f t="shared" si="58"/>
        <v>#N/A</v>
      </c>
      <c r="AX68" s="413" t="e">
        <f t="shared" si="59"/>
        <v>#N/A</v>
      </c>
      <c r="AY68" s="413" t="str">
        <f t="shared" si="60"/>
        <v/>
      </c>
      <c r="AZ68" s="413" t="e">
        <f t="shared" si="61"/>
        <v>#VALUE!</v>
      </c>
      <c r="BA68" s="433" t="str">
        <f t="shared" si="62"/>
        <v/>
      </c>
      <c r="BB68" s="436" t="str">
        <f t="shared" si="79"/>
        <v/>
      </c>
      <c r="BC68" s="437" t="str">
        <f t="shared" si="63"/>
        <v/>
      </c>
      <c r="BD68" s="437" t="str">
        <f t="shared" si="64"/>
        <v/>
      </c>
      <c r="BE68" s="433" t="str">
        <f t="shared" si="80"/>
        <v/>
      </c>
      <c r="BF68" s="438" t="e">
        <f t="shared" si="81"/>
        <v>#DIV/0!</v>
      </c>
      <c r="BG68" s="439" t="str">
        <f t="shared" si="65"/>
        <v/>
      </c>
      <c r="BH68" s="439" t="str">
        <f t="shared" si="66"/>
        <v/>
      </c>
      <c r="BI68" s="433" t="e">
        <f t="shared" si="82"/>
        <v>#DIV/0!</v>
      </c>
      <c r="BJ68" s="438" t="str">
        <f t="shared" si="83"/>
        <v/>
      </c>
      <c r="BK68" s="413" t="e">
        <f t="shared" si="67"/>
        <v>#DIV/0!</v>
      </c>
      <c r="BL68" s="66" t="str">
        <f t="shared" si="68"/>
        <v/>
      </c>
      <c r="BP68" s="30" t="e">
        <f t="shared" si="69"/>
        <v>#DIV/0!</v>
      </c>
      <c r="BQ68" s="344" t="str">
        <f>IFERROR(VALUE(LEFT(VLOOKUP(Calculations!$D$4,Results!$G$5:$CM$105,67+$C68,FALSE),FIND(";",VLOOKUP(Calculations!$D$4,Results!$G$5:$CM$105,67+$C68,FALSE))-1)),"")</f>
        <v/>
      </c>
      <c r="BR68" s="444" t="str">
        <f>IF(BQ68="","",VLOOKUP(BQ68,Input!$B$21:$Q$50,13,FALSE))</f>
        <v/>
      </c>
      <c r="BS68" s="369" t="e">
        <f>VLOOKUP(BR68,Reinforcements[],COLUMN(Reinforcements[[#Headers],[Type]])-1,FALSE)</f>
        <v>#N/A</v>
      </c>
      <c r="BT68" s="369" t="e">
        <f>IF(BS68="solid round",VLOOKUP(BR68,Reinforcements[],COLUMN(Reinforcements[[#Headers],[Diameter (in)]])-1,FALSE),VLOOKUP(BR68,Reinforcements[],COLUMN(Reinforcements[[#Headers],[B (in)]])-1,FALSE))</f>
        <v>#N/A</v>
      </c>
      <c r="BU68" s="369" t="e">
        <f>IF(BS68="solid round",VLOOKUP(BR68,Reinforcements[],COLUMN(Reinforcements[[#Headers],[Diameter (in)]])-1,FALSE),VLOOKUP(BR68,Reinforcements[],COLUMN(Reinforcements[[#Headers],[H (in)]])-1,FALSE))</f>
        <v>#N/A</v>
      </c>
      <c r="BV68" s="413" t="e">
        <f>IFERROR((IF(VLOOKUP(BQ68,Input!$B$21:$AL$50,19+C68,FALSE)="c",$D$20/COS(RADIANS(180/$D$8)),$D$20)+BU68/2)*SIN(RADIANS(D68))-IF(ISNUMBER(VLOOKUP(BQ68,Input!$B$21:$AL$50,19+C68,FALSE)),VLOOKUP(BQ68,Input!$B$21:$AL$50,19+C68,FALSE)*COS(RADIANS(D68)),0)-$D$35,"")*0+N68*1</f>
        <v>#VALUE!</v>
      </c>
      <c r="BW68" s="369" t="e">
        <f>VLOOKUP(BR68,Reinforcements[],COLUMN(Reinforcements[[#Headers],[Effective B (in)]])-1,FALSE)</f>
        <v>#N/A</v>
      </c>
      <c r="BX68" s="369" t="e">
        <f>VLOOKUP(BR68,Reinforcements[],COLUMN(Reinforcements[[#Headers],[Effective H (in)]])-1,FALSE)</f>
        <v>#N/A</v>
      </c>
      <c r="BY68" s="369" t="e">
        <f>VLOOKUP(BR68,Reinforcements[],COLUMN(Reinforcements[[#Headers],[Gross Area (in2)]])-1,FALSE)</f>
        <v>#N/A</v>
      </c>
      <c r="BZ68" s="380" t="s">
        <v>335</v>
      </c>
      <c r="CA68" s="369" t="e">
        <f>VLOOKUP(BR68,Reinforcements[],COLUMN(Reinforcements[[#Headers],[Pole Face to Centroid (in)]])-1,FALSE)</f>
        <v>#N/A</v>
      </c>
      <c r="CB68" s="369" t="e">
        <f>VLOOKUP(BR68,Reinforcements[],COLUMN(Reinforcements[[#Headers],[Equivalent Rectangle Ix (in4)]])-1,FALSE)</f>
        <v>#N/A</v>
      </c>
      <c r="CC68" s="369" t="e">
        <f>VLOOKUP(BR68,Reinforcements[],COLUMN(Reinforcements[[#Headers],[Equivalent Rectangle Iy (in4)]])-1,FALSE)</f>
        <v>#N/A</v>
      </c>
      <c r="CD68" s="369" t="e">
        <f>VLOOKUP(BR68,Reinforcements[],COLUMN(Reinforcements[[#Headers],[Lu (in)]])-1,FALSE)</f>
        <v>#N/A</v>
      </c>
      <c r="CE68" s="380" t="s">
        <v>335</v>
      </c>
      <c r="CF68" s="380" t="s">
        <v>335</v>
      </c>
      <c r="CG68" s="369" t="e">
        <f>VLOOKUP(VLOOKUP(BR68,Reinforcements[],COLUMN(Reinforcements[[#Headers],[Material]])-1,FALSE),Materials[],2,FALSE)</f>
        <v>#N/A</v>
      </c>
      <c r="CH68" s="369" t="e">
        <f>VLOOKUP(VLOOKUP(BR68,Reinforcements[],COLUMN(Reinforcements[[#Headers],[Material]])-1,FALSE),Materials[],3,FALSE)</f>
        <v>#N/A</v>
      </c>
      <c r="CI68" s="380" t="e">
        <f>VLOOKUP(BR68,Reinforcements[],COLUMN(Reinforcements[[#Headers],[Tension Only?]])-1,FALSE)</f>
        <v>#N/A</v>
      </c>
      <c r="CJ68" s="449" t="str">
        <f>IF(BQ68="","",AND(INDEX(Results!$G$5:$G$104,MATCH(VLOOKUP($BQ68,Input!$B$21:$J$50,2,FALSE)-0.001,Results!$G$5:$G$104,-1))=$D$4))</f>
        <v/>
      </c>
      <c r="CK68" s="449" t="str">
        <f>IF(BQ68="","",AND(INDEX('Macro References'!$BB$2:$BB$101,MATCH(VLOOKUP($BQ68,Input!$B$21:$J$50,6,FALSE)-0.001,'Macro References'!$BB$2:$BB$101,1))=$D$4))</f>
        <v/>
      </c>
      <c r="CL68" s="449" t="e">
        <f>IF(CJ68,VLOOKUP(BR68,Reinforcements[],COLUMN(Reinforcements[[#Headers],[Bottom End Connection Type]])-1,FALSE),IF(CK68,VLOOKUP(BR68,Reinforcements[],COLUMN(Reinforcements[[#Headers],[Top End Connection Type]])-1,FALSE),""))</f>
        <v>#VALUE!</v>
      </c>
      <c r="CM68" s="449" t="e">
        <f>IF(ISBLANK(VLOOKUP(BR68,Reinforcements[],COLUMN(Reinforcements[[#Headers],[Bottom Transverse Weld Length]])-1,FALSE)),"",(VLOOKUP(BR68,Reinforcements[],COLUMN(Reinforcements[[#Headers],[Bottom Transverse Weld Length]])-1,FALSE)))</f>
        <v>#N/A</v>
      </c>
      <c r="CN68" s="449" t="e">
        <f>IF(ISBLANK(VLOOKUP(BR68,Reinforcements[],COLUMN(Reinforcements[[#Headers],[Bottom Transverse (Horizontal) Weld]])-1,FALSE)),"",(VLOOKUP(BR68,Reinforcements[],COLUMN(Reinforcements[[#Headers],[Bottom Transverse (Horizontal) Weld]])-1,FALSE)))</f>
        <v>#N/A</v>
      </c>
      <c r="CO68" s="449" t="e">
        <f>IF(ISBLANK(VLOOKUP(BR68,Reinforcements[],COLUMN(Reinforcements[[#Headers],[Bottom Longitudinal Weld Length]])-1,FALSE)),"",(VLOOKUP(BR68,Reinforcements[],COLUMN(Reinforcements[[#Headers],[Bottom Longitudinal Weld Length]])-1,FALSE)))</f>
        <v>#N/A</v>
      </c>
      <c r="CP68" s="449" t="str">
        <f>IFERROR(VLOOKUP(BR68,Reinforcements[],COLUMN(Reinforcements[[#Headers],[Bottom Connected to Flange/Base Plate?]])-1,FALSE),"")</f>
        <v/>
      </c>
      <c r="CQ68" s="369" t="e">
        <f>IF(Rev="F",VLOOKUP(BR68,Reinforcements[],COLUMN(Reinforcements[[#Headers],[Rev. F Bottom Transverse Weld Strength]])-1,FALSE),VLOOKUP(BR68,Reinforcements[],COLUMN(Reinforcements[[#Headers],[Rev. G Bottom Transverse Weld Strength]])-1,FALSE))</f>
        <v>#N/A</v>
      </c>
      <c r="CR68" s="369" t="e">
        <f>IF(CP68="Yes",IF(CN68="Fillet",VLOOKUP(BR68,Reinforcements[],COLUMN(Reinforcements[[#Headers],[Bottom Transverse Weld Fillet Size (in)]])-1,FALSE)*CM68*MIN(IF(Rev="F",0.4,φ_shear_yield*0.6)*CG68,IF(Rev="F",0.3,φ_shear_rupture*0.6)*CH68),VLOOKUP(BR68,Reinforcements[],COLUMN(Reinforcements[[#Headers],[Bottom Transverse Weld Groove Depth (in)]])-1,FALSE)/COS(RADIANS(VLOOKUP(BR68,Reinforcements[],COLUMN(Reinforcements[[#Headers],[Bottom Transverse Weld Groove Angle (degrees)]])-1,FALSE)))*CM68*IF(Rev="F",0.6,φ_t_y)*CG68),VLOOKUP(BR68,Reinforcements[],COLUMN(Reinforcements[[#Headers],[Bottom Transverse Weld Fillet Size (in)]])-1,FALSE)*CM68*IF(Rev="F",0.6,φ_t_y)*CG68)</f>
        <v>#N/A</v>
      </c>
      <c r="CS68" s="369" t="str">
        <f>IF(CP68&lt;&gt;"Yes","",(VLOOKUP(BR68,Reinforcements[],COLUMN(Reinforcements[[#Headers],[Bottom Transverse Weld Groove Depth (in)]])-1,FALSE)+VLOOKUP(BR68,Reinforcements[],COLUMN(Reinforcements[[#Headers],[Bottom Transverse Weld Fillet Size (in)]])-1,FALSE))*CM68*IF(Rev="F",0.6,φ_t_y)*$D$14)</f>
        <v/>
      </c>
      <c r="CT68" s="369" t="e">
        <f>IF(CP68="Yes","",VLOOKUP(BR68,Reinforcements[],COLUMN(Reinforcements[[#Headers],[Bottom Transverse Weld Fillet Size (in)]])-1,FALSE)*CM68*MIN(IF(Rev="F",0.4,φ_shear_yield*0.6)*$D$6,IF(Rev="F",0.3,φ_shear_rupture*0.6)*$D$7))</f>
        <v>#N/A</v>
      </c>
      <c r="CU68" s="369" t="e">
        <f>IF(Rev="F",VLOOKUP(BR68,Reinforcements[],COLUMN(Reinforcements[[#Headers],[Rev. F Bottom Longitudinal Weld Strength]])-1,FALSE),VLOOKUP(BR68,Reinforcements[],COLUMN(Reinforcements[[#Headers],[Rev. G Bottom Longitudinal Weld Strength]])-1,FALSE))</f>
        <v>#N/A</v>
      </c>
      <c r="CV68" s="369" t="e">
        <f>2*VLOOKUP(BR68,Reinforcements[],COLUMN(Reinforcements[[#Headers],[Bottom Longitudinal Weld Fillet Size (in)]])-1,FALSE)*CO68*MIN(IF(Rev="F",0.4,φ_shear_yield*0.6)*CG68,IF(Rev="F",0.3,φ_shear_rupture*0.6)*CH68)</f>
        <v>#N/A</v>
      </c>
      <c r="CW68" s="369" t="e">
        <f>2*VLOOKUP(BR68,Reinforcements[],COLUMN(Reinforcements[[#Headers],[Bottom Longitudinal Weld Fillet Size (in)]])-1,FALSE)*CO68*MIN(IF(Rev="F",0.4,φ_shear_yield*0.6)*$D$6,IF(Rev="F",0.3,φ_shear_rupture*0.6)*$D$7)</f>
        <v>#N/A</v>
      </c>
      <c r="CX68" s="451" t="e">
        <f>IF(ISBLANK(VLOOKUP(BR68,Reinforcements[],COLUMN(Reinforcements[[#Headers],[Top Transverse Weld Length]])-1,FALSE)),"",(VLOOKUP(BR68,Reinforcements[],COLUMN(Reinforcements[[#Headers],[Top Transverse Weld Length]])-1,FALSE)))</f>
        <v>#N/A</v>
      </c>
      <c r="CY68" s="451" t="e">
        <f>IF(ISBLANK(VLOOKUP(BR68,Reinforcements[],COLUMN(Reinforcements[[#Headers],[Top Transverse (Horizontal) Weld]])-1,FALSE)),"",(VLOOKUP(BR68,Reinforcements[],COLUMN(Reinforcements[[#Headers],[Top Transverse (Horizontal) Weld]])-1,FALSE)))</f>
        <v>#N/A</v>
      </c>
      <c r="CZ68" s="451" t="e">
        <f>IF(ISBLANK(VLOOKUP(BR68,Reinforcements[],COLUMN(Reinforcements[[#Headers],[Top Longitudinal Weld Length]])-1,FALSE)),"",(VLOOKUP(BR68,Reinforcements[],COLUMN(Reinforcements[[#Headers],[Top Longitudinal Weld Length]])-1,FALSE)))</f>
        <v>#N/A</v>
      </c>
      <c r="DA68" s="369" t="str">
        <f>IFERROR(VLOOKUP(BR68,Reinforcements[],COLUMN(Reinforcements[[#Headers],[Top Connected to Flange/Base Plate?]])-1,FALSE),"")</f>
        <v/>
      </c>
      <c r="DB68" s="369" t="e">
        <f>IF(Rev="F",VLOOKUP(BR68,Reinforcements[],COLUMN(Reinforcements[[#Headers],[Rev. F Top Transverse Weld Strength]])-1,FALSE),VLOOKUP(BR68,Reinforcements[],COLUMN(Reinforcements[[#Headers],[Rev. G Top Transverse Weld Strength]])-1,FALSE))</f>
        <v>#N/A</v>
      </c>
      <c r="DC68" s="369" t="e">
        <f>IF(DA68="Yes",IF(CY68="Fillet",VLOOKUP(BR68,Reinforcements[],COLUMN(Reinforcements[[#Headers],[Top Transverse Weld Fillet Size (in)]])-1,FALSE)*CX68*MIN(IF(Rev="F",0.4,φ_shear_yield*0.6)*CG68,IF(Rev="F",0.3,φ_shear_rupture*0.6)*CH68),VLOOKUP(BR68,Reinforcements[],COLUMN(Reinforcements[[#Headers],[Top Transverse Weld Groove Depth (in)]])-1,FALSE)/COS(RADIANS(VLOOKUP(BR68,Reinforcements[],COLUMN(Reinforcements[[#Headers],[Top Transverse Weld Groove Angle (degrees)]])-1,FALSE)))*CX68*IF(Rev="F",0.6,φ_t_y)*CG68),VLOOKUP(BR68,Reinforcements[],COLUMN(Reinforcements[[#Headers],[Top Transverse Weld Fillet Size (in)]])-1,FALSE)*CX68*IF(Rev="F",0.6,φ_t_y)*CG68)</f>
        <v>#N/A</v>
      </c>
      <c r="DD68" s="369" t="str">
        <f>IF(DA68&lt;&gt;"Yes","",(VLOOKUP(BR68,Reinforcements[],COLUMN(Reinforcements[[#Headers],[Top Transverse Weld Groove Depth (in)]])-1,FALSE)+VLOOKUP(BR68,Reinforcements[],COLUMN(Reinforcements[[#Headers],[Top Transverse Weld Fillet Size (in)]])-1,FALSE))*CX68*IF(Rev="F",0.6,φ_t_y)*$D$14)</f>
        <v/>
      </c>
      <c r="DE68" s="369" t="e">
        <f>IF(DA68="Yes","",VLOOKUP(BR68,Reinforcements[],COLUMN(Reinforcements[[#Headers],[Top Transverse Weld Fillet Size (in)]])-1,FALSE)*CX68*MIN(IF(Rev="F",0.4,φ_shear_yield*0.6)*$D$6,IF(Rev="F",0.3,φ_shear_rupture*0.6)*$D$7))</f>
        <v>#N/A</v>
      </c>
      <c r="DF68" s="369" t="e">
        <f>IF(Rev="F",VLOOKUP(BR68,Reinforcements[],COLUMN(Reinforcements[[#Headers],[Rev. F Top Longitudinal Weld Strength]])-1,FALSE),VLOOKUP(BR68,Reinforcements[],COLUMN(Reinforcements[[#Headers],[Rev. G Top Longitudinal Weld Strength]])-1,FALSE))</f>
        <v>#N/A</v>
      </c>
      <c r="DG68" s="369" t="e">
        <f>2*VLOOKUP(BR68,Reinforcements[],COLUMN(Reinforcements[[#Headers],[Top Longitudinal Weld Fillet Size (in)]])-1,FALSE)*CZ68*MIN(IF(Rev="F",0.4,φ_shear_yield*0.6)*CG68,IF(Rev="F",0.3,φ_shear_rupture*0.6)*CH68)</f>
        <v>#N/A</v>
      </c>
      <c r="DH68" s="369" t="e">
        <f>2*VLOOKUP(BR68,Reinforcements[],COLUMN(Reinforcements[[#Headers],[Top Longitudinal Weld Fillet Size (in)]])-1,FALSE)*CZ68*MIN(IF(Rev="F",0.4,φ_shear_yield*0.6)*$D$6,IF(Rev="F",0.3,φ_shear_rupture*0.6)*$D$7)</f>
        <v>#N/A</v>
      </c>
      <c r="DI68" s="66" t="e">
        <f>IF(BS68="channel",VLOOKUP(Calculations!BR68,Reinforcements[],COLUMN(Reinforcements[[#Headers],['[Channel']Web Thickness (in)]])-1,FALSE),"")</f>
        <v>#N/A</v>
      </c>
      <c r="DJ68" s="66" t="b">
        <f t="shared" si="84"/>
        <v>0</v>
      </c>
      <c r="DK68" s="66" t="e">
        <f>IF(BS68="channel",Calculations!BU68-DI68,"")</f>
        <v>#N/A</v>
      </c>
      <c r="DL68" s="66" t="e">
        <f>IF(BS68="channel",(Calculations!BY68-Calculations!BT68*DI68)/(2*DK68))</f>
        <v>#N/A</v>
      </c>
      <c r="DM68" s="66" t="e">
        <f>IF(BS68="channel",(Calculations!BT68*(DI68^2)/2+2*DK68*DL68*(DI68+DK68/2))/Calculations!BY68,"")</f>
        <v>#N/A</v>
      </c>
    </row>
    <row r="69" spans="2:117" ht="15" x14ac:dyDescent="0.25">
      <c r="B69" s="66" t="str">
        <f t="shared" si="70"/>
        <v/>
      </c>
      <c r="C69" s="317">
        <v>10</v>
      </c>
      <c r="D69" s="380" t="str">
        <f>IF(BQ69="","",IF($D$8=0,IF(OR(VLOOKUP(BQ69,Input!$B$21:$AL$50,19+C69,FALSE)+$D$5=0,VLOOKUP(BQ69,Input!$B$21:$AL$50,19+C69,FALSE)+$D$5=180),VLOOKUP(BQ69,Input!$B$21:$AL$50,19+C69,FALSE)+$D$5+0.0001,VLOOKUP(BQ69,Input!$B$21:$AL$50,19+C69,FALSE)+$D$5),IF(VLOOKUP(BQ69,Input!$B$21:$AL$50,19+C69,FALSE)="c",VLOOKUP($C69,$C$40:$E$57,2,FALSE)+180/$D$8,VLOOKUP($C69,$C$40:$E$57,2,FALSE))))</f>
        <v/>
      </c>
      <c r="E69" s="370" t="str">
        <f t="shared" si="39"/>
        <v/>
      </c>
      <c r="F69" s="381" t="str">
        <f>IF(BR69="","",VLOOKUP(BR69,Reinforcements[],COLUMN(Reinforcements[[#Headers],[Gross Area (in2)]])-1,FALSE))</f>
        <v/>
      </c>
      <c r="G69" s="378" t="e">
        <f>(IF(VLOOKUP(BQ69,Input!$B$21:$AL$50,19+C69,FALSE)="c",$D$20/COS(RADIANS(180/$D$8)),$D$20)+CA69)*SIN(RADIANS(D69))-IF(AND(ISNUMBER(VLOOKUP(BQ69,Input!$B$21:$AL$50,19+C69,FALSE)),$D$8&lt;&gt;0),VLOOKUP(BQ69,Input!$B$21:$AL$50,19+C69,FALSE)*COS(RADIANS(D69)),0)</f>
        <v>#N/A</v>
      </c>
      <c r="H69" s="373" t="str">
        <f t="shared" si="71"/>
        <v/>
      </c>
      <c r="I69" s="373" t="e">
        <f t="shared" si="40"/>
        <v>#N/A</v>
      </c>
      <c r="J69" s="373" t="e">
        <f t="shared" si="41"/>
        <v>#N/A</v>
      </c>
      <c r="K69" s="373" t="e">
        <f t="shared" si="42"/>
        <v>#N/A</v>
      </c>
      <c r="L69" s="373" t="e">
        <f t="shared" si="72"/>
        <v>#N/A</v>
      </c>
      <c r="M69" s="374" t="str">
        <f>IFERROR((L69+F69*I69^2)*IF(CI69="Yes",BP69,1),"")</f>
        <v/>
      </c>
      <c r="N69" s="372" t="str">
        <f>IFERROR((IF(VLOOKUP(BQ69,Input!$B$21:$AL$50,19+C69,FALSE)="c",$D$20/COS(RADIANS(180/$D$8)),$D$20)+CA69)*SIN(RADIANS(D69))-IF(AND(ISNUMBER(VLOOKUP(BQ69,Input!$B$21:$AL$50,19+C69,FALSE)),$D$8&lt;&gt;0),VLOOKUP(BQ69,Input!$B$21:$AL$50,19+C69,FALSE)*COS(RADIANS(D69)),0)-$D$35,"")</f>
        <v/>
      </c>
      <c r="O69" s="375" t="str">
        <f t="shared" si="43"/>
        <v/>
      </c>
      <c r="P69" s="375" t="str">
        <f t="shared" si="44"/>
        <v/>
      </c>
      <c r="Q69" s="375" t="str">
        <f t="shared" si="45"/>
        <v/>
      </c>
      <c r="R69" s="376" t="str">
        <f t="shared" si="46"/>
        <v/>
      </c>
      <c r="S69" s="373" t="str">
        <f t="shared" si="74"/>
        <v/>
      </c>
      <c r="T69" s="373" t="str">
        <f t="shared" si="75"/>
        <v/>
      </c>
      <c r="U69" s="373" t="str">
        <f t="shared" si="76"/>
        <v/>
      </c>
      <c r="V69" s="374" t="str">
        <f t="shared" si="77"/>
        <v/>
      </c>
      <c r="W69" s="482" t="str">
        <f>IFERROR(IF('Macro References'!$A$9,IF(AND(Calculations!CK69,CL69="Bolted"),VLOOKUP($BR69,Reinforcements[],COLUMN(IF(Rev="F",Reinforcements[[#Headers],[Rev. F Bolt Shear Capacity   (Top)        (kips)]],IF(Rev="G",Reinforcements[[#Headers],[Rev. G Bolt Shear Capacity (Top)     (kips)]],Reinforcements[[#Headers],[Rev. H Bolt Shear Capacity (Top) (kips)]])))-1,FALSE),IF(AND(Calculations!CJ69,CL69="Bolted"),VLOOKUP($BR69,Reinforcements[],COLUMN(IF(Rev="F",Reinforcements[[#Headers],[Rev. F Bolt Shear Capacity (Bottom)   (kips)]],IF(Rev="G",Reinforcements[[#Headers],[Rev. G Bolt Shear Capacity (Bottom) (kips)]],Reinforcements[[#Headers],[Rev. H Bolt Shear Capacity (Bottom) (kips)]])))-1,FALSE),"")),""),"")</f>
        <v/>
      </c>
      <c r="X69" s="483" t="str">
        <f>IFERROR(IF('Macro References'!$A$9,IF('Macro References'!$A$10,IF(AND(Calculations!CK69,CL69="Bolted"),VLOOKUP($BR69,Reinforcements[],COLUMN(IF(Rev="F",Reinforcements[[#Headers],[Rev.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kips)]])))-1,FALSE),IF(AND(Calculations!CJ69,CL69="Bolted"),VLOOKUP($BR69,Reinforcements[],COLUMN(IF(Rev="F",Reinforcements[[#Headers],[Rev.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kips)]])))-1,FALSE),"")),IF(AND(Calculations!CK69,CL69="Bolted"),VLOOKUP($BR69,Reinforcements[],COLUMN(IF(Rev="F",Reinforcements[[#Headers],[Rev.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kips)]])))-1,FALSE),IF(AND(Calculations!CJ69,CL69="Bolted"),VLOOKUP($BR69,Reinforcements[],COLUMN(IF(Rev="F",Reinforcements[[#Headers],[Rev.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9" s="483" t="str">
        <f>IFERROR(IF('Macro References'!$A$9,IF('Macro References'!$A$10,IF(AND(Calculations!CK69,CL69="Bolted"),VLOOKUP($BR69,Reinforcements[],COLUMN(IF(Rev="F",Reinforcements[[#Headers],[Rev.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(kips)]])))-1,FALSE),IF(AND(Calculations!CJ69,CL69="Bolted"),VLOOKUP($BR69,Reinforcements[],COLUMN(IF(Rev="F",Reinforcements[[#Headers],[Rev.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(kips)]])))-1,FALSE),"")),IF(AND(Calculations!CK69,CL69="Bolted"),VLOOKUP($BR69,Reinforcements[],COLUMN(IF(Rev="F",Reinforcements[[#Headers],[Rev.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(kips)]])))-1,FALSE),IF(AND(Calculations!CJ69,CL69="Bolted"),VLOOKUP($BR69,Reinforcements[],COLUMN(IF(Rev="F",Reinforcements[[#Headers],[Rev.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9" s="483" t="str">
        <f>IFERROR(IF('Macro References'!$A$9,IF(AND(CJ69,CL69="Welded"),MIN(CQ69:CT69),IF(AND(CK69,CL69="Welded"),MIN(DB69:DE69),"")),""),"")</f>
        <v/>
      </c>
      <c r="AA69" s="484" t="str">
        <f>IFERROR(IF('Macro References'!$A$9,IF(AND(CJ69,CL69="Welded"),MIN(CU69:CW69),IF(AND(CK69,CL69="Welded"),MIN(DF69:DH69),"")),""),"")</f>
        <v/>
      </c>
      <c r="AB69" s="484" t="str">
        <f>IFERROR(IF('Macro References'!$A$9,IF(AND(CJ69,CL69="Welded",CN69="Fillet",CU69&gt;0),TRUE,IF(AND(CK69,CL69="Welded",CY69="Fillet",DF69&gt;0),TRUE,"")),""),"")</f>
        <v/>
      </c>
      <c r="AC69" s="484" t="e">
        <f>IF('Macro References'!$A$9,IF(AND(CJ69,CL69="Capacity Input"),IF(Rev="F",VLOOKUP(BR69,Reinforcements[],COLUMN(Reinforcements[[#Headers],[Rev. F Bottom Connection Capacity (kips)]])-1,FALSE),IF(Rev="G",VLOOKUP(BR69,Reinforcements[],COLUMN(Reinforcements[[#Headers],[Rev. G Bottom Connection Capacity (kips)]])-1,FALSE),VLOOKUP(BR69,Reinforcements[],COLUMN(Reinforcements[[#Headers],[Rev. H Bottom Connection Capacity (kips)]])-1,FALSE))),IF(AND(CK69,CL69="Capacity Input"),IF(Rev="F",VLOOKUP(BR69,Reinforcements[],COLUMN(Reinforcements[[#Headers],[Rev. F Top Connection Capacity (kips)]])-1,FALSE),IF(Rev="G",VLOOKUP(BR69,Reinforcements[],COLUMN(Reinforcements[[#Headers],[Rev. G Top Connection Capacity (kips)]])-1,FALSE),VLOOKUP(BR69,Reinforcements[],COLUMN(Reinforcements[[#Headers],[Rev. H Top Connection Capacity (kips)]])-1,FALSE))),"")),"")</f>
        <v>#VALUE!</v>
      </c>
      <c r="AD69" s="484" t="str">
        <f>IFERROR(IF(Rev="F",MIN(VLOOKUP(BR69,Reinforcements[],COLUMN(Reinforcements[[#Headers],[Rev. F Compression Capacity x-x (kips)]])-1,FALSE),VLOOKUP(BR69,Reinforcements[],COLUMN(Reinforcements[[#Headers],[Rev. F Compression Capacity y-y (kips)]])-1,FALSE)),IF(Rev="G",MIN(VLOOKUP(BR69,Reinforcements[],COLUMN(Reinforcements[[#Headers],[Rev. G Compression Capacity x-x (kips)]])-1,FALSE),VLOOKUP(BR69,Reinforcements[],COLUMN(Reinforcements[[#Headers],[Rev. G Compression Capacity y-y (kips)]])-1,FALSE)),MIN(VLOOKUP(BR69,Reinforcements[],COLUMN(Reinforcements[[#Headers],[Rev. H Compression Capacity x-x (kips)]])-1,FALSE),VLOOKUP(BR69,Reinforcements[],COLUMN(Reinforcements[[#Headers],[Rev. H Compression Capacity y-y (kips)]])-1,FALSE)))),"")</f>
        <v/>
      </c>
      <c r="AE69" s="485" t="str">
        <f>IFERROR(IF(Rev="F",VLOOKUP(BR69,Reinforcements[],COLUMN(Reinforcements[[#Headers],[Rev. F Shear Capacity (kips)]])-1,FALSE)/BY69,IF(Rev="G",VLOOKUP(Calculations!BR69,Reinforcements[],COLUMN(Reinforcements[[#Headers],[Rev. G Shear Capacity (kips)]])-1,FALSE),VLOOKUP(Calculations!BR69,Reinforcements[],COLUMN(Reinforcements[[#Headers],[Rev. H Shear Capacity (kips)]])-1,FALSE))),"")</f>
        <v/>
      </c>
      <c r="AF69" s="451" t="str">
        <f>IFERROR(IF(Rev="F",VLOOKUP(BR69,Reinforcements[],COLUMN(Reinforcements[[#Headers],[Rev. F Tension Yield Capacity (kips)]])-1,FALSE),IF(Rev="G",VLOOKUP(Calculations!BR69,Reinforcements[],COLUMN(Reinforcements[[#Headers],[Rev. G Tension Yield Capacity (kips)]])-1,FALSE),VLOOKUP(Calculations!BR69,Reinforcements[],COLUMN(Reinforcements[[#Headers],[Rev. H Tension Yield Capacity (kips)]])-1,FALSE))),"")</f>
        <v/>
      </c>
      <c r="AG69" s="486" t="str">
        <f>IFERROR(IF(Rev="F",VLOOKUP(BR69,Reinforcements[],COLUMN(Reinforcements[[#Headers],[Rev. F Tension Rupture Capacity (kips)]])-1,FALSE),IF(Rev="G",VLOOKUP(Calculations!BR69,Reinforcements[],COLUMN(Reinforcements[[#Headers],[Rev. G Tension Rupture Capacity (kips)]])-1,FALSE),VLOOKUP(Calculations!BR69,Reinforcements[],COLUMN(Reinforcements[[#Headers],[Rev. H Tension Rupture Capacity (kips)]])-1, FALSE))),"")</f>
        <v/>
      </c>
      <c r="AH69" s="409" t="str">
        <f t="shared" si="47"/>
        <v/>
      </c>
      <c r="AI69" s="380" t="str">
        <f t="shared" si="48"/>
        <v/>
      </c>
      <c r="AJ69" s="380" t="str">
        <f t="shared" si="49"/>
        <v/>
      </c>
      <c r="AK69" s="380" t="str">
        <f t="shared" si="85"/>
        <v/>
      </c>
      <c r="AL69" s="369" t="str">
        <f t="shared" si="78"/>
        <v/>
      </c>
      <c r="AM69" s="380" t="str">
        <f>""</f>
        <v/>
      </c>
      <c r="AN69" s="380" t="str">
        <f t="shared" si="50"/>
        <v/>
      </c>
      <c r="AO69" s="369" t="str">
        <f t="shared" si="51"/>
        <v/>
      </c>
      <c r="AP69" s="410" t="str">
        <f t="shared" si="52"/>
        <v/>
      </c>
      <c r="AQ69" s="411" t="str">
        <f t="shared" si="53"/>
        <v/>
      </c>
      <c r="AR69" s="380" t="str">
        <f>IF(BR69="","",VLOOKUP(VLOOKUP(BR69,Reinforcements[],COLUMN(Reinforcements[[#Headers],[Material]])-1,FALSE),Materials[],2,FALSE)/$D$28)</f>
        <v/>
      </c>
      <c r="AS69" s="369" t="str">
        <f t="shared" si="54"/>
        <v/>
      </c>
      <c r="AT69" s="489" t="str">
        <f t="shared" si="55"/>
        <v/>
      </c>
      <c r="AU69" s="412">
        <f t="shared" si="56"/>
        <v>0</v>
      </c>
      <c r="AV69" s="413">
        <f t="shared" si="57"/>
        <v>0</v>
      </c>
      <c r="AW69" s="413" t="e">
        <f t="shared" si="58"/>
        <v>#N/A</v>
      </c>
      <c r="AX69" s="413" t="e">
        <f t="shared" si="59"/>
        <v>#N/A</v>
      </c>
      <c r="AY69" s="413" t="str">
        <f t="shared" si="60"/>
        <v/>
      </c>
      <c r="AZ69" s="413" t="e">
        <f t="shared" si="61"/>
        <v>#VALUE!</v>
      </c>
      <c r="BA69" s="433" t="str">
        <f t="shared" si="62"/>
        <v/>
      </c>
      <c r="BB69" s="436" t="str">
        <f t="shared" si="79"/>
        <v/>
      </c>
      <c r="BC69" s="437" t="str">
        <f t="shared" si="63"/>
        <v/>
      </c>
      <c r="BD69" s="437" t="str">
        <f t="shared" si="64"/>
        <v/>
      </c>
      <c r="BE69" s="433" t="str">
        <f t="shared" si="80"/>
        <v/>
      </c>
      <c r="BF69" s="438" t="e">
        <f t="shared" si="81"/>
        <v>#DIV/0!</v>
      </c>
      <c r="BG69" s="439" t="str">
        <f t="shared" si="65"/>
        <v/>
      </c>
      <c r="BH69" s="439" t="str">
        <f t="shared" si="66"/>
        <v/>
      </c>
      <c r="BI69" s="433" t="e">
        <f t="shared" si="82"/>
        <v>#DIV/0!</v>
      </c>
      <c r="BJ69" s="438" t="str">
        <f t="shared" si="83"/>
        <v/>
      </c>
      <c r="BK69" s="413" t="e">
        <f t="shared" si="67"/>
        <v>#DIV/0!</v>
      </c>
      <c r="BL69" s="66" t="str">
        <f t="shared" si="68"/>
        <v/>
      </c>
      <c r="BP69" s="30" t="e">
        <f t="shared" si="69"/>
        <v>#DIV/0!</v>
      </c>
      <c r="BQ69" s="344" t="str">
        <f>IFERROR(VALUE(LEFT(VLOOKUP(Calculations!$D$4,Results!$G$5:$CM$105,67+$C69,FALSE),FIND(";",VLOOKUP(Calculations!$D$4,Results!$G$5:$CM$105,67+$C69,FALSE))-1)),"")</f>
        <v/>
      </c>
      <c r="BR69" s="444" t="str">
        <f>IF(BQ69="","",VLOOKUP(BQ69,Input!$B$21:$Q$50,13,FALSE))</f>
        <v/>
      </c>
      <c r="BS69" s="369" t="e">
        <f>VLOOKUP(BR69,Reinforcements[],COLUMN(Reinforcements[[#Headers],[Type]])-1,FALSE)</f>
        <v>#N/A</v>
      </c>
      <c r="BT69" s="369" t="e">
        <f>IF(BS69="solid round",VLOOKUP(BR69,Reinforcements[],COLUMN(Reinforcements[[#Headers],[Diameter (in)]])-1,FALSE),VLOOKUP(BR69,Reinforcements[],COLUMN(Reinforcements[[#Headers],[B (in)]])-1,FALSE))</f>
        <v>#N/A</v>
      </c>
      <c r="BU69" s="369" t="e">
        <f>IF(BS69="solid round",VLOOKUP(BR69,Reinforcements[],COLUMN(Reinforcements[[#Headers],[Diameter (in)]])-1,FALSE),VLOOKUP(BR69,Reinforcements[],COLUMN(Reinforcements[[#Headers],[H (in)]])-1,FALSE))</f>
        <v>#N/A</v>
      </c>
      <c r="BV69" s="413" t="e">
        <f>IFERROR((IF(VLOOKUP(BQ69,Input!$B$21:$AL$50,19+C69,FALSE)="c",$D$20/COS(RADIANS(180/$D$8)),$D$20)+BU69/2)*SIN(RADIANS(D69))-IF(ISNUMBER(VLOOKUP(BQ69,Input!$B$21:$AL$50,19+C69,FALSE)),VLOOKUP(BQ69,Input!$B$21:$AL$50,19+C69,FALSE)*COS(RADIANS(D69)),0)-$D$35,"")*0+N69*1</f>
        <v>#VALUE!</v>
      </c>
      <c r="BW69" s="369" t="e">
        <f>VLOOKUP(BR69,Reinforcements[],COLUMN(Reinforcements[[#Headers],[Effective B (in)]])-1,FALSE)</f>
        <v>#N/A</v>
      </c>
      <c r="BX69" s="369" t="e">
        <f>VLOOKUP(BR69,Reinforcements[],COLUMN(Reinforcements[[#Headers],[Effective H (in)]])-1,FALSE)</f>
        <v>#N/A</v>
      </c>
      <c r="BY69" s="369" t="e">
        <f>VLOOKUP(BR69,Reinforcements[],COLUMN(Reinforcements[[#Headers],[Gross Area (in2)]])-1,FALSE)</f>
        <v>#N/A</v>
      </c>
      <c r="BZ69" s="380" t="s">
        <v>335</v>
      </c>
      <c r="CA69" s="369" t="e">
        <f>VLOOKUP(BR69,Reinforcements[],COLUMN(Reinforcements[[#Headers],[Pole Face to Centroid (in)]])-1,FALSE)</f>
        <v>#N/A</v>
      </c>
      <c r="CB69" s="369" t="e">
        <f>VLOOKUP(BR69,Reinforcements[],COLUMN(Reinforcements[[#Headers],[Equivalent Rectangle Ix (in4)]])-1,FALSE)</f>
        <v>#N/A</v>
      </c>
      <c r="CC69" s="369" t="e">
        <f>VLOOKUP(BR69,Reinforcements[],COLUMN(Reinforcements[[#Headers],[Equivalent Rectangle Iy (in4)]])-1,FALSE)</f>
        <v>#N/A</v>
      </c>
      <c r="CD69" s="369" t="e">
        <f>VLOOKUP(BR69,Reinforcements[],COLUMN(Reinforcements[[#Headers],[Lu (in)]])-1,FALSE)</f>
        <v>#N/A</v>
      </c>
      <c r="CE69" s="380" t="s">
        <v>335</v>
      </c>
      <c r="CF69" s="380" t="s">
        <v>335</v>
      </c>
      <c r="CG69" s="369" t="e">
        <f>VLOOKUP(VLOOKUP(BR69,Reinforcements[],COLUMN(Reinforcements[[#Headers],[Material]])-1,FALSE),Materials[],2,FALSE)</f>
        <v>#N/A</v>
      </c>
      <c r="CH69" s="369" t="e">
        <f>VLOOKUP(VLOOKUP(BR69,Reinforcements[],COLUMN(Reinforcements[[#Headers],[Material]])-1,FALSE),Materials[],3,FALSE)</f>
        <v>#N/A</v>
      </c>
      <c r="CI69" s="380" t="e">
        <f>VLOOKUP(BR69,Reinforcements[],COLUMN(Reinforcements[[#Headers],[Tension Only?]])-1,FALSE)</f>
        <v>#N/A</v>
      </c>
      <c r="CJ69" s="449" t="str">
        <f>IF(BQ69="","",AND(INDEX(Results!$G$5:$G$104,MATCH(VLOOKUP($BQ69,Input!$B$21:$J$50,2,FALSE)-0.001,Results!$G$5:$G$104,-1))=$D$4))</f>
        <v/>
      </c>
      <c r="CK69" s="449" t="str">
        <f>IF(BQ69="","",AND(INDEX('Macro References'!$BB$2:$BB$101,MATCH(VLOOKUP($BQ69,Input!$B$21:$J$50,6,FALSE)-0.001,'Macro References'!$BB$2:$BB$101,1))=$D$4))</f>
        <v/>
      </c>
      <c r="CL69" s="449" t="e">
        <f>IF(CJ69,VLOOKUP(BR69,Reinforcements[],COLUMN(Reinforcements[[#Headers],[Bottom End Connection Type]])-1,FALSE),IF(CK69,VLOOKUP(BR69,Reinforcements[],COLUMN(Reinforcements[[#Headers],[Top End Connection Type]])-1,FALSE),""))</f>
        <v>#VALUE!</v>
      </c>
      <c r="CM69" s="449" t="e">
        <f>IF(ISBLANK(VLOOKUP(BR69,Reinforcements[],COLUMN(Reinforcements[[#Headers],[Bottom Transverse Weld Length]])-1,FALSE)),"",(VLOOKUP(BR69,Reinforcements[],COLUMN(Reinforcements[[#Headers],[Bottom Transverse Weld Length]])-1,FALSE)))</f>
        <v>#N/A</v>
      </c>
      <c r="CN69" s="449" t="e">
        <f>IF(ISBLANK(VLOOKUP(BR69,Reinforcements[],COLUMN(Reinforcements[[#Headers],[Bottom Transverse (Horizontal) Weld]])-1,FALSE)),"",(VLOOKUP(BR69,Reinforcements[],COLUMN(Reinforcements[[#Headers],[Bottom Transverse (Horizontal) Weld]])-1,FALSE)))</f>
        <v>#N/A</v>
      </c>
      <c r="CO69" s="449" t="e">
        <f>IF(ISBLANK(VLOOKUP(BR69,Reinforcements[],COLUMN(Reinforcements[[#Headers],[Bottom Longitudinal Weld Length]])-1,FALSE)),"",(VLOOKUP(BR69,Reinforcements[],COLUMN(Reinforcements[[#Headers],[Bottom Longitudinal Weld Length]])-1,FALSE)))</f>
        <v>#N/A</v>
      </c>
      <c r="CP69" s="449" t="str">
        <f>IFERROR(VLOOKUP(BR69,Reinforcements[],COLUMN(Reinforcements[[#Headers],[Bottom Connected to Flange/Base Plate?]])-1,FALSE),"")</f>
        <v/>
      </c>
      <c r="CQ69" s="369" t="e">
        <f>IF(Rev="F",VLOOKUP(BR69,Reinforcements[],COLUMN(Reinforcements[[#Headers],[Rev. F Bottom Transverse Weld Strength]])-1,FALSE),VLOOKUP(BR69,Reinforcements[],COLUMN(Reinforcements[[#Headers],[Rev. G Bottom Transverse Weld Strength]])-1,FALSE))</f>
        <v>#N/A</v>
      </c>
      <c r="CR69" s="369" t="e">
        <f>IF(CP69="Yes",IF(CN69="Fillet",VLOOKUP(BR69,Reinforcements[],COLUMN(Reinforcements[[#Headers],[Bottom Transverse Weld Fillet Size (in)]])-1,FALSE)*CM69*MIN(IF(Rev="F",0.4,φ_shear_yield*0.6)*CG69,IF(Rev="F",0.3,φ_shear_rupture*0.6)*CH69),VLOOKUP(BR69,Reinforcements[],COLUMN(Reinforcements[[#Headers],[Bottom Transverse Weld Groove Depth (in)]])-1,FALSE)/COS(RADIANS(VLOOKUP(BR69,Reinforcements[],COLUMN(Reinforcements[[#Headers],[Bottom Transverse Weld Groove Angle (degrees)]])-1,FALSE)))*CM69*IF(Rev="F",0.6,φ_t_y)*CG69),VLOOKUP(BR69,Reinforcements[],COLUMN(Reinforcements[[#Headers],[Bottom Transverse Weld Fillet Size (in)]])-1,FALSE)*CM69*IF(Rev="F",0.6,φ_t_y)*CG69)</f>
        <v>#N/A</v>
      </c>
      <c r="CS69" s="369" t="str">
        <f>IF(CP69&lt;&gt;"Yes","",(VLOOKUP(BR69,Reinforcements[],COLUMN(Reinforcements[[#Headers],[Bottom Transverse Weld Groove Depth (in)]])-1,FALSE)+VLOOKUP(BR69,Reinforcements[],COLUMN(Reinforcements[[#Headers],[Bottom Transverse Weld Fillet Size (in)]])-1,FALSE))*CM69*IF(Rev="F",0.6,φ_t_y)*$D$14)</f>
        <v/>
      </c>
      <c r="CT69" s="369" t="e">
        <f>IF(CP69="Yes","",VLOOKUP(BR69,Reinforcements[],COLUMN(Reinforcements[[#Headers],[Bottom Transverse Weld Fillet Size (in)]])-1,FALSE)*CM69*MIN(IF(Rev="F",0.4,φ_shear_yield*0.6)*$D$6,IF(Rev="F",0.3,φ_shear_rupture*0.6)*$D$7))</f>
        <v>#N/A</v>
      </c>
      <c r="CU69" s="369" t="e">
        <f>IF(Rev="F",VLOOKUP(BR69,Reinforcements[],COLUMN(Reinforcements[[#Headers],[Rev. F Bottom Longitudinal Weld Strength]])-1,FALSE),VLOOKUP(BR69,Reinforcements[],COLUMN(Reinforcements[[#Headers],[Rev. G Bottom Longitudinal Weld Strength]])-1,FALSE))</f>
        <v>#N/A</v>
      </c>
      <c r="CV69" s="369" t="e">
        <f>2*VLOOKUP(BR69,Reinforcements[],COLUMN(Reinforcements[[#Headers],[Bottom Longitudinal Weld Fillet Size (in)]])-1,FALSE)*CO69*MIN(IF(Rev="F",0.4,φ_shear_yield*0.6)*CG69,IF(Rev="F",0.3,φ_shear_rupture*0.6)*CH69)</f>
        <v>#N/A</v>
      </c>
      <c r="CW69" s="369" t="e">
        <f>2*VLOOKUP(BR69,Reinforcements[],COLUMN(Reinforcements[[#Headers],[Bottom Longitudinal Weld Fillet Size (in)]])-1,FALSE)*CO69*MIN(IF(Rev="F",0.4,φ_shear_yield*0.6)*$D$6,IF(Rev="F",0.3,φ_shear_rupture*0.6)*$D$7)</f>
        <v>#N/A</v>
      </c>
      <c r="CX69" s="451" t="e">
        <f>IF(ISBLANK(VLOOKUP(BR69,Reinforcements[],COLUMN(Reinforcements[[#Headers],[Top Transverse Weld Length]])-1,FALSE)),"",(VLOOKUP(BR69,Reinforcements[],COLUMN(Reinforcements[[#Headers],[Top Transverse Weld Length]])-1,FALSE)))</f>
        <v>#N/A</v>
      </c>
      <c r="CY69" s="451" t="e">
        <f>IF(ISBLANK(VLOOKUP(BR69,Reinforcements[],COLUMN(Reinforcements[[#Headers],[Top Transverse (Horizontal) Weld]])-1,FALSE)),"",(VLOOKUP(BR69,Reinforcements[],COLUMN(Reinforcements[[#Headers],[Top Transverse (Horizontal) Weld]])-1,FALSE)))</f>
        <v>#N/A</v>
      </c>
      <c r="CZ69" s="451" t="e">
        <f>IF(ISBLANK(VLOOKUP(BR69,Reinforcements[],COLUMN(Reinforcements[[#Headers],[Top Longitudinal Weld Length]])-1,FALSE)),"",(VLOOKUP(BR69,Reinforcements[],COLUMN(Reinforcements[[#Headers],[Top Longitudinal Weld Length]])-1,FALSE)))</f>
        <v>#N/A</v>
      </c>
      <c r="DA69" s="369" t="str">
        <f>IFERROR(VLOOKUP(BR69,Reinforcements[],COLUMN(Reinforcements[[#Headers],[Top Connected to Flange/Base Plate?]])-1,FALSE),"")</f>
        <v/>
      </c>
      <c r="DB69" s="369" t="e">
        <f>IF(Rev="F",VLOOKUP(BR69,Reinforcements[],COLUMN(Reinforcements[[#Headers],[Rev. F Top Transverse Weld Strength]])-1,FALSE),VLOOKUP(BR69,Reinforcements[],COLUMN(Reinforcements[[#Headers],[Rev. G Top Transverse Weld Strength]])-1,FALSE))</f>
        <v>#N/A</v>
      </c>
      <c r="DC69" s="369" t="e">
        <f>IF(DA69="Yes",IF(CY69="Fillet",VLOOKUP(BR69,Reinforcements[],COLUMN(Reinforcements[[#Headers],[Top Transverse Weld Fillet Size (in)]])-1,FALSE)*CX69*MIN(IF(Rev="F",0.4,φ_shear_yield*0.6)*CG69,IF(Rev="F",0.3,φ_shear_rupture*0.6)*CH69),VLOOKUP(BR69,Reinforcements[],COLUMN(Reinforcements[[#Headers],[Top Transverse Weld Groove Depth (in)]])-1,FALSE)/COS(RADIANS(VLOOKUP(BR69,Reinforcements[],COLUMN(Reinforcements[[#Headers],[Top Transverse Weld Groove Angle (degrees)]])-1,FALSE)))*CX69*IF(Rev="F",0.6,φ_t_y)*CG69),VLOOKUP(BR69,Reinforcements[],COLUMN(Reinforcements[[#Headers],[Top Transverse Weld Fillet Size (in)]])-1,FALSE)*CX69*IF(Rev="F",0.6,φ_t_y)*CG69)</f>
        <v>#N/A</v>
      </c>
      <c r="DD69" s="369" t="str">
        <f>IF(DA69&lt;&gt;"Yes","",(VLOOKUP(BR69,Reinforcements[],COLUMN(Reinforcements[[#Headers],[Top Transverse Weld Groove Depth (in)]])-1,FALSE)+VLOOKUP(BR69,Reinforcements[],COLUMN(Reinforcements[[#Headers],[Top Transverse Weld Fillet Size (in)]])-1,FALSE))*CX69*IF(Rev="F",0.6,φ_t_y)*$D$14)</f>
        <v/>
      </c>
      <c r="DE69" s="369" t="e">
        <f>IF(DA69="Yes","",VLOOKUP(BR69,Reinforcements[],COLUMN(Reinforcements[[#Headers],[Top Transverse Weld Fillet Size (in)]])-1,FALSE)*CX69*MIN(IF(Rev="F",0.4,φ_shear_yield*0.6)*$D$6,IF(Rev="F",0.3,φ_shear_rupture*0.6)*$D$7))</f>
        <v>#N/A</v>
      </c>
      <c r="DF69" s="369" t="e">
        <f>IF(Rev="F",VLOOKUP(BR69,Reinforcements[],COLUMN(Reinforcements[[#Headers],[Rev. F Top Longitudinal Weld Strength]])-1,FALSE),VLOOKUP(BR69,Reinforcements[],COLUMN(Reinforcements[[#Headers],[Rev. G Top Longitudinal Weld Strength]])-1,FALSE))</f>
        <v>#N/A</v>
      </c>
      <c r="DG69" s="369" t="e">
        <f>2*VLOOKUP(BR69,Reinforcements[],COLUMN(Reinforcements[[#Headers],[Top Longitudinal Weld Fillet Size (in)]])-1,FALSE)*CZ69*MIN(IF(Rev="F",0.4,φ_shear_yield*0.6)*CG69,IF(Rev="F",0.3,φ_shear_rupture*0.6)*CH69)</f>
        <v>#N/A</v>
      </c>
      <c r="DH69" s="369" t="e">
        <f>2*VLOOKUP(BR69,Reinforcements[],COLUMN(Reinforcements[[#Headers],[Top Longitudinal Weld Fillet Size (in)]])-1,FALSE)*CZ69*MIN(IF(Rev="F",0.4,φ_shear_yield*0.6)*$D$6,IF(Rev="F",0.3,φ_shear_rupture*0.6)*$D$7)</f>
        <v>#N/A</v>
      </c>
      <c r="DI69" s="66" t="e">
        <f>IF(BS69="channel",VLOOKUP(Calculations!BR69,Reinforcements[],COLUMN(Reinforcements[[#Headers],['[Channel']Web Thickness (in)]])-1,FALSE),"")</f>
        <v>#N/A</v>
      </c>
      <c r="DJ69" s="66" t="b">
        <f t="shared" si="84"/>
        <v>0</v>
      </c>
      <c r="DK69" s="66" t="e">
        <f>IF(BS69="channel",Calculations!BU69-DI69,"")</f>
        <v>#N/A</v>
      </c>
      <c r="DL69" s="66" t="e">
        <f>IF(BS69="channel",(Calculations!BY69-Calculations!BT69*DI69)/(2*DK69))</f>
        <v>#N/A</v>
      </c>
      <c r="DM69" s="66" t="e">
        <f>IF(BS69="channel",(Calculations!BT69*(DI69^2)/2+2*DK69*DL69*(DI69+DK69/2))/Calculations!BY69,"")</f>
        <v>#N/A</v>
      </c>
    </row>
    <row r="70" spans="2:117" ht="15" x14ac:dyDescent="0.25">
      <c r="B70" s="66" t="str">
        <f t="shared" si="70"/>
        <v/>
      </c>
      <c r="C70" s="317">
        <v>11</v>
      </c>
      <c r="D70" s="380" t="str">
        <f>IF(BQ70="","",IF($D$8=0,IF(OR(VLOOKUP(BQ70,Input!$B$21:$AL$50,19+C70,FALSE)+$D$5=0,VLOOKUP(BQ70,Input!$B$21:$AL$50,19+C70,FALSE)+$D$5=180),VLOOKUP(BQ70,Input!$B$21:$AL$50,19+C70,FALSE)+$D$5+0.0001,VLOOKUP(BQ70,Input!$B$21:$AL$50,19+C70,FALSE)+$D$5),IF(VLOOKUP(BQ70,Input!$B$21:$AL$50,19+C70,FALSE)="c",VLOOKUP($C70,$C$40:$E$57,2,FALSE)+180/$D$8,VLOOKUP($C70,$C$40:$E$57,2,FALSE))))</f>
        <v/>
      </c>
      <c r="E70" s="370" t="str">
        <f t="shared" si="39"/>
        <v/>
      </c>
      <c r="F70" s="381" t="str">
        <f>IF(BR70="","",VLOOKUP(BR70,Reinforcements[],COLUMN(Reinforcements[[#Headers],[Gross Area (in2)]])-1,FALSE))</f>
        <v/>
      </c>
      <c r="G70" s="378" t="e">
        <f>(IF(VLOOKUP(BQ70,Input!$B$21:$AL$50,19+C70,FALSE)="c",$D$20/COS(RADIANS(180/$D$8)),$D$20)+CA70)*SIN(RADIANS(D70))-IF(AND(ISNUMBER(VLOOKUP(BQ70,Input!$B$21:$AL$50,19+C70,FALSE)),$D$8&lt;&gt;0),VLOOKUP(BQ70,Input!$B$21:$AL$50,19+C70,FALSE)*COS(RADIANS(D70)),0)</f>
        <v>#N/A</v>
      </c>
      <c r="H70" s="373" t="str">
        <f t="shared" si="71"/>
        <v/>
      </c>
      <c r="I70" s="373" t="e">
        <f t="shared" si="40"/>
        <v>#N/A</v>
      </c>
      <c r="J70" s="373" t="e">
        <f t="shared" si="41"/>
        <v>#N/A</v>
      </c>
      <c r="K70" s="373" t="e">
        <f t="shared" si="42"/>
        <v>#N/A</v>
      </c>
      <c r="L70" s="373" t="e">
        <f t="shared" si="72"/>
        <v>#N/A</v>
      </c>
      <c r="M70" s="374" t="str">
        <f t="shared" si="73"/>
        <v/>
      </c>
      <c r="N70" s="372" t="str">
        <f>IFERROR((IF(VLOOKUP(BQ70,Input!$B$21:$AL$50,19+C70,FALSE)="c",$D$20/COS(RADIANS(180/$D$8)),$D$20)+CA70)*SIN(RADIANS(D70))-IF(AND(ISNUMBER(VLOOKUP(BQ70,Input!$B$21:$AL$50,19+C70,FALSE)),$D$8&lt;&gt;0),VLOOKUP(BQ70,Input!$B$21:$AL$50,19+C70,FALSE)*COS(RADIANS(D70)),0)-$D$35,"")</f>
        <v/>
      </c>
      <c r="O70" s="375" t="str">
        <f t="shared" si="43"/>
        <v/>
      </c>
      <c r="P70" s="375" t="str">
        <f t="shared" si="44"/>
        <v/>
      </c>
      <c r="Q70" s="375" t="str">
        <f t="shared" si="45"/>
        <v/>
      </c>
      <c r="R70" s="376" t="str">
        <f t="shared" si="46"/>
        <v/>
      </c>
      <c r="S70" s="373" t="str">
        <f t="shared" si="74"/>
        <v/>
      </c>
      <c r="T70" s="373" t="str">
        <f t="shared" si="75"/>
        <v/>
      </c>
      <c r="U70" s="373" t="str">
        <f t="shared" si="76"/>
        <v/>
      </c>
      <c r="V70" s="374" t="str">
        <f t="shared" si="77"/>
        <v/>
      </c>
      <c r="W70" s="482" t="str">
        <f>IFERROR(IF('Macro References'!$A$9,IF(AND(Calculations!CK70,CL70="Bolted"),VLOOKUP($BR70,Reinforcements[],COLUMN(IF(Rev="F",Reinforcements[[#Headers],[Rev. F Bolt Shear Capacity   (Top)        (kips)]],IF(Rev="G",Reinforcements[[#Headers],[Rev. G Bolt Shear Capacity (Top)     (kips)]],Reinforcements[[#Headers],[Rev. H Bolt Shear Capacity (Top) (kips)]])))-1,FALSE),IF(AND(Calculations!CJ70,CL70="Bolted"),VLOOKUP($BR70,Reinforcements[],COLUMN(IF(Rev="F",Reinforcements[[#Headers],[Rev. F Bolt Shear Capacity (Bottom)   (kips)]],IF(Rev="G",Reinforcements[[#Headers],[Rev. G Bolt Shear Capacity (Bottom) (kips)]],Reinforcements[[#Headers],[Rev. H Bolt Shear Capacity (Bottom) (kips)]])))-1,FALSE),"")),""),"")</f>
        <v/>
      </c>
      <c r="X70" s="483" t="str">
        <f>IFERROR(IF('Macro References'!$A$9,IF('Macro References'!$A$10,IF(AND(Calculations!CK70,CL70="Bolted"),VLOOKUP($BR70,Reinforcements[],COLUMN(IF(Rev="F",Reinforcements[[#Headers],[Rev.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kips)]])))-1,FALSE),IF(AND(Calculations!CJ70,CL70="Bolted"),VLOOKUP($BR70,Reinforcements[],COLUMN(IF(Rev="F",Reinforcements[[#Headers],[Rev.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kips)]])))-1,FALSE),"")),IF(AND(Calculations!CK70,CL70="Bolted"),VLOOKUP($BR70,Reinforcements[],COLUMN(IF(Rev="F",Reinforcements[[#Headers],[Rev.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kips)]])))-1,FALSE),IF(AND(Calculations!CJ70,CL70="Bolted"),VLOOKUP($BR70,Reinforcements[],COLUMN(IF(Rev="F",Reinforcements[[#Headers],[Rev.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0" s="483" t="str">
        <f>IFERROR(IF('Macro References'!$A$9,IF('Macro References'!$A$10,IF(AND(Calculations!CK70,CL70="Bolted"),VLOOKUP($BR70,Reinforcements[],COLUMN(IF(Rev="F",Reinforcements[[#Headers],[Rev.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(kips)]])))-1,FALSE),IF(AND(Calculations!CJ70,CL70="Bolted"),VLOOKUP($BR70,Reinforcements[],COLUMN(IF(Rev="F",Reinforcements[[#Headers],[Rev.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(kips)]])))-1,FALSE),"")),IF(AND(Calculations!CK70,CL70="Bolted"),VLOOKUP($BR70,Reinforcements[],COLUMN(IF(Rev="F",Reinforcements[[#Headers],[Rev.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(kips)]])))-1,FALSE),IF(AND(Calculations!CJ70,CL70="Bolted"),VLOOKUP($BR70,Reinforcements[],COLUMN(IF(Rev="F",Reinforcements[[#Headers],[Rev.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0" s="483" t="str">
        <f>IFERROR(IF('Macro References'!$A$9,IF(AND(CJ70,CL70="Welded"),MIN(CQ70:CT70),IF(AND(CK70,CL70="Welded"),MIN(DB70:DE70),"")),""),"")</f>
        <v/>
      </c>
      <c r="AA70" s="484" t="str">
        <f>IFERROR(IF('Macro References'!$A$9,IF(AND(CJ70,CL70="Welded"),MIN(CU70:CW70),IF(AND(CK70,CL70="Welded"),MIN(DF70:DH70),"")),""),"")</f>
        <v/>
      </c>
      <c r="AB70" s="484" t="str">
        <f>IFERROR(IF('Macro References'!$A$9,IF(AND(CJ70,CL70="Welded",CN70="Fillet",CU70&gt;0),TRUE,IF(AND(CK70,CL70="Welded",CY70="Fillet",DF70&gt;0),TRUE,"")),""),"")</f>
        <v/>
      </c>
      <c r="AC70" s="484" t="e">
        <f>IF('Macro References'!$A$9,IF(AND(CJ70,CL70="Capacity Input"),IF(Rev="F",VLOOKUP(BR70,Reinforcements[],COLUMN(Reinforcements[[#Headers],[Rev. F Bottom Connection Capacity (kips)]])-1,FALSE),IF(Rev="G",VLOOKUP(BR70,Reinforcements[],COLUMN(Reinforcements[[#Headers],[Rev. G Bottom Connection Capacity (kips)]])-1,FALSE),VLOOKUP(BR70,Reinforcements[],COLUMN(Reinforcements[[#Headers],[Rev. H Bottom Connection Capacity (kips)]])-1,FALSE))),IF(AND(CK70,CL70="Capacity Input"),IF(Rev="F",VLOOKUP(BR70,Reinforcements[],COLUMN(Reinforcements[[#Headers],[Rev. F Top Connection Capacity (kips)]])-1,FALSE),IF(Rev="G",VLOOKUP(BR70,Reinforcements[],COLUMN(Reinforcements[[#Headers],[Rev. G Top Connection Capacity (kips)]])-1,FALSE),VLOOKUP(BR70,Reinforcements[],COLUMN(Reinforcements[[#Headers],[Rev. H Top Connection Capacity (kips)]])-1,FALSE))),"")),"")</f>
        <v>#VALUE!</v>
      </c>
      <c r="AD70" s="484" t="str">
        <f>IFERROR(IF(Rev="F",MIN(VLOOKUP(BR70,Reinforcements[],COLUMN(Reinforcements[[#Headers],[Rev. F Compression Capacity x-x (kips)]])-1,FALSE),VLOOKUP(BR70,Reinforcements[],COLUMN(Reinforcements[[#Headers],[Rev. F Compression Capacity y-y (kips)]])-1,FALSE)),IF(Rev="G",MIN(VLOOKUP(BR70,Reinforcements[],COLUMN(Reinforcements[[#Headers],[Rev. G Compression Capacity x-x (kips)]])-1,FALSE),VLOOKUP(BR70,Reinforcements[],COLUMN(Reinforcements[[#Headers],[Rev. G Compression Capacity y-y (kips)]])-1,FALSE)),MIN(VLOOKUP(BR70,Reinforcements[],COLUMN(Reinforcements[[#Headers],[Rev. H Compression Capacity x-x (kips)]])-1,FALSE),VLOOKUP(BR70,Reinforcements[],COLUMN(Reinforcements[[#Headers],[Rev. H Compression Capacity y-y (kips)]])-1,FALSE)))),"")</f>
        <v/>
      </c>
      <c r="AE70" s="485" t="str">
        <f>IFERROR(IF(Rev="F",VLOOKUP(BR70,Reinforcements[],COLUMN(Reinforcements[[#Headers],[Rev. F Shear Capacity (kips)]])-1,FALSE)/BY70,IF(Rev="G",VLOOKUP(Calculations!BR70,Reinforcements[],COLUMN(Reinforcements[[#Headers],[Rev. G Shear Capacity (kips)]])-1,FALSE),VLOOKUP(Calculations!BR70,Reinforcements[],COLUMN(Reinforcements[[#Headers],[Rev. H Shear Capacity (kips)]])-1,FALSE))),"")</f>
        <v/>
      </c>
      <c r="AF70" s="451" t="str">
        <f>IFERROR(IF(Rev="F",VLOOKUP(BR70,Reinforcements[],COLUMN(Reinforcements[[#Headers],[Rev. F Tension Yield Capacity (kips)]])-1,FALSE),IF(Rev="G",VLOOKUP(Calculations!BR70,Reinforcements[],COLUMN(Reinforcements[[#Headers],[Rev. G Tension Yield Capacity (kips)]])-1,FALSE),VLOOKUP(Calculations!BR70,Reinforcements[],COLUMN(Reinforcements[[#Headers],[Rev. H Tension Yield Capacity (kips)]])-1,FALSE))),"")</f>
        <v/>
      </c>
      <c r="AG70" s="486" t="str">
        <f>IFERROR(IF(Rev="F",VLOOKUP(BR70,Reinforcements[],COLUMN(Reinforcements[[#Headers],[Rev. F Tension Rupture Capacity (kips)]])-1,FALSE),IF(Rev="G",VLOOKUP(Calculations!BR70,Reinforcements[],COLUMN(Reinforcements[[#Headers],[Rev. G Tension Rupture Capacity (kips)]])-1,FALSE),VLOOKUP(Calculations!BR70,Reinforcements[],COLUMN(Reinforcements[[#Headers],[Rev. H Tension Rupture Capacity (kips)]])-1, FALSE))),"")</f>
        <v/>
      </c>
      <c r="AH70" s="409" t="str">
        <f t="shared" si="47"/>
        <v/>
      </c>
      <c r="AI70" s="380" t="str">
        <f t="shared" si="48"/>
        <v/>
      </c>
      <c r="AJ70" s="380" t="str">
        <f t="shared" si="49"/>
        <v/>
      </c>
      <c r="AK70" s="380" t="str">
        <f t="shared" si="85"/>
        <v/>
      </c>
      <c r="AL70" s="369" t="str">
        <f t="shared" si="78"/>
        <v/>
      </c>
      <c r="AM70" s="380" t="str">
        <f>""</f>
        <v/>
      </c>
      <c r="AN70" s="380" t="str">
        <f t="shared" si="50"/>
        <v/>
      </c>
      <c r="AO70" s="369" t="str">
        <f t="shared" si="51"/>
        <v/>
      </c>
      <c r="AP70" s="410" t="str">
        <f t="shared" si="52"/>
        <v/>
      </c>
      <c r="AQ70" s="411" t="str">
        <f t="shared" si="53"/>
        <v/>
      </c>
      <c r="AR70" s="380" t="str">
        <f>IF(BR70="","",VLOOKUP(VLOOKUP(BR70,Reinforcements[],COLUMN(Reinforcements[[#Headers],[Material]])-1,FALSE),Materials[],2,FALSE)/$D$28)</f>
        <v/>
      </c>
      <c r="AS70" s="369" t="str">
        <f t="shared" si="54"/>
        <v/>
      </c>
      <c r="AT70" s="489" t="str">
        <f t="shared" si="55"/>
        <v/>
      </c>
      <c r="AU70" s="412">
        <f t="shared" si="56"/>
        <v>0</v>
      </c>
      <c r="AV70" s="413">
        <f t="shared" si="57"/>
        <v>0</v>
      </c>
      <c r="AW70" s="413" t="e">
        <f t="shared" si="58"/>
        <v>#N/A</v>
      </c>
      <c r="AX70" s="413" t="e">
        <f t="shared" si="59"/>
        <v>#N/A</v>
      </c>
      <c r="AY70" s="413" t="str">
        <f t="shared" si="60"/>
        <v/>
      </c>
      <c r="AZ70" s="413" t="e">
        <f t="shared" si="61"/>
        <v>#VALUE!</v>
      </c>
      <c r="BA70" s="433" t="str">
        <f t="shared" si="62"/>
        <v/>
      </c>
      <c r="BB70" s="436" t="str">
        <f t="shared" si="79"/>
        <v/>
      </c>
      <c r="BC70" s="437" t="str">
        <f t="shared" si="63"/>
        <v/>
      </c>
      <c r="BD70" s="437" t="str">
        <f t="shared" si="64"/>
        <v/>
      </c>
      <c r="BE70" s="433" t="str">
        <f t="shared" si="80"/>
        <v/>
      </c>
      <c r="BF70" s="438" t="e">
        <f t="shared" si="81"/>
        <v>#DIV/0!</v>
      </c>
      <c r="BG70" s="439" t="str">
        <f t="shared" si="65"/>
        <v/>
      </c>
      <c r="BH70" s="439" t="str">
        <f t="shared" si="66"/>
        <v/>
      </c>
      <c r="BI70" s="433" t="e">
        <f t="shared" si="82"/>
        <v>#DIV/0!</v>
      </c>
      <c r="BJ70" s="438" t="str">
        <f t="shared" si="83"/>
        <v/>
      </c>
      <c r="BK70" s="413" t="e">
        <f t="shared" si="67"/>
        <v>#DIV/0!</v>
      </c>
      <c r="BL70" s="66" t="str">
        <f t="shared" si="68"/>
        <v/>
      </c>
      <c r="BP70" s="30" t="e">
        <f t="shared" si="69"/>
        <v>#DIV/0!</v>
      </c>
      <c r="BQ70" s="344" t="str">
        <f>IFERROR(VALUE(LEFT(VLOOKUP(Calculations!$D$4,Results!$G$5:$CM$105,67+$C70,FALSE),FIND(";",VLOOKUP(Calculations!$D$4,Results!$G$5:$CM$105,67+$C70,FALSE))-1)),"")</f>
        <v/>
      </c>
      <c r="BR70" s="444" t="str">
        <f>IF(BQ70="","",VLOOKUP(BQ70,Input!$B$21:$Q$50,13,FALSE))</f>
        <v/>
      </c>
      <c r="BS70" s="369" t="e">
        <f>VLOOKUP(BR70,Reinforcements[],COLUMN(Reinforcements[[#Headers],[Type]])-1,FALSE)</f>
        <v>#N/A</v>
      </c>
      <c r="BT70" s="369" t="e">
        <f>IF(BS70="solid round",VLOOKUP(BR70,Reinforcements[],COLUMN(Reinforcements[[#Headers],[Diameter (in)]])-1,FALSE),VLOOKUP(BR70,Reinforcements[],COLUMN(Reinforcements[[#Headers],[B (in)]])-1,FALSE))</f>
        <v>#N/A</v>
      </c>
      <c r="BU70" s="369" t="e">
        <f>IF(BS70="solid round",VLOOKUP(BR70,Reinforcements[],COLUMN(Reinforcements[[#Headers],[Diameter (in)]])-1,FALSE),VLOOKUP(BR70,Reinforcements[],COLUMN(Reinforcements[[#Headers],[H (in)]])-1,FALSE))</f>
        <v>#N/A</v>
      </c>
      <c r="BV70" s="413" t="e">
        <f>IFERROR((IF(VLOOKUP(BQ70,Input!$B$21:$AL$50,19+C70,FALSE)="c",$D$20/COS(RADIANS(180/$D$8)),$D$20)+BU70/2)*SIN(RADIANS(D70))-IF(ISNUMBER(VLOOKUP(BQ70,Input!$B$21:$AL$50,19+C70,FALSE)),VLOOKUP(BQ70,Input!$B$21:$AL$50,19+C70,FALSE)*COS(RADIANS(D70)),0)-$D$35,"")*0+N70*1</f>
        <v>#VALUE!</v>
      </c>
      <c r="BW70" s="369" t="e">
        <f>VLOOKUP(BR70,Reinforcements[],COLUMN(Reinforcements[[#Headers],[Effective B (in)]])-1,FALSE)</f>
        <v>#N/A</v>
      </c>
      <c r="BX70" s="369" t="e">
        <f>VLOOKUP(BR70,Reinforcements[],COLUMN(Reinforcements[[#Headers],[Effective H (in)]])-1,FALSE)</f>
        <v>#N/A</v>
      </c>
      <c r="BY70" s="369" t="e">
        <f>VLOOKUP(BR70,Reinforcements[],COLUMN(Reinforcements[[#Headers],[Gross Area (in2)]])-1,FALSE)</f>
        <v>#N/A</v>
      </c>
      <c r="BZ70" s="380" t="s">
        <v>335</v>
      </c>
      <c r="CA70" s="369" t="e">
        <f>VLOOKUP(BR70,Reinforcements[],COLUMN(Reinforcements[[#Headers],[Pole Face to Centroid (in)]])-1,FALSE)</f>
        <v>#N/A</v>
      </c>
      <c r="CB70" s="369" t="e">
        <f>VLOOKUP(BR70,Reinforcements[],COLUMN(Reinforcements[[#Headers],[Equivalent Rectangle Ix (in4)]])-1,FALSE)</f>
        <v>#N/A</v>
      </c>
      <c r="CC70" s="369" t="e">
        <f>VLOOKUP(BR70,Reinforcements[],COLUMN(Reinforcements[[#Headers],[Equivalent Rectangle Iy (in4)]])-1,FALSE)</f>
        <v>#N/A</v>
      </c>
      <c r="CD70" s="369" t="e">
        <f>VLOOKUP(BR70,Reinforcements[],COLUMN(Reinforcements[[#Headers],[Lu (in)]])-1,FALSE)</f>
        <v>#N/A</v>
      </c>
      <c r="CE70" s="380" t="s">
        <v>335</v>
      </c>
      <c r="CF70" s="380" t="s">
        <v>335</v>
      </c>
      <c r="CG70" s="369" t="e">
        <f>VLOOKUP(VLOOKUP(BR70,Reinforcements[],COLUMN(Reinforcements[[#Headers],[Material]])-1,FALSE),Materials[],2,FALSE)</f>
        <v>#N/A</v>
      </c>
      <c r="CH70" s="369" t="e">
        <f>VLOOKUP(VLOOKUP(BR70,Reinforcements[],COLUMN(Reinforcements[[#Headers],[Material]])-1,FALSE),Materials[],3,FALSE)</f>
        <v>#N/A</v>
      </c>
      <c r="CI70" s="380" t="e">
        <f>VLOOKUP(BR70,Reinforcements[],COLUMN(Reinforcements[[#Headers],[Tension Only?]])-1,FALSE)</f>
        <v>#N/A</v>
      </c>
      <c r="CJ70" s="449" t="str">
        <f>IF(BQ70="","",AND(INDEX(Results!$G$5:$G$104,MATCH(VLOOKUP($BQ70,Input!$B$21:$J$50,2,FALSE)-0.001,Results!$G$5:$G$104,-1))=$D$4))</f>
        <v/>
      </c>
      <c r="CK70" s="449" t="str">
        <f>IF(BQ70="","",AND(INDEX('Macro References'!$BB$2:$BB$101,MATCH(VLOOKUP($BQ70,Input!$B$21:$J$50,6,FALSE)-0.001,'Macro References'!$BB$2:$BB$101,1))=$D$4))</f>
        <v/>
      </c>
      <c r="CL70" s="449" t="e">
        <f>IF(CJ70,VLOOKUP(BR70,Reinforcements[],COLUMN(Reinforcements[[#Headers],[Bottom End Connection Type]])-1,FALSE),IF(CK70,VLOOKUP(BR70,Reinforcements[],COLUMN(Reinforcements[[#Headers],[Top End Connection Type]])-1,FALSE),""))</f>
        <v>#VALUE!</v>
      </c>
      <c r="CM70" s="449" t="e">
        <f>IF(ISBLANK(VLOOKUP(BR70,Reinforcements[],COLUMN(Reinforcements[[#Headers],[Bottom Transverse Weld Length]])-1,FALSE)),"",(VLOOKUP(BR70,Reinforcements[],COLUMN(Reinforcements[[#Headers],[Bottom Transverse Weld Length]])-1,FALSE)))</f>
        <v>#N/A</v>
      </c>
      <c r="CN70" s="449" t="e">
        <f>IF(ISBLANK(VLOOKUP(BR70,Reinforcements[],COLUMN(Reinforcements[[#Headers],[Bottom Transverse (Horizontal) Weld]])-1,FALSE)),"",(VLOOKUP(BR70,Reinforcements[],COLUMN(Reinforcements[[#Headers],[Bottom Transverse (Horizontal) Weld]])-1,FALSE)))</f>
        <v>#N/A</v>
      </c>
      <c r="CO70" s="449" t="e">
        <f>IF(ISBLANK(VLOOKUP(BR70,Reinforcements[],COLUMN(Reinforcements[[#Headers],[Bottom Longitudinal Weld Length]])-1,FALSE)),"",(VLOOKUP(BR70,Reinforcements[],COLUMN(Reinforcements[[#Headers],[Bottom Longitudinal Weld Length]])-1,FALSE)))</f>
        <v>#N/A</v>
      </c>
      <c r="CP70" s="449" t="str">
        <f>IFERROR(VLOOKUP(BR70,Reinforcements[],COLUMN(Reinforcements[[#Headers],[Bottom Connected to Flange/Base Plate?]])-1,FALSE),"")</f>
        <v/>
      </c>
      <c r="CQ70" s="369" t="e">
        <f>IF(Rev="F",VLOOKUP(BR70,Reinforcements[],COLUMN(Reinforcements[[#Headers],[Rev. F Bottom Transverse Weld Strength]])-1,FALSE),VLOOKUP(BR70,Reinforcements[],COLUMN(Reinforcements[[#Headers],[Rev. G Bottom Transverse Weld Strength]])-1,FALSE))</f>
        <v>#N/A</v>
      </c>
      <c r="CR70" s="369" t="e">
        <f>IF(CP70="Yes",IF(CN70="Fillet",VLOOKUP(BR70,Reinforcements[],COLUMN(Reinforcements[[#Headers],[Bottom Transverse Weld Fillet Size (in)]])-1,FALSE)*CM70*MIN(IF(Rev="F",0.4,φ_shear_yield*0.6)*CG70,IF(Rev="F",0.3,φ_shear_rupture*0.6)*CH70),VLOOKUP(BR70,Reinforcements[],COLUMN(Reinforcements[[#Headers],[Bottom Transverse Weld Groove Depth (in)]])-1,FALSE)/COS(RADIANS(VLOOKUP(BR70,Reinforcements[],COLUMN(Reinforcements[[#Headers],[Bottom Transverse Weld Groove Angle (degrees)]])-1,FALSE)))*CM70*IF(Rev="F",0.6,φ_t_y)*CG70),VLOOKUP(BR70,Reinforcements[],COLUMN(Reinforcements[[#Headers],[Bottom Transverse Weld Fillet Size (in)]])-1,FALSE)*CM70*IF(Rev="F",0.6,φ_t_y)*CG70)</f>
        <v>#N/A</v>
      </c>
      <c r="CS70" s="369" t="str">
        <f>IF(CP70&lt;&gt;"Yes","",(VLOOKUP(BR70,Reinforcements[],COLUMN(Reinforcements[[#Headers],[Bottom Transverse Weld Groove Depth (in)]])-1,FALSE)+VLOOKUP(BR70,Reinforcements[],COLUMN(Reinforcements[[#Headers],[Bottom Transverse Weld Fillet Size (in)]])-1,FALSE))*CM70*IF(Rev="F",0.6,φ_t_y)*$D$14)</f>
        <v/>
      </c>
      <c r="CT70" s="369" t="e">
        <f>IF(CP70="Yes","",VLOOKUP(BR70,Reinforcements[],COLUMN(Reinforcements[[#Headers],[Bottom Transverse Weld Fillet Size (in)]])-1,FALSE)*CM70*MIN(IF(Rev="F",0.4,φ_shear_yield*0.6)*$D$6,IF(Rev="F",0.3,φ_shear_rupture*0.6)*$D$7))</f>
        <v>#N/A</v>
      </c>
      <c r="CU70" s="369" t="e">
        <f>IF(Rev="F",VLOOKUP(BR70,Reinforcements[],COLUMN(Reinforcements[[#Headers],[Rev. F Bottom Longitudinal Weld Strength]])-1,FALSE),VLOOKUP(BR70,Reinforcements[],COLUMN(Reinforcements[[#Headers],[Rev. G Bottom Longitudinal Weld Strength]])-1,FALSE))</f>
        <v>#N/A</v>
      </c>
      <c r="CV70" s="369" t="e">
        <f>2*VLOOKUP(BR70,Reinforcements[],COLUMN(Reinforcements[[#Headers],[Bottom Longitudinal Weld Fillet Size (in)]])-1,FALSE)*CO70*MIN(IF(Rev="F",0.4,φ_shear_yield*0.6)*CG70,IF(Rev="F",0.3,φ_shear_rupture*0.6)*CH70)</f>
        <v>#N/A</v>
      </c>
      <c r="CW70" s="369" t="e">
        <f>2*VLOOKUP(BR70,Reinforcements[],COLUMN(Reinforcements[[#Headers],[Bottom Longitudinal Weld Fillet Size (in)]])-1,FALSE)*CO70*MIN(IF(Rev="F",0.4,φ_shear_yield*0.6)*$D$6,IF(Rev="F",0.3,φ_shear_rupture*0.6)*$D$7)</f>
        <v>#N/A</v>
      </c>
      <c r="CX70" s="451" t="e">
        <f>IF(ISBLANK(VLOOKUP(BR70,Reinforcements[],COLUMN(Reinforcements[[#Headers],[Top Transverse Weld Length]])-1,FALSE)),"",(VLOOKUP(BR70,Reinforcements[],COLUMN(Reinforcements[[#Headers],[Top Transverse Weld Length]])-1,FALSE)))</f>
        <v>#N/A</v>
      </c>
      <c r="CY70" s="451" t="e">
        <f>IF(ISBLANK(VLOOKUP(BR70,Reinforcements[],COLUMN(Reinforcements[[#Headers],[Top Transverse (Horizontal) Weld]])-1,FALSE)),"",(VLOOKUP(BR70,Reinforcements[],COLUMN(Reinforcements[[#Headers],[Top Transverse (Horizontal) Weld]])-1,FALSE)))</f>
        <v>#N/A</v>
      </c>
      <c r="CZ70" s="451" t="e">
        <f>IF(ISBLANK(VLOOKUP(BR70,Reinforcements[],COLUMN(Reinforcements[[#Headers],[Top Longitudinal Weld Length]])-1,FALSE)),"",(VLOOKUP(BR70,Reinforcements[],COLUMN(Reinforcements[[#Headers],[Top Longitudinal Weld Length]])-1,FALSE)))</f>
        <v>#N/A</v>
      </c>
      <c r="DA70" s="369" t="str">
        <f>IFERROR(VLOOKUP(BR70,Reinforcements[],COLUMN(Reinforcements[[#Headers],[Top Connected to Flange/Base Plate?]])-1,FALSE),"")</f>
        <v/>
      </c>
      <c r="DB70" s="369" t="e">
        <f>IF(Rev="F",VLOOKUP(BR70,Reinforcements[],COLUMN(Reinforcements[[#Headers],[Rev. F Top Transverse Weld Strength]])-1,FALSE),VLOOKUP(BR70,Reinforcements[],COLUMN(Reinforcements[[#Headers],[Rev. G Top Transverse Weld Strength]])-1,FALSE))</f>
        <v>#N/A</v>
      </c>
      <c r="DC70" s="369" t="e">
        <f>IF(DA70="Yes",IF(CY70="Fillet",VLOOKUP(BR70,Reinforcements[],COLUMN(Reinforcements[[#Headers],[Top Transverse Weld Fillet Size (in)]])-1,FALSE)*CX70*MIN(IF(Rev="F",0.4,φ_shear_yield*0.6)*CG70,IF(Rev="F",0.3,φ_shear_rupture*0.6)*CH70),VLOOKUP(BR70,Reinforcements[],COLUMN(Reinforcements[[#Headers],[Top Transverse Weld Groove Depth (in)]])-1,FALSE)/COS(RADIANS(VLOOKUP(BR70,Reinforcements[],COLUMN(Reinforcements[[#Headers],[Top Transverse Weld Groove Angle (degrees)]])-1,FALSE)))*CX70*IF(Rev="F",0.6,φ_t_y)*CG70),VLOOKUP(BR70,Reinforcements[],COLUMN(Reinforcements[[#Headers],[Top Transverse Weld Fillet Size (in)]])-1,FALSE)*CX70*IF(Rev="F",0.6,φ_t_y)*CG70)</f>
        <v>#N/A</v>
      </c>
      <c r="DD70" s="369" t="str">
        <f>IF(DA70&lt;&gt;"Yes","",(VLOOKUP(BR70,Reinforcements[],COLUMN(Reinforcements[[#Headers],[Top Transverse Weld Groove Depth (in)]])-1,FALSE)+VLOOKUP(BR70,Reinforcements[],COLUMN(Reinforcements[[#Headers],[Top Transverse Weld Fillet Size (in)]])-1,FALSE))*CX70*IF(Rev="F",0.6,φ_t_y)*$D$14)</f>
        <v/>
      </c>
      <c r="DE70" s="369" t="e">
        <f>IF(DA70="Yes","",VLOOKUP(BR70,Reinforcements[],COLUMN(Reinforcements[[#Headers],[Top Transverse Weld Fillet Size (in)]])-1,FALSE)*CX70*MIN(IF(Rev="F",0.4,φ_shear_yield*0.6)*$D$6,IF(Rev="F",0.3,φ_shear_rupture*0.6)*$D$7))</f>
        <v>#N/A</v>
      </c>
      <c r="DF70" s="369" t="e">
        <f>IF(Rev="F",VLOOKUP(BR70,Reinforcements[],COLUMN(Reinforcements[[#Headers],[Rev. F Top Longitudinal Weld Strength]])-1,FALSE),VLOOKUP(BR70,Reinforcements[],COLUMN(Reinforcements[[#Headers],[Rev. G Top Longitudinal Weld Strength]])-1,FALSE))</f>
        <v>#N/A</v>
      </c>
      <c r="DG70" s="369" t="e">
        <f>2*VLOOKUP(BR70,Reinforcements[],COLUMN(Reinforcements[[#Headers],[Top Longitudinal Weld Fillet Size (in)]])-1,FALSE)*CZ70*MIN(IF(Rev="F",0.4,φ_shear_yield*0.6)*CG70,IF(Rev="F",0.3,φ_shear_rupture*0.6)*CH70)</f>
        <v>#N/A</v>
      </c>
      <c r="DH70" s="369" t="e">
        <f>2*VLOOKUP(BR70,Reinforcements[],COLUMN(Reinforcements[[#Headers],[Top Longitudinal Weld Fillet Size (in)]])-1,FALSE)*CZ70*MIN(IF(Rev="F",0.4,φ_shear_yield*0.6)*$D$6,IF(Rev="F",0.3,φ_shear_rupture*0.6)*$D$7)</f>
        <v>#N/A</v>
      </c>
      <c r="DI70" s="66" t="e">
        <f>IF(BS70="channel",VLOOKUP(Calculations!BR70,Reinforcements[],COLUMN(Reinforcements[[#Headers],['[Channel']Web Thickness (in)]])-1,FALSE),"")</f>
        <v>#N/A</v>
      </c>
      <c r="DJ70" s="66" t="b">
        <f t="shared" si="84"/>
        <v>0</v>
      </c>
      <c r="DK70" s="66" t="e">
        <f>IF(BS70="channel",Calculations!BU70-DI70,"")</f>
        <v>#N/A</v>
      </c>
      <c r="DL70" s="66" t="e">
        <f>IF(BS70="channel",(Calculations!BY70-Calculations!BT70*DI70)/(2*DK70))</f>
        <v>#N/A</v>
      </c>
      <c r="DM70" s="66" t="e">
        <f>IF(BS70="channel",(Calculations!BT70*(DI70^2)/2+2*DK70*DL70*(DI70+DK70/2))/Calculations!BY70,"")</f>
        <v>#N/A</v>
      </c>
    </row>
    <row r="71" spans="2:117" ht="15" x14ac:dyDescent="0.25">
      <c r="B71" s="66" t="str">
        <f t="shared" si="70"/>
        <v/>
      </c>
      <c r="C71" s="317">
        <v>12</v>
      </c>
      <c r="D71" s="380" t="str">
        <f>IF(BQ71="","",IF($D$8=0,IF(OR(VLOOKUP(BQ71,Input!$B$21:$AL$50,19+C71,FALSE)+$D$5=0,VLOOKUP(BQ71,Input!$B$21:$AL$50,19+C71,FALSE)+$D$5=180),VLOOKUP(BQ71,Input!$B$21:$AL$50,19+C71,FALSE)+$D$5+0.0001,VLOOKUP(BQ71,Input!$B$21:$AL$50,19+C71,FALSE)+$D$5),IF(VLOOKUP(BQ71,Input!$B$21:$AL$50,19+C71,FALSE)="c",VLOOKUP($C71,$C$40:$E$57,2,FALSE)+180/$D$8,VLOOKUP($C71,$C$40:$E$57,2,FALSE))))</f>
        <v/>
      </c>
      <c r="E71" s="370" t="str">
        <f t="shared" si="39"/>
        <v/>
      </c>
      <c r="F71" s="381" t="str">
        <f>IF(BR71="","",VLOOKUP(BR71,Reinforcements[],COLUMN(Reinforcements[[#Headers],[Gross Area (in2)]])-1,FALSE))</f>
        <v/>
      </c>
      <c r="G71" s="378" t="e">
        <f>(IF(VLOOKUP(BQ71,Input!$B$21:$AL$50,19+C71,FALSE)="c",$D$20/COS(RADIANS(180/$D$8)),$D$20)+CA71)*SIN(RADIANS(D71))-IF(AND(ISNUMBER(VLOOKUP(BQ71,Input!$B$21:$AL$50,19+C71,FALSE)),$D$8&lt;&gt;0),VLOOKUP(BQ71,Input!$B$21:$AL$50,19+C71,FALSE)*COS(RADIANS(D71)),0)</f>
        <v>#N/A</v>
      </c>
      <c r="H71" s="373" t="str">
        <f t="shared" si="71"/>
        <v/>
      </c>
      <c r="I71" s="373" t="e">
        <f t="shared" si="40"/>
        <v>#N/A</v>
      </c>
      <c r="J71" s="373" t="e">
        <f t="shared" si="41"/>
        <v>#N/A</v>
      </c>
      <c r="K71" s="373" t="e">
        <f t="shared" si="42"/>
        <v>#N/A</v>
      </c>
      <c r="L71" s="373" t="e">
        <f t="shared" si="72"/>
        <v>#N/A</v>
      </c>
      <c r="M71" s="374" t="str">
        <f t="shared" si="73"/>
        <v/>
      </c>
      <c r="N71" s="372" t="str">
        <f>IFERROR((IF(VLOOKUP(BQ71,Input!$B$21:$AL$50,19+C71,FALSE)="c",$D$20/COS(RADIANS(180/$D$8)),$D$20)+CA71)*SIN(RADIANS(D71))-IF(AND(ISNUMBER(VLOOKUP(BQ71,Input!$B$21:$AL$50,19+C71,FALSE)),$D$8&lt;&gt;0),VLOOKUP(BQ71,Input!$B$21:$AL$50,19+C71,FALSE)*COS(RADIANS(D71)),0)-$D$35,"")</f>
        <v/>
      </c>
      <c r="O71" s="375" t="str">
        <f t="shared" si="43"/>
        <v/>
      </c>
      <c r="P71" s="375" t="str">
        <f t="shared" si="44"/>
        <v/>
      </c>
      <c r="Q71" s="375" t="str">
        <f t="shared" si="45"/>
        <v/>
      </c>
      <c r="R71" s="376" t="str">
        <f t="shared" si="46"/>
        <v/>
      </c>
      <c r="S71" s="373" t="str">
        <f t="shared" si="74"/>
        <v/>
      </c>
      <c r="T71" s="373" t="str">
        <f t="shared" si="75"/>
        <v/>
      </c>
      <c r="U71" s="373" t="str">
        <f t="shared" si="76"/>
        <v/>
      </c>
      <c r="V71" s="374" t="str">
        <f t="shared" si="77"/>
        <v/>
      </c>
      <c r="W71" s="482" t="str">
        <f>IFERROR(IF('Macro References'!$A$9,IF(AND(Calculations!CK71,CL71="Bolted"),VLOOKUP($BR71,Reinforcements[],COLUMN(IF(Rev="F",Reinforcements[[#Headers],[Rev. F Bolt Shear Capacity   (Top)        (kips)]],IF(Rev="G",Reinforcements[[#Headers],[Rev. G Bolt Shear Capacity (Top)     (kips)]],Reinforcements[[#Headers],[Rev. H Bolt Shear Capacity (Top) (kips)]])))-1,FALSE),IF(AND(Calculations!CJ71,CL71="Bolted"),VLOOKUP($BR71,Reinforcements[],COLUMN(IF(Rev="F",Reinforcements[[#Headers],[Rev. F Bolt Shear Capacity (Bottom)   (kips)]],IF(Rev="G",Reinforcements[[#Headers],[Rev. G Bolt Shear Capacity (Bottom) (kips)]],Reinforcements[[#Headers],[Rev. H Bolt Shear Capacity (Bottom) (kips)]])))-1,FALSE),"")),""),"")</f>
        <v/>
      </c>
      <c r="X71" s="483" t="str">
        <f>IFERROR(IF('Macro References'!$A$9,IF('Macro References'!$A$10,IF(AND(Calculations!CK71,CL71="Bolted"),VLOOKUP($BR71,Reinforcements[],COLUMN(IF(Rev="F",Reinforcements[[#Headers],[Rev.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kips)]])))-1,FALSE),IF(AND(Calculations!CJ71,CL71="Bolted"),VLOOKUP($BR71,Reinforcements[],COLUMN(IF(Rev="F",Reinforcements[[#Headers],[Rev.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kips)]])))-1,FALSE),"")),IF(AND(Calculations!CK71,CL71="Bolted"),VLOOKUP($BR71,Reinforcements[],COLUMN(IF(Rev="F",Reinforcements[[#Headers],[Rev.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kips)]])))-1,FALSE),IF(AND(Calculations!CJ71,CL71="Bolted"),VLOOKUP($BR71,Reinforcements[],COLUMN(IF(Rev="F",Reinforcements[[#Headers],[Rev.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1" s="483" t="str">
        <f>IFERROR(IF('Macro References'!$A$9,IF('Macro References'!$A$10,IF(AND(Calculations!CK71,CL71="Bolted"),VLOOKUP($BR71,Reinforcements[],COLUMN(IF(Rev="F",Reinforcements[[#Headers],[Rev.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(kips)]])))-1,FALSE),IF(AND(Calculations!CJ71,CL71="Bolted"),VLOOKUP($BR71,Reinforcements[],COLUMN(IF(Rev="F",Reinforcements[[#Headers],[Rev.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(kips)]])))-1,FALSE),"")),IF(AND(Calculations!CK71,CL71="Bolted"),VLOOKUP($BR71,Reinforcements[],COLUMN(IF(Rev="F",Reinforcements[[#Headers],[Rev.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(kips)]])))-1,FALSE),IF(AND(Calculations!CJ71,CL71="Bolted"),VLOOKUP($BR71,Reinforcements[],COLUMN(IF(Rev="F",Reinforcements[[#Headers],[Rev.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1" s="483" t="str">
        <f>IFERROR(IF('Macro References'!$A$9,IF(AND(CJ71,CL71="Welded"),MIN(CQ71:CT71),IF(AND(CK71,CL71="Welded"),MIN(DB71:DE71),"")),""),"")</f>
        <v/>
      </c>
      <c r="AA71" s="484" t="str">
        <f>IFERROR(IF('Macro References'!$A$9,IF(AND(CJ71,CL71="Welded"),MIN(CU71:CW71),IF(AND(CK71,CL71="Welded"),MIN(DF71:DH71),"")),""),"")</f>
        <v/>
      </c>
      <c r="AB71" s="484" t="str">
        <f>IFERROR(IF('Macro References'!$A$9,IF(AND(CJ71,CL71="Welded",CN71="Fillet",CU71&gt;0),TRUE,IF(AND(CK71,CL71="Welded",CY71="Fillet",DF71&gt;0),TRUE,"")),""),"")</f>
        <v/>
      </c>
      <c r="AC71" s="484" t="e">
        <f>IF('Macro References'!$A$9,IF(AND(CJ71,CL71="Capacity Input"),IF(Rev="F",VLOOKUP(BR71,Reinforcements[],COLUMN(Reinforcements[[#Headers],[Rev. F Bottom Connection Capacity (kips)]])-1,FALSE),IF(Rev="G",VLOOKUP(BR71,Reinforcements[],COLUMN(Reinforcements[[#Headers],[Rev. G Bottom Connection Capacity (kips)]])-1,FALSE),VLOOKUP(BR71,Reinforcements[],COLUMN(Reinforcements[[#Headers],[Rev. H Bottom Connection Capacity (kips)]])-1,FALSE))),IF(AND(CK71,CL71="Capacity Input"),IF(Rev="F",VLOOKUP(BR71,Reinforcements[],COLUMN(Reinforcements[[#Headers],[Rev. F Top Connection Capacity (kips)]])-1,FALSE),IF(Rev="G",VLOOKUP(BR71,Reinforcements[],COLUMN(Reinforcements[[#Headers],[Rev. G Top Connection Capacity (kips)]])-1,FALSE),VLOOKUP(BR71,Reinforcements[],COLUMN(Reinforcements[[#Headers],[Rev. H Top Connection Capacity (kips)]])-1,FALSE))),"")),"")</f>
        <v>#VALUE!</v>
      </c>
      <c r="AD71" s="484" t="str">
        <f>IFERROR(IF(Rev="F",MIN(VLOOKUP(BR71,Reinforcements[],COLUMN(Reinforcements[[#Headers],[Rev. F Compression Capacity x-x (kips)]])-1,FALSE),VLOOKUP(BR71,Reinforcements[],COLUMN(Reinforcements[[#Headers],[Rev. F Compression Capacity y-y (kips)]])-1,FALSE)),IF(Rev="G",MIN(VLOOKUP(BR71,Reinforcements[],COLUMN(Reinforcements[[#Headers],[Rev. G Compression Capacity x-x (kips)]])-1,FALSE),VLOOKUP(BR71,Reinforcements[],COLUMN(Reinforcements[[#Headers],[Rev. G Compression Capacity y-y (kips)]])-1,FALSE)),MIN(VLOOKUP(BR71,Reinforcements[],COLUMN(Reinforcements[[#Headers],[Rev. H Compression Capacity x-x (kips)]])-1,FALSE),VLOOKUP(BR71,Reinforcements[],COLUMN(Reinforcements[[#Headers],[Rev. H Compression Capacity y-y (kips)]])-1,FALSE)))),"")</f>
        <v/>
      </c>
      <c r="AE71" s="485" t="str">
        <f>IFERROR(IF(Rev="F",VLOOKUP(BR71,Reinforcements[],COLUMN(Reinforcements[[#Headers],[Rev. F Shear Capacity (kips)]])-1,FALSE)/BY71,IF(Rev="G",VLOOKUP(Calculations!BR71,Reinforcements[],COLUMN(Reinforcements[[#Headers],[Rev. G Shear Capacity (kips)]])-1,FALSE),VLOOKUP(Calculations!BR71,Reinforcements[],COLUMN(Reinforcements[[#Headers],[Rev. H Shear Capacity (kips)]])-1,FALSE))),"")</f>
        <v/>
      </c>
      <c r="AF71" s="451" t="str">
        <f>IFERROR(IF(Rev="F",VLOOKUP(BR71,Reinforcements[],COLUMN(Reinforcements[[#Headers],[Rev. F Tension Yield Capacity (kips)]])-1,FALSE),IF(Rev="G",VLOOKUP(Calculations!BR71,Reinforcements[],COLUMN(Reinforcements[[#Headers],[Rev. G Tension Yield Capacity (kips)]])-1,FALSE),VLOOKUP(Calculations!BR71,Reinforcements[],COLUMN(Reinforcements[[#Headers],[Rev. H Tension Yield Capacity (kips)]])-1,FALSE))),"")</f>
        <v/>
      </c>
      <c r="AG71" s="486" t="str">
        <f>IFERROR(IF(Rev="F",VLOOKUP(BR71,Reinforcements[],COLUMN(Reinforcements[[#Headers],[Rev. F Tension Rupture Capacity (kips)]])-1,FALSE),IF(Rev="G",VLOOKUP(Calculations!BR71,Reinforcements[],COLUMN(Reinforcements[[#Headers],[Rev. G Tension Rupture Capacity (kips)]])-1,FALSE),VLOOKUP(Calculations!BR71,Reinforcements[],COLUMN(Reinforcements[[#Headers],[Rev. H Tension Rupture Capacity (kips)]])-1, FALSE))),"")</f>
        <v/>
      </c>
      <c r="AH71" s="409" t="str">
        <f t="shared" si="47"/>
        <v/>
      </c>
      <c r="AI71" s="380" t="str">
        <f t="shared" si="48"/>
        <v/>
      </c>
      <c r="AJ71" s="380" t="str">
        <f t="shared" si="49"/>
        <v/>
      </c>
      <c r="AK71" s="380" t="str">
        <f t="shared" si="85"/>
        <v/>
      </c>
      <c r="AL71" s="369" t="str">
        <f t="shared" si="78"/>
        <v/>
      </c>
      <c r="AM71" s="380" t="str">
        <f>""</f>
        <v/>
      </c>
      <c r="AN71" s="380" t="str">
        <f t="shared" si="50"/>
        <v/>
      </c>
      <c r="AO71" s="369" t="str">
        <f t="shared" si="51"/>
        <v/>
      </c>
      <c r="AP71" s="410" t="str">
        <f t="shared" si="52"/>
        <v/>
      </c>
      <c r="AQ71" s="411" t="str">
        <f t="shared" si="53"/>
        <v/>
      </c>
      <c r="AR71" s="380" t="str">
        <f>IF(BR71="","",VLOOKUP(VLOOKUP(BR71,Reinforcements[],COLUMN(Reinforcements[[#Headers],[Material]])-1,FALSE),Materials[],2,FALSE)/$D$28)</f>
        <v/>
      </c>
      <c r="AS71" s="369" t="str">
        <f t="shared" si="54"/>
        <v/>
      </c>
      <c r="AT71" s="489" t="str">
        <f t="shared" si="55"/>
        <v/>
      </c>
      <c r="AU71" s="412">
        <f t="shared" si="56"/>
        <v>0</v>
      </c>
      <c r="AV71" s="413">
        <f t="shared" si="57"/>
        <v>0</v>
      </c>
      <c r="AW71" s="413" t="e">
        <f t="shared" si="58"/>
        <v>#N/A</v>
      </c>
      <c r="AX71" s="413" t="e">
        <f t="shared" si="59"/>
        <v>#N/A</v>
      </c>
      <c r="AY71" s="413" t="str">
        <f t="shared" si="60"/>
        <v/>
      </c>
      <c r="AZ71" s="413" t="e">
        <f t="shared" si="61"/>
        <v>#VALUE!</v>
      </c>
      <c r="BA71" s="433" t="str">
        <f t="shared" si="62"/>
        <v/>
      </c>
      <c r="BB71" s="436" t="str">
        <f t="shared" si="79"/>
        <v/>
      </c>
      <c r="BC71" s="437" t="str">
        <f t="shared" si="63"/>
        <v/>
      </c>
      <c r="BD71" s="437" t="str">
        <f t="shared" si="64"/>
        <v/>
      </c>
      <c r="BE71" s="433" t="str">
        <f t="shared" si="80"/>
        <v/>
      </c>
      <c r="BF71" s="438" t="e">
        <f t="shared" si="81"/>
        <v>#DIV/0!</v>
      </c>
      <c r="BG71" s="439" t="str">
        <f t="shared" si="65"/>
        <v/>
      </c>
      <c r="BH71" s="439" t="str">
        <f t="shared" si="66"/>
        <v/>
      </c>
      <c r="BI71" s="433" t="e">
        <f t="shared" si="82"/>
        <v>#DIV/0!</v>
      </c>
      <c r="BJ71" s="438" t="str">
        <f t="shared" si="83"/>
        <v/>
      </c>
      <c r="BK71" s="413" t="e">
        <f t="shared" si="67"/>
        <v>#DIV/0!</v>
      </c>
      <c r="BL71" s="66" t="str">
        <f t="shared" si="68"/>
        <v/>
      </c>
      <c r="BP71" s="30" t="e">
        <f t="shared" si="69"/>
        <v>#DIV/0!</v>
      </c>
      <c r="BQ71" s="344" t="str">
        <f>IFERROR(VALUE(LEFT(VLOOKUP(Calculations!$D$4,Results!$G$5:$CM$105,67+$C71,FALSE),FIND(";",VLOOKUP(Calculations!$D$4,Results!$G$5:$CM$105,67+$C71,FALSE))-1)),"")</f>
        <v/>
      </c>
      <c r="BR71" s="444" t="str">
        <f>IF(BQ71="","",VLOOKUP(BQ71,Input!$B$21:$Q$50,13,FALSE))</f>
        <v/>
      </c>
      <c r="BS71" s="369" t="e">
        <f>VLOOKUP(BR71,Reinforcements[],COLUMN(Reinforcements[[#Headers],[Type]])-1,FALSE)</f>
        <v>#N/A</v>
      </c>
      <c r="BT71" s="369" t="e">
        <f>IF(BS71="solid round",VLOOKUP(BR71,Reinforcements[],COLUMN(Reinforcements[[#Headers],[Diameter (in)]])-1,FALSE),VLOOKUP(BR71,Reinforcements[],COLUMN(Reinforcements[[#Headers],[B (in)]])-1,FALSE))</f>
        <v>#N/A</v>
      </c>
      <c r="BU71" s="369" t="e">
        <f>IF(BS71="solid round",VLOOKUP(BR71,Reinforcements[],COLUMN(Reinforcements[[#Headers],[Diameter (in)]])-1,FALSE),VLOOKUP(BR71,Reinforcements[],COLUMN(Reinforcements[[#Headers],[H (in)]])-1,FALSE))</f>
        <v>#N/A</v>
      </c>
      <c r="BV71" s="413" t="e">
        <f>IFERROR((IF(VLOOKUP(BQ71,Input!$B$21:$AL$50,19+C71,FALSE)="c",$D$20/COS(RADIANS(180/$D$8)),$D$20)+BU71/2)*SIN(RADIANS(D71))-IF(ISNUMBER(VLOOKUP(BQ71,Input!$B$21:$AL$50,19+C71,FALSE)),VLOOKUP(BQ71,Input!$B$21:$AL$50,19+C71,FALSE)*COS(RADIANS(D71)),0)-$D$35,"")*0+N71*1</f>
        <v>#VALUE!</v>
      </c>
      <c r="BW71" s="369" t="e">
        <f>VLOOKUP(BR71,Reinforcements[],COLUMN(Reinforcements[[#Headers],[Effective B (in)]])-1,FALSE)</f>
        <v>#N/A</v>
      </c>
      <c r="BX71" s="369" t="e">
        <f>VLOOKUP(BR71,Reinforcements[],COLUMN(Reinforcements[[#Headers],[Effective H (in)]])-1,FALSE)</f>
        <v>#N/A</v>
      </c>
      <c r="BY71" s="369" t="e">
        <f>VLOOKUP(BR71,Reinforcements[],COLUMN(Reinforcements[[#Headers],[Gross Area (in2)]])-1,FALSE)</f>
        <v>#N/A</v>
      </c>
      <c r="BZ71" s="380" t="s">
        <v>335</v>
      </c>
      <c r="CA71" s="369" t="e">
        <f>VLOOKUP(BR71,Reinforcements[],COLUMN(Reinforcements[[#Headers],[Pole Face to Centroid (in)]])-1,FALSE)</f>
        <v>#N/A</v>
      </c>
      <c r="CB71" s="369" t="e">
        <f>VLOOKUP(BR71,Reinforcements[],COLUMN(Reinforcements[[#Headers],[Equivalent Rectangle Ix (in4)]])-1,FALSE)</f>
        <v>#N/A</v>
      </c>
      <c r="CC71" s="369" t="e">
        <f>VLOOKUP(BR71,Reinforcements[],COLUMN(Reinforcements[[#Headers],[Equivalent Rectangle Iy (in4)]])-1,FALSE)</f>
        <v>#N/A</v>
      </c>
      <c r="CD71" s="369" t="e">
        <f>VLOOKUP(BR71,Reinforcements[],COLUMN(Reinforcements[[#Headers],[Lu (in)]])-1,FALSE)</f>
        <v>#N/A</v>
      </c>
      <c r="CE71" s="380" t="s">
        <v>335</v>
      </c>
      <c r="CF71" s="380" t="s">
        <v>335</v>
      </c>
      <c r="CG71" s="369" t="e">
        <f>VLOOKUP(VLOOKUP(BR71,Reinforcements[],COLUMN(Reinforcements[[#Headers],[Material]])-1,FALSE),Materials[],2,FALSE)</f>
        <v>#N/A</v>
      </c>
      <c r="CH71" s="369" t="e">
        <f>VLOOKUP(VLOOKUP(BR71,Reinforcements[],COLUMN(Reinforcements[[#Headers],[Material]])-1,FALSE),Materials[],3,FALSE)</f>
        <v>#N/A</v>
      </c>
      <c r="CI71" s="380" t="e">
        <f>VLOOKUP(BR71,Reinforcements[],COLUMN(Reinforcements[[#Headers],[Tension Only?]])-1,FALSE)</f>
        <v>#N/A</v>
      </c>
      <c r="CJ71" s="449" t="str">
        <f>IF(BQ71="","",AND(INDEX(Results!$G$5:$G$104,MATCH(VLOOKUP($BQ71,Input!$B$21:$J$50,2,FALSE)-0.001,Results!$G$5:$G$104,-1))=$D$4))</f>
        <v/>
      </c>
      <c r="CK71" s="449" t="str">
        <f>IF(BQ71="","",AND(INDEX('Macro References'!$BB$2:$BB$101,MATCH(VLOOKUP($BQ71,Input!$B$21:$J$50,6,FALSE)-0.001,'Macro References'!$BB$2:$BB$101,1))=$D$4))</f>
        <v/>
      </c>
      <c r="CL71" s="449" t="e">
        <f>IF(CJ71,VLOOKUP(BR71,Reinforcements[],COLUMN(Reinforcements[[#Headers],[Bottom End Connection Type]])-1,FALSE),IF(CK71,VLOOKUP(BR71,Reinforcements[],COLUMN(Reinforcements[[#Headers],[Top End Connection Type]])-1,FALSE),""))</f>
        <v>#VALUE!</v>
      </c>
      <c r="CM71" s="449" t="e">
        <f>IF(ISBLANK(VLOOKUP(BR71,Reinforcements[],COLUMN(Reinforcements[[#Headers],[Bottom Transverse Weld Length]])-1,FALSE)),"",(VLOOKUP(BR71,Reinforcements[],COLUMN(Reinforcements[[#Headers],[Bottom Transverse Weld Length]])-1,FALSE)))</f>
        <v>#N/A</v>
      </c>
      <c r="CN71" s="449" t="e">
        <f>IF(ISBLANK(VLOOKUP(BR71,Reinforcements[],COLUMN(Reinforcements[[#Headers],[Bottom Transverse (Horizontal) Weld]])-1,FALSE)),"",(VLOOKUP(BR71,Reinforcements[],COLUMN(Reinforcements[[#Headers],[Bottom Transverse (Horizontal) Weld]])-1,FALSE)))</f>
        <v>#N/A</v>
      </c>
      <c r="CO71" s="449" t="e">
        <f>IF(ISBLANK(VLOOKUP(BR71,Reinforcements[],COLUMN(Reinforcements[[#Headers],[Bottom Longitudinal Weld Length]])-1,FALSE)),"",(VLOOKUP(BR71,Reinforcements[],COLUMN(Reinforcements[[#Headers],[Bottom Longitudinal Weld Length]])-1,FALSE)))</f>
        <v>#N/A</v>
      </c>
      <c r="CP71" s="449" t="str">
        <f>IFERROR(VLOOKUP(BR71,Reinforcements[],COLUMN(Reinforcements[[#Headers],[Bottom Connected to Flange/Base Plate?]])-1,FALSE),"")</f>
        <v/>
      </c>
      <c r="CQ71" s="369" t="e">
        <f>IF(Rev="F",VLOOKUP(BR71,Reinforcements[],COLUMN(Reinforcements[[#Headers],[Rev. F Bottom Transverse Weld Strength]])-1,FALSE),VLOOKUP(BR71,Reinforcements[],COLUMN(Reinforcements[[#Headers],[Rev. G Bottom Transverse Weld Strength]])-1,FALSE))</f>
        <v>#N/A</v>
      </c>
      <c r="CR71" s="369" t="e">
        <f>IF(CP71="Yes",IF(CN71="Fillet",VLOOKUP(BR71,Reinforcements[],COLUMN(Reinforcements[[#Headers],[Bottom Transverse Weld Fillet Size (in)]])-1,FALSE)*CM71*MIN(IF(Rev="F",0.4,φ_shear_yield*0.6)*CG71,IF(Rev="F",0.3,φ_shear_rupture*0.6)*CH71),VLOOKUP(BR71,Reinforcements[],COLUMN(Reinforcements[[#Headers],[Bottom Transverse Weld Groove Depth (in)]])-1,FALSE)/COS(RADIANS(VLOOKUP(BR71,Reinforcements[],COLUMN(Reinforcements[[#Headers],[Bottom Transverse Weld Groove Angle (degrees)]])-1,FALSE)))*CM71*IF(Rev="F",0.6,φ_t_y)*CG71),VLOOKUP(BR71,Reinforcements[],COLUMN(Reinforcements[[#Headers],[Bottom Transverse Weld Fillet Size (in)]])-1,FALSE)*CM71*IF(Rev="F",0.6,φ_t_y)*CG71)</f>
        <v>#N/A</v>
      </c>
      <c r="CS71" s="369" t="str">
        <f>IF(CP71&lt;&gt;"Yes","",(VLOOKUP(BR71,Reinforcements[],COLUMN(Reinforcements[[#Headers],[Bottom Transverse Weld Groove Depth (in)]])-1,FALSE)+VLOOKUP(BR71,Reinforcements[],COLUMN(Reinforcements[[#Headers],[Bottom Transverse Weld Fillet Size (in)]])-1,FALSE))*CM71*IF(Rev="F",0.6,φ_t_y)*$D$14)</f>
        <v/>
      </c>
      <c r="CT71" s="369" t="e">
        <f>IF(CP71="Yes","",VLOOKUP(BR71,Reinforcements[],COLUMN(Reinforcements[[#Headers],[Bottom Transverse Weld Fillet Size (in)]])-1,FALSE)*CM71*MIN(IF(Rev="F",0.4,φ_shear_yield*0.6)*$D$6,IF(Rev="F",0.3,φ_shear_rupture*0.6)*$D$7))</f>
        <v>#N/A</v>
      </c>
      <c r="CU71" s="369" t="e">
        <f>IF(Rev="F",VLOOKUP(BR71,Reinforcements[],COLUMN(Reinforcements[[#Headers],[Rev. F Bottom Longitudinal Weld Strength]])-1,FALSE),VLOOKUP(BR71,Reinforcements[],COLUMN(Reinforcements[[#Headers],[Rev. G Bottom Longitudinal Weld Strength]])-1,FALSE))</f>
        <v>#N/A</v>
      </c>
      <c r="CV71" s="369" t="e">
        <f>2*VLOOKUP(BR71,Reinforcements[],COLUMN(Reinforcements[[#Headers],[Bottom Longitudinal Weld Fillet Size (in)]])-1,FALSE)*CO71*MIN(IF(Rev="F",0.4,φ_shear_yield*0.6)*CG71,IF(Rev="F",0.3,φ_shear_rupture*0.6)*CH71)</f>
        <v>#N/A</v>
      </c>
      <c r="CW71" s="369" t="e">
        <f>2*VLOOKUP(BR71,Reinforcements[],COLUMN(Reinforcements[[#Headers],[Bottom Longitudinal Weld Fillet Size (in)]])-1,FALSE)*CO71*MIN(IF(Rev="F",0.4,φ_shear_yield*0.6)*$D$6,IF(Rev="F",0.3,φ_shear_rupture*0.6)*$D$7)</f>
        <v>#N/A</v>
      </c>
      <c r="CX71" s="451" t="e">
        <f>IF(ISBLANK(VLOOKUP(BR71,Reinforcements[],COLUMN(Reinforcements[[#Headers],[Top Transverse Weld Length]])-1,FALSE)),"",(VLOOKUP(BR71,Reinforcements[],COLUMN(Reinforcements[[#Headers],[Top Transverse Weld Length]])-1,FALSE)))</f>
        <v>#N/A</v>
      </c>
      <c r="CY71" s="451" t="e">
        <f>IF(ISBLANK(VLOOKUP(BR71,Reinforcements[],COLUMN(Reinforcements[[#Headers],[Top Transverse (Horizontal) Weld]])-1,FALSE)),"",(VLOOKUP(BR71,Reinforcements[],COLUMN(Reinforcements[[#Headers],[Top Transverse (Horizontal) Weld]])-1,FALSE)))</f>
        <v>#N/A</v>
      </c>
      <c r="CZ71" s="451" t="e">
        <f>IF(ISBLANK(VLOOKUP(BR71,Reinforcements[],COLUMN(Reinforcements[[#Headers],[Top Longitudinal Weld Length]])-1,FALSE)),"",(VLOOKUP(BR71,Reinforcements[],COLUMN(Reinforcements[[#Headers],[Top Longitudinal Weld Length]])-1,FALSE)))</f>
        <v>#N/A</v>
      </c>
      <c r="DA71" s="369" t="str">
        <f>IFERROR(VLOOKUP(BR71,Reinforcements[],COLUMN(Reinforcements[[#Headers],[Top Connected to Flange/Base Plate?]])-1,FALSE),"")</f>
        <v/>
      </c>
      <c r="DB71" s="369" t="e">
        <f>IF(Rev="F",VLOOKUP(BR71,Reinforcements[],COLUMN(Reinforcements[[#Headers],[Rev. F Top Transverse Weld Strength]])-1,FALSE),VLOOKUP(BR71,Reinforcements[],COLUMN(Reinforcements[[#Headers],[Rev. G Top Transverse Weld Strength]])-1,FALSE))</f>
        <v>#N/A</v>
      </c>
      <c r="DC71" s="369" t="e">
        <f>IF(DA71="Yes",IF(CY71="Fillet",VLOOKUP(BR71,Reinforcements[],COLUMN(Reinforcements[[#Headers],[Top Transverse Weld Fillet Size (in)]])-1,FALSE)*CX71*MIN(IF(Rev="F",0.4,φ_shear_yield*0.6)*CG71,IF(Rev="F",0.3,φ_shear_rupture*0.6)*CH71),VLOOKUP(BR71,Reinforcements[],COLUMN(Reinforcements[[#Headers],[Top Transverse Weld Groove Depth (in)]])-1,FALSE)/COS(RADIANS(VLOOKUP(BR71,Reinforcements[],COLUMN(Reinforcements[[#Headers],[Top Transverse Weld Groove Angle (degrees)]])-1,FALSE)))*CX71*IF(Rev="F",0.6,φ_t_y)*CG71),VLOOKUP(BR71,Reinforcements[],COLUMN(Reinforcements[[#Headers],[Top Transverse Weld Fillet Size (in)]])-1,FALSE)*CX71*IF(Rev="F",0.6,φ_t_y)*CG71)</f>
        <v>#N/A</v>
      </c>
      <c r="DD71" s="369" t="str">
        <f>IF(DA71&lt;&gt;"Yes","",(VLOOKUP(BR71,Reinforcements[],COLUMN(Reinforcements[[#Headers],[Top Transverse Weld Groove Depth (in)]])-1,FALSE)+VLOOKUP(BR71,Reinforcements[],COLUMN(Reinforcements[[#Headers],[Top Transverse Weld Fillet Size (in)]])-1,FALSE))*CX71*IF(Rev="F",0.6,φ_t_y)*$D$14)</f>
        <v/>
      </c>
      <c r="DE71" s="369" t="e">
        <f>IF(DA71="Yes","",VLOOKUP(BR71,Reinforcements[],COLUMN(Reinforcements[[#Headers],[Top Transverse Weld Fillet Size (in)]])-1,FALSE)*CX71*MIN(IF(Rev="F",0.4,φ_shear_yield*0.6)*$D$6,IF(Rev="F",0.3,φ_shear_rupture*0.6)*$D$7))</f>
        <v>#N/A</v>
      </c>
      <c r="DF71" s="369" t="e">
        <f>IF(Rev="F",VLOOKUP(BR71,Reinforcements[],COLUMN(Reinforcements[[#Headers],[Rev. F Top Longitudinal Weld Strength]])-1,FALSE),VLOOKUP(BR71,Reinforcements[],COLUMN(Reinforcements[[#Headers],[Rev. G Top Longitudinal Weld Strength]])-1,FALSE))</f>
        <v>#N/A</v>
      </c>
      <c r="DG71" s="369" t="e">
        <f>2*VLOOKUP(BR71,Reinforcements[],COLUMN(Reinforcements[[#Headers],[Top Longitudinal Weld Fillet Size (in)]])-1,FALSE)*CZ71*MIN(IF(Rev="F",0.4,φ_shear_yield*0.6)*CG71,IF(Rev="F",0.3,φ_shear_rupture*0.6)*CH71)</f>
        <v>#N/A</v>
      </c>
      <c r="DH71" s="369" t="e">
        <f>2*VLOOKUP(BR71,Reinforcements[],COLUMN(Reinforcements[[#Headers],[Top Longitudinal Weld Fillet Size (in)]])-1,FALSE)*CZ71*MIN(IF(Rev="F",0.4,φ_shear_yield*0.6)*$D$6,IF(Rev="F",0.3,φ_shear_rupture*0.6)*$D$7)</f>
        <v>#N/A</v>
      </c>
      <c r="DI71" s="66" t="e">
        <f>IF(BS71="channel",VLOOKUP(Calculations!BR71,Reinforcements[],COLUMN(Reinforcements[[#Headers],['[Channel']Web Thickness (in)]])-1,FALSE),"")</f>
        <v>#N/A</v>
      </c>
      <c r="DJ71" s="66" t="b">
        <f t="shared" si="84"/>
        <v>0</v>
      </c>
      <c r="DK71" s="66" t="e">
        <f>IF(BS71="channel",Calculations!BU71-DI71,"")</f>
        <v>#N/A</v>
      </c>
      <c r="DL71" s="66" t="e">
        <f>IF(BS71="channel",(Calculations!BY71-Calculations!BT71*DI71)/(2*DK71))</f>
        <v>#N/A</v>
      </c>
      <c r="DM71" s="66" t="e">
        <f>IF(BS71="channel",(Calculations!BT71*(DI71^2)/2+2*DK71*DL71*(DI71+DK71/2))/Calculations!BY71,"")</f>
        <v>#N/A</v>
      </c>
    </row>
    <row r="72" spans="2:117" ht="15" x14ac:dyDescent="0.25">
      <c r="B72" s="66" t="str">
        <f t="shared" si="70"/>
        <v/>
      </c>
      <c r="C72" s="317">
        <v>13</v>
      </c>
      <c r="D72" s="380" t="str">
        <f>IF(BQ72="","",IF($D$8=0,IF(OR(VLOOKUP(BQ72,Input!$B$21:$AL$50,19+C72,FALSE)+$D$5=0,VLOOKUP(BQ72,Input!$B$21:$AL$50,19+C72,FALSE)+$D$5=180),VLOOKUP(BQ72,Input!$B$21:$AL$50,19+C72,FALSE)+$D$5+0.0001,VLOOKUP(BQ72,Input!$B$21:$AL$50,19+C72,FALSE)+$D$5),IF(VLOOKUP(BQ72,Input!$B$21:$AL$50,19+C72,FALSE)="c",VLOOKUP($C72,$C$40:$E$57,2,FALSE)+180/$D$8,VLOOKUP($C72,$C$40:$E$57,2,FALSE))))</f>
        <v/>
      </c>
      <c r="E72" s="370" t="str">
        <f t="shared" si="39"/>
        <v/>
      </c>
      <c r="F72" s="381" t="str">
        <f>IF(BR72="","",VLOOKUP(BR72,Reinforcements[],COLUMN(Reinforcements[[#Headers],[Gross Area (in2)]])-1,FALSE))</f>
        <v/>
      </c>
      <c r="G72" s="378" t="e">
        <f>(IF(VLOOKUP(BQ72,Input!$B$21:$AL$50,19+C72,FALSE)="c",$D$20/COS(RADIANS(180/$D$8)),$D$20)+CA72)*SIN(RADIANS(D72))-IF(AND(ISNUMBER(VLOOKUP(BQ72,Input!$B$21:$AL$50,19+C72,FALSE)),$D$8&lt;&gt;0),VLOOKUP(BQ72,Input!$B$21:$AL$50,19+C72,FALSE)*COS(RADIANS(D72)),0)</f>
        <v>#N/A</v>
      </c>
      <c r="H72" s="373" t="str">
        <f t="shared" si="71"/>
        <v/>
      </c>
      <c r="I72" s="373" t="e">
        <f t="shared" si="40"/>
        <v>#N/A</v>
      </c>
      <c r="J72" s="373" t="e">
        <f t="shared" si="41"/>
        <v>#N/A</v>
      </c>
      <c r="K72" s="373" t="e">
        <f t="shared" si="42"/>
        <v>#N/A</v>
      </c>
      <c r="L72" s="373" t="e">
        <f t="shared" si="72"/>
        <v>#N/A</v>
      </c>
      <c r="M72" s="374" t="str">
        <f t="shared" si="73"/>
        <v/>
      </c>
      <c r="N72" s="372" t="str">
        <f>IFERROR((IF(VLOOKUP(BQ72,Input!$B$21:$AL$50,19+C72,FALSE)="c",$D$20/COS(RADIANS(180/$D$8)),$D$20)+CA72)*SIN(RADIANS(D72))-IF(AND(ISNUMBER(VLOOKUP(BQ72,Input!$B$21:$AL$50,19+C72,FALSE)),$D$8&lt;&gt;0),VLOOKUP(BQ72,Input!$B$21:$AL$50,19+C72,FALSE)*COS(RADIANS(D72)),0)-$D$35,"")</f>
        <v/>
      </c>
      <c r="O72" s="375" t="str">
        <f t="shared" si="43"/>
        <v/>
      </c>
      <c r="P72" s="375" t="str">
        <f t="shared" si="44"/>
        <v/>
      </c>
      <c r="Q72" s="375" t="str">
        <f t="shared" si="45"/>
        <v/>
      </c>
      <c r="R72" s="376" t="str">
        <f t="shared" si="46"/>
        <v/>
      </c>
      <c r="S72" s="373" t="str">
        <f t="shared" si="74"/>
        <v/>
      </c>
      <c r="T72" s="373" t="str">
        <f t="shared" si="75"/>
        <v/>
      </c>
      <c r="U72" s="373" t="str">
        <f t="shared" si="76"/>
        <v/>
      </c>
      <c r="V72" s="374" t="str">
        <f t="shared" si="77"/>
        <v/>
      </c>
      <c r="W72" s="482" t="str">
        <f>IFERROR(IF('Macro References'!$A$9,IF(AND(Calculations!CK72,CL72="Bolted"),VLOOKUP($BR72,Reinforcements[],COLUMN(IF(Rev="F",Reinforcements[[#Headers],[Rev. F Bolt Shear Capacity   (Top)        (kips)]],IF(Rev="G",Reinforcements[[#Headers],[Rev. G Bolt Shear Capacity (Top)     (kips)]],Reinforcements[[#Headers],[Rev. H Bolt Shear Capacity (Top) (kips)]])))-1,FALSE),IF(AND(Calculations!CJ72,CL72="Bolted"),VLOOKUP($BR72,Reinforcements[],COLUMN(IF(Rev="F",Reinforcements[[#Headers],[Rev. F Bolt Shear Capacity (Bottom)   (kips)]],IF(Rev="G",Reinforcements[[#Headers],[Rev. G Bolt Shear Capacity (Bottom) (kips)]],Reinforcements[[#Headers],[Rev. H Bolt Shear Capacity (Bottom) (kips)]])))-1,FALSE),"")),""),"")</f>
        <v/>
      </c>
      <c r="X72" s="483" t="str">
        <f>IFERROR(IF('Macro References'!$A$9,IF('Macro References'!$A$10,IF(AND(Calculations!CK72,CL72="Bolted"),VLOOKUP($BR72,Reinforcements[],COLUMN(IF(Rev="F",Reinforcements[[#Headers],[Rev.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kips)]])))-1,FALSE),IF(AND(Calculations!CJ72,CL72="Bolted"),VLOOKUP($BR72,Reinforcements[],COLUMN(IF(Rev="F",Reinforcements[[#Headers],[Rev.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kips)]])))-1,FALSE),"")),IF(AND(Calculations!CK72,CL72="Bolted"),VLOOKUP($BR72,Reinforcements[],COLUMN(IF(Rev="F",Reinforcements[[#Headers],[Rev.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kips)]])))-1,FALSE),IF(AND(Calculations!CJ72,CL72="Bolted"),VLOOKUP($BR72,Reinforcements[],COLUMN(IF(Rev="F",Reinforcements[[#Headers],[Rev.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2" s="483" t="str">
        <f>IFERROR(IF('Macro References'!$A$9,IF('Macro References'!$A$10,IF(AND(Calculations!CK72,CL72="Bolted"),VLOOKUP($BR72,Reinforcements[],COLUMN(IF(Rev="F",Reinforcements[[#Headers],[Rev.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(kips)]])))-1,FALSE),IF(AND(Calculations!CJ72,CL72="Bolted"),VLOOKUP($BR72,Reinforcements[],COLUMN(IF(Rev="F",Reinforcements[[#Headers],[Rev.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(kips)]])))-1,FALSE),"")),IF(AND(Calculations!CK72,CL72="Bolted"),VLOOKUP($BR72,Reinforcements[],COLUMN(IF(Rev="F",Reinforcements[[#Headers],[Rev.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(kips)]])))-1,FALSE),IF(AND(Calculations!CJ72,CL72="Bolted"),VLOOKUP($BR72,Reinforcements[],COLUMN(IF(Rev="F",Reinforcements[[#Headers],[Rev.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2" s="483" t="str">
        <f>IFERROR(IF('Macro References'!$A$9,IF(AND(CJ72,CL72="Welded"),MIN(CQ72:CT72),IF(AND(CK72,CL72="Welded"),MIN(DB72:DE72),"")),""),"")</f>
        <v/>
      </c>
      <c r="AA72" s="484" t="str">
        <f>IFERROR(IF('Macro References'!$A$9,IF(AND(CJ72,CL72="Welded"),MIN(CU72:CW72),IF(AND(CK72,CL72="Welded"),MIN(DF72:DH72),"")),""),"")</f>
        <v/>
      </c>
      <c r="AB72" s="484" t="str">
        <f>IFERROR(IF('Macro References'!$A$9,IF(AND(CJ72,CL72="Welded",CN72="Fillet",CU72&gt;0),TRUE,IF(AND(CK72,CL72="Welded",CY72="Fillet",DF72&gt;0),TRUE,"")),""),"")</f>
        <v/>
      </c>
      <c r="AC72" s="484" t="e">
        <f>IF('Macro References'!$A$9,IF(AND(CJ72,CL72="Capacity Input"),IF(Rev="F",VLOOKUP(BR72,Reinforcements[],COLUMN(Reinforcements[[#Headers],[Rev. F Bottom Connection Capacity (kips)]])-1,FALSE),IF(Rev="G",VLOOKUP(BR72,Reinforcements[],COLUMN(Reinforcements[[#Headers],[Rev. G Bottom Connection Capacity (kips)]])-1,FALSE),VLOOKUP(BR72,Reinforcements[],COLUMN(Reinforcements[[#Headers],[Rev. H Bottom Connection Capacity (kips)]])-1,FALSE))),IF(AND(CK72,CL72="Capacity Input"),IF(Rev="F",VLOOKUP(BR72,Reinforcements[],COLUMN(Reinforcements[[#Headers],[Rev. F Top Connection Capacity (kips)]])-1,FALSE),IF(Rev="G",VLOOKUP(BR72,Reinforcements[],COLUMN(Reinforcements[[#Headers],[Rev. G Top Connection Capacity (kips)]])-1,FALSE),VLOOKUP(BR72,Reinforcements[],COLUMN(Reinforcements[[#Headers],[Rev. H Top Connection Capacity (kips)]])-1,FALSE))),"")),"")</f>
        <v>#VALUE!</v>
      </c>
      <c r="AD72" s="484" t="str">
        <f>IFERROR(IF(Rev="F",MIN(VLOOKUP(BR72,Reinforcements[],COLUMN(Reinforcements[[#Headers],[Rev. F Compression Capacity x-x (kips)]])-1,FALSE),VLOOKUP(BR72,Reinforcements[],COLUMN(Reinforcements[[#Headers],[Rev. F Compression Capacity y-y (kips)]])-1,FALSE)),IF(Rev="G",MIN(VLOOKUP(BR72,Reinforcements[],COLUMN(Reinforcements[[#Headers],[Rev. G Compression Capacity x-x (kips)]])-1,FALSE),VLOOKUP(BR72,Reinforcements[],COLUMN(Reinforcements[[#Headers],[Rev. G Compression Capacity y-y (kips)]])-1,FALSE)),MIN(VLOOKUP(BR72,Reinforcements[],COLUMN(Reinforcements[[#Headers],[Rev. H Compression Capacity x-x (kips)]])-1,FALSE),VLOOKUP(BR72,Reinforcements[],COLUMN(Reinforcements[[#Headers],[Rev. H Compression Capacity y-y (kips)]])-1,FALSE)))),"")</f>
        <v/>
      </c>
      <c r="AE72" s="485" t="str">
        <f>IFERROR(IF(Rev="F",VLOOKUP(BR72,Reinforcements[],COLUMN(Reinforcements[[#Headers],[Rev. F Shear Capacity (kips)]])-1,FALSE)/BY72,IF(Rev="G",VLOOKUP(Calculations!BR72,Reinforcements[],COLUMN(Reinforcements[[#Headers],[Rev. G Shear Capacity (kips)]])-1,FALSE),VLOOKUP(Calculations!BR72,Reinforcements[],COLUMN(Reinforcements[[#Headers],[Rev. H Shear Capacity (kips)]])-1,FALSE))),"")</f>
        <v/>
      </c>
      <c r="AF72" s="451" t="str">
        <f>IFERROR(IF(Rev="F",VLOOKUP(BR72,Reinforcements[],COLUMN(Reinforcements[[#Headers],[Rev. F Tension Yield Capacity (kips)]])-1,FALSE),IF(Rev="G",VLOOKUP(Calculations!BR72,Reinforcements[],COLUMN(Reinforcements[[#Headers],[Rev. G Tension Yield Capacity (kips)]])-1,FALSE),VLOOKUP(Calculations!BR72,Reinforcements[],COLUMN(Reinforcements[[#Headers],[Rev. H Tension Yield Capacity (kips)]])-1,FALSE))),"")</f>
        <v/>
      </c>
      <c r="AG72" s="486" t="str">
        <f>IFERROR(IF(Rev="F",VLOOKUP(BR72,Reinforcements[],COLUMN(Reinforcements[[#Headers],[Rev. F Tension Rupture Capacity (kips)]])-1,FALSE),IF(Rev="G",VLOOKUP(Calculations!BR72,Reinforcements[],COLUMN(Reinforcements[[#Headers],[Rev. G Tension Rupture Capacity (kips)]])-1,FALSE),VLOOKUP(Calculations!BR72,Reinforcements[],COLUMN(Reinforcements[[#Headers],[Rev. H Tension Rupture Capacity (kips)]])-1, FALSE))),"")</f>
        <v/>
      </c>
      <c r="AH72" s="409" t="str">
        <f t="shared" si="47"/>
        <v/>
      </c>
      <c r="AI72" s="380" t="str">
        <f t="shared" si="48"/>
        <v/>
      </c>
      <c r="AJ72" s="380" t="str">
        <f t="shared" si="49"/>
        <v/>
      </c>
      <c r="AK72" s="380" t="str">
        <f t="shared" si="85"/>
        <v/>
      </c>
      <c r="AL72" s="369" t="str">
        <f t="shared" si="78"/>
        <v/>
      </c>
      <c r="AM72" s="380" t="str">
        <f>""</f>
        <v/>
      </c>
      <c r="AN72" s="380" t="str">
        <f t="shared" si="50"/>
        <v/>
      </c>
      <c r="AO72" s="369" t="str">
        <f t="shared" si="51"/>
        <v/>
      </c>
      <c r="AP72" s="410" t="str">
        <f t="shared" si="52"/>
        <v/>
      </c>
      <c r="AQ72" s="411" t="str">
        <f t="shared" si="53"/>
        <v/>
      </c>
      <c r="AR72" s="380" t="str">
        <f>IF(BR72="","",VLOOKUP(VLOOKUP(BR72,Reinforcements[],COLUMN(Reinforcements[[#Headers],[Material]])-1,FALSE),Materials[],2,FALSE)/$D$28)</f>
        <v/>
      </c>
      <c r="AS72" s="369" t="str">
        <f t="shared" si="54"/>
        <v/>
      </c>
      <c r="AT72" s="489" t="str">
        <f t="shared" si="55"/>
        <v/>
      </c>
      <c r="AU72" s="412">
        <f t="shared" si="56"/>
        <v>0</v>
      </c>
      <c r="AV72" s="413">
        <f t="shared" si="57"/>
        <v>0</v>
      </c>
      <c r="AW72" s="413" t="e">
        <f t="shared" si="58"/>
        <v>#N/A</v>
      </c>
      <c r="AX72" s="413" t="e">
        <f t="shared" si="59"/>
        <v>#N/A</v>
      </c>
      <c r="AY72" s="413" t="str">
        <f t="shared" si="60"/>
        <v/>
      </c>
      <c r="AZ72" s="413" t="e">
        <f t="shared" si="61"/>
        <v>#VALUE!</v>
      </c>
      <c r="BA72" s="433" t="str">
        <f t="shared" si="62"/>
        <v/>
      </c>
      <c r="BB72" s="436" t="str">
        <f t="shared" si="79"/>
        <v/>
      </c>
      <c r="BC72" s="437" t="str">
        <f t="shared" si="63"/>
        <v/>
      </c>
      <c r="BD72" s="437" t="str">
        <f t="shared" si="64"/>
        <v/>
      </c>
      <c r="BE72" s="433" t="str">
        <f t="shared" si="80"/>
        <v/>
      </c>
      <c r="BF72" s="438" t="e">
        <f t="shared" si="81"/>
        <v>#DIV/0!</v>
      </c>
      <c r="BG72" s="439" t="str">
        <f t="shared" si="65"/>
        <v/>
      </c>
      <c r="BH72" s="439" t="str">
        <f t="shared" si="66"/>
        <v/>
      </c>
      <c r="BI72" s="433" t="e">
        <f t="shared" si="82"/>
        <v>#DIV/0!</v>
      </c>
      <c r="BJ72" s="438" t="str">
        <f t="shared" si="83"/>
        <v/>
      </c>
      <c r="BK72" s="413" t="e">
        <f t="shared" si="67"/>
        <v>#DIV/0!</v>
      </c>
      <c r="BL72" s="66" t="str">
        <f t="shared" si="68"/>
        <v/>
      </c>
      <c r="BP72" s="30" t="e">
        <f t="shared" si="69"/>
        <v>#DIV/0!</v>
      </c>
      <c r="BQ72" s="344" t="str">
        <f>IFERROR(VALUE(LEFT(VLOOKUP(Calculations!$D$4,Results!$G$5:$CM$105,67+$C72,FALSE),FIND(";",VLOOKUP(Calculations!$D$4,Results!$G$5:$CM$105,67+$C72,FALSE))-1)),"")</f>
        <v/>
      </c>
      <c r="BR72" s="444" t="str">
        <f>IF(BQ72="","",VLOOKUP(BQ72,Input!$B$21:$Q$50,13,FALSE))</f>
        <v/>
      </c>
      <c r="BS72" s="369" t="e">
        <f>VLOOKUP(BR72,Reinforcements[],COLUMN(Reinforcements[[#Headers],[Type]])-1,FALSE)</f>
        <v>#N/A</v>
      </c>
      <c r="BT72" s="369" t="e">
        <f>IF(BS72="solid round",VLOOKUP(BR72,Reinforcements[],COLUMN(Reinforcements[[#Headers],[Diameter (in)]])-1,FALSE),VLOOKUP(BR72,Reinforcements[],COLUMN(Reinforcements[[#Headers],[B (in)]])-1,FALSE))</f>
        <v>#N/A</v>
      </c>
      <c r="BU72" s="369" t="e">
        <f>IF(BS72="solid round",VLOOKUP(BR72,Reinforcements[],COLUMN(Reinforcements[[#Headers],[Diameter (in)]])-1,FALSE),VLOOKUP(BR72,Reinforcements[],COLUMN(Reinforcements[[#Headers],[H (in)]])-1,FALSE))</f>
        <v>#N/A</v>
      </c>
      <c r="BV72" s="413" t="e">
        <f>IFERROR((IF(VLOOKUP(BQ72,Input!$B$21:$AL$50,19+C72,FALSE)="c",$D$20/COS(RADIANS(180/$D$8)),$D$20)+BU72/2)*SIN(RADIANS(D72))-IF(ISNUMBER(VLOOKUP(BQ72,Input!$B$21:$AL$50,19+C72,FALSE)),VLOOKUP(BQ72,Input!$B$21:$AL$50,19+C72,FALSE)*COS(RADIANS(D72)),0)-$D$35,"")*0+N72*1</f>
        <v>#VALUE!</v>
      </c>
      <c r="BW72" s="369" t="e">
        <f>VLOOKUP(BR72,Reinforcements[],COLUMN(Reinforcements[[#Headers],[Effective B (in)]])-1,FALSE)</f>
        <v>#N/A</v>
      </c>
      <c r="BX72" s="369" t="e">
        <f>VLOOKUP(BR72,Reinforcements[],COLUMN(Reinforcements[[#Headers],[Effective H (in)]])-1,FALSE)</f>
        <v>#N/A</v>
      </c>
      <c r="BY72" s="369" t="e">
        <f>VLOOKUP(BR72,Reinforcements[],COLUMN(Reinforcements[[#Headers],[Gross Area (in2)]])-1,FALSE)</f>
        <v>#N/A</v>
      </c>
      <c r="BZ72" s="380" t="s">
        <v>335</v>
      </c>
      <c r="CA72" s="369" t="e">
        <f>VLOOKUP(BR72,Reinforcements[],COLUMN(Reinforcements[[#Headers],[Pole Face to Centroid (in)]])-1,FALSE)</f>
        <v>#N/A</v>
      </c>
      <c r="CB72" s="369" t="e">
        <f>VLOOKUP(BR72,Reinforcements[],COLUMN(Reinforcements[[#Headers],[Equivalent Rectangle Ix (in4)]])-1,FALSE)</f>
        <v>#N/A</v>
      </c>
      <c r="CC72" s="369" t="e">
        <f>VLOOKUP(BR72,Reinforcements[],COLUMN(Reinforcements[[#Headers],[Equivalent Rectangle Iy (in4)]])-1,FALSE)</f>
        <v>#N/A</v>
      </c>
      <c r="CD72" s="369" t="e">
        <f>VLOOKUP(BR72,Reinforcements[],COLUMN(Reinforcements[[#Headers],[Lu (in)]])-1,FALSE)</f>
        <v>#N/A</v>
      </c>
      <c r="CE72" s="380" t="s">
        <v>335</v>
      </c>
      <c r="CF72" s="380" t="s">
        <v>335</v>
      </c>
      <c r="CG72" s="369" t="e">
        <f>VLOOKUP(VLOOKUP(BR72,Reinforcements[],COLUMN(Reinforcements[[#Headers],[Material]])-1,FALSE),Materials[],2,FALSE)</f>
        <v>#N/A</v>
      </c>
      <c r="CH72" s="369" t="e">
        <f>VLOOKUP(VLOOKUP(BR72,Reinforcements[],COLUMN(Reinforcements[[#Headers],[Material]])-1,FALSE),Materials[],3,FALSE)</f>
        <v>#N/A</v>
      </c>
      <c r="CI72" s="380" t="e">
        <f>VLOOKUP(BR72,Reinforcements[],COLUMN(Reinforcements[[#Headers],[Tension Only?]])-1,FALSE)</f>
        <v>#N/A</v>
      </c>
      <c r="CJ72" s="449" t="str">
        <f>IF(BQ72="","",AND(INDEX(Results!$G$5:$G$104,MATCH(VLOOKUP($BQ72,Input!$B$21:$J$50,2,FALSE)-0.001,Results!$G$5:$G$104,-1))=$D$4))</f>
        <v/>
      </c>
      <c r="CK72" s="449" t="str">
        <f>IF(BQ72="","",AND(INDEX('Macro References'!$BB$2:$BB$101,MATCH(VLOOKUP($BQ72,Input!$B$21:$J$50,6,FALSE)-0.001,'Macro References'!$BB$2:$BB$101,1))=$D$4))</f>
        <v/>
      </c>
      <c r="CL72" s="449" t="e">
        <f>IF(CJ72,VLOOKUP(BR72,Reinforcements[],COLUMN(Reinforcements[[#Headers],[Bottom End Connection Type]])-1,FALSE),IF(CK72,VLOOKUP(BR72,Reinforcements[],COLUMN(Reinforcements[[#Headers],[Top End Connection Type]])-1,FALSE),""))</f>
        <v>#VALUE!</v>
      </c>
      <c r="CM72" s="449" t="e">
        <f>IF(ISBLANK(VLOOKUP(BR72,Reinforcements[],COLUMN(Reinforcements[[#Headers],[Bottom Transverse Weld Length]])-1,FALSE)),"",(VLOOKUP(BR72,Reinforcements[],COLUMN(Reinforcements[[#Headers],[Bottom Transverse Weld Length]])-1,FALSE)))</f>
        <v>#N/A</v>
      </c>
      <c r="CN72" s="449" t="e">
        <f>IF(ISBLANK(VLOOKUP(BR72,Reinforcements[],COLUMN(Reinforcements[[#Headers],[Bottom Transverse (Horizontal) Weld]])-1,FALSE)),"",(VLOOKUP(BR72,Reinforcements[],COLUMN(Reinforcements[[#Headers],[Bottom Transverse (Horizontal) Weld]])-1,FALSE)))</f>
        <v>#N/A</v>
      </c>
      <c r="CO72" s="449" t="e">
        <f>IF(ISBLANK(VLOOKUP(BR72,Reinforcements[],COLUMN(Reinforcements[[#Headers],[Bottom Longitudinal Weld Length]])-1,FALSE)),"",(VLOOKUP(BR72,Reinforcements[],COLUMN(Reinforcements[[#Headers],[Bottom Longitudinal Weld Length]])-1,FALSE)))</f>
        <v>#N/A</v>
      </c>
      <c r="CP72" s="449" t="str">
        <f>IFERROR(VLOOKUP(BR72,Reinforcements[],COLUMN(Reinforcements[[#Headers],[Bottom Connected to Flange/Base Plate?]])-1,FALSE),"")</f>
        <v/>
      </c>
      <c r="CQ72" s="369" t="e">
        <f>IF(Rev="F",VLOOKUP(BR72,Reinforcements[],COLUMN(Reinforcements[[#Headers],[Rev. F Bottom Transverse Weld Strength]])-1,FALSE),VLOOKUP(BR72,Reinforcements[],COLUMN(Reinforcements[[#Headers],[Rev. G Bottom Transverse Weld Strength]])-1,FALSE))</f>
        <v>#N/A</v>
      </c>
      <c r="CR72" s="369" t="e">
        <f>IF(CP72="Yes",IF(CN72="Fillet",VLOOKUP(BR72,Reinforcements[],COLUMN(Reinforcements[[#Headers],[Bottom Transverse Weld Fillet Size (in)]])-1,FALSE)*CM72*MIN(IF(Rev="F",0.4,φ_shear_yield*0.6)*CG72,IF(Rev="F",0.3,φ_shear_rupture*0.6)*CH72),VLOOKUP(BR72,Reinforcements[],COLUMN(Reinforcements[[#Headers],[Bottom Transverse Weld Groove Depth (in)]])-1,FALSE)/COS(RADIANS(VLOOKUP(BR72,Reinforcements[],COLUMN(Reinforcements[[#Headers],[Bottom Transverse Weld Groove Angle (degrees)]])-1,FALSE)))*CM72*IF(Rev="F",0.6,φ_t_y)*CG72),VLOOKUP(BR72,Reinforcements[],COLUMN(Reinforcements[[#Headers],[Bottom Transverse Weld Fillet Size (in)]])-1,FALSE)*CM72*IF(Rev="F",0.6,φ_t_y)*CG72)</f>
        <v>#N/A</v>
      </c>
      <c r="CS72" s="369" t="str">
        <f>IF(CP72&lt;&gt;"Yes","",(VLOOKUP(BR72,Reinforcements[],COLUMN(Reinforcements[[#Headers],[Bottom Transverse Weld Groove Depth (in)]])-1,FALSE)+VLOOKUP(BR72,Reinforcements[],COLUMN(Reinforcements[[#Headers],[Bottom Transverse Weld Fillet Size (in)]])-1,FALSE))*CM72*IF(Rev="F",0.6,φ_t_y)*$D$14)</f>
        <v/>
      </c>
      <c r="CT72" s="369" t="e">
        <f>IF(CP72="Yes","",VLOOKUP(BR72,Reinforcements[],COLUMN(Reinforcements[[#Headers],[Bottom Transverse Weld Fillet Size (in)]])-1,FALSE)*CM72*MIN(IF(Rev="F",0.4,φ_shear_yield*0.6)*$D$6,IF(Rev="F",0.3,φ_shear_rupture*0.6)*$D$7))</f>
        <v>#N/A</v>
      </c>
      <c r="CU72" s="369" t="e">
        <f>IF(Rev="F",VLOOKUP(BR72,Reinforcements[],COLUMN(Reinforcements[[#Headers],[Rev. F Bottom Longitudinal Weld Strength]])-1,FALSE),VLOOKUP(BR72,Reinforcements[],COLUMN(Reinforcements[[#Headers],[Rev. G Bottom Longitudinal Weld Strength]])-1,FALSE))</f>
        <v>#N/A</v>
      </c>
      <c r="CV72" s="369" t="e">
        <f>2*VLOOKUP(BR72,Reinforcements[],COLUMN(Reinforcements[[#Headers],[Bottom Longitudinal Weld Fillet Size (in)]])-1,FALSE)*CO72*MIN(IF(Rev="F",0.4,φ_shear_yield*0.6)*CG72,IF(Rev="F",0.3,φ_shear_rupture*0.6)*CH72)</f>
        <v>#N/A</v>
      </c>
      <c r="CW72" s="369" t="e">
        <f>2*VLOOKUP(BR72,Reinforcements[],COLUMN(Reinforcements[[#Headers],[Bottom Longitudinal Weld Fillet Size (in)]])-1,FALSE)*CO72*MIN(IF(Rev="F",0.4,φ_shear_yield*0.6)*$D$6,IF(Rev="F",0.3,φ_shear_rupture*0.6)*$D$7)</f>
        <v>#N/A</v>
      </c>
      <c r="CX72" s="451" t="e">
        <f>IF(ISBLANK(VLOOKUP(BR72,Reinforcements[],COLUMN(Reinforcements[[#Headers],[Top Transverse Weld Length]])-1,FALSE)),"",(VLOOKUP(BR72,Reinforcements[],COLUMN(Reinforcements[[#Headers],[Top Transverse Weld Length]])-1,FALSE)))</f>
        <v>#N/A</v>
      </c>
      <c r="CY72" s="451" t="e">
        <f>IF(ISBLANK(VLOOKUP(BR72,Reinforcements[],COLUMN(Reinforcements[[#Headers],[Top Transverse (Horizontal) Weld]])-1,FALSE)),"",(VLOOKUP(BR72,Reinforcements[],COLUMN(Reinforcements[[#Headers],[Top Transverse (Horizontal) Weld]])-1,FALSE)))</f>
        <v>#N/A</v>
      </c>
      <c r="CZ72" s="451" t="e">
        <f>IF(ISBLANK(VLOOKUP(BR72,Reinforcements[],COLUMN(Reinforcements[[#Headers],[Top Longitudinal Weld Length]])-1,FALSE)),"",(VLOOKUP(BR72,Reinforcements[],COLUMN(Reinforcements[[#Headers],[Top Longitudinal Weld Length]])-1,FALSE)))</f>
        <v>#N/A</v>
      </c>
      <c r="DA72" s="369" t="str">
        <f>IFERROR(VLOOKUP(BR72,Reinforcements[],COLUMN(Reinforcements[[#Headers],[Top Connected to Flange/Base Plate?]])-1,FALSE),"")</f>
        <v/>
      </c>
      <c r="DB72" s="369" t="e">
        <f>IF(Rev="F",VLOOKUP(BR72,Reinforcements[],COLUMN(Reinforcements[[#Headers],[Rev. F Top Transverse Weld Strength]])-1,FALSE),VLOOKUP(BR72,Reinforcements[],COLUMN(Reinforcements[[#Headers],[Rev. G Top Transverse Weld Strength]])-1,FALSE))</f>
        <v>#N/A</v>
      </c>
      <c r="DC72" s="369" t="e">
        <f>IF(DA72="Yes",IF(CY72="Fillet",VLOOKUP(BR72,Reinforcements[],COLUMN(Reinforcements[[#Headers],[Top Transverse Weld Fillet Size (in)]])-1,FALSE)*CX72*MIN(IF(Rev="F",0.4,φ_shear_yield*0.6)*CG72,IF(Rev="F",0.3,φ_shear_rupture*0.6)*CH72),VLOOKUP(BR72,Reinforcements[],COLUMN(Reinforcements[[#Headers],[Top Transverse Weld Groove Depth (in)]])-1,FALSE)/COS(RADIANS(VLOOKUP(BR72,Reinforcements[],COLUMN(Reinforcements[[#Headers],[Top Transverse Weld Groove Angle (degrees)]])-1,FALSE)))*CX72*IF(Rev="F",0.6,φ_t_y)*CG72),VLOOKUP(BR72,Reinforcements[],COLUMN(Reinforcements[[#Headers],[Top Transverse Weld Fillet Size (in)]])-1,FALSE)*CX72*IF(Rev="F",0.6,φ_t_y)*CG72)</f>
        <v>#N/A</v>
      </c>
      <c r="DD72" s="369" t="str">
        <f>IF(DA72&lt;&gt;"Yes","",(VLOOKUP(BR72,Reinforcements[],COLUMN(Reinforcements[[#Headers],[Top Transverse Weld Groove Depth (in)]])-1,FALSE)+VLOOKUP(BR72,Reinforcements[],COLUMN(Reinforcements[[#Headers],[Top Transverse Weld Fillet Size (in)]])-1,FALSE))*CX72*IF(Rev="F",0.6,φ_t_y)*$D$14)</f>
        <v/>
      </c>
      <c r="DE72" s="369" t="e">
        <f>IF(DA72="Yes","",VLOOKUP(BR72,Reinforcements[],COLUMN(Reinforcements[[#Headers],[Top Transverse Weld Fillet Size (in)]])-1,FALSE)*CX72*MIN(IF(Rev="F",0.4,φ_shear_yield*0.6)*$D$6,IF(Rev="F",0.3,φ_shear_rupture*0.6)*$D$7))</f>
        <v>#N/A</v>
      </c>
      <c r="DF72" s="369" t="e">
        <f>IF(Rev="F",VLOOKUP(BR72,Reinforcements[],COLUMN(Reinforcements[[#Headers],[Rev. F Top Longitudinal Weld Strength]])-1,FALSE),VLOOKUP(BR72,Reinforcements[],COLUMN(Reinforcements[[#Headers],[Rev. G Top Longitudinal Weld Strength]])-1,FALSE))</f>
        <v>#N/A</v>
      </c>
      <c r="DG72" s="369" t="e">
        <f>2*VLOOKUP(BR72,Reinforcements[],COLUMN(Reinforcements[[#Headers],[Top Longitudinal Weld Fillet Size (in)]])-1,FALSE)*CZ72*MIN(IF(Rev="F",0.4,φ_shear_yield*0.6)*CG72,IF(Rev="F",0.3,φ_shear_rupture*0.6)*CH72)</f>
        <v>#N/A</v>
      </c>
      <c r="DH72" s="369" t="e">
        <f>2*VLOOKUP(BR72,Reinforcements[],COLUMN(Reinforcements[[#Headers],[Top Longitudinal Weld Fillet Size (in)]])-1,FALSE)*CZ72*MIN(IF(Rev="F",0.4,φ_shear_yield*0.6)*$D$6,IF(Rev="F",0.3,φ_shear_rupture*0.6)*$D$7)</f>
        <v>#N/A</v>
      </c>
      <c r="DI72" s="66" t="e">
        <f>IF(BS72="channel",VLOOKUP(Calculations!BR72,Reinforcements[],COLUMN(Reinforcements[[#Headers],['[Channel']Web Thickness (in)]])-1,FALSE),"")</f>
        <v>#N/A</v>
      </c>
      <c r="DJ72" s="66" t="b">
        <f t="shared" si="84"/>
        <v>0</v>
      </c>
      <c r="DK72" s="66" t="e">
        <f>IF(BS72="channel",Calculations!BU72-DI72,"")</f>
        <v>#N/A</v>
      </c>
      <c r="DL72" s="66" t="e">
        <f>IF(BS72="channel",(Calculations!BY72-Calculations!BT72*DI72)/(2*DK72))</f>
        <v>#N/A</v>
      </c>
      <c r="DM72" s="66" t="e">
        <f>IF(BS72="channel",(Calculations!BT72*(DI72^2)/2+2*DK72*DL72*(DI72+DK72/2))/Calculations!BY72,"")</f>
        <v>#N/A</v>
      </c>
    </row>
    <row r="73" spans="2:117" ht="15" x14ac:dyDescent="0.25">
      <c r="B73" s="66" t="str">
        <f t="shared" si="70"/>
        <v/>
      </c>
      <c r="C73" s="317">
        <v>14</v>
      </c>
      <c r="D73" s="380" t="str">
        <f>IF(BQ73="","",IF($D$8=0,IF(OR(VLOOKUP(BQ73,Input!$B$21:$AL$50,19+C73,FALSE)+$D$5=0,VLOOKUP(BQ73,Input!$B$21:$AL$50,19+C73,FALSE)+$D$5=180),VLOOKUP(BQ73,Input!$B$21:$AL$50,19+C73,FALSE)+$D$5+0.0001,VLOOKUP(BQ73,Input!$B$21:$AL$50,19+C73,FALSE)+$D$5),IF(VLOOKUP(BQ73,Input!$B$21:$AL$50,19+C73,FALSE)="c",VLOOKUP($C73,$C$40:$E$57,2,FALSE)+180/$D$8,VLOOKUP($C73,$C$40:$E$57,2,FALSE))))</f>
        <v/>
      </c>
      <c r="E73" s="370" t="str">
        <f t="shared" si="39"/>
        <v/>
      </c>
      <c r="F73" s="381" t="str">
        <f>IF(BR73="","",VLOOKUP(BR73,Reinforcements[],COLUMN(Reinforcements[[#Headers],[Gross Area (in2)]])-1,FALSE))</f>
        <v/>
      </c>
      <c r="G73" s="378" t="e">
        <f>(IF(VLOOKUP(BQ73,Input!$B$21:$AL$50,19+C73,FALSE)="c",$D$20/COS(RADIANS(180/$D$8)),$D$20)+CA73)*SIN(RADIANS(D73))-IF(AND(ISNUMBER(VLOOKUP(BQ73,Input!$B$21:$AL$50,19+C73,FALSE)),$D$8&lt;&gt;0),VLOOKUP(BQ73,Input!$B$21:$AL$50,19+C73,FALSE)*COS(RADIANS(D73)),0)</f>
        <v>#N/A</v>
      </c>
      <c r="H73" s="373" t="str">
        <f t="shared" si="71"/>
        <v/>
      </c>
      <c r="I73" s="373" t="e">
        <f t="shared" si="40"/>
        <v>#N/A</v>
      </c>
      <c r="J73" s="373" t="e">
        <f t="shared" si="41"/>
        <v>#N/A</v>
      </c>
      <c r="K73" s="373" t="e">
        <f t="shared" si="42"/>
        <v>#N/A</v>
      </c>
      <c r="L73" s="373" t="e">
        <f t="shared" si="72"/>
        <v>#N/A</v>
      </c>
      <c r="M73" s="374" t="str">
        <f t="shared" si="73"/>
        <v/>
      </c>
      <c r="N73" s="372" t="str">
        <f>IFERROR((IF(VLOOKUP(BQ73,Input!$B$21:$AL$50,19+C73,FALSE)="c",$D$20/COS(RADIANS(180/$D$8)),$D$20)+CA73)*SIN(RADIANS(D73))-IF(AND(ISNUMBER(VLOOKUP(BQ73,Input!$B$21:$AL$50,19+C73,FALSE)),$D$8&lt;&gt;0),VLOOKUP(BQ73,Input!$B$21:$AL$50,19+C73,FALSE)*COS(RADIANS(D73)),0)-$D$35,"")</f>
        <v/>
      </c>
      <c r="O73" s="375" t="str">
        <f t="shared" si="43"/>
        <v/>
      </c>
      <c r="P73" s="375" t="str">
        <f t="shared" si="44"/>
        <v/>
      </c>
      <c r="Q73" s="375" t="str">
        <f t="shared" si="45"/>
        <v/>
      </c>
      <c r="R73" s="376" t="str">
        <f t="shared" si="46"/>
        <v/>
      </c>
      <c r="S73" s="373" t="str">
        <f t="shared" si="74"/>
        <v/>
      </c>
      <c r="T73" s="373" t="str">
        <f t="shared" si="75"/>
        <v/>
      </c>
      <c r="U73" s="373" t="str">
        <f t="shared" si="76"/>
        <v/>
      </c>
      <c r="V73" s="374" t="str">
        <f t="shared" si="77"/>
        <v/>
      </c>
      <c r="W73" s="482" t="str">
        <f>IFERROR(IF('Macro References'!$A$9,IF(AND(Calculations!CK73,CL73="Bolted"),VLOOKUP($BR73,Reinforcements[],COLUMN(IF(Rev="F",Reinforcements[[#Headers],[Rev. F Bolt Shear Capacity   (Top)        (kips)]],IF(Rev="G",Reinforcements[[#Headers],[Rev. G Bolt Shear Capacity (Top)     (kips)]],Reinforcements[[#Headers],[Rev. H Bolt Shear Capacity (Top) (kips)]])))-1,FALSE),IF(AND(Calculations!CJ73,CL73="Bolted"),VLOOKUP($BR73,Reinforcements[],COLUMN(IF(Rev="F",Reinforcements[[#Headers],[Rev. F Bolt Shear Capacity (Bottom)   (kips)]],IF(Rev="G",Reinforcements[[#Headers],[Rev. G Bolt Shear Capacity (Bottom) (kips)]],Reinforcements[[#Headers],[Rev. H Bolt Shear Capacity (Bottom) (kips)]])))-1,FALSE),"")),""),"")</f>
        <v/>
      </c>
      <c r="X73" s="483" t="str">
        <f>IFERROR(IF('Macro References'!$A$9,IF('Macro References'!$A$10,IF(AND(Calculations!CK73,CL73="Bolted"),VLOOKUP($BR73,Reinforcements[],COLUMN(IF(Rev="F",Reinforcements[[#Headers],[Rev.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kips)]])))-1,FALSE),IF(AND(Calculations!CJ73,CL73="Bolted"),VLOOKUP($BR73,Reinforcements[],COLUMN(IF(Rev="F",Reinforcements[[#Headers],[Rev.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kips)]])))-1,FALSE),"")),IF(AND(Calculations!CK73,CL73="Bolted"),VLOOKUP($BR73,Reinforcements[],COLUMN(IF(Rev="F",Reinforcements[[#Headers],[Rev.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kips)]])))-1,FALSE),IF(AND(Calculations!CJ73,CL73="Bolted"),VLOOKUP($BR73,Reinforcements[],COLUMN(IF(Rev="F",Reinforcements[[#Headers],[Rev.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3" s="483" t="str">
        <f>IFERROR(IF('Macro References'!$A$9,IF('Macro References'!$A$10,IF(AND(Calculations!CK73,CL73="Bolted"),VLOOKUP($BR73,Reinforcements[],COLUMN(IF(Rev="F",Reinforcements[[#Headers],[Rev.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(kips)]])))-1,FALSE),IF(AND(Calculations!CJ73,CL73="Bolted"),VLOOKUP($BR73,Reinforcements[],COLUMN(IF(Rev="F",Reinforcements[[#Headers],[Rev.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(kips)]])))-1,FALSE),"")),IF(AND(Calculations!CK73,CL73="Bolted"),VLOOKUP($BR73,Reinforcements[],COLUMN(IF(Rev="F",Reinforcements[[#Headers],[Rev.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(kips)]])))-1,FALSE),IF(AND(Calculations!CJ73,CL73="Bolted"),VLOOKUP($BR73,Reinforcements[],COLUMN(IF(Rev="F",Reinforcements[[#Headers],[Rev.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3" s="483" t="str">
        <f>IFERROR(IF('Macro References'!$A$9,IF(AND(CJ73,CL73="Welded"),MIN(CQ73:CT73),IF(AND(CK73,CL73="Welded"),MIN(DB73:DE73),"")),""),"")</f>
        <v/>
      </c>
      <c r="AA73" s="484" t="str">
        <f>IFERROR(IF('Macro References'!$A$9,IF(AND(CJ73,CL73="Welded"),MIN(CU73:CW73),IF(AND(CK73,CL73="Welded"),MIN(DF73:DH73),"")),""),"")</f>
        <v/>
      </c>
      <c r="AB73" s="484" t="str">
        <f>IFERROR(IF('Macro References'!$A$9,IF(AND(CJ73,CL73="Welded",CN73="Fillet",CU73&gt;0),TRUE,IF(AND(CK73,CL73="Welded",CY73="Fillet",DF73&gt;0),TRUE,"")),""),"")</f>
        <v/>
      </c>
      <c r="AC73" s="484" t="e">
        <f>IF('Macro References'!$A$9,IF(AND(CJ73,CL73="Capacity Input"),IF(Rev="F",VLOOKUP(BR73,Reinforcements[],COLUMN(Reinforcements[[#Headers],[Rev. F Bottom Connection Capacity (kips)]])-1,FALSE),IF(Rev="G",VLOOKUP(BR73,Reinforcements[],COLUMN(Reinforcements[[#Headers],[Rev. G Bottom Connection Capacity (kips)]])-1,FALSE),VLOOKUP(BR73,Reinforcements[],COLUMN(Reinforcements[[#Headers],[Rev. H Bottom Connection Capacity (kips)]])-1,FALSE))),IF(AND(CK73,CL73="Capacity Input"),IF(Rev="F",VLOOKUP(BR73,Reinforcements[],COLUMN(Reinforcements[[#Headers],[Rev. F Top Connection Capacity (kips)]])-1,FALSE),IF(Rev="G",VLOOKUP(BR73,Reinforcements[],COLUMN(Reinforcements[[#Headers],[Rev. G Top Connection Capacity (kips)]])-1,FALSE),VLOOKUP(BR73,Reinforcements[],COLUMN(Reinforcements[[#Headers],[Rev. H Top Connection Capacity (kips)]])-1,FALSE))),"")),"")</f>
        <v>#VALUE!</v>
      </c>
      <c r="AD73" s="484" t="str">
        <f>IFERROR(IF(Rev="F",MIN(VLOOKUP(BR73,Reinforcements[],COLUMN(Reinforcements[[#Headers],[Rev. F Compression Capacity x-x (kips)]])-1,FALSE),VLOOKUP(BR73,Reinforcements[],COLUMN(Reinforcements[[#Headers],[Rev. F Compression Capacity y-y (kips)]])-1,FALSE)),IF(Rev="G",MIN(VLOOKUP(BR73,Reinforcements[],COLUMN(Reinforcements[[#Headers],[Rev. G Compression Capacity x-x (kips)]])-1,FALSE),VLOOKUP(BR73,Reinforcements[],COLUMN(Reinforcements[[#Headers],[Rev. G Compression Capacity y-y (kips)]])-1,FALSE)),MIN(VLOOKUP(BR73,Reinforcements[],COLUMN(Reinforcements[[#Headers],[Rev. H Compression Capacity x-x (kips)]])-1,FALSE),VLOOKUP(BR73,Reinforcements[],COLUMN(Reinforcements[[#Headers],[Rev. H Compression Capacity y-y (kips)]])-1,FALSE)))),"")</f>
        <v/>
      </c>
      <c r="AE73" s="485" t="str">
        <f>IFERROR(IF(Rev="F",VLOOKUP(BR73,Reinforcements[],COLUMN(Reinforcements[[#Headers],[Rev. F Shear Capacity (kips)]])-1,FALSE)/BY73,IF(Rev="G",VLOOKUP(Calculations!BR73,Reinforcements[],COLUMN(Reinforcements[[#Headers],[Rev. G Shear Capacity (kips)]])-1,FALSE),VLOOKUP(Calculations!BR73,Reinforcements[],COLUMN(Reinforcements[[#Headers],[Rev. H Shear Capacity (kips)]])-1,FALSE))),"")</f>
        <v/>
      </c>
      <c r="AF73" s="451" t="str">
        <f>IFERROR(IF(Rev="F",VLOOKUP(BR73,Reinforcements[],COLUMN(Reinforcements[[#Headers],[Rev. F Tension Yield Capacity (kips)]])-1,FALSE),IF(Rev="G",VLOOKUP(Calculations!BR73,Reinforcements[],COLUMN(Reinforcements[[#Headers],[Rev. G Tension Yield Capacity (kips)]])-1,FALSE),VLOOKUP(Calculations!BR73,Reinforcements[],COLUMN(Reinforcements[[#Headers],[Rev. H Tension Yield Capacity (kips)]])-1,FALSE))),"")</f>
        <v/>
      </c>
      <c r="AG73" s="486" t="str">
        <f>IFERROR(IF(Rev="F",VLOOKUP(BR73,Reinforcements[],COLUMN(Reinforcements[[#Headers],[Rev. F Tension Rupture Capacity (kips)]])-1,FALSE),IF(Rev="G",VLOOKUP(Calculations!BR73,Reinforcements[],COLUMN(Reinforcements[[#Headers],[Rev. G Tension Rupture Capacity (kips)]])-1,FALSE),VLOOKUP(Calculations!BR73,Reinforcements[],COLUMN(Reinforcements[[#Headers],[Rev. H Tension Rupture Capacity (kips)]])-1, FALSE))),"")</f>
        <v/>
      </c>
      <c r="AH73" s="409" t="str">
        <f t="shared" si="47"/>
        <v/>
      </c>
      <c r="AI73" s="380" t="str">
        <f t="shared" si="48"/>
        <v/>
      </c>
      <c r="AJ73" s="380" t="str">
        <f t="shared" si="49"/>
        <v/>
      </c>
      <c r="AK73" s="380" t="str">
        <f t="shared" si="85"/>
        <v/>
      </c>
      <c r="AL73" s="369" t="str">
        <f t="shared" si="78"/>
        <v/>
      </c>
      <c r="AM73" s="380" t="str">
        <f>""</f>
        <v/>
      </c>
      <c r="AN73" s="380" t="str">
        <f t="shared" si="50"/>
        <v/>
      </c>
      <c r="AO73" s="369" t="str">
        <f t="shared" si="51"/>
        <v/>
      </c>
      <c r="AP73" s="410" t="str">
        <f t="shared" si="52"/>
        <v/>
      </c>
      <c r="AQ73" s="411" t="str">
        <f t="shared" si="53"/>
        <v/>
      </c>
      <c r="AR73" s="380" t="str">
        <f>IF(BR73="","",VLOOKUP(VLOOKUP(BR73,Reinforcements[],COLUMN(Reinforcements[[#Headers],[Material]])-1,FALSE),Materials[],2,FALSE)/$D$28)</f>
        <v/>
      </c>
      <c r="AS73" s="369" t="str">
        <f t="shared" si="54"/>
        <v/>
      </c>
      <c r="AT73" s="489" t="str">
        <f t="shared" si="55"/>
        <v/>
      </c>
      <c r="AU73" s="412">
        <f t="shared" si="56"/>
        <v>0</v>
      </c>
      <c r="AV73" s="413">
        <f t="shared" si="57"/>
        <v>0</v>
      </c>
      <c r="AW73" s="413" t="e">
        <f t="shared" si="58"/>
        <v>#N/A</v>
      </c>
      <c r="AX73" s="413" t="e">
        <f t="shared" si="59"/>
        <v>#N/A</v>
      </c>
      <c r="AY73" s="413" t="str">
        <f t="shared" si="60"/>
        <v/>
      </c>
      <c r="AZ73" s="413" t="e">
        <f t="shared" si="61"/>
        <v>#VALUE!</v>
      </c>
      <c r="BA73" s="433" t="str">
        <f t="shared" si="62"/>
        <v/>
      </c>
      <c r="BB73" s="436" t="str">
        <f t="shared" si="79"/>
        <v/>
      </c>
      <c r="BC73" s="437" t="str">
        <f t="shared" si="63"/>
        <v/>
      </c>
      <c r="BD73" s="437" t="str">
        <f t="shared" si="64"/>
        <v/>
      </c>
      <c r="BE73" s="433" t="str">
        <f t="shared" si="80"/>
        <v/>
      </c>
      <c r="BF73" s="438" t="e">
        <f t="shared" si="81"/>
        <v>#DIV/0!</v>
      </c>
      <c r="BG73" s="439" t="str">
        <f t="shared" si="65"/>
        <v/>
      </c>
      <c r="BH73" s="439" t="str">
        <f t="shared" si="66"/>
        <v/>
      </c>
      <c r="BI73" s="433" t="e">
        <f t="shared" si="82"/>
        <v>#DIV/0!</v>
      </c>
      <c r="BJ73" s="438" t="str">
        <f t="shared" si="83"/>
        <v/>
      </c>
      <c r="BK73" s="413" t="e">
        <f t="shared" si="67"/>
        <v>#DIV/0!</v>
      </c>
      <c r="BL73" s="66" t="str">
        <f t="shared" si="68"/>
        <v/>
      </c>
      <c r="BP73" s="30" t="e">
        <f t="shared" si="69"/>
        <v>#DIV/0!</v>
      </c>
      <c r="BQ73" s="344" t="str">
        <f>IFERROR(VALUE(LEFT(VLOOKUP(Calculations!$D$4,Results!$G$5:$CM$105,67+$C73,FALSE),FIND(";",VLOOKUP(Calculations!$D$4,Results!$G$5:$CM$105,67+$C73,FALSE))-1)),"")</f>
        <v/>
      </c>
      <c r="BR73" s="444" t="str">
        <f>IF(BQ73="","",VLOOKUP(BQ73,Input!$B$21:$Q$50,13,FALSE))</f>
        <v/>
      </c>
      <c r="BS73" s="369" t="e">
        <f>VLOOKUP(BR73,Reinforcements[],COLUMN(Reinforcements[[#Headers],[Type]])-1,FALSE)</f>
        <v>#N/A</v>
      </c>
      <c r="BT73" s="369" t="e">
        <f>IF(BS73="solid round",VLOOKUP(BR73,Reinforcements[],COLUMN(Reinforcements[[#Headers],[Diameter (in)]])-1,FALSE),VLOOKUP(BR73,Reinforcements[],COLUMN(Reinforcements[[#Headers],[B (in)]])-1,FALSE))</f>
        <v>#N/A</v>
      </c>
      <c r="BU73" s="369" t="e">
        <f>IF(BS73="solid round",VLOOKUP(BR73,Reinforcements[],COLUMN(Reinforcements[[#Headers],[Diameter (in)]])-1,FALSE),VLOOKUP(BR73,Reinforcements[],COLUMN(Reinforcements[[#Headers],[H (in)]])-1,FALSE))</f>
        <v>#N/A</v>
      </c>
      <c r="BV73" s="413" t="e">
        <f>IFERROR((IF(VLOOKUP(BQ73,Input!$B$21:$AL$50,19+C73,FALSE)="c",$D$20/COS(RADIANS(180/$D$8)),$D$20)+BU73/2)*SIN(RADIANS(D73))-IF(ISNUMBER(VLOOKUP(BQ73,Input!$B$21:$AL$50,19+C73,FALSE)),VLOOKUP(BQ73,Input!$B$21:$AL$50,19+C73,FALSE)*COS(RADIANS(D73)),0)-$D$35,"")*0+N73*1</f>
        <v>#VALUE!</v>
      </c>
      <c r="BW73" s="369" t="e">
        <f>VLOOKUP(BR73,Reinforcements[],COLUMN(Reinforcements[[#Headers],[Effective B (in)]])-1,FALSE)</f>
        <v>#N/A</v>
      </c>
      <c r="BX73" s="369" t="e">
        <f>VLOOKUP(BR73,Reinforcements[],COLUMN(Reinforcements[[#Headers],[Effective H (in)]])-1,FALSE)</f>
        <v>#N/A</v>
      </c>
      <c r="BY73" s="369" t="e">
        <f>VLOOKUP(BR73,Reinforcements[],COLUMN(Reinforcements[[#Headers],[Gross Area (in2)]])-1,FALSE)</f>
        <v>#N/A</v>
      </c>
      <c r="BZ73" s="380" t="s">
        <v>335</v>
      </c>
      <c r="CA73" s="369" t="e">
        <f>VLOOKUP(BR73,Reinforcements[],COLUMN(Reinforcements[[#Headers],[Pole Face to Centroid (in)]])-1,FALSE)</f>
        <v>#N/A</v>
      </c>
      <c r="CB73" s="369" t="e">
        <f>VLOOKUP(BR73,Reinforcements[],COLUMN(Reinforcements[[#Headers],[Equivalent Rectangle Ix (in4)]])-1,FALSE)</f>
        <v>#N/A</v>
      </c>
      <c r="CC73" s="369" t="e">
        <f>VLOOKUP(BR73,Reinforcements[],COLUMN(Reinforcements[[#Headers],[Equivalent Rectangle Iy (in4)]])-1,FALSE)</f>
        <v>#N/A</v>
      </c>
      <c r="CD73" s="369" t="e">
        <f>VLOOKUP(BR73,Reinforcements[],COLUMN(Reinforcements[[#Headers],[Lu (in)]])-1,FALSE)</f>
        <v>#N/A</v>
      </c>
      <c r="CE73" s="380" t="s">
        <v>335</v>
      </c>
      <c r="CF73" s="380" t="s">
        <v>335</v>
      </c>
      <c r="CG73" s="369" t="e">
        <f>VLOOKUP(VLOOKUP(BR73,Reinforcements[],COLUMN(Reinforcements[[#Headers],[Material]])-1,FALSE),Materials[],2,FALSE)</f>
        <v>#N/A</v>
      </c>
      <c r="CH73" s="369" t="e">
        <f>VLOOKUP(VLOOKUP(BR73,Reinforcements[],COLUMN(Reinforcements[[#Headers],[Material]])-1,FALSE),Materials[],3,FALSE)</f>
        <v>#N/A</v>
      </c>
      <c r="CI73" s="380" t="e">
        <f>VLOOKUP(BR73,Reinforcements[],COLUMN(Reinforcements[[#Headers],[Tension Only?]])-1,FALSE)</f>
        <v>#N/A</v>
      </c>
      <c r="CJ73" s="449" t="str">
        <f>IF(BQ73="","",AND(INDEX(Results!$G$5:$G$104,MATCH(VLOOKUP($BQ73,Input!$B$21:$J$50,2,FALSE)-0.001,Results!$G$5:$G$104,-1))=$D$4))</f>
        <v/>
      </c>
      <c r="CK73" s="449" t="str">
        <f>IF(BQ73="","",AND(INDEX('Macro References'!$BB$2:$BB$101,MATCH(VLOOKUP($BQ73,Input!$B$21:$J$50,6,FALSE)-0.001,'Macro References'!$BB$2:$BB$101,1))=$D$4))</f>
        <v/>
      </c>
      <c r="CL73" s="449" t="e">
        <f>IF(CJ73,VLOOKUP(BR73,Reinforcements[],COLUMN(Reinforcements[[#Headers],[Bottom End Connection Type]])-1,FALSE),IF(CK73,VLOOKUP(BR73,Reinforcements[],COLUMN(Reinforcements[[#Headers],[Top End Connection Type]])-1,FALSE),""))</f>
        <v>#VALUE!</v>
      </c>
      <c r="CM73" s="449" t="e">
        <f>IF(ISBLANK(VLOOKUP(BR73,Reinforcements[],COLUMN(Reinforcements[[#Headers],[Bottom Transverse Weld Length]])-1,FALSE)),"",(VLOOKUP(BR73,Reinforcements[],COLUMN(Reinforcements[[#Headers],[Bottom Transverse Weld Length]])-1,FALSE)))</f>
        <v>#N/A</v>
      </c>
      <c r="CN73" s="449" t="e">
        <f>IF(ISBLANK(VLOOKUP(BR73,Reinforcements[],COLUMN(Reinforcements[[#Headers],[Bottom Transverse (Horizontal) Weld]])-1,FALSE)),"",(VLOOKUP(BR73,Reinforcements[],COLUMN(Reinforcements[[#Headers],[Bottom Transverse (Horizontal) Weld]])-1,FALSE)))</f>
        <v>#N/A</v>
      </c>
      <c r="CO73" s="449" t="e">
        <f>IF(ISBLANK(VLOOKUP(BR73,Reinforcements[],COLUMN(Reinforcements[[#Headers],[Bottom Longitudinal Weld Length]])-1,FALSE)),"",(VLOOKUP(BR73,Reinforcements[],COLUMN(Reinforcements[[#Headers],[Bottom Longitudinal Weld Length]])-1,FALSE)))</f>
        <v>#N/A</v>
      </c>
      <c r="CP73" s="449" t="str">
        <f>IFERROR(VLOOKUP(BR73,Reinforcements[],COLUMN(Reinforcements[[#Headers],[Bottom Connected to Flange/Base Plate?]])-1,FALSE),"")</f>
        <v/>
      </c>
      <c r="CQ73" s="369" t="e">
        <f>IF(Rev="F",VLOOKUP(BR73,Reinforcements[],COLUMN(Reinforcements[[#Headers],[Rev. F Bottom Transverse Weld Strength]])-1,FALSE),VLOOKUP(BR73,Reinforcements[],COLUMN(Reinforcements[[#Headers],[Rev. G Bottom Transverse Weld Strength]])-1,FALSE))</f>
        <v>#N/A</v>
      </c>
      <c r="CR73" s="369" t="e">
        <f>IF(CP73="Yes",IF(CN73="Fillet",VLOOKUP(BR73,Reinforcements[],COLUMN(Reinforcements[[#Headers],[Bottom Transverse Weld Fillet Size (in)]])-1,FALSE)*CM73*MIN(IF(Rev="F",0.4,φ_shear_yield*0.6)*CG73,IF(Rev="F",0.3,φ_shear_rupture*0.6)*CH73),VLOOKUP(BR73,Reinforcements[],COLUMN(Reinforcements[[#Headers],[Bottom Transverse Weld Groove Depth (in)]])-1,FALSE)/COS(RADIANS(VLOOKUP(BR73,Reinforcements[],COLUMN(Reinforcements[[#Headers],[Bottom Transverse Weld Groove Angle (degrees)]])-1,FALSE)))*CM73*IF(Rev="F",0.6,φ_t_y)*CG73),VLOOKUP(BR73,Reinforcements[],COLUMN(Reinforcements[[#Headers],[Bottom Transverse Weld Fillet Size (in)]])-1,FALSE)*CM73*IF(Rev="F",0.6,φ_t_y)*CG73)</f>
        <v>#N/A</v>
      </c>
      <c r="CS73" s="369" t="str">
        <f>IF(CP73&lt;&gt;"Yes","",(VLOOKUP(BR73,Reinforcements[],COLUMN(Reinforcements[[#Headers],[Bottom Transverse Weld Groove Depth (in)]])-1,FALSE)+VLOOKUP(BR73,Reinforcements[],COLUMN(Reinforcements[[#Headers],[Bottom Transverse Weld Fillet Size (in)]])-1,FALSE))*CM73*IF(Rev="F",0.6,φ_t_y)*$D$14)</f>
        <v/>
      </c>
      <c r="CT73" s="369" t="e">
        <f>IF(CP73="Yes","",VLOOKUP(BR73,Reinforcements[],COLUMN(Reinforcements[[#Headers],[Bottom Transverse Weld Fillet Size (in)]])-1,FALSE)*CM73*MIN(IF(Rev="F",0.4,φ_shear_yield*0.6)*$D$6,IF(Rev="F",0.3,φ_shear_rupture*0.6)*$D$7))</f>
        <v>#N/A</v>
      </c>
      <c r="CU73" s="369" t="e">
        <f>IF(Rev="F",VLOOKUP(BR73,Reinforcements[],COLUMN(Reinforcements[[#Headers],[Rev. F Bottom Longitudinal Weld Strength]])-1,FALSE),VLOOKUP(BR73,Reinforcements[],COLUMN(Reinforcements[[#Headers],[Rev. G Bottom Longitudinal Weld Strength]])-1,FALSE))</f>
        <v>#N/A</v>
      </c>
      <c r="CV73" s="369" t="e">
        <f>2*VLOOKUP(BR73,Reinforcements[],COLUMN(Reinforcements[[#Headers],[Bottom Longitudinal Weld Fillet Size (in)]])-1,FALSE)*CO73*MIN(IF(Rev="F",0.4,φ_shear_yield*0.6)*CG73,IF(Rev="F",0.3,φ_shear_rupture*0.6)*CH73)</f>
        <v>#N/A</v>
      </c>
      <c r="CW73" s="369" t="e">
        <f>2*VLOOKUP(BR73,Reinforcements[],COLUMN(Reinforcements[[#Headers],[Bottom Longitudinal Weld Fillet Size (in)]])-1,FALSE)*CO73*MIN(IF(Rev="F",0.4,φ_shear_yield*0.6)*$D$6,IF(Rev="F",0.3,φ_shear_rupture*0.6)*$D$7)</f>
        <v>#N/A</v>
      </c>
      <c r="CX73" s="451" t="e">
        <f>IF(ISBLANK(VLOOKUP(BR73,Reinforcements[],COLUMN(Reinforcements[[#Headers],[Top Transverse Weld Length]])-1,FALSE)),"",(VLOOKUP(BR73,Reinforcements[],COLUMN(Reinforcements[[#Headers],[Top Transverse Weld Length]])-1,FALSE)))</f>
        <v>#N/A</v>
      </c>
      <c r="CY73" s="451" t="e">
        <f>IF(ISBLANK(VLOOKUP(BR73,Reinforcements[],COLUMN(Reinforcements[[#Headers],[Top Transverse (Horizontal) Weld]])-1,FALSE)),"",(VLOOKUP(BR73,Reinforcements[],COLUMN(Reinforcements[[#Headers],[Top Transverse (Horizontal) Weld]])-1,FALSE)))</f>
        <v>#N/A</v>
      </c>
      <c r="CZ73" s="451" t="e">
        <f>IF(ISBLANK(VLOOKUP(BR73,Reinforcements[],COLUMN(Reinforcements[[#Headers],[Top Longitudinal Weld Length]])-1,FALSE)),"",(VLOOKUP(BR73,Reinforcements[],COLUMN(Reinforcements[[#Headers],[Top Longitudinal Weld Length]])-1,FALSE)))</f>
        <v>#N/A</v>
      </c>
      <c r="DA73" s="369" t="str">
        <f>IFERROR(VLOOKUP(BR73,Reinforcements[],COLUMN(Reinforcements[[#Headers],[Top Connected to Flange/Base Plate?]])-1,FALSE),"")</f>
        <v/>
      </c>
      <c r="DB73" s="369" t="e">
        <f>IF(Rev="F",VLOOKUP(BR73,Reinforcements[],COLUMN(Reinforcements[[#Headers],[Rev. F Top Transverse Weld Strength]])-1,FALSE),VLOOKUP(BR73,Reinforcements[],COLUMN(Reinforcements[[#Headers],[Rev. G Top Transverse Weld Strength]])-1,FALSE))</f>
        <v>#N/A</v>
      </c>
      <c r="DC73" s="369" t="e">
        <f>IF(DA73="Yes",IF(CY73="Fillet",VLOOKUP(BR73,Reinforcements[],COLUMN(Reinforcements[[#Headers],[Top Transverse Weld Fillet Size (in)]])-1,FALSE)*CX73*MIN(IF(Rev="F",0.4,φ_shear_yield*0.6)*CG73,IF(Rev="F",0.3,φ_shear_rupture*0.6)*CH73),VLOOKUP(BR73,Reinforcements[],COLUMN(Reinforcements[[#Headers],[Top Transverse Weld Groove Depth (in)]])-1,FALSE)/COS(RADIANS(VLOOKUP(BR73,Reinforcements[],COLUMN(Reinforcements[[#Headers],[Top Transverse Weld Groove Angle (degrees)]])-1,FALSE)))*CX73*IF(Rev="F",0.6,φ_t_y)*CG73),VLOOKUP(BR73,Reinforcements[],COLUMN(Reinforcements[[#Headers],[Top Transverse Weld Fillet Size (in)]])-1,FALSE)*CX73*IF(Rev="F",0.6,φ_t_y)*CG73)</f>
        <v>#N/A</v>
      </c>
      <c r="DD73" s="369" t="str">
        <f>IF(DA73&lt;&gt;"Yes","",(VLOOKUP(BR73,Reinforcements[],COLUMN(Reinforcements[[#Headers],[Top Transverse Weld Groove Depth (in)]])-1,FALSE)+VLOOKUP(BR73,Reinforcements[],COLUMN(Reinforcements[[#Headers],[Top Transverse Weld Fillet Size (in)]])-1,FALSE))*CX73*IF(Rev="F",0.6,φ_t_y)*$D$14)</f>
        <v/>
      </c>
      <c r="DE73" s="369" t="e">
        <f>IF(DA73="Yes","",VLOOKUP(BR73,Reinforcements[],COLUMN(Reinforcements[[#Headers],[Top Transverse Weld Fillet Size (in)]])-1,FALSE)*CX73*MIN(IF(Rev="F",0.4,φ_shear_yield*0.6)*$D$6,IF(Rev="F",0.3,φ_shear_rupture*0.6)*$D$7))</f>
        <v>#N/A</v>
      </c>
      <c r="DF73" s="369" t="e">
        <f>IF(Rev="F",VLOOKUP(BR73,Reinforcements[],COLUMN(Reinforcements[[#Headers],[Rev. F Top Longitudinal Weld Strength]])-1,FALSE),VLOOKUP(BR73,Reinforcements[],COLUMN(Reinforcements[[#Headers],[Rev. G Top Longitudinal Weld Strength]])-1,FALSE))</f>
        <v>#N/A</v>
      </c>
      <c r="DG73" s="369" t="e">
        <f>2*VLOOKUP(BR73,Reinforcements[],COLUMN(Reinforcements[[#Headers],[Top Longitudinal Weld Fillet Size (in)]])-1,FALSE)*CZ73*MIN(IF(Rev="F",0.4,φ_shear_yield*0.6)*CG73,IF(Rev="F",0.3,φ_shear_rupture*0.6)*CH73)</f>
        <v>#N/A</v>
      </c>
      <c r="DH73" s="369" t="e">
        <f>2*VLOOKUP(BR73,Reinforcements[],COLUMN(Reinforcements[[#Headers],[Top Longitudinal Weld Fillet Size (in)]])-1,FALSE)*CZ73*MIN(IF(Rev="F",0.4,φ_shear_yield*0.6)*$D$6,IF(Rev="F",0.3,φ_shear_rupture*0.6)*$D$7)</f>
        <v>#N/A</v>
      </c>
      <c r="DI73" s="66" t="e">
        <f>IF(BS73="channel",VLOOKUP(Calculations!BR73,Reinforcements[],COLUMN(Reinforcements[[#Headers],['[Channel']Web Thickness (in)]])-1,FALSE),"")</f>
        <v>#N/A</v>
      </c>
      <c r="DJ73" s="66" t="b">
        <f t="shared" si="84"/>
        <v>0</v>
      </c>
      <c r="DK73" s="66" t="e">
        <f>IF(BS73="channel",Calculations!BU73-DI73,"")</f>
        <v>#N/A</v>
      </c>
      <c r="DL73" s="66" t="e">
        <f>IF(BS73="channel",(Calculations!BY73-Calculations!BT73*DI73)/(2*DK73))</f>
        <v>#N/A</v>
      </c>
      <c r="DM73" s="66" t="e">
        <f>IF(BS73="channel",(Calculations!BT73*(DI73^2)/2+2*DK73*DL73*(DI73+DK73/2))/Calculations!BY73,"")</f>
        <v>#N/A</v>
      </c>
    </row>
    <row r="74" spans="2:117" ht="15" x14ac:dyDescent="0.25">
      <c r="B74" s="66" t="str">
        <f t="shared" si="70"/>
        <v/>
      </c>
      <c r="C74" s="317">
        <v>15</v>
      </c>
      <c r="D74" s="380" t="str">
        <f>IF(BQ74="","",IF($D$8=0,IF(OR(VLOOKUP(BQ74,Input!$B$21:$AL$50,19+C74,FALSE)+$D$5=0,VLOOKUP(BQ74,Input!$B$21:$AL$50,19+C74,FALSE)+$D$5=180),VLOOKUP(BQ74,Input!$B$21:$AL$50,19+C74,FALSE)+$D$5+0.0001,VLOOKUP(BQ74,Input!$B$21:$AL$50,19+C74,FALSE)+$D$5),IF(VLOOKUP(BQ74,Input!$B$21:$AL$50,19+C74,FALSE)="c",VLOOKUP($C74,$C$40:$E$57,2,FALSE)+180/$D$8,VLOOKUP($C74,$C$40:$E$57,2,FALSE))))</f>
        <v/>
      </c>
      <c r="E74" s="370" t="str">
        <f t="shared" si="39"/>
        <v/>
      </c>
      <c r="F74" s="381" t="str">
        <f>IF(BR74="","",VLOOKUP(BR74,Reinforcements[],COLUMN(Reinforcements[[#Headers],[Gross Area (in2)]])-1,FALSE))</f>
        <v/>
      </c>
      <c r="G74" s="378" t="e">
        <f>(IF(VLOOKUP(BQ74,Input!$B$21:$AL$50,19+C74,FALSE)="c",$D$20/COS(RADIANS(180/$D$8)),$D$20)+CA74)*SIN(RADIANS(D74))-IF(AND(ISNUMBER(VLOOKUP(BQ74,Input!$B$21:$AL$50,19+C74,FALSE)),$D$8&lt;&gt;0),VLOOKUP(BQ74,Input!$B$21:$AL$50,19+C74,FALSE)*COS(RADIANS(D74)),0)</f>
        <v>#N/A</v>
      </c>
      <c r="H74" s="373" t="str">
        <f>IF(ISERROR(F74*G74),"",F74*G74)</f>
        <v/>
      </c>
      <c r="I74" s="373" t="e">
        <f t="shared" si="40"/>
        <v>#N/A</v>
      </c>
      <c r="J74" s="373" t="e">
        <f>CB74</f>
        <v>#N/A</v>
      </c>
      <c r="K74" s="373" t="e">
        <f>CC74</f>
        <v>#N/A</v>
      </c>
      <c r="L74" s="373" t="e">
        <f>(J74+K74)/2+(J74-K74)/2*COS(2*RADIANS(D74+90))</f>
        <v>#N/A</v>
      </c>
      <c r="M74" s="374" t="str">
        <f t="shared" si="73"/>
        <v/>
      </c>
      <c r="N74" s="372" t="str">
        <f>IFERROR((IF(VLOOKUP(BQ74,Input!$B$21:$AL$50,19+C74,FALSE)="c",$D$20/COS(RADIANS(180/$D$8)),$D$20)+CA74)*SIN(RADIANS(D74))-IF(AND(ISNUMBER(VLOOKUP(BQ74,Input!$B$21:$AL$50,19+C74,FALSE)),$D$8&lt;&gt;0),VLOOKUP(BQ74,Input!$B$21:$AL$50,19+C74,FALSE)*COS(RADIANS(D74)),0)-$D$35,"")</f>
        <v/>
      </c>
      <c r="O74" s="375" t="str">
        <f t="shared" si="43"/>
        <v/>
      </c>
      <c r="P74" s="375" t="str">
        <f t="shared" si="44"/>
        <v/>
      </c>
      <c r="Q74" s="375" t="str">
        <f t="shared" si="45"/>
        <v/>
      </c>
      <c r="R74" s="376" t="str">
        <f t="shared" si="46"/>
        <v/>
      </c>
      <c r="S74" s="373" t="str">
        <f t="shared" si="74"/>
        <v/>
      </c>
      <c r="T74" s="373" t="str">
        <f t="shared" si="75"/>
        <v/>
      </c>
      <c r="U74" s="373" t="str">
        <f t="shared" si="76"/>
        <v/>
      </c>
      <c r="V74" s="374" t="str">
        <f t="shared" si="77"/>
        <v/>
      </c>
      <c r="W74" s="482" t="str">
        <f>IFERROR(IF('Macro References'!$A$9,IF(AND(Calculations!CK74,CL74="Bolted"),VLOOKUP($BR74,Reinforcements[],COLUMN(IF(Rev="F",Reinforcements[[#Headers],[Rev. F Bolt Shear Capacity   (Top)        (kips)]],IF(Rev="G",Reinforcements[[#Headers],[Rev. G Bolt Shear Capacity (Top)     (kips)]],Reinforcements[[#Headers],[Rev. H Bolt Shear Capacity (Top) (kips)]])))-1,FALSE),IF(AND(Calculations!CJ74,CL74="Bolted"),VLOOKUP($BR74,Reinforcements[],COLUMN(IF(Rev="F",Reinforcements[[#Headers],[Rev. F Bolt Shear Capacity (Bottom)   (kips)]],IF(Rev="G",Reinforcements[[#Headers],[Rev. G Bolt Shear Capacity (Bottom) (kips)]],Reinforcements[[#Headers],[Rev. H Bolt Shear Capacity (Bottom) (kips)]])))-1,FALSE),"")),""),"")</f>
        <v/>
      </c>
      <c r="X74" s="483" t="str">
        <f>IFERROR(IF('Macro References'!$A$9,IF('Macro References'!$A$10,IF(AND(Calculations!CK74,CL74="Bolted"),VLOOKUP($BR74,Reinforcements[],COLUMN(IF(Rev="F",Reinforcements[[#Headers],[Rev.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kips)]])))-1,FALSE),IF(AND(Calculations!CJ74,CL74="Bolted"),VLOOKUP($BR74,Reinforcements[],COLUMN(IF(Rev="F",Reinforcements[[#Headers],[Rev.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kips)]])))-1,FALSE),"")),IF(AND(Calculations!CK74,CL74="Bolted"),VLOOKUP($BR74,Reinforcements[],COLUMN(IF(Rev="F",Reinforcements[[#Headers],[Rev.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kips)]])))-1,FALSE),IF(AND(Calculations!CJ74,CL74="Bolted"),VLOOKUP($BR74,Reinforcements[],COLUMN(IF(Rev="F",Reinforcements[[#Headers],[Rev.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4" s="483" t="str">
        <f>IFERROR(IF('Macro References'!$A$9,IF('Macro References'!$A$10,IF(AND(Calculations!CK74,CL74="Bolted"),VLOOKUP($BR74,Reinforcements[],COLUMN(IF(Rev="F",Reinforcements[[#Headers],[Rev.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(kips)]])))-1,FALSE),IF(AND(Calculations!CJ74,CL74="Bolted"),VLOOKUP($BR74,Reinforcements[],COLUMN(IF(Rev="F",Reinforcements[[#Headers],[Rev.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(kips)]])))-1,FALSE),"")),IF(AND(Calculations!CK74,CL74="Bolted"),VLOOKUP($BR74,Reinforcements[],COLUMN(IF(Rev="F",Reinforcements[[#Headers],[Rev.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(kips)]])))-1,FALSE),IF(AND(Calculations!CJ74,CL74="Bolted"),VLOOKUP($BR74,Reinforcements[],COLUMN(IF(Rev="F",Reinforcements[[#Headers],[Rev.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4" s="483" t="str">
        <f>IFERROR(IF('Macro References'!$A$9,IF(AND(CJ74,CL74="Welded"),MIN(CQ74:CT74),IF(AND(CK74,CL74="Welded"),MIN(DB74:DE74),"")),""),"")</f>
        <v/>
      </c>
      <c r="AA74" s="484" t="str">
        <f>IFERROR(IF('Macro References'!$A$9,IF(AND(CJ74,CL74="Welded"),MIN(CU74:CW74),IF(AND(CK74,CL74="Welded"),MIN(DF74:DH74),"")),""),"")</f>
        <v/>
      </c>
      <c r="AB74" s="484" t="str">
        <f>IFERROR(IF('Macro References'!$A$9,IF(AND(CJ74,CL74="Welded",CN74="Fillet",CU74&gt;0),TRUE,IF(AND(CK74,CL74="Welded",CY74="Fillet",DF74&gt;0),TRUE,"")),""),"")</f>
        <v/>
      </c>
      <c r="AC74" s="484" t="e">
        <f>IF('Macro References'!$A$9,IF(AND(CJ74,CL74="Capacity Input"),IF(Rev="F",VLOOKUP(BR74,Reinforcements[],COLUMN(Reinforcements[[#Headers],[Rev. F Bottom Connection Capacity (kips)]])-1,FALSE),IF(Rev="G",VLOOKUP(BR74,Reinforcements[],COLUMN(Reinforcements[[#Headers],[Rev. G Bottom Connection Capacity (kips)]])-1,FALSE),VLOOKUP(BR74,Reinforcements[],COLUMN(Reinforcements[[#Headers],[Rev. H Bottom Connection Capacity (kips)]])-1,FALSE))),IF(AND(CK74,CL74="Capacity Input"),IF(Rev="F",VLOOKUP(BR74,Reinforcements[],COLUMN(Reinforcements[[#Headers],[Rev. F Top Connection Capacity (kips)]])-1,FALSE),IF(Rev="G",VLOOKUP(BR74,Reinforcements[],COLUMN(Reinforcements[[#Headers],[Rev. G Top Connection Capacity (kips)]])-1,FALSE),VLOOKUP(BR74,Reinforcements[],COLUMN(Reinforcements[[#Headers],[Rev. H Top Connection Capacity (kips)]])-1,FALSE))),"")),"")</f>
        <v>#VALUE!</v>
      </c>
      <c r="AD74" s="484" t="str">
        <f>IFERROR(IF(Rev="F",MIN(VLOOKUP(BR74,Reinforcements[],COLUMN(Reinforcements[[#Headers],[Rev. F Compression Capacity x-x (kips)]])-1,FALSE),VLOOKUP(BR74,Reinforcements[],COLUMN(Reinforcements[[#Headers],[Rev. F Compression Capacity y-y (kips)]])-1,FALSE)),IF(Rev="G",MIN(VLOOKUP(BR74,Reinforcements[],COLUMN(Reinforcements[[#Headers],[Rev. G Compression Capacity x-x (kips)]])-1,FALSE),VLOOKUP(BR74,Reinforcements[],COLUMN(Reinforcements[[#Headers],[Rev. G Compression Capacity y-y (kips)]])-1,FALSE)),MIN(VLOOKUP(BR74,Reinforcements[],COLUMN(Reinforcements[[#Headers],[Rev. H Compression Capacity x-x (kips)]])-1,FALSE),VLOOKUP(BR74,Reinforcements[],COLUMN(Reinforcements[[#Headers],[Rev. H Compression Capacity y-y (kips)]])-1,FALSE)))),"")</f>
        <v/>
      </c>
      <c r="AE74" s="485" t="str">
        <f>IFERROR(IF(Rev="F",VLOOKUP(BR74,Reinforcements[],COLUMN(Reinforcements[[#Headers],[Rev. F Shear Capacity (kips)]])-1,FALSE)/BY74,IF(Rev="G",VLOOKUP(Calculations!BR74,Reinforcements[],COLUMN(Reinforcements[[#Headers],[Rev. G Shear Capacity (kips)]])-1,FALSE),VLOOKUP(Calculations!BR74,Reinforcements[],COLUMN(Reinforcements[[#Headers],[Rev. H Shear Capacity (kips)]])-1,FALSE))),"")</f>
        <v/>
      </c>
      <c r="AF74" s="451" t="str">
        <f>IFERROR(IF(Rev="F",VLOOKUP(BR74,Reinforcements[],COLUMN(Reinforcements[[#Headers],[Rev. F Tension Yield Capacity (kips)]])-1,FALSE),IF(Rev="G",VLOOKUP(Calculations!BR74,Reinforcements[],COLUMN(Reinforcements[[#Headers],[Rev. G Tension Yield Capacity (kips)]])-1,FALSE),VLOOKUP(Calculations!BR74,Reinforcements[],COLUMN(Reinforcements[[#Headers],[Rev. H Tension Yield Capacity (kips)]])-1,FALSE))),"")</f>
        <v/>
      </c>
      <c r="AG74" s="486" t="str">
        <f>IFERROR(IF(Rev="F",VLOOKUP(BR74,Reinforcements[],COLUMN(Reinforcements[[#Headers],[Rev. F Tension Rupture Capacity (kips)]])-1,FALSE),IF(Rev="G",VLOOKUP(Calculations!BR74,Reinforcements[],COLUMN(Reinforcements[[#Headers],[Rev. G Tension Rupture Capacity (kips)]])-1,FALSE),VLOOKUP(Calculations!BR74,Reinforcements[],COLUMN(Reinforcements[[#Headers],[Rev. H Tension Rupture Capacity (kips)]])-1, FALSE))),"")</f>
        <v/>
      </c>
      <c r="AH74" s="409" t="str">
        <f t="shared" si="47"/>
        <v/>
      </c>
      <c r="AI74" s="380" t="str">
        <f t="shared" si="48"/>
        <v/>
      </c>
      <c r="AJ74" s="380" t="str">
        <f t="shared" si="49"/>
        <v/>
      </c>
      <c r="AK74" s="380" t="str">
        <f t="shared" si="85"/>
        <v/>
      </c>
      <c r="AL74" s="369" t="str">
        <f t="shared" si="78"/>
        <v/>
      </c>
      <c r="AM74" s="380" t="str">
        <f>""</f>
        <v/>
      </c>
      <c r="AN74" s="380" t="str">
        <f t="shared" si="50"/>
        <v/>
      </c>
      <c r="AO74" s="369" t="str">
        <f t="shared" si="51"/>
        <v/>
      </c>
      <c r="AP74" s="410" t="str">
        <f t="shared" si="52"/>
        <v/>
      </c>
      <c r="AQ74" s="411" t="str">
        <f t="shared" si="53"/>
        <v/>
      </c>
      <c r="AR74" s="380" t="str">
        <f>IF(BR74="","",VLOOKUP(VLOOKUP(BR74,Reinforcements[],COLUMN(Reinforcements[[#Headers],[Material]])-1,FALSE),Materials[],2,FALSE)/$D$28)</f>
        <v/>
      </c>
      <c r="AS74" s="369" t="str">
        <f t="shared" si="54"/>
        <v/>
      </c>
      <c r="AT74" s="489" t="str">
        <f t="shared" si="55"/>
        <v/>
      </c>
      <c r="AU74" s="412">
        <f t="shared" si="56"/>
        <v>0</v>
      </c>
      <c r="AV74" s="413">
        <f t="shared" si="57"/>
        <v>0</v>
      </c>
      <c r="AW74" s="413" t="e">
        <f t="shared" si="58"/>
        <v>#N/A</v>
      </c>
      <c r="AX74" s="413" t="e">
        <f t="shared" si="59"/>
        <v>#N/A</v>
      </c>
      <c r="AY74" s="413" t="str">
        <f t="shared" si="60"/>
        <v/>
      </c>
      <c r="AZ74" s="413" t="e">
        <f t="shared" si="61"/>
        <v>#VALUE!</v>
      </c>
      <c r="BA74" s="433" t="str">
        <f t="shared" si="62"/>
        <v/>
      </c>
      <c r="BB74" s="436" t="str">
        <f t="shared" si="79"/>
        <v/>
      </c>
      <c r="BC74" s="437" t="str">
        <f t="shared" si="63"/>
        <v/>
      </c>
      <c r="BD74" s="437" t="str">
        <f t="shared" si="64"/>
        <v/>
      </c>
      <c r="BE74" s="433" t="str">
        <f t="shared" si="80"/>
        <v/>
      </c>
      <c r="BF74" s="438" t="e">
        <f t="shared" si="81"/>
        <v>#DIV/0!</v>
      </c>
      <c r="BG74" s="439" t="str">
        <f t="shared" si="65"/>
        <v/>
      </c>
      <c r="BH74" s="439" t="str">
        <f t="shared" si="66"/>
        <v/>
      </c>
      <c r="BI74" s="433" t="e">
        <f t="shared" si="82"/>
        <v>#DIV/0!</v>
      </c>
      <c r="BJ74" s="438" t="str">
        <f t="shared" si="83"/>
        <v/>
      </c>
      <c r="BK74" s="413" t="e">
        <f t="shared" si="67"/>
        <v>#DIV/0!</v>
      </c>
      <c r="BL74" s="66" t="str">
        <f t="shared" si="68"/>
        <v/>
      </c>
      <c r="BP74" s="30" t="e">
        <f t="shared" si="69"/>
        <v>#DIV/0!</v>
      </c>
      <c r="BQ74" s="344" t="str">
        <f>IFERROR(VALUE(LEFT(VLOOKUP(Calculations!$D$4,Results!$G$5:$CM$105,67+$C74,FALSE),FIND(";",VLOOKUP(Calculations!$D$4,Results!$G$5:$CM$105,67+$C74,FALSE))-1)),"")</f>
        <v/>
      </c>
      <c r="BR74" s="444" t="str">
        <f>IF(BQ74="","",VLOOKUP(BQ74,Input!$B$21:$Q$50,13,FALSE))</f>
        <v/>
      </c>
      <c r="BS74" s="369" t="e">
        <f>VLOOKUP(BR74,Reinforcements[],COLUMN(Reinforcements[[#Headers],[Type]])-1,FALSE)</f>
        <v>#N/A</v>
      </c>
      <c r="BT74" s="369" t="e">
        <f>IF(BS74="solid round",VLOOKUP(BR74,Reinforcements[],COLUMN(Reinforcements[[#Headers],[Diameter (in)]])-1,FALSE),VLOOKUP(BR74,Reinforcements[],COLUMN(Reinforcements[[#Headers],[B (in)]])-1,FALSE))</f>
        <v>#N/A</v>
      </c>
      <c r="BU74" s="369" t="e">
        <f>IF(BS74="solid round",VLOOKUP(BR74,Reinforcements[],COLUMN(Reinforcements[[#Headers],[Diameter (in)]])-1,FALSE),VLOOKUP(BR74,Reinforcements[],COLUMN(Reinforcements[[#Headers],[H (in)]])-1,FALSE))</f>
        <v>#N/A</v>
      </c>
      <c r="BV74" s="413" t="e">
        <f>IFERROR((IF(VLOOKUP(BQ74,Input!$B$21:$AL$50,19+C74,FALSE)="c",$D$20/COS(RADIANS(180/$D$8)),$D$20)+BU74/2)*SIN(RADIANS(D74))-IF(ISNUMBER(VLOOKUP(BQ74,Input!$B$21:$AL$50,19+C74,FALSE)),VLOOKUP(BQ74,Input!$B$21:$AL$50,19+C74,FALSE)*COS(RADIANS(D74)),0)-$D$35,"")*0+N74*1</f>
        <v>#VALUE!</v>
      </c>
      <c r="BW74" s="369" t="e">
        <f>VLOOKUP(BR74,Reinforcements[],COLUMN(Reinforcements[[#Headers],[Effective B (in)]])-1,FALSE)</f>
        <v>#N/A</v>
      </c>
      <c r="BX74" s="369" t="e">
        <f>VLOOKUP(BR74,Reinforcements[],COLUMN(Reinforcements[[#Headers],[Effective H (in)]])-1,FALSE)</f>
        <v>#N/A</v>
      </c>
      <c r="BY74" s="369" t="e">
        <f>VLOOKUP(BR74,Reinforcements[],COLUMN(Reinforcements[[#Headers],[Gross Area (in2)]])-1,FALSE)</f>
        <v>#N/A</v>
      </c>
      <c r="BZ74" s="380" t="s">
        <v>335</v>
      </c>
      <c r="CA74" s="369" t="e">
        <f>VLOOKUP(BR74,Reinforcements[],COLUMN(Reinforcements[[#Headers],[Pole Face to Centroid (in)]])-1,FALSE)</f>
        <v>#N/A</v>
      </c>
      <c r="CB74" s="369" t="e">
        <f>VLOOKUP(BR74,Reinforcements[],COLUMN(Reinforcements[[#Headers],[Equivalent Rectangle Ix (in4)]])-1,FALSE)</f>
        <v>#N/A</v>
      </c>
      <c r="CC74" s="369" t="e">
        <f>VLOOKUP(BR74,Reinforcements[],COLUMN(Reinforcements[[#Headers],[Equivalent Rectangle Iy (in4)]])-1,FALSE)</f>
        <v>#N/A</v>
      </c>
      <c r="CD74" s="369" t="e">
        <f>VLOOKUP(BR74,Reinforcements[],COLUMN(Reinforcements[[#Headers],[Lu (in)]])-1,FALSE)</f>
        <v>#N/A</v>
      </c>
      <c r="CE74" s="380" t="s">
        <v>335</v>
      </c>
      <c r="CF74" s="380" t="s">
        <v>335</v>
      </c>
      <c r="CG74" s="369" t="e">
        <f>VLOOKUP(VLOOKUP(BR74,Reinforcements[],COLUMN(Reinforcements[[#Headers],[Material]])-1,FALSE),Materials[],2,FALSE)</f>
        <v>#N/A</v>
      </c>
      <c r="CH74" s="369" t="e">
        <f>VLOOKUP(VLOOKUP(BR74,Reinforcements[],COLUMN(Reinforcements[[#Headers],[Material]])-1,FALSE),Materials[],3,FALSE)</f>
        <v>#N/A</v>
      </c>
      <c r="CI74" s="380" t="e">
        <f>VLOOKUP(BR74,Reinforcements[],COLUMN(Reinforcements[[#Headers],[Tension Only?]])-1,FALSE)</f>
        <v>#N/A</v>
      </c>
      <c r="CJ74" s="449" t="str">
        <f>IF(BQ74="","",AND(INDEX(Results!$G$5:$G$104,MATCH(VLOOKUP($BQ74,Input!$B$21:$J$50,2,FALSE)-0.001,Results!$G$5:$G$104,-1))=$D$4))</f>
        <v/>
      </c>
      <c r="CK74" s="449" t="str">
        <f>IF(BQ74="","",AND(INDEX('Macro References'!$BB$2:$BB$101,MATCH(VLOOKUP($BQ74,Input!$B$21:$J$50,6,FALSE)-0.001,'Macro References'!$BB$2:$BB$101,1))=$D$4))</f>
        <v/>
      </c>
      <c r="CL74" s="449" t="e">
        <f>IF(CJ74,VLOOKUP(BR74,Reinforcements[],COLUMN(Reinforcements[[#Headers],[Bottom End Connection Type]])-1,FALSE),IF(CK74,VLOOKUP(BR74,Reinforcements[],COLUMN(Reinforcements[[#Headers],[Top End Connection Type]])-1,FALSE),""))</f>
        <v>#VALUE!</v>
      </c>
      <c r="CM74" s="449" t="e">
        <f>IF(ISBLANK(VLOOKUP(BR74,Reinforcements[],COLUMN(Reinforcements[[#Headers],[Bottom Transverse Weld Length]])-1,FALSE)),"",(VLOOKUP(BR74,Reinforcements[],COLUMN(Reinforcements[[#Headers],[Bottom Transverse Weld Length]])-1,FALSE)))</f>
        <v>#N/A</v>
      </c>
      <c r="CN74" s="449" t="e">
        <f>IF(ISBLANK(VLOOKUP(BR74,Reinforcements[],COLUMN(Reinforcements[[#Headers],[Bottom Transverse (Horizontal) Weld]])-1,FALSE)),"",(VLOOKUP(BR74,Reinforcements[],COLUMN(Reinforcements[[#Headers],[Bottom Transverse (Horizontal) Weld]])-1,FALSE)))</f>
        <v>#N/A</v>
      </c>
      <c r="CO74" s="449" t="e">
        <f>IF(ISBLANK(VLOOKUP(BR74,Reinforcements[],COLUMN(Reinforcements[[#Headers],[Bottom Longitudinal Weld Length]])-1,FALSE)),"",(VLOOKUP(BR74,Reinforcements[],COLUMN(Reinforcements[[#Headers],[Bottom Longitudinal Weld Length]])-1,FALSE)))</f>
        <v>#N/A</v>
      </c>
      <c r="CP74" s="449" t="str">
        <f>IFERROR(VLOOKUP(BR74,Reinforcements[],COLUMN(Reinforcements[[#Headers],[Bottom Connected to Flange/Base Plate?]])-1,FALSE),"")</f>
        <v/>
      </c>
      <c r="CQ74" s="369" t="e">
        <f>IF(Rev="F",VLOOKUP(BR74,Reinforcements[],COLUMN(Reinforcements[[#Headers],[Rev. F Bottom Transverse Weld Strength]])-1,FALSE),VLOOKUP(BR74,Reinforcements[],COLUMN(Reinforcements[[#Headers],[Rev. G Bottom Transverse Weld Strength]])-1,FALSE))</f>
        <v>#N/A</v>
      </c>
      <c r="CR74" s="369" t="e">
        <f>IF(CP74="Yes",IF(CN74="Fillet",VLOOKUP(BR74,Reinforcements[],COLUMN(Reinforcements[[#Headers],[Bottom Transverse Weld Fillet Size (in)]])-1,FALSE)*CM74*MIN(IF(Rev="F",0.4,φ_shear_yield*0.6)*CG74,IF(Rev="F",0.3,φ_shear_rupture*0.6)*CH74),VLOOKUP(BR74,Reinforcements[],COLUMN(Reinforcements[[#Headers],[Bottom Transverse Weld Groove Depth (in)]])-1,FALSE)/COS(RADIANS(VLOOKUP(BR74,Reinforcements[],COLUMN(Reinforcements[[#Headers],[Bottom Transverse Weld Groove Angle (degrees)]])-1,FALSE)))*CM74*IF(Rev="F",0.6,φ_t_y)*CG74),VLOOKUP(BR74,Reinforcements[],COLUMN(Reinforcements[[#Headers],[Bottom Transverse Weld Fillet Size (in)]])-1,FALSE)*CM74*IF(Rev="F",0.6,φ_t_y)*CG74)</f>
        <v>#N/A</v>
      </c>
      <c r="CS74" s="369" t="str">
        <f>IF(CP74&lt;&gt;"Yes","",(VLOOKUP(BR74,Reinforcements[],COLUMN(Reinforcements[[#Headers],[Bottom Transverse Weld Groove Depth (in)]])-1,FALSE)+VLOOKUP(BR74,Reinforcements[],COLUMN(Reinforcements[[#Headers],[Bottom Transverse Weld Fillet Size (in)]])-1,FALSE))*CM74*IF(Rev="F",0.6,φ_t_y)*$D$14)</f>
        <v/>
      </c>
      <c r="CT74" s="369" t="e">
        <f>IF(CP74="Yes","",VLOOKUP(BR74,Reinforcements[],COLUMN(Reinforcements[[#Headers],[Bottom Transverse Weld Fillet Size (in)]])-1,FALSE)*CM74*MIN(IF(Rev="F",0.4,φ_shear_yield*0.6)*$D$6,IF(Rev="F",0.3,φ_shear_rupture*0.6)*$D$7))</f>
        <v>#N/A</v>
      </c>
      <c r="CU74" s="369" t="e">
        <f>IF(Rev="F",VLOOKUP(BR74,Reinforcements[],COLUMN(Reinforcements[[#Headers],[Rev. F Bottom Longitudinal Weld Strength]])-1,FALSE),VLOOKUP(BR74,Reinforcements[],COLUMN(Reinforcements[[#Headers],[Rev. G Bottom Longitudinal Weld Strength]])-1,FALSE))</f>
        <v>#N/A</v>
      </c>
      <c r="CV74" s="369" t="e">
        <f>2*VLOOKUP(BR74,Reinforcements[],COLUMN(Reinforcements[[#Headers],[Bottom Longitudinal Weld Fillet Size (in)]])-1,FALSE)*CO74*MIN(IF(Rev="F",0.4,φ_shear_yield*0.6)*CG74,IF(Rev="F",0.3,φ_shear_rupture*0.6)*CH74)</f>
        <v>#N/A</v>
      </c>
      <c r="CW74" s="369" t="e">
        <f>2*VLOOKUP(BR74,Reinforcements[],COLUMN(Reinforcements[[#Headers],[Bottom Longitudinal Weld Fillet Size (in)]])-1,FALSE)*CO74*MIN(IF(Rev="F",0.4,φ_shear_yield*0.6)*$D$6,IF(Rev="F",0.3,φ_shear_rupture*0.6)*$D$7)</f>
        <v>#N/A</v>
      </c>
      <c r="CX74" s="451" t="e">
        <f>IF(ISBLANK(VLOOKUP(BR74,Reinforcements[],COLUMN(Reinforcements[[#Headers],[Top Transverse Weld Length]])-1,FALSE)),"",(VLOOKUP(BR74,Reinforcements[],COLUMN(Reinforcements[[#Headers],[Top Transverse Weld Length]])-1,FALSE)))</f>
        <v>#N/A</v>
      </c>
      <c r="CY74" s="451" t="e">
        <f>IF(ISBLANK(VLOOKUP(BR74,Reinforcements[],COLUMN(Reinforcements[[#Headers],[Top Transverse (Horizontal) Weld]])-1,FALSE)),"",(VLOOKUP(BR74,Reinforcements[],COLUMN(Reinforcements[[#Headers],[Top Transverse (Horizontal) Weld]])-1,FALSE)))</f>
        <v>#N/A</v>
      </c>
      <c r="CZ74" s="451" t="e">
        <f>IF(ISBLANK(VLOOKUP(BR74,Reinforcements[],COLUMN(Reinforcements[[#Headers],[Top Longitudinal Weld Length]])-1,FALSE)),"",(VLOOKUP(BR74,Reinforcements[],COLUMN(Reinforcements[[#Headers],[Top Longitudinal Weld Length]])-1,FALSE)))</f>
        <v>#N/A</v>
      </c>
      <c r="DA74" s="369" t="str">
        <f>IFERROR(VLOOKUP(BR74,Reinforcements[],COLUMN(Reinforcements[[#Headers],[Top Connected to Flange/Base Plate?]])-1,FALSE),"")</f>
        <v/>
      </c>
      <c r="DB74" s="369" t="e">
        <f>IF(Rev="F",VLOOKUP(BR74,Reinforcements[],COLUMN(Reinforcements[[#Headers],[Rev. F Top Transverse Weld Strength]])-1,FALSE),VLOOKUP(BR74,Reinforcements[],COLUMN(Reinforcements[[#Headers],[Rev. G Top Transverse Weld Strength]])-1,FALSE))</f>
        <v>#N/A</v>
      </c>
      <c r="DC74" s="369" t="e">
        <f>IF(DA74="Yes",IF(CY74="Fillet",VLOOKUP(BR74,Reinforcements[],COLUMN(Reinforcements[[#Headers],[Top Transverse Weld Fillet Size (in)]])-1,FALSE)*CX74*MIN(IF(Rev="F",0.4,φ_shear_yield*0.6)*CG74,IF(Rev="F",0.3,φ_shear_rupture*0.6)*CH74),VLOOKUP(BR74,Reinforcements[],COLUMN(Reinforcements[[#Headers],[Top Transverse Weld Groove Depth (in)]])-1,FALSE)/COS(RADIANS(VLOOKUP(BR74,Reinforcements[],COLUMN(Reinforcements[[#Headers],[Top Transverse Weld Groove Angle (degrees)]])-1,FALSE)))*CX74*IF(Rev="F",0.6,φ_t_y)*CG74),VLOOKUP(BR74,Reinforcements[],COLUMN(Reinforcements[[#Headers],[Top Transverse Weld Fillet Size (in)]])-1,FALSE)*CX74*IF(Rev="F",0.6,φ_t_y)*CG74)</f>
        <v>#N/A</v>
      </c>
      <c r="DD74" s="369" t="str">
        <f>IF(DA74&lt;&gt;"Yes","",(VLOOKUP(BR74,Reinforcements[],COLUMN(Reinforcements[[#Headers],[Top Transverse Weld Groove Depth (in)]])-1,FALSE)+VLOOKUP(BR74,Reinforcements[],COLUMN(Reinforcements[[#Headers],[Top Transverse Weld Fillet Size (in)]])-1,FALSE))*CX74*IF(Rev="F",0.6,φ_t_y)*$D$14)</f>
        <v/>
      </c>
      <c r="DE74" s="369" t="e">
        <f>IF(DA74="Yes","",VLOOKUP(BR74,Reinforcements[],COLUMN(Reinforcements[[#Headers],[Top Transverse Weld Fillet Size (in)]])-1,FALSE)*CX74*MIN(IF(Rev="F",0.4,φ_shear_yield*0.6)*$D$6,IF(Rev="F",0.3,φ_shear_rupture*0.6)*$D$7))</f>
        <v>#N/A</v>
      </c>
      <c r="DF74" s="369" t="e">
        <f>IF(Rev="F",VLOOKUP(BR74,Reinforcements[],COLUMN(Reinforcements[[#Headers],[Rev. F Top Longitudinal Weld Strength]])-1,FALSE),VLOOKUP(BR74,Reinforcements[],COLUMN(Reinforcements[[#Headers],[Rev. G Top Longitudinal Weld Strength]])-1,FALSE))</f>
        <v>#N/A</v>
      </c>
      <c r="DG74" s="369" t="e">
        <f>2*VLOOKUP(BR74,Reinforcements[],COLUMN(Reinforcements[[#Headers],[Top Longitudinal Weld Fillet Size (in)]])-1,FALSE)*CZ74*MIN(IF(Rev="F",0.4,φ_shear_yield*0.6)*CG74,IF(Rev="F",0.3,φ_shear_rupture*0.6)*CH74)</f>
        <v>#N/A</v>
      </c>
      <c r="DH74" s="369" t="e">
        <f>2*VLOOKUP(BR74,Reinforcements[],COLUMN(Reinforcements[[#Headers],[Top Longitudinal Weld Fillet Size (in)]])-1,FALSE)*CZ74*MIN(IF(Rev="F",0.4,φ_shear_yield*0.6)*$D$6,IF(Rev="F",0.3,φ_shear_rupture*0.6)*$D$7)</f>
        <v>#N/A</v>
      </c>
      <c r="DI74" s="66" t="e">
        <f>IF(BS74="channel",VLOOKUP(Calculations!BR74,Reinforcements[],COLUMN(Reinforcements[[#Headers],['[Channel']Web Thickness (in)]])-1,FALSE),"")</f>
        <v>#N/A</v>
      </c>
      <c r="DJ74" s="66" t="b">
        <f t="shared" si="84"/>
        <v>0</v>
      </c>
      <c r="DK74" s="66" t="e">
        <f>IF(BS74="channel",Calculations!BU74-DI74,"")</f>
        <v>#N/A</v>
      </c>
      <c r="DL74" s="66" t="e">
        <f>IF(BS74="channel",(Calculations!BY74-Calculations!BT74*DI74)/(2*DK74))</f>
        <v>#N/A</v>
      </c>
      <c r="DM74" s="66" t="e">
        <f>IF(BS74="channel",(Calculations!BT74*(DI74^2)/2+2*DK74*DL74*(DI74+DK74/2))/Calculations!BY74,"")</f>
        <v>#N/A</v>
      </c>
    </row>
    <row r="75" spans="2:117" ht="15" x14ac:dyDescent="0.25">
      <c r="B75" s="66" t="str">
        <f t="shared" si="70"/>
        <v/>
      </c>
      <c r="C75" s="317">
        <v>16</v>
      </c>
      <c r="D75" s="380" t="str">
        <f>IF(BQ75="","",IF($D$8=0,IF(OR(VLOOKUP(BQ75,Input!$B$21:$AL$50,19+C75,FALSE)+$D$5=0,VLOOKUP(BQ75,Input!$B$21:$AL$50,19+C75,FALSE)+$D$5=180),VLOOKUP(BQ75,Input!$B$21:$AL$50,19+C75,FALSE)+$D$5+0.0001,VLOOKUP(BQ75,Input!$B$21:$AL$50,19+C75,FALSE)+$D$5),IF(VLOOKUP(BQ75,Input!$B$21:$AL$50,19+C75,FALSE)="c",VLOOKUP($C75,$C$40:$E$57,2,FALSE)+180/$D$8,VLOOKUP($C75,$C$40:$E$57,2,FALSE))))</f>
        <v/>
      </c>
      <c r="E75" s="370" t="str">
        <f t="shared" si="39"/>
        <v/>
      </c>
      <c r="F75" s="381" t="str">
        <f>IF(BR75="","",VLOOKUP(BR75,Reinforcements[],COLUMN(Reinforcements[[#Headers],[Gross Area (in2)]])-1,FALSE))</f>
        <v/>
      </c>
      <c r="G75" s="378" t="e">
        <f>(IF(VLOOKUP(BQ75,Input!$B$21:$AL$50,19+C75,FALSE)="c",$D$20/COS(RADIANS(180/$D$8)),$D$20)+CA75)*SIN(RADIANS(D75))-IF(AND(ISNUMBER(VLOOKUP(BQ75,Input!$B$21:$AL$50,19+C75,FALSE)),$D$8&lt;&gt;0),VLOOKUP(BQ75,Input!$B$21:$AL$50,19+C75,FALSE)*COS(RADIANS(D75)),0)</f>
        <v>#N/A</v>
      </c>
      <c r="H75" s="373" t="str">
        <f t="shared" si="71"/>
        <v/>
      </c>
      <c r="I75" s="373" t="e">
        <f t="shared" si="40"/>
        <v>#N/A</v>
      </c>
      <c r="J75" s="373" t="e">
        <f t="shared" si="41"/>
        <v>#N/A</v>
      </c>
      <c r="K75" s="373" t="e">
        <f t="shared" si="42"/>
        <v>#N/A</v>
      </c>
      <c r="L75" s="373" t="e">
        <f t="shared" si="72"/>
        <v>#N/A</v>
      </c>
      <c r="M75" s="374" t="str">
        <f t="shared" si="73"/>
        <v/>
      </c>
      <c r="N75" s="372" t="str">
        <f>IFERROR((IF(VLOOKUP(BQ75,Input!$B$21:$AL$50,19+C75,FALSE)="c",$D$20/COS(RADIANS(180/$D$8)),$D$20)+CA75)*SIN(RADIANS(D75))-IF(AND(ISNUMBER(VLOOKUP(BQ75,Input!$B$21:$AL$50,19+C75,FALSE)),$D$8&lt;&gt;0),VLOOKUP(BQ75,Input!$B$21:$AL$50,19+C75,FALSE)*COS(RADIANS(D75)),0)-$D$35,"")</f>
        <v/>
      </c>
      <c r="O75" s="375" t="str">
        <f t="shared" si="43"/>
        <v/>
      </c>
      <c r="P75" s="375" t="str">
        <f t="shared" si="44"/>
        <v/>
      </c>
      <c r="Q75" s="375" t="str">
        <f t="shared" si="45"/>
        <v/>
      </c>
      <c r="R75" s="376" t="str">
        <f t="shared" si="46"/>
        <v/>
      </c>
      <c r="S75" s="373" t="str">
        <f t="shared" si="74"/>
        <v/>
      </c>
      <c r="T75" s="373" t="str">
        <f t="shared" si="75"/>
        <v/>
      </c>
      <c r="U75" s="373" t="str">
        <f t="shared" si="76"/>
        <v/>
      </c>
      <c r="V75" s="374" t="str">
        <f t="shared" si="77"/>
        <v/>
      </c>
      <c r="W75" s="482" t="str">
        <f>IFERROR(IF('Macro References'!$A$9,IF(AND(Calculations!CK75,CL75="Bolted"),VLOOKUP($BR75,Reinforcements[],COLUMN(IF(Rev="F",Reinforcements[[#Headers],[Rev. F Bolt Shear Capacity   (Top)        (kips)]],IF(Rev="G",Reinforcements[[#Headers],[Rev. G Bolt Shear Capacity (Top)     (kips)]],Reinforcements[[#Headers],[Rev. H Bolt Shear Capacity (Top) (kips)]])))-1,FALSE),IF(AND(Calculations!CJ75,CL75="Bolted"),VLOOKUP($BR75,Reinforcements[],COLUMN(IF(Rev="F",Reinforcements[[#Headers],[Rev. F Bolt Shear Capacity (Bottom)   (kips)]],IF(Rev="G",Reinforcements[[#Headers],[Rev. G Bolt Shear Capacity (Bottom) (kips)]],Reinforcements[[#Headers],[Rev. H Bolt Shear Capacity (Bottom) (kips)]])))-1,FALSE),"")),""),"")</f>
        <v/>
      </c>
      <c r="X75" s="483" t="str">
        <f>IFERROR(IF('Macro References'!$A$9,IF('Macro References'!$A$10,IF(AND(Calculations!CK75,CL75="Bolted"),VLOOKUP($BR75,Reinforcements[],COLUMN(IF(Rev="F",Reinforcements[[#Headers],[Rev.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kips)]])))-1,FALSE),IF(AND(Calculations!CJ75,CL75="Bolted"),VLOOKUP($BR75,Reinforcements[],COLUMN(IF(Rev="F",Reinforcements[[#Headers],[Rev.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kips)]])))-1,FALSE),"")),IF(AND(Calculations!CK75,CL75="Bolted"),VLOOKUP($BR75,Reinforcements[],COLUMN(IF(Rev="F",Reinforcements[[#Headers],[Rev.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kips)]])))-1,FALSE),IF(AND(Calculations!CJ75,CL75="Bolted"),VLOOKUP($BR75,Reinforcements[],COLUMN(IF(Rev="F",Reinforcements[[#Headers],[Rev.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5" s="483" t="str">
        <f>IFERROR(IF('Macro References'!$A$9,IF('Macro References'!$A$10,IF(AND(Calculations!CK75,CL75="Bolted"),VLOOKUP($BR75,Reinforcements[],COLUMN(IF(Rev="F",Reinforcements[[#Headers],[Rev.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(kips)]])))-1,FALSE),IF(AND(Calculations!CJ75,CL75="Bolted"),VLOOKUP($BR75,Reinforcements[],COLUMN(IF(Rev="F",Reinforcements[[#Headers],[Rev.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(kips)]])))-1,FALSE),"")),IF(AND(Calculations!CK75,CL75="Bolted"),VLOOKUP($BR75,Reinforcements[],COLUMN(IF(Rev="F",Reinforcements[[#Headers],[Rev.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(kips)]])))-1,FALSE),IF(AND(Calculations!CJ75,CL75="Bolted"),VLOOKUP($BR75,Reinforcements[],COLUMN(IF(Rev="F",Reinforcements[[#Headers],[Rev.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5" s="483" t="str">
        <f>IFERROR(IF('Macro References'!$A$9,IF(AND(CJ75,CL75="Welded"),MIN(CQ75:CT75),IF(AND(CK75,CL75="Welded"),MIN(DB75:DE75),"")),""),"")</f>
        <v/>
      </c>
      <c r="AA75" s="484" t="str">
        <f>IFERROR(IF('Macro References'!$A$9,IF(AND(CJ75,CL75="Welded"),MIN(CU75:CW75),IF(AND(CK75,CL75="Welded"),MIN(DF75:DH75),"")),""),"")</f>
        <v/>
      </c>
      <c r="AB75" s="484" t="str">
        <f>IFERROR(IF('Macro References'!$A$9,IF(AND(CJ75,CL75="Welded",CN75="Fillet",CU75&gt;0),TRUE,IF(AND(CK75,CL75="Welded",CY75="Fillet",DF75&gt;0),TRUE,"")),""),"")</f>
        <v/>
      </c>
      <c r="AC75" s="484" t="e">
        <f>IF('Macro References'!$A$9,IF(AND(CJ75,CL75="Capacity Input"),IF(Rev="F",VLOOKUP(BR75,Reinforcements[],COLUMN(Reinforcements[[#Headers],[Rev. F Bottom Connection Capacity (kips)]])-1,FALSE),IF(Rev="G",VLOOKUP(BR75,Reinforcements[],COLUMN(Reinforcements[[#Headers],[Rev. G Bottom Connection Capacity (kips)]])-1,FALSE),VLOOKUP(BR75,Reinforcements[],COLUMN(Reinforcements[[#Headers],[Rev. H Bottom Connection Capacity (kips)]])-1,FALSE))),IF(AND(CK75,CL75="Capacity Input"),IF(Rev="F",VLOOKUP(BR75,Reinforcements[],COLUMN(Reinforcements[[#Headers],[Rev. F Top Connection Capacity (kips)]])-1,FALSE),IF(Rev="G",VLOOKUP(BR75,Reinforcements[],COLUMN(Reinforcements[[#Headers],[Rev. G Top Connection Capacity (kips)]])-1,FALSE),VLOOKUP(BR75,Reinforcements[],COLUMN(Reinforcements[[#Headers],[Rev. H Top Connection Capacity (kips)]])-1,FALSE))),"")),"")</f>
        <v>#VALUE!</v>
      </c>
      <c r="AD75" s="484" t="str">
        <f>IFERROR(IF(Rev="F",MIN(VLOOKUP(BR75,Reinforcements[],COLUMN(Reinforcements[[#Headers],[Rev. F Compression Capacity x-x (kips)]])-1,FALSE),VLOOKUP(BR75,Reinforcements[],COLUMN(Reinforcements[[#Headers],[Rev. F Compression Capacity y-y (kips)]])-1,FALSE)),IF(Rev="G",MIN(VLOOKUP(BR75,Reinforcements[],COLUMN(Reinforcements[[#Headers],[Rev. G Compression Capacity x-x (kips)]])-1,FALSE),VLOOKUP(BR75,Reinforcements[],COLUMN(Reinforcements[[#Headers],[Rev. G Compression Capacity y-y (kips)]])-1,FALSE)),MIN(VLOOKUP(BR75,Reinforcements[],COLUMN(Reinforcements[[#Headers],[Rev. H Compression Capacity x-x (kips)]])-1,FALSE),VLOOKUP(BR75,Reinforcements[],COLUMN(Reinforcements[[#Headers],[Rev. H Compression Capacity y-y (kips)]])-1,FALSE)))),"")</f>
        <v/>
      </c>
      <c r="AE75" s="485" t="str">
        <f>IFERROR(IF(Rev="F",VLOOKUP(BR75,Reinforcements[],COLUMN(Reinforcements[[#Headers],[Rev. F Shear Capacity (kips)]])-1,FALSE)/BY75,IF(Rev="G",VLOOKUP(Calculations!BR75,Reinforcements[],COLUMN(Reinforcements[[#Headers],[Rev. G Shear Capacity (kips)]])-1,FALSE),VLOOKUP(Calculations!BR75,Reinforcements[],COLUMN(Reinforcements[[#Headers],[Rev. H Shear Capacity (kips)]])-1,FALSE))),"")</f>
        <v/>
      </c>
      <c r="AF75" s="451" t="str">
        <f>IFERROR(IF(Rev="F",VLOOKUP(BR75,Reinforcements[],COLUMN(Reinforcements[[#Headers],[Rev. F Tension Yield Capacity (kips)]])-1,FALSE),IF(Rev="G",VLOOKUP(Calculations!BR75,Reinforcements[],COLUMN(Reinforcements[[#Headers],[Rev. G Tension Yield Capacity (kips)]])-1,FALSE),VLOOKUP(Calculations!BR75,Reinforcements[],COLUMN(Reinforcements[[#Headers],[Rev. H Tension Yield Capacity (kips)]])-1,FALSE))),"")</f>
        <v/>
      </c>
      <c r="AG75" s="486" t="str">
        <f>IFERROR(IF(Rev="F",VLOOKUP(BR75,Reinforcements[],COLUMN(Reinforcements[[#Headers],[Rev. F Tension Rupture Capacity (kips)]])-1,FALSE),IF(Rev="G",VLOOKUP(Calculations!BR75,Reinforcements[],COLUMN(Reinforcements[[#Headers],[Rev. G Tension Rupture Capacity (kips)]])-1,FALSE),VLOOKUP(Calculations!BR75,Reinforcements[],COLUMN(Reinforcements[[#Headers],[Rev. H Tension Rupture Capacity (kips)]])-1, FALSE))),"")</f>
        <v/>
      </c>
      <c r="AH75" s="409" t="str">
        <f t="shared" si="47"/>
        <v/>
      </c>
      <c r="AI75" s="380" t="str">
        <f t="shared" si="48"/>
        <v/>
      </c>
      <c r="AJ75" s="380" t="str">
        <f t="shared" si="49"/>
        <v/>
      </c>
      <c r="AK75" s="380" t="str">
        <f t="shared" si="85"/>
        <v/>
      </c>
      <c r="AL75" s="369" t="str">
        <f t="shared" si="78"/>
        <v/>
      </c>
      <c r="AM75" s="380" t="str">
        <f>""</f>
        <v/>
      </c>
      <c r="AN75" s="380" t="str">
        <f t="shared" si="50"/>
        <v/>
      </c>
      <c r="AO75" s="369" t="str">
        <f t="shared" si="51"/>
        <v/>
      </c>
      <c r="AP75" s="410" t="str">
        <f t="shared" si="52"/>
        <v/>
      </c>
      <c r="AQ75" s="411" t="str">
        <f t="shared" si="53"/>
        <v/>
      </c>
      <c r="AR75" s="380" t="str">
        <f>IF(BR75="","",VLOOKUP(VLOOKUP(BR75,Reinforcements[],COLUMN(Reinforcements[[#Headers],[Material]])-1,FALSE),Materials[],2,FALSE)/$D$28)</f>
        <v/>
      </c>
      <c r="AS75" s="369" t="str">
        <f t="shared" si="54"/>
        <v/>
      </c>
      <c r="AT75" s="489" t="str">
        <f t="shared" si="55"/>
        <v/>
      </c>
      <c r="AU75" s="412">
        <f t="shared" si="56"/>
        <v>0</v>
      </c>
      <c r="AV75" s="413">
        <f t="shared" si="57"/>
        <v>0</v>
      </c>
      <c r="AW75" s="413" t="e">
        <f t="shared" si="58"/>
        <v>#N/A</v>
      </c>
      <c r="AX75" s="413" t="e">
        <f t="shared" si="59"/>
        <v>#N/A</v>
      </c>
      <c r="AY75" s="413" t="str">
        <f t="shared" si="60"/>
        <v/>
      </c>
      <c r="AZ75" s="413" t="e">
        <f t="shared" si="61"/>
        <v>#VALUE!</v>
      </c>
      <c r="BA75" s="433" t="str">
        <f t="shared" si="62"/>
        <v/>
      </c>
      <c r="BB75" s="436" t="str">
        <f t="shared" si="79"/>
        <v/>
      </c>
      <c r="BC75" s="437" t="str">
        <f t="shared" si="63"/>
        <v/>
      </c>
      <c r="BD75" s="437" t="str">
        <f t="shared" si="64"/>
        <v/>
      </c>
      <c r="BE75" s="433" t="str">
        <f t="shared" si="80"/>
        <v/>
      </c>
      <c r="BF75" s="438" t="e">
        <f t="shared" si="81"/>
        <v>#DIV/0!</v>
      </c>
      <c r="BG75" s="439" t="str">
        <f t="shared" si="65"/>
        <v/>
      </c>
      <c r="BH75" s="439" t="str">
        <f t="shared" si="66"/>
        <v/>
      </c>
      <c r="BI75" s="433" t="e">
        <f t="shared" si="82"/>
        <v>#DIV/0!</v>
      </c>
      <c r="BJ75" s="438" t="str">
        <f t="shared" si="83"/>
        <v/>
      </c>
      <c r="BK75" s="413" t="e">
        <f t="shared" si="67"/>
        <v>#DIV/0!</v>
      </c>
      <c r="BL75" s="66" t="str">
        <f t="shared" si="68"/>
        <v/>
      </c>
      <c r="BP75" s="30" t="e">
        <f t="shared" si="69"/>
        <v>#DIV/0!</v>
      </c>
      <c r="BQ75" s="344" t="str">
        <f>IFERROR(VALUE(LEFT(VLOOKUP(Calculations!$D$4,Results!$G$5:$CM$105,67+$C75,FALSE),FIND(";",VLOOKUP(Calculations!$D$4,Results!$G$5:$CM$105,67+$C75,FALSE))-1)),"")</f>
        <v/>
      </c>
      <c r="BR75" s="444" t="str">
        <f>IF(BQ75="","",VLOOKUP(BQ75,Input!$B$21:$Q$50,13,FALSE))</f>
        <v/>
      </c>
      <c r="BS75" s="369" t="e">
        <f>VLOOKUP(BR75,Reinforcements[],COLUMN(Reinforcements[[#Headers],[Type]])-1,FALSE)</f>
        <v>#N/A</v>
      </c>
      <c r="BT75" s="369" t="e">
        <f>IF(BS75="solid round",VLOOKUP(BR75,Reinforcements[],COLUMN(Reinforcements[[#Headers],[Diameter (in)]])-1,FALSE),VLOOKUP(BR75,Reinforcements[],COLUMN(Reinforcements[[#Headers],[B (in)]])-1,FALSE))</f>
        <v>#N/A</v>
      </c>
      <c r="BU75" s="369" t="e">
        <f>IF(BS75="solid round",VLOOKUP(BR75,Reinforcements[],COLUMN(Reinforcements[[#Headers],[Diameter (in)]])-1,FALSE),VLOOKUP(BR75,Reinforcements[],COLUMN(Reinforcements[[#Headers],[H (in)]])-1,FALSE))</f>
        <v>#N/A</v>
      </c>
      <c r="BV75" s="413" t="e">
        <f>IFERROR((IF(VLOOKUP(BQ75,Input!$B$21:$AL$50,19+C75,FALSE)="c",$D$20/COS(RADIANS(180/$D$8)),$D$20)+BU75/2)*SIN(RADIANS(D75))-IF(ISNUMBER(VLOOKUP(BQ75,Input!$B$21:$AL$50,19+C75,FALSE)),VLOOKUP(BQ75,Input!$B$21:$AL$50,19+C75,FALSE)*COS(RADIANS(D75)),0)-$D$35,"")*0+N75*1</f>
        <v>#VALUE!</v>
      </c>
      <c r="BW75" s="369" t="e">
        <f>VLOOKUP(BR75,Reinforcements[],COLUMN(Reinforcements[[#Headers],[Effective B (in)]])-1,FALSE)</f>
        <v>#N/A</v>
      </c>
      <c r="BX75" s="369" t="e">
        <f>VLOOKUP(BR75,Reinforcements[],COLUMN(Reinforcements[[#Headers],[Effective H (in)]])-1,FALSE)</f>
        <v>#N/A</v>
      </c>
      <c r="BY75" s="369" t="e">
        <f>VLOOKUP(BR75,Reinforcements[],COLUMN(Reinforcements[[#Headers],[Gross Area (in2)]])-1,FALSE)</f>
        <v>#N/A</v>
      </c>
      <c r="BZ75" s="380" t="s">
        <v>335</v>
      </c>
      <c r="CA75" s="369" t="e">
        <f>VLOOKUP(BR75,Reinforcements[],COLUMN(Reinforcements[[#Headers],[Pole Face to Centroid (in)]])-1,FALSE)</f>
        <v>#N/A</v>
      </c>
      <c r="CB75" s="369" t="e">
        <f>VLOOKUP(BR75,Reinforcements[],COLUMN(Reinforcements[[#Headers],[Equivalent Rectangle Ix (in4)]])-1,FALSE)</f>
        <v>#N/A</v>
      </c>
      <c r="CC75" s="369" t="e">
        <f>VLOOKUP(BR75,Reinforcements[],COLUMN(Reinforcements[[#Headers],[Equivalent Rectangle Iy (in4)]])-1,FALSE)</f>
        <v>#N/A</v>
      </c>
      <c r="CD75" s="369" t="e">
        <f>VLOOKUP(BR75,Reinforcements[],COLUMN(Reinforcements[[#Headers],[Lu (in)]])-1,FALSE)</f>
        <v>#N/A</v>
      </c>
      <c r="CE75" s="380" t="s">
        <v>335</v>
      </c>
      <c r="CF75" s="380" t="s">
        <v>335</v>
      </c>
      <c r="CG75" s="369" t="e">
        <f>VLOOKUP(VLOOKUP(BR75,Reinforcements[],COLUMN(Reinforcements[[#Headers],[Material]])-1,FALSE),Materials[],2,FALSE)</f>
        <v>#N/A</v>
      </c>
      <c r="CH75" s="369" t="e">
        <f>VLOOKUP(VLOOKUP(BR75,Reinforcements[],COLUMN(Reinforcements[[#Headers],[Material]])-1,FALSE),Materials[],3,FALSE)</f>
        <v>#N/A</v>
      </c>
      <c r="CI75" s="380" t="e">
        <f>VLOOKUP(BR75,Reinforcements[],COLUMN(Reinforcements[[#Headers],[Tension Only?]])-1,FALSE)</f>
        <v>#N/A</v>
      </c>
      <c r="CJ75" s="449" t="str">
        <f>IF(BQ75="","",AND(INDEX(Results!$G$5:$G$104,MATCH(VLOOKUP($BQ75,Input!$B$21:$J$50,2,FALSE)-0.001,Results!$G$5:$G$104,-1))=$D$4))</f>
        <v/>
      </c>
      <c r="CK75" s="449" t="str">
        <f>IF(BQ75="","",AND(INDEX('Macro References'!$BB$2:$BB$101,MATCH(VLOOKUP($BQ75,Input!$B$21:$J$50,6,FALSE)-0.001,'Macro References'!$BB$2:$BB$101,1))=$D$4))</f>
        <v/>
      </c>
      <c r="CL75" s="449" t="e">
        <f>IF(CJ75,VLOOKUP(BR75,Reinforcements[],COLUMN(Reinforcements[[#Headers],[Bottom End Connection Type]])-1,FALSE),IF(CK75,VLOOKUP(BR75,Reinforcements[],COLUMN(Reinforcements[[#Headers],[Top End Connection Type]])-1,FALSE),""))</f>
        <v>#VALUE!</v>
      </c>
      <c r="CM75" s="449" t="e">
        <f>IF(ISBLANK(VLOOKUP(BR75,Reinforcements[],COLUMN(Reinforcements[[#Headers],[Bottom Transverse Weld Length]])-1,FALSE)),"",(VLOOKUP(BR75,Reinforcements[],COLUMN(Reinforcements[[#Headers],[Bottom Transverse Weld Length]])-1,FALSE)))</f>
        <v>#N/A</v>
      </c>
      <c r="CN75" s="449" t="e">
        <f>IF(ISBLANK(VLOOKUP(BR75,Reinforcements[],COLUMN(Reinforcements[[#Headers],[Bottom Transverse (Horizontal) Weld]])-1,FALSE)),"",(VLOOKUP(BR75,Reinforcements[],COLUMN(Reinforcements[[#Headers],[Bottom Transverse (Horizontal) Weld]])-1,FALSE)))</f>
        <v>#N/A</v>
      </c>
      <c r="CO75" s="449" t="e">
        <f>IF(ISBLANK(VLOOKUP(BR75,Reinforcements[],COLUMN(Reinforcements[[#Headers],[Bottom Longitudinal Weld Length]])-1,FALSE)),"",(VLOOKUP(BR75,Reinforcements[],COLUMN(Reinforcements[[#Headers],[Bottom Longitudinal Weld Length]])-1,FALSE)))</f>
        <v>#N/A</v>
      </c>
      <c r="CP75" s="449" t="str">
        <f>IFERROR(VLOOKUP(BR75,Reinforcements[],COLUMN(Reinforcements[[#Headers],[Bottom Connected to Flange/Base Plate?]])-1,FALSE),"")</f>
        <v/>
      </c>
      <c r="CQ75" s="369" t="e">
        <f>IF(Rev="F",VLOOKUP(BR75,Reinforcements[],COLUMN(Reinforcements[[#Headers],[Rev. F Bottom Transverse Weld Strength]])-1,FALSE),VLOOKUP(BR75,Reinforcements[],COLUMN(Reinforcements[[#Headers],[Rev. G Bottom Transverse Weld Strength]])-1,FALSE))</f>
        <v>#N/A</v>
      </c>
      <c r="CR75" s="369" t="e">
        <f>IF(CP75="Yes",IF(CN75="Fillet",VLOOKUP(BR75,Reinforcements[],COLUMN(Reinforcements[[#Headers],[Bottom Transverse Weld Fillet Size (in)]])-1,FALSE)*CM75*MIN(IF(Rev="F",0.4,φ_shear_yield*0.6)*CG75,IF(Rev="F",0.3,φ_shear_rupture*0.6)*CH75),VLOOKUP(BR75,Reinforcements[],COLUMN(Reinforcements[[#Headers],[Bottom Transverse Weld Groove Depth (in)]])-1,FALSE)/COS(RADIANS(VLOOKUP(BR75,Reinforcements[],COLUMN(Reinforcements[[#Headers],[Bottom Transverse Weld Groove Angle (degrees)]])-1,FALSE)))*CM75*IF(Rev="F",0.6,φ_t_y)*CG75),VLOOKUP(BR75,Reinforcements[],COLUMN(Reinforcements[[#Headers],[Bottom Transverse Weld Fillet Size (in)]])-1,FALSE)*CM75*IF(Rev="F",0.6,φ_t_y)*CG75)</f>
        <v>#N/A</v>
      </c>
      <c r="CS75" s="369" t="str">
        <f>IF(CP75&lt;&gt;"Yes","",(VLOOKUP(BR75,Reinforcements[],COLUMN(Reinforcements[[#Headers],[Bottom Transverse Weld Groove Depth (in)]])-1,FALSE)+VLOOKUP(BR75,Reinforcements[],COLUMN(Reinforcements[[#Headers],[Bottom Transverse Weld Fillet Size (in)]])-1,FALSE))*CM75*IF(Rev="F",0.6,φ_t_y)*$D$14)</f>
        <v/>
      </c>
      <c r="CT75" s="369" t="e">
        <f>IF(CP75="Yes","",VLOOKUP(BR75,Reinforcements[],COLUMN(Reinforcements[[#Headers],[Bottom Transverse Weld Fillet Size (in)]])-1,FALSE)*CM75*MIN(IF(Rev="F",0.4,φ_shear_yield*0.6)*$D$6,IF(Rev="F",0.3,φ_shear_rupture*0.6)*$D$7))</f>
        <v>#N/A</v>
      </c>
      <c r="CU75" s="369" t="e">
        <f>IF(Rev="F",VLOOKUP(BR75,Reinforcements[],COLUMN(Reinforcements[[#Headers],[Rev. F Bottom Longitudinal Weld Strength]])-1,FALSE),VLOOKUP(BR75,Reinforcements[],COLUMN(Reinforcements[[#Headers],[Rev. G Bottom Longitudinal Weld Strength]])-1,FALSE))</f>
        <v>#N/A</v>
      </c>
      <c r="CV75" s="369" t="e">
        <f>2*VLOOKUP(BR75,Reinforcements[],COLUMN(Reinforcements[[#Headers],[Bottom Longitudinal Weld Fillet Size (in)]])-1,FALSE)*CO75*MIN(IF(Rev="F",0.4,φ_shear_yield*0.6)*CG75,IF(Rev="F",0.3,φ_shear_rupture*0.6)*CH75)</f>
        <v>#N/A</v>
      </c>
      <c r="CW75" s="369" t="e">
        <f>2*VLOOKUP(BR75,Reinforcements[],COLUMN(Reinforcements[[#Headers],[Bottom Longitudinal Weld Fillet Size (in)]])-1,FALSE)*CO75*MIN(IF(Rev="F",0.4,φ_shear_yield*0.6)*$D$6,IF(Rev="F",0.3,φ_shear_rupture*0.6)*$D$7)</f>
        <v>#N/A</v>
      </c>
      <c r="CX75" s="451" t="e">
        <f>IF(ISBLANK(VLOOKUP(BR75,Reinforcements[],COLUMN(Reinforcements[[#Headers],[Top Transverse Weld Length]])-1,FALSE)),"",(VLOOKUP(BR75,Reinforcements[],COLUMN(Reinforcements[[#Headers],[Top Transverse Weld Length]])-1,FALSE)))</f>
        <v>#N/A</v>
      </c>
      <c r="CY75" s="451" t="e">
        <f>IF(ISBLANK(VLOOKUP(BR75,Reinforcements[],COLUMN(Reinforcements[[#Headers],[Top Transverse (Horizontal) Weld]])-1,FALSE)),"",(VLOOKUP(BR75,Reinforcements[],COLUMN(Reinforcements[[#Headers],[Top Transverse (Horizontal) Weld]])-1,FALSE)))</f>
        <v>#N/A</v>
      </c>
      <c r="CZ75" s="451" t="e">
        <f>IF(ISBLANK(VLOOKUP(BR75,Reinforcements[],COLUMN(Reinforcements[[#Headers],[Top Longitudinal Weld Length]])-1,FALSE)),"",(VLOOKUP(BR75,Reinforcements[],COLUMN(Reinforcements[[#Headers],[Top Longitudinal Weld Length]])-1,FALSE)))</f>
        <v>#N/A</v>
      </c>
      <c r="DA75" s="369" t="str">
        <f>IFERROR(VLOOKUP(BR75,Reinforcements[],COLUMN(Reinforcements[[#Headers],[Top Connected to Flange/Base Plate?]])-1,FALSE),"")</f>
        <v/>
      </c>
      <c r="DB75" s="369" t="e">
        <f>IF(Rev="F",VLOOKUP(BR75,Reinforcements[],COLUMN(Reinforcements[[#Headers],[Rev. F Top Transverse Weld Strength]])-1,FALSE),VLOOKUP(BR75,Reinforcements[],COLUMN(Reinforcements[[#Headers],[Rev. G Top Transverse Weld Strength]])-1,FALSE))</f>
        <v>#N/A</v>
      </c>
      <c r="DC75" s="369" t="e">
        <f>IF(DA75="Yes",IF(CY75="Fillet",VLOOKUP(BR75,Reinforcements[],COLUMN(Reinforcements[[#Headers],[Top Transverse Weld Fillet Size (in)]])-1,FALSE)*CX75*MIN(IF(Rev="F",0.4,φ_shear_yield*0.6)*CG75,IF(Rev="F",0.3,φ_shear_rupture*0.6)*CH75),VLOOKUP(BR75,Reinforcements[],COLUMN(Reinforcements[[#Headers],[Top Transverse Weld Groove Depth (in)]])-1,FALSE)/COS(RADIANS(VLOOKUP(BR75,Reinforcements[],COLUMN(Reinforcements[[#Headers],[Top Transverse Weld Groove Angle (degrees)]])-1,FALSE)))*CX75*IF(Rev="F",0.6,φ_t_y)*CG75),VLOOKUP(BR75,Reinforcements[],COLUMN(Reinforcements[[#Headers],[Top Transverse Weld Fillet Size (in)]])-1,FALSE)*CX75*IF(Rev="F",0.6,φ_t_y)*CG75)</f>
        <v>#N/A</v>
      </c>
      <c r="DD75" s="369" t="str">
        <f>IF(DA75&lt;&gt;"Yes","",(VLOOKUP(BR75,Reinforcements[],COLUMN(Reinforcements[[#Headers],[Top Transverse Weld Groove Depth (in)]])-1,FALSE)+VLOOKUP(BR75,Reinforcements[],COLUMN(Reinforcements[[#Headers],[Top Transverse Weld Fillet Size (in)]])-1,FALSE))*CX75*IF(Rev="F",0.6,φ_t_y)*$D$14)</f>
        <v/>
      </c>
      <c r="DE75" s="369" t="e">
        <f>IF(DA75="Yes","",VLOOKUP(BR75,Reinforcements[],COLUMN(Reinforcements[[#Headers],[Top Transverse Weld Fillet Size (in)]])-1,FALSE)*CX75*MIN(IF(Rev="F",0.4,φ_shear_yield*0.6)*$D$6,IF(Rev="F",0.3,φ_shear_rupture*0.6)*$D$7))</f>
        <v>#N/A</v>
      </c>
      <c r="DF75" s="369" t="e">
        <f>IF(Rev="F",VLOOKUP(BR75,Reinforcements[],COLUMN(Reinforcements[[#Headers],[Rev. F Top Longitudinal Weld Strength]])-1,FALSE),VLOOKUP(BR75,Reinforcements[],COLUMN(Reinforcements[[#Headers],[Rev. G Top Longitudinal Weld Strength]])-1,FALSE))</f>
        <v>#N/A</v>
      </c>
      <c r="DG75" s="369" t="e">
        <f>2*VLOOKUP(BR75,Reinforcements[],COLUMN(Reinforcements[[#Headers],[Top Longitudinal Weld Fillet Size (in)]])-1,FALSE)*CZ75*MIN(IF(Rev="F",0.4,φ_shear_yield*0.6)*CG75,IF(Rev="F",0.3,φ_shear_rupture*0.6)*CH75)</f>
        <v>#N/A</v>
      </c>
      <c r="DH75" s="369" t="e">
        <f>2*VLOOKUP(BR75,Reinforcements[],COLUMN(Reinforcements[[#Headers],[Top Longitudinal Weld Fillet Size (in)]])-1,FALSE)*CZ75*MIN(IF(Rev="F",0.4,φ_shear_yield*0.6)*$D$6,IF(Rev="F",0.3,φ_shear_rupture*0.6)*$D$7)</f>
        <v>#N/A</v>
      </c>
      <c r="DI75" s="66" t="e">
        <f>IF(BS75="channel",VLOOKUP(Calculations!BR75,Reinforcements[],COLUMN(Reinforcements[[#Headers],['[Channel']Web Thickness (in)]])-1,FALSE),"")</f>
        <v>#N/A</v>
      </c>
      <c r="DJ75" s="66" t="b">
        <f t="shared" si="84"/>
        <v>0</v>
      </c>
      <c r="DK75" s="66" t="e">
        <f>IF(BS75="channel",Calculations!BU75-DI75,"")</f>
        <v>#N/A</v>
      </c>
      <c r="DL75" s="66" t="e">
        <f>IF(BS75="channel",(Calculations!BY75-Calculations!BT75*DI75)/(2*DK75))</f>
        <v>#N/A</v>
      </c>
      <c r="DM75" s="66" t="e">
        <f>IF(BS75="channel",(Calculations!BT75*(DI75^2)/2+2*DK75*DL75*(DI75+DK75/2))/Calculations!BY75,"")</f>
        <v>#N/A</v>
      </c>
    </row>
    <row r="76" spans="2:117" ht="15" x14ac:dyDescent="0.25">
      <c r="B76" s="66" t="str">
        <f t="shared" si="70"/>
        <v/>
      </c>
      <c r="C76" s="317">
        <v>17</v>
      </c>
      <c r="D76" s="380" t="str">
        <f>IF(BQ76="","",IF($D$8=0,IF(OR(VLOOKUP(BQ76,Input!$B$21:$AL$50,19+C76,FALSE)+$D$5=0,VLOOKUP(BQ76,Input!$B$21:$AL$50,19+C76,FALSE)+$D$5=180),VLOOKUP(BQ76,Input!$B$21:$AL$50,19+C76,FALSE)+$D$5+0.0001,VLOOKUP(BQ76,Input!$B$21:$AL$50,19+C76,FALSE)+$D$5),IF(VLOOKUP(BQ76,Input!$B$21:$AL$50,19+C76,FALSE)="c",VLOOKUP($C76,$C$40:$E$57,2,FALSE)+180/$D$8,VLOOKUP($C76,$C$40:$E$57,2,FALSE))))</f>
        <v/>
      </c>
      <c r="E76" s="370" t="str">
        <f t="shared" si="39"/>
        <v/>
      </c>
      <c r="F76" s="381" t="str">
        <f>IF(BR76="","",VLOOKUP(BR76,Reinforcements[],COLUMN(Reinforcements[[#Headers],[Gross Area (in2)]])-1,FALSE))</f>
        <v/>
      </c>
      <c r="G76" s="378" t="e">
        <f>(IF(VLOOKUP(BQ76,Input!$B$21:$AL$50,19+C76,FALSE)="c",$D$20/COS(RADIANS(180/$D$8)),$D$20)+CA76)*SIN(RADIANS(D76))-IF(AND(ISNUMBER(VLOOKUP(BQ76,Input!$B$21:$AL$50,19+C76,FALSE)),$D$8&lt;&gt;0),VLOOKUP(BQ76,Input!$B$21:$AL$50,19+C76,FALSE)*COS(RADIANS(D76)),0)</f>
        <v>#N/A</v>
      </c>
      <c r="H76" s="373" t="str">
        <f t="shared" si="71"/>
        <v/>
      </c>
      <c r="I76" s="373" t="e">
        <f t="shared" si="40"/>
        <v>#N/A</v>
      </c>
      <c r="J76" s="373" t="e">
        <f t="shared" si="41"/>
        <v>#N/A</v>
      </c>
      <c r="K76" s="373" t="e">
        <f t="shared" si="42"/>
        <v>#N/A</v>
      </c>
      <c r="L76" s="373" t="e">
        <f t="shared" si="72"/>
        <v>#N/A</v>
      </c>
      <c r="M76" s="374" t="str">
        <f t="shared" si="73"/>
        <v/>
      </c>
      <c r="N76" s="372" t="str">
        <f>IFERROR((IF(VLOOKUP(BQ76,Input!$B$21:$AL$50,19+C76,FALSE)="c",$D$20/COS(RADIANS(180/$D$8)),$D$20)+CA76)*SIN(RADIANS(D76))-IF(AND(ISNUMBER(VLOOKUP(BQ76,Input!$B$21:$AL$50,19+C76,FALSE)),$D$8&lt;&gt;0),VLOOKUP(BQ76,Input!$B$21:$AL$50,19+C76,FALSE)*COS(RADIANS(D76)),0)-$D$35,"")</f>
        <v/>
      </c>
      <c r="O76" s="375" t="str">
        <f t="shared" si="43"/>
        <v/>
      </c>
      <c r="P76" s="375" t="str">
        <f t="shared" si="44"/>
        <v/>
      </c>
      <c r="Q76" s="375" t="str">
        <f t="shared" si="45"/>
        <v/>
      </c>
      <c r="R76" s="376" t="str">
        <f t="shared" si="46"/>
        <v/>
      </c>
      <c r="S76" s="373" t="str">
        <f t="shared" si="74"/>
        <v/>
      </c>
      <c r="T76" s="373" t="str">
        <f t="shared" si="75"/>
        <v/>
      </c>
      <c r="U76" s="373" t="str">
        <f t="shared" si="76"/>
        <v/>
      </c>
      <c r="V76" s="374" t="str">
        <f t="shared" si="77"/>
        <v/>
      </c>
      <c r="W76" s="482" t="str">
        <f>IFERROR(IF('Macro References'!$A$9,IF(AND(Calculations!CK76,CL76="Bolted"),VLOOKUP($BR76,Reinforcements[],COLUMN(IF(Rev="F",Reinforcements[[#Headers],[Rev. F Bolt Shear Capacity   (Top)        (kips)]],IF(Rev="G",Reinforcements[[#Headers],[Rev. G Bolt Shear Capacity (Top)     (kips)]],Reinforcements[[#Headers],[Rev. H Bolt Shear Capacity (Top) (kips)]])))-1,FALSE),IF(AND(Calculations!CJ76,CL76="Bolted"),VLOOKUP($BR76,Reinforcements[],COLUMN(IF(Rev="F",Reinforcements[[#Headers],[Rev. F Bolt Shear Capacity (Bottom)   (kips)]],IF(Rev="G",Reinforcements[[#Headers],[Rev. G Bolt Shear Capacity (Bottom) (kips)]],Reinforcements[[#Headers],[Rev. H Bolt Shear Capacity (Bottom) (kips)]])))-1,FALSE),"")),""),"")</f>
        <v/>
      </c>
      <c r="X76" s="483" t="str">
        <f>IFERROR(IF('Macro References'!$A$9,IF('Macro References'!$A$10,IF(AND(Calculations!CK76,CL76="Bolted"),VLOOKUP($BR76,Reinforcements[],COLUMN(IF(Rev="F",Reinforcements[[#Headers],[Rev.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kips)]])))-1,FALSE),IF(AND(Calculations!CJ76,CL76="Bolted"),VLOOKUP($BR76,Reinforcements[],COLUMN(IF(Rev="F",Reinforcements[[#Headers],[Rev.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kips)]])))-1,FALSE),"")),IF(AND(Calculations!CK76,CL76="Bolted"),VLOOKUP($BR76,Reinforcements[],COLUMN(IF(Rev="F",Reinforcements[[#Headers],[Rev.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kips)]])))-1,FALSE),IF(AND(Calculations!CJ76,CL76="Bolted"),VLOOKUP($BR76,Reinforcements[],COLUMN(IF(Rev="F",Reinforcements[[#Headers],[Rev.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6" s="483" t="str">
        <f>IFERROR(IF('Macro References'!$A$9,IF('Macro References'!$A$10,IF(AND(Calculations!CK76,CL76="Bolted"),VLOOKUP($BR76,Reinforcements[],COLUMN(IF(Rev="F",Reinforcements[[#Headers],[Rev.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(kips)]])))-1,FALSE),IF(AND(Calculations!CJ76,CL76="Bolted"),VLOOKUP($BR76,Reinforcements[],COLUMN(IF(Rev="F",Reinforcements[[#Headers],[Rev.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(kips)]])))-1,FALSE),"")),IF(AND(Calculations!CK76,CL76="Bolted"),VLOOKUP($BR76,Reinforcements[],COLUMN(IF(Rev="F",Reinforcements[[#Headers],[Rev.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(kips)]])))-1,FALSE),IF(AND(Calculations!CJ76,CL76="Bolted"),VLOOKUP($BR76,Reinforcements[],COLUMN(IF(Rev="F",Reinforcements[[#Headers],[Rev.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6" s="483" t="str">
        <f>IFERROR(IF('Macro References'!$A$9,IF(AND(CJ76,CL76="Welded"),MIN(CQ76:CT76),IF(AND(CK76,CL76="Welded"),MIN(DB76:DE76),"")),""),"")</f>
        <v/>
      </c>
      <c r="AA76" s="484" t="str">
        <f>IFERROR(IF('Macro References'!$A$9,IF(AND(CJ76,CL76="Welded"),MIN(CU76:CW76),IF(AND(CK76,CL76="Welded"),MIN(DF76:DH76),"")),""),"")</f>
        <v/>
      </c>
      <c r="AB76" s="484" t="str">
        <f>IFERROR(IF('Macro References'!$A$9,IF(AND(CJ76,CL76="Welded",CN76="Fillet",CU76&gt;0),TRUE,IF(AND(CK76,CL76="Welded",CY76="Fillet",DF76&gt;0),TRUE,"")),""),"")</f>
        <v/>
      </c>
      <c r="AC76" s="484" t="e">
        <f>IF('Macro References'!$A$9,IF(AND(CJ76,CL76="Capacity Input"),IF(Rev="F",VLOOKUP(BR76,Reinforcements[],COLUMN(Reinforcements[[#Headers],[Rev. F Bottom Connection Capacity (kips)]])-1,FALSE),IF(Rev="G",VLOOKUP(BR76,Reinforcements[],COLUMN(Reinforcements[[#Headers],[Rev. G Bottom Connection Capacity (kips)]])-1,FALSE),VLOOKUP(BR76,Reinforcements[],COLUMN(Reinforcements[[#Headers],[Rev. H Bottom Connection Capacity (kips)]])-1,FALSE))),IF(AND(CK76,CL76="Capacity Input"),IF(Rev="F",VLOOKUP(BR76,Reinforcements[],COLUMN(Reinforcements[[#Headers],[Rev. F Top Connection Capacity (kips)]])-1,FALSE),IF(Rev="G",VLOOKUP(BR76,Reinforcements[],COLUMN(Reinforcements[[#Headers],[Rev. G Top Connection Capacity (kips)]])-1,FALSE),VLOOKUP(BR76,Reinforcements[],COLUMN(Reinforcements[[#Headers],[Rev. H Top Connection Capacity (kips)]])-1,FALSE))),"")),"")</f>
        <v>#VALUE!</v>
      </c>
      <c r="AD76" s="484" t="str">
        <f>IFERROR(IF(Rev="F",MIN(VLOOKUP(BR76,Reinforcements[],COLUMN(Reinforcements[[#Headers],[Rev. F Compression Capacity x-x (kips)]])-1,FALSE),VLOOKUP(BR76,Reinforcements[],COLUMN(Reinforcements[[#Headers],[Rev. F Compression Capacity y-y (kips)]])-1,FALSE)),IF(Rev="G",MIN(VLOOKUP(BR76,Reinforcements[],COLUMN(Reinforcements[[#Headers],[Rev. G Compression Capacity x-x (kips)]])-1,FALSE),VLOOKUP(BR76,Reinforcements[],COLUMN(Reinforcements[[#Headers],[Rev. G Compression Capacity y-y (kips)]])-1,FALSE)),MIN(VLOOKUP(BR76,Reinforcements[],COLUMN(Reinforcements[[#Headers],[Rev. H Compression Capacity x-x (kips)]])-1,FALSE),VLOOKUP(BR76,Reinforcements[],COLUMN(Reinforcements[[#Headers],[Rev. H Compression Capacity y-y (kips)]])-1,FALSE)))),"")</f>
        <v/>
      </c>
      <c r="AE76" s="485" t="str">
        <f>IFERROR(IF(Rev="F",VLOOKUP(BR76,Reinforcements[],COLUMN(Reinforcements[[#Headers],[Rev. F Shear Capacity (kips)]])-1,FALSE)/BY76,IF(Rev="G",VLOOKUP(Calculations!BR76,Reinforcements[],COLUMN(Reinforcements[[#Headers],[Rev. G Shear Capacity (kips)]])-1,FALSE),VLOOKUP(Calculations!BR76,Reinforcements[],COLUMN(Reinforcements[[#Headers],[Rev. H Shear Capacity (kips)]])-1,FALSE))),"")</f>
        <v/>
      </c>
      <c r="AF76" s="451" t="str">
        <f>IFERROR(IF(Rev="F",VLOOKUP(BR76,Reinforcements[],COLUMN(Reinforcements[[#Headers],[Rev. F Tension Yield Capacity (kips)]])-1,FALSE),IF(Rev="G",VLOOKUP(Calculations!BR76,Reinforcements[],COLUMN(Reinforcements[[#Headers],[Rev. G Tension Yield Capacity (kips)]])-1,FALSE),VLOOKUP(Calculations!BR76,Reinforcements[],COLUMN(Reinforcements[[#Headers],[Rev. H Tension Yield Capacity (kips)]])-1,FALSE))),"")</f>
        <v/>
      </c>
      <c r="AG76" s="486" t="str">
        <f>IFERROR(IF(Rev="F",VLOOKUP(BR76,Reinforcements[],COLUMN(Reinforcements[[#Headers],[Rev. F Tension Rupture Capacity (kips)]])-1,FALSE),IF(Rev="G",VLOOKUP(Calculations!BR76,Reinforcements[],COLUMN(Reinforcements[[#Headers],[Rev. G Tension Rupture Capacity (kips)]])-1,FALSE),VLOOKUP(Calculations!BR76,Reinforcements[],COLUMN(Reinforcements[[#Headers],[Rev. H Tension Rupture Capacity (kips)]])-1, FALSE))),"")</f>
        <v/>
      </c>
      <c r="AH76" s="409" t="str">
        <f t="shared" si="47"/>
        <v/>
      </c>
      <c r="AI76" s="380" t="str">
        <f t="shared" si="48"/>
        <v/>
      </c>
      <c r="AJ76" s="380" t="str">
        <f t="shared" si="49"/>
        <v/>
      </c>
      <c r="AK76" s="380" t="str">
        <f t="shared" si="85"/>
        <v/>
      </c>
      <c r="AL76" s="369" t="str">
        <f t="shared" si="78"/>
        <v/>
      </c>
      <c r="AM76" s="380" t="str">
        <f>""</f>
        <v/>
      </c>
      <c r="AN76" s="380" t="str">
        <f t="shared" si="50"/>
        <v/>
      </c>
      <c r="AO76" s="369" t="str">
        <f t="shared" si="51"/>
        <v/>
      </c>
      <c r="AP76" s="410" t="str">
        <f t="shared" si="52"/>
        <v/>
      </c>
      <c r="AQ76" s="411" t="str">
        <f t="shared" si="53"/>
        <v/>
      </c>
      <c r="AR76" s="380" t="str">
        <f>IF(BR76="","",VLOOKUP(VLOOKUP(BR76,Reinforcements[],COLUMN(Reinforcements[[#Headers],[Material]])-1,FALSE),Materials[],2,FALSE)/$D$28)</f>
        <v/>
      </c>
      <c r="AS76" s="369" t="str">
        <f t="shared" si="54"/>
        <v/>
      </c>
      <c r="AT76" s="489" t="str">
        <f t="shared" si="55"/>
        <v/>
      </c>
      <c r="AU76" s="412">
        <f t="shared" si="56"/>
        <v>0</v>
      </c>
      <c r="AV76" s="413">
        <f t="shared" si="57"/>
        <v>0</v>
      </c>
      <c r="AW76" s="413" t="e">
        <f t="shared" si="58"/>
        <v>#N/A</v>
      </c>
      <c r="AX76" s="413" t="e">
        <f t="shared" si="59"/>
        <v>#N/A</v>
      </c>
      <c r="AY76" s="413" t="str">
        <f t="shared" si="60"/>
        <v/>
      </c>
      <c r="AZ76" s="413" t="e">
        <f t="shared" si="61"/>
        <v>#VALUE!</v>
      </c>
      <c r="BA76" s="433" t="str">
        <f t="shared" si="62"/>
        <v/>
      </c>
      <c r="BB76" s="436" t="str">
        <f t="shared" si="79"/>
        <v/>
      </c>
      <c r="BC76" s="437" t="str">
        <f t="shared" si="63"/>
        <v/>
      </c>
      <c r="BD76" s="437" t="str">
        <f t="shared" si="64"/>
        <v/>
      </c>
      <c r="BE76" s="433" t="str">
        <f t="shared" si="80"/>
        <v/>
      </c>
      <c r="BF76" s="438" t="e">
        <f t="shared" si="81"/>
        <v>#DIV/0!</v>
      </c>
      <c r="BG76" s="439" t="str">
        <f t="shared" si="65"/>
        <v/>
      </c>
      <c r="BH76" s="439" t="str">
        <f t="shared" si="66"/>
        <v/>
      </c>
      <c r="BI76" s="433" t="e">
        <f t="shared" si="82"/>
        <v>#DIV/0!</v>
      </c>
      <c r="BJ76" s="438" t="str">
        <f t="shared" si="83"/>
        <v/>
      </c>
      <c r="BK76" s="413" t="e">
        <f t="shared" si="67"/>
        <v>#DIV/0!</v>
      </c>
      <c r="BL76" s="66" t="str">
        <f t="shared" si="68"/>
        <v/>
      </c>
      <c r="BP76" s="30" t="e">
        <f t="shared" si="69"/>
        <v>#DIV/0!</v>
      </c>
      <c r="BQ76" s="344" t="str">
        <f>IFERROR(VALUE(LEFT(VLOOKUP(Calculations!$D$4,Results!$G$5:$CM$105,67+$C76,FALSE),FIND(";",VLOOKUP(Calculations!$D$4,Results!$G$5:$CM$105,67+$C76,FALSE))-1)),"")</f>
        <v/>
      </c>
      <c r="BR76" s="444" t="str">
        <f>IF(BQ76="","",VLOOKUP(BQ76,Input!$B$21:$Q$50,13,FALSE))</f>
        <v/>
      </c>
      <c r="BS76" s="369" t="e">
        <f>VLOOKUP(BR76,Reinforcements[],COLUMN(Reinforcements[[#Headers],[Type]])-1,FALSE)</f>
        <v>#N/A</v>
      </c>
      <c r="BT76" s="369" t="e">
        <f>IF(BS76="solid round",VLOOKUP(BR76,Reinforcements[],COLUMN(Reinforcements[[#Headers],[Diameter (in)]])-1,FALSE),VLOOKUP(BR76,Reinforcements[],COLUMN(Reinforcements[[#Headers],[B (in)]])-1,FALSE))</f>
        <v>#N/A</v>
      </c>
      <c r="BU76" s="369" t="e">
        <f>IF(BS76="solid round",VLOOKUP(BR76,Reinforcements[],COLUMN(Reinforcements[[#Headers],[Diameter (in)]])-1,FALSE),VLOOKUP(BR76,Reinforcements[],COLUMN(Reinforcements[[#Headers],[H (in)]])-1,FALSE))</f>
        <v>#N/A</v>
      </c>
      <c r="BV76" s="413" t="e">
        <f>IFERROR((IF(VLOOKUP(BQ76,Input!$B$21:$AL$50,19+C76,FALSE)="c",$D$20/COS(RADIANS(180/$D$8)),$D$20)+BU76/2)*SIN(RADIANS(D76))-IF(ISNUMBER(VLOOKUP(BQ76,Input!$B$21:$AL$50,19+C76,FALSE)),VLOOKUP(BQ76,Input!$B$21:$AL$50,19+C76,FALSE)*COS(RADIANS(D76)),0)-$D$35,"")*0+N76*1</f>
        <v>#VALUE!</v>
      </c>
      <c r="BW76" s="369" t="e">
        <f>VLOOKUP(BR76,Reinforcements[],COLUMN(Reinforcements[[#Headers],[Effective B (in)]])-1,FALSE)</f>
        <v>#N/A</v>
      </c>
      <c r="BX76" s="369" t="e">
        <f>VLOOKUP(BR76,Reinforcements[],COLUMN(Reinforcements[[#Headers],[Effective H (in)]])-1,FALSE)</f>
        <v>#N/A</v>
      </c>
      <c r="BY76" s="369" t="e">
        <f>VLOOKUP(BR76,Reinforcements[],COLUMN(Reinforcements[[#Headers],[Gross Area (in2)]])-1,FALSE)</f>
        <v>#N/A</v>
      </c>
      <c r="BZ76" s="380" t="s">
        <v>335</v>
      </c>
      <c r="CA76" s="369" t="e">
        <f>VLOOKUP(BR76,Reinforcements[],COLUMN(Reinforcements[[#Headers],[Pole Face to Centroid (in)]])-1,FALSE)</f>
        <v>#N/A</v>
      </c>
      <c r="CB76" s="369" t="e">
        <f>VLOOKUP(BR76,Reinforcements[],COLUMN(Reinforcements[[#Headers],[Equivalent Rectangle Ix (in4)]])-1,FALSE)</f>
        <v>#N/A</v>
      </c>
      <c r="CC76" s="369" t="e">
        <f>VLOOKUP(BR76,Reinforcements[],COLUMN(Reinforcements[[#Headers],[Equivalent Rectangle Iy (in4)]])-1,FALSE)</f>
        <v>#N/A</v>
      </c>
      <c r="CD76" s="369" t="e">
        <f>VLOOKUP(BR76,Reinforcements[],COLUMN(Reinforcements[[#Headers],[Lu (in)]])-1,FALSE)</f>
        <v>#N/A</v>
      </c>
      <c r="CE76" s="380" t="s">
        <v>335</v>
      </c>
      <c r="CF76" s="380" t="s">
        <v>335</v>
      </c>
      <c r="CG76" s="369" t="e">
        <f>VLOOKUP(VLOOKUP(BR76,Reinforcements[],COLUMN(Reinforcements[[#Headers],[Material]])-1,FALSE),Materials[],2,FALSE)</f>
        <v>#N/A</v>
      </c>
      <c r="CH76" s="369" t="e">
        <f>VLOOKUP(VLOOKUP(BR76,Reinforcements[],COLUMN(Reinforcements[[#Headers],[Material]])-1,FALSE),Materials[],3,FALSE)</f>
        <v>#N/A</v>
      </c>
      <c r="CI76" s="380" t="e">
        <f>VLOOKUP(BR76,Reinforcements[],COLUMN(Reinforcements[[#Headers],[Tension Only?]])-1,FALSE)</f>
        <v>#N/A</v>
      </c>
      <c r="CJ76" s="449" t="str">
        <f>IF(BQ76="","",AND(INDEX(Results!$G$5:$G$104,MATCH(VLOOKUP($BQ76,Input!$B$21:$J$50,2,FALSE)-0.001,Results!$G$5:$G$104,-1))=$D$4))</f>
        <v/>
      </c>
      <c r="CK76" s="449" t="str">
        <f>IF(BQ76="","",AND(INDEX('Macro References'!$BB$2:$BB$101,MATCH(VLOOKUP($BQ76,Input!$B$21:$J$50,6,FALSE)-0.001,'Macro References'!$BB$2:$BB$101,1))=$D$4))</f>
        <v/>
      </c>
      <c r="CL76" s="449" t="e">
        <f>IF(CJ76,VLOOKUP(BR76,Reinforcements[],COLUMN(Reinforcements[[#Headers],[Bottom End Connection Type]])-1,FALSE),IF(CK76,VLOOKUP(BR76,Reinforcements[],COLUMN(Reinforcements[[#Headers],[Top End Connection Type]])-1,FALSE),""))</f>
        <v>#VALUE!</v>
      </c>
      <c r="CM76" s="449" t="e">
        <f>IF(ISBLANK(VLOOKUP(BR76,Reinforcements[],COLUMN(Reinforcements[[#Headers],[Bottom Transverse Weld Length]])-1,FALSE)),"",(VLOOKUP(BR76,Reinforcements[],COLUMN(Reinforcements[[#Headers],[Bottom Transverse Weld Length]])-1,FALSE)))</f>
        <v>#N/A</v>
      </c>
      <c r="CN76" s="449" t="e">
        <f>IF(ISBLANK(VLOOKUP(BR76,Reinforcements[],COLUMN(Reinforcements[[#Headers],[Bottom Transverse (Horizontal) Weld]])-1,FALSE)),"",(VLOOKUP(BR76,Reinforcements[],COLUMN(Reinforcements[[#Headers],[Bottom Transverse (Horizontal) Weld]])-1,FALSE)))</f>
        <v>#N/A</v>
      </c>
      <c r="CO76" s="449" t="e">
        <f>IF(ISBLANK(VLOOKUP(BR76,Reinforcements[],COLUMN(Reinforcements[[#Headers],[Bottom Longitudinal Weld Length]])-1,FALSE)),"",(VLOOKUP(BR76,Reinforcements[],COLUMN(Reinforcements[[#Headers],[Bottom Longitudinal Weld Length]])-1,FALSE)))</f>
        <v>#N/A</v>
      </c>
      <c r="CP76" s="449" t="str">
        <f>IFERROR(VLOOKUP(BR76,Reinforcements[],COLUMN(Reinforcements[[#Headers],[Bottom Connected to Flange/Base Plate?]])-1,FALSE),"")</f>
        <v/>
      </c>
      <c r="CQ76" s="369" t="e">
        <f>IF(Rev="F",VLOOKUP(BR76,Reinforcements[],COLUMN(Reinforcements[[#Headers],[Rev. F Bottom Transverse Weld Strength]])-1,FALSE),VLOOKUP(BR76,Reinforcements[],COLUMN(Reinforcements[[#Headers],[Rev. G Bottom Transverse Weld Strength]])-1,FALSE))</f>
        <v>#N/A</v>
      </c>
      <c r="CR76" s="369" t="e">
        <f>IF(CP76="Yes",IF(CN76="Fillet",VLOOKUP(BR76,Reinforcements[],COLUMN(Reinforcements[[#Headers],[Bottom Transverse Weld Fillet Size (in)]])-1,FALSE)*CM76*MIN(IF(Rev="F",0.4,φ_shear_yield*0.6)*CG76,IF(Rev="F",0.3,φ_shear_rupture*0.6)*CH76),VLOOKUP(BR76,Reinforcements[],COLUMN(Reinforcements[[#Headers],[Bottom Transverse Weld Groove Depth (in)]])-1,FALSE)/COS(RADIANS(VLOOKUP(BR76,Reinforcements[],COLUMN(Reinforcements[[#Headers],[Bottom Transverse Weld Groove Angle (degrees)]])-1,FALSE)))*CM76*IF(Rev="F",0.6,φ_t_y)*CG76),VLOOKUP(BR76,Reinforcements[],COLUMN(Reinforcements[[#Headers],[Bottom Transverse Weld Fillet Size (in)]])-1,FALSE)*CM76*IF(Rev="F",0.6,φ_t_y)*CG76)</f>
        <v>#N/A</v>
      </c>
      <c r="CS76" s="369" t="str">
        <f>IF(CP76&lt;&gt;"Yes","",(VLOOKUP(BR76,Reinforcements[],COLUMN(Reinforcements[[#Headers],[Bottom Transverse Weld Groove Depth (in)]])-1,FALSE)+VLOOKUP(BR76,Reinforcements[],COLUMN(Reinforcements[[#Headers],[Bottom Transverse Weld Fillet Size (in)]])-1,FALSE))*CM76*IF(Rev="F",0.6,φ_t_y)*$D$14)</f>
        <v/>
      </c>
      <c r="CT76" s="369" t="e">
        <f>IF(CP76="Yes","",VLOOKUP(BR76,Reinforcements[],COLUMN(Reinforcements[[#Headers],[Bottom Transverse Weld Fillet Size (in)]])-1,FALSE)*CM76*MIN(IF(Rev="F",0.4,φ_shear_yield*0.6)*$D$6,IF(Rev="F",0.3,φ_shear_rupture*0.6)*$D$7))</f>
        <v>#N/A</v>
      </c>
      <c r="CU76" s="369" t="e">
        <f>IF(Rev="F",VLOOKUP(BR76,Reinforcements[],COLUMN(Reinforcements[[#Headers],[Rev. F Bottom Longitudinal Weld Strength]])-1,FALSE),VLOOKUP(BR76,Reinforcements[],COLUMN(Reinforcements[[#Headers],[Rev. G Bottom Longitudinal Weld Strength]])-1,FALSE))</f>
        <v>#N/A</v>
      </c>
      <c r="CV76" s="369" t="e">
        <f>2*VLOOKUP(BR76,Reinforcements[],COLUMN(Reinforcements[[#Headers],[Bottom Longitudinal Weld Fillet Size (in)]])-1,FALSE)*CO76*MIN(IF(Rev="F",0.4,φ_shear_yield*0.6)*CG76,IF(Rev="F",0.3,φ_shear_rupture*0.6)*CH76)</f>
        <v>#N/A</v>
      </c>
      <c r="CW76" s="369" t="e">
        <f>2*VLOOKUP(BR76,Reinforcements[],COLUMN(Reinforcements[[#Headers],[Bottom Longitudinal Weld Fillet Size (in)]])-1,FALSE)*CO76*MIN(IF(Rev="F",0.4,φ_shear_yield*0.6)*$D$6,IF(Rev="F",0.3,φ_shear_rupture*0.6)*$D$7)</f>
        <v>#N/A</v>
      </c>
      <c r="CX76" s="451" t="e">
        <f>IF(ISBLANK(VLOOKUP(BR76,Reinforcements[],COLUMN(Reinforcements[[#Headers],[Top Transverse Weld Length]])-1,FALSE)),"",(VLOOKUP(BR76,Reinforcements[],COLUMN(Reinforcements[[#Headers],[Top Transverse Weld Length]])-1,FALSE)))</f>
        <v>#N/A</v>
      </c>
      <c r="CY76" s="451" t="e">
        <f>IF(ISBLANK(VLOOKUP(BR76,Reinforcements[],COLUMN(Reinforcements[[#Headers],[Top Transverse (Horizontal) Weld]])-1,FALSE)),"",(VLOOKUP(BR76,Reinforcements[],COLUMN(Reinforcements[[#Headers],[Top Transverse (Horizontal) Weld]])-1,FALSE)))</f>
        <v>#N/A</v>
      </c>
      <c r="CZ76" s="451" t="e">
        <f>IF(ISBLANK(VLOOKUP(BR76,Reinforcements[],COLUMN(Reinforcements[[#Headers],[Top Longitudinal Weld Length]])-1,FALSE)),"",(VLOOKUP(BR76,Reinforcements[],COLUMN(Reinforcements[[#Headers],[Top Longitudinal Weld Length]])-1,FALSE)))</f>
        <v>#N/A</v>
      </c>
      <c r="DA76" s="369" t="str">
        <f>IFERROR(VLOOKUP(BR76,Reinforcements[],COLUMN(Reinforcements[[#Headers],[Top Connected to Flange/Base Plate?]])-1,FALSE),"")</f>
        <v/>
      </c>
      <c r="DB76" s="369" t="e">
        <f>IF(Rev="F",VLOOKUP(BR76,Reinforcements[],COLUMN(Reinforcements[[#Headers],[Rev. F Top Transverse Weld Strength]])-1,FALSE),VLOOKUP(BR76,Reinforcements[],COLUMN(Reinforcements[[#Headers],[Rev. G Top Transverse Weld Strength]])-1,FALSE))</f>
        <v>#N/A</v>
      </c>
      <c r="DC76" s="369" t="e">
        <f>IF(DA76="Yes",IF(CY76="Fillet",VLOOKUP(BR76,Reinforcements[],COLUMN(Reinforcements[[#Headers],[Top Transverse Weld Fillet Size (in)]])-1,FALSE)*CX76*MIN(IF(Rev="F",0.4,φ_shear_yield*0.6)*CG76,IF(Rev="F",0.3,φ_shear_rupture*0.6)*CH76),VLOOKUP(BR76,Reinforcements[],COLUMN(Reinforcements[[#Headers],[Top Transverse Weld Groove Depth (in)]])-1,FALSE)/COS(RADIANS(VLOOKUP(BR76,Reinforcements[],COLUMN(Reinforcements[[#Headers],[Top Transverse Weld Groove Angle (degrees)]])-1,FALSE)))*CX76*IF(Rev="F",0.6,φ_t_y)*CG76),VLOOKUP(BR76,Reinforcements[],COLUMN(Reinforcements[[#Headers],[Top Transverse Weld Fillet Size (in)]])-1,FALSE)*CX76*IF(Rev="F",0.6,φ_t_y)*CG76)</f>
        <v>#N/A</v>
      </c>
      <c r="DD76" s="369" t="str">
        <f>IF(DA76&lt;&gt;"Yes","",(VLOOKUP(BR76,Reinforcements[],COLUMN(Reinforcements[[#Headers],[Top Transverse Weld Groove Depth (in)]])-1,FALSE)+VLOOKUP(BR76,Reinforcements[],COLUMN(Reinforcements[[#Headers],[Top Transverse Weld Fillet Size (in)]])-1,FALSE))*CX76*IF(Rev="F",0.6,φ_t_y)*$D$14)</f>
        <v/>
      </c>
      <c r="DE76" s="369" t="e">
        <f>IF(DA76="Yes","",VLOOKUP(BR76,Reinforcements[],COLUMN(Reinforcements[[#Headers],[Top Transverse Weld Fillet Size (in)]])-1,FALSE)*CX76*MIN(IF(Rev="F",0.4,φ_shear_yield*0.6)*$D$6,IF(Rev="F",0.3,φ_shear_rupture*0.6)*$D$7))</f>
        <v>#N/A</v>
      </c>
      <c r="DF76" s="369" t="e">
        <f>IF(Rev="F",VLOOKUP(BR76,Reinforcements[],COLUMN(Reinforcements[[#Headers],[Rev. F Top Longitudinal Weld Strength]])-1,FALSE),VLOOKUP(BR76,Reinforcements[],COLUMN(Reinforcements[[#Headers],[Rev. G Top Longitudinal Weld Strength]])-1,FALSE))</f>
        <v>#N/A</v>
      </c>
      <c r="DG76" s="369" t="e">
        <f>2*VLOOKUP(BR76,Reinforcements[],COLUMN(Reinforcements[[#Headers],[Top Longitudinal Weld Fillet Size (in)]])-1,FALSE)*CZ76*MIN(IF(Rev="F",0.4,φ_shear_yield*0.6)*CG76,IF(Rev="F",0.3,φ_shear_rupture*0.6)*CH76)</f>
        <v>#N/A</v>
      </c>
      <c r="DH76" s="369" t="e">
        <f>2*VLOOKUP(BR76,Reinforcements[],COLUMN(Reinforcements[[#Headers],[Top Longitudinal Weld Fillet Size (in)]])-1,FALSE)*CZ76*MIN(IF(Rev="F",0.4,φ_shear_yield*0.6)*$D$6,IF(Rev="F",0.3,φ_shear_rupture*0.6)*$D$7)</f>
        <v>#N/A</v>
      </c>
      <c r="DI76" s="66" t="e">
        <f>IF(BS76="channel",VLOOKUP(Calculations!BR76,Reinforcements[],COLUMN(Reinforcements[[#Headers],['[Channel']Web Thickness (in)]])-1,FALSE),"")</f>
        <v>#N/A</v>
      </c>
      <c r="DJ76" s="66" t="b">
        <f t="shared" si="84"/>
        <v>0</v>
      </c>
      <c r="DK76" s="66" t="e">
        <f>IF(BS76="channel",Calculations!BU76-DI76,"")</f>
        <v>#N/A</v>
      </c>
      <c r="DL76" s="66" t="e">
        <f>IF(BS76="channel",(Calculations!BY76-Calculations!BT76*DI76)/(2*DK76))</f>
        <v>#N/A</v>
      </c>
      <c r="DM76" s="66" t="e">
        <f>IF(BS76="channel",(Calculations!BT76*(DI76^2)/2+2*DK76*DL76*(DI76+DK76/2))/Calculations!BY76,"")</f>
        <v>#N/A</v>
      </c>
    </row>
    <row r="77" spans="2:117" ht="15" x14ac:dyDescent="0.25">
      <c r="B77" s="66" t="str">
        <f t="shared" si="70"/>
        <v/>
      </c>
      <c r="C77" s="317">
        <v>18</v>
      </c>
      <c r="D77" s="380" t="str">
        <f>IF(BQ77="","",IF($D$8=0,IF(OR(VLOOKUP(BQ77,Input!$B$21:$AL$50,19+C77,FALSE)+$D$5=0,VLOOKUP(BQ77,Input!$B$21:$AL$50,19+C77,FALSE)+$D$5=180),VLOOKUP(BQ77,Input!$B$21:$AL$50,19+C77,FALSE)+$D$5+0.0001,VLOOKUP(BQ77,Input!$B$21:$AL$50,19+C77,FALSE)+$D$5),IF(VLOOKUP(BQ77,Input!$B$21:$AL$50,19+C77,FALSE)="c",VLOOKUP($C77,$C$40:$E$57,2,FALSE)+180/$D$8,VLOOKUP($C77,$C$40:$E$57,2,FALSE))))</f>
        <v/>
      </c>
      <c r="E77" s="370" t="str">
        <f t="shared" si="39"/>
        <v/>
      </c>
      <c r="F77" s="381" t="str">
        <f>IF(BR77="","",VLOOKUP(BR77,Reinforcements[],COLUMN(Reinforcements[[#Headers],[Gross Area (in2)]])-1,FALSE))</f>
        <v/>
      </c>
      <c r="G77" s="378" t="e">
        <f>(IF(VLOOKUP(BQ77,Input!$B$21:$AL$50,19+C77,FALSE)="c",$D$20/COS(RADIANS(180/$D$8)),$D$20)+CA77)*SIN(RADIANS(D77))-IF(AND(ISNUMBER(VLOOKUP(BQ77,Input!$B$21:$AL$50,19+C77,FALSE)),$D$8&lt;&gt;0),VLOOKUP(BQ77,Input!$B$21:$AL$50,19+C77,FALSE)*COS(RADIANS(D77)),0)</f>
        <v>#N/A</v>
      </c>
      <c r="H77" s="373" t="str">
        <f t="shared" si="71"/>
        <v/>
      </c>
      <c r="I77" s="373" t="e">
        <f t="shared" si="40"/>
        <v>#N/A</v>
      </c>
      <c r="J77" s="373" t="e">
        <f t="shared" si="41"/>
        <v>#N/A</v>
      </c>
      <c r="K77" s="373" t="e">
        <f t="shared" si="42"/>
        <v>#N/A</v>
      </c>
      <c r="L77" s="373" t="e">
        <f t="shared" si="72"/>
        <v>#N/A</v>
      </c>
      <c r="M77" s="374" t="str">
        <f t="shared" si="73"/>
        <v/>
      </c>
      <c r="N77" s="372" t="str">
        <f>IFERROR((IF(VLOOKUP(BQ77,Input!$B$21:$AL$50,19+C77,FALSE)="c",$D$20/COS(RADIANS(180/$D$8)),$D$20)+CA77)*SIN(RADIANS(D77))-IF(AND(ISNUMBER(VLOOKUP(BQ77,Input!$B$21:$AL$50,19+C77,FALSE)),$D$8&lt;&gt;0),VLOOKUP(BQ77,Input!$B$21:$AL$50,19+C77,FALSE)*COS(RADIANS(D77)),0)-$D$35,"")</f>
        <v/>
      </c>
      <c r="O77" s="375" t="str">
        <f t="shared" si="43"/>
        <v/>
      </c>
      <c r="P77" s="375" t="str">
        <f t="shared" si="44"/>
        <v/>
      </c>
      <c r="Q77" s="375" t="str">
        <f t="shared" si="45"/>
        <v/>
      </c>
      <c r="R77" s="376" t="str">
        <f t="shared" si="46"/>
        <v/>
      </c>
      <c r="S77" s="373" t="str">
        <f t="shared" si="74"/>
        <v/>
      </c>
      <c r="T77" s="373" t="str">
        <f t="shared" si="75"/>
        <v/>
      </c>
      <c r="U77" s="373" t="str">
        <f t="shared" si="76"/>
        <v/>
      </c>
      <c r="V77" s="374" t="str">
        <f t="shared" si="77"/>
        <v/>
      </c>
      <c r="W77" s="482" t="str">
        <f>IFERROR(IF('Macro References'!$A$9,IF(AND(Calculations!CK77,CL77="Bolted"),VLOOKUP($BR77,Reinforcements[],COLUMN(IF(Rev="F",Reinforcements[[#Headers],[Rev. F Bolt Shear Capacity   (Top)        (kips)]],IF(Rev="G",Reinforcements[[#Headers],[Rev. G Bolt Shear Capacity (Top)     (kips)]],Reinforcements[[#Headers],[Rev. H Bolt Shear Capacity (Top) (kips)]])))-1,FALSE),IF(AND(Calculations!CJ77,CL77="Bolted"),VLOOKUP($BR77,Reinforcements[],COLUMN(IF(Rev="F",Reinforcements[[#Headers],[Rev. F Bolt Shear Capacity (Bottom)   (kips)]],IF(Rev="G",Reinforcements[[#Headers],[Rev. G Bolt Shear Capacity (Bottom) (kips)]],Reinforcements[[#Headers],[Rev. H Bolt Shear Capacity (Bottom) (kips)]])))-1,FALSE),"")),""),"")</f>
        <v/>
      </c>
      <c r="X77" s="483" t="str">
        <f>IFERROR(IF('Macro References'!$A$9,IF('Macro References'!$A$10,IF(AND(Calculations!CK77,CL77="Bolted"),VLOOKUP($BR77,Reinforcements[],COLUMN(IF(Rev="F",Reinforcements[[#Headers],[Rev.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kips)]])))-1,FALSE),IF(AND(Calculations!CJ77,CL77="Bolted"),VLOOKUP($BR77,Reinforcements[],COLUMN(IF(Rev="F",Reinforcements[[#Headers],[Rev.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kips)]])))-1,FALSE),"")),IF(AND(Calculations!CK77,CL77="Bolted"),VLOOKUP($BR77,Reinforcements[],COLUMN(IF(Rev="F",Reinforcements[[#Headers],[Rev.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kips)]])))-1,FALSE),IF(AND(Calculations!CJ77,CL77="Bolted"),VLOOKUP($BR77,Reinforcements[],COLUMN(IF(Rev="F",Reinforcements[[#Headers],[Rev.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7" s="483" t="str">
        <f>IFERROR(IF('Macro References'!$A$9,IF('Macro References'!$A$10,IF(AND(Calculations!CK77,CL77="Bolted"),VLOOKUP($BR77,Reinforcements[],COLUMN(IF(Rev="F",Reinforcements[[#Headers],[Rev.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(kips)]])))-1,FALSE),IF(AND(Calculations!CJ77,CL77="Bolted"),VLOOKUP($BR77,Reinforcements[],COLUMN(IF(Rev="F",Reinforcements[[#Headers],[Rev.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(kips)]])))-1,FALSE),"")),IF(AND(Calculations!CK77,CL77="Bolted"),VLOOKUP($BR77,Reinforcements[],COLUMN(IF(Rev="F",Reinforcements[[#Headers],[Rev.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(kips)]])))-1,FALSE),IF(AND(Calculations!CJ77,CL77="Bolted"),VLOOKUP($BR77,Reinforcements[],COLUMN(IF(Rev="F",Reinforcements[[#Headers],[Rev.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7" s="483" t="str">
        <f>IFERROR(IF('Macro References'!$A$9,IF(AND(CJ77,CL77="Welded"),MIN(CQ77:CT77),IF(AND(CK77,CL77="Welded"),MIN(DB77:DE77),"")),""),"")</f>
        <v/>
      </c>
      <c r="AA77" s="484" t="str">
        <f>IFERROR(IF('Macro References'!$A$9,IF(AND(CJ77,CL77="Welded"),MIN(CU77:CW77),IF(AND(CK77,CL77="Welded"),MIN(DF77:DH77),"")),""),"")</f>
        <v/>
      </c>
      <c r="AB77" s="484" t="str">
        <f>IFERROR(IF('Macro References'!$A$9,IF(AND(CJ77,CL77="Welded",CN77="Fillet",CU77&gt;0),TRUE,IF(AND(CK77,CL77="Welded",CY77="Fillet",DF77&gt;0),TRUE,"")),""),"")</f>
        <v/>
      </c>
      <c r="AC77" s="484" t="e">
        <f>IF('Macro References'!$A$9,IF(AND(CJ77,CL77="Capacity Input"),IF(Rev="F",VLOOKUP(BR77,Reinforcements[],COLUMN(Reinforcements[[#Headers],[Rev. F Bottom Connection Capacity (kips)]])-1,FALSE),IF(Rev="G",VLOOKUP(BR77,Reinforcements[],COLUMN(Reinforcements[[#Headers],[Rev. G Bottom Connection Capacity (kips)]])-1,FALSE),VLOOKUP(BR77,Reinforcements[],COLUMN(Reinforcements[[#Headers],[Rev. H Bottom Connection Capacity (kips)]])-1,FALSE))),IF(AND(CK77,CL77="Capacity Input"),IF(Rev="F",VLOOKUP(BR77,Reinforcements[],COLUMN(Reinforcements[[#Headers],[Rev. F Top Connection Capacity (kips)]])-1,FALSE),IF(Rev="G",VLOOKUP(BR77,Reinforcements[],COLUMN(Reinforcements[[#Headers],[Rev. G Top Connection Capacity (kips)]])-1,FALSE),VLOOKUP(BR77,Reinforcements[],COLUMN(Reinforcements[[#Headers],[Rev. H Top Connection Capacity (kips)]])-1,FALSE))),"")),"")</f>
        <v>#VALUE!</v>
      </c>
      <c r="AD77" s="484" t="str">
        <f>IFERROR(IF(Rev="F",MIN(VLOOKUP(BR77,Reinforcements[],COLUMN(Reinforcements[[#Headers],[Rev. F Compression Capacity x-x (kips)]])-1,FALSE),VLOOKUP(BR77,Reinforcements[],COLUMN(Reinforcements[[#Headers],[Rev. F Compression Capacity y-y (kips)]])-1,FALSE)),IF(Rev="G",MIN(VLOOKUP(BR77,Reinforcements[],COLUMN(Reinforcements[[#Headers],[Rev. G Compression Capacity x-x (kips)]])-1,FALSE),VLOOKUP(BR77,Reinforcements[],COLUMN(Reinforcements[[#Headers],[Rev. G Compression Capacity y-y (kips)]])-1,FALSE)),MIN(VLOOKUP(BR77,Reinforcements[],COLUMN(Reinforcements[[#Headers],[Rev. H Compression Capacity x-x (kips)]])-1,FALSE),VLOOKUP(BR77,Reinforcements[],COLUMN(Reinforcements[[#Headers],[Rev. H Compression Capacity y-y (kips)]])-1,FALSE)))),"")</f>
        <v/>
      </c>
      <c r="AE77" s="485" t="str">
        <f>IFERROR(IF(Rev="F",VLOOKUP(BR77,Reinforcements[],COLUMN(Reinforcements[[#Headers],[Rev. F Shear Capacity (kips)]])-1,FALSE)/BY77,IF(Rev="G",VLOOKUP(Calculations!BR77,Reinforcements[],COLUMN(Reinforcements[[#Headers],[Rev. G Shear Capacity (kips)]])-1,FALSE),VLOOKUP(Calculations!BR77,Reinforcements[],COLUMN(Reinforcements[[#Headers],[Rev. H Shear Capacity (kips)]])-1,FALSE))),"")</f>
        <v/>
      </c>
      <c r="AF77" s="451" t="str">
        <f>IFERROR(IF(Rev="F",VLOOKUP(BR77,Reinforcements[],COLUMN(Reinforcements[[#Headers],[Rev. F Tension Yield Capacity (kips)]])-1,FALSE),IF(Rev="G",VLOOKUP(Calculations!BR77,Reinforcements[],COLUMN(Reinforcements[[#Headers],[Rev. G Tension Yield Capacity (kips)]])-1,FALSE),VLOOKUP(Calculations!BR77,Reinforcements[],COLUMN(Reinforcements[[#Headers],[Rev. H Tension Yield Capacity (kips)]])-1,FALSE))),"")</f>
        <v/>
      </c>
      <c r="AG77" s="486" t="str">
        <f>IFERROR(IF(Rev="F",VLOOKUP(BR77,Reinforcements[],COLUMN(Reinforcements[[#Headers],[Rev. F Tension Rupture Capacity (kips)]])-1,FALSE),IF(Rev="G",VLOOKUP(Calculations!BR77,Reinforcements[],COLUMN(Reinforcements[[#Headers],[Rev. G Tension Rupture Capacity (kips)]])-1,FALSE),VLOOKUP(Calculations!BR77,Reinforcements[],COLUMN(Reinforcements[[#Headers],[Rev. H Tension Rupture Capacity (kips)]])-1, FALSE))),"")</f>
        <v/>
      </c>
      <c r="AH77" s="409" t="str">
        <f t="shared" si="47"/>
        <v/>
      </c>
      <c r="AI77" s="380" t="str">
        <f t="shared" si="48"/>
        <v/>
      </c>
      <c r="AJ77" s="380" t="str">
        <f t="shared" si="49"/>
        <v/>
      </c>
      <c r="AK77" s="380" t="str">
        <f t="shared" si="85"/>
        <v/>
      </c>
      <c r="AL77" s="369" t="str">
        <f t="shared" si="78"/>
        <v/>
      </c>
      <c r="AM77" s="380" t="str">
        <f>""</f>
        <v/>
      </c>
      <c r="AN77" s="380" t="str">
        <f t="shared" si="50"/>
        <v/>
      </c>
      <c r="AO77" s="369" t="str">
        <f t="shared" si="51"/>
        <v/>
      </c>
      <c r="AP77" s="410" t="str">
        <f t="shared" si="52"/>
        <v/>
      </c>
      <c r="AQ77" s="411" t="str">
        <f t="shared" si="53"/>
        <v/>
      </c>
      <c r="AR77" s="380" t="str">
        <f>IF(BR77="","",VLOOKUP(VLOOKUP(BR77,Reinforcements[],COLUMN(Reinforcements[[#Headers],[Material]])-1,FALSE),Materials[],2,FALSE)/$D$28)</f>
        <v/>
      </c>
      <c r="AS77" s="369" t="str">
        <f t="shared" si="54"/>
        <v/>
      </c>
      <c r="AT77" s="489" t="str">
        <f t="shared" si="55"/>
        <v/>
      </c>
      <c r="AU77" s="412">
        <f t="shared" si="56"/>
        <v>0</v>
      </c>
      <c r="AV77" s="413">
        <f t="shared" si="57"/>
        <v>0</v>
      </c>
      <c r="AW77" s="413" t="e">
        <f t="shared" si="58"/>
        <v>#N/A</v>
      </c>
      <c r="AX77" s="413" t="e">
        <f t="shared" si="59"/>
        <v>#N/A</v>
      </c>
      <c r="AY77" s="413" t="str">
        <f t="shared" si="60"/>
        <v/>
      </c>
      <c r="AZ77" s="413" t="e">
        <f t="shared" si="61"/>
        <v>#VALUE!</v>
      </c>
      <c r="BA77" s="433" t="str">
        <f t="shared" si="62"/>
        <v/>
      </c>
      <c r="BB77" s="436" t="str">
        <f t="shared" si="79"/>
        <v/>
      </c>
      <c r="BC77" s="437" t="str">
        <f t="shared" si="63"/>
        <v/>
      </c>
      <c r="BD77" s="437" t="str">
        <f t="shared" si="64"/>
        <v/>
      </c>
      <c r="BE77" s="433" t="str">
        <f t="shared" si="80"/>
        <v/>
      </c>
      <c r="BF77" s="438" t="e">
        <f t="shared" si="81"/>
        <v>#DIV/0!</v>
      </c>
      <c r="BG77" s="439" t="str">
        <f t="shared" si="65"/>
        <v/>
      </c>
      <c r="BH77" s="439" t="str">
        <f t="shared" si="66"/>
        <v/>
      </c>
      <c r="BI77" s="433" t="e">
        <f t="shared" si="82"/>
        <v>#DIV/0!</v>
      </c>
      <c r="BJ77" s="438" t="str">
        <f t="shared" si="83"/>
        <v/>
      </c>
      <c r="BK77" s="413" t="e">
        <f t="shared" si="67"/>
        <v>#DIV/0!</v>
      </c>
      <c r="BL77" s="66" t="str">
        <f t="shared" si="68"/>
        <v/>
      </c>
      <c r="BP77" s="30" t="e">
        <f t="shared" si="69"/>
        <v>#DIV/0!</v>
      </c>
      <c r="BQ77" s="344" t="str">
        <f>IFERROR(VALUE(LEFT(VLOOKUP(Calculations!$D$4,Results!$G$5:$CM$105,67+$C77,FALSE),FIND(";",VLOOKUP(Calculations!$D$4,Results!$G$5:$CM$105,67+$C77,FALSE))-1)),"")</f>
        <v/>
      </c>
      <c r="BR77" s="444" t="str">
        <f>IF(BQ77="","",VLOOKUP(BQ77,Input!$B$21:$Q$50,13,FALSE))</f>
        <v/>
      </c>
      <c r="BS77" s="369" t="e">
        <f>VLOOKUP(BR77,Reinforcements[],COLUMN(Reinforcements[[#Headers],[Type]])-1,FALSE)</f>
        <v>#N/A</v>
      </c>
      <c r="BT77" s="369" t="e">
        <f>IF(BS77="solid round",VLOOKUP(BR77,Reinforcements[],COLUMN(Reinforcements[[#Headers],[Diameter (in)]])-1,FALSE),VLOOKUP(BR77,Reinforcements[],COLUMN(Reinforcements[[#Headers],[B (in)]])-1,FALSE))</f>
        <v>#N/A</v>
      </c>
      <c r="BU77" s="369" t="e">
        <f>IF(BS77="solid round",VLOOKUP(BR77,Reinforcements[],COLUMN(Reinforcements[[#Headers],[Diameter (in)]])-1,FALSE),VLOOKUP(BR77,Reinforcements[],COLUMN(Reinforcements[[#Headers],[H (in)]])-1,FALSE))</f>
        <v>#N/A</v>
      </c>
      <c r="BV77" s="413" t="e">
        <f>IFERROR((IF(VLOOKUP(BQ77,Input!$B$21:$AL$50,19+C77,FALSE)="c",$D$20/COS(RADIANS(180/$D$8)),$D$20)+BU77/2)*SIN(RADIANS(D77))-IF(ISNUMBER(VLOOKUP(BQ77,Input!$B$21:$AL$50,19+C77,FALSE)),VLOOKUP(BQ77,Input!$B$21:$AL$50,19+C77,FALSE)*COS(RADIANS(D77)),0)-$D$35,"")*0+N77*1</f>
        <v>#VALUE!</v>
      </c>
      <c r="BW77" s="369" t="e">
        <f>VLOOKUP(BR77,Reinforcements[],COLUMN(Reinforcements[[#Headers],[Effective B (in)]])-1,FALSE)</f>
        <v>#N/A</v>
      </c>
      <c r="BX77" s="369" t="e">
        <f>VLOOKUP(BR77,Reinforcements[],COLUMN(Reinforcements[[#Headers],[Effective H (in)]])-1,FALSE)</f>
        <v>#N/A</v>
      </c>
      <c r="BY77" s="369" t="e">
        <f>VLOOKUP(BR77,Reinforcements[],COLUMN(Reinforcements[[#Headers],[Gross Area (in2)]])-1,FALSE)</f>
        <v>#N/A</v>
      </c>
      <c r="BZ77" s="380" t="s">
        <v>335</v>
      </c>
      <c r="CA77" s="369" t="e">
        <f>VLOOKUP(BR77,Reinforcements[],COLUMN(Reinforcements[[#Headers],[Pole Face to Centroid (in)]])-1,FALSE)</f>
        <v>#N/A</v>
      </c>
      <c r="CB77" s="369" t="e">
        <f>VLOOKUP(BR77,Reinforcements[],COLUMN(Reinforcements[[#Headers],[Equivalent Rectangle Ix (in4)]])-1,FALSE)</f>
        <v>#N/A</v>
      </c>
      <c r="CC77" s="369" t="e">
        <f>VLOOKUP(BR77,Reinforcements[],COLUMN(Reinforcements[[#Headers],[Equivalent Rectangle Iy (in4)]])-1,FALSE)</f>
        <v>#N/A</v>
      </c>
      <c r="CD77" s="369" t="e">
        <f>VLOOKUP(BR77,Reinforcements[],COLUMN(Reinforcements[[#Headers],[Lu (in)]])-1,FALSE)</f>
        <v>#N/A</v>
      </c>
      <c r="CE77" s="380" t="s">
        <v>335</v>
      </c>
      <c r="CF77" s="380" t="s">
        <v>335</v>
      </c>
      <c r="CG77" s="369" t="e">
        <f>VLOOKUP(VLOOKUP(BR77,Reinforcements[],COLUMN(Reinforcements[[#Headers],[Material]])-1,FALSE),Materials[],2,FALSE)</f>
        <v>#N/A</v>
      </c>
      <c r="CH77" s="369" t="e">
        <f>VLOOKUP(VLOOKUP(BR77,Reinforcements[],COLUMN(Reinforcements[[#Headers],[Material]])-1,FALSE),Materials[],3,FALSE)</f>
        <v>#N/A</v>
      </c>
      <c r="CI77" s="380" t="e">
        <f>VLOOKUP(BR77,Reinforcements[],COLUMN(Reinforcements[[#Headers],[Tension Only?]])-1,FALSE)</f>
        <v>#N/A</v>
      </c>
      <c r="CJ77" s="449" t="str">
        <f>IF(BQ77="","",AND(INDEX(Results!$G$5:$G$104,MATCH(VLOOKUP($BQ77,Input!$B$21:$J$50,2,FALSE)-0.001,Results!$G$5:$G$104,-1))=$D$4))</f>
        <v/>
      </c>
      <c r="CK77" s="449" t="str">
        <f>IF(BQ77="","",AND(INDEX('Macro References'!$BB$2:$BB$101,MATCH(VLOOKUP($BQ77,Input!$B$21:$J$50,6,FALSE)-0.001,'Macro References'!$BB$2:$BB$101,1))=$D$4))</f>
        <v/>
      </c>
      <c r="CL77" s="449" t="e">
        <f>IF(CJ77,VLOOKUP(BR77,Reinforcements[],COLUMN(Reinforcements[[#Headers],[Bottom End Connection Type]])-1,FALSE),IF(CK77,VLOOKUP(BR77,Reinforcements[],COLUMN(Reinforcements[[#Headers],[Top End Connection Type]])-1,FALSE),""))</f>
        <v>#VALUE!</v>
      </c>
      <c r="CM77" s="449" t="e">
        <f>IF(ISBLANK(VLOOKUP(BR77,Reinforcements[],COLUMN(Reinforcements[[#Headers],[Bottom Transverse Weld Length]])-1,FALSE)),"",(VLOOKUP(BR77,Reinforcements[],COLUMN(Reinforcements[[#Headers],[Bottom Transverse Weld Length]])-1,FALSE)))</f>
        <v>#N/A</v>
      </c>
      <c r="CN77" s="449" t="e">
        <f>IF(ISBLANK(VLOOKUP(BR77,Reinforcements[],COLUMN(Reinforcements[[#Headers],[Bottom Transverse (Horizontal) Weld]])-1,FALSE)),"",(VLOOKUP(BR77,Reinforcements[],COLUMN(Reinforcements[[#Headers],[Bottom Transverse (Horizontal) Weld]])-1,FALSE)))</f>
        <v>#N/A</v>
      </c>
      <c r="CO77" s="449" t="e">
        <f>IF(ISBLANK(VLOOKUP(BR77,Reinforcements[],COLUMN(Reinforcements[[#Headers],[Bottom Longitudinal Weld Length]])-1,FALSE)),"",(VLOOKUP(BR77,Reinforcements[],COLUMN(Reinforcements[[#Headers],[Bottom Longitudinal Weld Length]])-1,FALSE)))</f>
        <v>#N/A</v>
      </c>
      <c r="CP77" s="449" t="str">
        <f>IFERROR(VLOOKUP(BR77,Reinforcements[],COLUMN(Reinforcements[[#Headers],[Bottom Connected to Flange/Base Plate?]])-1,FALSE),"")</f>
        <v/>
      </c>
      <c r="CQ77" s="369" t="e">
        <f>IF(Rev="F",VLOOKUP(BR77,Reinforcements[],COLUMN(Reinforcements[[#Headers],[Rev. F Bottom Transverse Weld Strength]])-1,FALSE),VLOOKUP(BR77,Reinforcements[],COLUMN(Reinforcements[[#Headers],[Rev. G Bottom Transverse Weld Strength]])-1,FALSE))</f>
        <v>#N/A</v>
      </c>
      <c r="CR77" s="369" t="e">
        <f>IF(CP77="Yes",IF(CN77="Fillet",VLOOKUP(BR77,Reinforcements[],COLUMN(Reinforcements[[#Headers],[Bottom Transverse Weld Fillet Size (in)]])-1,FALSE)*CM77*MIN(IF(Rev="F",0.4,φ_shear_yield*0.6)*CG77,IF(Rev="F",0.3,φ_shear_rupture*0.6)*CH77),VLOOKUP(BR77,Reinforcements[],COLUMN(Reinforcements[[#Headers],[Bottom Transverse Weld Groove Depth (in)]])-1,FALSE)/COS(RADIANS(VLOOKUP(BR77,Reinforcements[],COLUMN(Reinforcements[[#Headers],[Bottom Transverse Weld Groove Angle (degrees)]])-1,FALSE)))*CM77*IF(Rev="F",0.6,φ_t_y)*CG77),VLOOKUP(BR77,Reinforcements[],COLUMN(Reinforcements[[#Headers],[Bottom Transverse Weld Fillet Size (in)]])-1,FALSE)*CM77*IF(Rev="F",0.6,φ_t_y)*CG77)</f>
        <v>#N/A</v>
      </c>
      <c r="CS77" s="369" t="str">
        <f>IF(CP77&lt;&gt;"Yes","",(VLOOKUP(BR77,Reinforcements[],COLUMN(Reinforcements[[#Headers],[Bottom Transverse Weld Groove Depth (in)]])-1,FALSE)+VLOOKUP(BR77,Reinforcements[],COLUMN(Reinforcements[[#Headers],[Bottom Transverse Weld Fillet Size (in)]])-1,FALSE))*CM77*IF(Rev="F",0.6,φ_t_y)*$D$14)</f>
        <v/>
      </c>
      <c r="CT77" s="369" t="e">
        <f>IF(CP77="Yes","",VLOOKUP(BR77,Reinforcements[],COLUMN(Reinforcements[[#Headers],[Bottom Transverse Weld Fillet Size (in)]])-1,FALSE)*CM77*MIN(IF(Rev="F",0.4,φ_shear_yield*0.6)*$D$6,IF(Rev="F",0.3,φ_shear_rupture*0.6)*$D$7))</f>
        <v>#N/A</v>
      </c>
      <c r="CU77" s="369" t="e">
        <f>IF(Rev="F",VLOOKUP(BR77,Reinforcements[],COLUMN(Reinforcements[[#Headers],[Rev. F Bottom Longitudinal Weld Strength]])-1,FALSE),VLOOKUP(BR77,Reinforcements[],COLUMN(Reinforcements[[#Headers],[Rev. G Bottom Longitudinal Weld Strength]])-1,FALSE))</f>
        <v>#N/A</v>
      </c>
      <c r="CV77" s="369" t="e">
        <f>2*VLOOKUP(BR77,Reinforcements[],COLUMN(Reinforcements[[#Headers],[Bottom Longitudinal Weld Fillet Size (in)]])-1,FALSE)*CO77*MIN(IF(Rev="F",0.4,φ_shear_yield*0.6)*CG77,IF(Rev="F",0.3,φ_shear_rupture*0.6)*CH77)</f>
        <v>#N/A</v>
      </c>
      <c r="CW77" s="369" t="e">
        <f>2*VLOOKUP(BR77,Reinforcements[],COLUMN(Reinforcements[[#Headers],[Bottom Longitudinal Weld Fillet Size (in)]])-1,FALSE)*CO77*MIN(IF(Rev="F",0.4,φ_shear_yield*0.6)*$D$6,IF(Rev="F",0.3,φ_shear_rupture*0.6)*$D$7)</f>
        <v>#N/A</v>
      </c>
      <c r="CX77" s="451" t="e">
        <f>IF(ISBLANK(VLOOKUP(BR77,Reinforcements[],COLUMN(Reinforcements[[#Headers],[Top Transverse Weld Length]])-1,FALSE)),"",(VLOOKUP(BR77,Reinforcements[],COLUMN(Reinforcements[[#Headers],[Top Transverse Weld Length]])-1,FALSE)))</f>
        <v>#N/A</v>
      </c>
      <c r="CY77" s="451" t="e">
        <f>IF(ISBLANK(VLOOKUP(BR77,Reinforcements[],COLUMN(Reinforcements[[#Headers],[Top Transverse (Horizontal) Weld]])-1,FALSE)),"",(VLOOKUP(BR77,Reinforcements[],COLUMN(Reinforcements[[#Headers],[Top Transverse (Horizontal) Weld]])-1,FALSE)))</f>
        <v>#N/A</v>
      </c>
      <c r="CZ77" s="451" t="e">
        <f>IF(ISBLANK(VLOOKUP(BR77,Reinforcements[],COLUMN(Reinforcements[[#Headers],[Top Longitudinal Weld Length]])-1,FALSE)),"",(VLOOKUP(BR77,Reinforcements[],COLUMN(Reinforcements[[#Headers],[Top Longitudinal Weld Length]])-1,FALSE)))</f>
        <v>#N/A</v>
      </c>
      <c r="DA77" s="369" t="str">
        <f>IFERROR(VLOOKUP(BR77,Reinforcements[],COLUMN(Reinforcements[[#Headers],[Top Connected to Flange/Base Plate?]])-1,FALSE),"")</f>
        <v/>
      </c>
      <c r="DB77" s="369" t="e">
        <f>IF(Rev="F",VLOOKUP(BR77,Reinforcements[],COLUMN(Reinforcements[[#Headers],[Rev. F Top Transverse Weld Strength]])-1,FALSE),VLOOKUP(BR77,Reinforcements[],COLUMN(Reinforcements[[#Headers],[Rev. G Top Transverse Weld Strength]])-1,FALSE))</f>
        <v>#N/A</v>
      </c>
      <c r="DC77" s="369" t="e">
        <f>IF(DA77="Yes",IF(CY77="Fillet",VLOOKUP(BR77,Reinforcements[],COLUMN(Reinforcements[[#Headers],[Top Transverse Weld Fillet Size (in)]])-1,FALSE)*CX77*MIN(IF(Rev="F",0.4,φ_shear_yield*0.6)*CG77,IF(Rev="F",0.3,φ_shear_rupture*0.6)*CH77),VLOOKUP(BR77,Reinforcements[],COLUMN(Reinforcements[[#Headers],[Top Transverse Weld Groove Depth (in)]])-1,FALSE)/COS(RADIANS(VLOOKUP(BR77,Reinforcements[],COLUMN(Reinforcements[[#Headers],[Top Transverse Weld Groove Angle (degrees)]])-1,FALSE)))*CX77*IF(Rev="F",0.6,φ_t_y)*CG77),VLOOKUP(BR77,Reinforcements[],COLUMN(Reinforcements[[#Headers],[Top Transverse Weld Fillet Size (in)]])-1,FALSE)*CX77*IF(Rev="F",0.6,φ_t_y)*CG77)</f>
        <v>#N/A</v>
      </c>
      <c r="DD77" s="369" t="str">
        <f>IF(DA77&lt;&gt;"Yes","",(VLOOKUP(BR77,Reinforcements[],COLUMN(Reinforcements[[#Headers],[Top Transverse Weld Groove Depth (in)]])-1,FALSE)+VLOOKUP(BR77,Reinforcements[],COLUMN(Reinforcements[[#Headers],[Top Transverse Weld Fillet Size (in)]])-1,FALSE))*CX77*IF(Rev="F",0.6,φ_t_y)*$D$14)</f>
        <v/>
      </c>
      <c r="DE77" s="369" t="e">
        <f>IF(DA77="Yes","",VLOOKUP(BR77,Reinforcements[],COLUMN(Reinforcements[[#Headers],[Top Transverse Weld Fillet Size (in)]])-1,FALSE)*CX77*MIN(IF(Rev="F",0.4,φ_shear_yield*0.6)*$D$6,IF(Rev="F",0.3,φ_shear_rupture*0.6)*$D$7))</f>
        <v>#N/A</v>
      </c>
      <c r="DF77" s="369" t="e">
        <f>IF(Rev="F",VLOOKUP(BR77,Reinforcements[],COLUMN(Reinforcements[[#Headers],[Rev. F Top Longitudinal Weld Strength]])-1,FALSE),VLOOKUP(BR77,Reinforcements[],COLUMN(Reinforcements[[#Headers],[Rev. G Top Longitudinal Weld Strength]])-1,FALSE))</f>
        <v>#N/A</v>
      </c>
      <c r="DG77" s="369" t="e">
        <f>2*VLOOKUP(BR77,Reinforcements[],COLUMN(Reinforcements[[#Headers],[Top Longitudinal Weld Fillet Size (in)]])-1,FALSE)*CZ77*MIN(IF(Rev="F",0.4,φ_shear_yield*0.6)*CG77,IF(Rev="F",0.3,φ_shear_rupture*0.6)*CH77)</f>
        <v>#N/A</v>
      </c>
      <c r="DH77" s="369" t="e">
        <f>2*VLOOKUP(BR77,Reinforcements[],COLUMN(Reinforcements[[#Headers],[Top Longitudinal Weld Fillet Size (in)]])-1,FALSE)*CZ77*MIN(IF(Rev="F",0.4,φ_shear_yield*0.6)*$D$6,IF(Rev="F",0.3,φ_shear_rupture*0.6)*$D$7)</f>
        <v>#N/A</v>
      </c>
      <c r="DI77" s="66" t="e">
        <f>IF(BS77="channel",VLOOKUP(Calculations!BR77,Reinforcements[],COLUMN(Reinforcements[[#Headers],['[Channel']Web Thickness (in)]])-1,FALSE),"")</f>
        <v>#N/A</v>
      </c>
      <c r="DJ77" s="66" t="b">
        <f t="shared" si="84"/>
        <v>0</v>
      </c>
      <c r="DK77" s="66" t="e">
        <f>IF(BS77="channel",Calculations!BU77-DI77,"")</f>
        <v>#N/A</v>
      </c>
      <c r="DL77" s="66" t="e">
        <f>IF(BS77="channel",(Calculations!BY77-Calculations!BT77*DI77)/(2*DK77))</f>
        <v>#N/A</v>
      </c>
      <c r="DM77" s="66" t="e">
        <f>IF(BS77="channel",(Calculations!BT77*(DI77^2)/2+2*DK77*DL77*(DI77+DK77/2))/Calculations!BY77,"")</f>
        <v>#N/A</v>
      </c>
    </row>
    <row r="78" spans="2:117" ht="15" x14ac:dyDescent="0.25">
      <c r="B78" s="66"/>
      <c r="C78" s="319"/>
      <c r="D78" s="382"/>
      <c r="E78" s="383"/>
      <c r="F78" s="384"/>
      <c r="G78" s="385"/>
      <c r="H78" s="385"/>
      <c r="I78" s="385"/>
      <c r="J78" s="385"/>
      <c r="K78" s="385"/>
      <c r="L78" s="385"/>
      <c r="M78" s="385"/>
      <c r="N78" s="385"/>
      <c r="O78" s="385"/>
      <c r="P78" s="385"/>
      <c r="Q78" s="385"/>
      <c r="R78" s="385"/>
      <c r="S78" s="385"/>
      <c r="T78" s="385"/>
      <c r="U78" s="385"/>
      <c r="V78" s="385"/>
      <c r="W78" s="487"/>
      <c r="X78" s="487"/>
      <c r="Y78" s="487"/>
      <c r="Z78" s="487"/>
      <c r="AA78" s="487"/>
      <c r="AB78" s="485"/>
      <c r="AC78" s="488"/>
      <c r="AD78" s="488"/>
      <c r="AE78" s="488"/>
      <c r="AF78" s="487"/>
      <c r="AG78" s="487"/>
      <c r="AH78" s="66"/>
      <c r="AI78" s="66"/>
      <c r="AJ78" s="66"/>
      <c r="AK78" s="66"/>
      <c r="AL78" s="66"/>
      <c r="AM78" s="327"/>
      <c r="AN78" s="382"/>
      <c r="AO78" s="327"/>
      <c r="AP78" s="327"/>
      <c r="AQ78" s="327"/>
      <c r="AR78" s="382"/>
      <c r="AS78" s="327"/>
      <c r="AT78" s="490"/>
      <c r="AU78" s="435"/>
      <c r="AV78" s="435"/>
      <c r="AW78" s="435"/>
      <c r="AX78" s="435"/>
      <c r="AY78" s="435"/>
      <c r="AZ78" s="435"/>
      <c r="BA78" s="435"/>
      <c r="BB78" s="435"/>
      <c r="BC78" s="435"/>
      <c r="BD78" s="435"/>
      <c r="BE78" s="435"/>
      <c r="BF78" s="435"/>
      <c r="BG78" s="435"/>
      <c r="BH78" s="435"/>
      <c r="BI78" s="435"/>
      <c r="BJ78" s="435"/>
      <c r="BK78" s="435"/>
      <c r="BQ78" s="445"/>
      <c r="BR78" s="446"/>
      <c r="BS78" s="447"/>
      <c r="BT78" s="447"/>
      <c r="BU78" s="447"/>
      <c r="BV78" s="448"/>
      <c r="BW78" s="447"/>
      <c r="BX78" s="447"/>
      <c r="BY78" s="447"/>
      <c r="BZ78" s="447"/>
      <c r="CA78" s="447"/>
      <c r="CB78" s="447"/>
      <c r="CC78" s="447"/>
      <c r="CD78" s="447"/>
      <c r="CE78" s="447"/>
      <c r="CF78" s="447"/>
      <c r="CG78" s="447"/>
      <c r="CH78" s="447"/>
      <c r="CI78" s="447"/>
      <c r="CJ78" s="450"/>
      <c r="CK78" s="450"/>
      <c r="CL78" s="450"/>
      <c r="CM78" s="450"/>
      <c r="CN78" s="450"/>
      <c r="CO78" s="450"/>
      <c r="CP78" s="450"/>
      <c r="CQ78" s="447"/>
      <c r="CR78" s="447"/>
      <c r="CS78" s="447"/>
      <c r="CT78" s="447"/>
      <c r="CU78" s="447"/>
      <c r="CV78" s="447"/>
      <c r="CW78" s="447"/>
      <c r="CX78" s="447"/>
      <c r="CY78" s="447"/>
      <c r="CZ78" s="447"/>
      <c r="DA78" s="447"/>
      <c r="DB78" s="447"/>
      <c r="DC78" s="447"/>
      <c r="DD78" s="447"/>
      <c r="DE78" s="447"/>
      <c r="DF78" s="447"/>
      <c r="DG78" s="447"/>
      <c r="DH78" s="447"/>
      <c r="DI78" s="66"/>
      <c r="DJ78" s="66"/>
      <c r="DK78" s="66"/>
      <c r="DL78" s="66"/>
      <c r="DM78" s="66"/>
    </row>
    <row r="79" spans="2:117" ht="15" customHeight="1" x14ac:dyDescent="0.25">
      <c r="B79" s="66" t="str">
        <f t="shared" si="70"/>
        <v/>
      </c>
      <c r="C79" s="317">
        <v>1</v>
      </c>
      <c r="D79" s="380" t="str">
        <f>IF(BQ79="","",IF($D$8=0,IF(OR(VLOOKUP(BQ79,Input!$B$21:$AL$50,19+C79,FALSE)+$D$5=0,VLOOKUP(BQ79,Input!$B$21:$AL$50,19+C79,FALSE)+$D$5=180),VLOOKUP(BQ79,Input!$B$21:$AL$50,19+C79,FALSE)+$D$5+0.0001,VLOOKUP(BQ79,Input!$B$21:$AL$50,19+C79,FALSE)+$D$5),IF(VLOOKUP(BQ79,Input!$B$21:$AL$50,19+C79,FALSE)="c",VLOOKUP($C79,$C$40:$E$57,2,FALSE)+180/$D$8,VLOOKUP($C79,$C$40:$E$57,2,FALSE))))</f>
        <v/>
      </c>
      <c r="E79" s="370" t="str">
        <f>IF(D79="","",IF(D79&gt;630,360-(D79-360),IF(D79&gt;540,(D79-360)-180,IF(D79&gt;450,180-(D79-360),IF(D79&gt;360,D79-360,IF(D79&gt;270,360-D79,IF(D79&gt;180,D79-180,IF(D79&gt;90,180-D79,D79))))))))</f>
        <v/>
      </c>
      <c r="F79" s="381" t="str">
        <f>IF(BR79="","",VLOOKUP(BR79,Reinforcements[],COLUMN(Reinforcements[[#Headers],[Gross Area (in2)]])-1,FALSE))</f>
        <v/>
      </c>
      <c r="G79" s="378" t="e">
        <f>(IF(VLOOKUP(BQ79,Input!$B$21:$AL$50,19+C79,FALSE)="c",$D$20/COS(RADIANS(180/$D$8)),$D$20)+CA79)*SIN(RADIANS(D79))-IF(AND(ISNUMBER(VLOOKUP(BQ79,Input!$B$21:$AL$50,19+C79,FALSE)),$D$8&lt;&gt;0),VLOOKUP(BQ79,Input!$B$21:$AL$50,19+C79,FALSE)*COS(RADIANS(D79)),0)</f>
        <v>#N/A</v>
      </c>
      <c r="H79" s="373" t="str">
        <f>IF(ISERROR(F79*G79),"",F79*G79)</f>
        <v/>
      </c>
      <c r="I79" s="373" t="e">
        <f t="shared" ref="I79:I96" si="86">G79-$D$35</f>
        <v>#N/A</v>
      </c>
      <c r="J79" s="373" t="e">
        <f>CB79</f>
        <v>#N/A</v>
      </c>
      <c r="K79" s="373" t="e">
        <f>CC79</f>
        <v>#N/A</v>
      </c>
      <c r="L79" s="373" t="e">
        <f>(J79+K79)/2+(J79-K79)/2*COS(2*RADIANS(D79+90))</f>
        <v>#N/A</v>
      </c>
      <c r="M79" s="374" t="str">
        <f>IFERROR((L79+F79*I79^2)*IF(CI79="Yes",BP79,1),"")</f>
        <v/>
      </c>
      <c r="N79" s="372" t="str">
        <f>IFERROR((IF(VLOOKUP(BQ79,Input!$B$21:$AL$50,19+C79,FALSE)="c",$D$20/COS(RADIANS(180/$D$8)),$D$20)+CA79)*SIN(RADIANS(D79))-IF(AND(ISNUMBER(VLOOKUP(BQ79,Input!$B$21:$AL$50,19+C79,FALSE)),$D$8&lt;&gt;0),VLOOKUP(BQ79,Input!$B$21:$AL$50,19+C79,FALSE)*COS(RADIANS(D79)),0)-$D$35,"")</f>
        <v/>
      </c>
      <c r="O79" s="373" t="str">
        <f t="shared" ref="O79:O96" si="87">IFERROR(N79+(-BX79/2)*SIN(RADIANS(D79))+(BW79/2)*COS(RADIANS(D79)),"")</f>
        <v/>
      </c>
      <c r="P79" s="373" t="str">
        <f t="shared" ref="P79:P96" si="88">IFERROR(N79+(BX79/2)*SIN(RADIANS(D79))+(BW79/2)*COS(RADIANS(D79)),"")</f>
        <v/>
      </c>
      <c r="Q79" s="373" t="str">
        <f t="shared" ref="Q79:Q96" si="89">IFERROR(N79+(BX79/2)*SIN(RADIANS(D79))+(-BW79/2)*COS(RADIANS(D79)),"")</f>
        <v/>
      </c>
      <c r="R79" s="374" t="str">
        <f t="shared" ref="R79:R96" si="90">IFERROR(N79+(-BX79/2)*SIN(RADIANS(D79))+(-BW79/2)*COS(RADIANS(D79)),"")</f>
        <v/>
      </c>
      <c r="S79" s="373" t="str">
        <f t="shared" ref="S79:S96" si="91">IFERROR(BV79+(-BU79/2)*SIN(RADIANS(D79))+(BT79/2)*COS(RADIANS(D79)),"")</f>
        <v/>
      </c>
      <c r="T79" s="373" t="str">
        <f t="shared" ref="T79:T96" si="92">IFERROR(BV79+(BU79/2)*SIN(RADIANS(D79))+(BT79/2)*COS(RADIANS(D79)),"")</f>
        <v/>
      </c>
      <c r="U79" s="373" t="str">
        <f t="shared" ref="U79:U96" si="93">IFERROR(BV79+(BU79/2)*SIN(RADIANS(D79))+(-BT79/2)*COS(RADIANS(D79)),"")</f>
        <v/>
      </c>
      <c r="V79" s="374" t="str">
        <f t="shared" ref="V79:V96" si="94">IFERROR(BV79+(-BU79/2)*SIN(RADIANS(D79))+(-BT79/2)*COS(RADIANS(D79)),"")</f>
        <v/>
      </c>
      <c r="W79" s="482" t="str">
        <f>IFERROR(IF('Macro References'!$A$9,IF(AND(Calculations!CK79,CL79="Bolted"),VLOOKUP($BR79,Reinforcements[],COLUMN(IF(Rev="F",Reinforcements[[#Headers],[Rev. F Bolt Shear Capacity   (Top)        (kips)]],IF(Rev="G",Reinforcements[[#Headers],[Rev. G Bolt Shear Capacity (Top)     (kips)]],Reinforcements[[#Headers],[Rev. H Bolt Shear Capacity (Top) (kips)]])))-1,FALSE),IF(AND(Calculations!CJ79,CL79="Bolted"),VLOOKUP($BR79,Reinforcements[],COLUMN(IF(Rev="F",Reinforcements[[#Headers],[Rev. F Bolt Shear Capacity (Bottom)   (kips)]],IF(Rev="G",Reinforcements[[#Headers],[Rev. G Bolt Shear Capacity (Bottom) (kips)]],Reinforcements[[#Headers],[Rev. H Bolt Shear Capacity (Bottom) (kips)]])))-1,FALSE),"")),""),"")</f>
        <v/>
      </c>
      <c r="X79" s="483" t="str">
        <f>IFERROR(IF('Macro References'!$A$9,IF('Macro References'!$A$10,IF(AND(Calculations!CK79,CL79="Bolted"),VLOOKUP($BR79,Reinforcements[],COLUMN(IF(Rev="F",Reinforcements[[#Headers],[Rev.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kips)]])))-1,FALSE),IF(AND(Calculations!CJ79,CL79="Bolted"),VLOOKUP($BR79,Reinforcements[],COLUMN(IF(Rev="F",Reinforcements[[#Headers],[Rev.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kips)]])))-1,FALSE),"")),IF(AND(Calculations!CK79,CL79="Bolted"),VLOOKUP($BR79,Reinforcements[],COLUMN(IF(Rev="F",Reinforcements[[#Headers],[Rev.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kips)]])))-1,FALSE),IF(AND(Calculations!CJ79,CL79="Bolted"),VLOOKUP($BR79,Reinforcements[],COLUMN(IF(Rev="F",Reinforcements[[#Headers],[Rev.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9" s="483" t="str">
        <f>IFERROR(IF('Macro References'!$A$9,IF('Macro References'!$A$10,IF(AND(Calculations!CK79,CL79="Bolted"),VLOOKUP($BR79,Reinforcements[],COLUMN(IF(Rev="F",Reinforcements[[#Headers],[Rev.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(kips)]])))-1,FALSE),IF(AND(Calculations!CJ79,CL79="Bolted"),VLOOKUP($BR79,Reinforcements[],COLUMN(IF(Rev="F",Reinforcements[[#Headers],[Rev.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(kips)]])))-1,FALSE),"")),IF(AND(Calculations!CK79,CL79="Bolted"),VLOOKUP($BR79,Reinforcements[],COLUMN(IF(Rev="F",Reinforcements[[#Headers],[Rev.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(kips)]])))-1,FALSE),IF(AND(Calculations!CJ79,CL79="Bolted"),VLOOKUP($BR79,Reinforcements[],COLUMN(IF(Rev="F",Reinforcements[[#Headers],[Rev.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9" s="483" t="str">
        <f>IFERROR(IF('Macro References'!$A$9,IF(AND(CJ79,CL79="Welded"),MIN(CQ79:CT79),IF(AND(CK79,CL79="Welded"),MIN(DB79:DE79),"")),""),"")</f>
        <v/>
      </c>
      <c r="AA79" s="484" t="str">
        <f>IFERROR(IF('Macro References'!$A$9,IF(AND(CJ79,CL79="Welded"),MIN(CU79:CW79),IF(AND(CK79,CL79="Welded"),MIN(DF79:DH79),"")),""),"")</f>
        <v/>
      </c>
      <c r="AB79" s="484" t="str">
        <f>IFERROR(IF('Macro References'!$A$9,IF(AND(CJ79,CL79="Welded",CN79="Fillet",CU79&gt;0),TRUE,IF(AND(CK79,CL79="Welded",CY79="Fillet",DF79&gt;0),TRUE,"")),""),"")</f>
        <v/>
      </c>
      <c r="AC79" s="484" t="e">
        <f>IF('Macro References'!$A$9,IF(AND(CJ79,CL79="Capacity Input"),IF(Rev="F",VLOOKUP(BR79,Reinforcements[],COLUMN(Reinforcements[[#Headers],[Rev. F Bottom Connection Capacity (kips)]])-1,FALSE),IF(Rev="G",VLOOKUP(BR79,Reinforcements[],COLUMN(Reinforcements[[#Headers],[Rev. G Bottom Connection Capacity (kips)]])-1,FALSE),VLOOKUP(BR79,Reinforcements[],COLUMN(Reinforcements[[#Headers],[Rev. H Bottom Connection Capacity (kips)]])-1,FALSE))),IF(AND(CK79,CL79="Capacity Input"),IF(Rev="F",VLOOKUP(BR79,Reinforcements[],COLUMN(Reinforcements[[#Headers],[Rev. F Top Connection Capacity (kips)]])-1,FALSE),IF(Rev="G",VLOOKUP(BR79,Reinforcements[],COLUMN(Reinforcements[[#Headers],[Rev. G Top Connection Capacity (kips)]])-1,FALSE),VLOOKUP(BR79,Reinforcements[],COLUMN(Reinforcements[[#Headers],[Rev. H Top Connection Capacity (kips)]])-1,FALSE))),"")),"")</f>
        <v>#VALUE!</v>
      </c>
      <c r="AD79" s="484" t="str">
        <f>IFERROR(IF(Rev="F",MIN(VLOOKUP(BR79,Reinforcements[],COLUMN(Reinforcements[[#Headers],[Rev. F Compression Capacity x-x (kips)]])-1,FALSE),VLOOKUP(BR79,Reinforcements[],COLUMN(Reinforcements[[#Headers],[Rev. F Compression Capacity y-y (kips)]])-1,FALSE)),IF(Rev="G",MIN(VLOOKUP(BR79,Reinforcements[],COLUMN(Reinforcements[[#Headers],[Rev. G Compression Capacity x-x (kips)]])-1,FALSE),VLOOKUP(BR79,Reinforcements[],COLUMN(Reinforcements[[#Headers],[Rev. G Compression Capacity y-y (kips)]])-1,FALSE)),MIN(VLOOKUP(BR79,Reinforcements[],COLUMN(Reinforcements[[#Headers],[Rev. H Compression Capacity x-x (kips)]])-1,FALSE),VLOOKUP(BR79,Reinforcements[],COLUMN(Reinforcements[[#Headers],[Rev. H Compression Capacity y-y (kips)]])-1,FALSE)))),"")</f>
        <v/>
      </c>
      <c r="AE79" s="485" t="str">
        <f>IFERROR(IF(Rev="F",VLOOKUP(BR79,Reinforcements[],COLUMN(Reinforcements[[#Headers],[Rev. F Shear Capacity (kips)]])-1,FALSE)/BY79,IF(Rev="G",VLOOKUP(Calculations!BR79,Reinforcements[],COLUMN(Reinforcements[[#Headers],[Rev. G Shear Capacity (kips)]])-1,FALSE),VLOOKUP(Calculations!BR79,Reinforcements[],COLUMN(Reinforcements[[#Headers],[Rev. H Shear Capacity (kips)]])-1,FALSE))),"")</f>
        <v/>
      </c>
      <c r="AF79" s="451" t="str">
        <f>IFERROR(IF(Rev="F",VLOOKUP(BR79,Reinforcements[],COLUMN(Reinforcements[[#Headers],[Rev. F Tension Yield Capacity (kips)]])-1,FALSE),IF(Rev="G",VLOOKUP(Calculations!BR79,Reinforcements[],COLUMN(Reinforcements[[#Headers],[Rev. G Tension Yield Capacity (kips)]])-1,FALSE),VLOOKUP(Calculations!BR79,Reinforcements[],COLUMN(Reinforcements[[#Headers],[Rev. H Tension Yield Capacity (kips)]])-1,FALSE))),"")</f>
        <v/>
      </c>
      <c r="AG79" s="486" t="str">
        <f>IFERROR(IF(Rev="F",VLOOKUP(BR79,Reinforcements[],COLUMN(Reinforcements[[#Headers],[Rev. F Tension Rupture Capacity (kips)]])-1,FALSE),IF(Rev="G",VLOOKUP(Calculations!BR79,Reinforcements[],COLUMN(Reinforcements[[#Headers],[Rev. G Tension Rupture Capacity (kips)]])-1,FALSE),VLOOKUP(Calculations!BR79,Reinforcements[],COLUMN(Reinforcements[[#Headers],[Rev. H Tension Rupture Capacity (kips)]])-1, FALSE))),"")</f>
        <v/>
      </c>
      <c r="AH79" s="409" t="str">
        <f t="shared" ref="AH79:AH96" si="95">IFERROR(ABS((W79/BY79)/N79*$D$25),"")</f>
        <v/>
      </c>
      <c r="AI79" s="380" t="str">
        <f t="shared" ref="AI79:AI96" si="96">IFERROR(ABS((X79/BY79)/N79*$D$25),"")</f>
        <v/>
      </c>
      <c r="AJ79" s="380" t="str">
        <f t="shared" ref="AJ79:AJ96" si="97">IFERROR(ABS((Y79/BY79)/N79*$D$25),"")</f>
        <v/>
      </c>
      <c r="AK79" s="380" t="str">
        <f t="shared" si="85"/>
        <v/>
      </c>
      <c r="AL79" s="369" t="str">
        <f t="shared" si="78"/>
        <v/>
      </c>
      <c r="AM79" s="380" t="str">
        <f>""</f>
        <v/>
      </c>
      <c r="AN79" s="380" t="str">
        <f t="shared" ref="AN79:AN96" si="98">IFERROR(IF(CI79="Yes","",ABS((AD79/BY79)/N79*$D$25)),"")</f>
        <v/>
      </c>
      <c r="AO79" s="369" t="str">
        <f t="shared" ref="AO79:AO96" si="99">IFERROR(ABS((AF79/BY79)/N79*$D$25),"")</f>
        <v/>
      </c>
      <c r="AP79" s="410" t="str">
        <f t="shared" ref="AP79:AP96" si="100">IFERROR(ABS((AG79/BY79)/N79*$D$25),"")</f>
        <v/>
      </c>
      <c r="AQ79" s="411" t="str">
        <f t="shared" si="53"/>
        <v/>
      </c>
      <c r="AR79" s="380" t="str">
        <f>IF(BR79="","",VLOOKUP(VLOOKUP(BR79,Reinforcements[],COLUMN(Reinforcements[[#Headers],[Material]])-1,FALSE),Materials[],2,FALSE)/$D$28)</f>
        <v/>
      </c>
      <c r="AS79" s="369" t="str">
        <f t="shared" si="54"/>
        <v/>
      </c>
      <c r="AT79" s="489" t="str">
        <f t="shared" ref="AT79:AT96" si="101">IFERROR((($D$36/$D$25)/(AS79)+$L$7+IF(OR(Rev="G",Rev="H"),($Q$7/$Q$8)^2,0))/IF(Rev="F",ASIF,1)/IF(OR(AND(Rev="H",$F$27=TRUE),AND(Rev&lt;&gt;"H",$F$30=TRUE)),1.05,1),"")</f>
        <v/>
      </c>
      <c r="AU79" s="412">
        <f>IF(ISERROR(IF(OR(D79&gt;540,AND(D79&gt;180,D79&lt;=360)),MIN(O79:R79),MAX(O79:R79))),"",IF(OR(D79&gt;540,AND(D79&gt;180,D79&lt;=360)),MIN(O79:R79),MAX(O79:R79)))</f>
        <v>0</v>
      </c>
      <c r="AV79" s="413">
        <f>IF(ISERROR(IF(AU79=MAX(O79:R79),MIN(O79:R79),MAX(O79:R79))),"",IF(AU79=MAX(O79:R79),MIN(O79:R79),MAX(O79:R79)))</f>
        <v>0</v>
      </c>
      <c r="AW79" s="413" t="e">
        <f t="shared" ref="AW79:AW96" si="102">$D$28*AU79</f>
        <v>#N/A</v>
      </c>
      <c r="AX79" s="413" t="e">
        <f t="shared" ref="AX79:AX96" si="103">$D$28*AV79</f>
        <v>#N/A</v>
      </c>
      <c r="AY79" s="413" t="str">
        <f t="shared" ref="AY79:AY96" si="104">IFERROR($D$28*BX79*BW79/2*(2*AV79+IF(OR(D79&gt;540,AND(D79&gt;180,D79&lt;=360)),-1,1)*BX79*SIN(RADIANS(E79))+IF(OR(D79&gt;540,AND(D79&gt;180,D79&lt;=360)),-1,1)*BW79*COS(RADIANS(E79))),"")</f>
        <v/>
      </c>
      <c r="AZ79" s="413" t="e">
        <f t="shared" ref="AZ79:AZ96" si="105">IF(ABS(AY79)&lt;0.0001,0,AV79+$D$28*BX79*BW79/(12*AY79)*(6*AV79*(IF(OR(D79&gt;540,AND(D79&gt;180,D79&lt;360)),-1,1)*BX79*SIN(RADIANS(E79))+IF(OR(D79&gt;540,AND(D79&gt;180,D79&lt;360)),-1,1)*BW79*COS(RADIANS(E79)))+3*BX79*BW79*SIN(RADIANS(2*E79))+4*BX79^2*SIN(RADIANS(E79))^2+4*BW79^2*COS(RADIANS(E79))^2))</f>
        <v>#VALUE!</v>
      </c>
      <c r="BA79" s="433" t="str">
        <f>IF(ISERROR(AZ79*AY79),"",AZ79*AY79)</f>
        <v/>
      </c>
      <c r="BB79" s="436" t="str">
        <f>IFERROR(IF(MAX(AVERAGE(O79:P79),AVERAGE(Q79:R79))&gt;$AR79,MIN((MAX(AVERAGE(O79:P79),AVERAGE(Q79:R79))-$AR79)/COS(RADIANS($E79)),$BW79)*$BX79*$CG79,""),"")</f>
        <v/>
      </c>
      <c r="BC79" s="437" t="str">
        <f>IFERROR(IF(AND(MAX(AVERAGE(O79:P79),AVERAGE(Q79:R79))&gt;0,MIN(AVERAGE(O79:P79),AVERAGE(Q79:R79))&lt;=$AR79),IF(AND(MIN(AVERAGE(O79:P79),AVERAGE(Q79:R79))&gt;=0,MAX(AVERAGE(O79:P79),AVERAGE(Q79:R79))&lt;=$AR79),$D$28*BX79*BW79/2*(2*AV79+IF(OR(D79&gt;540,AND(D79&gt;180,D79&lt;=360)),-1,1)*BX79*SIN(RADIANS(E79))+IF(OR(D79&gt;540,AND(D79&gt;180,D79&lt;=360)),-1,1)*BW79*COS(RADIANS(E79))),IF(MIN(AVERAGE(O79:P79),AVERAGE(Q79:R79))&gt;=0,$D$28*BX79*($AR79-MIN(AVERAGE(O79:P79),AVERAGE(Q79:R79)))/COS(RADIANS(E79))/2*(2*(MIN(AVERAGE(O79:P79),AVERAGE(Q79:R79)))+IF(OR(D79&gt;540,AND(D79&gt;180,D79&lt;=360)),-1,1)*BX79*SIN(RADIANS(E79))+IF(OR(D79&gt;540,AND(D79&gt;180,D79&lt;=360)),-1,1)*($AR79-MIN(AVERAGE(O79:P79),AVERAGE(Q79:R79)))/COS(RADIANS(E79))*COS(RADIANS(E79))),IF(MAX(AVERAGE(O79:P79),AVERAGE(Q79:R79))&gt;$AR79,$D$28*BX79*($AR79/COS(RADIANS(E79)))/2*(2*(-BX79/2*SIN(RADIANS(E79))*COS(RADIANS(E79)))+IF(OR(D79&gt;540,AND(D79&gt;180,D79&lt;=360)),-1,1)*BX79*SIN(RADIANS(E79))+IF(OR(D79&gt;540,AND(D79&gt;180,D79&lt;=360)),-1,1)*($AR79/COS(RADIANS(E79)))*COS(RADIANS(E79))),$D$28*BX79*(MAX(AVERAGE(O79:P79),AVERAGE(Q79:R79))/COS(RADIANS(E79)))/2*(2*(-BX79/2*SIN(RADIANS(E79))*COS(RADIANS(E79)))+BX79*SIN(RADIANS(E79))+(MAX(AVERAGE(O79:P79),AVERAGE(Q79:R79))/COS(RADIANS(E79)))*COS(RADIANS(E79)))))),""),"")</f>
        <v/>
      </c>
      <c r="BD79" s="437" t="str">
        <f t="shared" ref="BD79:BD96" si="106">IFERROR(IF(CI79="Yes","",IF(AND(MIN(AVERAGE(O79:P79),AVERAGE(Q79:R79))&lt;0,MAX(AVERAGE(O79:P79),AVERAGE(Q79:R79))&gt;=-AR79),IF(AND(MAX(AVERAGE(O79:P79),AVERAGE(Q79:R79))&lt;=0,MIN(AVERAGE(O79:P79),AVERAGE(Q79:R79))&gt;=-AR79),$D$28*BX79*BW79/2*(2*AV79+IF(OR(D79&gt;540,AND(D79&gt;180,D79&lt;=360)),-1,1)*BX79*SIN(RADIANS(E79))+IF(OR(D79&gt;540,AND(D79&gt;180,D79&lt;=360)),-1,1)*BW79*COS(RADIANS(E79))),IF(MAX(AVERAGE(O79:P79),AVERAGE(Q79:R79))&lt;=0,$D$28*BX79*(MAX(AVERAGE(O79:P79),AVERAGE(Q79:R79))+AR79)/COS(RADIANS(E79))/2*(2*(MAX(AVERAGE(O79:P79),AVERAGE(Q79:R79)))+IF(OR(D79&gt;540,AND(D79&gt;180,D79&lt;=360)),-1,1)*BX79*SIN(RADIANS(E79))+IF(OR(D79&gt;540,AND(D79&gt;180,D79&lt;=360)),-1,1)*(MAX(AVERAGE(O79:P79),AVERAGE(Q79:R79))+AR79)/COS(RADIANS(E79))*COS(RADIANS(E79))),IF(MIN(AVERAGE(O79:P79),AVERAGE(Q79:R79))&lt;-AR79,$D$28*BX79*(AR79/COS(RADIANS(E79)))/2*(2*(-BX79/2*SIN(RADIANS(E79))*COS(RADIANS(E79)))+IF(OR(D79&gt;540,AND(D79&gt;180,D79&lt;=360)),-1,1)*BX79*SIN(RADIANS(E79))+IF(OR(D79&gt;540,AND(D79&gt;180,D79&lt;=360)),-1,1)*(AR79/COS(RADIANS(E79)))*COS(RADIANS(E79))),$D$28*BX79*(MIN(AVERAGE(O79:P79),AVERAGE(Q79:R79))/COS(RADIANS(E79)))/2*(2*(-BX79/2*SIN(RADIANS(E79))*COS(RADIANS(E79)))+BX79*SIN(RADIANS(E79))-(MIN(AVERAGE(O79:P79),AVERAGE(Q79:R79))/COS(RADIANS(E79)))*COS(RADIANS(E79)))))),"")),"")</f>
        <v/>
      </c>
      <c r="BE79" s="433" t="str">
        <f>IFERROR(IF(CI79="Yes","",IF(MIN(AVERAGE(O79:P79),AVERAGE(Q79:R79))&lt;-$AR79,MAX((MIN(AVERAGE(O79:P79),AVERAGE(Q79:R79))+$AR79)/COS(RADIANS($E79)),-$BW79)*$BX79*$CG79,"")),"")</f>
        <v/>
      </c>
      <c r="BF79" s="438" t="e">
        <f>IF(MAX(AVERAGE(O79:P79),AVERAGE(Q79:R79))&gt;$AR79,MAX(AVERAGE(MAX(AVERAGE(O79:P79),AVERAGE(Q79:R79)),$AR79),AVERAGE(O79:R79)),"")</f>
        <v>#DIV/0!</v>
      </c>
      <c r="BG79" s="439" t="str">
        <f t="shared" ref="BG79:BG96" si="107">IFERROR(IF(AND(MAX(AVERAGE(O79:P79),AVERAGE(Q79:R79))&gt;0,MIN(AVERAGE(O79:P79),AVERAGE(Q79:R79))&lt;=AR79),IF(AND(MIN(AVERAGE(O79:P79),AVERAGE(Q79:R79))&gt;=0,MAX(AVERAGE(O79:P79),AVERAGE(Q79:R79))&lt;=AR79),AV79+$D$28*BX79*BW79/(12*BC79)*(6*AV79*(IF(OR(D79&gt;540,AND(D79&gt;180,D79&lt;360)),-1,1)*BX79*SIN(RADIANS(E79))+IF(OR(D79&gt;540,AND(D79&gt;180,D79&lt;360)),-1,1)*BW79*COS(RADIANS(E79)))+3*BX79*BW79*SIN(RADIANS(2*E79))+4*BX79^2*SIN(RADIANS(E79))^2+4*BW79^2*COS(RADIANS(E79))^2),IF(MIN(AVERAGE(O79:P79),AVERAGE(Q79:R79))&gt;=0,(MIN(AVERAGE(O79:P79),AVERAGE(Q79:R79)))+$D$28*BX79*(AR79-MIN(AVERAGE(O79:P79),AVERAGE(Q79:R79)))/COS(RADIANS(E79))/(12*BC79)*(6*(MIN(AVERAGE(O79:P79),AVERAGE(Q79:R79)))*(IF(OR(D79&gt;540,AND(D79&gt;180,D79&lt;360)),-1,1)*BX79*SIN(RADIANS(E79))+IF(OR(D79&gt;540,AND(D79&gt;180,D79&lt;360)),-1,1)*(AR79-MIN(AVERAGE(O79:P79),AVERAGE(Q79:R79)))/COS(RADIANS(E79))*COS(RADIANS(E79)))+3*BX79*(AR79-MIN(AVERAGE(O79:P79),AVERAGE(Q79:R79)))/COS(RADIANS(E79))*SIN(RADIANS(2*E79))+4*BX79^2*SIN(RADIANS(E79))^2+4*((AR79-MIN(AVERAGE(O79:P79),AVERAGE(Q79:R79)))/COS(RADIANS(E79)))^2*COS(RADIANS(E79))^2),IF(MAX(AVERAGE(O79:P79),AVERAGE(Q79:R79))&gt;AR79,(-BX79/2*SIN(RADIANS(E79))*COS(RADIANS(E79)))+$D$28*BX79*(AR79/COS(RADIANS(E79)))/(12*BC79)*(6*(-BX79/2*SIN(RADIANS(E79))*COS(RADIANS(E79)))*(IF(OR(D79&gt;540,AND(D79&gt;180,D79&lt;360)),-1,1)*BX79*SIN(RADIANS(E79))+IF(OR(D79&gt;540,AND(D79&gt;180,D79&lt;360)),-1,1)*(AR79/COS(RADIANS(E79)))*COS(RADIANS(E79)))+3*BX79*(AR79/COS(RADIANS(E79)))*SIN(RADIANS(2*E79))+4*BX79^2*SIN(RADIANS(E79))^2+4*(AR79/COS(RADIANS(E79)))^2*COS(RADIANS(E79))^2),(-BX79/2*SIN(RADIANS(E79))*COS(RADIANS(E79)))+$D$28*BX79*(MAX(AVERAGE(O79:P79),AVERAGE(Q79:R79))/COS(RADIANS(E79)))/(12*BC79)*(6*(-BX79/2*SIN(RADIANS(E79))*COS(RADIANS(E79)))*(BX79*SIN(RADIANS(E79))+(MAX(AVERAGE(O79:P79),AVERAGE(Q79:R79))/COS(RADIANS(E79)))*COS(RADIANS(E79)))+3*BX79*(MAX(AVERAGE(O79:P79),AVERAGE(Q79:R79))/COS(RADIANS(E79)))*SIN(RADIANS(2*E79))+4*BX79^2*SIN(RADIANS(E79))^2+4*(MAX(AVERAGE(O79:P79),AVERAGE(Q79:R79))/COS(RADIANS(E79)))^2*COS(RADIANS(E79))^2)))),""),"")</f>
        <v/>
      </c>
      <c r="BH79" s="439" t="str">
        <f t="shared" ref="BH79:BH96" si="108">IFERROR(IF(AND(MIN(AVERAGE(O79:P79),AVERAGE(Q79:R79))&lt;0,MAX(AVERAGE(O79:P79),AVERAGE(Q79:R79))&gt;=-AR79),IF(AND(MAX(AVERAGE(O79:P79),AVERAGE(Q79:R79))&lt;=0,MIN(AVERAGE(O79:P79),AVERAGE(Q79:R79))&gt;=-AR79),AV79+$D$28*BX79*BW79/(12*BD79)*(6*AV79*(IF(OR(D79&gt;540,AND(D79&gt;180,D79&lt;360)),-1,1)*BX79*SIN(RADIANS(E79))+IF(OR(D79&gt;540,AND(D79&gt;180,D79&lt;360)),-1,1)*BW79*COS(RADIANS(E79)))+3*BX79*BW79*SIN(RADIANS(2*E79))+4*BX79^2*SIN(RADIANS(E79))^2+4*BW79^2*COS(RADIANS(E79))^2),IF(MAX(AVERAGE(O79:P79),AVERAGE(Q79:R79))&lt;=0,(MAX(AVERAGE(O79:P79),AVERAGE(Q79:R79)))+$D$28*BX79*(MAX(AVERAGE(O79:P79),AVERAGE(Q79:R79))+AR79)/COS(RADIANS(E79))/(12*BD79)*(6*(MAX(AVERAGE(O79:P79),AVERAGE(Q79:R79)))*(IF(OR(D79&gt;540,AND(D79&gt;180,D79&lt;360)),-1,1)*BX79*SIN(RADIANS(E79))+IF(OR(D79&gt;540,AND(D79&gt;180,D79&lt;360)),-1,1)*(MAX(AVERAGE(O79:P79),AVERAGE(Q79:R79))+AR79)/COS(RADIANS(E79))*COS(RADIANS(E79)))+3*BX79*(MAX(AVERAGE(O79:P79),AVERAGE(Q79:R79))+AR79)/COS(RADIANS(E79))*SIN(RADIANS(2*E79))+4*BX79^2*SIN(RADIANS(E79))^2+4*((MAX(AVERAGE(O79:P79),AVERAGE(Q79:R79))+AR79)/COS(RADIANS(E79)))^2*COS(RADIANS(E79))^2),IF(MIN(AVERAGE(O79:P79),AVERAGE(Q79:R79))&lt;-AR79,(-BX79/2*SIN(RADIANS(E79))*COS(RADIANS(E79)))+$D$28*BX79*(AR79/COS(RADIANS(E79)))/(12*BD79)*(6*(-BX79/2*SIN(RADIANS(E79))*COS(RADIANS(E79)))*(IF(OR(D79&gt;540,AND(D79&gt;180,D79&lt;360)),-1,1)*BX79*SIN(RADIANS(E79))+IF(OR(D79&gt;540,AND(D79&gt;180,D79&lt;360)),-1,1)*(AR79/COS(RADIANS(E79)))*COS(RADIANS(E79)))+3*BX79*(AR79/COS(RADIANS(E79)))*SIN(RADIANS(2*E79))+4*BX79^2*SIN(RADIANS(E79))^2+4*(AR79/COS(RADIANS(E79)))^2*COS(RADIANS(E79))^2),((BX79/2*SIN(RADIANS(E79))*COS(RADIANS(E79)))+$D$28*BX79*(MIN(AVERAGE(O79:P79),AVERAGE(Q79:R79))/COS(RADIANS(E79)))/(12*BD79)*(-6*(BX79/2*SIN(RADIANS(E79))*COS(RADIANS(E79)))*(-BX79*SIN(RADIANS(E79))+(MIN(AVERAGE(O79:P79),AVERAGE(Q79:R79))/COS(RADIANS(E79)))*COS(RADIANS(E79)))+3*BX79*(MIN(AVERAGE(O79:P79),AVERAGE(Q79:R79))/COS(RADIANS(E79)))*SIN(RADIANS(2*E79))-4*BX79^2*SIN(RADIANS(E79))^2-4*(MIN(AVERAGE(O79:P79),AVERAGE(Q79:R79))/COS(RADIANS(E79)))^2*COS(RADIANS(E79))^2))))),""),"")</f>
        <v/>
      </c>
      <c r="BI79" s="433" t="e">
        <f>IF(MIN(AVERAGE(O79:P79),AVERAGE(Q79:R79))&lt;-$AR79,MIN(AVERAGE(MIN(AVERAGE(O79:P79),AVERAGE(Q79:R79)),-$AR79),AVERAGE(O79:R79)),"")</f>
        <v>#DIV/0!</v>
      </c>
      <c r="BJ79" s="438" t="str">
        <f>IFERROR(IF(BB79="",0,ABS(BB79))*IF(BF79="",0,ABS(BF79))+IF(BC79="",0,ABS(BC79))*IF(BG79="",0,ABS(BG79))+IF(BD79="",0,ABS(BD79))*IF(BH79="",0,ABS(BH79))+IF(BE79="",0,ABS(BE79))*IF(BI79="",0,ABS(BI79)),"")</f>
        <v/>
      </c>
      <c r="BK79" s="413" t="e">
        <f>(IF(BB79="",0,ABS(BB79))*IF(BF79="",0,BF79)+IF(BC79="",0,ABS(BC79))*IF(BG79="",0,BG79)+IF(BD79="",0,ABS(BD79))*IF(BH79="",0,BH79)+IF(BE79="",0,ABS(BE79))*IF(BI79="",0,BI79))/(IF(BB79="",0,ABS(BB79))+IF(BC79="",0,ABS(BC79))+IF(BD79="",0,ABS(BD79))+IF(BE79="",0,ABS(BE79)))</f>
        <v>#DIV/0!</v>
      </c>
      <c r="BL79" s="66" t="str">
        <f t="shared" si="68"/>
        <v/>
      </c>
      <c r="BP79" s="30" t="e">
        <f t="shared" ref="BP79:BP96" si="109">SUM(BB79:BC79)/(SUM(BB79:BC79,ABS(IFERROR(IF(AND(MIN(O79:R79)&lt;=0,MAX(AVERAGE(O79:P79),AVERAGE(Q79:R79))&gt;=-$AR79),-ABS(IF(AND(MAX(AVERAGE(O79:P79),AVERAGE(Q79:R79))&lt;0,MIN(AVERAGE(O79:P79),AVERAGE(Q79:R79))&gt;-$AR79),$D$28*$BX79*$BW79/2*(2*AV79+IF(OR(D79&gt;540,AND(D79&gt;180,D79&lt;=360)),-1,1)*$BX79*SIN(RADIANS(E79))+IF(OR(D79&gt;540,AND(D79&gt;180,D79&lt;=360)),-1,1)*$BW79*COS(RADIANS(E79))),IF(MAX(O79:R79)&lt;=0,$D$28*$BX79*(MAX(AVERAGE(O79:P79),AVERAGE(Q79:R79))+$AR79)/COS(RADIANS(E79))/2*(2*(MAX(AVERAGE(O79:P79),AVERAGE(Q79:R79)))+IF(OR(D79&gt;540,AND(D79&gt;180,D79&lt;=360)),-1,1)*$BX79*SIN(RADIANS(E79))+IF(OR(D79&gt;540,AND(D79&gt;180,D79&lt;=360)),-1,1)*(MAX(AVERAGE(O79:P79),AVERAGE(Q79:R79))+$AR79)/COS(RADIANS(E79))*COS(RADIANS(E79))),IF(MIN(AVERAGE(O79:P79),AVERAGE(Q79:R79))&lt;-$AR79,$D$28*$BX79*($AR79/COS(RADIANS(E79)))/2*(2*(-$BX79/2*SIN(RADIANS(E79))*COS(RADIANS(E79)))+IF(OR(D79&gt;540,AND(D79&gt;180,D79&lt;=360)),-1,1)*$BX79*SIN(RADIANS(E79))+IF(OR(D79&gt;540,AND(D79&gt;180,D79&lt;=360)),-1,1)*($AR79/COS(RADIANS(E79)))*COS(RADIANS(E79))),$D$28*$BX79*(MIN(AVERAGE(O79:P79),AVERAGE(Q79:R79))/COS(RADIANS(E79)))/2*(2*(-$BX79/2*SIN(RADIANS(E79))*COS(RADIANS(E79)))+IF(OR(D79&gt;540,AND(D79&gt;180,D79&lt;=360)),-1,1)*$BX79*SIN(RADIANS(E79))+IF(OR(D79&gt;540,AND(D79&gt;180,D79&lt;=360)),-1,1)*(MIN(AVERAGE(O79:P79),AVERAGE(Q79:R79))/COS(RADIANS(E79)))*COS(RADIANS(E79))))))),0),0)),ABS(IFERROR(IF(MIN(AVERAGE(O79:P79),AVERAGE(Q79:R79))&lt;-$AR79,MAX((MIN(AVERAGE(O79:P79),AVERAGE(Q79:R79))+$AR79)/COS(RADIANS($E79)),-$BW79)*$BX79*$CG79,0),0))))</f>
        <v>#DIV/0!</v>
      </c>
      <c r="BQ79" s="444" t="str">
        <f>IFERROR(VALUE(IF(LEN(VLOOKUP(Calculations!$D$4,Results!$G$5:$CM$105,67+$C60,FALSE))-LEN(SUBSTITUTE(VLOOKUP(Calculations!$D$4,Results!$G$5:$CM$105,67+$C60,FALSE),";",""))&gt;1,MID(VLOOKUP(Calculations!$D$4,Results!$G$5:$CM$105,67+$C60,FALSE),FIND(";",VLOOKUP(Calculations!$D$4,Results!$G$5:$CM$105,67+$C60,FALSE))+1,FIND(";",VLOOKUP(Calculations!$D$4,Results!$G$5:$CM$105,67+$C60,FALSE),FIND(";",VLOOKUP(Calculations!$D$4,Results!$G$5:$CM$105,67+$C60,FALSE))+1)-FIND(";",VLOOKUP(Calculations!$D$4,Results!$G$5:$CM$105,67+$C60,FALSE))-1),"")),"")</f>
        <v/>
      </c>
      <c r="BR79" s="444" t="str">
        <f>IF(BQ79="","",VLOOKUP(BQ79,Input!$B$21:$Q$50,13,FALSE))</f>
        <v/>
      </c>
      <c r="BS79" s="369" t="e">
        <f>VLOOKUP(BR79,Reinforcements[],COLUMN(Reinforcements[[#Headers],[Type]])-1,FALSE)</f>
        <v>#N/A</v>
      </c>
      <c r="BT79" s="369" t="e">
        <f>IF(BS79="solid round",VLOOKUP(BR79,Reinforcements[],COLUMN(Reinforcements[[#Headers],[Diameter (in)]])-1,FALSE),VLOOKUP(BR79,Reinforcements[],COLUMN(Reinforcements[[#Headers],[B (in)]])-1,FALSE))</f>
        <v>#N/A</v>
      </c>
      <c r="BU79" s="369" t="e">
        <f>IF(BS79="solid round",VLOOKUP(BR79,Reinforcements[],COLUMN(Reinforcements[[#Headers],[Diameter (in)]])-1,FALSE),VLOOKUP(BR79,Reinforcements[],COLUMN(Reinforcements[[#Headers],[H (in)]])-1,FALSE))</f>
        <v>#N/A</v>
      </c>
      <c r="BV79" s="413" t="e">
        <f>IFERROR((IF(VLOOKUP(BQ79,Input!$B$21:$AL$50,19+C79,FALSE)="c",$D$20/COS(RADIANS(180/$D$8)),$D$20)+BU79/2)*SIN(RADIANS(D79))-IF(ISNUMBER(VLOOKUP(BQ79,Input!$B$21:$AL$50,19+C79,FALSE)),VLOOKUP(BQ79,Input!$B$21:$AL$50,19+C79,FALSE)*COS(RADIANS(D79)),0)-$D$35,"")*0+N79*1</f>
        <v>#VALUE!</v>
      </c>
      <c r="BW79" s="369" t="e">
        <f>VLOOKUP(BR79,Reinforcements[],COLUMN(Reinforcements[[#Headers],[Effective B (in)]])-1,FALSE)</f>
        <v>#N/A</v>
      </c>
      <c r="BX79" s="369" t="e">
        <f>VLOOKUP(BR79,Reinforcements[],COLUMN(Reinforcements[[#Headers],[Effective H (in)]])-1,FALSE)</f>
        <v>#N/A</v>
      </c>
      <c r="BY79" s="369" t="e">
        <f>VLOOKUP(BR79,Reinforcements[],COLUMN(Reinforcements[[#Headers],[Gross Area (in2)]])-1,FALSE)</f>
        <v>#N/A</v>
      </c>
      <c r="BZ79" s="380" t="s">
        <v>335</v>
      </c>
      <c r="CA79" s="369" t="e">
        <f>VLOOKUP(BR79,Reinforcements[],COLUMN(Reinforcements[[#Headers],[Pole Face to Centroid (in)]])-1,FALSE)</f>
        <v>#N/A</v>
      </c>
      <c r="CB79" s="369" t="e">
        <f>VLOOKUP(BR79,Reinforcements[],COLUMN(Reinforcements[[#Headers],[Ix]])-1,FALSE)</f>
        <v>#N/A</v>
      </c>
      <c r="CC79" s="369" t="e">
        <f>VLOOKUP(BR79,Reinforcements[],COLUMN(Reinforcements[[#Headers],[Iy]])-1,FALSE)</f>
        <v>#N/A</v>
      </c>
      <c r="CD79" s="369" t="e">
        <f>VLOOKUP(BR79,Reinforcements[],COLUMN(Reinforcements[[#Headers],[Lu (in)]])-1,FALSE)</f>
        <v>#N/A</v>
      </c>
      <c r="CE79" s="380" t="s">
        <v>335</v>
      </c>
      <c r="CF79" s="380" t="s">
        <v>335</v>
      </c>
      <c r="CG79" s="369" t="e">
        <f>VLOOKUP(VLOOKUP(BR79,Reinforcements[],COLUMN(Reinforcements[[#Headers],[Material]])-1,FALSE),Materials[],2,FALSE)</f>
        <v>#N/A</v>
      </c>
      <c r="CH79" s="369" t="e">
        <f>VLOOKUP(VLOOKUP(BR79,Reinforcements[],COLUMN(Reinforcements[[#Headers],[Material]])-1,FALSE),Materials[],3,FALSE)</f>
        <v>#N/A</v>
      </c>
      <c r="CI79" s="380" t="e">
        <f>VLOOKUP(BR79,Reinforcements[],COLUMN(Reinforcements[[#Headers],[Tension Only?]])-1,FALSE)</f>
        <v>#N/A</v>
      </c>
      <c r="CJ79" s="449" t="str">
        <f>IF(BQ79="","",AND(INDEX(Results!$G$5:$G$104,MATCH(VLOOKUP($BQ79,Input!$B$21:$J$50,2,FALSE)-0.001,Results!$G$5:$G$104,-1))=$D$4))</f>
        <v/>
      </c>
      <c r="CK79" s="449" t="str">
        <f>IF(BQ79="","",AND(INDEX('Macro References'!$BB$2:$BB$101,MATCH(VLOOKUP($BQ79,Input!$B$21:$J$50,6,FALSE)-0.001,'Macro References'!$BB$2:$BB$101,1))=$D$4))</f>
        <v/>
      </c>
      <c r="CL79" s="449" t="e">
        <f>IF(CJ79,VLOOKUP(BR79,Reinforcements[],COLUMN(Reinforcements[[#Headers],[Bottom End Connection Type]])-1,FALSE),IF(CK79,VLOOKUP(BR79,Reinforcements[],COLUMN(Reinforcements[[#Headers],[Top End Connection Type]])-1,FALSE),""))</f>
        <v>#VALUE!</v>
      </c>
      <c r="CM79" s="449" t="e">
        <f>IF(ISBLANK(VLOOKUP(BR79,Reinforcements[],COLUMN(Reinforcements[[#Headers],[Bottom Transverse Weld Length]])-1,FALSE)),"",(VLOOKUP(BR79,Reinforcements[],COLUMN(Reinforcements[[#Headers],[Bottom Transverse Weld Length]])-1,FALSE)))</f>
        <v>#N/A</v>
      </c>
      <c r="CN79" s="449" t="e">
        <f>IF(ISBLANK(VLOOKUP(BR79,Reinforcements[],COLUMN(Reinforcements[[#Headers],[Bottom Transverse (Horizontal) Weld]])-1,FALSE)),"",(VLOOKUP(BR79,Reinforcements[],COLUMN(Reinforcements[[#Headers],[Bottom Transverse (Horizontal) Weld]])-1,FALSE)))</f>
        <v>#N/A</v>
      </c>
      <c r="CO79" s="449" t="e">
        <f>IF(ISBLANK(VLOOKUP(BR79,Reinforcements[],COLUMN(Reinforcements[[#Headers],[Bottom Longitudinal Weld Length]])-1,FALSE)),"",(VLOOKUP(BR79,Reinforcements[],COLUMN(Reinforcements[[#Headers],[Bottom Longitudinal Weld Length]])-1,FALSE)))</f>
        <v>#N/A</v>
      </c>
      <c r="CP79" s="449" t="str">
        <f>IFERROR(VLOOKUP(BR79,Reinforcements[],COLUMN(Reinforcements[[#Headers],[Bottom Connected to Flange/Base Plate?]])-1,FALSE),"")</f>
        <v/>
      </c>
      <c r="CQ79" s="369" t="e">
        <f>IF(Rev="F",VLOOKUP(BR79,Reinforcements[],COLUMN(Reinforcements[[#Headers],[Rev. F Bottom Transverse Weld Strength]])-1,FALSE),VLOOKUP(BR79,Reinforcements[],COLUMN(Reinforcements[[#Headers],[Rev. G Bottom Transverse Weld Strength]])-1,FALSE))</f>
        <v>#N/A</v>
      </c>
      <c r="CR79" s="369" t="e">
        <f>IF(CP79="Yes",IF(CN79="Fillet",VLOOKUP(BR79,Reinforcements[],COLUMN(Reinforcements[[#Headers],[Bottom Transverse Weld Fillet Size (in)]])-1,FALSE)*CM79*MIN(IF(Rev="F",0.4,φ_shear_yield*0.6)*CG79,IF(Rev="F",0.3,φ_shear_rupture*0.6)*CH79),VLOOKUP(BR79,Reinforcements[],COLUMN(Reinforcements[[#Headers],[Bottom Transverse Weld Groove Depth (in)]])-1,FALSE)/COS(RADIANS(VLOOKUP(BR79,Reinforcements[],COLUMN(Reinforcements[[#Headers],[Bottom Transverse Weld Groove Angle (degrees)]])-1,FALSE)))*CM79*IF(Rev="F",0.6,φ_t_y)*CG79),VLOOKUP(BR79,Reinforcements[],COLUMN(Reinforcements[[#Headers],[Bottom Transverse Weld Fillet Size (in)]])-1,FALSE)*CM79*IF(Rev="F",0.6,φ_t_y)*CG79)</f>
        <v>#N/A</v>
      </c>
      <c r="CS79" s="369" t="str">
        <f>IF(CP79&lt;&gt;"Yes","",(VLOOKUP(BR79,Reinforcements[],COLUMN(Reinforcements[[#Headers],[Bottom Transverse Weld Groove Depth (in)]])-1,FALSE)+VLOOKUP(BR79,Reinforcements[],COLUMN(Reinforcements[[#Headers],[Bottom Transverse Weld Fillet Size (in)]])-1,FALSE))*CM79*IF(Rev="F",0.6,φ_t_y)*$D$14)</f>
        <v/>
      </c>
      <c r="CT79" s="369" t="e">
        <f>IF(CP79="Yes","",VLOOKUP(BR79,Reinforcements[],COLUMN(Reinforcements[[#Headers],[Bottom Transverse Weld Fillet Size (in)]])-1,FALSE)*CM79*MIN(IF(Rev="F",0.4,φ_shear_yield*0.6)*$D$6,IF(Rev="F",0.3,φ_shear_rupture*0.6)*$D$7))</f>
        <v>#N/A</v>
      </c>
      <c r="CU79" s="451" t="e">
        <f>IF(Rev="F",VLOOKUP(BR79,Reinforcements[],COLUMN(Reinforcements[[#Headers],[Rev. F Bottom Longitudinal Weld Strength]])-1,FALSE),VLOOKUP(BR79,Reinforcements[],COLUMN(Reinforcements[[#Headers],[Rev. G Bottom Longitudinal Weld Strength]])-1,FALSE))</f>
        <v>#N/A</v>
      </c>
      <c r="CV79" s="451" t="e">
        <f>2*VLOOKUP(BR79,Reinforcements[],COLUMN(Reinforcements[[#Headers],[Bottom Longitudinal Weld Fillet Size (in)]])-1,FALSE)*CO79*MIN(IF(Rev="F",0.4,φ_shear_yield*0.6)*CG79,IF(Rev="F",0.3,φ_shear_rupture*0.6)*CH79)</f>
        <v>#N/A</v>
      </c>
      <c r="CW79" s="451" t="e">
        <f>2*VLOOKUP(BR79,Reinforcements[],COLUMN(Reinforcements[[#Headers],[Bottom Longitudinal Weld Fillet Size (in)]])-1,FALSE)*CO79*MIN(IF(Rev="F",0.4,φ_shear_yield*0.6)*$D$6,IF(Rev="F",0.3,φ_shear_rupture*0.6)*$D$7)</f>
        <v>#N/A</v>
      </c>
      <c r="CX79" s="451" t="e">
        <f>IF(ISBLANK(VLOOKUP(BR79,Reinforcements[],COLUMN(Reinforcements[[#Headers],[Top Transverse Weld Length]])-1,FALSE)),"",(VLOOKUP(BR79,Reinforcements[],COLUMN(Reinforcements[[#Headers],[Top Transverse Weld Length]])-1,FALSE)))</f>
        <v>#N/A</v>
      </c>
      <c r="CY79" s="451" t="e">
        <f>IF(ISBLANK(VLOOKUP(BR79,Reinforcements[],COLUMN(Reinforcements[[#Headers],[Top Transverse (Horizontal) Weld]])-1,FALSE)),"",(VLOOKUP(BR79,Reinforcements[],COLUMN(Reinforcements[[#Headers],[Top Transverse (Horizontal) Weld]])-1,FALSE)))</f>
        <v>#N/A</v>
      </c>
      <c r="CZ79" s="451" t="e">
        <f>IF(ISBLANK(VLOOKUP(BR79,Reinforcements[],COLUMN(Reinforcements[[#Headers],[Top Longitudinal Weld Length]])-1,FALSE)),"",(VLOOKUP(BR79,Reinforcements[],COLUMN(Reinforcements[[#Headers],[Top Longitudinal Weld Length]])-1,FALSE)))</f>
        <v>#N/A</v>
      </c>
      <c r="DA79" s="369" t="str">
        <f>IFERROR(VLOOKUP(BR79,Reinforcements[],COLUMN(Reinforcements[[#Headers],[Top Connected to Flange/Base Plate?]])-1,FALSE),"")</f>
        <v/>
      </c>
      <c r="DB79" s="369" t="e">
        <f>IF(Rev="F",VLOOKUP(BR79,Reinforcements[],COLUMN(Reinforcements[[#Headers],[Rev. F Top Transverse Weld Strength]])-1,FALSE),VLOOKUP(BR79,Reinforcements[],COLUMN(Reinforcements[[#Headers],[Rev. G Top Transverse Weld Strength]])-1,FALSE))</f>
        <v>#N/A</v>
      </c>
      <c r="DC79" s="369" t="e">
        <f>IF(DA79="Yes",IF(CY79="Fillet",VLOOKUP(BR79,Reinforcements[],COLUMN(Reinforcements[[#Headers],[Top Transverse Weld Fillet Size (in)]])-1,FALSE)*CX79*MIN(IF(Rev="F",0.4,φ_shear_yield*0.6)*CG79,IF(Rev="F",0.3,φ_shear_rupture*0.6)*CH79),VLOOKUP(BR79,Reinforcements[],COLUMN(Reinforcements[[#Headers],[Top Transverse Weld Groove Depth (in)]])-1,FALSE)/COS(RADIANS(VLOOKUP(BR79,Reinforcements[],COLUMN(Reinforcements[[#Headers],[Top Transverse Weld Groove Angle (degrees)]])-1,FALSE)))*CX79*IF(Rev="F",0.6,φ_t_y)*CG79),VLOOKUP(BR79,Reinforcements[],COLUMN(Reinforcements[[#Headers],[Top Transverse Weld Fillet Size (in)]])-1,FALSE)*CX79*IF(Rev="F",0.6,φ_t_y)*CG79)</f>
        <v>#N/A</v>
      </c>
      <c r="DD79" s="369" t="str">
        <f>IF(DA79&lt;&gt;"Yes","",(VLOOKUP(BR79,Reinforcements[],COLUMN(Reinforcements[[#Headers],[Top Transverse Weld Groove Depth (in)]])-1,FALSE)+VLOOKUP(BR79,Reinforcements[],COLUMN(Reinforcements[[#Headers],[Top Transverse Weld Fillet Size (in)]])-1,FALSE))*CX79*IF(Rev="F",0.6,φ_t_y)*$D$14)</f>
        <v/>
      </c>
      <c r="DE79" s="369" t="e">
        <f>IF(DA79="Yes","",VLOOKUP(BR79,Reinforcements[],COLUMN(Reinforcements[[#Headers],[Top Transverse Weld Fillet Size (in)]])-1,FALSE)*CX79*MIN(IF(Rev="F",0.4,φ_shear_yield*0.6)*$D$6,IF(Rev="F",0.3,φ_shear_rupture*0.6)*$D$7))</f>
        <v>#N/A</v>
      </c>
      <c r="DF79" s="451" t="e">
        <f>IF(Rev="F",VLOOKUP(BR79,Reinforcements[],COLUMN(Reinforcements[[#Headers],[Rev. F Top Longitudinal Weld Strength]])-1,FALSE),VLOOKUP(BR79,Reinforcements[],COLUMN(Reinforcements[[#Headers],[Rev. G Top Longitudinal Weld Strength]])-1,FALSE))</f>
        <v>#N/A</v>
      </c>
      <c r="DG79" s="451" t="e">
        <f>2*VLOOKUP(BR79,Reinforcements[],COLUMN(Reinforcements[[#Headers],[Top Longitudinal Weld Fillet Size (in)]])-1,FALSE)*CZ79*MIN(IF(Rev="F",0.4,φ_shear_yield*0.6)*CG79,IF(Rev="F",0.3,φ_shear_rupture*0.6)*CH79)</f>
        <v>#N/A</v>
      </c>
      <c r="DH79" s="451" t="e">
        <f>2*VLOOKUP(BR79,Reinforcements[],COLUMN(Reinforcements[[#Headers],[Top Longitudinal Weld Fillet Size (in)]])-1,FALSE)*CZ79*MIN(IF(Rev="F",0.4,φ_shear_yield*0.6)*$D$6,IF(Rev="F",0.3,φ_shear_rupture*0.6)*$D$7)</f>
        <v>#N/A</v>
      </c>
      <c r="DI79" s="66" t="e">
        <f>IF(BS79="channel",VLOOKUP(Calculations!BR79,Reinforcements[],COLUMN(Reinforcements[[#Headers],['[Channel']Web Thickness (in)]])-1,FALSE),"")</f>
        <v>#N/A</v>
      </c>
      <c r="DJ79" s="66" t="b">
        <f>OR(AND(CJ79,CP79="Yes"),AND(CK79,DA79="Yes"))</f>
        <v>0</v>
      </c>
      <c r="DK79" s="66" t="e">
        <f>IF(BS79="channel",Calculations!BU79-DI79,"")</f>
        <v>#N/A</v>
      </c>
      <c r="DL79" s="66" t="e">
        <f>IF(BS79="channel",(Calculations!BY79-Calculations!BT79*DI79)/(2*DK79))</f>
        <v>#N/A</v>
      </c>
      <c r="DM79" s="66" t="e">
        <f>IF(BS79="channel",(Calculations!BT79*(DI79^2)/2+2*DK79*DL79*(DI79+DK79/2))/Calculations!BY79,"")</f>
        <v>#N/A</v>
      </c>
    </row>
    <row r="80" spans="2:117" ht="15" x14ac:dyDescent="0.25">
      <c r="B80" s="66" t="str">
        <f t="shared" si="70"/>
        <v/>
      </c>
      <c r="C80" s="317">
        <v>2</v>
      </c>
      <c r="D80" s="380" t="str">
        <f>IF(BQ80="","",IF($D$8=0,IF(OR(VLOOKUP(BQ80,Input!$B$21:$AL$50,19+C80,FALSE)+$D$5=0,VLOOKUP(BQ80,Input!$B$21:$AL$50,19+C80,FALSE)+$D$5=180),VLOOKUP(BQ80,Input!$B$21:$AL$50,19+C80,FALSE)+$D$5+0.0001,VLOOKUP(BQ80,Input!$B$21:$AL$50,19+C80,FALSE)+$D$5),IF(VLOOKUP(BQ80,Input!$B$21:$AL$50,19+C80,FALSE)="c",VLOOKUP($C80,$C$40:$E$57,2,FALSE)+180/$D$8,VLOOKUP($C80,$C$40:$E$57,2,FALSE))))</f>
        <v/>
      </c>
      <c r="E80" s="370" t="str">
        <f t="shared" ref="E80:E96" si="110">IF(D80="","",IF(D80&gt;630,360-(D80-360),IF(D80&gt;540,(D80-360)-180,IF(D80&gt;450,180-(D80-360),IF(D80&gt;360,D80-360,IF(D80&gt;270,360-D80,IF(D80&gt;180,D80-180,IF(D80&gt;90,180-D80,D80))))))))</f>
        <v/>
      </c>
      <c r="F80" s="381" t="str">
        <f>IF(BR80="","",VLOOKUP(BR80,Reinforcements[],COLUMN(Reinforcements[[#Headers],[Gross Area (in2)]])-1,FALSE))</f>
        <v/>
      </c>
      <c r="G80" s="378" t="e">
        <f>(IF(VLOOKUP(BQ80,Input!$B$21:$AL$50,19+C80,FALSE)="c",$D$20/COS(RADIANS(180/$D$8)),$D$20)+CA80)*SIN(RADIANS(D80))-IF(AND(ISNUMBER(VLOOKUP(BQ80,Input!$B$21:$AL$50,19+C80,FALSE)),$D$8&lt;&gt;0),VLOOKUP(BQ80,Input!$B$21:$AL$50,19+C80,FALSE)*COS(RADIANS(D80)),0)</f>
        <v>#N/A</v>
      </c>
      <c r="H80" s="373" t="str">
        <f t="shared" ref="H80:H96" si="111">IF(ISERROR(F80*G80),"",F80*G80)</f>
        <v/>
      </c>
      <c r="I80" s="373" t="e">
        <f t="shared" si="86"/>
        <v>#N/A</v>
      </c>
      <c r="J80" s="373" t="e">
        <f t="shared" ref="J80:J96" si="112">CB80</f>
        <v>#N/A</v>
      </c>
      <c r="K80" s="373" t="e">
        <f t="shared" ref="K80:K96" si="113">CC80</f>
        <v>#N/A</v>
      </c>
      <c r="L80" s="373" t="e">
        <f t="shared" ref="L80:L96" si="114">(J80+K80)/2+(J80-K80)/2*COS(2*RADIANS(D80+90))</f>
        <v>#N/A</v>
      </c>
      <c r="M80" s="374" t="str">
        <f t="shared" ref="M80:M96" si="115">IFERROR((L80+F80*I80^2)*IF(CI80="Yes",BP80,1),"")</f>
        <v/>
      </c>
      <c r="N80" s="372" t="str">
        <f>IFERROR((IF(VLOOKUP(BQ80,Input!$B$21:$AL$50,19+C80,FALSE)="c",$D$20/COS(RADIANS(180/$D$8)),$D$20)+CA80)*SIN(RADIANS(D80))-IF(AND(ISNUMBER(VLOOKUP(BQ80,Input!$B$21:$AL$50,19+C80,FALSE)),$D$8&lt;&gt;0),VLOOKUP(BQ80,Input!$B$21:$AL$50,19+C80,FALSE)*COS(RADIANS(D80)),0)-$D$35,"")</f>
        <v/>
      </c>
      <c r="O80" s="373" t="str">
        <f t="shared" si="87"/>
        <v/>
      </c>
      <c r="P80" s="373" t="str">
        <f t="shared" si="88"/>
        <v/>
      </c>
      <c r="Q80" s="373" t="str">
        <f t="shared" si="89"/>
        <v/>
      </c>
      <c r="R80" s="374" t="str">
        <f t="shared" si="90"/>
        <v/>
      </c>
      <c r="S80" s="373" t="str">
        <f t="shared" si="91"/>
        <v/>
      </c>
      <c r="T80" s="373" t="str">
        <f t="shared" si="92"/>
        <v/>
      </c>
      <c r="U80" s="373" t="str">
        <f t="shared" si="93"/>
        <v/>
      </c>
      <c r="V80" s="374" t="str">
        <f t="shared" si="94"/>
        <v/>
      </c>
      <c r="W80" s="482" t="str">
        <f>IFERROR(IF('Macro References'!$A$9,IF(AND(Calculations!CK80,CL80="Bolted"),VLOOKUP($BR80,Reinforcements[],COLUMN(IF(Rev="F",Reinforcements[[#Headers],[Rev. F Bolt Shear Capacity   (Top)        (kips)]],IF(Rev="G",Reinforcements[[#Headers],[Rev. G Bolt Shear Capacity (Top)     (kips)]],Reinforcements[[#Headers],[Rev. H Bolt Shear Capacity (Top) (kips)]])))-1,FALSE),IF(AND(Calculations!CJ80,CL80="Bolted"),VLOOKUP($BR80,Reinforcements[],COLUMN(IF(Rev="F",Reinforcements[[#Headers],[Rev. F Bolt Shear Capacity (Bottom)   (kips)]],IF(Rev="G",Reinforcements[[#Headers],[Rev. G Bolt Shear Capacity (Bottom) (kips)]],Reinforcements[[#Headers],[Rev. H Bolt Shear Capacity (Bottom) (kips)]])))-1,FALSE),"")),""),"")</f>
        <v/>
      </c>
      <c r="X80" s="483" t="str">
        <f>IFERROR(IF('Macro References'!$A$9,IF('Macro References'!$A$10,IF(AND(Calculations!CK80,CL80="Bolted"),VLOOKUP($BR80,Reinforcements[],COLUMN(IF(Rev="F",Reinforcements[[#Headers],[Rev.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kips)]])))-1,FALSE),IF(AND(Calculations!CJ80,CL80="Bolted"),VLOOKUP($BR80,Reinforcements[],COLUMN(IF(Rev="F",Reinforcements[[#Headers],[Rev.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kips)]])))-1,FALSE),"")),IF(AND(Calculations!CK80,CL80="Bolted"),VLOOKUP($BR80,Reinforcements[],COLUMN(IF(Rev="F",Reinforcements[[#Headers],[Rev.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kips)]])))-1,FALSE),IF(AND(Calculations!CJ80,CL80="Bolted"),VLOOKUP($BR80,Reinforcements[],COLUMN(IF(Rev="F",Reinforcements[[#Headers],[Rev.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0" s="483" t="str">
        <f>IFERROR(IF('Macro References'!$A$9,IF('Macro References'!$A$10,IF(AND(Calculations!CK80,CL80="Bolted"),VLOOKUP($BR80,Reinforcements[],COLUMN(IF(Rev="F",Reinforcements[[#Headers],[Rev.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(kips)]])))-1,FALSE),IF(AND(Calculations!CJ80,CL80="Bolted"),VLOOKUP($BR80,Reinforcements[],COLUMN(IF(Rev="F",Reinforcements[[#Headers],[Rev.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(kips)]])))-1,FALSE),"")),IF(AND(Calculations!CK80,CL80="Bolted"),VLOOKUP($BR80,Reinforcements[],COLUMN(IF(Rev="F",Reinforcements[[#Headers],[Rev.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(kips)]])))-1,FALSE),IF(AND(Calculations!CJ80,CL80="Bolted"),VLOOKUP($BR80,Reinforcements[],COLUMN(IF(Rev="F",Reinforcements[[#Headers],[Rev.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0" s="483" t="str">
        <f>IFERROR(IF('Macro References'!$A$9,IF(AND(CJ80,CL80="Welded"),MIN(CQ80:CT80),IF(AND(CK80,CL80="Welded"),MIN(DB80:DE80),"")),""),"")</f>
        <v/>
      </c>
      <c r="AA80" s="484" t="str">
        <f>IFERROR(IF('Macro References'!$A$9,IF(AND(CJ80,CL80="Welded"),MIN(CU80:CW80),IF(AND(CK80,CL80="Welded"),MIN(DF80:DH80),"")),""),"")</f>
        <v/>
      </c>
      <c r="AB80" s="484" t="str">
        <f>IFERROR(IF('Macro References'!$A$9,IF(AND(CJ80,CL80="Welded",CN80="Fillet",CU80&gt;0),TRUE,IF(AND(CK80,CL80="Welded",CY80="Fillet",DF80&gt;0),TRUE,"")),""),"")</f>
        <v/>
      </c>
      <c r="AC80" s="484" t="e">
        <f>IF('Macro References'!$A$9,IF(AND(CJ80,CL80="Capacity Input"),IF(Rev="F",VLOOKUP(BR80,Reinforcements[],COLUMN(Reinforcements[[#Headers],[Rev. F Bottom Connection Capacity (kips)]])-1,FALSE),IF(Rev="G",VLOOKUP(BR80,Reinforcements[],COLUMN(Reinforcements[[#Headers],[Rev. G Bottom Connection Capacity (kips)]])-1,FALSE),VLOOKUP(BR80,Reinforcements[],COLUMN(Reinforcements[[#Headers],[Rev. H Bottom Connection Capacity (kips)]])-1,FALSE))),IF(AND(CK80,CL80="Capacity Input"),IF(Rev="F",VLOOKUP(BR80,Reinforcements[],COLUMN(Reinforcements[[#Headers],[Rev. F Top Connection Capacity (kips)]])-1,FALSE),IF(Rev="G",VLOOKUP(BR80,Reinforcements[],COLUMN(Reinforcements[[#Headers],[Rev. G Top Connection Capacity (kips)]])-1,FALSE),VLOOKUP(BR80,Reinforcements[],COLUMN(Reinforcements[[#Headers],[Rev. H Top Connection Capacity (kips)]])-1,FALSE))),"")),"")</f>
        <v>#VALUE!</v>
      </c>
      <c r="AD80" s="484" t="str">
        <f>IFERROR(IF(Rev="F",MIN(VLOOKUP(BR80,Reinforcements[],COLUMN(Reinforcements[[#Headers],[Rev. F Compression Capacity x-x (kips)]])-1,FALSE),VLOOKUP(BR80,Reinforcements[],COLUMN(Reinforcements[[#Headers],[Rev. F Compression Capacity y-y (kips)]])-1,FALSE)),IF(Rev="G",MIN(VLOOKUP(BR80,Reinforcements[],COLUMN(Reinforcements[[#Headers],[Rev. G Compression Capacity x-x (kips)]])-1,FALSE),VLOOKUP(BR80,Reinforcements[],COLUMN(Reinforcements[[#Headers],[Rev. G Compression Capacity y-y (kips)]])-1,FALSE)),MIN(VLOOKUP(BR80,Reinforcements[],COLUMN(Reinforcements[[#Headers],[Rev. H Compression Capacity x-x (kips)]])-1,FALSE),VLOOKUP(BR80,Reinforcements[],COLUMN(Reinforcements[[#Headers],[Rev. H Compression Capacity y-y (kips)]])-1,FALSE)))),"")</f>
        <v/>
      </c>
      <c r="AE80" s="485" t="str">
        <f>IFERROR(IF(Rev="F",VLOOKUP(BR80,Reinforcements[],COLUMN(Reinforcements[[#Headers],[Rev. F Shear Capacity (kips)]])-1,FALSE)/BY80,IF(Rev="G",VLOOKUP(Calculations!BR80,Reinforcements[],COLUMN(Reinforcements[[#Headers],[Rev. G Shear Capacity (kips)]])-1,FALSE),VLOOKUP(Calculations!BR80,Reinforcements[],COLUMN(Reinforcements[[#Headers],[Rev. H Shear Capacity (kips)]])-1,FALSE))),"")</f>
        <v/>
      </c>
      <c r="AF80" s="451" t="str">
        <f>IFERROR(IF(Rev="F",VLOOKUP(BR80,Reinforcements[],COLUMN(Reinforcements[[#Headers],[Rev. F Tension Yield Capacity (kips)]])-1,FALSE),IF(Rev="G",VLOOKUP(Calculations!BR80,Reinforcements[],COLUMN(Reinforcements[[#Headers],[Rev. G Tension Yield Capacity (kips)]])-1,FALSE),VLOOKUP(Calculations!BR80,Reinforcements[],COLUMN(Reinforcements[[#Headers],[Rev. H Tension Yield Capacity (kips)]])-1,FALSE))),"")</f>
        <v/>
      </c>
      <c r="AG80" s="486" t="str">
        <f>IFERROR(IF(Rev="F",VLOOKUP(BR80,Reinforcements[],COLUMN(Reinforcements[[#Headers],[Rev. F Tension Rupture Capacity (kips)]])-1,FALSE),IF(Rev="G",VLOOKUP(Calculations!BR80,Reinforcements[],COLUMN(Reinforcements[[#Headers],[Rev. G Tension Rupture Capacity (kips)]])-1,FALSE),VLOOKUP(Calculations!BR80,Reinforcements[],COLUMN(Reinforcements[[#Headers],[Rev. H Tension Rupture Capacity (kips)]])-1, FALSE))),"")</f>
        <v/>
      </c>
      <c r="AH80" s="409" t="str">
        <f t="shared" si="95"/>
        <v/>
      </c>
      <c r="AI80" s="380" t="str">
        <f t="shared" si="96"/>
        <v/>
      </c>
      <c r="AJ80" s="380" t="str">
        <f t="shared" si="97"/>
        <v/>
      </c>
      <c r="AK80" s="380" t="str">
        <f t="shared" si="85"/>
        <v/>
      </c>
      <c r="AL80" s="369" t="str">
        <f t="shared" si="78"/>
        <v/>
      </c>
      <c r="AM80" s="380" t="str">
        <f>""</f>
        <v/>
      </c>
      <c r="AN80" s="380" t="str">
        <f t="shared" si="98"/>
        <v/>
      </c>
      <c r="AO80" s="369" t="str">
        <f t="shared" si="99"/>
        <v/>
      </c>
      <c r="AP80" s="410" t="str">
        <f t="shared" si="100"/>
        <v/>
      </c>
      <c r="AQ80" s="411" t="str">
        <f t="shared" si="53"/>
        <v/>
      </c>
      <c r="AR80" s="380" t="str">
        <f>IF(BR80="","",VLOOKUP(VLOOKUP(BR80,Reinforcements[],COLUMN(Reinforcements[[#Headers],[Material]])-1,FALSE),Materials[],2,FALSE)/$D$28)</f>
        <v/>
      </c>
      <c r="AS80" s="369" t="str">
        <f t="shared" si="54"/>
        <v/>
      </c>
      <c r="AT80" s="489" t="str">
        <f t="shared" si="101"/>
        <v/>
      </c>
      <c r="AU80" s="412">
        <f t="shared" ref="AU80:AU96" si="116">IF(ISERROR(IF(OR(D80&gt;540,AND(D80&gt;180,D80&lt;=360)),MIN(O80:R80),MAX(O80:R80))),"",IF(OR(D80&gt;540,AND(D80&gt;180,D80&lt;=360)),MIN(O80:R80),MAX(O80:R80)))</f>
        <v>0</v>
      </c>
      <c r="AV80" s="413">
        <f t="shared" ref="AV80:AV96" si="117">IF(ISERROR(IF(AU80=MAX(O80:R80),MIN(O80:R80),MAX(O80:R80))),"",IF(AU80=MAX(O80:R80),MIN(O80:R80),MAX(O80:R80)))</f>
        <v>0</v>
      </c>
      <c r="AW80" s="413" t="e">
        <f t="shared" si="102"/>
        <v>#N/A</v>
      </c>
      <c r="AX80" s="413" t="e">
        <f t="shared" si="103"/>
        <v>#N/A</v>
      </c>
      <c r="AY80" s="413" t="str">
        <f t="shared" si="104"/>
        <v/>
      </c>
      <c r="AZ80" s="413" t="e">
        <f t="shared" si="105"/>
        <v>#VALUE!</v>
      </c>
      <c r="BA80" s="433" t="str">
        <f t="shared" ref="BA80:BA96" si="118">IF(ISERROR(AZ80*AY80),"",AZ80*AY80)</f>
        <v/>
      </c>
      <c r="BB80" s="436" t="str">
        <f t="shared" ref="BB80:BB96" si="119">IFERROR(IF(MAX(AVERAGE(O80:P80),AVERAGE(Q80:R80))&gt;$AR80,MIN((MAX(AVERAGE(O80:P80),AVERAGE(Q80:R80))-$AR80)/COS(RADIANS($E80)),$BW80)*$BX80*$CG80,""),"")</f>
        <v/>
      </c>
      <c r="BC80" s="437" t="str">
        <f t="shared" ref="BC80:BC96" si="120">IFERROR(IF(AND(MAX(AVERAGE(O80:P80),AVERAGE(Q80:R80))&gt;0,MIN(AVERAGE(O80:P80),AVERAGE(Q80:R80))&lt;=$AR80),IF(AND(MIN(AVERAGE(O80:P80),AVERAGE(Q80:R80))&gt;=0,MAX(AVERAGE(O80:P80),AVERAGE(Q80:R80))&lt;=$AR80),$D$28*BX80*BW80/2*(2*AV80+IF(OR(D80&gt;540,AND(D80&gt;180,D80&lt;=360)),-1,1)*BX80*SIN(RADIANS(E80))+IF(OR(D80&gt;540,AND(D80&gt;180,D80&lt;=360)),-1,1)*BW80*COS(RADIANS(E80))),IF(MIN(AVERAGE(O80:P80),AVERAGE(Q80:R80))&gt;=0,$D$28*BX80*($AR80-MIN(AVERAGE(O80:P80),AVERAGE(Q80:R80)))/COS(RADIANS(E80))/2*(2*(MIN(AVERAGE(O80:P80),AVERAGE(Q80:R80)))+IF(OR(D80&gt;540,AND(D80&gt;180,D80&lt;=360)),-1,1)*BX80*SIN(RADIANS(E80))+IF(OR(D80&gt;540,AND(D80&gt;180,D80&lt;=360)),-1,1)*($AR80-MIN(AVERAGE(O80:P80),AVERAGE(Q80:R80)))/COS(RADIANS(E80))*COS(RADIANS(E80))),IF(MAX(AVERAGE(O80:P80),AVERAGE(Q80:R80))&gt;$AR80,$D$28*BX80*($AR80/COS(RADIANS(E80)))/2*(2*(-BX80/2*SIN(RADIANS(E80))*COS(RADIANS(E80)))+IF(OR(D80&gt;540,AND(D80&gt;180,D80&lt;=360)),-1,1)*BX80*SIN(RADIANS(E80))+IF(OR(D80&gt;540,AND(D80&gt;180,D80&lt;=360)),-1,1)*($AR80/COS(RADIANS(E80)))*COS(RADIANS(E80))),$D$28*BX80*(MAX(AVERAGE(O80:P80),AVERAGE(Q80:R80))/COS(RADIANS(E80)))/2*(2*(-BX80/2*SIN(RADIANS(E80))*COS(RADIANS(E80)))+BX80*SIN(RADIANS(E80))+(MAX(AVERAGE(O80:P80),AVERAGE(Q80:R80))/COS(RADIANS(E80)))*COS(RADIANS(E80)))))),""),"")</f>
        <v/>
      </c>
      <c r="BD80" s="437" t="str">
        <f t="shared" si="106"/>
        <v/>
      </c>
      <c r="BE80" s="433" t="str">
        <f t="shared" ref="BE80:BE96" si="121">IFERROR(IF(CI80="Yes","",IF(MIN(AVERAGE(O80:P80),AVERAGE(Q80:R80))&lt;-$AR80,MAX((MIN(AVERAGE(O80:P80),AVERAGE(Q80:R80))+$AR80)/COS(RADIANS($E80)),-$BW80)*$BX80*$CG80,"")),"")</f>
        <v/>
      </c>
      <c r="BF80" s="438" t="e">
        <f t="shared" ref="BF80:BF96" si="122">IF(MAX(AVERAGE(O80:P80),AVERAGE(Q80:R80))&gt;$AR80,MAX(AVERAGE(MAX(AVERAGE(O80:P80),AVERAGE(Q80:R80)),$AR80),AVERAGE(O80:R80)),"")</f>
        <v>#DIV/0!</v>
      </c>
      <c r="BG80" s="439" t="str">
        <f t="shared" si="107"/>
        <v/>
      </c>
      <c r="BH80" s="439" t="str">
        <f t="shared" si="108"/>
        <v/>
      </c>
      <c r="BI80" s="433" t="e">
        <f t="shared" ref="BI80:BI96" si="123">IF(MIN(AVERAGE(O80:P80),AVERAGE(Q80:R80))&lt;-$AR80,MIN(AVERAGE(MIN(AVERAGE(O80:P80),AVERAGE(Q80:R80)),-$AR80),AVERAGE(O80:R80)),"")</f>
        <v>#DIV/0!</v>
      </c>
      <c r="BJ80" s="438" t="str">
        <f t="shared" ref="BJ80:BJ96" si="124">IFERROR(IF(BB80="",0,ABS(BB80))*IF(BF80="",0,ABS(BF80))+IF(BC80="",0,ABS(BC80))*IF(BG80="",0,ABS(BG80))+IF(BD80="",0,ABS(BD80))*IF(BH80="",0,ABS(BH80))+IF(BE80="",0,ABS(BE80))*IF(BI80="",0,ABS(BI80)),"")</f>
        <v/>
      </c>
      <c r="BK80" s="413" t="e">
        <f t="shared" ref="BK80:BK96" si="125">(IF(BB80="",0,ABS(BB80))*IF(BF80="",0,BF80)+IF(BC80="",0,ABS(BC80))*IF(BG80="",0,BG80)+IF(BD80="",0,ABS(BD80))*IF(BH80="",0,BH80)+IF(BE80="",0,ABS(BE80))*IF(BI80="",0,BI80))/(IF(BB80="",0,ABS(BB80))+IF(BC80="",0,ABS(BC80))+IF(BD80="",0,ABS(BD80))+IF(BE80="",0,ABS(BE80)))</f>
        <v>#DIV/0!</v>
      </c>
      <c r="BL80" s="66" t="str">
        <f t="shared" si="68"/>
        <v/>
      </c>
      <c r="BP80" s="30" t="e">
        <f t="shared" si="109"/>
        <v>#DIV/0!</v>
      </c>
      <c r="BQ80" s="444" t="str">
        <f>IFERROR(VALUE(IF(LEN(VLOOKUP(Calculations!$D$4,Results!$G$5:$CM$105,67+$C61,FALSE))-LEN(SUBSTITUTE(VLOOKUP(Calculations!$D$4,Results!$G$5:$CM$105,67+$C61,FALSE),";",""))&gt;1,MID(VLOOKUP(Calculations!$D$4,Results!$G$5:$CM$105,67+$C61,FALSE),FIND(";",VLOOKUP(Calculations!$D$4,Results!$G$5:$CM$105,67+$C61,FALSE))+1,FIND(";",VLOOKUP(Calculations!$D$4,Results!$G$5:$CM$105,67+$C61,FALSE),FIND(";",VLOOKUP(Calculations!$D$4,Results!$G$5:$CM$105,67+$C61,FALSE))+1)-FIND(";",VLOOKUP(Calculations!$D$4,Results!$G$5:$CM$105,67+$C61,FALSE))-1),"")),"")</f>
        <v/>
      </c>
      <c r="BR80" s="444" t="str">
        <f>IF(BQ80="","",VLOOKUP(BQ80,Input!$B$21:$Q$50,13,FALSE))</f>
        <v/>
      </c>
      <c r="BS80" s="369" t="e">
        <f>VLOOKUP(BR80,Reinforcements[],COLUMN(Reinforcements[[#Headers],[Type]])-1,FALSE)</f>
        <v>#N/A</v>
      </c>
      <c r="BT80" s="369" t="e">
        <f>IF(BS80="solid round",VLOOKUP(BR80,Reinforcements[],COLUMN(Reinforcements[[#Headers],[Diameter (in)]])-1,FALSE),VLOOKUP(BR80,Reinforcements[],COLUMN(Reinforcements[[#Headers],[B (in)]])-1,FALSE))</f>
        <v>#N/A</v>
      </c>
      <c r="BU80" s="369" t="e">
        <f>IF(BS80="solid round",VLOOKUP(BR80,Reinforcements[],COLUMN(Reinforcements[[#Headers],[Diameter (in)]])-1,FALSE),VLOOKUP(BR80,Reinforcements[],COLUMN(Reinforcements[[#Headers],[H (in)]])-1,FALSE))</f>
        <v>#N/A</v>
      </c>
      <c r="BV80" s="413" t="e">
        <f>IFERROR((IF(VLOOKUP(BQ80,Input!$B$21:$AL$50,19+C80,FALSE)="c",$D$20/COS(RADIANS(180/$D$8)),$D$20)+BU80/2)*SIN(RADIANS(D80))-IF(ISNUMBER(VLOOKUP(BQ80,Input!$B$21:$AL$50,19+C80,FALSE)),VLOOKUP(BQ80,Input!$B$21:$AL$50,19+C80,FALSE)*COS(RADIANS(D80)),0)-$D$35,"")*0+N80*1</f>
        <v>#VALUE!</v>
      </c>
      <c r="BW80" s="369" t="e">
        <f>VLOOKUP(BR80,Reinforcements[],COLUMN(Reinforcements[[#Headers],[Effective B (in)]])-1,FALSE)</f>
        <v>#N/A</v>
      </c>
      <c r="BX80" s="369" t="e">
        <f>VLOOKUP(BR80,Reinforcements[],COLUMN(Reinforcements[[#Headers],[Effective H (in)]])-1,FALSE)</f>
        <v>#N/A</v>
      </c>
      <c r="BY80" s="369" t="e">
        <f>VLOOKUP(BR80,Reinforcements[],COLUMN(Reinforcements[[#Headers],[Gross Area (in2)]])-1,FALSE)</f>
        <v>#N/A</v>
      </c>
      <c r="BZ80" s="380" t="s">
        <v>335</v>
      </c>
      <c r="CA80" s="369" t="e">
        <f>VLOOKUP(BR80,Reinforcements[],COLUMN(Reinforcements[[#Headers],[Pole Face to Centroid (in)]])-1,FALSE)</f>
        <v>#N/A</v>
      </c>
      <c r="CB80" s="369" t="e">
        <f>VLOOKUP(BR80,Reinforcements[],COLUMN(Reinforcements[[#Headers],[Ix]])-1,FALSE)</f>
        <v>#N/A</v>
      </c>
      <c r="CC80" s="369" t="e">
        <f>VLOOKUP(BR80,Reinforcements[],COLUMN(Reinforcements[[#Headers],[Iy]])-1,FALSE)</f>
        <v>#N/A</v>
      </c>
      <c r="CD80" s="369" t="e">
        <f>VLOOKUP(BR80,Reinforcements[],COLUMN(Reinforcements[[#Headers],[Lu (in)]])-1,FALSE)</f>
        <v>#N/A</v>
      </c>
      <c r="CE80" s="380" t="s">
        <v>335</v>
      </c>
      <c r="CF80" s="380" t="s">
        <v>335</v>
      </c>
      <c r="CG80" s="369" t="e">
        <f>VLOOKUP(VLOOKUP(BR80,Reinforcements[],COLUMN(Reinforcements[[#Headers],[Material]])-1,FALSE),Materials[],2,FALSE)</f>
        <v>#N/A</v>
      </c>
      <c r="CH80" s="369" t="e">
        <f>VLOOKUP(VLOOKUP(BR80,Reinforcements[],COLUMN(Reinforcements[[#Headers],[Material]])-1,FALSE),Materials[],3,FALSE)</f>
        <v>#N/A</v>
      </c>
      <c r="CI80" s="380" t="e">
        <f>VLOOKUP(BR80,Reinforcements[],COLUMN(Reinforcements[[#Headers],[Tension Only?]])-1,FALSE)</f>
        <v>#N/A</v>
      </c>
      <c r="CJ80" s="449" t="str">
        <f>IF(BQ80="","",AND(INDEX(Results!$G$5:$G$104,MATCH(VLOOKUP($BQ80,Input!$B$21:$J$50,2,FALSE)-0.001,Results!$G$5:$G$104,-1))=$D$4))</f>
        <v/>
      </c>
      <c r="CK80" s="449" t="str">
        <f>IF(BQ80="","",AND(INDEX('Macro References'!$BB$2:$BB$101,MATCH(VLOOKUP($BQ80,Input!$B$21:$J$50,6,FALSE)-0.001,'Macro References'!$BB$2:$BB$101,1))=$D$4))</f>
        <v/>
      </c>
      <c r="CL80" s="449" t="e">
        <f>IF(CJ80,VLOOKUP(BR80,Reinforcements[],COLUMN(Reinforcements[[#Headers],[Bottom End Connection Type]])-1,FALSE),IF(CK80,VLOOKUP(BR80,Reinforcements[],COLUMN(Reinforcements[[#Headers],[Top End Connection Type]])-1,FALSE),""))</f>
        <v>#VALUE!</v>
      </c>
      <c r="CM80" s="449" t="e">
        <f>IF(ISBLANK(VLOOKUP(BR80,Reinforcements[],COLUMN(Reinforcements[[#Headers],[Bottom Transverse Weld Length]])-1,FALSE)),"",(VLOOKUP(BR80,Reinforcements[],COLUMN(Reinforcements[[#Headers],[Bottom Transverse Weld Length]])-1,FALSE)))</f>
        <v>#N/A</v>
      </c>
      <c r="CN80" s="449" t="e">
        <f>IF(ISBLANK(VLOOKUP(BR80,Reinforcements[],COLUMN(Reinforcements[[#Headers],[Bottom Transverse (Horizontal) Weld]])-1,FALSE)),"",(VLOOKUP(BR80,Reinforcements[],COLUMN(Reinforcements[[#Headers],[Bottom Transverse (Horizontal) Weld]])-1,FALSE)))</f>
        <v>#N/A</v>
      </c>
      <c r="CO80" s="449" t="e">
        <f>IF(ISBLANK(VLOOKUP(BR80,Reinforcements[],COLUMN(Reinforcements[[#Headers],[Bottom Longitudinal Weld Length]])-1,FALSE)),"",(VLOOKUP(BR80,Reinforcements[],COLUMN(Reinforcements[[#Headers],[Bottom Longitudinal Weld Length]])-1,FALSE)))</f>
        <v>#N/A</v>
      </c>
      <c r="CP80" s="449" t="str">
        <f>IFERROR(VLOOKUP(BR80,Reinforcements[],COLUMN(Reinforcements[[#Headers],[Bottom Connected to Flange/Base Plate?]])-1,FALSE),"")</f>
        <v/>
      </c>
      <c r="CQ80" s="369" t="e">
        <f>IF(Rev="F",VLOOKUP(BR80,Reinforcements[],COLUMN(Reinforcements[[#Headers],[Rev. F Bottom Transverse Weld Strength]])-1,FALSE),VLOOKUP(BR80,Reinforcements[],COLUMN(Reinforcements[[#Headers],[Rev. G Bottom Transverse Weld Strength]])-1,FALSE))</f>
        <v>#N/A</v>
      </c>
      <c r="CR80" s="369" t="e">
        <f>IF(CP80="Yes",IF(CN80="Fillet",VLOOKUP(BR80,Reinforcements[],COLUMN(Reinforcements[[#Headers],[Bottom Transverse Weld Fillet Size (in)]])-1,FALSE)*CM80*MIN(IF(Rev="F",0.4,φ_shear_yield*0.6)*CG80,IF(Rev="F",0.3,φ_shear_rupture*0.6)*CH80),VLOOKUP(BR80,Reinforcements[],COLUMN(Reinforcements[[#Headers],[Bottom Transverse Weld Groove Depth (in)]])-1,FALSE)/COS(RADIANS(VLOOKUP(BR80,Reinforcements[],COLUMN(Reinforcements[[#Headers],[Bottom Transverse Weld Groove Angle (degrees)]])-1,FALSE)))*CM80*IF(Rev="F",0.6,φ_t_y)*CG80),VLOOKUP(BR80,Reinforcements[],COLUMN(Reinforcements[[#Headers],[Bottom Transverse Weld Fillet Size (in)]])-1,FALSE)*CM80*IF(Rev="F",0.6,φ_t_y)*CG80)</f>
        <v>#N/A</v>
      </c>
      <c r="CS80" s="369" t="str">
        <f>IF(CP80&lt;&gt;"Yes","",(VLOOKUP(BR80,Reinforcements[],COLUMN(Reinforcements[[#Headers],[Bottom Transverse Weld Groove Depth (in)]])-1,FALSE)+VLOOKUP(BR80,Reinforcements[],COLUMN(Reinforcements[[#Headers],[Bottom Transverse Weld Fillet Size (in)]])-1,FALSE))*CM80*IF(Rev="F",0.6,φ_t_y)*$D$14)</f>
        <v/>
      </c>
      <c r="CT80" s="369" t="e">
        <f>IF(CP80="Yes","",VLOOKUP(BR80,Reinforcements[],COLUMN(Reinforcements[[#Headers],[Bottom Transverse Weld Fillet Size (in)]])-1,FALSE)*CM80*MIN(IF(Rev="F",0.4,φ_shear_yield*0.6)*$D$6,IF(Rev="F",0.3,φ_shear_rupture*0.6)*$D$7))</f>
        <v>#N/A</v>
      </c>
      <c r="CU80" s="369" t="e">
        <f>IF(Rev="F",VLOOKUP(BR80,Reinforcements[],COLUMN(Reinforcements[[#Headers],[Rev. F Bottom Longitudinal Weld Strength]])-1,FALSE),VLOOKUP(BR80,Reinforcements[],COLUMN(Reinforcements[[#Headers],[Rev. G Bottom Longitudinal Weld Strength]])-1,FALSE))</f>
        <v>#N/A</v>
      </c>
      <c r="CV80" s="369" t="e">
        <f>2*VLOOKUP(BR80,Reinforcements[],COLUMN(Reinforcements[[#Headers],[Bottom Longitudinal Weld Fillet Size (in)]])-1,FALSE)*CO80*MIN(IF(Rev="F",0.4,φ_shear_yield*0.6)*CG80,IF(Rev="F",0.3,φ_shear_rupture*0.6)*CH80)</f>
        <v>#N/A</v>
      </c>
      <c r="CW80" s="369" t="e">
        <f>2*VLOOKUP(BR80,Reinforcements[],COLUMN(Reinforcements[[#Headers],[Bottom Longitudinal Weld Fillet Size (in)]])-1,FALSE)*CO80*MIN(IF(Rev="F",0.4,φ_shear_yield*0.6)*$D$6,IF(Rev="F",0.3,φ_shear_rupture*0.6)*$D$7)</f>
        <v>#N/A</v>
      </c>
      <c r="CX80" s="451" t="e">
        <f>IF(ISBLANK(VLOOKUP(BR80,Reinforcements[],COLUMN(Reinforcements[[#Headers],[Top Transverse Weld Length]])-1,FALSE)),"",(VLOOKUP(BR80,Reinforcements[],COLUMN(Reinforcements[[#Headers],[Top Transverse Weld Length]])-1,FALSE)))</f>
        <v>#N/A</v>
      </c>
      <c r="CY80" s="451" t="e">
        <f>IF(ISBLANK(VLOOKUP(BR80,Reinforcements[],COLUMN(Reinforcements[[#Headers],[Top Transverse (Horizontal) Weld]])-1,FALSE)),"",(VLOOKUP(BR80,Reinforcements[],COLUMN(Reinforcements[[#Headers],[Top Transverse (Horizontal) Weld]])-1,FALSE)))</f>
        <v>#N/A</v>
      </c>
      <c r="CZ80" s="451" t="e">
        <f>IF(ISBLANK(VLOOKUP(BR80,Reinforcements[],COLUMN(Reinforcements[[#Headers],[Top Longitudinal Weld Length]])-1,FALSE)),"",(VLOOKUP(BR80,Reinforcements[],COLUMN(Reinforcements[[#Headers],[Top Longitudinal Weld Length]])-1,FALSE)))</f>
        <v>#N/A</v>
      </c>
      <c r="DA80" s="369" t="str">
        <f>IFERROR(VLOOKUP(BR80,Reinforcements[],COLUMN(Reinforcements[[#Headers],[Top Connected to Flange/Base Plate?]])-1,FALSE),"")</f>
        <v/>
      </c>
      <c r="DB80" s="369" t="e">
        <f>IF(Rev="F",VLOOKUP(BR80,Reinforcements[],COLUMN(Reinforcements[[#Headers],[Rev. F Top Transverse Weld Strength]])-1,FALSE),VLOOKUP(BR80,Reinforcements[],COLUMN(Reinforcements[[#Headers],[Rev. G Top Transverse Weld Strength]])-1,FALSE))</f>
        <v>#N/A</v>
      </c>
      <c r="DC80" s="369" t="e">
        <f>IF(DA80="Yes",IF(CY80="Fillet",VLOOKUP(BR80,Reinforcements[],COLUMN(Reinforcements[[#Headers],[Top Transverse Weld Fillet Size (in)]])-1,FALSE)*CX80*MIN(IF(Rev="F",0.4,φ_shear_yield*0.6)*CG80,IF(Rev="F",0.3,φ_shear_rupture*0.6)*CH80),VLOOKUP(BR80,Reinforcements[],COLUMN(Reinforcements[[#Headers],[Top Transverse Weld Groove Depth (in)]])-1,FALSE)/COS(RADIANS(VLOOKUP(BR80,Reinforcements[],COLUMN(Reinforcements[[#Headers],[Top Transverse Weld Groove Angle (degrees)]])-1,FALSE)))*CX80*IF(Rev="F",0.6,φ_t_y)*CG80),VLOOKUP(BR80,Reinforcements[],COLUMN(Reinforcements[[#Headers],[Top Transverse Weld Fillet Size (in)]])-1,FALSE)*CX80*IF(Rev="F",0.6,φ_t_y)*CG80)</f>
        <v>#N/A</v>
      </c>
      <c r="DD80" s="369" t="str">
        <f>IF(DA80&lt;&gt;"Yes","",(VLOOKUP(BR80,Reinforcements[],COLUMN(Reinforcements[[#Headers],[Top Transverse Weld Groove Depth (in)]])-1,FALSE)+VLOOKUP(BR80,Reinforcements[],COLUMN(Reinforcements[[#Headers],[Top Transverse Weld Fillet Size (in)]])-1,FALSE))*CX80*IF(Rev="F",0.6,φ_t_y)*$D$14)</f>
        <v/>
      </c>
      <c r="DE80" s="369" t="e">
        <f>IF(DA80="Yes","",VLOOKUP(BR80,Reinforcements[],COLUMN(Reinforcements[[#Headers],[Top Transverse Weld Fillet Size (in)]])-1,FALSE)*CX80*MIN(IF(Rev="F",0.4,φ_shear_yield*0.6)*$D$6,IF(Rev="F",0.3,φ_shear_rupture*0.6)*$D$7))</f>
        <v>#N/A</v>
      </c>
      <c r="DF80" s="369" t="e">
        <f>IF(Rev="F",VLOOKUP(BR80,Reinforcements[],COLUMN(Reinforcements[[#Headers],[Rev. F Top Longitudinal Weld Strength]])-1,FALSE),VLOOKUP(BR80,Reinforcements[],COLUMN(Reinforcements[[#Headers],[Rev. G Top Longitudinal Weld Strength]])-1,FALSE))</f>
        <v>#N/A</v>
      </c>
      <c r="DG80" s="369" t="e">
        <f>2*VLOOKUP(BR80,Reinforcements[],COLUMN(Reinforcements[[#Headers],[Top Longitudinal Weld Fillet Size (in)]])-1,FALSE)*CZ80*MIN(IF(Rev="F",0.4,φ_shear_yield*0.6)*CG80,IF(Rev="F",0.3,φ_shear_rupture*0.6)*CH80)</f>
        <v>#N/A</v>
      </c>
      <c r="DH80" s="369" t="e">
        <f>2*VLOOKUP(BR80,Reinforcements[],COLUMN(Reinforcements[[#Headers],[Top Longitudinal Weld Fillet Size (in)]])-1,FALSE)*CZ80*MIN(IF(Rev="F",0.4,φ_shear_yield*0.6)*$D$6,IF(Rev="F",0.3,φ_shear_rupture*0.6)*$D$7)</f>
        <v>#N/A</v>
      </c>
      <c r="DI80" s="66" t="e">
        <f>IF(BS80="channel",VLOOKUP(Calculations!BR80,Reinforcements[],COLUMN(Reinforcements[[#Headers],['[Channel']Web Thickness (in)]])-1,FALSE),"")</f>
        <v>#N/A</v>
      </c>
      <c r="DJ80" s="66" t="b">
        <f t="shared" ref="DJ80:DJ96" si="126">OR(AND(CJ80,CP80="Yes"),AND(CK80,DA80="Yes"))</f>
        <v>0</v>
      </c>
      <c r="DK80" s="66" t="e">
        <f>IF(BS80="channel",Calculations!BU80-DI80,"")</f>
        <v>#N/A</v>
      </c>
      <c r="DL80" s="66" t="e">
        <f>IF(BS80="channel",(Calculations!BY80-Calculations!BT80*DI80)/(2*DK80))</f>
        <v>#N/A</v>
      </c>
      <c r="DM80" s="66" t="e">
        <f>IF(BS80="channel",(Calculations!BT80*(DI80^2)/2+2*DK80*DL80*(DI80+DK80/2))/Calculations!BY80,"")</f>
        <v>#N/A</v>
      </c>
    </row>
    <row r="81" spans="2:117" ht="15" x14ac:dyDescent="0.25">
      <c r="B81" s="66" t="str">
        <f t="shared" si="70"/>
        <v/>
      </c>
      <c r="C81" s="317">
        <v>3</v>
      </c>
      <c r="D81" s="380" t="str">
        <f>IF(BQ81="","",IF($D$8=0,IF(OR(VLOOKUP(BQ81,Input!$B$21:$AL$50,19+C81,FALSE)+$D$5=0,VLOOKUP(BQ81,Input!$B$21:$AL$50,19+C81,FALSE)+$D$5=180),VLOOKUP(BQ81,Input!$B$21:$AL$50,19+C81,FALSE)+$D$5+0.0001,VLOOKUP(BQ81,Input!$B$21:$AL$50,19+C81,FALSE)+$D$5),IF(VLOOKUP(BQ81,Input!$B$21:$AL$50,19+C81,FALSE)="c",VLOOKUP($C81,$C$40:$E$57,2,FALSE)+180/$D$8,VLOOKUP($C81,$C$40:$E$57,2,FALSE))))</f>
        <v/>
      </c>
      <c r="E81" s="370" t="str">
        <f t="shared" si="110"/>
        <v/>
      </c>
      <c r="F81" s="381" t="str">
        <f>IF(BR81="","",VLOOKUP(BR81,Reinforcements[],COLUMN(Reinforcements[[#Headers],[Gross Area (in2)]])-1,FALSE))</f>
        <v/>
      </c>
      <c r="G81" s="378" t="e">
        <f>(IF(VLOOKUP(BQ81,Input!$B$21:$AL$50,19+C81,FALSE)="c",$D$20/COS(RADIANS(180/$D$8)),$D$20)+CA81)*SIN(RADIANS(D81))-IF(AND(ISNUMBER(VLOOKUP(BQ81,Input!$B$21:$AL$50,19+C81,FALSE)),$D$8&lt;&gt;0),VLOOKUP(BQ81,Input!$B$21:$AL$50,19+C81,FALSE)*COS(RADIANS(D81)),0)</f>
        <v>#N/A</v>
      </c>
      <c r="H81" s="373" t="str">
        <f t="shared" si="111"/>
        <v/>
      </c>
      <c r="I81" s="373" t="e">
        <f t="shared" si="86"/>
        <v>#N/A</v>
      </c>
      <c r="J81" s="373" t="e">
        <f t="shared" si="112"/>
        <v>#N/A</v>
      </c>
      <c r="K81" s="373" t="e">
        <f t="shared" si="113"/>
        <v>#N/A</v>
      </c>
      <c r="L81" s="373" t="e">
        <f t="shared" si="114"/>
        <v>#N/A</v>
      </c>
      <c r="M81" s="374" t="str">
        <f t="shared" si="115"/>
        <v/>
      </c>
      <c r="N81" s="372" t="str">
        <f>IFERROR((IF(VLOOKUP(BQ81,Input!$B$21:$AL$50,19+C81,FALSE)="c",$D$20/COS(RADIANS(180/$D$8)),$D$20)+CA81)*SIN(RADIANS(D81))-IF(AND(ISNUMBER(VLOOKUP(BQ81,Input!$B$21:$AL$50,19+C81,FALSE)),$D$8&lt;&gt;0),VLOOKUP(BQ81,Input!$B$21:$AL$50,19+C81,FALSE)*COS(RADIANS(D81)),0)-$D$35,"")</f>
        <v/>
      </c>
      <c r="O81" s="373" t="str">
        <f t="shared" si="87"/>
        <v/>
      </c>
      <c r="P81" s="373" t="str">
        <f t="shared" si="88"/>
        <v/>
      </c>
      <c r="Q81" s="373" t="str">
        <f t="shared" si="89"/>
        <v/>
      </c>
      <c r="R81" s="374" t="str">
        <f t="shared" si="90"/>
        <v/>
      </c>
      <c r="S81" s="373" t="str">
        <f t="shared" si="91"/>
        <v/>
      </c>
      <c r="T81" s="373" t="str">
        <f t="shared" si="92"/>
        <v/>
      </c>
      <c r="U81" s="373" t="str">
        <f t="shared" si="93"/>
        <v/>
      </c>
      <c r="V81" s="374" t="str">
        <f t="shared" si="94"/>
        <v/>
      </c>
      <c r="W81" s="482" t="str">
        <f>IFERROR(IF('Macro References'!$A$9,IF(AND(Calculations!CK81,CL81="Bolted"),VLOOKUP($BR81,Reinforcements[],COLUMN(IF(Rev="F",Reinforcements[[#Headers],[Rev. F Bolt Shear Capacity   (Top)        (kips)]],IF(Rev="G",Reinforcements[[#Headers],[Rev. G Bolt Shear Capacity (Top)     (kips)]],Reinforcements[[#Headers],[Rev. H Bolt Shear Capacity (Top) (kips)]])))-1,FALSE),IF(AND(Calculations!CJ81,CL81="Bolted"),VLOOKUP($BR81,Reinforcements[],COLUMN(IF(Rev="F",Reinforcements[[#Headers],[Rev. F Bolt Shear Capacity (Bottom)   (kips)]],IF(Rev="G",Reinforcements[[#Headers],[Rev. G Bolt Shear Capacity (Bottom) (kips)]],Reinforcements[[#Headers],[Rev. H Bolt Shear Capacity (Bottom) (kips)]])))-1,FALSE),"")),""),"")</f>
        <v/>
      </c>
      <c r="X81" s="483" t="str">
        <f>IFERROR(IF('Macro References'!$A$9,IF('Macro References'!$A$10,IF(AND(Calculations!CK81,CL81="Bolted"),VLOOKUP($BR81,Reinforcements[],COLUMN(IF(Rev="F",Reinforcements[[#Headers],[Rev.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kips)]])))-1,FALSE),IF(AND(Calculations!CJ81,CL81="Bolted"),VLOOKUP($BR81,Reinforcements[],COLUMN(IF(Rev="F",Reinforcements[[#Headers],[Rev.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kips)]])))-1,FALSE),"")),IF(AND(Calculations!CK81,CL81="Bolted"),VLOOKUP($BR81,Reinforcements[],COLUMN(IF(Rev="F",Reinforcements[[#Headers],[Rev.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kips)]])))-1,FALSE),IF(AND(Calculations!CJ81,CL81="Bolted"),VLOOKUP($BR81,Reinforcements[],COLUMN(IF(Rev="F",Reinforcements[[#Headers],[Rev.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1" s="483" t="str">
        <f>IFERROR(IF('Macro References'!$A$9,IF('Macro References'!$A$10,IF(AND(Calculations!CK81,CL81="Bolted"),VLOOKUP($BR81,Reinforcements[],COLUMN(IF(Rev="F",Reinforcements[[#Headers],[Rev.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(kips)]])))-1,FALSE),IF(AND(Calculations!CJ81,CL81="Bolted"),VLOOKUP($BR81,Reinforcements[],COLUMN(IF(Rev="F",Reinforcements[[#Headers],[Rev.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(kips)]])))-1,FALSE),"")),IF(AND(Calculations!CK81,CL81="Bolted"),VLOOKUP($BR81,Reinforcements[],COLUMN(IF(Rev="F",Reinforcements[[#Headers],[Rev.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(kips)]])))-1,FALSE),IF(AND(Calculations!CJ81,CL81="Bolted"),VLOOKUP($BR81,Reinforcements[],COLUMN(IF(Rev="F",Reinforcements[[#Headers],[Rev.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1" s="483" t="str">
        <f>IFERROR(IF('Macro References'!$A$9,IF(AND(CJ81,CL81="Welded"),MIN(CQ81:CT81),IF(AND(CK81,CL81="Welded"),MIN(DB81:DE81),"")),""),"")</f>
        <v/>
      </c>
      <c r="AA81" s="484" t="str">
        <f>IFERROR(IF('Macro References'!$A$9,IF(AND(CJ81,CL81="Welded"),MIN(CU81:CW81),IF(AND(CK81,CL81="Welded"),MIN(DF81:DH81),"")),""),"")</f>
        <v/>
      </c>
      <c r="AB81" s="484" t="str">
        <f>IFERROR(IF('Macro References'!$A$9,IF(AND(CJ81,CL81="Welded",CN81="Fillet",CU81&gt;0),TRUE,IF(AND(CK81,CL81="Welded",CY81="Fillet",DF81&gt;0),TRUE,"")),""),"")</f>
        <v/>
      </c>
      <c r="AC81" s="484" t="e">
        <f>IF('Macro References'!$A$9,IF(AND(CJ81,CL81="Capacity Input"),IF(Rev="F",VLOOKUP(BR81,Reinforcements[],COLUMN(Reinforcements[[#Headers],[Rev. F Bottom Connection Capacity (kips)]])-1,FALSE),IF(Rev="G",VLOOKUP(BR81,Reinforcements[],COLUMN(Reinforcements[[#Headers],[Rev. G Bottom Connection Capacity (kips)]])-1,FALSE),VLOOKUP(BR81,Reinforcements[],COLUMN(Reinforcements[[#Headers],[Rev. H Bottom Connection Capacity (kips)]])-1,FALSE))),IF(AND(CK81,CL81="Capacity Input"),IF(Rev="F",VLOOKUP(BR81,Reinforcements[],COLUMN(Reinforcements[[#Headers],[Rev. F Top Connection Capacity (kips)]])-1,FALSE),IF(Rev="G",VLOOKUP(BR81,Reinforcements[],COLUMN(Reinforcements[[#Headers],[Rev. G Top Connection Capacity (kips)]])-1,FALSE),VLOOKUP(BR81,Reinforcements[],COLUMN(Reinforcements[[#Headers],[Rev. H Top Connection Capacity (kips)]])-1,FALSE))),"")),"")</f>
        <v>#VALUE!</v>
      </c>
      <c r="AD81" s="484" t="str">
        <f>IFERROR(IF(Rev="F",MIN(VLOOKUP(BR81,Reinforcements[],COLUMN(Reinforcements[[#Headers],[Rev. F Compression Capacity x-x (kips)]])-1,FALSE),VLOOKUP(BR81,Reinforcements[],COLUMN(Reinforcements[[#Headers],[Rev. F Compression Capacity y-y (kips)]])-1,FALSE)),IF(Rev="G",MIN(VLOOKUP(BR81,Reinforcements[],COLUMN(Reinforcements[[#Headers],[Rev. G Compression Capacity x-x (kips)]])-1,FALSE),VLOOKUP(BR81,Reinforcements[],COLUMN(Reinforcements[[#Headers],[Rev. G Compression Capacity y-y (kips)]])-1,FALSE)),MIN(VLOOKUP(BR81,Reinforcements[],COLUMN(Reinforcements[[#Headers],[Rev. H Compression Capacity x-x (kips)]])-1,FALSE),VLOOKUP(BR81,Reinforcements[],COLUMN(Reinforcements[[#Headers],[Rev. H Compression Capacity y-y (kips)]])-1,FALSE)))),"")</f>
        <v/>
      </c>
      <c r="AE81" s="485" t="str">
        <f>IFERROR(IF(Rev="F",VLOOKUP(BR81,Reinforcements[],COLUMN(Reinforcements[[#Headers],[Rev. F Shear Capacity (kips)]])-1,FALSE)/BY81,IF(Rev="G",VLOOKUP(Calculations!BR81,Reinforcements[],COLUMN(Reinforcements[[#Headers],[Rev. G Shear Capacity (kips)]])-1,FALSE),VLOOKUP(Calculations!BR81,Reinforcements[],COLUMN(Reinforcements[[#Headers],[Rev. H Shear Capacity (kips)]])-1,FALSE))),"")</f>
        <v/>
      </c>
      <c r="AF81" s="451" t="str">
        <f>IFERROR(IF(Rev="F",VLOOKUP(BR81,Reinforcements[],COLUMN(Reinforcements[[#Headers],[Rev. F Tension Yield Capacity (kips)]])-1,FALSE),IF(Rev="G",VLOOKUP(Calculations!BR81,Reinforcements[],COLUMN(Reinforcements[[#Headers],[Rev. G Tension Yield Capacity (kips)]])-1,FALSE),VLOOKUP(Calculations!BR81,Reinforcements[],COLUMN(Reinforcements[[#Headers],[Rev. H Tension Yield Capacity (kips)]])-1,FALSE))),"")</f>
        <v/>
      </c>
      <c r="AG81" s="486" t="str">
        <f>IFERROR(IF(Rev="F",VLOOKUP(BR81,Reinforcements[],COLUMN(Reinforcements[[#Headers],[Rev. F Tension Rupture Capacity (kips)]])-1,FALSE),IF(Rev="G",VLOOKUP(Calculations!BR81,Reinforcements[],COLUMN(Reinforcements[[#Headers],[Rev. G Tension Rupture Capacity (kips)]])-1,FALSE),VLOOKUP(Calculations!BR81,Reinforcements[],COLUMN(Reinforcements[[#Headers],[Rev. H Tension Rupture Capacity (kips)]])-1, FALSE))),"")</f>
        <v/>
      </c>
      <c r="AH81" s="409" t="str">
        <f t="shared" si="95"/>
        <v/>
      </c>
      <c r="AI81" s="380" t="str">
        <f t="shared" si="96"/>
        <v/>
      </c>
      <c r="AJ81" s="380" t="str">
        <f t="shared" si="97"/>
        <v/>
      </c>
      <c r="AK81" s="380" t="str">
        <f t="shared" si="85"/>
        <v/>
      </c>
      <c r="AL81" s="369" t="str">
        <f t="shared" si="78"/>
        <v/>
      </c>
      <c r="AM81" s="380" t="str">
        <f>""</f>
        <v/>
      </c>
      <c r="AN81" s="380" t="str">
        <f t="shared" si="98"/>
        <v/>
      </c>
      <c r="AO81" s="369" t="str">
        <f t="shared" si="99"/>
        <v/>
      </c>
      <c r="AP81" s="410" t="str">
        <f t="shared" si="100"/>
        <v/>
      </c>
      <c r="AQ81" s="411" t="str">
        <f t="shared" si="53"/>
        <v/>
      </c>
      <c r="AR81" s="380" t="str">
        <f>IF(BR81="","",VLOOKUP(VLOOKUP(BR81,Reinforcements[],COLUMN(Reinforcements[[#Headers],[Material]])-1,FALSE),Materials[],2,FALSE)/$D$28)</f>
        <v/>
      </c>
      <c r="AS81" s="369" t="str">
        <f t="shared" si="54"/>
        <v/>
      </c>
      <c r="AT81" s="489" t="str">
        <f t="shared" si="101"/>
        <v/>
      </c>
      <c r="AU81" s="412">
        <f t="shared" si="116"/>
        <v>0</v>
      </c>
      <c r="AV81" s="413">
        <f t="shared" si="117"/>
        <v>0</v>
      </c>
      <c r="AW81" s="413" t="e">
        <f t="shared" si="102"/>
        <v>#N/A</v>
      </c>
      <c r="AX81" s="413" t="e">
        <f t="shared" si="103"/>
        <v>#N/A</v>
      </c>
      <c r="AY81" s="413" t="str">
        <f t="shared" si="104"/>
        <v/>
      </c>
      <c r="AZ81" s="413" t="e">
        <f t="shared" si="105"/>
        <v>#VALUE!</v>
      </c>
      <c r="BA81" s="433" t="str">
        <f t="shared" si="118"/>
        <v/>
      </c>
      <c r="BB81" s="436" t="str">
        <f t="shared" si="119"/>
        <v/>
      </c>
      <c r="BC81" s="437" t="str">
        <f t="shared" si="120"/>
        <v/>
      </c>
      <c r="BD81" s="437" t="str">
        <f t="shared" si="106"/>
        <v/>
      </c>
      <c r="BE81" s="433" t="str">
        <f t="shared" si="121"/>
        <v/>
      </c>
      <c r="BF81" s="438" t="e">
        <f t="shared" si="122"/>
        <v>#DIV/0!</v>
      </c>
      <c r="BG81" s="439" t="str">
        <f t="shared" si="107"/>
        <v/>
      </c>
      <c r="BH81" s="439" t="str">
        <f t="shared" si="108"/>
        <v/>
      </c>
      <c r="BI81" s="433" t="e">
        <f t="shared" si="123"/>
        <v>#DIV/0!</v>
      </c>
      <c r="BJ81" s="438" t="str">
        <f t="shared" si="124"/>
        <v/>
      </c>
      <c r="BK81" s="413" t="e">
        <f t="shared" si="125"/>
        <v>#DIV/0!</v>
      </c>
      <c r="BL81" s="66" t="str">
        <f t="shared" si="68"/>
        <v/>
      </c>
      <c r="BP81" s="30" t="e">
        <f t="shared" si="109"/>
        <v>#DIV/0!</v>
      </c>
      <c r="BQ81" s="444" t="str">
        <f>IFERROR(VALUE(IF(LEN(VLOOKUP(Calculations!$D$4,Results!$G$5:$CM$105,67+$C62,FALSE))-LEN(SUBSTITUTE(VLOOKUP(Calculations!$D$4,Results!$G$5:$CM$105,67+$C62,FALSE),";",""))&gt;1,MID(VLOOKUP(Calculations!$D$4,Results!$G$5:$CM$105,67+$C62,FALSE),FIND(";",VLOOKUP(Calculations!$D$4,Results!$G$5:$CM$105,67+$C62,FALSE))+1,FIND(";",VLOOKUP(Calculations!$D$4,Results!$G$5:$CM$105,67+$C62,FALSE),FIND(";",VLOOKUP(Calculations!$D$4,Results!$G$5:$CM$105,67+$C62,FALSE))+1)-FIND(";",VLOOKUP(Calculations!$D$4,Results!$G$5:$CM$105,67+$C62,FALSE))-1),"")),"")</f>
        <v/>
      </c>
      <c r="BR81" s="444" t="str">
        <f>IF(BQ81="","",VLOOKUP(BQ81,Input!$B$21:$Q$50,13,FALSE))</f>
        <v/>
      </c>
      <c r="BS81" s="369" t="e">
        <f>VLOOKUP(BR81,Reinforcements[],COLUMN(Reinforcements[[#Headers],[Type]])-1,FALSE)</f>
        <v>#N/A</v>
      </c>
      <c r="BT81" s="369" t="e">
        <f>IF(BS81="solid round",VLOOKUP(BR81,Reinforcements[],COLUMN(Reinforcements[[#Headers],[Diameter (in)]])-1,FALSE),VLOOKUP(BR81,Reinforcements[],COLUMN(Reinforcements[[#Headers],[B (in)]])-1,FALSE))</f>
        <v>#N/A</v>
      </c>
      <c r="BU81" s="369" t="e">
        <f>IF(BS81="solid round",VLOOKUP(BR81,Reinforcements[],COLUMN(Reinforcements[[#Headers],[Diameter (in)]])-1,FALSE),VLOOKUP(BR81,Reinforcements[],COLUMN(Reinforcements[[#Headers],[H (in)]])-1,FALSE))</f>
        <v>#N/A</v>
      </c>
      <c r="BV81" s="413" t="e">
        <f>IFERROR((IF(VLOOKUP(BQ81,Input!$B$21:$AL$50,19+C81,FALSE)="c",$D$20/COS(RADIANS(180/$D$8)),$D$20)+BU81/2)*SIN(RADIANS(D81))-IF(ISNUMBER(VLOOKUP(BQ81,Input!$B$21:$AL$50,19+C81,FALSE)),VLOOKUP(BQ81,Input!$B$21:$AL$50,19+C81,FALSE)*COS(RADIANS(D81)),0)-$D$35,"")*0+N81*1</f>
        <v>#VALUE!</v>
      </c>
      <c r="BW81" s="369" t="e">
        <f>VLOOKUP(BR81,Reinforcements[],COLUMN(Reinforcements[[#Headers],[Effective B (in)]])-1,FALSE)</f>
        <v>#N/A</v>
      </c>
      <c r="BX81" s="369" t="e">
        <f>VLOOKUP(BR81,Reinforcements[],COLUMN(Reinforcements[[#Headers],[Effective H (in)]])-1,FALSE)</f>
        <v>#N/A</v>
      </c>
      <c r="BY81" s="369" t="e">
        <f>VLOOKUP(BR81,Reinforcements[],COLUMN(Reinforcements[[#Headers],[Gross Area (in2)]])-1,FALSE)</f>
        <v>#N/A</v>
      </c>
      <c r="BZ81" s="380" t="s">
        <v>335</v>
      </c>
      <c r="CA81" s="369" t="e">
        <f>VLOOKUP(BR81,Reinforcements[],COLUMN(Reinforcements[[#Headers],[Pole Face to Centroid (in)]])-1,FALSE)</f>
        <v>#N/A</v>
      </c>
      <c r="CB81" s="369" t="e">
        <f>VLOOKUP(BR81,Reinforcements[],COLUMN(Reinforcements[[#Headers],[Ix]])-1,FALSE)</f>
        <v>#N/A</v>
      </c>
      <c r="CC81" s="369" t="e">
        <f>VLOOKUP(BR81,Reinforcements[],COLUMN(Reinforcements[[#Headers],[Iy]])-1,FALSE)</f>
        <v>#N/A</v>
      </c>
      <c r="CD81" s="369" t="e">
        <f>VLOOKUP(BR81,Reinforcements[],COLUMN(Reinforcements[[#Headers],[Lu (in)]])-1,FALSE)</f>
        <v>#N/A</v>
      </c>
      <c r="CE81" s="380" t="s">
        <v>335</v>
      </c>
      <c r="CF81" s="380" t="s">
        <v>335</v>
      </c>
      <c r="CG81" s="369" t="e">
        <f>VLOOKUP(VLOOKUP(BR81,Reinforcements[],COLUMN(Reinforcements[[#Headers],[Material]])-1,FALSE),Materials[],2,FALSE)</f>
        <v>#N/A</v>
      </c>
      <c r="CH81" s="369" t="e">
        <f>VLOOKUP(VLOOKUP(BR81,Reinforcements[],COLUMN(Reinforcements[[#Headers],[Material]])-1,FALSE),Materials[],3,FALSE)</f>
        <v>#N/A</v>
      </c>
      <c r="CI81" s="380" t="e">
        <f>VLOOKUP(BR81,Reinforcements[],COLUMN(Reinforcements[[#Headers],[Tension Only?]])-1,FALSE)</f>
        <v>#N/A</v>
      </c>
      <c r="CJ81" s="449" t="str">
        <f>IF(BQ81="","",AND(INDEX(Results!$G$5:$G$104,MATCH(VLOOKUP($BQ81,Input!$B$21:$J$50,2,FALSE)-0.001,Results!$G$5:$G$104,-1))=$D$4))</f>
        <v/>
      </c>
      <c r="CK81" s="449" t="str">
        <f>IF(BQ81="","",AND(INDEX('Macro References'!$BB$2:$BB$101,MATCH(VLOOKUP($BQ81,Input!$B$21:$J$50,6,FALSE)-0.001,'Macro References'!$BB$2:$BB$101,1))=$D$4))</f>
        <v/>
      </c>
      <c r="CL81" s="449" t="e">
        <f>IF(CJ81,VLOOKUP(BR81,Reinforcements[],COLUMN(Reinforcements[[#Headers],[Bottom End Connection Type]])-1,FALSE),IF(CK81,VLOOKUP(BR81,Reinforcements[],COLUMN(Reinforcements[[#Headers],[Top End Connection Type]])-1,FALSE),""))</f>
        <v>#VALUE!</v>
      </c>
      <c r="CM81" s="449" t="e">
        <f>IF(ISBLANK(VLOOKUP(BR81,Reinforcements[],COLUMN(Reinforcements[[#Headers],[Bottom Transverse Weld Length]])-1,FALSE)),"",(VLOOKUP(BR81,Reinforcements[],COLUMN(Reinforcements[[#Headers],[Bottom Transverse Weld Length]])-1,FALSE)))</f>
        <v>#N/A</v>
      </c>
      <c r="CN81" s="449" t="e">
        <f>IF(ISBLANK(VLOOKUP(BR81,Reinforcements[],COLUMN(Reinforcements[[#Headers],[Bottom Transverse (Horizontal) Weld]])-1,FALSE)),"",(VLOOKUP(BR81,Reinforcements[],COLUMN(Reinforcements[[#Headers],[Bottom Transverse (Horizontal) Weld]])-1,FALSE)))</f>
        <v>#N/A</v>
      </c>
      <c r="CO81" s="449" t="e">
        <f>IF(ISBLANK(VLOOKUP(BR81,Reinforcements[],COLUMN(Reinforcements[[#Headers],[Bottom Longitudinal Weld Length]])-1,FALSE)),"",(VLOOKUP(BR81,Reinforcements[],COLUMN(Reinforcements[[#Headers],[Bottom Longitudinal Weld Length]])-1,FALSE)))</f>
        <v>#N/A</v>
      </c>
      <c r="CP81" s="449" t="str">
        <f>IFERROR(VLOOKUP(BR81,Reinforcements[],COLUMN(Reinforcements[[#Headers],[Bottom Connected to Flange/Base Plate?]])-1,FALSE),"")</f>
        <v/>
      </c>
      <c r="CQ81" s="369" t="e">
        <f>IF(Rev="F",VLOOKUP(BR81,Reinforcements[],COLUMN(Reinforcements[[#Headers],[Rev. F Bottom Transverse Weld Strength]])-1,FALSE),VLOOKUP(BR81,Reinforcements[],COLUMN(Reinforcements[[#Headers],[Rev. G Bottom Transverse Weld Strength]])-1,FALSE))</f>
        <v>#N/A</v>
      </c>
      <c r="CR81" s="369" t="e">
        <f>IF(CP81="Yes",IF(CN81="Fillet",VLOOKUP(BR81,Reinforcements[],COLUMN(Reinforcements[[#Headers],[Bottom Transverse Weld Fillet Size (in)]])-1,FALSE)*CM81*MIN(IF(Rev="F",0.4,φ_shear_yield*0.6)*CG81,IF(Rev="F",0.3,φ_shear_rupture*0.6)*CH81),VLOOKUP(BR81,Reinforcements[],COLUMN(Reinforcements[[#Headers],[Bottom Transverse Weld Groove Depth (in)]])-1,FALSE)/COS(RADIANS(VLOOKUP(BR81,Reinforcements[],COLUMN(Reinforcements[[#Headers],[Bottom Transverse Weld Groove Angle (degrees)]])-1,FALSE)))*CM81*IF(Rev="F",0.6,φ_t_y)*CG81),VLOOKUP(BR81,Reinforcements[],COLUMN(Reinforcements[[#Headers],[Bottom Transverse Weld Fillet Size (in)]])-1,FALSE)*CM81*IF(Rev="F",0.6,φ_t_y)*CG81)</f>
        <v>#N/A</v>
      </c>
      <c r="CS81" s="369" t="str">
        <f>IF(CP81&lt;&gt;"Yes","",(VLOOKUP(BR81,Reinforcements[],COLUMN(Reinforcements[[#Headers],[Bottom Transverse Weld Groove Depth (in)]])-1,FALSE)+VLOOKUP(BR81,Reinforcements[],COLUMN(Reinforcements[[#Headers],[Bottom Transverse Weld Fillet Size (in)]])-1,FALSE))*CM81*IF(Rev="F",0.6,φ_t_y)*$D$14)</f>
        <v/>
      </c>
      <c r="CT81" s="369" t="e">
        <f>IF(CP81="Yes","",VLOOKUP(BR81,Reinforcements[],COLUMN(Reinforcements[[#Headers],[Bottom Transverse Weld Fillet Size (in)]])-1,FALSE)*CM81*MIN(IF(Rev="F",0.4,φ_shear_yield*0.6)*$D$6,IF(Rev="F",0.3,φ_shear_rupture*0.6)*$D$7))</f>
        <v>#N/A</v>
      </c>
      <c r="CU81" s="369" t="e">
        <f>IF(Rev="F",VLOOKUP(BR81,Reinforcements[],COLUMN(Reinforcements[[#Headers],[Rev. F Bottom Longitudinal Weld Strength]])-1,FALSE),VLOOKUP(BR81,Reinforcements[],COLUMN(Reinforcements[[#Headers],[Rev. G Bottom Longitudinal Weld Strength]])-1,FALSE))</f>
        <v>#N/A</v>
      </c>
      <c r="CV81" s="369" t="e">
        <f>2*VLOOKUP(BR81,Reinforcements[],COLUMN(Reinforcements[[#Headers],[Bottom Longitudinal Weld Fillet Size (in)]])-1,FALSE)*CO81*MIN(IF(Rev="F",0.4,φ_shear_yield*0.6)*CG81,IF(Rev="F",0.3,φ_shear_rupture*0.6)*CH81)</f>
        <v>#N/A</v>
      </c>
      <c r="CW81" s="369" t="e">
        <f>2*VLOOKUP(BR81,Reinforcements[],COLUMN(Reinforcements[[#Headers],[Bottom Longitudinal Weld Fillet Size (in)]])-1,FALSE)*CO81*MIN(IF(Rev="F",0.4,φ_shear_yield*0.6)*$D$6,IF(Rev="F",0.3,φ_shear_rupture*0.6)*$D$7)</f>
        <v>#N/A</v>
      </c>
      <c r="CX81" s="451" t="e">
        <f>IF(ISBLANK(VLOOKUP(BR81,Reinforcements[],COLUMN(Reinforcements[[#Headers],[Top Transverse Weld Length]])-1,FALSE)),"",(VLOOKUP(BR81,Reinforcements[],COLUMN(Reinforcements[[#Headers],[Top Transverse Weld Length]])-1,FALSE)))</f>
        <v>#N/A</v>
      </c>
      <c r="CY81" s="451" t="e">
        <f>IF(ISBLANK(VLOOKUP(BR81,Reinforcements[],COLUMN(Reinforcements[[#Headers],[Top Transverse (Horizontal) Weld]])-1,FALSE)),"",(VLOOKUP(BR81,Reinforcements[],COLUMN(Reinforcements[[#Headers],[Top Transverse (Horizontal) Weld]])-1,FALSE)))</f>
        <v>#N/A</v>
      </c>
      <c r="CZ81" s="451" t="e">
        <f>IF(ISBLANK(VLOOKUP(BR81,Reinforcements[],COLUMN(Reinforcements[[#Headers],[Top Longitudinal Weld Length]])-1,FALSE)),"",(VLOOKUP(BR81,Reinforcements[],COLUMN(Reinforcements[[#Headers],[Top Longitudinal Weld Length]])-1,FALSE)))</f>
        <v>#N/A</v>
      </c>
      <c r="DA81" s="369" t="str">
        <f>IFERROR(VLOOKUP(BR81,Reinforcements[],COLUMN(Reinforcements[[#Headers],[Top Connected to Flange/Base Plate?]])-1,FALSE),"")</f>
        <v/>
      </c>
      <c r="DB81" s="369" t="e">
        <f>IF(Rev="F",VLOOKUP(BR81,Reinforcements[],COLUMN(Reinforcements[[#Headers],[Rev. F Top Transverse Weld Strength]])-1,FALSE),VLOOKUP(BR81,Reinforcements[],COLUMN(Reinforcements[[#Headers],[Rev. G Top Transverse Weld Strength]])-1,FALSE))</f>
        <v>#N/A</v>
      </c>
      <c r="DC81" s="369" t="e">
        <f>IF(DA81="Yes",IF(CY81="Fillet",VLOOKUP(BR81,Reinforcements[],COLUMN(Reinforcements[[#Headers],[Top Transverse Weld Fillet Size (in)]])-1,FALSE)*CX81*MIN(IF(Rev="F",0.4,φ_shear_yield*0.6)*CG81,IF(Rev="F",0.3,φ_shear_rupture*0.6)*CH81),VLOOKUP(BR81,Reinforcements[],COLUMN(Reinforcements[[#Headers],[Top Transverse Weld Groove Depth (in)]])-1,FALSE)/COS(RADIANS(VLOOKUP(BR81,Reinforcements[],COLUMN(Reinforcements[[#Headers],[Top Transverse Weld Groove Angle (degrees)]])-1,FALSE)))*CX81*IF(Rev="F",0.6,φ_t_y)*CG81),VLOOKUP(BR81,Reinforcements[],COLUMN(Reinforcements[[#Headers],[Top Transverse Weld Fillet Size (in)]])-1,FALSE)*CX81*IF(Rev="F",0.6,φ_t_y)*CG81)</f>
        <v>#N/A</v>
      </c>
      <c r="DD81" s="369" t="str">
        <f>IF(DA81&lt;&gt;"Yes","",(VLOOKUP(BR81,Reinforcements[],COLUMN(Reinforcements[[#Headers],[Top Transverse Weld Groove Depth (in)]])-1,FALSE)+VLOOKUP(BR81,Reinforcements[],COLUMN(Reinforcements[[#Headers],[Top Transverse Weld Fillet Size (in)]])-1,FALSE))*CX81*IF(Rev="F",0.6,φ_t_y)*$D$14)</f>
        <v/>
      </c>
      <c r="DE81" s="369" t="e">
        <f>IF(DA81="Yes","",VLOOKUP(BR81,Reinforcements[],COLUMN(Reinforcements[[#Headers],[Top Transverse Weld Fillet Size (in)]])-1,FALSE)*CX81*MIN(IF(Rev="F",0.4,φ_shear_yield*0.6)*$D$6,IF(Rev="F",0.3,φ_shear_rupture*0.6)*$D$7))</f>
        <v>#N/A</v>
      </c>
      <c r="DF81" s="369" t="e">
        <f>IF(Rev="F",VLOOKUP(BR81,Reinforcements[],COLUMN(Reinforcements[[#Headers],[Rev. F Top Longitudinal Weld Strength]])-1,FALSE),VLOOKUP(BR81,Reinforcements[],COLUMN(Reinforcements[[#Headers],[Rev. G Top Longitudinal Weld Strength]])-1,FALSE))</f>
        <v>#N/A</v>
      </c>
      <c r="DG81" s="369" t="e">
        <f>2*VLOOKUP(BR81,Reinforcements[],COLUMN(Reinforcements[[#Headers],[Top Longitudinal Weld Fillet Size (in)]])-1,FALSE)*CZ81*MIN(IF(Rev="F",0.4,φ_shear_yield*0.6)*CG81,IF(Rev="F",0.3,φ_shear_rupture*0.6)*CH81)</f>
        <v>#N/A</v>
      </c>
      <c r="DH81" s="369" t="e">
        <f>2*VLOOKUP(BR81,Reinforcements[],COLUMN(Reinforcements[[#Headers],[Top Longitudinal Weld Fillet Size (in)]])-1,FALSE)*CZ81*MIN(IF(Rev="F",0.4,φ_shear_yield*0.6)*$D$6,IF(Rev="F",0.3,φ_shear_rupture*0.6)*$D$7)</f>
        <v>#N/A</v>
      </c>
      <c r="DI81" s="66" t="e">
        <f>IF(BS81="channel",VLOOKUP(Calculations!BR81,Reinforcements[],COLUMN(Reinforcements[[#Headers],['[Channel']Web Thickness (in)]])-1,FALSE),"")</f>
        <v>#N/A</v>
      </c>
      <c r="DJ81" s="66" t="b">
        <f t="shared" si="126"/>
        <v>0</v>
      </c>
      <c r="DK81" s="66" t="e">
        <f>IF(BS81="channel",Calculations!BU81-DI81,"")</f>
        <v>#N/A</v>
      </c>
      <c r="DL81" s="66" t="e">
        <f>IF(BS81="channel",(Calculations!BY81-Calculations!BT81*DI81)/(2*DK81))</f>
        <v>#N/A</v>
      </c>
      <c r="DM81" s="66" t="e">
        <f>IF(BS81="channel",(Calculations!BT81*(DI81^2)/2+2*DK81*DL81*(DI81+DK81/2))/Calculations!BY81,"")</f>
        <v>#N/A</v>
      </c>
    </row>
    <row r="82" spans="2:117" ht="15" x14ac:dyDescent="0.25">
      <c r="B82" s="66" t="str">
        <f t="shared" si="70"/>
        <v/>
      </c>
      <c r="C82" s="317">
        <v>4</v>
      </c>
      <c r="D82" s="380" t="str">
        <f>IF(BQ82="","",IF($D$8=0,IF(OR(VLOOKUP(BQ82,Input!$B$21:$AL$50,19+C82,FALSE)+$D$5=0,VLOOKUP(BQ82,Input!$B$21:$AL$50,19+C82,FALSE)+$D$5=180),VLOOKUP(BQ82,Input!$B$21:$AL$50,19+C82,FALSE)+$D$5+0.0001,VLOOKUP(BQ82,Input!$B$21:$AL$50,19+C82,FALSE)+$D$5),IF(VLOOKUP(BQ82,Input!$B$21:$AL$50,19+C82,FALSE)="c",VLOOKUP($C82,$C$40:$E$57,2,FALSE)+180/$D$8,VLOOKUP($C82,$C$40:$E$57,2,FALSE))))</f>
        <v/>
      </c>
      <c r="E82" s="370" t="str">
        <f t="shared" si="110"/>
        <v/>
      </c>
      <c r="F82" s="381" t="str">
        <f>IF(BR82="","",VLOOKUP(BR82,Reinforcements[],COLUMN(Reinforcements[[#Headers],[Gross Area (in2)]])-1,FALSE))</f>
        <v/>
      </c>
      <c r="G82" s="378" t="e">
        <f>(IF(VLOOKUP(BQ82,Input!$B$21:$AL$50,19+C82,FALSE)="c",$D$20/COS(RADIANS(180/$D$8)),$D$20)+CA82)*SIN(RADIANS(D82))-IF(AND(ISNUMBER(VLOOKUP(BQ82,Input!$B$21:$AL$50,19+C82,FALSE)),$D$8&lt;&gt;0),VLOOKUP(BQ82,Input!$B$21:$AL$50,19+C82,FALSE)*COS(RADIANS(D82)),0)</f>
        <v>#N/A</v>
      </c>
      <c r="H82" s="373" t="str">
        <f t="shared" si="111"/>
        <v/>
      </c>
      <c r="I82" s="373" t="e">
        <f t="shared" si="86"/>
        <v>#N/A</v>
      </c>
      <c r="J82" s="373" t="e">
        <f t="shared" si="112"/>
        <v>#N/A</v>
      </c>
      <c r="K82" s="373" t="e">
        <f t="shared" si="113"/>
        <v>#N/A</v>
      </c>
      <c r="L82" s="373" t="e">
        <f t="shared" si="114"/>
        <v>#N/A</v>
      </c>
      <c r="M82" s="374" t="str">
        <f t="shared" si="115"/>
        <v/>
      </c>
      <c r="N82" s="372" t="str">
        <f>IFERROR((IF(VLOOKUP(BQ82,Input!$B$21:$AL$50,19+C82,FALSE)="c",$D$20/COS(RADIANS(180/$D$8)),$D$20)+CA82)*SIN(RADIANS(D82))-IF(AND(ISNUMBER(VLOOKUP(BQ82,Input!$B$21:$AL$50,19+C82,FALSE)),$D$8&lt;&gt;0),VLOOKUP(BQ82,Input!$B$21:$AL$50,19+C82,FALSE)*COS(RADIANS(D82)),0)-$D$35,"")</f>
        <v/>
      </c>
      <c r="O82" s="373" t="str">
        <f t="shared" si="87"/>
        <v/>
      </c>
      <c r="P82" s="373" t="str">
        <f t="shared" si="88"/>
        <v/>
      </c>
      <c r="Q82" s="373" t="str">
        <f t="shared" si="89"/>
        <v/>
      </c>
      <c r="R82" s="374" t="str">
        <f t="shared" si="90"/>
        <v/>
      </c>
      <c r="S82" s="373" t="str">
        <f t="shared" si="91"/>
        <v/>
      </c>
      <c r="T82" s="373" t="str">
        <f t="shared" si="92"/>
        <v/>
      </c>
      <c r="U82" s="373" t="str">
        <f t="shared" si="93"/>
        <v/>
      </c>
      <c r="V82" s="374" t="str">
        <f t="shared" si="94"/>
        <v/>
      </c>
      <c r="W82" s="482" t="str">
        <f>IFERROR(IF('Macro References'!$A$9,IF(AND(Calculations!CK82,CL82="Bolted"),VLOOKUP($BR82,Reinforcements[],COLUMN(IF(Rev="F",Reinforcements[[#Headers],[Rev. F Bolt Shear Capacity   (Top)        (kips)]],IF(Rev="G",Reinforcements[[#Headers],[Rev. G Bolt Shear Capacity (Top)     (kips)]],Reinforcements[[#Headers],[Rev. H Bolt Shear Capacity (Top) (kips)]])))-1,FALSE),IF(AND(Calculations!CJ82,CL82="Bolted"),VLOOKUP($BR82,Reinforcements[],COLUMN(IF(Rev="F",Reinforcements[[#Headers],[Rev. F Bolt Shear Capacity (Bottom)   (kips)]],IF(Rev="G",Reinforcements[[#Headers],[Rev. G Bolt Shear Capacity (Bottom) (kips)]],Reinforcements[[#Headers],[Rev. H Bolt Shear Capacity (Bottom) (kips)]])))-1,FALSE),"")),""),"")</f>
        <v/>
      </c>
      <c r="X82" s="483" t="str">
        <f>IFERROR(IF('Macro References'!$A$9,IF('Macro References'!$A$10,IF(AND(Calculations!CK82,CL82="Bolted"),VLOOKUP($BR82,Reinforcements[],COLUMN(IF(Rev="F",Reinforcements[[#Headers],[Rev.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kips)]])))-1,FALSE),IF(AND(Calculations!CJ82,CL82="Bolted"),VLOOKUP($BR82,Reinforcements[],COLUMN(IF(Rev="F",Reinforcements[[#Headers],[Rev.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kips)]])))-1,FALSE),"")),IF(AND(Calculations!CK82,CL82="Bolted"),VLOOKUP($BR82,Reinforcements[],COLUMN(IF(Rev="F",Reinforcements[[#Headers],[Rev.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kips)]])))-1,FALSE),IF(AND(Calculations!CJ82,CL82="Bolted"),VLOOKUP($BR82,Reinforcements[],COLUMN(IF(Rev="F",Reinforcements[[#Headers],[Rev.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2" s="483" t="str">
        <f>IFERROR(IF('Macro References'!$A$9,IF('Macro References'!$A$10,IF(AND(Calculations!CK82,CL82="Bolted"),VLOOKUP($BR82,Reinforcements[],COLUMN(IF(Rev="F",Reinforcements[[#Headers],[Rev.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(kips)]])))-1,FALSE),IF(AND(Calculations!CJ82,CL82="Bolted"),VLOOKUP($BR82,Reinforcements[],COLUMN(IF(Rev="F",Reinforcements[[#Headers],[Rev.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(kips)]])))-1,FALSE),"")),IF(AND(Calculations!CK82,CL82="Bolted"),VLOOKUP($BR82,Reinforcements[],COLUMN(IF(Rev="F",Reinforcements[[#Headers],[Rev.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(kips)]])))-1,FALSE),IF(AND(Calculations!CJ82,CL82="Bolted"),VLOOKUP($BR82,Reinforcements[],COLUMN(IF(Rev="F",Reinforcements[[#Headers],[Rev.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2" s="483" t="str">
        <f>IFERROR(IF('Macro References'!$A$9,IF(AND(CJ82,CL82="Welded"),MIN(CQ82:CT82),IF(AND(CK82,CL82="Welded"),MIN(DB82:DE82),"")),""),"")</f>
        <v/>
      </c>
      <c r="AA82" s="484" t="str">
        <f>IFERROR(IF('Macro References'!$A$9,IF(AND(CJ82,CL82="Welded"),MIN(CU82:CW82),IF(AND(CK82,CL82="Welded"),MIN(DF82:DH82),"")),""),"")</f>
        <v/>
      </c>
      <c r="AB82" s="484" t="str">
        <f>IFERROR(IF('Macro References'!$A$9,IF(AND(CJ82,CL82="Welded",CN82="Fillet",CU82&gt;0),TRUE,IF(AND(CK82,CL82="Welded",CY82="Fillet",DF82&gt;0),TRUE,"")),""),"")</f>
        <v/>
      </c>
      <c r="AC82" s="484" t="e">
        <f>IF('Macro References'!$A$9,IF(AND(CJ82,CL82="Capacity Input"),IF(Rev="F",VLOOKUP(BR82,Reinforcements[],COLUMN(Reinforcements[[#Headers],[Rev. F Bottom Connection Capacity (kips)]])-1,FALSE),IF(Rev="G",VLOOKUP(BR82,Reinforcements[],COLUMN(Reinforcements[[#Headers],[Rev. G Bottom Connection Capacity (kips)]])-1,FALSE),VLOOKUP(BR82,Reinforcements[],COLUMN(Reinforcements[[#Headers],[Rev. H Bottom Connection Capacity (kips)]])-1,FALSE))),IF(AND(CK82,CL82="Capacity Input"),IF(Rev="F",VLOOKUP(BR82,Reinforcements[],COLUMN(Reinforcements[[#Headers],[Rev. F Top Connection Capacity (kips)]])-1,FALSE),IF(Rev="G",VLOOKUP(BR82,Reinforcements[],COLUMN(Reinforcements[[#Headers],[Rev. G Top Connection Capacity (kips)]])-1,FALSE),VLOOKUP(BR82,Reinforcements[],COLUMN(Reinforcements[[#Headers],[Rev. H Top Connection Capacity (kips)]])-1,FALSE))),"")),"")</f>
        <v>#VALUE!</v>
      </c>
      <c r="AD82" s="484" t="str">
        <f>IFERROR(IF(Rev="F",MIN(VLOOKUP(BR82,Reinforcements[],COLUMN(Reinforcements[[#Headers],[Rev. F Compression Capacity x-x (kips)]])-1,FALSE),VLOOKUP(BR82,Reinforcements[],COLUMN(Reinforcements[[#Headers],[Rev. F Compression Capacity y-y (kips)]])-1,FALSE)),IF(Rev="G",MIN(VLOOKUP(BR82,Reinforcements[],COLUMN(Reinforcements[[#Headers],[Rev. G Compression Capacity x-x (kips)]])-1,FALSE),VLOOKUP(BR82,Reinforcements[],COLUMN(Reinforcements[[#Headers],[Rev. G Compression Capacity y-y (kips)]])-1,FALSE)),MIN(VLOOKUP(BR82,Reinforcements[],COLUMN(Reinforcements[[#Headers],[Rev. H Compression Capacity x-x (kips)]])-1,FALSE),VLOOKUP(BR82,Reinforcements[],COLUMN(Reinforcements[[#Headers],[Rev. H Compression Capacity y-y (kips)]])-1,FALSE)))),"")</f>
        <v/>
      </c>
      <c r="AE82" s="485" t="str">
        <f>IFERROR(IF(Rev="F",VLOOKUP(BR82,Reinforcements[],COLUMN(Reinforcements[[#Headers],[Rev. F Shear Capacity (kips)]])-1,FALSE)/BY82,IF(Rev="G",VLOOKUP(Calculations!BR82,Reinforcements[],COLUMN(Reinforcements[[#Headers],[Rev. G Shear Capacity (kips)]])-1,FALSE),VLOOKUP(Calculations!BR82,Reinforcements[],COLUMN(Reinforcements[[#Headers],[Rev. H Shear Capacity (kips)]])-1,FALSE))),"")</f>
        <v/>
      </c>
      <c r="AF82" s="451" t="str">
        <f>IFERROR(IF(Rev="F",VLOOKUP(BR82,Reinforcements[],COLUMN(Reinforcements[[#Headers],[Rev. F Tension Yield Capacity (kips)]])-1,FALSE),IF(Rev="G",VLOOKUP(Calculations!BR82,Reinforcements[],COLUMN(Reinforcements[[#Headers],[Rev. G Tension Yield Capacity (kips)]])-1,FALSE),VLOOKUP(Calculations!BR82,Reinforcements[],COLUMN(Reinforcements[[#Headers],[Rev. H Tension Yield Capacity (kips)]])-1,FALSE))),"")</f>
        <v/>
      </c>
      <c r="AG82" s="486" t="str">
        <f>IFERROR(IF(Rev="F",VLOOKUP(BR82,Reinforcements[],COLUMN(Reinforcements[[#Headers],[Rev. F Tension Rupture Capacity (kips)]])-1,FALSE),IF(Rev="G",VLOOKUP(Calculations!BR82,Reinforcements[],COLUMN(Reinforcements[[#Headers],[Rev. G Tension Rupture Capacity (kips)]])-1,FALSE),VLOOKUP(Calculations!BR82,Reinforcements[],COLUMN(Reinforcements[[#Headers],[Rev. H Tension Rupture Capacity (kips)]])-1, FALSE))),"")</f>
        <v/>
      </c>
      <c r="AH82" s="409" t="str">
        <f t="shared" si="95"/>
        <v/>
      </c>
      <c r="AI82" s="380" t="str">
        <f t="shared" si="96"/>
        <v/>
      </c>
      <c r="AJ82" s="380" t="str">
        <f t="shared" si="97"/>
        <v/>
      </c>
      <c r="AK82" s="380" t="str">
        <f t="shared" si="85"/>
        <v/>
      </c>
      <c r="AL82" s="369" t="str">
        <f t="shared" si="78"/>
        <v/>
      </c>
      <c r="AM82" s="380" t="str">
        <f>""</f>
        <v/>
      </c>
      <c r="AN82" s="380" t="str">
        <f t="shared" si="98"/>
        <v/>
      </c>
      <c r="AO82" s="369" t="str">
        <f t="shared" si="99"/>
        <v/>
      </c>
      <c r="AP82" s="410" t="str">
        <f t="shared" si="100"/>
        <v/>
      </c>
      <c r="AQ82" s="411" t="str">
        <f t="shared" si="53"/>
        <v/>
      </c>
      <c r="AR82" s="380" t="str">
        <f>IF(BR82="","",VLOOKUP(VLOOKUP(BR82,Reinforcements[],COLUMN(Reinforcements[[#Headers],[Material]])-1,FALSE),Materials[],2,FALSE)/$D$28)</f>
        <v/>
      </c>
      <c r="AS82" s="369" t="str">
        <f t="shared" si="54"/>
        <v/>
      </c>
      <c r="AT82" s="489" t="str">
        <f t="shared" si="101"/>
        <v/>
      </c>
      <c r="AU82" s="412">
        <f t="shared" si="116"/>
        <v>0</v>
      </c>
      <c r="AV82" s="413">
        <f t="shared" si="117"/>
        <v>0</v>
      </c>
      <c r="AW82" s="413" t="e">
        <f t="shared" si="102"/>
        <v>#N/A</v>
      </c>
      <c r="AX82" s="413" t="e">
        <f t="shared" si="103"/>
        <v>#N/A</v>
      </c>
      <c r="AY82" s="413" t="str">
        <f t="shared" si="104"/>
        <v/>
      </c>
      <c r="AZ82" s="413" t="e">
        <f t="shared" si="105"/>
        <v>#VALUE!</v>
      </c>
      <c r="BA82" s="433" t="str">
        <f t="shared" si="118"/>
        <v/>
      </c>
      <c r="BB82" s="436" t="str">
        <f t="shared" si="119"/>
        <v/>
      </c>
      <c r="BC82" s="437" t="str">
        <f t="shared" si="120"/>
        <v/>
      </c>
      <c r="BD82" s="437" t="str">
        <f t="shared" si="106"/>
        <v/>
      </c>
      <c r="BE82" s="433" t="str">
        <f t="shared" si="121"/>
        <v/>
      </c>
      <c r="BF82" s="438" t="e">
        <f t="shared" si="122"/>
        <v>#DIV/0!</v>
      </c>
      <c r="BG82" s="439" t="str">
        <f t="shared" si="107"/>
        <v/>
      </c>
      <c r="BH82" s="439" t="str">
        <f t="shared" si="108"/>
        <v/>
      </c>
      <c r="BI82" s="433" t="e">
        <f t="shared" si="123"/>
        <v>#DIV/0!</v>
      </c>
      <c r="BJ82" s="438" t="str">
        <f t="shared" si="124"/>
        <v/>
      </c>
      <c r="BK82" s="413" t="e">
        <f t="shared" si="125"/>
        <v>#DIV/0!</v>
      </c>
      <c r="BL82" s="66" t="str">
        <f t="shared" si="68"/>
        <v/>
      </c>
      <c r="BP82" s="30" t="e">
        <f t="shared" si="109"/>
        <v>#DIV/0!</v>
      </c>
      <c r="BQ82" s="444" t="str">
        <f>IFERROR(VALUE(IF(LEN(VLOOKUP(Calculations!$D$4,Results!$G$5:$CM$105,67+$C63,FALSE))-LEN(SUBSTITUTE(VLOOKUP(Calculations!$D$4,Results!$G$5:$CM$105,67+$C63,FALSE),";",""))&gt;1,MID(VLOOKUP(Calculations!$D$4,Results!$G$5:$CM$105,67+$C63,FALSE),FIND(";",VLOOKUP(Calculations!$D$4,Results!$G$5:$CM$105,67+$C63,FALSE))+1,FIND(";",VLOOKUP(Calculations!$D$4,Results!$G$5:$CM$105,67+$C63,FALSE),FIND(";",VLOOKUP(Calculations!$D$4,Results!$G$5:$CM$105,67+$C63,FALSE))+1)-FIND(";",VLOOKUP(Calculations!$D$4,Results!$G$5:$CM$105,67+$C63,FALSE))-1),"")),"")</f>
        <v/>
      </c>
      <c r="BR82" s="444" t="str">
        <f>IF(BQ82="","",VLOOKUP(BQ82,Input!$B$21:$Q$50,13,FALSE))</f>
        <v/>
      </c>
      <c r="BS82" s="369" t="e">
        <f>VLOOKUP(BR82,Reinforcements[],COLUMN(Reinforcements[[#Headers],[Type]])-1,FALSE)</f>
        <v>#N/A</v>
      </c>
      <c r="BT82" s="369" t="e">
        <f>IF(BS82="solid round",VLOOKUP(BR82,Reinforcements[],COLUMN(Reinforcements[[#Headers],[Diameter (in)]])-1,FALSE),VLOOKUP(BR82,Reinforcements[],COLUMN(Reinforcements[[#Headers],[B (in)]])-1,FALSE))</f>
        <v>#N/A</v>
      </c>
      <c r="BU82" s="369" t="e">
        <f>IF(BS82="solid round",VLOOKUP(BR82,Reinforcements[],COLUMN(Reinforcements[[#Headers],[Diameter (in)]])-1,FALSE),VLOOKUP(BR82,Reinforcements[],COLUMN(Reinforcements[[#Headers],[H (in)]])-1,FALSE))</f>
        <v>#N/A</v>
      </c>
      <c r="BV82" s="413" t="e">
        <f>IFERROR((IF(VLOOKUP(BQ82,Input!$B$21:$AL$50,19+C82,FALSE)="c",$D$20/COS(RADIANS(180/$D$8)),$D$20)+BU82/2)*SIN(RADIANS(D82))-IF(ISNUMBER(VLOOKUP(BQ82,Input!$B$21:$AL$50,19+C82,FALSE)),VLOOKUP(BQ82,Input!$B$21:$AL$50,19+C82,FALSE)*COS(RADIANS(D82)),0)-$D$35,"")*0+N82*1</f>
        <v>#VALUE!</v>
      </c>
      <c r="BW82" s="369" t="e">
        <f>VLOOKUP(BR82,Reinforcements[],COLUMN(Reinforcements[[#Headers],[Effective B (in)]])-1,FALSE)</f>
        <v>#N/A</v>
      </c>
      <c r="BX82" s="369" t="e">
        <f>VLOOKUP(BR82,Reinforcements[],COLUMN(Reinforcements[[#Headers],[Effective H (in)]])-1,FALSE)</f>
        <v>#N/A</v>
      </c>
      <c r="BY82" s="369" t="e">
        <f>VLOOKUP(BR82,Reinforcements[],COLUMN(Reinforcements[[#Headers],[Gross Area (in2)]])-1,FALSE)</f>
        <v>#N/A</v>
      </c>
      <c r="BZ82" s="380" t="s">
        <v>335</v>
      </c>
      <c r="CA82" s="369" t="e">
        <f>VLOOKUP(BR82,Reinforcements[],COLUMN(Reinforcements[[#Headers],[Pole Face to Centroid (in)]])-1,FALSE)</f>
        <v>#N/A</v>
      </c>
      <c r="CB82" s="369" t="e">
        <f>VLOOKUP(BR82,Reinforcements[],COLUMN(Reinforcements[[#Headers],[Ix]])-1,FALSE)</f>
        <v>#N/A</v>
      </c>
      <c r="CC82" s="369" t="e">
        <f>VLOOKUP(BR82,Reinforcements[],COLUMN(Reinforcements[[#Headers],[Iy]])-1,FALSE)</f>
        <v>#N/A</v>
      </c>
      <c r="CD82" s="369" t="e">
        <f>VLOOKUP(BR82,Reinforcements[],COLUMN(Reinforcements[[#Headers],[Lu (in)]])-1,FALSE)</f>
        <v>#N/A</v>
      </c>
      <c r="CE82" s="380" t="s">
        <v>335</v>
      </c>
      <c r="CF82" s="380" t="s">
        <v>335</v>
      </c>
      <c r="CG82" s="369" t="e">
        <f>VLOOKUP(VLOOKUP(BR82,Reinforcements[],COLUMN(Reinforcements[[#Headers],[Material]])-1,FALSE),Materials[],2,FALSE)</f>
        <v>#N/A</v>
      </c>
      <c r="CH82" s="369" t="e">
        <f>VLOOKUP(VLOOKUP(BR82,Reinforcements[],COLUMN(Reinforcements[[#Headers],[Material]])-1,FALSE),Materials[],3,FALSE)</f>
        <v>#N/A</v>
      </c>
      <c r="CI82" s="380" t="e">
        <f>VLOOKUP(BR82,Reinforcements[],COLUMN(Reinforcements[[#Headers],[Tension Only?]])-1,FALSE)</f>
        <v>#N/A</v>
      </c>
      <c r="CJ82" s="449" t="str">
        <f>IF(BQ82="","",AND(INDEX(Results!$G$5:$G$104,MATCH(VLOOKUP($BQ82,Input!$B$21:$J$50,2,FALSE)-0.001,Results!$G$5:$G$104,-1))=$D$4))</f>
        <v/>
      </c>
      <c r="CK82" s="449" t="str">
        <f>IF(BQ82="","",AND(INDEX('Macro References'!$BB$2:$BB$101,MATCH(VLOOKUP($BQ82,Input!$B$21:$J$50,6,FALSE)-0.001,'Macro References'!$BB$2:$BB$101,1))=$D$4))</f>
        <v/>
      </c>
      <c r="CL82" s="449" t="e">
        <f>IF(CJ82,VLOOKUP(BR82,Reinforcements[],COLUMN(Reinforcements[[#Headers],[Bottom End Connection Type]])-1,FALSE),IF(CK82,VLOOKUP(BR82,Reinforcements[],COLUMN(Reinforcements[[#Headers],[Top End Connection Type]])-1,FALSE),""))</f>
        <v>#VALUE!</v>
      </c>
      <c r="CM82" s="449" t="e">
        <f>IF(ISBLANK(VLOOKUP(BR82,Reinforcements[],COLUMN(Reinforcements[[#Headers],[Bottom Transverse Weld Length]])-1,FALSE)),"",(VLOOKUP(BR82,Reinforcements[],COLUMN(Reinforcements[[#Headers],[Bottom Transverse Weld Length]])-1,FALSE)))</f>
        <v>#N/A</v>
      </c>
      <c r="CN82" s="449" t="e">
        <f>IF(ISBLANK(VLOOKUP(BR82,Reinforcements[],COLUMN(Reinforcements[[#Headers],[Bottom Transverse (Horizontal) Weld]])-1,FALSE)),"",(VLOOKUP(BR82,Reinforcements[],COLUMN(Reinforcements[[#Headers],[Bottom Transverse (Horizontal) Weld]])-1,FALSE)))</f>
        <v>#N/A</v>
      </c>
      <c r="CO82" s="449" t="e">
        <f>IF(ISBLANK(VLOOKUP(BR82,Reinforcements[],COLUMN(Reinforcements[[#Headers],[Bottom Longitudinal Weld Length]])-1,FALSE)),"",(VLOOKUP(BR82,Reinforcements[],COLUMN(Reinforcements[[#Headers],[Bottom Longitudinal Weld Length]])-1,FALSE)))</f>
        <v>#N/A</v>
      </c>
      <c r="CP82" s="449" t="str">
        <f>IFERROR(VLOOKUP(BR82,Reinforcements[],COLUMN(Reinforcements[[#Headers],[Bottom Connected to Flange/Base Plate?]])-1,FALSE),"")</f>
        <v/>
      </c>
      <c r="CQ82" s="369" t="e">
        <f>IF(Rev="F",VLOOKUP(BR82,Reinforcements[],COLUMN(Reinforcements[[#Headers],[Rev. F Bottom Transverse Weld Strength]])-1,FALSE),VLOOKUP(BR82,Reinforcements[],COLUMN(Reinforcements[[#Headers],[Rev. G Bottom Transverse Weld Strength]])-1,FALSE))</f>
        <v>#N/A</v>
      </c>
      <c r="CR82" s="369" t="e">
        <f>IF(CP82="Yes",IF(CN82="Fillet",VLOOKUP(BR82,Reinforcements[],COLUMN(Reinforcements[[#Headers],[Bottom Transverse Weld Fillet Size (in)]])-1,FALSE)*CM82*MIN(IF(Rev="F",0.4,φ_shear_yield*0.6)*CG82,IF(Rev="F",0.3,φ_shear_rupture*0.6)*CH82),VLOOKUP(BR82,Reinforcements[],COLUMN(Reinforcements[[#Headers],[Bottom Transverse Weld Groove Depth (in)]])-1,FALSE)/COS(RADIANS(VLOOKUP(BR82,Reinforcements[],COLUMN(Reinforcements[[#Headers],[Bottom Transverse Weld Groove Angle (degrees)]])-1,FALSE)))*CM82*IF(Rev="F",0.6,φ_t_y)*CG82),VLOOKUP(BR82,Reinforcements[],COLUMN(Reinforcements[[#Headers],[Bottom Transverse Weld Fillet Size (in)]])-1,FALSE)*CM82*IF(Rev="F",0.6,φ_t_y)*CG82)</f>
        <v>#N/A</v>
      </c>
      <c r="CS82" s="369" t="str">
        <f>IF(CP82&lt;&gt;"Yes","",(VLOOKUP(BR82,Reinforcements[],COLUMN(Reinforcements[[#Headers],[Bottom Transverse Weld Groove Depth (in)]])-1,FALSE)+VLOOKUP(BR82,Reinforcements[],COLUMN(Reinforcements[[#Headers],[Bottom Transverse Weld Fillet Size (in)]])-1,FALSE))*CM82*IF(Rev="F",0.6,φ_t_y)*$D$14)</f>
        <v/>
      </c>
      <c r="CT82" s="369" t="e">
        <f>IF(CP82="Yes","",VLOOKUP(BR82,Reinforcements[],COLUMN(Reinforcements[[#Headers],[Bottom Transverse Weld Fillet Size (in)]])-1,FALSE)*CM82*MIN(IF(Rev="F",0.4,φ_shear_yield*0.6)*$D$6,IF(Rev="F",0.3,φ_shear_rupture*0.6)*$D$7))</f>
        <v>#N/A</v>
      </c>
      <c r="CU82" s="369" t="e">
        <f>IF(Rev="F",VLOOKUP(BR82,Reinforcements[],COLUMN(Reinforcements[[#Headers],[Rev. F Bottom Longitudinal Weld Strength]])-1,FALSE),VLOOKUP(BR82,Reinforcements[],COLUMN(Reinforcements[[#Headers],[Rev. G Bottom Longitudinal Weld Strength]])-1,FALSE))</f>
        <v>#N/A</v>
      </c>
      <c r="CV82" s="369" t="e">
        <f>2*VLOOKUP(BR82,Reinforcements[],COLUMN(Reinforcements[[#Headers],[Bottom Longitudinal Weld Fillet Size (in)]])-1,FALSE)*CO82*MIN(IF(Rev="F",0.4,φ_shear_yield*0.6)*CG82,IF(Rev="F",0.3,φ_shear_rupture*0.6)*CH82)</f>
        <v>#N/A</v>
      </c>
      <c r="CW82" s="369" t="e">
        <f>2*VLOOKUP(BR82,Reinforcements[],COLUMN(Reinforcements[[#Headers],[Bottom Longitudinal Weld Fillet Size (in)]])-1,FALSE)*CO82*MIN(IF(Rev="F",0.4,φ_shear_yield*0.6)*$D$6,IF(Rev="F",0.3,φ_shear_rupture*0.6)*$D$7)</f>
        <v>#N/A</v>
      </c>
      <c r="CX82" s="451" t="e">
        <f>IF(ISBLANK(VLOOKUP(BR82,Reinforcements[],COLUMN(Reinforcements[[#Headers],[Top Transverse Weld Length]])-1,FALSE)),"",(VLOOKUP(BR82,Reinforcements[],COLUMN(Reinforcements[[#Headers],[Top Transverse Weld Length]])-1,FALSE)))</f>
        <v>#N/A</v>
      </c>
      <c r="CY82" s="451" t="e">
        <f>IF(ISBLANK(VLOOKUP(BR82,Reinforcements[],COLUMN(Reinforcements[[#Headers],[Top Transverse (Horizontal) Weld]])-1,FALSE)),"",(VLOOKUP(BR82,Reinforcements[],COLUMN(Reinforcements[[#Headers],[Top Transverse (Horizontal) Weld]])-1,FALSE)))</f>
        <v>#N/A</v>
      </c>
      <c r="CZ82" s="451" t="e">
        <f>IF(ISBLANK(VLOOKUP(BR82,Reinforcements[],COLUMN(Reinforcements[[#Headers],[Top Longitudinal Weld Length]])-1,FALSE)),"",(VLOOKUP(BR82,Reinforcements[],COLUMN(Reinforcements[[#Headers],[Top Longitudinal Weld Length]])-1,FALSE)))</f>
        <v>#N/A</v>
      </c>
      <c r="DA82" s="369" t="str">
        <f>IFERROR(VLOOKUP(BR82,Reinforcements[],COLUMN(Reinforcements[[#Headers],[Top Connected to Flange/Base Plate?]])-1,FALSE),"")</f>
        <v/>
      </c>
      <c r="DB82" s="369" t="e">
        <f>IF(Rev="F",VLOOKUP(BR82,Reinforcements[],COLUMN(Reinforcements[[#Headers],[Rev. F Top Transverse Weld Strength]])-1,FALSE),VLOOKUP(BR82,Reinforcements[],COLUMN(Reinforcements[[#Headers],[Rev. G Top Transverse Weld Strength]])-1,FALSE))</f>
        <v>#N/A</v>
      </c>
      <c r="DC82" s="369" t="e">
        <f>IF(DA82="Yes",IF(CY82="Fillet",VLOOKUP(BR82,Reinforcements[],COLUMN(Reinforcements[[#Headers],[Top Transverse Weld Fillet Size (in)]])-1,FALSE)*CX82*MIN(IF(Rev="F",0.4,φ_shear_yield*0.6)*CG82,IF(Rev="F",0.3,φ_shear_rupture*0.6)*CH82),VLOOKUP(BR82,Reinforcements[],COLUMN(Reinforcements[[#Headers],[Top Transverse Weld Groove Depth (in)]])-1,FALSE)/COS(RADIANS(VLOOKUP(BR82,Reinforcements[],COLUMN(Reinforcements[[#Headers],[Top Transverse Weld Groove Angle (degrees)]])-1,FALSE)))*CX82*IF(Rev="F",0.6,φ_t_y)*CG82),VLOOKUP(BR82,Reinforcements[],COLUMN(Reinforcements[[#Headers],[Top Transverse Weld Fillet Size (in)]])-1,FALSE)*CX82*IF(Rev="F",0.6,φ_t_y)*CG82)</f>
        <v>#N/A</v>
      </c>
      <c r="DD82" s="369" t="str">
        <f>IF(DA82&lt;&gt;"Yes","",(VLOOKUP(BR82,Reinforcements[],COLUMN(Reinforcements[[#Headers],[Top Transverse Weld Groove Depth (in)]])-1,FALSE)+VLOOKUP(BR82,Reinforcements[],COLUMN(Reinforcements[[#Headers],[Top Transverse Weld Fillet Size (in)]])-1,FALSE))*CX82*IF(Rev="F",0.6,φ_t_y)*$D$14)</f>
        <v/>
      </c>
      <c r="DE82" s="369" t="e">
        <f>IF(DA82="Yes","",VLOOKUP(BR82,Reinforcements[],COLUMN(Reinforcements[[#Headers],[Top Transverse Weld Fillet Size (in)]])-1,FALSE)*CX82*MIN(IF(Rev="F",0.4,φ_shear_yield*0.6)*$D$6,IF(Rev="F",0.3,φ_shear_rupture*0.6)*$D$7))</f>
        <v>#N/A</v>
      </c>
      <c r="DF82" s="369" t="e">
        <f>IF(Rev="F",VLOOKUP(BR82,Reinforcements[],COLUMN(Reinforcements[[#Headers],[Rev. F Top Longitudinal Weld Strength]])-1,FALSE),VLOOKUP(BR82,Reinforcements[],COLUMN(Reinforcements[[#Headers],[Rev. G Top Longitudinal Weld Strength]])-1,FALSE))</f>
        <v>#N/A</v>
      </c>
      <c r="DG82" s="369" t="e">
        <f>2*VLOOKUP(BR82,Reinforcements[],COLUMN(Reinforcements[[#Headers],[Top Longitudinal Weld Fillet Size (in)]])-1,FALSE)*CZ82*MIN(IF(Rev="F",0.4,φ_shear_yield*0.6)*CG82,IF(Rev="F",0.3,φ_shear_rupture*0.6)*CH82)</f>
        <v>#N/A</v>
      </c>
      <c r="DH82" s="369" t="e">
        <f>2*VLOOKUP(BR82,Reinforcements[],COLUMN(Reinforcements[[#Headers],[Top Longitudinal Weld Fillet Size (in)]])-1,FALSE)*CZ82*MIN(IF(Rev="F",0.4,φ_shear_yield*0.6)*$D$6,IF(Rev="F",0.3,φ_shear_rupture*0.6)*$D$7)</f>
        <v>#N/A</v>
      </c>
      <c r="DI82" s="66" t="e">
        <f>IF(BS82="channel",VLOOKUP(Calculations!BR82,Reinforcements[],COLUMN(Reinforcements[[#Headers],['[Channel']Web Thickness (in)]])-1,FALSE),"")</f>
        <v>#N/A</v>
      </c>
      <c r="DJ82" s="66" t="b">
        <f t="shared" si="126"/>
        <v>0</v>
      </c>
      <c r="DK82" s="66" t="e">
        <f>IF(BS82="channel",Calculations!BU82-DI82,"")</f>
        <v>#N/A</v>
      </c>
      <c r="DL82" s="66" t="e">
        <f>IF(BS82="channel",(Calculations!BY82-Calculations!BT82*DI82)/(2*DK82))</f>
        <v>#N/A</v>
      </c>
      <c r="DM82" s="66" t="e">
        <f>IF(BS82="channel",(Calculations!BT82*(DI82^2)/2+2*DK82*DL82*(DI82+DK82/2))/Calculations!BY82,"")</f>
        <v>#N/A</v>
      </c>
    </row>
    <row r="83" spans="2:117" ht="15" x14ac:dyDescent="0.25">
      <c r="B83" s="66" t="str">
        <f t="shared" si="70"/>
        <v/>
      </c>
      <c r="C83" s="317">
        <v>5</v>
      </c>
      <c r="D83" s="380" t="str">
        <f>IF(BQ83="","",IF($D$8=0,IF(OR(VLOOKUP(BQ83,Input!$B$21:$AL$50,19+C83,FALSE)+$D$5=0,VLOOKUP(BQ83,Input!$B$21:$AL$50,19+C83,FALSE)+$D$5=180),VLOOKUP(BQ83,Input!$B$21:$AL$50,19+C83,FALSE)+$D$5+0.0001,VLOOKUP(BQ83,Input!$B$21:$AL$50,19+C83,FALSE)+$D$5),IF(VLOOKUP(BQ83,Input!$B$21:$AL$50,19+C83,FALSE)="c",VLOOKUP($C83,$C$40:$E$57,2,FALSE)+180/$D$8,VLOOKUP($C83,$C$40:$E$57,2,FALSE))))</f>
        <v/>
      </c>
      <c r="E83" s="370" t="str">
        <f t="shared" si="110"/>
        <v/>
      </c>
      <c r="F83" s="381" t="str">
        <f>IF(BR83="","",VLOOKUP(BR83,Reinforcements[],COLUMN(Reinforcements[[#Headers],[Gross Area (in2)]])-1,FALSE))</f>
        <v/>
      </c>
      <c r="G83" s="378" t="e">
        <f>(IF(VLOOKUP(BQ83,Input!$B$21:$AL$50,19+C83,FALSE)="c",$D$20/COS(RADIANS(180/$D$8)),$D$20)+CA83)*SIN(RADIANS(D83))-IF(AND(ISNUMBER(VLOOKUP(BQ83,Input!$B$21:$AL$50,19+C83,FALSE)),$D$8&lt;&gt;0),VLOOKUP(BQ83,Input!$B$21:$AL$50,19+C83,FALSE)*COS(RADIANS(D83)),0)</f>
        <v>#N/A</v>
      </c>
      <c r="H83" s="373" t="str">
        <f t="shared" si="111"/>
        <v/>
      </c>
      <c r="I83" s="373" t="e">
        <f t="shared" si="86"/>
        <v>#N/A</v>
      </c>
      <c r="J83" s="373" t="e">
        <f t="shared" si="112"/>
        <v>#N/A</v>
      </c>
      <c r="K83" s="373" t="e">
        <f t="shared" si="113"/>
        <v>#N/A</v>
      </c>
      <c r="L83" s="373" t="e">
        <f t="shared" si="114"/>
        <v>#N/A</v>
      </c>
      <c r="M83" s="374" t="str">
        <f t="shared" si="115"/>
        <v/>
      </c>
      <c r="N83" s="372" t="str">
        <f>IFERROR((IF(VLOOKUP(BQ83,Input!$B$21:$AL$50,19+C83,FALSE)="c",$D$20/COS(RADIANS(180/$D$8)),$D$20)+CA83)*SIN(RADIANS(D83))-IF(AND(ISNUMBER(VLOOKUP(BQ83,Input!$B$21:$AL$50,19+C83,FALSE)),$D$8&lt;&gt;0),VLOOKUP(BQ83,Input!$B$21:$AL$50,19+C83,FALSE)*COS(RADIANS(D83)),0)-$D$35,"")</f>
        <v/>
      </c>
      <c r="O83" s="373" t="str">
        <f t="shared" si="87"/>
        <v/>
      </c>
      <c r="P83" s="373" t="str">
        <f t="shared" si="88"/>
        <v/>
      </c>
      <c r="Q83" s="373" t="str">
        <f t="shared" si="89"/>
        <v/>
      </c>
      <c r="R83" s="374" t="str">
        <f t="shared" si="90"/>
        <v/>
      </c>
      <c r="S83" s="373" t="str">
        <f t="shared" si="91"/>
        <v/>
      </c>
      <c r="T83" s="373" t="str">
        <f t="shared" si="92"/>
        <v/>
      </c>
      <c r="U83" s="373" t="str">
        <f t="shared" si="93"/>
        <v/>
      </c>
      <c r="V83" s="374" t="str">
        <f t="shared" si="94"/>
        <v/>
      </c>
      <c r="W83" s="482" t="str">
        <f>IFERROR(IF('Macro References'!$A$9,IF(AND(Calculations!CK83,CL83="Bolted"),VLOOKUP($BR83,Reinforcements[],COLUMN(IF(Rev="F",Reinforcements[[#Headers],[Rev. F Bolt Shear Capacity   (Top)        (kips)]],IF(Rev="G",Reinforcements[[#Headers],[Rev. G Bolt Shear Capacity (Top)     (kips)]],Reinforcements[[#Headers],[Rev. H Bolt Shear Capacity (Top) (kips)]])))-1,FALSE),IF(AND(Calculations!CJ83,CL83="Bolted"),VLOOKUP($BR83,Reinforcements[],COLUMN(IF(Rev="F",Reinforcements[[#Headers],[Rev. F Bolt Shear Capacity (Bottom)   (kips)]],IF(Rev="G",Reinforcements[[#Headers],[Rev. G Bolt Shear Capacity (Bottom) (kips)]],Reinforcements[[#Headers],[Rev. H Bolt Shear Capacity (Bottom) (kips)]])))-1,FALSE),"")),""),"")</f>
        <v/>
      </c>
      <c r="X83" s="483" t="str">
        <f>IFERROR(IF('Macro References'!$A$9,IF('Macro References'!$A$10,IF(AND(Calculations!CK83,CL83="Bolted"),VLOOKUP($BR83,Reinforcements[],COLUMN(IF(Rev="F",Reinforcements[[#Headers],[Rev.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kips)]])))-1,FALSE),IF(AND(Calculations!CJ83,CL83="Bolted"),VLOOKUP($BR83,Reinforcements[],COLUMN(IF(Rev="F",Reinforcements[[#Headers],[Rev.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kips)]])))-1,FALSE),"")),IF(AND(Calculations!CK83,CL83="Bolted"),VLOOKUP($BR83,Reinforcements[],COLUMN(IF(Rev="F",Reinforcements[[#Headers],[Rev.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kips)]])))-1,FALSE),IF(AND(Calculations!CJ83,CL83="Bolted"),VLOOKUP($BR83,Reinforcements[],COLUMN(IF(Rev="F",Reinforcements[[#Headers],[Rev.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3" s="483" t="str">
        <f>IFERROR(IF('Macro References'!$A$9,IF('Macro References'!$A$10,IF(AND(Calculations!CK83,CL83="Bolted"),VLOOKUP($BR83,Reinforcements[],COLUMN(IF(Rev="F",Reinforcements[[#Headers],[Rev.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(kips)]])))-1,FALSE),IF(AND(Calculations!CJ83,CL83="Bolted"),VLOOKUP($BR83,Reinforcements[],COLUMN(IF(Rev="F",Reinforcements[[#Headers],[Rev.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(kips)]])))-1,FALSE),"")),IF(AND(Calculations!CK83,CL83="Bolted"),VLOOKUP($BR83,Reinforcements[],COLUMN(IF(Rev="F",Reinforcements[[#Headers],[Rev.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(kips)]])))-1,FALSE),IF(AND(Calculations!CJ83,CL83="Bolted"),VLOOKUP($BR83,Reinforcements[],COLUMN(IF(Rev="F",Reinforcements[[#Headers],[Rev.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3" s="483" t="str">
        <f>IFERROR(IF('Macro References'!$A$9,IF(AND(CJ83,CL83="Welded"),MIN(CQ83:CT83),IF(AND(CK83,CL83="Welded"),MIN(DB83:DE83),"")),""),"")</f>
        <v/>
      </c>
      <c r="AA83" s="484" t="str">
        <f>IFERROR(IF('Macro References'!$A$9,IF(AND(CJ83,CL83="Welded"),MIN(CU83:CW83),IF(AND(CK83,CL83="Welded"),MIN(DF83:DH83),"")),""),"")</f>
        <v/>
      </c>
      <c r="AB83" s="484" t="str">
        <f>IFERROR(IF('Macro References'!$A$9,IF(AND(CJ83,CL83="Welded",CN83="Fillet",CU83&gt;0),TRUE,IF(AND(CK83,CL83="Welded",CY83="Fillet",DF83&gt;0),TRUE,"")),""),"")</f>
        <v/>
      </c>
      <c r="AC83" s="484" t="e">
        <f>IF('Macro References'!$A$9,IF(AND(CJ83,CL83="Capacity Input"),IF(Rev="F",VLOOKUP(BR83,Reinforcements[],COLUMN(Reinforcements[[#Headers],[Rev. F Bottom Connection Capacity (kips)]])-1,FALSE),IF(Rev="G",VLOOKUP(BR83,Reinforcements[],COLUMN(Reinforcements[[#Headers],[Rev. G Bottom Connection Capacity (kips)]])-1,FALSE),VLOOKUP(BR83,Reinforcements[],COLUMN(Reinforcements[[#Headers],[Rev. H Bottom Connection Capacity (kips)]])-1,FALSE))),IF(AND(CK83,CL83="Capacity Input"),IF(Rev="F",VLOOKUP(BR83,Reinforcements[],COLUMN(Reinforcements[[#Headers],[Rev. F Top Connection Capacity (kips)]])-1,FALSE),IF(Rev="G",VLOOKUP(BR83,Reinforcements[],COLUMN(Reinforcements[[#Headers],[Rev. G Top Connection Capacity (kips)]])-1,FALSE),VLOOKUP(BR83,Reinforcements[],COLUMN(Reinforcements[[#Headers],[Rev. H Top Connection Capacity (kips)]])-1,FALSE))),"")),"")</f>
        <v>#VALUE!</v>
      </c>
      <c r="AD83" s="484" t="str">
        <f>IFERROR(IF(Rev="F",MIN(VLOOKUP(BR83,Reinforcements[],COLUMN(Reinforcements[[#Headers],[Rev. F Compression Capacity x-x (kips)]])-1,FALSE),VLOOKUP(BR83,Reinforcements[],COLUMN(Reinforcements[[#Headers],[Rev. F Compression Capacity y-y (kips)]])-1,FALSE)),IF(Rev="G",MIN(VLOOKUP(BR83,Reinforcements[],COLUMN(Reinforcements[[#Headers],[Rev. G Compression Capacity x-x (kips)]])-1,FALSE),VLOOKUP(BR83,Reinforcements[],COLUMN(Reinforcements[[#Headers],[Rev. G Compression Capacity y-y (kips)]])-1,FALSE)),MIN(VLOOKUP(BR83,Reinforcements[],COLUMN(Reinforcements[[#Headers],[Rev. H Compression Capacity x-x (kips)]])-1,FALSE),VLOOKUP(BR83,Reinforcements[],COLUMN(Reinforcements[[#Headers],[Rev. H Compression Capacity y-y (kips)]])-1,FALSE)))),"")</f>
        <v/>
      </c>
      <c r="AE83" s="485" t="str">
        <f>IFERROR(IF(Rev="F",VLOOKUP(BR83,Reinforcements[],COLUMN(Reinforcements[[#Headers],[Rev. F Shear Capacity (kips)]])-1,FALSE)/BY83,IF(Rev="G",VLOOKUP(Calculations!BR83,Reinforcements[],COLUMN(Reinforcements[[#Headers],[Rev. G Shear Capacity (kips)]])-1,FALSE),VLOOKUP(Calculations!BR83,Reinforcements[],COLUMN(Reinforcements[[#Headers],[Rev. H Shear Capacity (kips)]])-1,FALSE))),"")</f>
        <v/>
      </c>
      <c r="AF83" s="451" t="str">
        <f>IFERROR(IF(Rev="F",VLOOKUP(BR83,Reinforcements[],COLUMN(Reinforcements[[#Headers],[Rev. F Tension Yield Capacity (kips)]])-1,FALSE),IF(Rev="G",VLOOKUP(Calculations!BR83,Reinforcements[],COLUMN(Reinforcements[[#Headers],[Rev. G Tension Yield Capacity (kips)]])-1,FALSE),VLOOKUP(Calculations!BR83,Reinforcements[],COLUMN(Reinforcements[[#Headers],[Rev. H Tension Yield Capacity (kips)]])-1,FALSE))),"")</f>
        <v/>
      </c>
      <c r="AG83" s="486" t="str">
        <f>IFERROR(IF(Rev="F",VLOOKUP(BR83,Reinforcements[],COLUMN(Reinforcements[[#Headers],[Rev. F Tension Rupture Capacity (kips)]])-1,FALSE),IF(Rev="G",VLOOKUP(Calculations!BR83,Reinforcements[],COLUMN(Reinforcements[[#Headers],[Rev. G Tension Rupture Capacity (kips)]])-1,FALSE),VLOOKUP(Calculations!BR83,Reinforcements[],COLUMN(Reinforcements[[#Headers],[Rev. H Tension Rupture Capacity (kips)]])-1, FALSE))),"")</f>
        <v/>
      </c>
      <c r="AH83" s="409" t="str">
        <f t="shared" si="95"/>
        <v/>
      </c>
      <c r="AI83" s="380" t="str">
        <f t="shared" si="96"/>
        <v/>
      </c>
      <c r="AJ83" s="380" t="str">
        <f t="shared" si="97"/>
        <v/>
      </c>
      <c r="AK83" s="380" t="str">
        <f t="shared" si="85"/>
        <v/>
      </c>
      <c r="AL83" s="369" t="str">
        <f t="shared" si="78"/>
        <v/>
      </c>
      <c r="AM83" s="380" t="str">
        <f>""</f>
        <v/>
      </c>
      <c r="AN83" s="380" t="str">
        <f t="shared" si="98"/>
        <v/>
      </c>
      <c r="AO83" s="369" t="str">
        <f t="shared" si="99"/>
        <v/>
      </c>
      <c r="AP83" s="410" t="str">
        <f t="shared" si="100"/>
        <v/>
      </c>
      <c r="AQ83" s="411" t="str">
        <f t="shared" si="53"/>
        <v/>
      </c>
      <c r="AR83" s="380" t="str">
        <f>IF(BR83="","",VLOOKUP(VLOOKUP(BR83,Reinforcements[],COLUMN(Reinforcements[[#Headers],[Material]])-1,FALSE),Materials[],2,FALSE)/$D$28)</f>
        <v/>
      </c>
      <c r="AS83" s="369" t="str">
        <f t="shared" si="54"/>
        <v/>
      </c>
      <c r="AT83" s="489" t="str">
        <f t="shared" si="101"/>
        <v/>
      </c>
      <c r="AU83" s="412">
        <f t="shared" si="116"/>
        <v>0</v>
      </c>
      <c r="AV83" s="413">
        <f t="shared" si="117"/>
        <v>0</v>
      </c>
      <c r="AW83" s="413" t="e">
        <f t="shared" si="102"/>
        <v>#N/A</v>
      </c>
      <c r="AX83" s="413" t="e">
        <f t="shared" si="103"/>
        <v>#N/A</v>
      </c>
      <c r="AY83" s="413" t="str">
        <f t="shared" si="104"/>
        <v/>
      </c>
      <c r="AZ83" s="413" t="e">
        <f t="shared" si="105"/>
        <v>#VALUE!</v>
      </c>
      <c r="BA83" s="433" t="str">
        <f t="shared" si="118"/>
        <v/>
      </c>
      <c r="BB83" s="436" t="str">
        <f t="shared" si="119"/>
        <v/>
      </c>
      <c r="BC83" s="437" t="str">
        <f t="shared" si="120"/>
        <v/>
      </c>
      <c r="BD83" s="437" t="str">
        <f t="shared" si="106"/>
        <v/>
      </c>
      <c r="BE83" s="433" t="str">
        <f t="shared" si="121"/>
        <v/>
      </c>
      <c r="BF83" s="438" t="e">
        <f t="shared" si="122"/>
        <v>#DIV/0!</v>
      </c>
      <c r="BG83" s="439" t="str">
        <f t="shared" si="107"/>
        <v/>
      </c>
      <c r="BH83" s="439" t="str">
        <f t="shared" si="108"/>
        <v/>
      </c>
      <c r="BI83" s="433" t="e">
        <f t="shared" si="123"/>
        <v>#DIV/0!</v>
      </c>
      <c r="BJ83" s="438" t="str">
        <f t="shared" si="124"/>
        <v/>
      </c>
      <c r="BK83" s="413" t="e">
        <f t="shared" si="125"/>
        <v>#DIV/0!</v>
      </c>
      <c r="BL83" s="66" t="str">
        <f t="shared" si="68"/>
        <v/>
      </c>
      <c r="BP83" s="30" t="e">
        <f t="shared" si="109"/>
        <v>#DIV/0!</v>
      </c>
      <c r="BQ83" s="444" t="str">
        <f>IFERROR(VALUE(IF(LEN(VLOOKUP(Calculations!$D$4,Results!$G$5:$CM$105,67+$C64,FALSE))-LEN(SUBSTITUTE(VLOOKUP(Calculations!$D$4,Results!$G$5:$CM$105,67+$C64,FALSE),";",""))&gt;1,MID(VLOOKUP(Calculations!$D$4,Results!$G$5:$CM$105,67+$C64,FALSE),FIND(";",VLOOKUP(Calculations!$D$4,Results!$G$5:$CM$105,67+$C64,FALSE))+1,FIND(";",VLOOKUP(Calculations!$D$4,Results!$G$5:$CM$105,67+$C64,FALSE),FIND(";",VLOOKUP(Calculations!$D$4,Results!$G$5:$CM$105,67+$C64,FALSE))+1)-FIND(";",VLOOKUP(Calculations!$D$4,Results!$G$5:$CM$105,67+$C64,FALSE))-1),"")),"")</f>
        <v/>
      </c>
      <c r="BR83" s="444" t="str">
        <f>IF(BQ83="","",VLOOKUP(BQ83,Input!$B$21:$Q$50,13,FALSE))</f>
        <v/>
      </c>
      <c r="BS83" s="369" t="e">
        <f>VLOOKUP(BR83,Reinforcements[],COLUMN(Reinforcements[[#Headers],[Type]])-1,FALSE)</f>
        <v>#N/A</v>
      </c>
      <c r="BT83" s="369" t="e">
        <f>IF(BS83="solid round",VLOOKUP(BR83,Reinforcements[],COLUMN(Reinforcements[[#Headers],[Diameter (in)]])-1,FALSE),VLOOKUP(BR83,Reinforcements[],COLUMN(Reinforcements[[#Headers],[B (in)]])-1,FALSE))</f>
        <v>#N/A</v>
      </c>
      <c r="BU83" s="369" t="e">
        <f>IF(BS83="solid round",VLOOKUP(BR83,Reinforcements[],COLUMN(Reinforcements[[#Headers],[Diameter (in)]])-1,FALSE),VLOOKUP(BR83,Reinforcements[],COLUMN(Reinforcements[[#Headers],[H (in)]])-1,FALSE))</f>
        <v>#N/A</v>
      </c>
      <c r="BV83" s="413" t="e">
        <f>IFERROR((IF(VLOOKUP(BQ83,Input!$B$21:$AL$50,19+C83,FALSE)="c",$D$20/COS(RADIANS(180/$D$8)),$D$20)+BU83/2)*SIN(RADIANS(D83))-IF(ISNUMBER(VLOOKUP(BQ83,Input!$B$21:$AL$50,19+C83,FALSE)),VLOOKUP(BQ83,Input!$B$21:$AL$50,19+C83,FALSE)*COS(RADIANS(D83)),0)-$D$35,"")*0+N83*1</f>
        <v>#VALUE!</v>
      </c>
      <c r="BW83" s="369" t="e">
        <f>VLOOKUP(BR83,Reinforcements[],COLUMN(Reinforcements[[#Headers],[Effective B (in)]])-1,FALSE)</f>
        <v>#N/A</v>
      </c>
      <c r="BX83" s="369" t="e">
        <f>VLOOKUP(BR83,Reinforcements[],COLUMN(Reinforcements[[#Headers],[Effective H (in)]])-1,FALSE)</f>
        <v>#N/A</v>
      </c>
      <c r="BY83" s="369" t="e">
        <f>VLOOKUP(BR83,Reinforcements[],COLUMN(Reinforcements[[#Headers],[Gross Area (in2)]])-1,FALSE)</f>
        <v>#N/A</v>
      </c>
      <c r="BZ83" s="380" t="s">
        <v>335</v>
      </c>
      <c r="CA83" s="369" t="e">
        <f>VLOOKUP(BR83,Reinforcements[],COLUMN(Reinforcements[[#Headers],[Pole Face to Centroid (in)]])-1,FALSE)</f>
        <v>#N/A</v>
      </c>
      <c r="CB83" s="369" t="e">
        <f>VLOOKUP(BR83,Reinforcements[],COLUMN(Reinforcements[[#Headers],[Ix]])-1,FALSE)</f>
        <v>#N/A</v>
      </c>
      <c r="CC83" s="369" t="e">
        <f>VLOOKUP(BR83,Reinforcements[],COLUMN(Reinforcements[[#Headers],[Iy]])-1,FALSE)</f>
        <v>#N/A</v>
      </c>
      <c r="CD83" s="369" t="e">
        <f>VLOOKUP(BR83,Reinforcements[],COLUMN(Reinforcements[[#Headers],[Lu (in)]])-1,FALSE)</f>
        <v>#N/A</v>
      </c>
      <c r="CE83" s="380" t="s">
        <v>335</v>
      </c>
      <c r="CF83" s="380" t="s">
        <v>335</v>
      </c>
      <c r="CG83" s="369" t="e">
        <f>VLOOKUP(VLOOKUP(BR83,Reinforcements[],COLUMN(Reinforcements[[#Headers],[Material]])-1,FALSE),Materials[],2,FALSE)</f>
        <v>#N/A</v>
      </c>
      <c r="CH83" s="369" t="e">
        <f>VLOOKUP(VLOOKUP(BR83,Reinforcements[],COLUMN(Reinforcements[[#Headers],[Material]])-1,FALSE),Materials[],3,FALSE)</f>
        <v>#N/A</v>
      </c>
      <c r="CI83" s="380" t="e">
        <f>VLOOKUP(BR83,Reinforcements[],COLUMN(Reinforcements[[#Headers],[Tension Only?]])-1,FALSE)</f>
        <v>#N/A</v>
      </c>
      <c r="CJ83" s="449" t="str">
        <f>IF(BQ83="","",AND(INDEX(Results!$G$5:$G$104,MATCH(VLOOKUP($BQ83,Input!$B$21:$J$50,2,FALSE)-0.001,Results!$G$5:$G$104,-1))=$D$4))</f>
        <v/>
      </c>
      <c r="CK83" s="449" t="str">
        <f>IF(BQ83="","",AND(INDEX('Macro References'!$BB$2:$BB$101,MATCH(VLOOKUP($BQ83,Input!$B$21:$J$50,6,FALSE)-0.001,'Macro References'!$BB$2:$BB$101,1))=$D$4))</f>
        <v/>
      </c>
      <c r="CL83" s="449" t="e">
        <f>IF(CJ83,VLOOKUP(BR83,Reinforcements[],COLUMN(Reinforcements[[#Headers],[Bottom End Connection Type]])-1,FALSE),IF(CK83,VLOOKUP(BR83,Reinforcements[],COLUMN(Reinforcements[[#Headers],[Top End Connection Type]])-1,FALSE),""))</f>
        <v>#VALUE!</v>
      </c>
      <c r="CM83" s="449" t="e">
        <f>IF(ISBLANK(VLOOKUP(BR83,Reinforcements[],COLUMN(Reinforcements[[#Headers],[Bottom Transverse Weld Length]])-1,FALSE)),"",(VLOOKUP(BR83,Reinforcements[],COLUMN(Reinforcements[[#Headers],[Bottom Transverse Weld Length]])-1,FALSE)))</f>
        <v>#N/A</v>
      </c>
      <c r="CN83" s="449" t="e">
        <f>IF(ISBLANK(VLOOKUP(BR83,Reinforcements[],COLUMN(Reinforcements[[#Headers],[Bottom Transverse (Horizontal) Weld]])-1,FALSE)),"",(VLOOKUP(BR83,Reinforcements[],COLUMN(Reinforcements[[#Headers],[Bottom Transverse (Horizontal) Weld]])-1,FALSE)))</f>
        <v>#N/A</v>
      </c>
      <c r="CO83" s="449" t="e">
        <f>IF(ISBLANK(VLOOKUP(BR83,Reinforcements[],COLUMN(Reinforcements[[#Headers],[Bottom Longitudinal Weld Length]])-1,FALSE)),"",(VLOOKUP(BR83,Reinforcements[],COLUMN(Reinforcements[[#Headers],[Bottom Longitudinal Weld Length]])-1,FALSE)))</f>
        <v>#N/A</v>
      </c>
      <c r="CP83" s="449" t="str">
        <f>IFERROR(VLOOKUP(BR83,Reinforcements[],COLUMN(Reinforcements[[#Headers],[Bottom Connected to Flange/Base Plate?]])-1,FALSE),"")</f>
        <v/>
      </c>
      <c r="CQ83" s="369" t="e">
        <f>IF(Rev="F",VLOOKUP(BR83,Reinforcements[],COLUMN(Reinforcements[[#Headers],[Rev. F Bottom Transverse Weld Strength]])-1,FALSE),VLOOKUP(BR83,Reinforcements[],COLUMN(Reinforcements[[#Headers],[Rev. G Bottom Transverse Weld Strength]])-1,FALSE))</f>
        <v>#N/A</v>
      </c>
      <c r="CR83" s="369" t="e">
        <f>IF(CP83="Yes",IF(CN83="Fillet",VLOOKUP(BR83,Reinforcements[],COLUMN(Reinforcements[[#Headers],[Bottom Transverse Weld Fillet Size (in)]])-1,FALSE)*CM83*MIN(IF(Rev="F",0.4,φ_shear_yield*0.6)*CG83,IF(Rev="F",0.3,φ_shear_rupture*0.6)*CH83),VLOOKUP(BR83,Reinforcements[],COLUMN(Reinforcements[[#Headers],[Bottom Transverse Weld Groove Depth (in)]])-1,FALSE)/COS(RADIANS(VLOOKUP(BR83,Reinforcements[],COLUMN(Reinforcements[[#Headers],[Bottom Transverse Weld Groove Angle (degrees)]])-1,FALSE)))*CM83*IF(Rev="F",0.6,φ_t_y)*CG83),VLOOKUP(BR83,Reinforcements[],COLUMN(Reinforcements[[#Headers],[Bottom Transverse Weld Fillet Size (in)]])-1,FALSE)*CM83*IF(Rev="F",0.6,φ_t_y)*CG83)</f>
        <v>#N/A</v>
      </c>
      <c r="CS83" s="369" t="str">
        <f>IF(CP83&lt;&gt;"Yes","",(VLOOKUP(BR83,Reinforcements[],COLUMN(Reinforcements[[#Headers],[Bottom Transverse Weld Groove Depth (in)]])-1,FALSE)+VLOOKUP(BR83,Reinforcements[],COLUMN(Reinforcements[[#Headers],[Bottom Transverse Weld Fillet Size (in)]])-1,FALSE))*CM83*IF(Rev="F",0.6,φ_t_y)*$D$14)</f>
        <v/>
      </c>
      <c r="CT83" s="369" t="e">
        <f>IF(CP83="Yes","",VLOOKUP(BR83,Reinforcements[],COLUMN(Reinforcements[[#Headers],[Bottom Transverse Weld Fillet Size (in)]])-1,FALSE)*CM83*MIN(IF(Rev="F",0.4,φ_shear_yield*0.6)*$D$6,IF(Rev="F",0.3,φ_shear_rupture*0.6)*$D$7))</f>
        <v>#N/A</v>
      </c>
      <c r="CU83" s="369" t="e">
        <f>IF(Rev="F",VLOOKUP(BR83,Reinforcements[],COLUMN(Reinforcements[[#Headers],[Rev. F Bottom Longitudinal Weld Strength]])-1,FALSE),VLOOKUP(BR83,Reinforcements[],COLUMN(Reinforcements[[#Headers],[Rev. G Bottom Longitudinal Weld Strength]])-1,FALSE))</f>
        <v>#N/A</v>
      </c>
      <c r="CV83" s="369" t="e">
        <f>2*VLOOKUP(BR83,Reinforcements[],COLUMN(Reinforcements[[#Headers],[Bottom Longitudinal Weld Fillet Size (in)]])-1,FALSE)*CO83*MIN(IF(Rev="F",0.4,φ_shear_yield*0.6)*CG83,IF(Rev="F",0.3,φ_shear_rupture*0.6)*CH83)</f>
        <v>#N/A</v>
      </c>
      <c r="CW83" s="369" t="e">
        <f>2*VLOOKUP(BR83,Reinforcements[],COLUMN(Reinforcements[[#Headers],[Bottom Longitudinal Weld Fillet Size (in)]])-1,FALSE)*CO83*MIN(IF(Rev="F",0.4,φ_shear_yield*0.6)*$D$6,IF(Rev="F",0.3,φ_shear_rupture*0.6)*$D$7)</f>
        <v>#N/A</v>
      </c>
      <c r="CX83" s="451" t="e">
        <f>IF(ISBLANK(VLOOKUP(BR83,Reinforcements[],COLUMN(Reinforcements[[#Headers],[Top Transverse Weld Length]])-1,FALSE)),"",(VLOOKUP(BR83,Reinforcements[],COLUMN(Reinforcements[[#Headers],[Top Transverse Weld Length]])-1,FALSE)))</f>
        <v>#N/A</v>
      </c>
      <c r="CY83" s="451" t="e">
        <f>IF(ISBLANK(VLOOKUP(BR83,Reinforcements[],COLUMN(Reinforcements[[#Headers],[Top Transverse (Horizontal) Weld]])-1,FALSE)),"",(VLOOKUP(BR83,Reinforcements[],COLUMN(Reinforcements[[#Headers],[Top Transverse (Horizontal) Weld]])-1,FALSE)))</f>
        <v>#N/A</v>
      </c>
      <c r="CZ83" s="451" t="e">
        <f>IF(ISBLANK(VLOOKUP(BR83,Reinforcements[],COLUMN(Reinforcements[[#Headers],[Top Longitudinal Weld Length]])-1,FALSE)),"",(VLOOKUP(BR83,Reinforcements[],COLUMN(Reinforcements[[#Headers],[Top Longitudinal Weld Length]])-1,FALSE)))</f>
        <v>#N/A</v>
      </c>
      <c r="DA83" s="369" t="str">
        <f>IFERROR(VLOOKUP(BR83,Reinforcements[],COLUMN(Reinforcements[[#Headers],[Top Connected to Flange/Base Plate?]])-1,FALSE),"")</f>
        <v/>
      </c>
      <c r="DB83" s="369" t="e">
        <f>IF(Rev="F",VLOOKUP(BR83,Reinforcements[],COLUMN(Reinforcements[[#Headers],[Rev. F Top Transverse Weld Strength]])-1,FALSE),VLOOKUP(BR83,Reinforcements[],COLUMN(Reinforcements[[#Headers],[Rev. G Top Transverse Weld Strength]])-1,FALSE))</f>
        <v>#N/A</v>
      </c>
      <c r="DC83" s="369" t="e">
        <f>IF(DA83="Yes",IF(CY83="Fillet",VLOOKUP(BR83,Reinforcements[],COLUMN(Reinforcements[[#Headers],[Top Transverse Weld Fillet Size (in)]])-1,FALSE)*CX83*MIN(IF(Rev="F",0.4,φ_shear_yield*0.6)*CG83,IF(Rev="F",0.3,φ_shear_rupture*0.6)*CH83),VLOOKUP(BR83,Reinforcements[],COLUMN(Reinforcements[[#Headers],[Top Transverse Weld Groove Depth (in)]])-1,FALSE)/COS(RADIANS(VLOOKUP(BR83,Reinforcements[],COLUMN(Reinforcements[[#Headers],[Top Transverse Weld Groove Angle (degrees)]])-1,FALSE)))*CX83*IF(Rev="F",0.6,φ_t_y)*CG83),VLOOKUP(BR83,Reinforcements[],COLUMN(Reinforcements[[#Headers],[Top Transverse Weld Fillet Size (in)]])-1,FALSE)*CX83*IF(Rev="F",0.6,φ_t_y)*CG83)</f>
        <v>#N/A</v>
      </c>
      <c r="DD83" s="369" t="str">
        <f>IF(DA83&lt;&gt;"Yes","",(VLOOKUP(BR83,Reinforcements[],COLUMN(Reinforcements[[#Headers],[Top Transverse Weld Groove Depth (in)]])-1,FALSE)+VLOOKUP(BR83,Reinforcements[],COLUMN(Reinforcements[[#Headers],[Top Transverse Weld Fillet Size (in)]])-1,FALSE))*CX83*IF(Rev="F",0.6,φ_t_y)*$D$14)</f>
        <v/>
      </c>
      <c r="DE83" s="369" t="e">
        <f>IF(DA83="Yes","",VLOOKUP(BR83,Reinforcements[],COLUMN(Reinforcements[[#Headers],[Top Transverse Weld Fillet Size (in)]])-1,FALSE)*CX83*MIN(IF(Rev="F",0.4,φ_shear_yield*0.6)*$D$6,IF(Rev="F",0.3,φ_shear_rupture*0.6)*$D$7))</f>
        <v>#N/A</v>
      </c>
      <c r="DF83" s="369" t="e">
        <f>IF(Rev="F",VLOOKUP(BR83,Reinforcements[],COLUMN(Reinforcements[[#Headers],[Rev. F Top Longitudinal Weld Strength]])-1,FALSE),VLOOKUP(BR83,Reinforcements[],COLUMN(Reinforcements[[#Headers],[Rev. G Top Longitudinal Weld Strength]])-1,FALSE))</f>
        <v>#N/A</v>
      </c>
      <c r="DG83" s="369" t="e">
        <f>2*VLOOKUP(BR83,Reinforcements[],COLUMN(Reinforcements[[#Headers],[Top Longitudinal Weld Fillet Size (in)]])-1,FALSE)*CZ83*MIN(IF(Rev="F",0.4,φ_shear_yield*0.6)*CG83,IF(Rev="F",0.3,φ_shear_rupture*0.6)*CH83)</f>
        <v>#N/A</v>
      </c>
      <c r="DH83" s="369" t="e">
        <f>2*VLOOKUP(BR83,Reinforcements[],COLUMN(Reinforcements[[#Headers],[Top Longitudinal Weld Fillet Size (in)]])-1,FALSE)*CZ83*MIN(IF(Rev="F",0.4,φ_shear_yield*0.6)*$D$6,IF(Rev="F",0.3,φ_shear_rupture*0.6)*$D$7)</f>
        <v>#N/A</v>
      </c>
      <c r="DI83" s="66" t="e">
        <f>IF(BS83="channel",VLOOKUP(Calculations!BR83,Reinforcements[],COLUMN(Reinforcements[[#Headers],['[Channel']Web Thickness (in)]])-1,FALSE),"")</f>
        <v>#N/A</v>
      </c>
      <c r="DJ83" s="66" t="b">
        <f t="shared" si="126"/>
        <v>0</v>
      </c>
      <c r="DK83" s="66" t="e">
        <f>IF(BS83="channel",Calculations!BU83-DI83,"")</f>
        <v>#N/A</v>
      </c>
      <c r="DL83" s="66" t="e">
        <f>IF(BS83="channel",(Calculations!BY83-Calculations!BT83*DI83)/(2*DK83))</f>
        <v>#N/A</v>
      </c>
      <c r="DM83" s="66" t="e">
        <f>IF(BS83="channel",(Calculations!BT83*(DI83^2)/2+2*DK83*DL83*(DI83+DK83/2))/Calculations!BY83,"")</f>
        <v>#N/A</v>
      </c>
    </row>
    <row r="84" spans="2:117" ht="15" x14ac:dyDescent="0.25">
      <c r="B84" s="66" t="str">
        <f t="shared" si="70"/>
        <v/>
      </c>
      <c r="C84" s="317">
        <v>6</v>
      </c>
      <c r="D84" s="380" t="str">
        <f>IF(BQ84="","",IF($D$8=0,IF(OR(VLOOKUP(BQ84,Input!$B$21:$AL$50,19+C84,FALSE)+$D$5=0,VLOOKUP(BQ84,Input!$B$21:$AL$50,19+C84,FALSE)+$D$5=180),VLOOKUP(BQ84,Input!$B$21:$AL$50,19+C84,FALSE)+$D$5+0.0001,VLOOKUP(BQ84,Input!$B$21:$AL$50,19+C84,FALSE)+$D$5),IF(VLOOKUP(BQ84,Input!$B$21:$AL$50,19+C84,FALSE)="c",VLOOKUP($C84,$C$40:$E$57,2,FALSE)+180/$D$8,VLOOKUP($C84,$C$40:$E$57,2,FALSE))))</f>
        <v/>
      </c>
      <c r="E84" s="370" t="str">
        <f t="shared" si="110"/>
        <v/>
      </c>
      <c r="F84" s="381" t="str">
        <f>IF(BR84="","",VLOOKUP(BR84,Reinforcements[],COLUMN(Reinforcements[[#Headers],[Gross Area (in2)]])-1,FALSE))</f>
        <v/>
      </c>
      <c r="G84" s="378" t="e">
        <f>(IF(VLOOKUP(BQ84,Input!$B$21:$AL$50,19+C84,FALSE)="c",$D$20/COS(RADIANS(180/$D$8)),$D$20)+CA84)*SIN(RADIANS(D84))-IF(AND(ISNUMBER(VLOOKUP(BQ84,Input!$B$21:$AL$50,19+C84,FALSE)),$D$8&lt;&gt;0),VLOOKUP(BQ84,Input!$B$21:$AL$50,19+C84,FALSE)*COS(RADIANS(D84)),0)</f>
        <v>#N/A</v>
      </c>
      <c r="H84" s="373" t="str">
        <f t="shared" si="111"/>
        <v/>
      </c>
      <c r="I84" s="373" t="e">
        <f t="shared" si="86"/>
        <v>#N/A</v>
      </c>
      <c r="J84" s="373" t="e">
        <f t="shared" si="112"/>
        <v>#N/A</v>
      </c>
      <c r="K84" s="373" t="e">
        <f t="shared" si="113"/>
        <v>#N/A</v>
      </c>
      <c r="L84" s="373" t="e">
        <f t="shared" si="114"/>
        <v>#N/A</v>
      </c>
      <c r="M84" s="374" t="str">
        <f t="shared" si="115"/>
        <v/>
      </c>
      <c r="N84" s="372" t="str">
        <f>IFERROR((IF(VLOOKUP(BQ84,Input!$B$21:$AL$50,19+C84,FALSE)="c",$D$20/COS(RADIANS(180/$D$8)),$D$20)+CA84)*SIN(RADIANS(D84))-IF(AND(ISNUMBER(VLOOKUP(BQ84,Input!$B$21:$AL$50,19+C84,FALSE)),$D$8&lt;&gt;0),VLOOKUP(BQ84,Input!$B$21:$AL$50,19+C84,FALSE)*COS(RADIANS(D84)),0)-$D$35,"")</f>
        <v/>
      </c>
      <c r="O84" s="373" t="str">
        <f t="shared" si="87"/>
        <v/>
      </c>
      <c r="P84" s="373" t="str">
        <f t="shared" si="88"/>
        <v/>
      </c>
      <c r="Q84" s="373" t="str">
        <f t="shared" si="89"/>
        <v/>
      </c>
      <c r="R84" s="374" t="str">
        <f t="shared" si="90"/>
        <v/>
      </c>
      <c r="S84" s="373" t="str">
        <f t="shared" si="91"/>
        <v/>
      </c>
      <c r="T84" s="373" t="str">
        <f t="shared" si="92"/>
        <v/>
      </c>
      <c r="U84" s="373" t="str">
        <f t="shared" si="93"/>
        <v/>
      </c>
      <c r="V84" s="374" t="str">
        <f t="shared" si="94"/>
        <v/>
      </c>
      <c r="W84" s="482" t="str">
        <f>IFERROR(IF('Macro References'!$A$9,IF(AND(Calculations!CK84,CL84="Bolted"),VLOOKUP($BR84,Reinforcements[],COLUMN(IF(Rev="F",Reinforcements[[#Headers],[Rev. F Bolt Shear Capacity   (Top)        (kips)]],IF(Rev="G",Reinforcements[[#Headers],[Rev. G Bolt Shear Capacity (Top)     (kips)]],Reinforcements[[#Headers],[Rev. H Bolt Shear Capacity (Top) (kips)]])))-1,FALSE),IF(AND(Calculations!CJ84,CL84="Bolted"),VLOOKUP($BR84,Reinforcements[],COLUMN(IF(Rev="F",Reinforcements[[#Headers],[Rev. F Bolt Shear Capacity (Bottom)   (kips)]],IF(Rev="G",Reinforcements[[#Headers],[Rev. G Bolt Shear Capacity (Bottom) (kips)]],Reinforcements[[#Headers],[Rev. H Bolt Shear Capacity (Bottom) (kips)]])))-1,FALSE),"")),""),"")</f>
        <v/>
      </c>
      <c r="X84" s="483" t="str">
        <f>IFERROR(IF('Macro References'!$A$9,IF('Macro References'!$A$10,IF(AND(Calculations!CK84,CL84="Bolted"),VLOOKUP($BR84,Reinforcements[],COLUMN(IF(Rev="F",Reinforcements[[#Headers],[Rev.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kips)]])))-1,FALSE),IF(AND(Calculations!CJ84,CL84="Bolted"),VLOOKUP($BR84,Reinforcements[],COLUMN(IF(Rev="F",Reinforcements[[#Headers],[Rev.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kips)]])))-1,FALSE),"")),IF(AND(Calculations!CK84,CL84="Bolted"),VLOOKUP($BR84,Reinforcements[],COLUMN(IF(Rev="F",Reinforcements[[#Headers],[Rev.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kips)]])))-1,FALSE),IF(AND(Calculations!CJ84,CL84="Bolted"),VLOOKUP($BR84,Reinforcements[],COLUMN(IF(Rev="F",Reinforcements[[#Headers],[Rev.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4" s="483" t="str">
        <f>IFERROR(IF('Macro References'!$A$9,IF('Macro References'!$A$10,IF(AND(Calculations!CK84,CL84="Bolted"),VLOOKUP($BR84,Reinforcements[],COLUMN(IF(Rev="F",Reinforcements[[#Headers],[Rev.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(kips)]])))-1,FALSE),IF(AND(Calculations!CJ84,CL84="Bolted"),VLOOKUP($BR84,Reinforcements[],COLUMN(IF(Rev="F",Reinforcements[[#Headers],[Rev.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(kips)]])))-1,FALSE),"")),IF(AND(Calculations!CK84,CL84="Bolted"),VLOOKUP($BR84,Reinforcements[],COLUMN(IF(Rev="F",Reinforcements[[#Headers],[Rev.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(kips)]])))-1,FALSE),IF(AND(Calculations!CJ84,CL84="Bolted"),VLOOKUP($BR84,Reinforcements[],COLUMN(IF(Rev="F",Reinforcements[[#Headers],[Rev.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4" s="483" t="str">
        <f>IFERROR(IF('Macro References'!$A$9,IF(AND(CJ84,CL84="Welded"),MIN(CQ84:CT84),IF(AND(CK84,CL84="Welded"),MIN(DB84:DE84),"")),""),"")</f>
        <v/>
      </c>
      <c r="AA84" s="484" t="str">
        <f>IFERROR(IF('Macro References'!$A$9,IF(AND(CJ84,CL84="Welded"),MIN(CU84:CW84),IF(AND(CK84,CL84="Welded"),MIN(DF84:DH84),"")),""),"")</f>
        <v/>
      </c>
      <c r="AB84" s="484" t="str">
        <f>IFERROR(IF('Macro References'!$A$9,IF(AND(CJ84,CL84="Welded",CN84="Fillet",CU84&gt;0),TRUE,IF(AND(CK84,CL84="Welded",CY84="Fillet",DF84&gt;0),TRUE,"")),""),"")</f>
        <v/>
      </c>
      <c r="AC84" s="484" t="e">
        <f>IF('Macro References'!$A$9,IF(AND(CJ84,CL84="Capacity Input"),IF(Rev="F",VLOOKUP(BR84,Reinforcements[],COLUMN(Reinforcements[[#Headers],[Rev. F Bottom Connection Capacity (kips)]])-1,FALSE),IF(Rev="G",VLOOKUP(BR84,Reinforcements[],COLUMN(Reinforcements[[#Headers],[Rev. G Bottom Connection Capacity (kips)]])-1,FALSE),VLOOKUP(BR84,Reinforcements[],COLUMN(Reinforcements[[#Headers],[Rev. H Bottom Connection Capacity (kips)]])-1,FALSE))),IF(AND(CK84,CL84="Capacity Input"),IF(Rev="F",VLOOKUP(BR84,Reinforcements[],COLUMN(Reinforcements[[#Headers],[Rev. F Top Connection Capacity (kips)]])-1,FALSE),IF(Rev="G",VLOOKUP(BR84,Reinforcements[],COLUMN(Reinforcements[[#Headers],[Rev. G Top Connection Capacity (kips)]])-1,FALSE),VLOOKUP(BR84,Reinforcements[],COLUMN(Reinforcements[[#Headers],[Rev. H Top Connection Capacity (kips)]])-1,FALSE))),"")),"")</f>
        <v>#VALUE!</v>
      </c>
      <c r="AD84" s="484" t="str">
        <f>IFERROR(IF(Rev="F",MIN(VLOOKUP(BR84,Reinforcements[],COLUMN(Reinforcements[[#Headers],[Rev. F Compression Capacity x-x (kips)]])-1,FALSE),VLOOKUP(BR84,Reinforcements[],COLUMN(Reinforcements[[#Headers],[Rev. F Compression Capacity y-y (kips)]])-1,FALSE)),IF(Rev="G",MIN(VLOOKUP(BR84,Reinforcements[],COLUMN(Reinforcements[[#Headers],[Rev. G Compression Capacity x-x (kips)]])-1,FALSE),VLOOKUP(BR84,Reinforcements[],COLUMN(Reinforcements[[#Headers],[Rev. G Compression Capacity y-y (kips)]])-1,FALSE)),MIN(VLOOKUP(BR84,Reinforcements[],COLUMN(Reinforcements[[#Headers],[Rev. H Compression Capacity x-x (kips)]])-1,FALSE),VLOOKUP(BR84,Reinforcements[],COLUMN(Reinforcements[[#Headers],[Rev. H Compression Capacity y-y (kips)]])-1,FALSE)))),"")</f>
        <v/>
      </c>
      <c r="AE84" s="485" t="str">
        <f>IFERROR(IF(Rev="F",VLOOKUP(BR84,Reinforcements[],COLUMN(Reinforcements[[#Headers],[Rev. F Shear Capacity (kips)]])-1,FALSE)/BY84,IF(Rev="G",VLOOKUP(Calculations!BR84,Reinforcements[],COLUMN(Reinforcements[[#Headers],[Rev. G Shear Capacity (kips)]])-1,FALSE),VLOOKUP(Calculations!BR84,Reinforcements[],COLUMN(Reinforcements[[#Headers],[Rev. H Shear Capacity (kips)]])-1,FALSE))),"")</f>
        <v/>
      </c>
      <c r="AF84" s="451" t="str">
        <f>IFERROR(IF(Rev="F",VLOOKUP(BR84,Reinforcements[],COLUMN(Reinforcements[[#Headers],[Rev. F Tension Yield Capacity (kips)]])-1,FALSE),IF(Rev="G",VLOOKUP(Calculations!BR84,Reinforcements[],COLUMN(Reinforcements[[#Headers],[Rev. G Tension Yield Capacity (kips)]])-1,FALSE),VLOOKUP(Calculations!BR84,Reinforcements[],COLUMN(Reinforcements[[#Headers],[Rev. H Tension Yield Capacity (kips)]])-1,FALSE))),"")</f>
        <v/>
      </c>
      <c r="AG84" s="486" t="str">
        <f>IFERROR(IF(Rev="F",VLOOKUP(BR84,Reinforcements[],COLUMN(Reinforcements[[#Headers],[Rev. F Tension Rupture Capacity (kips)]])-1,FALSE),IF(Rev="G",VLOOKUP(Calculations!BR84,Reinforcements[],COLUMN(Reinforcements[[#Headers],[Rev. G Tension Rupture Capacity (kips)]])-1,FALSE),VLOOKUP(Calculations!BR84,Reinforcements[],COLUMN(Reinforcements[[#Headers],[Rev. H Tension Rupture Capacity (kips)]])-1, FALSE))),"")</f>
        <v/>
      </c>
      <c r="AH84" s="409" t="str">
        <f t="shared" si="95"/>
        <v/>
      </c>
      <c r="AI84" s="380" t="str">
        <f t="shared" si="96"/>
        <v/>
      </c>
      <c r="AJ84" s="380" t="str">
        <f t="shared" si="97"/>
        <v/>
      </c>
      <c r="AK84" s="380" t="str">
        <f t="shared" si="85"/>
        <v/>
      </c>
      <c r="AL84" s="369" t="str">
        <f t="shared" si="78"/>
        <v/>
      </c>
      <c r="AM84" s="380" t="str">
        <f>""</f>
        <v/>
      </c>
      <c r="AN84" s="380" t="str">
        <f t="shared" si="98"/>
        <v/>
      </c>
      <c r="AO84" s="369" t="str">
        <f t="shared" si="99"/>
        <v/>
      </c>
      <c r="AP84" s="410" t="str">
        <f t="shared" si="100"/>
        <v/>
      </c>
      <c r="AQ84" s="411" t="str">
        <f t="shared" si="53"/>
        <v/>
      </c>
      <c r="AR84" s="380" t="str">
        <f>IF(BR84="","",VLOOKUP(VLOOKUP(BR84,Reinforcements[],COLUMN(Reinforcements[[#Headers],[Material]])-1,FALSE),Materials[],2,FALSE)/$D$28)</f>
        <v/>
      </c>
      <c r="AS84" s="369" t="str">
        <f t="shared" si="54"/>
        <v/>
      </c>
      <c r="AT84" s="489" t="str">
        <f t="shared" si="101"/>
        <v/>
      </c>
      <c r="AU84" s="412">
        <f t="shared" si="116"/>
        <v>0</v>
      </c>
      <c r="AV84" s="413">
        <f t="shared" si="117"/>
        <v>0</v>
      </c>
      <c r="AW84" s="413" t="e">
        <f t="shared" si="102"/>
        <v>#N/A</v>
      </c>
      <c r="AX84" s="413" t="e">
        <f t="shared" si="103"/>
        <v>#N/A</v>
      </c>
      <c r="AY84" s="413" t="str">
        <f t="shared" si="104"/>
        <v/>
      </c>
      <c r="AZ84" s="413" t="e">
        <f t="shared" si="105"/>
        <v>#VALUE!</v>
      </c>
      <c r="BA84" s="433" t="str">
        <f t="shared" si="118"/>
        <v/>
      </c>
      <c r="BB84" s="436" t="str">
        <f t="shared" si="119"/>
        <v/>
      </c>
      <c r="BC84" s="437" t="str">
        <f t="shared" si="120"/>
        <v/>
      </c>
      <c r="BD84" s="437" t="str">
        <f t="shared" si="106"/>
        <v/>
      </c>
      <c r="BE84" s="433" t="str">
        <f t="shared" si="121"/>
        <v/>
      </c>
      <c r="BF84" s="438" t="e">
        <f t="shared" si="122"/>
        <v>#DIV/0!</v>
      </c>
      <c r="BG84" s="439" t="str">
        <f t="shared" si="107"/>
        <v/>
      </c>
      <c r="BH84" s="439" t="str">
        <f t="shared" si="108"/>
        <v/>
      </c>
      <c r="BI84" s="433" t="e">
        <f t="shared" si="123"/>
        <v>#DIV/0!</v>
      </c>
      <c r="BJ84" s="438" t="str">
        <f t="shared" si="124"/>
        <v/>
      </c>
      <c r="BK84" s="413" t="e">
        <f t="shared" si="125"/>
        <v>#DIV/0!</v>
      </c>
      <c r="BL84" s="66" t="str">
        <f t="shared" si="68"/>
        <v/>
      </c>
      <c r="BP84" s="30" t="e">
        <f t="shared" si="109"/>
        <v>#DIV/0!</v>
      </c>
      <c r="BQ84" s="444" t="str">
        <f>IFERROR(VALUE(IF(LEN(VLOOKUP(Calculations!$D$4,Results!$G$5:$CM$105,67+$C65,FALSE))-LEN(SUBSTITUTE(VLOOKUP(Calculations!$D$4,Results!$G$5:$CM$105,67+$C65,FALSE),";",""))&gt;1,MID(VLOOKUP(Calculations!$D$4,Results!$G$5:$CM$105,67+$C65,FALSE),FIND(";",VLOOKUP(Calculations!$D$4,Results!$G$5:$CM$105,67+$C65,FALSE))+1,FIND(";",VLOOKUP(Calculations!$D$4,Results!$G$5:$CM$105,67+$C65,FALSE),FIND(";",VLOOKUP(Calculations!$D$4,Results!$G$5:$CM$105,67+$C65,FALSE))+1)-FIND(";",VLOOKUP(Calculations!$D$4,Results!$G$5:$CM$105,67+$C65,FALSE))-1),"")),"")</f>
        <v/>
      </c>
      <c r="BR84" s="444" t="str">
        <f>IF(BQ84="","",VLOOKUP(BQ84,Input!$B$21:$Q$50,13,FALSE))</f>
        <v/>
      </c>
      <c r="BS84" s="369" t="e">
        <f>VLOOKUP(BR84,Reinforcements[],COLUMN(Reinforcements[[#Headers],[Type]])-1,FALSE)</f>
        <v>#N/A</v>
      </c>
      <c r="BT84" s="369" t="e">
        <f>IF(BS84="solid round",VLOOKUP(BR84,Reinforcements[],COLUMN(Reinforcements[[#Headers],[Diameter (in)]])-1,FALSE),VLOOKUP(BR84,Reinforcements[],COLUMN(Reinforcements[[#Headers],[B (in)]])-1,FALSE))</f>
        <v>#N/A</v>
      </c>
      <c r="BU84" s="369" t="e">
        <f>IF(BS84="solid round",VLOOKUP(BR84,Reinforcements[],COLUMN(Reinforcements[[#Headers],[Diameter (in)]])-1,FALSE),VLOOKUP(BR84,Reinforcements[],COLUMN(Reinforcements[[#Headers],[H (in)]])-1,FALSE))</f>
        <v>#N/A</v>
      </c>
      <c r="BV84" s="413" t="e">
        <f>IFERROR((IF(VLOOKUP(BQ84,Input!$B$21:$AL$50,19+C84,FALSE)="c",$D$20/COS(RADIANS(180/$D$8)),$D$20)+BU84/2)*SIN(RADIANS(D84))-IF(ISNUMBER(VLOOKUP(BQ84,Input!$B$21:$AL$50,19+C84,FALSE)),VLOOKUP(BQ84,Input!$B$21:$AL$50,19+C84,FALSE)*COS(RADIANS(D84)),0)-$D$35,"")*0+N84*1</f>
        <v>#VALUE!</v>
      </c>
      <c r="BW84" s="369" t="e">
        <f>VLOOKUP(BR84,Reinforcements[],COLUMN(Reinforcements[[#Headers],[Effective B (in)]])-1,FALSE)</f>
        <v>#N/A</v>
      </c>
      <c r="BX84" s="369" t="e">
        <f>VLOOKUP(BR84,Reinforcements[],COLUMN(Reinforcements[[#Headers],[Effective H (in)]])-1,FALSE)</f>
        <v>#N/A</v>
      </c>
      <c r="BY84" s="369" t="e">
        <f>VLOOKUP(BR84,Reinforcements[],COLUMN(Reinforcements[[#Headers],[Gross Area (in2)]])-1,FALSE)</f>
        <v>#N/A</v>
      </c>
      <c r="BZ84" s="380" t="s">
        <v>335</v>
      </c>
      <c r="CA84" s="369" t="e">
        <f>VLOOKUP(BR84,Reinforcements[],COLUMN(Reinforcements[[#Headers],[Pole Face to Centroid (in)]])-1,FALSE)</f>
        <v>#N/A</v>
      </c>
      <c r="CB84" s="369" t="e">
        <f>VLOOKUP(BR84,Reinforcements[],COLUMN(Reinforcements[[#Headers],[Ix]])-1,FALSE)</f>
        <v>#N/A</v>
      </c>
      <c r="CC84" s="369" t="e">
        <f>VLOOKUP(BR84,Reinforcements[],COLUMN(Reinforcements[[#Headers],[Iy]])-1,FALSE)</f>
        <v>#N/A</v>
      </c>
      <c r="CD84" s="369" t="e">
        <f>VLOOKUP(BR84,Reinforcements[],COLUMN(Reinforcements[[#Headers],[Lu (in)]])-1,FALSE)</f>
        <v>#N/A</v>
      </c>
      <c r="CE84" s="380" t="s">
        <v>335</v>
      </c>
      <c r="CF84" s="380" t="s">
        <v>335</v>
      </c>
      <c r="CG84" s="369" t="e">
        <f>VLOOKUP(VLOOKUP(BR84,Reinforcements[],COLUMN(Reinforcements[[#Headers],[Material]])-1,FALSE),Materials[],2,FALSE)</f>
        <v>#N/A</v>
      </c>
      <c r="CH84" s="369" t="e">
        <f>VLOOKUP(VLOOKUP(BR84,Reinforcements[],COLUMN(Reinforcements[[#Headers],[Material]])-1,FALSE),Materials[],3,FALSE)</f>
        <v>#N/A</v>
      </c>
      <c r="CI84" s="380" t="e">
        <f>VLOOKUP(BR84,Reinforcements[],COLUMN(Reinforcements[[#Headers],[Tension Only?]])-1,FALSE)</f>
        <v>#N/A</v>
      </c>
      <c r="CJ84" s="449" t="str">
        <f>IF(BQ84="","",AND(INDEX(Results!$G$5:$G$104,MATCH(VLOOKUP($BQ84,Input!$B$21:$J$50,2,FALSE)-0.001,Results!$G$5:$G$104,-1))=$D$4))</f>
        <v/>
      </c>
      <c r="CK84" s="449" t="str">
        <f>IF(BQ84="","",AND(INDEX('Macro References'!$BB$2:$BB$101,MATCH(VLOOKUP($BQ84,Input!$B$21:$J$50,6,FALSE)-0.001,'Macro References'!$BB$2:$BB$101,1))=$D$4))</f>
        <v/>
      </c>
      <c r="CL84" s="449" t="e">
        <f>IF(CJ84,VLOOKUP(BR84,Reinforcements[],COLUMN(Reinforcements[[#Headers],[Bottom End Connection Type]])-1,FALSE),IF(CK84,VLOOKUP(BR84,Reinforcements[],COLUMN(Reinforcements[[#Headers],[Top End Connection Type]])-1,FALSE),""))</f>
        <v>#VALUE!</v>
      </c>
      <c r="CM84" s="449" t="e">
        <f>IF(ISBLANK(VLOOKUP(BR84,Reinforcements[],COLUMN(Reinforcements[[#Headers],[Bottom Transverse Weld Length]])-1,FALSE)),"",(VLOOKUP(BR84,Reinforcements[],COLUMN(Reinforcements[[#Headers],[Bottom Transverse Weld Length]])-1,FALSE)))</f>
        <v>#N/A</v>
      </c>
      <c r="CN84" s="449" t="e">
        <f>IF(ISBLANK(VLOOKUP(BR84,Reinforcements[],COLUMN(Reinforcements[[#Headers],[Bottom Transverse (Horizontal) Weld]])-1,FALSE)),"",(VLOOKUP(BR84,Reinforcements[],COLUMN(Reinforcements[[#Headers],[Bottom Transverse (Horizontal) Weld]])-1,FALSE)))</f>
        <v>#N/A</v>
      </c>
      <c r="CO84" s="449" t="e">
        <f>IF(ISBLANK(VLOOKUP(BR84,Reinforcements[],COLUMN(Reinforcements[[#Headers],[Bottom Longitudinal Weld Length]])-1,FALSE)),"",(VLOOKUP(BR84,Reinforcements[],COLUMN(Reinforcements[[#Headers],[Bottom Longitudinal Weld Length]])-1,FALSE)))</f>
        <v>#N/A</v>
      </c>
      <c r="CP84" s="449" t="str">
        <f>IFERROR(VLOOKUP(BR84,Reinforcements[],COLUMN(Reinforcements[[#Headers],[Bottom Connected to Flange/Base Plate?]])-1,FALSE),"")</f>
        <v/>
      </c>
      <c r="CQ84" s="369" t="e">
        <f>IF(Rev="F",VLOOKUP(BR84,Reinforcements[],COLUMN(Reinforcements[[#Headers],[Rev. F Bottom Transverse Weld Strength]])-1,FALSE),VLOOKUP(BR84,Reinforcements[],COLUMN(Reinforcements[[#Headers],[Rev. G Bottom Transverse Weld Strength]])-1,FALSE))</f>
        <v>#N/A</v>
      </c>
      <c r="CR84" s="369" t="e">
        <f>IF(CP84="Yes",IF(CN84="Fillet",VLOOKUP(BR84,Reinforcements[],COLUMN(Reinforcements[[#Headers],[Bottom Transverse Weld Fillet Size (in)]])-1,FALSE)*CM84*MIN(IF(Rev="F",0.4,φ_shear_yield*0.6)*CG84,IF(Rev="F",0.3,φ_shear_rupture*0.6)*CH84),VLOOKUP(BR84,Reinforcements[],COLUMN(Reinforcements[[#Headers],[Bottom Transverse Weld Groove Depth (in)]])-1,FALSE)/COS(RADIANS(VLOOKUP(BR84,Reinforcements[],COLUMN(Reinforcements[[#Headers],[Bottom Transverse Weld Groove Angle (degrees)]])-1,FALSE)))*CM84*IF(Rev="F",0.6,φ_t_y)*CG84),VLOOKUP(BR84,Reinforcements[],COLUMN(Reinforcements[[#Headers],[Bottom Transverse Weld Fillet Size (in)]])-1,FALSE)*CM84*IF(Rev="F",0.6,φ_t_y)*CG84)</f>
        <v>#N/A</v>
      </c>
      <c r="CS84" s="369" t="str">
        <f>IF(CP84&lt;&gt;"Yes","",(VLOOKUP(BR84,Reinforcements[],COLUMN(Reinforcements[[#Headers],[Bottom Transverse Weld Groove Depth (in)]])-1,FALSE)+VLOOKUP(BR84,Reinforcements[],COLUMN(Reinforcements[[#Headers],[Bottom Transverse Weld Fillet Size (in)]])-1,FALSE))*CM84*IF(Rev="F",0.6,φ_t_y)*$D$14)</f>
        <v/>
      </c>
      <c r="CT84" s="369" t="e">
        <f>IF(CP84="Yes","",VLOOKUP(BR84,Reinforcements[],COLUMN(Reinforcements[[#Headers],[Bottom Transverse Weld Fillet Size (in)]])-1,FALSE)*CM84*MIN(IF(Rev="F",0.4,φ_shear_yield*0.6)*$D$6,IF(Rev="F",0.3,φ_shear_rupture*0.6)*$D$7))</f>
        <v>#N/A</v>
      </c>
      <c r="CU84" s="369" t="e">
        <f>IF(Rev="F",VLOOKUP(BR84,Reinforcements[],COLUMN(Reinforcements[[#Headers],[Rev. F Bottom Longitudinal Weld Strength]])-1,FALSE),VLOOKUP(BR84,Reinforcements[],COLUMN(Reinforcements[[#Headers],[Rev. G Bottom Longitudinal Weld Strength]])-1,FALSE))</f>
        <v>#N/A</v>
      </c>
      <c r="CV84" s="369" t="e">
        <f>2*VLOOKUP(BR84,Reinforcements[],COLUMN(Reinforcements[[#Headers],[Bottom Longitudinal Weld Fillet Size (in)]])-1,FALSE)*CO84*MIN(IF(Rev="F",0.4,φ_shear_yield*0.6)*CG84,IF(Rev="F",0.3,φ_shear_rupture*0.6)*CH84)</f>
        <v>#N/A</v>
      </c>
      <c r="CW84" s="369" t="e">
        <f>2*VLOOKUP(BR84,Reinforcements[],COLUMN(Reinforcements[[#Headers],[Bottom Longitudinal Weld Fillet Size (in)]])-1,FALSE)*CO84*MIN(IF(Rev="F",0.4,φ_shear_yield*0.6)*$D$6,IF(Rev="F",0.3,φ_shear_rupture*0.6)*$D$7)</f>
        <v>#N/A</v>
      </c>
      <c r="CX84" s="451" t="e">
        <f>IF(ISBLANK(VLOOKUP(BR84,Reinforcements[],COLUMN(Reinforcements[[#Headers],[Top Transverse Weld Length]])-1,FALSE)),"",(VLOOKUP(BR84,Reinforcements[],COLUMN(Reinforcements[[#Headers],[Top Transverse Weld Length]])-1,FALSE)))</f>
        <v>#N/A</v>
      </c>
      <c r="CY84" s="451" t="e">
        <f>IF(ISBLANK(VLOOKUP(BR84,Reinforcements[],COLUMN(Reinforcements[[#Headers],[Top Transverse (Horizontal) Weld]])-1,FALSE)),"",(VLOOKUP(BR84,Reinforcements[],COLUMN(Reinforcements[[#Headers],[Top Transverse (Horizontal) Weld]])-1,FALSE)))</f>
        <v>#N/A</v>
      </c>
      <c r="CZ84" s="451" t="e">
        <f>IF(ISBLANK(VLOOKUP(BR84,Reinforcements[],COLUMN(Reinforcements[[#Headers],[Top Longitudinal Weld Length]])-1,FALSE)),"",(VLOOKUP(BR84,Reinforcements[],COLUMN(Reinforcements[[#Headers],[Top Longitudinal Weld Length]])-1,FALSE)))</f>
        <v>#N/A</v>
      </c>
      <c r="DA84" s="369" t="str">
        <f>IFERROR(VLOOKUP(BR84,Reinforcements[],COLUMN(Reinforcements[[#Headers],[Top Connected to Flange/Base Plate?]])-1,FALSE),"")</f>
        <v/>
      </c>
      <c r="DB84" s="369" t="e">
        <f>IF(Rev="F",VLOOKUP(BR84,Reinforcements[],COLUMN(Reinforcements[[#Headers],[Rev. F Top Transverse Weld Strength]])-1,FALSE),VLOOKUP(BR84,Reinforcements[],COLUMN(Reinforcements[[#Headers],[Rev. G Top Transverse Weld Strength]])-1,FALSE))</f>
        <v>#N/A</v>
      </c>
      <c r="DC84" s="369" t="e">
        <f>IF(DA84="Yes",IF(CY84="Fillet",VLOOKUP(BR84,Reinforcements[],COLUMN(Reinforcements[[#Headers],[Top Transverse Weld Fillet Size (in)]])-1,FALSE)*CX84*MIN(IF(Rev="F",0.4,φ_shear_yield*0.6)*CG84,IF(Rev="F",0.3,φ_shear_rupture*0.6)*CH84),VLOOKUP(BR84,Reinforcements[],COLUMN(Reinforcements[[#Headers],[Top Transverse Weld Groove Depth (in)]])-1,FALSE)/COS(RADIANS(VLOOKUP(BR84,Reinforcements[],COLUMN(Reinforcements[[#Headers],[Top Transverse Weld Groove Angle (degrees)]])-1,FALSE)))*CX84*IF(Rev="F",0.6,φ_t_y)*CG84),VLOOKUP(BR84,Reinforcements[],COLUMN(Reinforcements[[#Headers],[Top Transverse Weld Fillet Size (in)]])-1,FALSE)*CX84*IF(Rev="F",0.6,φ_t_y)*CG84)</f>
        <v>#N/A</v>
      </c>
      <c r="DD84" s="369" t="str">
        <f>IF(DA84&lt;&gt;"Yes","",(VLOOKUP(BR84,Reinforcements[],COLUMN(Reinforcements[[#Headers],[Top Transverse Weld Groove Depth (in)]])-1,FALSE)+VLOOKUP(BR84,Reinforcements[],COLUMN(Reinforcements[[#Headers],[Top Transverse Weld Fillet Size (in)]])-1,FALSE))*CX84*IF(Rev="F",0.6,φ_t_y)*$D$14)</f>
        <v/>
      </c>
      <c r="DE84" s="369" t="e">
        <f>IF(DA84="Yes","",VLOOKUP(BR84,Reinforcements[],COLUMN(Reinforcements[[#Headers],[Top Transverse Weld Fillet Size (in)]])-1,FALSE)*CX84*MIN(IF(Rev="F",0.4,φ_shear_yield*0.6)*$D$6,IF(Rev="F",0.3,φ_shear_rupture*0.6)*$D$7))</f>
        <v>#N/A</v>
      </c>
      <c r="DF84" s="369" t="e">
        <f>IF(Rev="F",VLOOKUP(BR84,Reinforcements[],COLUMN(Reinforcements[[#Headers],[Rev. F Top Longitudinal Weld Strength]])-1,FALSE),VLOOKUP(BR84,Reinforcements[],COLUMN(Reinforcements[[#Headers],[Rev. G Top Longitudinal Weld Strength]])-1,FALSE))</f>
        <v>#N/A</v>
      </c>
      <c r="DG84" s="369" t="e">
        <f>2*VLOOKUP(BR84,Reinforcements[],COLUMN(Reinforcements[[#Headers],[Top Longitudinal Weld Fillet Size (in)]])-1,FALSE)*CZ84*MIN(IF(Rev="F",0.4,φ_shear_yield*0.6)*CG84,IF(Rev="F",0.3,φ_shear_rupture*0.6)*CH84)</f>
        <v>#N/A</v>
      </c>
      <c r="DH84" s="369" t="e">
        <f>2*VLOOKUP(BR84,Reinforcements[],COLUMN(Reinforcements[[#Headers],[Top Longitudinal Weld Fillet Size (in)]])-1,FALSE)*CZ84*MIN(IF(Rev="F",0.4,φ_shear_yield*0.6)*$D$6,IF(Rev="F",0.3,φ_shear_rupture*0.6)*$D$7)</f>
        <v>#N/A</v>
      </c>
      <c r="DI84" s="66" t="e">
        <f>IF(BS84="channel",VLOOKUP(Calculations!BR84,Reinforcements[],COLUMN(Reinforcements[[#Headers],['[Channel']Web Thickness (in)]])-1,FALSE),"")</f>
        <v>#N/A</v>
      </c>
      <c r="DJ84" s="66" t="b">
        <f t="shared" si="126"/>
        <v>0</v>
      </c>
      <c r="DK84" s="66" t="e">
        <f>IF(BS84="channel",Calculations!BU84-DI84,"")</f>
        <v>#N/A</v>
      </c>
      <c r="DL84" s="66" t="e">
        <f>IF(BS84="channel",(Calculations!BY84-Calculations!BT84*DI84)/(2*DK84))</f>
        <v>#N/A</v>
      </c>
      <c r="DM84" s="66" t="e">
        <f>IF(BS84="channel",(Calculations!BT84*(DI84^2)/2+2*DK84*DL84*(DI84+DK84/2))/Calculations!BY84,"")</f>
        <v>#N/A</v>
      </c>
    </row>
    <row r="85" spans="2:117" ht="15" x14ac:dyDescent="0.25">
      <c r="B85" s="66" t="str">
        <f t="shared" si="70"/>
        <v/>
      </c>
      <c r="C85" s="317">
        <v>7</v>
      </c>
      <c r="D85" s="380" t="str">
        <f>IF(BQ85="","",IF($D$8=0,IF(OR(VLOOKUP(BQ85,Input!$B$21:$AL$50,19+C85,FALSE)+$D$5=0,VLOOKUP(BQ85,Input!$B$21:$AL$50,19+C85,FALSE)+$D$5=180),VLOOKUP(BQ85,Input!$B$21:$AL$50,19+C85,FALSE)+$D$5+0.0001,VLOOKUP(BQ85,Input!$B$21:$AL$50,19+C85,FALSE)+$D$5),IF(VLOOKUP(BQ85,Input!$B$21:$AL$50,19+C85,FALSE)="c",VLOOKUP($C85,$C$40:$E$57,2,FALSE)+180/$D$8,VLOOKUP($C85,$C$40:$E$57,2,FALSE))))</f>
        <v/>
      </c>
      <c r="E85" s="370" t="str">
        <f t="shared" si="110"/>
        <v/>
      </c>
      <c r="F85" s="381" t="str">
        <f>IF(BR85="","",VLOOKUP(BR85,Reinforcements[],COLUMN(Reinforcements[[#Headers],[Gross Area (in2)]])-1,FALSE))</f>
        <v/>
      </c>
      <c r="G85" s="378" t="e">
        <f>(IF(VLOOKUP(BQ85,Input!$B$21:$AL$50,19+C85,FALSE)="c",$D$20/COS(RADIANS(180/$D$8)),$D$20)+CA85)*SIN(RADIANS(D85))-IF(AND(ISNUMBER(VLOOKUP(BQ85,Input!$B$21:$AL$50,19+C85,FALSE)),$D$8&lt;&gt;0),VLOOKUP(BQ85,Input!$B$21:$AL$50,19+C85,FALSE)*COS(RADIANS(D85)),0)</f>
        <v>#N/A</v>
      </c>
      <c r="H85" s="373" t="str">
        <f t="shared" si="111"/>
        <v/>
      </c>
      <c r="I85" s="373" t="e">
        <f t="shared" si="86"/>
        <v>#N/A</v>
      </c>
      <c r="J85" s="373" t="e">
        <f t="shared" si="112"/>
        <v>#N/A</v>
      </c>
      <c r="K85" s="373" t="e">
        <f t="shared" si="113"/>
        <v>#N/A</v>
      </c>
      <c r="L85" s="373" t="e">
        <f t="shared" si="114"/>
        <v>#N/A</v>
      </c>
      <c r="M85" s="374" t="str">
        <f t="shared" si="115"/>
        <v/>
      </c>
      <c r="N85" s="372" t="str">
        <f>IFERROR((IF(VLOOKUP(BQ85,Input!$B$21:$AL$50,19+C85,FALSE)="c",$D$20/COS(RADIANS(180/$D$8)),$D$20)+CA85)*SIN(RADIANS(D85))-IF(AND(ISNUMBER(VLOOKUP(BQ85,Input!$B$21:$AL$50,19+C85,FALSE)),$D$8&lt;&gt;0),VLOOKUP(BQ85,Input!$B$21:$AL$50,19+C85,FALSE)*COS(RADIANS(D85)),0)-$D$35,"")</f>
        <v/>
      </c>
      <c r="O85" s="373" t="str">
        <f t="shared" si="87"/>
        <v/>
      </c>
      <c r="P85" s="373" t="str">
        <f t="shared" si="88"/>
        <v/>
      </c>
      <c r="Q85" s="373" t="str">
        <f t="shared" si="89"/>
        <v/>
      </c>
      <c r="R85" s="374" t="str">
        <f t="shared" si="90"/>
        <v/>
      </c>
      <c r="S85" s="373" t="str">
        <f t="shared" si="91"/>
        <v/>
      </c>
      <c r="T85" s="373" t="str">
        <f t="shared" si="92"/>
        <v/>
      </c>
      <c r="U85" s="373" t="str">
        <f t="shared" si="93"/>
        <v/>
      </c>
      <c r="V85" s="374" t="str">
        <f t="shared" si="94"/>
        <v/>
      </c>
      <c r="W85" s="482" t="str">
        <f>IFERROR(IF('Macro References'!$A$9,IF(AND(Calculations!CK85,CL85="Bolted"),VLOOKUP($BR85,Reinforcements[],COLUMN(IF(Rev="F",Reinforcements[[#Headers],[Rev. F Bolt Shear Capacity   (Top)        (kips)]],IF(Rev="G",Reinforcements[[#Headers],[Rev. G Bolt Shear Capacity (Top)     (kips)]],Reinforcements[[#Headers],[Rev. H Bolt Shear Capacity (Top) (kips)]])))-1,FALSE),IF(AND(Calculations!CJ85,CL85="Bolted"),VLOOKUP($BR85,Reinforcements[],COLUMN(IF(Rev="F",Reinforcements[[#Headers],[Rev. F Bolt Shear Capacity (Bottom)   (kips)]],IF(Rev="G",Reinforcements[[#Headers],[Rev. G Bolt Shear Capacity (Bottom) (kips)]],Reinforcements[[#Headers],[Rev. H Bolt Shear Capacity (Bottom) (kips)]])))-1,FALSE),"")),""),"")</f>
        <v/>
      </c>
      <c r="X85" s="483" t="str">
        <f>IFERROR(IF('Macro References'!$A$9,IF('Macro References'!$A$10,IF(AND(Calculations!CK85,CL85="Bolted"),VLOOKUP($BR85,Reinforcements[],COLUMN(IF(Rev="F",Reinforcements[[#Headers],[Rev.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kips)]])))-1,FALSE),IF(AND(Calculations!CJ85,CL85="Bolted"),VLOOKUP($BR85,Reinforcements[],COLUMN(IF(Rev="F",Reinforcements[[#Headers],[Rev.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kips)]])))-1,FALSE),"")),IF(AND(Calculations!CK85,CL85="Bolted"),VLOOKUP($BR85,Reinforcements[],COLUMN(IF(Rev="F",Reinforcements[[#Headers],[Rev.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kips)]])))-1,FALSE),IF(AND(Calculations!CJ85,CL85="Bolted"),VLOOKUP($BR85,Reinforcements[],COLUMN(IF(Rev="F",Reinforcements[[#Headers],[Rev.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5" s="483" t="str">
        <f>IFERROR(IF('Macro References'!$A$9,IF('Macro References'!$A$10,IF(AND(Calculations!CK85,CL85="Bolted"),VLOOKUP($BR85,Reinforcements[],COLUMN(IF(Rev="F",Reinforcements[[#Headers],[Rev.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(kips)]])))-1,FALSE),IF(AND(Calculations!CJ85,CL85="Bolted"),VLOOKUP($BR85,Reinforcements[],COLUMN(IF(Rev="F",Reinforcements[[#Headers],[Rev.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(kips)]])))-1,FALSE),"")),IF(AND(Calculations!CK85,CL85="Bolted"),VLOOKUP($BR85,Reinforcements[],COLUMN(IF(Rev="F",Reinforcements[[#Headers],[Rev.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(kips)]])))-1,FALSE),IF(AND(Calculations!CJ85,CL85="Bolted"),VLOOKUP($BR85,Reinforcements[],COLUMN(IF(Rev="F",Reinforcements[[#Headers],[Rev.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5" s="483" t="str">
        <f>IFERROR(IF('Macro References'!$A$9,IF(AND(CJ85,CL85="Welded"),MIN(CQ85:CT85),IF(AND(CK85,CL85="Welded"),MIN(DB85:DE85),"")),""),"")</f>
        <v/>
      </c>
      <c r="AA85" s="484" t="str">
        <f>IFERROR(IF('Macro References'!$A$9,IF(AND(CJ85,CL85="Welded"),MIN(CU85:CW85),IF(AND(CK85,CL85="Welded"),MIN(DF85:DH85),"")),""),"")</f>
        <v/>
      </c>
      <c r="AB85" s="484" t="str">
        <f>IFERROR(IF('Macro References'!$A$9,IF(AND(CJ85,CL85="Welded",CN85="Fillet",CU85&gt;0),TRUE,IF(AND(CK85,CL85="Welded",CY85="Fillet",DF85&gt;0),TRUE,"")),""),"")</f>
        <v/>
      </c>
      <c r="AC85" s="484" t="e">
        <f>IF('Macro References'!$A$9,IF(AND(CJ85,CL85="Capacity Input"),IF(Rev="F",VLOOKUP(BR85,Reinforcements[],COLUMN(Reinforcements[[#Headers],[Rev. F Bottom Connection Capacity (kips)]])-1,FALSE),IF(Rev="G",VLOOKUP(BR85,Reinforcements[],COLUMN(Reinforcements[[#Headers],[Rev. G Bottom Connection Capacity (kips)]])-1,FALSE),VLOOKUP(BR85,Reinforcements[],COLUMN(Reinforcements[[#Headers],[Rev. H Bottom Connection Capacity (kips)]])-1,FALSE))),IF(AND(CK85,CL85="Capacity Input"),IF(Rev="F",VLOOKUP(BR85,Reinforcements[],COLUMN(Reinforcements[[#Headers],[Rev. F Top Connection Capacity (kips)]])-1,FALSE),IF(Rev="G",VLOOKUP(BR85,Reinforcements[],COLUMN(Reinforcements[[#Headers],[Rev. G Top Connection Capacity (kips)]])-1,FALSE),VLOOKUP(BR85,Reinforcements[],COLUMN(Reinforcements[[#Headers],[Rev. H Top Connection Capacity (kips)]])-1,FALSE))),"")),"")</f>
        <v>#VALUE!</v>
      </c>
      <c r="AD85" s="484" t="str">
        <f>IFERROR(IF(Rev="F",MIN(VLOOKUP(BR85,Reinforcements[],COLUMN(Reinforcements[[#Headers],[Rev. F Compression Capacity x-x (kips)]])-1,FALSE),VLOOKUP(BR85,Reinforcements[],COLUMN(Reinforcements[[#Headers],[Rev. F Compression Capacity y-y (kips)]])-1,FALSE)),IF(Rev="G",MIN(VLOOKUP(BR85,Reinforcements[],COLUMN(Reinforcements[[#Headers],[Rev. G Compression Capacity x-x (kips)]])-1,FALSE),VLOOKUP(BR85,Reinforcements[],COLUMN(Reinforcements[[#Headers],[Rev. G Compression Capacity y-y (kips)]])-1,FALSE)),MIN(VLOOKUP(BR85,Reinforcements[],COLUMN(Reinforcements[[#Headers],[Rev. H Compression Capacity x-x (kips)]])-1,FALSE),VLOOKUP(BR85,Reinforcements[],COLUMN(Reinforcements[[#Headers],[Rev. H Compression Capacity y-y (kips)]])-1,FALSE)))),"")</f>
        <v/>
      </c>
      <c r="AE85" s="485" t="str">
        <f>IFERROR(IF(Rev="F",VLOOKUP(BR85,Reinforcements[],COLUMN(Reinforcements[[#Headers],[Rev. F Shear Capacity (kips)]])-1,FALSE)/BY85,IF(Rev="G",VLOOKUP(Calculations!BR85,Reinforcements[],COLUMN(Reinforcements[[#Headers],[Rev. G Shear Capacity (kips)]])-1,FALSE),VLOOKUP(Calculations!BR85,Reinforcements[],COLUMN(Reinforcements[[#Headers],[Rev. H Shear Capacity (kips)]])-1,FALSE))),"")</f>
        <v/>
      </c>
      <c r="AF85" s="451" t="str">
        <f>IFERROR(IF(Rev="F",VLOOKUP(BR85,Reinforcements[],COLUMN(Reinforcements[[#Headers],[Rev. F Tension Yield Capacity (kips)]])-1,FALSE),IF(Rev="G",VLOOKUP(Calculations!BR85,Reinforcements[],COLUMN(Reinforcements[[#Headers],[Rev. G Tension Yield Capacity (kips)]])-1,FALSE),VLOOKUP(Calculations!BR85,Reinforcements[],COLUMN(Reinforcements[[#Headers],[Rev. H Tension Yield Capacity (kips)]])-1,FALSE))),"")</f>
        <v/>
      </c>
      <c r="AG85" s="486" t="str">
        <f>IFERROR(IF(Rev="F",VLOOKUP(BR85,Reinforcements[],COLUMN(Reinforcements[[#Headers],[Rev. F Tension Rupture Capacity (kips)]])-1,FALSE),IF(Rev="G",VLOOKUP(Calculations!BR85,Reinforcements[],COLUMN(Reinforcements[[#Headers],[Rev. G Tension Rupture Capacity (kips)]])-1,FALSE),VLOOKUP(Calculations!BR85,Reinforcements[],COLUMN(Reinforcements[[#Headers],[Rev. H Tension Rupture Capacity (kips)]])-1, FALSE))),"")</f>
        <v/>
      </c>
      <c r="AH85" s="409" t="str">
        <f t="shared" si="95"/>
        <v/>
      </c>
      <c r="AI85" s="380" t="str">
        <f t="shared" si="96"/>
        <v/>
      </c>
      <c r="AJ85" s="380" t="str">
        <f t="shared" si="97"/>
        <v/>
      </c>
      <c r="AK85" s="380" t="str">
        <f t="shared" si="85"/>
        <v/>
      </c>
      <c r="AL85" s="369" t="str">
        <f t="shared" si="78"/>
        <v/>
      </c>
      <c r="AM85" s="380" t="str">
        <f>""</f>
        <v/>
      </c>
      <c r="AN85" s="380" t="str">
        <f t="shared" si="98"/>
        <v/>
      </c>
      <c r="AO85" s="369" t="str">
        <f t="shared" si="99"/>
        <v/>
      </c>
      <c r="AP85" s="410" t="str">
        <f t="shared" si="100"/>
        <v/>
      </c>
      <c r="AQ85" s="411" t="str">
        <f t="shared" si="53"/>
        <v/>
      </c>
      <c r="AR85" s="380" t="str">
        <f>IF(BR85="","",VLOOKUP(VLOOKUP(BR85,Reinforcements[],COLUMN(Reinforcements[[#Headers],[Material]])-1,FALSE),Materials[],2,FALSE)/$D$28)</f>
        <v/>
      </c>
      <c r="AS85" s="369" t="str">
        <f t="shared" si="54"/>
        <v/>
      </c>
      <c r="AT85" s="489" t="str">
        <f t="shared" si="101"/>
        <v/>
      </c>
      <c r="AU85" s="412">
        <f t="shared" si="116"/>
        <v>0</v>
      </c>
      <c r="AV85" s="413">
        <f t="shared" si="117"/>
        <v>0</v>
      </c>
      <c r="AW85" s="413" t="e">
        <f t="shared" si="102"/>
        <v>#N/A</v>
      </c>
      <c r="AX85" s="413" t="e">
        <f t="shared" si="103"/>
        <v>#N/A</v>
      </c>
      <c r="AY85" s="413" t="str">
        <f t="shared" si="104"/>
        <v/>
      </c>
      <c r="AZ85" s="413" t="e">
        <f t="shared" si="105"/>
        <v>#VALUE!</v>
      </c>
      <c r="BA85" s="433" t="str">
        <f t="shared" si="118"/>
        <v/>
      </c>
      <c r="BB85" s="436" t="str">
        <f t="shared" si="119"/>
        <v/>
      </c>
      <c r="BC85" s="437" t="str">
        <f t="shared" si="120"/>
        <v/>
      </c>
      <c r="BD85" s="437" t="str">
        <f t="shared" si="106"/>
        <v/>
      </c>
      <c r="BE85" s="433" t="str">
        <f t="shared" si="121"/>
        <v/>
      </c>
      <c r="BF85" s="438" t="e">
        <f t="shared" si="122"/>
        <v>#DIV/0!</v>
      </c>
      <c r="BG85" s="439" t="str">
        <f t="shared" si="107"/>
        <v/>
      </c>
      <c r="BH85" s="439" t="str">
        <f t="shared" si="108"/>
        <v/>
      </c>
      <c r="BI85" s="433" t="e">
        <f t="shared" si="123"/>
        <v>#DIV/0!</v>
      </c>
      <c r="BJ85" s="438" t="str">
        <f t="shared" si="124"/>
        <v/>
      </c>
      <c r="BK85" s="413" t="e">
        <f t="shared" si="125"/>
        <v>#DIV/0!</v>
      </c>
      <c r="BL85" s="66" t="str">
        <f t="shared" si="68"/>
        <v/>
      </c>
      <c r="BP85" s="30" t="e">
        <f t="shared" si="109"/>
        <v>#DIV/0!</v>
      </c>
      <c r="BQ85" s="444" t="str">
        <f>IFERROR(VALUE(IF(LEN(VLOOKUP(Calculations!$D$4,Results!$G$5:$CM$105,67+$C66,FALSE))-LEN(SUBSTITUTE(VLOOKUP(Calculations!$D$4,Results!$G$5:$CM$105,67+$C66,FALSE),";",""))&gt;1,MID(VLOOKUP(Calculations!$D$4,Results!$G$5:$CM$105,67+$C66,FALSE),FIND(";",VLOOKUP(Calculations!$D$4,Results!$G$5:$CM$105,67+$C66,FALSE))+1,FIND(";",VLOOKUP(Calculations!$D$4,Results!$G$5:$CM$105,67+$C66,FALSE),FIND(";",VLOOKUP(Calculations!$D$4,Results!$G$5:$CM$105,67+$C66,FALSE))+1)-FIND(";",VLOOKUP(Calculations!$D$4,Results!$G$5:$CM$105,67+$C66,FALSE))-1),"")),"")</f>
        <v/>
      </c>
      <c r="BR85" s="444" t="str">
        <f>IF(BQ85="","",VLOOKUP(BQ85,Input!$B$21:$Q$50,13,FALSE))</f>
        <v/>
      </c>
      <c r="BS85" s="369" t="e">
        <f>VLOOKUP(BR85,Reinforcements[],COLUMN(Reinforcements[[#Headers],[Type]])-1,FALSE)</f>
        <v>#N/A</v>
      </c>
      <c r="BT85" s="369" t="e">
        <f>IF(BS85="solid round",VLOOKUP(BR85,Reinforcements[],COLUMN(Reinforcements[[#Headers],[Diameter (in)]])-1,FALSE),VLOOKUP(BR85,Reinforcements[],COLUMN(Reinforcements[[#Headers],[B (in)]])-1,FALSE))</f>
        <v>#N/A</v>
      </c>
      <c r="BU85" s="369" t="e">
        <f>IF(BS85="solid round",VLOOKUP(BR85,Reinforcements[],COLUMN(Reinforcements[[#Headers],[Diameter (in)]])-1,FALSE),VLOOKUP(BR85,Reinforcements[],COLUMN(Reinforcements[[#Headers],[H (in)]])-1,FALSE))</f>
        <v>#N/A</v>
      </c>
      <c r="BV85" s="413" t="e">
        <f>IFERROR((IF(VLOOKUP(BQ85,Input!$B$21:$AL$50,19+C85,FALSE)="c",$D$20/COS(RADIANS(180/$D$8)),$D$20)+BU85/2)*SIN(RADIANS(D85))-IF(ISNUMBER(VLOOKUP(BQ85,Input!$B$21:$AL$50,19+C85,FALSE)),VLOOKUP(BQ85,Input!$B$21:$AL$50,19+C85,FALSE)*COS(RADIANS(D85)),0)-$D$35,"")*0+N85*1</f>
        <v>#VALUE!</v>
      </c>
      <c r="BW85" s="369" t="e">
        <f>VLOOKUP(BR85,Reinforcements[],COLUMN(Reinforcements[[#Headers],[Effective B (in)]])-1,FALSE)</f>
        <v>#N/A</v>
      </c>
      <c r="BX85" s="369" t="e">
        <f>VLOOKUP(BR85,Reinforcements[],COLUMN(Reinforcements[[#Headers],[Effective H (in)]])-1,FALSE)</f>
        <v>#N/A</v>
      </c>
      <c r="BY85" s="369" t="e">
        <f>VLOOKUP(BR85,Reinforcements[],COLUMN(Reinforcements[[#Headers],[Gross Area (in2)]])-1,FALSE)</f>
        <v>#N/A</v>
      </c>
      <c r="BZ85" s="380" t="s">
        <v>335</v>
      </c>
      <c r="CA85" s="369" t="e">
        <f>VLOOKUP(BR85,Reinforcements[],COLUMN(Reinforcements[[#Headers],[Pole Face to Centroid (in)]])-1,FALSE)</f>
        <v>#N/A</v>
      </c>
      <c r="CB85" s="369" t="e">
        <f>VLOOKUP(BR85,Reinforcements[],COLUMN(Reinforcements[[#Headers],[Ix]])-1,FALSE)</f>
        <v>#N/A</v>
      </c>
      <c r="CC85" s="369" t="e">
        <f>VLOOKUP(BR85,Reinforcements[],COLUMN(Reinforcements[[#Headers],[Iy]])-1,FALSE)</f>
        <v>#N/A</v>
      </c>
      <c r="CD85" s="369" t="e">
        <f>VLOOKUP(BR85,Reinforcements[],COLUMN(Reinforcements[[#Headers],[Lu (in)]])-1,FALSE)</f>
        <v>#N/A</v>
      </c>
      <c r="CE85" s="380" t="s">
        <v>335</v>
      </c>
      <c r="CF85" s="380" t="s">
        <v>335</v>
      </c>
      <c r="CG85" s="369" t="e">
        <f>VLOOKUP(VLOOKUP(BR85,Reinforcements[],COLUMN(Reinforcements[[#Headers],[Material]])-1,FALSE),Materials[],2,FALSE)</f>
        <v>#N/A</v>
      </c>
      <c r="CH85" s="369" t="e">
        <f>VLOOKUP(VLOOKUP(BR85,Reinforcements[],COLUMN(Reinforcements[[#Headers],[Material]])-1,FALSE),Materials[],3,FALSE)</f>
        <v>#N/A</v>
      </c>
      <c r="CI85" s="380" t="e">
        <f>VLOOKUP(BR85,Reinforcements[],COLUMN(Reinforcements[[#Headers],[Tension Only?]])-1,FALSE)</f>
        <v>#N/A</v>
      </c>
      <c r="CJ85" s="449" t="str">
        <f>IF(BQ85="","",AND(INDEX(Results!$G$5:$G$104,MATCH(VLOOKUP($BQ85,Input!$B$21:$J$50,2,FALSE)-0.001,Results!$G$5:$G$104,-1))=$D$4))</f>
        <v/>
      </c>
      <c r="CK85" s="449" t="str">
        <f>IF(BQ85="","",AND(INDEX('Macro References'!$BB$2:$BB$101,MATCH(VLOOKUP($BQ85,Input!$B$21:$J$50,6,FALSE)-0.001,'Macro References'!$BB$2:$BB$101,1))=$D$4))</f>
        <v/>
      </c>
      <c r="CL85" s="449" t="e">
        <f>IF(CJ85,VLOOKUP(BR85,Reinforcements[],COLUMN(Reinforcements[[#Headers],[Bottom End Connection Type]])-1,FALSE),IF(CK85,VLOOKUP(BR85,Reinforcements[],COLUMN(Reinforcements[[#Headers],[Top End Connection Type]])-1,FALSE),""))</f>
        <v>#VALUE!</v>
      </c>
      <c r="CM85" s="449" t="e">
        <f>IF(ISBLANK(VLOOKUP(BR85,Reinforcements[],COLUMN(Reinforcements[[#Headers],[Bottom Transverse Weld Length]])-1,FALSE)),"",(VLOOKUP(BR85,Reinforcements[],COLUMN(Reinforcements[[#Headers],[Bottom Transverse Weld Length]])-1,FALSE)))</f>
        <v>#N/A</v>
      </c>
      <c r="CN85" s="449" t="e">
        <f>IF(ISBLANK(VLOOKUP(BR85,Reinforcements[],COLUMN(Reinforcements[[#Headers],[Bottom Transverse (Horizontal) Weld]])-1,FALSE)),"",(VLOOKUP(BR85,Reinforcements[],COLUMN(Reinforcements[[#Headers],[Bottom Transverse (Horizontal) Weld]])-1,FALSE)))</f>
        <v>#N/A</v>
      </c>
      <c r="CO85" s="449" t="e">
        <f>IF(ISBLANK(VLOOKUP(BR85,Reinforcements[],COLUMN(Reinforcements[[#Headers],[Bottom Longitudinal Weld Length]])-1,FALSE)),"",(VLOOKUP(BR85,Reinforcements[],COLUMN(Reinforcements[[#Headers],[Bottom Longitudinal Weld Length]])-1,FALSE)))</f>
        <v>#N/A</v>
      </c>
      <c r="CP85" s="449" t="str">
        <f>IFERROR(VLOOKUP(BR85,Reinforcements[],COLUMN(Reinforcements[[#Headers],[Bottom Connected to Flange/Base Plate?]])-1,FALSE),"")</f>
        <v/>
      </c>
      <c r="CQ85" s="369" t="e">
        <f>IF(Rev="F",VLOOKUP(BR85,Reinforcements[],COLUMN(Reinforcements[[#Headers],[Rev. F Bottom Transverse Weld Strength]])-1,FALSE),VLOOKUP(BR85,Reinforcements[],COLUMN(Reinforcements[[#Headers],[Rev. G Bottom Transverse Weld Strength]])-1,FALSE))</f>
        <v>#N/A</v>
      </c>
      <c r="CR85" s="369" t="e">
        <f>IF(CP85="Yes",IF(CN85="Fillet",VLOOKUP(BR85,Reinforcements[],COLUMN(Reinforcements[[#Headers],[Bottom Transverse Weld Fillet Size (in)]])-1,FALSE)*CM85*MIN(IF(Rev="F",0.4,φ_shear_yield*0.6)*CG85,IF(Rev="F",0.3,φ_shear_rupture*0.6)*CH85),VLOOKUP(BR85,Reinforcements[],COLUMN(Reinforcements[[#Headers],[Bottom Transverse Weld Groove Depth (in)]])-1,FALSE)/COS(RADIANS(VLOOKUP(BR85,Reinforcements[],COLUMN(Reinforcements[[#Headers],[Bottom Transverse Weld Groove Angle (degrees)]])-1,FALSE)))*CM85*IF(Rev="F",0.6,φ_t_y)*CG85),VLOOKUP(BR85,Reinforcements[],COLUMN(Reinforcements[[#Headers],[Bottom Transverse Weld Fillet Size (in)]])-1,FALSE)*CM85*IF(Rev="F",0.6,φ_t_y)*CG85)</f>
        <v>#N/A</v>
      </c>
      <c r="CS85" s="369" t="str">
        <f>IF(CP85&lt;&gt;"Yes","",(VLOOKUP(BR85,Reinforcements[],COLUMN(Reinforcements[[#Headers],[Bottom Transverse Weld Groove Depth (in)]])-1,FALSE)+VLOOKUP(BR85,Reinforcements[],COLUMN(Reinforcements[[#Headers],[Bottom Transverse Weld Fillet Size (in)]])-1,FALSE))*CM85*IF(Rev="F",0.6,φ_t_y)*$D$14)</f>
        <v/>
      </c>
      <c r="CT85" s="369" t="e">
        <f>IF(CP85="Yes","",VLOOKUP(BR85,Reinforcements[],COLUMN(Reinforcements[[#Headers],[Bottom Transverse Weld Fillet Size (in)]])-1,FALSE)*CM85*MIN(IF(Rev="F",0.4,φ_shear_yield*0.6)*$D$6,IF(Rev="F",0.3,φ_shear_rupture*0.6)*$D$7))</f>
        <v>#N/A</v>
      </c>
      <c r="CU85" s="369" t="e">
        <f>IF(Rev="F",VLOOKUP(BR85,Reinforcements[],COLUMN(Reinforcements[[#Headers],[Rev. F Bottom Longitudinal Weld Strength]])-1,FALSE),VLOOKUP(BR85,Reinforcements[],COLUMN(Reinforcements[[#Headers],[Rev. G Bottom Longitudinal Weld Strength]])-1,FALSE))</f>
        <v>#N/A</v>
      </c>
      <c r="CV85" s="369" t="e">
        <f>2*VLOOKUP(BR85,Reinforcements[],COLUMN(Reinforcements[[#Headers],[Bottom Longitudinal Weld Fillet Size (in)]])-1,FALSE)*CO85*MIN(IF(Rev="F",0.4,φ_shear_yield*0.6)*CG85,IF(Rev="F",0.3,φ_shear_rupture*0.6)*CH85)</f>
        <v>#N/A</v>
      </c>
      <c r="CW85" s="369" t="e">
        <f>2*VLOOKUP(BR85,Reinforcements[],COLUMN(Reinforcements[[#Headers],[Bottom Longitudinal Weld Fillet Size (in)]])-1,FALSE)*CO85*MIN(IF(Rev="F",0.4,φ_shear_yield*0.6)*$D$6,IF(Rev="F",0.3,φ_shear_rupture*0.6)*$D$7)</f>
        <v>#N/A</v>
      </c>
      <c r="CX85" s="451" t="e">
        <f>IF(ISBLANK(VLOOKUP(BR85,Reinforcements[],COLUMN(Reinforcements[[#Headers],[Top Transverse Weld Length]])-1,FALSE)),"",(VLOOKUP(BR85,Reinforcements[],COLUMN(Reinforcements[[#Headers],[Top Transverse Weld Length]])-1,FALSE)))</f>
        <v>#N/A</v>
      </c>
      <c r="CY85" s="451" t="e">
        <f>IF(ISBLANK(VLOOKUP(BR85,Reinforcements[],COLUMN(Reinforcements[[#Headers],[Top Transverse (Horizontal) Weld]])-1,FALSE)),"",(VLOOKUP(BR85,Reinforcements[],COLUMN(Reinforcements[[#Headers],[Top Transverse (Horizontal) Weld]])-1,FALSE)))</f>
        <v>#N/A</v>
      </c>
      <c r="CZ85" s="451" t="e">
        <f>IF(ISBLANK(VLOOKUP(BR85,Reinforcements[],COLUMN(Reinforcements[[#Headers],[Top Longitudinal Weld Length]])-1,FALSE)),"",(VLOOKUP(BR85,Reinforcements[],COLUMN(Reinforcements[[#Headers],[Top Longitudinal Weld Length]])-1,FALSE)))</f>
        <v>#N/A</v>
      </c>
      <c r="DA85" s="369" t="str">
        <f>IFERROR(VLOOKUP(BR85,Reinforcements[],COLUMN(Reinforcements[[#Headers],[Top Connected to Flange/Base Plate?]])-1,FALSE),"")</f>
        <v/>
      </c>
      <c r="DB85" s="369" t="e">
        <f>IF(Rev="F",VLOOKUP(BR85,Reinforcements[],COLUMN(Reinforcements[[#Headers],[Rev. F Top Transverse Weld Strength]])-1,FALSE),VLOOKUP(BR85,Reinforcements[],COLUMN(Reinforcements[[#Headers],[Rev. G Top Transverse Weld Strength]])-1,FALSE))</f>
        <v>#N/A</v>
      </c>
      <c r="DC85" s="369" t="e">
        <f>IF(DA85="Yes",IF(CY85="Fillet",VLOOKUP(BR85,Reinforcements[],COLUMN(Reinforcements[[#Headers],[Top Transverse Weld Fillet Size (in)]])-1,FALSE)*CX85*MIN(IF(Rev="F",0.4,φ_shear_yield*0.6)*CG85,IF(Rev="F",0.3,φ_shear_rupture*0.6)*CH85),VLOOKUP(BR85,Reinforcements[],COLUMN(Reinforcements[[#Headers],[Top Transverse Weld Groove Depth (in)]])-1,FALSE)/COS(RADIANS(VLOOKUP(BR85,Reinforcements[],COLUMN(Reinforcements[[#Headers],[Top Transverse Weld Groove Angle (degrees)]])-1,FALSE)))*CX85*IF(Rev="F",0.6,φ_t_y)*CG85),VLOOKUP(BR85,Reinforcements[],COLUMN(Reinforcements[[#Headers],[Top Transverse Weld Fillet Size (in)]])-1,FALSE)*CX85*IF(Rev="F",0.6,φ_t_y)*CG85)</f>
        <v>#N/A</v>
      </c>
      <c r="DD85" s="369" t="str">
        <f>IF(DA85&lt;&gt;"Yes","",(VLOOKUP(BR85,Reinforcements[],COLUMN(Reinforcements[[#Headers],[Top Transverse Weld Groove Depth (in)]])-1,FALSE)+VLOOKUP(BR85,Reinforcements[],COLUMN(Reinforcements[[#Headers],[Top Transverse Weld Fillet Size (in)]])-1,FALSE))*CX85*IF(Rev="F",0.6,φ_t_y)*$D$14)</f>
        <v/>
      </c>
      <c r="DE85" s="369" t="e">
        <f>IF(DA85="Yes","",VLOOKUP(BR85,Reinforcements[],COLUMN(Reinforcements[[#Headers],[Top Transverse Weld Fillet Size (in)]])-1,FALSE)*CX85*MIN(IF(Rev="F",0.4,φ_shear_yield*0.6)*$D$6,IF(Rev="F",0.3,φ_shear_rupture*0.6)*$D$7))</f>
        <v>#N/A</v>
      </c>
      <c r="DF85" s="369" t="e">
        <f>IF(Rev="F",VLOOKUP(BR85,Reinforcements[],COLUMN(Reinforcements[[#Headers],[Rev. F Top Longitudinal Weld Strength]])-1,FALSE),VLOOKUP(BR85,Reinforcements[],COLUMN(Reinforcements[[#Headers],[Rev. G Top Longitudinal Weld Strength]])-1,FALSE))</f>
        <v>#N/A</v>
      </c>
      <c r="DG85" s="369" t="e">
        <f>2*VLOOKUP(BR85,Reinforcements[],COLUMN(Reinforcements[[#Headers],[Top Longitudinal Weld Fillet Size (in)]])-1,FALSE)*CZ85*MIN(IF(Rev="F",0.4,φ_shear_yield*0.6)*CG85,IF(Rev="F",0.3,φ_shear_rupture*0.6)*CH85)</f>
        <v>#N/A</v>
      </c>
      <c r="DH85" s="369" t="e">
        <f>2*VLOOKUP(BR85,Reinforcements[],COLUMN(Reinforcements[[#Headers],[Top Longitudinal Weld Fillet Size (in)]])-1,FALSE)*CZ85*MIN(IF(Rev="F",0.4,φ_shear_yield*0.6)*$D$6,IF(Rev="F",0.3,φ_shear_rupture*0.6)*$D$7)</f>
        <v>#N/A</v>
      </c>
      <c r="DI85" s="66" t="e">
        <f>IF(BS85="channel",VLOOKUP(Calculations!BR85,Reinforcements[],COLUMN(Reinforcements[[#Headers],['[Channel']Web Thickness (in)]])-1,FALSE),"")</f>
        <v>#N/A</v>
      </c>
      <c r="DJ85" s="66" t="b">
        <f t="shared" si="126"/>
        <v>0</v>
      </c>
      <c r="DK85" s="66" t="e">
        <f>IF(BS85="channel",Calculations!BU85-DI85,"")</f>
        <v>#N/A</v>
      </c>
      <c r="DL85" s="66" t="e">
        <f>IF(BS85="channel",(Calculations!BY85-Calculations!BT85*DI85)/(2*DK85))</f>
        <v>#N/A</v>
      </c>
      <c r="DM85" s="66" t="e">
        <f>IF(BS85="channel",(Calculations!BT85*(DI85^2)/2+2*DK85*DL85*(DI85+DK85/2))/Calculations!BY85,"")</f>
        <v>#N/A</v>
      </c>
    </row>
    <row r="86" spans="2:117" ht="15" x14ac:dyDescent="0.25">
      <c r="B86" s="66" t="str">
        <f t="shared" si="70"/>
        <v/>
      </c>
      <c r="C86" s="317">
        <v>8</v>
      </c>
      <c r="D86" s="380" t="str">
        <f>IF(BQ86="","",IF($D$8=0,IF(OR(VLOOKUP(BQ86,Input!$B$21:$AL$50,19+C86,FALSE)+$D$5=0,VLOOKUP(BQ86,Input!$B$21:$AL$50,19+C86,FALSE)+$D$5=180),VLOOKUP(BQ86,Input!$B$21:$AL$50,19+C86,FALSE)+$D$5+0.0001,VLOOKUP(BQ86,Input!$B$21:$AL$50,19+C86,FALSE)+$D$5),IF(VLOOKUP(BQ86,Input!$B$21:$AL$50,19+C86,FALSE)="c",VLOOKUP($C86,$C$40:$E$57,2,FALSE)+180/$D$8,VLOOKUP($C86,$C$40:$E$57,2,FALSE))))</f>
        <v/>
      </c>
      <c r="E86" s="370" t="str">
        <f t="shared" si="110"/>
        <v/>
      </c>
      <c r="F86" s="381" t="str">
        <f>IF(BR86="","",VLOOKUP(BR86,Reinforcements[],COLUMN(Reinforcements[[#Headers],[Gross Area (in2)]])-1,FALSE))</f>
        <v/>
      </c>
      <c r="G86" s="378" t="e">
        <f>(IF(VLOOKUP(BQ86,Input!$B$21:$AL$50,19+C86,FALSE)="c",$D$20/COS(RADIANS(180/$D$8)),$D$20)+CA86)*SIN(RADIANS(D86))-IF(AND(ISNUMBER(VLOOKUP(BQ86,Input!$B$21:$AL$50,19+C86,FALSE)),$D$8&lt;&gt;0),VLOOKUP(BQ86,Input!$B$21:$AL$50,19+C86,FALSE)*COS(RADIANS(D86)),0)</f>
        <v>#N/A</v>
      </c>
      <c r="H86" s="373" t="str">
        <f t="shared" si="111"/>
        <v/>
      </c>
      <c r="I86" s="373" t="e">
        <f t="shared" si="86"/>
        <v>#N/A</v>
      </c>
      <c r="J86" s="373" t="e">
        <f t="shared" si="112"/>
        <v>#N/A</v>
      </c>
      <c r="K86" s="373" t="e">
        <f t="shared" si="113"/>
        <v>#N/A</v>
      </c>
      <c r="L86" s="373" t="e">
        <f t="shared" si="114"/>
        <v>#N/A</v>
      </c>
      <c r="M86" s="374" t="str">
        <f t="shared" si="115"/>
        <v/>
      </c>
      <c r="N86" s="372" t="str">
        <f>IFERROR((IF(VLOOKUP(BQ86,Input!$B$21:$AL$50,19+C86,FALSE)="c",$D$20/COS(RADIANS(180/$D$8)),$D$20)+CA86)*SIN(RADIANS(D86))-IF(AND(ISNUMBER(VLOOKUP(BQ86,Input!$B$21:$AL$50,19+C86,FALSE)),$D$8&lt;&gt;0),VLOOKUP(BQ86,Input!$B$21:$AL$50,19+C86,FALSE)*COS(RADIANS(D86)),0)-$D$35,"")</f>
        <v/>
      </c>
      <c r="O86" s="373" t="str">
        <f t="shared" si="87"/>
        <v/>
      </c>
      <c r="P86" s="373" t="str">
        <f t="shared" si="88"/>
        <v/>
      </c>
      <c r="Q86" s="373" t="str">
        <f t="shared" si="89"/>
        <v/>
      </c>
      <c r="R86" s="374" t="str">
        <f t="shared" si="90"/>
        <v/>
      </c>
      <c r="S86" s="373" t="str">
        <f t="shared" si="91"/>
        <v/>
      </c>
      <c r="T86" s="373" t="str">
        <f t="shared" si="92"/>
        <v/>
      </c>
      <c r="U86" s="373" t="str">
        <f t="shared" si="93"/>
        <v/>
      </c>
      <c r="V86" s="374" t="str">
        <f t="shared" si="94"/>
        <v/>
      </c>
      <c r="W86" s="482" t="str">
        <f>IFERROR(IF('Macro References'!$A$9,IF(AND(Calculations!CK86,CL86="Bolted"),VLOOKUP($BR86,Reinforcements[],COLUMN(IF(Rev="F",Reinforcements[[#Headers],[Rev. F Bolt Shear Capacity   (Top)        (kips)]],IF(Rev="G",Reinforcements[[#Headers],[Rev. G Bolt Shear Capacity (Top)     (kips)]],Reinforcements[[#Headers],[Rev. H Bolt Shear Capacity (Top) (kips)]])))-1,FALSE),IF(AND(Calculations!CJ86,CL86="Bolted"),VLOOKUP($BR86,Reinforcements[],COLUMN(IF(Rev="F",Reinforcements[[#Headers],[Rev. F Bolt Shear Capacity (Bottom)   (kips)]],IF(Rev="G",Reinforcements[[#Headers],[Rev. G Bolt Shear Capacity (Bottom) (kips)]],Reinforcements[[#Headers],[Rev. H Bolt Shear Capacity (Bottom) (kips)]])))-1,FALSE),"")),""),"")</f>
        <v/>
      </c>
      <c r="X86" s="483" t="str">
        <f>IFERROR(IF('Macro References'!$A$9,IF('Macro References'!$A$10,IF(AND(Calculations!CK86,CL86="Bolted"),VLOOKUP($BR86,Reinforcements[],COLUMN(IF(Rev="F",Reinforcements[[#Headers],[Rev.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kips)]])))-1,FALSE),IF(AND(Calculations!CJ86,CL86="Bolted"),VLOOKUP($BR86,Reinforcements[],COLUMN(IF(Rev="F",Reinforcements[[#Headers],[Rev.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kips)]])))-1,FALSE),"")),IF(AND(Calculations!CK86,CL86="Bolted"),VLOOKUP($BR86,Reinforcements[],COLUMN(IF(Rev="F",Reinforcements[[#Headers],[Rev.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kips)]])))-1,FALSE),IF(AND(Calculations!CJ86,CL86="Bolted"),VLOOKUP($BR86,Reinforcements[],COLUMN(IF(Rev="F",Reinforcements[[#Headers],[Rev.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6" s="483" t="str">
        <f>IFERROR(IF('Macro References'!$A$9,IF('Macro References'!$A$10,IF(AND(Calculations!CK86,CL86="Bolted"),VLOOKUP($BR86,Reinforcements[],COLUMN(IF(Rev="F",Reinforcements[[#Headers],[Rev.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(kips)]])))-1,FALSE),IF(AND(Calculations!CJ86,CL86="Bolted"),VLOOKUP($BR86,Reinforcements[],COLUMN(IF(Rev="F",Reinforcements[[#Headers],[Rev.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(kips)]])))-1,FALSE),"")),IF(AND(Calculations!CK86,CL86="Bolted"),VLOOKUP($BR86,Reinforcements[],COLUMN(IF(Rev="F",Reinforcements[[#Headers],[Rev.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(kips)]])))-1,FALSE),IF(AND(Calculations!CJ86,CL86="Bolted"),VLOOKUP($BR86,Reinforcements[],COLUMN(IF(Rev="F",Reinforcements[[#Headers],[Rev.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6" s="483" t="str">
        <f>IFERROR(IF('Macro References'!$A$9,IF(AND(CJ86,CL86="Welded"),MIN(CQ86:CT86),IF(AND(CK86,CL86="Welded"),MIN(DB86:DE86),"")),""),"")</f>
        <v/>
      </c>
      <c r="AA86" s="484" t="str">
        <f>IFERROR(IF('Macro References'!$A$9,IF(AND(CJ86,CL86="Welded"),MIN(CU86:CW86),IF(AND(CK86,CL86="Welded"),MIN(DF86:DH86),"")),""),"")</f>
        <v/>
      </c>
      <c r="AB86" s="484" t="str">
        <f>IFERROR(IF('Macro References'!$A$9,IF(AND(CJ86,CL86="Welded",CN86="Fillet",CU86&gt;0),TRUE,IF(AND(CK86,CL86="Welded",CY86="Fillet",DF86&gt;0),TRUE,"")),""),"")</f>
        <v/>
      </c>
      <c r="AC86" s="484" t="e">
        <f>IF('Macro References'!$A$9,IF(AND(CJ86,CL86="Capacity Input"),IF(Rev="F",VLOOKUP(BR86,Reinforcements[],COLUMN(Reinforcements[[#Headers],[Rev. F Bottom Connection Capacity (kips)]])-1,FALSE),IF(Rev="G",VLOOKUP(BR86,Reinforcements[],COLUMN(Reinforcements[[#Headers],[Rev. G Bottom Connection Capacity (kips)]])-1,FALSE),VLOOKUP(BR86,Reinforcements[],COLUMN(Reinforcements[[#Headers],[Rev. H Bottom Connection Capacity (kips)]])-1,FALSE))),IF(AND(CK86,CL86="Capacity Input"),IF(Rev="F",VLOOKUP(BR86,Reinforcements[],COLUMN(Reinforcements[[#Headers],[Rev. F Top Connection Capacity (kips)]])-1,FALSE),IF(Rev="G",VLOOKUP(BR86,Reinforcements[],COLUMN(Reinforcements[[#Headers],[Rev. G Top Connection Capacity (kips)]])-1,FALSE),VLOOKUP(BR86,Reinforcements[],COLUMN(Reinforcements[[#Headers],[Rev. H Top Connection Capacity (kips)]])-1,FALSE))),"")),"")</f>
        <v>#VALUE!</v>
      </c>
      <c r="AD86" s="484" t="str">
        <f>IFERROR(IF(Rev="F",MIN(VLOOKUP(BR86,Reinforcements[],COLUMN(Reinforcements[[#Headers],[Rev. F Compression Capacity x-x (kips)]])-1,FALSE),VLOOKUP(BR86,Reinforcements[],COLUMN(Reinforcements[[#Headers],[Rev. F Compression Capacity y-y (kips)]])-1,FALSE)),IF(Rev="G",MIN(VLOOKUP(BR86,Reinforcements[],COLUMN(Reinforcements[[#Headers],[Rev. G Compression Capacity x-x (kips)]])-1,FALSE),VLOOKUP(BR86,Reinforcements[],COLUMN(Reinforcements[[#Headers],[Rev. G Compression Capacity y-y (kips)]])-1,FALSE)),MIN(VLOOKUP(BR86,Reinforcements[],COLUMN(Reinforcements[[#Headers],[Rev. H Compression Capacity x-x (kips)]])-1,FALSE),VLOOKUP(BR86,Reinforcements[],COLUMN(Reinforcements[[#Headers],[Rev. H Compression Capacity y-y (kips)]])-1,FALSE)))),"")</f>
        <v/>
      </c>
      <c r="AE86" s="485" t="str">
        <f>IFERROR(IF(Rev="F",VLOOKUP(BR86,Reinforcements[],COLUMN(Reinforcements[[#Headers],[Rev. F Shear Capacity (kips)]])-1,FALSE)/BY86,IF(Rev="G",VLOOKUP(Calculations!BR86,Reinforcements[],COLUMN(Reinforcements[[#Headers],[Rev. G Shear Capacity (kips)]])-1,FALSE),VLOOKUP(Calculations!BR86,Reinforcements[],COLUMN(Reinforcements[[#Headers],[Rev. H Shear Capacity (kips)]])-1,FALSE))),"")</f>
        <v/>
      </c>
      <c r="AF86" s="451" t="str">
        <f>IFERROR(IF(Rev="F",VLOOKUP(BR86,Reinforcements[],COLUMN(Reinforcements[[#Headers],[Rev. F Tension Yield Capacity (kips)]])-1,FALSE),IF(Rev="G",VLOOKUP(Calculations!BR86,Reinforcements[],COLUMN(Reinforcements[[#Headers],[Rev. G Tension Yield Capacity (kips)]])-1,FALSE),VLOOKUP(Calculations!BR86,Reinforcements[],COLUMN(Reinforcements[[#Headers],[Rev. H Tension Yield Capacity (kips)]])-1,FALSE))),"")</f>
        <v/>
      </c>
      <c r="AG86" s="486" t="str">
        <f>IFERROR(IF(Rev="F",VLOOKUP(BR86,Reinforcements[],COLUMN(Reinforcements[[#Headers],[Rev. F Tension Rupture Capacity (kips)]])-1,FALSE),IF(Rev="G",VLOOKUP(Calculations!BR86,Reinforcements[],COLUMN(Reinforcements[[#Headers],[Rev. G Tension Rupture Capacity (kips)]])-1,FALSE),VLOOKUP(Calculations!BR86,Reinforcements[],COLUMN(Reinforcements[[#Headers],[Rev. H Tension Rupture Capacity (kips)]])-1, FALSE))),"")</f>
        <v/>
      </c>
      <c r="AH86" s="409" t="str">
        <f t="shared" si="95"/>
        <v/>
      </c>
      <c r="AI86" s="380" t="str">
        <f t="shared" si="96"/>
        <v/>
      </c>
      <c r="AJ86" s="380" t="str">
        <f t="shared" si="97"/>
        <v/>
      </c>
      <c r="AK86" s="380" t="str">
        <f t="shared" si="85"/>
        <v/>
      </c>
      <c r="AL86" s="369" t="str">
        <f t="shared" si="78"/>
        <v/>
      </c>
      <c r="AM86" s="380" t="str">
        <f>""</f>
        <v/>
      </c>
      <c r="AN86" s="380" t="str">
        <f t="shared" si="98"/>
        <v/>
      </c>
      <c r="AO86" s="369" t="str">
        <f t="shared" si="99"/>
        <v/>
      </c>
      <c r="AP86" s="410" t="str">
        <f t="shared" si="100"/>
        <v/>
      </c>
      <c r="AQ86" s="411" t="str">
        <f t="shared" si="53"/>
        <v/>
      </c>
      <c r="AR86" s="380" t="str">
        <f>IF(BR86="","",VLOOKUP(VLOOKUP(BR86,Reinforcements[],COLUMN(Reinforcements[[#Headers],[Material]])-1,FALSE),Materials[],2,FALSE)/$D$28)</f>
        <v/>
      </c>
      <c r="AS86" s="369" t="str">
        <f t="shared" si="54"/>
        <v/>
      </c>
      <c r="AT86" s="489" t="str">
        <f t="shared" si="101"/>
        <v/>
      </c>
      <c r="AU86" s="412">
        <f t="shared" si="116"/>
        <v>0</v>
      </c>
      <c r="AV86" s="413">
        <f t="shared" si="117"/>
        <v>0</v>
      </c>
      <c r="AW86" s="413" t="e">
        <f t="shared" si="102"/>
        <v>#N/A</v>
      </c>
      <c r="AX86" s="413" t="e">
        <f t="shared" si="103"/>
        <v>#N/A</v>
      </c>
      <c r="AY86" s="413" t="str">
        <f t="shared" si="104"/>
        <v/>
      </c>
      <c r="AZ86" s="413" t="e">
        <f t="shared" si="105"/>
        <v>#VALUE!</v>
      </c>
      <c r="BA86" s="433" t="str">
        <f t="shared" si="118"/>
        <v/>
      </c>
      <c r="BB86" s="436" t="str">
        <f t="shared" si="119"/>
        <v/>
      </c>
      <c r="BC86" s="437" t="str">
        <f t="shared" si="120"/>
        <v/>
      </c>
      <c r="BD86" s="437" t="str">
        <f t="shared" si="106"/>
        <v/>
      </c>
      <c r="BE86" s="433" t="str">
        <f t="shared" si="121"/>
        <v/>
      </c>
      <c r="BF86" s="438" t="e">
        <f t="shared" si="122"/>
        <v>#DIV/0!</v>
      </c>
      <c r="BG86" s="439" t="str">
        <f t="shared" si="107"/>
        <v/>
      </c>
      <c r="BH86" s="439" t="str">
        <f t="shared" si="108"/>
        <v/>
      </c>
      <c r="BI86" s="433" t="e">
        <f t="shared" si="123"/>
        <v>#DIV/0!</v>
      </c>
      <c r="BJ86" s="438" t="str">
        <f t="shared" si="124"/>
        <v/>
      </c>
      <c r="BK86" s="413" t="e">
        <f t="shared" si="125"/>
        <v>#DIV/0!</v>
      </c>
      <c r="BL86" s="66" t="str">
        <f t="shared" si="68"/>
        <v/>
      </c>
      <c r="BP86" s="30" t="e">
        <f t="shared" si="109"/>
        <v>#DIV/0!</v>
      </c>
      <c r="BQ86" s="444" t="str">
        <f>IFERROR(VALUE(IF(LEN(VLOOKUP(Calculations!$D$4,Results!$G$5:$CM$105,67+$C67,FALSE))-LEN(SUBSTITUTE(VLOOKUP(Calculations!$D$4,Results!$G$5:$CM$105,67+$C67,FALSE),";",""))&gt;1,MID(VLOOKUP(Calculations!$D$4,Results!$G$5:$CM$105,67+$C67,FALSE),FIND(";",VLOOKUP(Calculations!$D$4,Results!$G$5:$CM$105,67+$C67,FALSE))+1,FIND(";",VLOOKUP(Calculations!$D$4,Results!$G$5:$CM$105,67+$C67,FALSE),FIND(";",VLOOKUP(Calculations!$D$4,Results!$G$5:$CM$105,67+$C67,FALSE))+1)-FIND(";",VLOOKUP(Calculations!$D$4,Results!$G$5:$CM$105,67+$C67,FALSE))-1),"")),"")</f>
        <v/>
      </c>
      <c r="BR86" s="444" t="str">
        <f>IF(BQ86="","",VLOOKUP(BQ86,Input!$B$21:$Q$50,13,FALSE))</f>
        <v/>
      </c>
      <c r="BS86" s="369" t="e">
        <f>VLOOKUP(BR86,Reinforcements[],COLUMN(Reinforcements[[#Headers],[Type]])-1,FALSE)</f>
        <v>#N/A</v>
      </c>
      <c r="BT86" s="369" t="e">
        <f>IF(BS86="solid round",VLOOKUP(BR86,Reinforcements[],COLUMN(Reinforcements[[#Headers],[Diameter (in)]])-1,FALSE),VLOOKUP(BR86,Reinforcements[],COLUMN(Reinforcements[[#Headers],[B (in)]])-1,FALSE))</f>
        <v>#N/A</v>
      </c>
      <c r="BU86" s="369" t="e">
        <f>IF(BS86="solid round",VLOOKUP(BR86,Reinforcements[],COLUMN(Reinforcements[[#Headers],[Diameter (in)]])-1,FALSE),VLOOKUP(BR86,Reinforcements[],COLUMN(Reinforcements[[#Headers],[H (in)]])-1,FALSE))</f>
        <v>#N/A</v>
      </c>
      <c r="BV86" s="413" t="e">
        <f>IFERROR((IF(VLOOKUP(BQ86,Input!$B$21:$AL$50,19+C86,FALSE)="c",$D$20/COS(RADIANS(180/$D$8)),$D$20)+BU86/2)*SIN(RADIANS(D86))-IF(ISNUMBER(VLOOKUP(BQ86,Input!$B$21:$AL$50,19+C86,FALSE)),VLOOKUP(BQ86,Input!$B$21:$AL$50,19+C86,FALSE)*COS(RADIANS(D86)),0)-$D$35,"")*0+N86*1</f>
        <v>#VALUE!</v>
      </c>
      <c r="BW86" s="369" t="e">
        <f>VLOOKUP(BR86,Reinforcements[],COLUMN(Reinforcements[[#Headers],[Effective B (in)]])-1,FALSE)</f>
        <v>#N/A</v>
      </c>
      <c r="BX86" s="369" t="e">
        <f>VLOOKUP(BR86,Reinforcements[],COLUMN(Reinforcements[[#Headers],[Effective H (in)]])-1,FALSE)</f>
        <v>#N/A</v>
      </c>
      <c r="BY86" s="369" t="e">
        <f>VLOOKUP(BR86,Reinforcements[],COLUMN(Reinforcements[[#Headers],[Gross Area (in2)]])-1,FALSE)</f>
        <v>#N/A</v>
      </c>
      <c r="BZ86" s="380" t="s">
        <v>335</v>
      </c>
      <c r="CA86" s="369" t="e">
        <f>VLOOKUP(BR86,Reinforcements[],COLUMN(Reinforcements[[#Headers],[Pole Face to Centroid (in)]])-1,FALSE)</f>
        <v>#N/A</v>
      </c>
      <c r="CB86" s="369" t="e">
        <f>VLOOKUP(BR86,Reinforcements[],COLUMN(Reinforcements[[#Headers],[Ix]])-1,FALSE)</f>
        <v>#N/A</v>
      </c>
      <c r="CC86" s="369" t="e">
        <f>VLOOKUP(BR86,Reinforcements[],COLUMN(Reinforcements[[#Headers],[Iy]])-1,FALSE)</f>
        <v>#N/A</v>
      </c>
      <c r="CD86" s="369" t="e">
        <f>VLOOKUP(BR86,Reinforcements[],COLUMN(Reinforcements[[#Headers],[Lu (in)]])-1,FALSE)</f>
        <v>#N/A</v>
      </c>
      <c r="CE86" s="380" t="s">
        <v>335</v>
      </c>
      <c r="CF86" s="380" t="s">
        <v>335</v>
      </c>
      <c r="CG86" s="369" t="e">
        <f>VLOOKUP(VLOOKUP(BR86,Reinforcements[],COLUMN(Reinforcements[[#Headers],[Material]])-1,FALSE),Materials[],2,FALSE)</f>
        <v>#N/A</v>
      </c>
      <c r="CH86" s="369" t="e">
        <f>VLOOKUP(VLOOKUP(BR86,Reinforcements[],COLUMN(Reinforcements[[#Headers],[Material]])-1,FALSE),Materials[],3,FALSE)</f>
        <v>#N/A</v>
      </c>
      <c r="CI86" s="380" t="e">
        <f>VLOOKUP(BR86,Reinforcements[],COLUMN(Reinforcements[[#Headers],[Tension Only?]])-1,FALSE)</f>
        <v>#N/A</v>
      </c>
      <c r="CJ86" s="449" t="str">
        <f>IF(BQ86="","",AND(INDEX(Results!$G$5:$G$104,MATCH(VLOOKUP($BQ86,Input!$B$21:$J$50,2,FALSE)-0.001,Results!$G$5:$G$104,-1))=$D$4))</f>
        <v/>
      </c>
      <c r="CK86" s="449" t="str">
        <f>IF(BQ86="","",AND(INDEX('Macro References'!$BB$2:$BB$101,MATCH(VLOOKUP($BQ86,Input!$B$21:$J$50,6,FALSE)-0.001,'Macro References'!$BB$2:$BB$101,1))=$D$4))</f>
        <v/>
      </c>
      <c r="CL86" s="449" t="e">
        <f>IF(CJ86,VLOOKUP(BR86,Reinforcements[],COLUMN(Reinforcements[[#Headers],[Bottom End Connection Type]])-1,FALSE),IF(CK86,VLOOKUP(BR86,Reinforcements[],COLUMN(Reinforcements[[#Headers],[Top End Connection Type]])-1,FALSE),""))</f>
        <v>#VALUE!</v>
      </c>
      <c r="CM86" s="449" t="e">
        <f>IF(ISBLANK(VLOOKUP(BR86,Reinforcements[],COLUMN(Reinforcements[[#Headers],[Bottom Transverse Weld Length]])-1,FALSE)),"",(VLOOKUP(BR86,Reinforcements[],COLUMN(Reinforcements[[#Headers],[Bottom Transverse Weld Length]])-1,FALSE)))</f>
        <v>#N/A</v>
      </c>
      <c r="CN86" s="449" t="e">
        <f>IF(ISBLANK(VLOOKUP(BR86,Reinforcements[],COLUMN(Reinforcements[[#Headers],[Bottom Transverse (Horizontal) Weld]])-1,FALSE)),"",(VLOOKUP(BR86,Reinforcements[],COLUMN(Reinforcements[[#Headers],[Bottom Transverse (Horizontal) Weld]])-1,FALSE)))</f>
        <v>#N/A</v>
      </c>
      <c r="CO86" s="449" t="e">
        <f>IF(ISBLANK(VLOOKUP(BR86,Reinforcements[],COLUMN(Reinforcements[[#Headers],[Bottom Longitudinal Weld Length]])-1,FALSE)),"",(VLOOKUP(BR86,Reinforcements[],COLUMN(Reinforcements[[#Headers],[Bottom Longitudinal Weld Length]])-1,FALSE)))</f>
        <v>#N/A</v>
      </c>
      <c r="CP86" s="449" t="str">
        <f>IFERROR(VLOOKUP(BR86,Reinforcements[],COLUMN(Reinforcements[[#Headers],[Bottom Connected to Flange/Base Plate?]])-1,FALSE),"")</f>
        <v/>
      </c>
      <c r="CQ86" s="369" t="e">
        <f>IF(Rev="F",VLOOKUP(BR86,Reinforcements[],COLUMN(Reinforcements[[#Headers],[Rev. F Bottom Transverse Weld Strength]])-1,FALSE),VLOOKUP(BR86,Reinforcements[],COLUMN(Reinforcements[[#Headers],[Rev. G Bottom Transverse Weld Strength]])-1,FALSE))</f>
        <v>#N/A</v>
      </c>
      <c r="CR86" s="369" t="e">
        <f>IF(CP86="Yes",IF(CN86="Fillet",VLOOKUP(BR86,Reinforcements[],COLUMN(Reinforcements[[#Headers],[Bottom Transverse Weld Fillet Size (in)]])-1,FALSE)*CM86*MIN(IF(Rev="F",0.4,φ_shear_yield*0.6)*CG86,IF(Rev="F",0.3,φ_shear_rupture*0.6)*CH86),VLOOKUP(BR86,Reinforcements[],COLUMN(Reinforcements[[#Headers],[Bottom Transverse Weld Groove Depth (in)]])-1,FALSE)/COS(RADIANS(VLOOKUP(BR86,Reinforcements[],COLUMN(Reinforcements[[#Headers],[Bottom Transverse Weld Groove Angle (degrees)]])-1,FALSE)))*CM86*IF(Rev="F",0.6,φ_t_y)*CG86),VLOOKUP(BR86,Reinforcements[],COLUMN(Reinforcements[[#Headers],[Bottom Transverse Weld Fillet Size (in)]])-1,FALSE)*CM86*IF(Rev="F",0.6,φ_t_y)*CG86)</f>
        <v>#N/A</v>
      </c>
      <c r="CS86" s="369" t="str">
        <f>IF(CP86&lt;&gt;"Yes","",(VLOOKUP(BR86,Reinforcements[],COLUMN(Reinforcements[[#Headers],[Bottom Transverse Weld Groove Depth (in)]])-1,FALSE)+VLOOKUP(BR86,Reinforcements[],COLUMN(Reinforcements[[#Headers],[Bottom Transverse Weld Fillet Size (in)]])-1,FALSE))*CM86*IF(Rev="F",0.6,φ_t_y)*$D$14)</f>
        <v/>
      </c>
      <c r="CT86" s="369" t="e">
        <f>IF(CP86="Yes","",VLOOKUP(BR86,Reinforcements[],COLUMN(Reinforcements[[#Headers],[Bottom Transverse Weld Fillet Size (in)]])-1,FALSE)*CM86*MIN(IF(Rev="F",0.4,φ_shear_yield*0.6)*$D$6,IF(Rev="F",0.3,φ_shear_rupture*0.6)*$D$7))</f>
        <v>#N/A</v>
      </c>
      <c r="CU86" s="369" t="e">
        <f>IF(Rev="F",VLOOKUP(BR86,Reinforcements[],COLUMN(Reinforcements[[#Headers],[Rev. F Bottom Longitudinal Weld Strength]])-1,FALSE),VLOOKUP(BR86,Reinforcements[],COLUMN(Reinforcements[[#Headers],[Rev. G Bottom Longitudinal Weld Strength]])-1,FALSE))</f>
        <v>#N/A</v>
      </c>
      <c r="CV86" s="369" t="e">
        <f>2*VLOOKUP(BR86,Reinforcements[],COLUMN(Reinforcements[[#Headers],[Bottom Longitudinal Weld Fillet Size (in)]])-1,FALSE)*CO86*MIN(IF(Rev="F",0.4,φ_shear_yield*0.6)*CG86,IF(Rev="F",0.3,φ_shear_rupture*0.6)*CH86)</f>
        <v>#N/A</v>
      </c>
      <c r="CW86" s="369" t="e">
        <f>2*VLOOKUP(BR86,Reinforcements[],COLUMN(Reinforcements[[#Headers],[Bottom Longitudinal Weld Fillet Size (in)]])-1,FALSE)*CO86*MIN(IF(Rev="F",0.4,φ_shear_yield*0.6)*$D$6,IF(Rev="F",0.3,φ_shear_rupture*0.6)*$D$7)</f>
        <v>#N/A</v>
      </c>
      <c r="CX86" s="451" t="e">
        <f>IF(ISBLANK(VLOOKUP(BR86,Reinforcements[],COLUMN(Reinforcements[[#Headers],[Top Transverse Weld Length]])-1,FALSE)),"",(VLOOKUP(BR86,Reinforcements[],COLUMN(Reinforcements[[#Headers],[Top Transverse Weld Length]])-1,FALSE)))</f>
        <v>#N/A</v>
      </c>
      <c r="CY86" s="451" t="e">
        <f>IF(ISBLANK(VLOOKUP(BR86,Reinforcements[],COLUMN(Reinforcements[[#Headers],[Top Transverse (Horizontal) Weld]])-1,FALSE)),"",(VLOOKUP(BR86,Reinforcements[],COLUMN(Reinforcements[[#Headers],[Top Transverse (Horizontal) Weld]])-1,FALSE)))</f>
        <v>#N/A</v>
      </c>
      <c r="CZ86" s="451" t="e">
        <f>IF(ISBLANK(VLOOKUP(BR86,Reinforcements[],COLUMN(Reinforcements[[#Headers],[Top Longitudinal Weld Length]])-1,FALSE)),"",(VLOOKUP(BR86,Reinforcements[],COLUMN(Reinforcements[[#Headers],[Top Longitudinal Weld Length]])-1,FALSE)))</f>
        <v>#N/A</v>
      </c>
      <c r="DA86" s="369" t="str">
        <f>IFERROR(VLOOKUP(BR86,Reinforcements[],COLUMN(Reinforcements[[#Headers],[Top Connected to Flange/Base Plate?]])-1,FALSE),"")</f>
        <v/>
      </c>
      <c r="DB86" s="369" t="e">
        <f>IF(Rev="F",VLOOKUP(BR86,Reinforcements[],COLUMN(Reinforcements[[#Headers],[Rev. F Top Transverse Weld Strength]])-1,FALSE),VLOOKUP(BR86,Reinforcements[],COLUMN(Reinforcements[[#Headers],[Rev. G Top Transverse Weld Strength]])-1,FALSE))</f>
        <v>#N/A</v>
      </c>
      <c r="DC86" s="369" t="e">
        <f>IF(DA86="Yes",IF(CY86="Fillet",VLOOKUP(BR86,Reinforcements[],COLUMN(Reinforcements[[#Headers],[Top Transverse Weld Fillet Size (in)]])-1,FALSE)*CX86*MIN(IF(Rev="F",0.4,φ_shear_yield*0.6)*CG86,IF(Rev="F",0.3,φ_shear_rupture*0.6)*CH86),VLOOKUP(BR86,Reinforcements[],COLUMN(Reinforcements[[#Headers],[Top Transverse Weld Groove Depth (in)]])-1,FALSE)/COS(RADIANS(VLOOKUP(BR86,Reinforcements[],COLUMN(Reinforcements[[#Headers],[Top Transverse Weld Groove Angle (degrees)]])-1,FALSE)))*CX86*IF(Rev="F",0.6,φ_t_y)*CG86),VLOOKUP(BR86,Reinforcements[],COLUMN(Reinforcements[[#Headers],[Top Transverse Weld Fillet Size (in)]])-1,FALSE)*CX86*IF(Rev="F",0.6,φ_t_y)*CG86)</f>
        <v>#N/A</v>
      </c>
      <c r="DD86" s="369" t="str">
        <f>IF(DA86&lt;&gt;"Yes","",(VLOOKUP(BR86,Reinforcements[],COLUMN(Reinforcements[[#Headers],[Top Transverse Weld Groove Depth (in)]])-1,FALSE)+VLOOKUP(BR86,Reinforcements[],COLUMN(Reinforcements[[#Headers],[Top Transverse Weld Fillet Size (in)]])-1,FALSE))*CX86*IF(Rev="F",0.6,φ_t_y)*$D$14)</f>
        <v/>
      </c>
      <c r="DE86" s="369" t="e">
        <f>IF(DA86="Yes","",VLOOKUP(BR86,Reinforcements[],COLUMN(Reinforcements[[#Headers],[Top Transverse Weld Fillet Size (in)]])-1,FALSE)*CX86*MIN(IF(Rev="F",0.4,φ_shear_yield*0.6)*$D$6,IF(Rev="F",0.3,φ_shear_rupture*0.6)*$D$7))</f>
        <v>#N/A</v>
      </c>
      <c r="DF86" s="369" t="e">
        <f>IF(Rev="F",VLOOKUP(BR86,Reinforcements[],COLUMN(Reinforcements[[#Headers],[Rev. F Top Longitudinal Weld Strength]])-1,FALSE),VLOOKUP(BR86,Reinforcements[],COLUMN(Reinforcements[[#Headers],[Rev. G Top Longitudinal Weld Strength]])-1,FALSE))</f>
        <v>#N/A</v>
      </c>
      <c r="DG86" s="369" t="e">
        <f>2*VLOOKUP(BR86,Reinforcements[],COLUMN(Reinforcements[[#Headers],[Top Longitudinal Weld Fillet Size (in)]])-1,FALSE)*CZ86*MIN(IF(Rev="F",0.4,φ_shear_yield*0.6)*CG86,IF(Rev="F",0.3,φ_shear_rupture*0.6)*CH86)</f>
        <v>#N/A</v>
      </c>
      <c r="DH86" s="369" t="e">
        <f>2*VLOOKUP(BR86,Reinforcements[],COLUMN(Reinforcements[[#Headers],[Top Longitudinal Weld Fillet Size (in)]])-1,FALSE)*CZ86*MIN(IF(Rev="F",0.4,φ_shear_yield*0.6)*$D$6,IF(Rev="F",0.3,φ_shear_rupture*0.6)*$D$7)</f>
        <v>#N/A</v>
      </c>
      <c r="DI86" s="66" t="e">
        <f>IF(BS86="channel",VLOOKUP(Calculations!BR86,Reinforcements[],COLUMN(Reinforcements[[#Headers],['[Channel']Web Thickness (in)]])-1,FALSE),"")</f>
        <v>#N/A</v>
      </c>
      <c r="DJ86" s="66" t="b">
        <f t="shared" si="126"/>
        <v>0</v>
      </c>
      <c r="DK86" s="66" t="e">
        <f>IF(BS86="channel",Calculations!BU86-DI86,"")</f>
        <v>#N/A</v>
      </c>
      <c r="DL86" s="66" t="e">
        <f>IF(BS86="channel",(Calculations!BY86-Calculations!BT86*DI86)/(2*DK86))</f>
        <v>#N/A</v>
      </c>
      <c r="DM86" s="66" t="e">
        <f>IF(BS86="channel",(Calculations!BT86*(DI86^2)/2+2*DK86*DL86*(DI86+DK86/2))/Calculations!BY86,"")</f>
        <v>#N/A</v>
      </c>
    </row>
    <row r="87" spans="2:117" ht="15" x14ac:dyDescent="0.25">
      <c r="B87" s="66" t="str">
        <f t="shared" si="70"/>
        <v/>
      </c>
      <c r="C87" s="317">
        <v>9</v>
      </c>
      <c r="D87" s="380" t="str">
        <f>IF(BQ87="","",IF($D$8=0,IF(OR(VLOOKUP(BQ87,Input!$B$21:$AL$50,19+C87,FALSE)+$D$5=0,VLOOKUP(BQ87,Input!$B$21:$AL$50,19+C87,FALSE)+$D$5=180),VLOOKUP(BQ87,Input!$B$21:$AL$50,19+C87,FALSE)+$D$5+0.0001,VLOOKUP(BQ87,Input!$B$21:$AL$50,19+C87,FALSE)+$D$5),IF(VLOOKUP(BQ87,Input!$B$21:$AL$50,19+C87,FALSE)="c",VLOOKUP($C87,$C$40:$E$57,2,FALSE)+180/$D$8,VLOOKUP($C87,$C$40:$E$57,2,FALSE))))</f>
        <v/>
      </c>
      <c r="E87" s="370" t="str">
        <f t="shared" si="110"/>
        <v/>
      </c>
      <c r="F87" s="381" t="str">
        <f>IF(BR87="","",VLOOKUP(BR87,Reinforcements[],COLUMN(Reinforcements[[#Headers],[Gross Area (in2)]])-1,FALSE))</f>
        <v/>
      </c>
      <c r="G87" s="378" t="e">
        <f>(IF(VLOOKUP(BQ87,Input!$B$21:$AL$50,19+C87,FALSE)="c",$D$20/COS(RADIANS(180/$D$8)),$D$20)+CA87)*SIN(RADIANS(D87))-IF(AND(ISNUMBER(VLOOKUP(BQ87,Input!$B$21:$AL$50,19+C87,FALSE)),$D$8&lt;&gt;0),VLOOKUP(BQ87,Input!$B$21:$AL$50,19+C87,FALSE)*COS(RADIANS(D87)),0)</f>
        <v>#N/A</v>
      </c>
      <c r="H87" s="373" t="str">
        <f t="shared" si="111"/>
        <v/>
      </c>
      <c r="I87" s="373" t="e">
        <f t="shared" si="86"/>
        <v>#N/A</v>
      </c>
      <c r="J87" s="373" t="e">
        <f t="shared" si="112"/>
        <v>#N/A</v>
      </c>
      <c r="K87" s="373" t="e">
        <f t="shared" si="113"/>
        <v>#N/A</v>
      </c>
      <c r="L87" s="373" t="e">
        <f t="shared" si="114"/>
        <v>#N/A</v>
      </c>
      <c r="M87" s="374" t="str">
        <f t="shared" si="115"/>
        <v/>
      </c>
      <c r="N87" s="372" t="str">
        <f>IFERROR((IF(VLOOKUP(BQ87,Input!$B$21:$AL$50,19+C87,FALSE)="c",$D$20/COS(RADIANS(180/$D$8)),$D$20)+CA87)*SIN(RADIANS(D87))-IF(AND(ISNUMBER(VLOOKUP(BQ87,Input!$B$21:$AL$50,19+C87,FALSE)),$D$8&lt;&gt;0),VLOOKUP(BQ87,Input!$B$21:$AL$50,19+C87,FALSE)*COS(RADIANS(D87)),0)-$D$35,"")</f>
        <v/>
      </c>
      <c r="O87" s="373" t="str">
        <f t="shared" si="87"/>
        <v/>
      </c>
      <c r="P87" s="373" t="str">
        <f t="shared" si="88"/>
        <v/>
      </c>
      <c r="Q87" s="373" t="str">
        <f t="shared" si="89"/>
        <v/>
      </c>
      <c r="R87" s="374" t="str">
        <f t="shared" si="90"/>
        <v/>
      </c>
      <c r="S87" s="373" t="str">
        <f t="shared" si="91"/>
        <v/>
      </c>
      <c r="T87" s="373" t="str">
        <f t="shared" si="92"/>
        <v/>
      </c>
      <c r="U87" s="373" t="str">
        <f t="shared" si="93"/>
        <v/>
      </c>
      <c r="V87" s="374" t="str">
        <f t="shared" si="94"/>
        <v/>
      </c>
      <c r="W87" s="482" t="str">
        <f>IFERROR(IF('Macro References'!$A$9,IF(AND(Calculations!CK87,CL87="Bolted"),VLOOKUP($BR87,Reinforcements[],COLUMN(IF(Rev="F",Reinforcements[[#Headers],[Rev. F Bolt Shear Capacity   (Top)        (kips)]],IF(Rev="G",Reinforcements[[#Headers],[Rev. G Bolt Shear Capacity (Top)     (kips)]],Reinforcements[[#Headers],[Rev. H Bolt Shear Capacity (Top) (kips)]])))-1,FALSE),IF(AND(Calculations!CJ87,CL87="Bolted"),VLOOKUP($BR87,Reinforcements[],COLUMN(IF(Rev="F",Reinforcements[[#Headers],[Rev. F Bolt Shear Capacity (Bottom)   (kips)]],IF(Rev="G",Reinforcements[[#Headers],[Rev. G Bolt Shear Capacity (Bottom) (kips)]],Reinforcements[[#Headers],[Rev. H Bolt Shear Capacity (Bottom) (kips)]])))-1,FALSE),"")),""),"")</f>
        <v/>
      </c>
      <c r="X87" s="483" t="str">
        <f>IFERROR(IF('Macro References'!$A$9,IF('Macro References'!$A$10,IF(AND(Calculations!CK87,CL87="Bolted"),VLOOKUP($BR87,Reinforcements[],COLUMN(IF(Rev="F",Reinforcements[[#Headers],[Rev.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kips)]])))-1,FALSE),IF(AND(Calculations!CJ87,CL87="Bolted"),VLOOKUP($BR87,Reinforcements[],COLUMN(IF(Rev="F",Reinforcements[[#Headers],[Rev.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kips)]])))-1,FALSE),"")),IF(AND(Calculations!CK87,CL87="Bolted"),VLOOKUP($BR87,Reinforcements[],COLUMN(IF(Rev="F",Reinforcements[[#Headers],[Rev.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kips)]])))-1,FALSE),IF(AND(Calculations!CJ87,CL87="Bolted"),VLOOKUP($BR87,Reinforcements[],COLUMN(IF(Rev="F",Reinforcements[[#Headers],[Rev.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7" s="483" t="str">
        <f>IFERROR(IF('Macro References'!$A$9,IF('Macro References'!$A$10,IF(AND(Calculations!CK87,CL87="Bolted"),VLOOKUP($BR87,Reinforcements[],COLUMN(IF(Rev="F",Reinforcements[[#Headers],[Rev.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(kips)]])))-1,FALSE),IF(AND(Calculations!CJ87,CL87="Bolted"),VLOOKUP($BR87,Reinforcements[],COLUMN(IF(Rev="F",Reinforcements[[#Headers],[Rev.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(kips)]])))-1,FALSE),"")),IF(AND(Calculations!CK87,CL87="Bolted"),VLOOKUP($BR87,Reinforcements[],COLUMN(IF(Rev="F",Reinforcements[[#Headers],[Rev.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(kips)]])))-1,FALSE),IF(AND(Calculations!CJ87,CL87="Bolted"),VLOOKUP($BR87,Reinforcements[],COLUMN(IF(Rev="F",Reinforcements[[#Headers],[Rev.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7" s="483" t="str">
        <f>IFERROR(IF('Macro References'!$A$9,IF(AND(CJ87,CL87="Welded"),MIN(CQ87:CT87),IF(AND(CK87,CL87="Welded"),MIN(DB87:DE87),"")),""),"")</f>
        <v/>
      </c>
      <c r="AA87" s="484" t="str">
        <f>IFERROR(IF('Macro References'!$A$9,IF(AND(CJ87,CL87="Welded"),MIN(CU87:CW87),IF(AND(CK87,CL87="Welded"),MIN(DF87:DH87),"")),""),"")</f>
        <v/>
      </c>
      <c r="AB87" s="484" t="str">
        <f>IFERROR(IF('Macro References'!$A$9,IF(AND(CJ87,CL87="Welded",CN87="Fillet",CU87&gt;0),TRUE,IF(AND(CK87,CL87="Welded",CY87="Fillet",DF87&gt;0),TRUE,"")),""),"")</f>
        <v/>
      </c>
      <c r="AC87" s="484" t="e">
        <f>IF('Macro References'!$A$9,IF(AND(CJ87,CL87="Capacity Input"),IF(Rev="F",VLOOKUP(BR87,Reinforcements[],COLUMN(Reinforcements[[#Headers],[Rev. F Bottom Connection Capacity (kips)]])-1,FALSE),IF(Rev="G",VLOOKUP(BR87,Reinforcements[],COLUMN(Reinforcements[[#Headers],[Rev. G Bottom Connection Capacity (kips)]])-1,FALSE),VLOOKUP(BR87,Reinforcements[],COLUMN(Reinforcements[[#Headers],[Rev. H Bottom Connection Capacity (kips)]])-1,FALSE))),IF(AND(CK87,CL87="Capacity Input"),IF(Rev="F",VLOOKUP(BR87,Reinforcements[],COLUMN(Reinforcements[[#Headers],[Rev. F Top Connection Capacity (kips)]])-1,FALSE),IF(Rev="G",VLOOKUP(BR87,Reinforcements[],COLUMN(Reinforcements[[#Headers],[Rev. G Top Connection Capacity (kips)]])-1,FALSE),VLOOKUP(BR87,Reinforcements[],COLUMN(Reinforcements[[#Headers],[Rev. H Top Connection Capacity (kips)]])-1,FALSE))),"")),"")</f>
        <v>#VALUE!</v>
      </c>
      <c r="AD87" s="484" t="str">
        <f>IFERROR(IF(Rev="F",MIN(VLOOKUP(BR87,Reinforcements[],COLUMN(Reinforcements[[#Headers],[Rev. F Compression Capacity x-x (kips)]])-1,FALSE),VLOOKUP(BR87,Reinforcements[],COLUMN(Reinforcements[[#Headers],[Rev. F Compression Capacity y-y (kips)]])-1,FALSE)),IF(Rev="G",MIN(VLOOKUP(BR87,Reinforcements[],COLUMN(Reinforcements[[#Headers],[Rev. G Compression Capacity x-x (kips)]])-1,FALSE),VLOOKUP(BR87,Reinforcements[],COLUMN(Reinforcements[[#Headers],[Rev. G Compression Capacity y-y (kips)]])-1,FALSE)),MIN(VLOOKUP(BR87,Reinforcements[],COLUMN(Reinforcements[[#Headers],[Rev. H Compression Capacity x-x (kips)]])-1,FALSE),VLOOKUP(BR87,Reinforcements[],COLUMN(Reinforcements[[#Headers],[Rev. H Compression Capacity y-y (kips)]])-1,FALSE)))),"")</f>
        <v/>
      </c>
      <c r="AE87" s="485" t="str">
        <f>IFERROR(IF(Rev="F",VLOOKUP(BR87,Reinforcements[],COLUMN(Reinforcements[[#Headers],[Rev. F Shear Capacity (kips)]])-1,FALSE)/BY87,IF(Rev="G",VLOOKUP(Calculations!BR87,Reinforcements[],COLUMN(Reinforcements[[#Headers],[Rev. G Shear Capacity (kips)]])-1,FALSE),VLOOKUP(Calculations!BR87,Reinforcements[],COLUMN(Reinforcements[[#Headers],[Rev. H Shear Capacity (kips)]])-1,FALSE))),"")</f>
        <v/>
      </c>
      <c r="AF87" s="451" t="str">
        <f>IFERROR(IF(Rev="F",VLOOKUP(BR87,Reinforcements[],COLUMN(Reinforcements[[#Headers],[Rev. F Tension Yield Capacity (kips)]])-1,FALSE),IF(Rev="G",VLOOKUP(Calculations!BR87,Reinforcements[],COLUMN(Reinforcements[[#Headers],[Rev. G Tension Yield Capacity (kips)]])-1,FALSE),VLOOKUP(Calculations!BR87,Reinforcements[],COLUMN(Reinforcements[[#Headers],[Rev. H Tension Yield Capacity (kips)]])-1,FALSE))),"")</f>
        <v/>
      </c>
      <c r="AG87" s="486" t="str">
        <f>IFERROR(IF(Rev="F",VLOOKUP(BR87,Reinforcements[],COLUMN(Reinforcements[[#Headers],[Rev. F Tension Rupture Capacity (kips)]])-1,FALSE),IF(Rev="G",VLOOKUP(Calculations!BR87,Reinforcements[],COLUMN(Reinforcements[[#Headers],[Rev. G Tension Rupture Capacity (kips)]])-1,FALSE),VLOOKUP(Calculations!BR87,Reinforcements[],COLUMN(Reinforcements[[#Headers],[Rev. H Tension Rupture Capacity (kips)]])-1, FALSE))),"")</f>
        <v/>
      </c>
      <c r="AH87" s="409" t="str">
        <f t="shared" si="95"/>
        <v/>
      </c>
      <c r="AI87" s="380" t="str">
        <f t="shared" si="96"/>
        <v/>
      </c>
      <c r="AJ87" s="380" t="str">
        <f t="shared" si="97"/>
        <v/>
      </c>
      <c r="AK87" s="380" t="str">
        <f t="shared" si="85"/>
        <v/>
      </c>
      <c r="AL87" s="369" t="str">
        <f t="shared" si="78"/>
        <v/>
      </c>
      <c r="AM87" s="380" t="str">
        <f>""</f>
        <v/>
      </c>
      <c r="AN87" s="380" t="str">
        <f t="shared" si="98"/>
        <v/>
      </c>
      <c r="AO87" s="369" t="str">
        <f t="shared" si="99"/>
        <v/>
      </c>
      <c r="AP87" s="410" t="str">
        <f t="shared" si="100"/>
        <v/>
      </c>
      <c r="AQ87" s="411" t="str">
        <f t="shared" si="53"/>
        <v/>
      </c>
      <c r="AR87" s="380" t="str">
        <f>IF(BR87="","",VLOOKUP(VLOOKUP(BR87,Reinforcements[],COLUMN(Reinforcements[[#Headers],[Material]])-1,FALSE),Materials[],2,FALSE)/$D$28)</f>
        <v/>
      </c>
      <c r="AS87" s="369" t="str">
        <f t="shared" si="54"/>
        <v/>
      </c>
      <c r="AT87" s="489" t="str">
        <f t="shared" si="101"/>
        <v/>
      </c>
      <c r="AU87" s="412">
        <f t="shared" si="116"/>
        <v>0</v>
      </c>
      <c r="AV87" s="413">
        <f t="shared" si="117"/>
        <v>0</v>
      </c>
      <c r="AW87" s="413" t="e">
        <f t="shared" si="102"/>
        <v>#N/A</v>
      </c>
      <c r="AX87" s="413" t="e">
        <f t="shared" si="103"/>
        <v>#N/A</v>
      </c>
      <c r="AY87" s="413" t="str">
        <f t="shared" si="104"/>
        <v/>
      </c>
      <c r="AZ87" s="413" t="e">
        <f t="shared" si="105"/>
        <v>#VALUE!</v>
      </c>
      <c r="BA87" s="433" t="str">
        <f t="shared" si="118"/>
        <v/>
      </c>
      <c r="BB87" s="436" t="str">
        <f t="shared" si="119"/>
        <v/>
      </c>
      <c r="BC87" s="437" t="str">
        <f t="shared" si="120"/>
        <v/>
      </c>
      <c r="BD87" s="437" t="str">
        <f t="shared" si="106"/>
        <v/>
      </c>
      <c r="BE87" s="433" t="str">
        <f t="shared" si="121"/>
        <v/>
      </c>
      <c r="BF87" s="438" t="e">
        <f t="shared" si="122"/>
        <v>#DIV/0!</v>
      </c>
      <c r="BG87" s="439" t="str">
        <f t="shared" si="107"/>
        <v/>
      </c>
      <c r="BH87" s="439" t="str">
        <f t="shared" si="108"/>
        <v/>
      </c>
      <c r="BI87" s="433" t="e">
        <f t="shared" si="123"/>
        <v>#DIV/0!</v>
      </c>
      <c r="BJ87" s="438" t="str">
        <f t="shared" si="124"/>
        <v/>
      </c>
      <c r="BK87" s="413" t="e">
        <f t="shared" si="125"/>
        <v>#DIV/0!</v>
      </c>
      <c r="BL87" s="66" t="str">
        <f t="shared" si="68"/>
        <v/>
      </c>
      <c r="BP87" s="30" t="e">
        <f t="shared" si="109"/>
        <v>#DIV/0!</v>
      </c>
      <c r="BQ87" s="444" t="str">
        <f>IFERROR(VALUE(IF(LEN(VLOOKUP(Calculations!$D$4,Results!$G$5:$CM$105,67+$C68,FALSE))-LEN(SUBSTITUTE(VLOOKUP(Calculations!$D$4,Results!$G$5:$CM$105,67+$C68,FALSE),";",""))&gt;1,MID(VLOOKUP(Calculations!$D$4,Results!$G$5:$CM$105,67+$C68,FALSE),FIND(";",VLOOKUP(Calculations!$D$4,Results!$G$5:$CM$105,67+$C68,FALSE))+1,FIND(";",VLOOKUP(Calculations!$D$4,Results!$G$5:$CM$105,67+$C68,FALSE),FIND(";",VLOOKUP(Calculations!$D$4,Results!$G$5:$CM$105,67+$C68,FALSE))+1)-FIND(";",VLOOKUP(Calculations!$D$4,Results!$G$5:$CM$105,67+$C68,FALSE))-1),"")),"")</f>
        <v/>
      </c>
      <c r="BR87" s="444" t="str">
        <f>IF(BQ87="","",VLOOKUP(BQ87,Input!$B$21:$Q$50,13,FALSE))</f>
        <v/>
      </c>
      <c r="BS87" s="369" t="e">
        <f>VLOOKUP(BR87,Reinforcements[],COLUMN(Reinforcements[[#Headers],[Type]])-1,FALSE)</f>
        <v>#N/A</v>
      </c>
      <c r="BT87" s="369" t="e">
        <f>IF(BS87="solid round",VLOOKUP(BR87,Reinforcements[],COLUMN(Reinforcements[[#Headers],[Diameter (in)]])-1,FALSE),VLOOKUP(BR87,Reinforcements[],COLUMN(Reinforcements[[#Headers],[B (in)]])-1,FALSE))</f>
        <v>#N/A</v>
      </c>
      <c r="BU87" s="369" t="e">
        <f>IF(BS87="solid round",VLOOKUP(BR87,Reinforcements[],COLUMN(Reinforcements[[#Headers],[Diameter (in)]])-1,FALSE),VLOOKUP(BR87,Reinforcements[],COLUMN(Reinforcements[[#Headers],[H (in)]])-1,FALSE))</f>
        <v>#N/A</v>
      </c>
      <c r="BV87" s="413" t="e">
        <f>IFERROR((IF(VLOOKUP(BQ87,Input!$B$21:$AL$50,19+C87,FALSE)="c",$D$20/COS(RADIANS(180/$D$8)),$D$20)+BU87/2)*SIN(RADIANS(D87))-IF(ISNUMBER(VLOOKUP(BQ87,Input!$B$21:$AL$50,19+C87,FALSE)),VLOOKUP(BQ87,Input!$B$21:$AL$50,19+C87,FALSE)*COS(RADIANS(D87)),0)-$D$35,"")*0+N87*1</f>
        <v>#VALUE!</v>
      </c>
      <c r="BW87" s="369" t="e">
        <f>VLOOKUP(BR87,Reinforcements[],COLUMN(Reinforcements[[#Headers],[Effective B (in)]])-1,FALSE)</f>
        <v>#N/A</v>
      </c>
      <c r="BX87" s="369" t="e">
        <f>VLOOKUP(BR87,Reinforcements[],COLUMN(Reinforcements[[#Headers],[Effective H (in)]])-1,FALSE)</f>
        <v>#N/A</v>
      </c>
      <c r="BY87" s="369" t="e">
        <f>VLOOKUP(BR87,Reinforcements[],COLUMN(Reinforcements[[#Headers],[Gross Area (in2)]])-1,FALSE)</f>
        <v>#N/A</v>
      </c>
      <c r="BZ87" s="380" t="s">
        <v>335</v>
      </c>
      <c r="CA87" s="369" t="e">
        <f>VLOOKUP(BR87,Reinforcements[],COLUMN(Reinforcements[[#Headers],[Pole Face to Centroid (in)]])-1,FALSE)</f>
        <v>#N/A</v>
      </c>
      <c r="CB87" s="369" t="e">
        <f>VLOOKUP(BR87,Reinforcements[],COLUMN(Reinforcements[[#Headers],[Ix]])-1,FALSE)</f>
        <v>#N/A</v>
      </c>
      <c r="CC87" s="369" t="e">
        <f>VLOOKUP(BR87,Reinforcements[],COLUMN(Reinforcements[[#Headers],[Iy]])-1,FALSE)</f>
        <v>#N/A</v>
      </c>
      <c r="CD87" s="369" t="e">
        <f>VLOOKUP(BR87,Reinforcements[],COLUMN(Reinforcements[[#Headers],[Lu (in)]])-1,FALSE)</f>
        <v>#N/A</v>
      </c>
      <c r="CE87" s="380" t="s">
        <v>335</v>
      </c>
      <c r="CF87" s="380" t="s">
        <v>335</v>
      </c>
      <c r="CG87" s="369" t="e">
        <f>VLOOKUP(VLOOKUP(BR87,Reinforcements[],COLUMN(Reinforcements[[#Headers],[Material]])-1,FALSE),Materials[],2,FALSE)</f>
        <v>#N/A</v>
      </c>
      <c r="CH87" s="369" t="e">
        <f>VLOOKUP(VLOOKUP(BR87,Reinforcements[],COLUMN(Reinforcements[[#Headers],[Material]])-1,FALSE),Materials[],3,FALSE)</f>
        <v>#N/A</v>
      </c>
      <c r="CI87" s="380" t="e">
        <f>VLOOKUP(BR87,Reinforcements[],COLUMN(Reinforcements[[#Headers],[Tension Only?]])-1,FALSE)</f>
        <v>#N/A</v>
      </c>
      <c r="CJ87" s="449" t="str">
        <f>IF(BQ87="","",AND(INDEX(Results!$G$5:$G$104,MATCH(VLOOKUP($BQ87,Input!$B$21:$J$50,2,FALSE)-0.001,Results!$G$5:$G$104,-1))=$D$4))</f>
        <v/>
      </c>
      <c r="CK87" s="449" t="str">
        <f>IF(BQ87="","",AND(INDEX('Macro References'!$BB$2:$BB$101,MATCH(VLOOKUP($BQ87,Input!$B$21:$J$50,6,FALSE)-0.001,'Macro References'!$BB$2:$BB$101,1))=$D$4))</f>
        <v/>
      </c>
      <c r="CL87" s="449" t="e">
        <f>IF(CJ87,VLOOKUP(BR87,Reinforcements[],COLUMN(Reinforcements[[#Headers],[Bottom End Connection Type]])-1,FALSE),IF(CK87,VLOOKUP(BR87,Reinforcements[],COLUMN(Reinforcements[[#Headers],[Top End Connection Type]])-1,FALSE),""))</f>
        <v>#VALUE!</v>
      </c>
      <c r="CM87" s="449" t="e">
        <f>IF(ISBLANK(VLOOKUP(BR87,Reinforcements[],COLUMN(Reinforcements[[#Headers],[Bottom Transverse Weld Length]])-1,FALSE)),"",(VLOOKUP(BR87,Reinforcements[],COLUMN(Reinforcements[[#Headers],[Bottom Transverse Weld Length]])-1,FALSE)))</f>
        <v>#N/A</v>
      </c>
      <c r="CN87" s="449" t="e">
        <f>IF(ISBLANK(VLOOKUP(BR87,Reinforcements[],COLUMN(Reinforcements[[#Headers],[Bottom Transverse (Horizontal) Weld]])-1,FALSE)),"",(VLOOKUP(BR87,Reinforcements[],COLUMN(Reinforcements[[#Headers],[Bottom Transverse (Horizontal) Weld]])-1,FALSE)))</f>
        <v>#N/A</v>
      </c>
      <c r="CO87" s="449" t="e">
        <f>IF(ISBLANK(VLOOKUP(BR87,Reinforcements[],COLUMN(Reinforcements[[#Headers],[Bottom Longitudinal Weld Length]])-1,FALSE)),"",(VLOOKUP(BR87,Reinforcements[],COLUMN(Reinforcements[[#Headers],[Bottom Longitudinal Weld Length]])-1,FALSE)))</f>
        <v>#N/A</v>
      </c>
      <c r="CP87" s="449" t="str">
        <f>IFERROR(VLOOKUP(BR87,Reinforcements[],COLUMN(Reinforcements[[#Headers],[Bottom Connected to Flange/Base Plate?]])-1,FALSE),"")</f>
        <v/>
      </c>
      <c r="CQ87" s="369" t="e">
        <f>IF(Rev="F",VLOOKUP(BR87,Reinforcements[],COLUMN(Reinforcements[[#Headers],[Rev. F Bottom Transverse Weld Strength]])-1,FALSE),VLOOKUP(BR87,Reinforcements[],COLUMN(Reinforcements[[#Headers],[Rev. G Bottom Transverse Weld Strength]])-1,FALSE))</f>
        <v>#N/A</v>
      </c>
      <c r="CR87" s="369" t="e">
        <f>IF(CP87="Yes",IF(CN87="Fillet",VLOOKUP(BR87,Reinforcements[],COLUMN(Reinforcements[[#Headers],[Bottom Transverse Weld Fillet Size (in)]])-1,FALSE)*CM87*MIN(IF(Rev="F",0.4,φ_shear_yield*0.6)*CG87,IF(Rev="F",0.3,φ_shear_rupture*0.6)*CH87),VLOOKUP(BR87,Reinforcements[],COLUMN(Reinforcements[[#Headers],[Bottom Transverse Weld Groove Depth (in)]])-1,FALSE)/COS(RADIANS(VLOOKUP(BR87,Reinforcements[],COLUMN(Reinforcements[[#Headers],[Bottom Transverse Weld Groove Angle (degrees)]])-1,FALSE)))*CM87*IF(Rev="F",0.6,φ_t_y)*CG87),VLOOKUP(BR87,Reinforcements[],COLUMN(Reinforcements[[#Headers],[Bottom Transverse Weld Fillet Size (in)]])-1,FALSE)*CM87*IF(Rev="F",0.6,φ_t_y)*CG87)</f>
        <v>#N/A</v>
      </c>
      <c r="CS87" s="369" t="str">
        <f>IF(CP87&lt;&gt;"Yes","",(VLOOKUP(BR87,Reinforcements[],COLUMN(Reinforcements[[#Headers],[Bottom Transverse Weld Groove Depth (in)]])-1,FALSE)+VLOOKUP(BR87,Reinforcements[],COLUMN(Reinforcements[[#Headers],[Bottom Transverse Weld Fillet Size (in)]])-1,FALSE))*CM87*IF(Rev="F",0.6,φ_t_y)*$D$14)</f>
        <v/>
      </c>
      <c r="CT87" s="369" t="e">
        <f>IF(CP87="Yes","",VLOOKUP(BR87,Reinforcements[],COLUMN(Reinforcements[[#Headers],[Bottom Transverse Weld Fillet Size (in)]])-1,FALSE)*CM87*MIN(IF(Rev="F",0.4,φ_shear_yield*0.6)*$D$6,IF(Rev="F",0.3,φ_shear_rupture*0.6)*$D$7))</f>
        <v>#N/A</v>
      </c>
      <c r="CU87" s="369" t="e">
        <f>IF(Rev="F",VLOOKUP(BR87,Reinforcements[],COLUMN(Reinforcements[[#Headers],[Rev. F Bottom Longitudinal Weld Strength]])-1,FALSE),VLOOKUP(BR87,Reinforcements[],COLUMN(Reinforcements[[#Headers],[Rev. G Bottom Longitudinal Weld Strength]])-1,FALSE))</f>
        <v>#N/A</v>
      </c>
      <c r="CV87" s="369" t="e">
        <f>2*VLOOKUP(BR87,Reinforcements[],COLUMN(Reinforcements[[#Headers],[Bottom Longitudinal Weld Fillet Size (in)]])-1,FALSE)*CO87*MIN(IF(Rev="F",0.4,φ_shear_yield*0.6)*CG87,IF(Rev="F",0.3,φ_shear_rupture*0.6)*CH87)</f>
        <v>#N/A</v>
      </c>
      <c r="CW87" s="369" t="e">
        <f>2*VLOOKUP(BR87,Reinforcements[],COLUMN(Reinforcements[[#Headers],[Bottom Longitudinal Weld Fillet Size (in)]])-1,FALSE)*CO87*MIN(IF(Rev="F",0.4,φ_shear_yield*0.6)*$D$6,IF(Rev="F",0.3,φ_shear_rupture*0.6)*$D$7)</f>
        <v>#N/A</v>
      </c>
      <c r="CX87" s="451" t="e">
        <f>IF(ISBLANK(VLOOKUP(BR87,Reinforcements[],COLUMN(Reinforcements[[#Headers],[Top Transverse Weld Length]])-1,FALSE)),"",(VLOOKUP(BR87,Reinforcements[],COLUMN(Reinforcements[[#Headers],[Top Transverse Weld Length]])-1,FALSE)))</f>
        <v>#N/A</v>
      </c>
      <c r="CY87" s="451" t="e">
        <f>IF(ISBLANK(VLOOKUP(BR87,Reinforcements[],COLUMN(Reinforcements[[#Headers],[Top Transverse (Horizontal) Weld]])-1,FALSE)),"",(VLOOKUP(BR87,Reinforcements[],COLUMN(Reinforcements[[#Headers],[Top Transverse (Horizontal) Weld]])-1,FALSE)))</f>
        <v>#N/A</v>
      </c>
      <c r="CZ87" s="451" t="e">
        <f>IF(ISBLANK(VLOOKUP(BR87,Reinforcements[],COLUMN(Reinforcements[[#Headers],[Top Longitudinal Weld Length]])-1,FALSE)),"",(VLOOKUP(BR87,Reinforcements[],COLUMN(Reinforcements[[#Headers],[Top Longitudinal Weld Length]])-1,FALSE)))</f>
        <v>#N/A</v>
      </c>
      <c r="DA87" s="369" t="str">
        <f>IFERROR(VLOOKUP(BR87,Reinforcements[],COLUMN(Reinforcements[[#Headers],[Top Connected to Flange/Base Plate?]])-1,FALSE),"")</f>
        <v/>
      </c>
      <c r="DB87" s="369" t="e">
        <f>IF(Rev="F",VLOOKUP(BR87,Reinforcements[],COLUMN(Reinforcements[[#Headers],[Rev. F Top Transverse Weld Strength]])-1,FALSE),VLOOKUP(BR87,Reinforcements[],COLUMN(Reinforcements[[#Headers],[Rev. G Top Transverse Weld Strength]])-1,FALSE))</f>
        <v>#N/A</v>
      </c>
      <c r="DC87" s="369" t="e">
        <f>IF(DA87="Yes",IF(CY87="Fillet",VLOOKUP(BR87,Reinforcements[],COLUMN(Reinforcements[[#Headers],[Top Transverse Weld Fillet Size (in)]])-1,FALSE)*CX87*MIN(IF(Rev="F",0.4,φ_shear_yield*0.6)*CG87,IF(Rev="F",0.3,φ_shear_rupture*0.6)*CH87),VLOOKUP(BR87,Reinforcements[],COLUMN(Reinforcements[[#Headers],[Top Transverse Weld Groove Depth (in)]])-1,FALSE)/COS(RADIANS(VLOOKUP(BR87,Reinforcements[],COLUMN(Reinforcements[[#Headers],[Top Transverse Weld Groove Angle (degrees)]])-1,FALSE)))*CX87*IF(Rev="F",0.6,φ_t_y)*CG87),VLOOKUP(BR87,Reinforcements[],COLUMN(Reinforcements[[#Headers],[Top Transverse Weld Fillet Size (in)]])-1,FALSE)*CX87*IF(Rev="F",0.6,φ_t_y)*CG87)</f>
        <v>#N/A</v>
      </c>
      <c r="DD87" s="369" t="str">
        <f>IF(DA87&lt;&gt;"Yes","",(VLOOKUP(BR87,Reinforcements[],COLUMN(Reinforcements[[#Headers],[Top Transverse Weld Groove Depth (in)]])-1,FALSE)+VLOOKUP(BR87,Reinforcements[],COLUMN(Reinforcements[[#Headers],[Top Transverse Weld Fillet Size (in)]])-1,FALSE))*CX87*IF(Rev="F",0.6,φ_t_y)*$D$14)</f>
        <v/>
      </c>
      <c r="DE87" s="369" t="e">
        <f>IF(DA87="Yes","",VLOOKUP(BR87,Reinforcements[],COLUMN(Reinforcements[[#Headers],[Top Transverse Weld Fillet Size (in)]])-1,FALSE)*CX87*MIN(IF(Rev="F",0.4,φ_shear_yield*0.6)*$D$6,IF(Rev="F",0.3,φ_shear_rupture*0.6)*$D$7))</f>
        <v>#N/A</v>
      </c>
      <c r="DF87" s="369" t="e">
        <f>IF(Rev="F",VLOOKUP(BR87,Reinforcements[],COLUMN(Reinforcements[[#Headers],[Rev. F Top Longitudinal Weld Strength]])-1,FALSE),VLOOKUP(BR87,Reinforcements[],COLUMN(Reinforcements[[#Headers],[Rev. G Top Longitudinal Weld Strength]])-1,FALSE))</f>
        <v>#N/A</v>
      </c>
      <c r="DG87" s="369" t="e">
        <f>2*VLOOKUP(BR87,Reinforcements[],COLUMN(Reinforcements[[#Headers],[Top Longitudinal Weld Fillet Size (in)]])-1,FALSE)*CZ87*MIN(IF(Rev="F",0.4,φ_shear_yield*0.6)*CG87,IF(Rev="F",0.3,φ_shear_rupture*0.6)*CH87)</f>
        <v>#N/A</v>
      </c>
      <c r="DH87" s="369" t="e">
        <f>2*VLOOKUP(BR87,Reinforcements[],COLUMN(Reinforcements[[#Headers],[Top Longitudinal Weld Fillet Size (in)]])-1,FALSE)*CZ87*MIN(IF(Rev="F",0.4,φ_shear_yield*0.6)*$D$6,IF(Rev="F",0.3,φ_shear_rupture*0.6)*$D$7)</f>
        <v>#N/A</v>
      </c>
      <c r="DI87" s="66" t="e">
        <f>IF(BS87="channel",VLOOKUP(Calculations!BR87,Reinforcements[],COLUMN(Reinforcements[[#Headers],['[Channel']Web Thickness (in)]])-1,FALSE),"")</f>
        <v>#N/A</v>
      </c>
      <c r="DJ87" s="66" t="b">
        <f t="shared" si="126"/>
        <v>0</v>
      </c>
      <c r="DK87" s="66" t="e">
        <f>IF(BS87="channel",Calculations!BU87-DI87,"")</f>
        <v>#N/A</v>
      </c>
      <c r="DL87" s="66" t="e">
        <f>IF(BS87="channel",(Calculations!BY87-Calculations!BT87*DI87)/(2*DK87))</f>
        <v>#N/A</v>
      </c>
      <c r="DM87" s="66" t="e">
        <f>IF(BS87="channel",(Calculations!BT87*(DI87^2)/2+2*DK87*DL87*(DI87+DK87/2))/Calculations!BY87,"")</f>
        <v>#N/A</v>
      </c>
    </row>
    <row r="88" spans="2:117" ht="15" x14ac:dyDescent="0.25">
      <c r="B88" s="66" t="str">
        <f t="shared" si="70"/>
        <v/>
      </c>
      <c r="C88" s="317">
        <v>10</v>
      </c>
      <c r="D88" s="380" t="str">
        <f>IF(BQ88="","",IF($D$8=0,IF(OR(VLOOKUP(BQ88,Input!$B$21:$AL$50,19+C88,FALSE)+$D$5=0,VLOOKUP(BQ88,Input!$B$21:$AL$50,19+C88,FALSE)+$D$5=180),VLOOKUP(BQ88,Input!$B$21:$AL$50,19+C88,FALSE)+$D$5+0.0001,VLOOKUP(BQ88,Input!$B$21:$AL$50,19+C88,FALSE)+$D$5),IF(VLOOKUP(BQ88,Input!$B$21:$AL$50,19+C88,FALSE)="c",VLOOKUP($C88,$C$40:$E$57,2,FALSE)+180/$D$8,VLOOKUP($C88,$C$40:$E$57,2,FALSE))))</f>
        <v/>
      </c>
      <c r="E88" s="370" t="str">
        <f t="shared" si="110"/>
        <v/>
      </c>
      <c r="F88" s="381" t="str">
        <f>IF(BR88="","",VLOOKUP(BR88,Reinforcements[],COLUMN(Reinforcements[[#Headers],[Gross Area (in2)]])-1,FALSE))</f>
        <v/>
      </c>
      <c r="G88" s="378" t="e">
        <f>(IF(VLOOKUP(BQ88,Input!$B$21:$AL$50,19+C88,FALSE)="c",$D$20/COS(RADIANS(180/$D$8)),$D$20)+CA88)*SIN(RADIANS(D88))-IF(AND(ISNUMBER(VLOOKUP(BQ88,Input!$B$21:$AL$50,19+C88,FALSE)),$D$8&lt;&gt;0),VLOOKUP(BQ88,Input!$B$21:$AL$50,19+C88,FALSE)*COS(RADIANS(D88)),0)</f>
        <v>#N/A</v>
      </c>
      <c r="H88" s="373" t="str">
        <f t="shared" si="111"/>
        <v/>
      </c>
      <c r="I88" s="373" t="e">
        <f t="shared" si="86"/>
        <v>#N/A</v>
      </c>
      <c r="J88" s="373" t="e">
        <f t="shared" si="112"/>
        <v>#N/A</v>
      </c>
      <c r="K88" s="373" t="e">
        <f t="shared" si="113"/>
        <v>#N/A</v>
      </c>
      <c r="L88" s="373" t="e">
        <f t="shared" si="114"/>
        <v>#N/A</v>
      </c>
      <c r="M88" s="374" t="str">
        <f>IFERROR((L88+F88*I88^2)*IF(CI88="Yes",BP88,1),"")</f>
        <v/>
      </c>
      <c r="N88" s="372" t="str">
        <f>IFERROR((IF(VLOOKUP(BQ88,Input!$B$21:$AL$50,19+C88,FALSE)="c",$D$20/COS(RADIANS(180/$D$8)),$D$20)+CA88)*SIN(RADIANS(D88))-IF(AND(ISNUMBER(VLOOKUP(BQ88,Input!$B$21:$AL$50,19+C88,FALSE)),$D$8&lt;&gt;0),VLOOKUP(BQ88,Input!$B$21:$AL$50,19+C88,FALSE)*COS(RADIANS(D88)),0)-$D$35,"")</f>
        <v/>
      </c>
      <c r="O88" s="373" t="str">
        <f t="shared" si="87"/>
        <v/>
      </c>
      <c r="P88" s="373" t="str">
        <f t="shared" si="88"/>
        <v/>
      </c>
      <c r="Q88" s="373" t="str">
        <f t="shared" si="89"/>
        <v/>
      </c>
      <c r="R88" s="374" t="str">
        <f t="shared" si="90"/>
        <v/>
      </c>
      <c r="S88" s="373" t="str">
        <f t="shared" si="91"/>
        <v/>
      </c>
      <c r="T88" s="373" t="str">
        <f t="shared" si="92"/>
        <v/>
      </c>
      <c r="U88" s="373" t="str">
        <f t="shared" si="93"/>
        <v/>
      </c>
      <c r="V88" s="374" t="str">
        <f t="shared" si="94"/>
        <v/>
      </c>
      <c r="W88" s="482" t="str">
        <f>IFERROR(IF('Macro References'!$A$9,IF(AND(Calculations!CK88,CL88="Bolted"),VLOOKUP($BR88,Reinforcements[],COLUMN(IF(Rev="F",Reinforcements[[#Headers],[Rev. F Bolt Shear Capacity   (Top)        (kips)]],IF(Rev="G",Reinforcements[[#Headers],[Rev. G Bolt Shear Capacity (Top)     (kips)]],Reinforcements[[#Headers],[Rev. H Bolt Shear Capacity (Top) (kips)]])))-1,FALSE),IF(AND(Calculations!CJ88,CL88="Bolted"),VLOOKUP($BR88,Reinforcements[],COLUMN(IF(Rev="F",Reinforcements[[#Headers],[Rev. F Bolt Shear Capacity (Bottom)   (kips)]],IF(Rev="G",Reinforcements[[#Headers],[Rev. G Bolt Shear Capacity (Bottom) (kips)]],Reinforcements[[#Headers],[Rev. H Bolt Shear Capacity (Bottom) (kips)]])))-1,FALSE),"")),""),"")</f>
        <v/>
      </c>
      <c r="X88" s="483" t="str">
        <f>IFERROR(IF('Macro References'!$A$9,IF('Macro References'!$A$10,IF(AND(Calculations!CK88,CL88="Bolted"),VLOOKUP($BR88,Reinforcements[],COLUMN(IF(Rev="F",Reinforcements[[#Headers],[Rev.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kips)]])))-1,FALSE),IF(AND(Calculations!CJ88,CL88="Bolted"),VLOOKUP($BR88,Reinforcements[],COLUMN(IF(Rev="F",Reinforcements[[#Headers],[Rev.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kips)]])))-1,FALSE),"")),IF(AND(Calculations!CK88,CL88="Bolted"),VLOOKUP($BR88,Reinforcements[],COLUMN(IF(Rev="F",Reinforcements[[#Headers],[Rev.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kips)]])))-1,FALSE),IF(AND(Calculations!CJ88,CL88="Bolted"),VLOOKUP($BR88,Reinforcements[],COLUMN(IF(Rev="F",Reinforcements[[#Headers],[Rev.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8" s="483" t="str">
        <f>IFERROR(IF('Macro References'!$A$9,IF('Macro References'!$A$10,IF(AND(Calculations!CK88,CL88="Bolted"),VLOOKUP($BR88,Reinforcements[],COLUMN(IF(Rev="F",Reinforcements[[#Headers],[Rev.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(kips)]])))-1,FALSE),IF(AND(Calculations!CJ88,CL88="Bolted"),VLOOKUP($BR88,Reinforcements[],COLUMN(IF(Rev="F",Reinforcements[[#Headers],[Rev.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(kips)]])))-1,FALSE),"")),IF(AND(Calculations!CK88,CL88="Bolted"),VLOOKUP($BR88,Reinforcements[],COLUMN(IF(Rev="F",Reinforcements[[#Headers],[Rev.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(kips)]])))-1,FALSE),IF(AND(Calculations!CJ88,CL88="Bolted"),VLOOKUP($BR88,Reinforcements[],COLUMN(IF(Rev="F",Reinforcements[[#Headers],[Rev.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8" s="483" t="str">
        <f>IFERROR(IF('Macro References'!$A$9,IF(AND(CJ88,CL88="Welded"),MIN(CQ88:CT88),IF(AND(CK88,CL88="Welded"),MIN(DB88:DE88),"")),""),"")</f>
        <v/>
      </c>
      <c r="AA88" s="484" t="str">
        <f>IFERROR(IF('Macro References'!$A$9,IF(AND(CJ88,CL88="Welded"),MIN(CU88:CW88),IF(AND(CK88,CL88="Welded"),MIN(DF88:DH88),"")),""),"")</f>
        <v/>
      </c>
      <c r="AB88" s="484" t="str">
        <f>IFERROR(IF('Macro References'!$A$9,IF(AND(CJ88,CL88="Welded",CN88="Fillet",CU88&gt;0),TRUE,IF(AND(CK88,CL88="Welded",CY88="Fillet",DF88&gt;0),TRUE,"")),""),"")</f>
        <v/>
      </c>
      <c r="AC88" s="484" t="e">
        <f>IF('Macro References'!$A$9,IF(AND(CJ88,CL88="Capacity Input"),IF(Rev="F",VLOOKUP(BR88,Reinforcements[],COLUMN(Reinforcements[[#Headers],[Rev. F Bottom Connection Capacity (kips)]])-1,FALSE),IF(Rev="G",VLOOKUP(BR88,Reinforcements[],COLUMN(Reinforcements[[#Headers],[Rev. G Bottom Connection Capacity (kips)]])-1,FALSE),VLOOKUP(BR88,Reinforcements[],COLUMN(Reinforcements[[#Headers],[Rev. H Bottom Connection Capacity (kips)]])-1,FALSE))),IF(AND(CK88,CL88="Capacity Input"),IF(Rev="F",VLOOKUP(BR88,Reinforcements[],COLUMN(Reinforcements[[#Headers],[Rev. F Top Connection Capacity (kips)]])-1,FALSE),IF(Rev="G",VLOOKUP(BR88,Reinforcements[],COLUMN(Reinforcements[[#Headers],[Rev. G Top Connection Capacity (kips)]])-1,FALSE),VLOOKUP(BR88,Reinforcements[],COLUMN(Reinforcements[[#Headers],[Rev. H Top Connection Capacity (kips)]])-1,FALSE))),"")),"")</f>
        <v>#VALUE!</v>
      </c>
      <c r="AD88" s="484" t="str">
        <f>IFERROR(IF(Rev="F",MIN(VLOOKUP(BR88,Reinforcements[],COLUMN(Reinforcements[[#Headers],[Rev. F Compression Capacity x-x (kips)]])-1,FALSE),VLOOKUP(BR88,Reinforcements[],COLUMN(Reinforcements[[#Headers],[Rev. F Compression Capacity y-y (kips)]])-1,FALSE)),IF(Rev="G",MIN(VLOOKUP(BR88,Reinforcements[],COLUMN(Reinforcements[[#Headers],[Rev. G Compression Capacity x-x (kips)]])-1,FALSE),VLOOKUP(BR88,Reinforcements[],COLUMN(Reinforcements[[#Headers],[Rev. G Compression Capacity y-y (kips)]])-1,FALSE)),MIN(VLOOKUP(BR88,Reinforcements[],COLUMN(Reinforcements[[#Headers],[Rev. H Compression Capacity x-x (kips)]])-1,FALSE),VLOOKUP(BR88,Reinforcements[],COLUMN(Reinforcements[[#Headers],[Rev. H Compression Capacity y-y (kips)]])-1,FALSE)))),"")</f>
        <v/>
      </c>
      <c r="AE88" s="485" t="str">
        <f>IFERROR(IF(Rev="F",VLOOKUP(BR88,Reinforcements[],COLUMN(Reinforcements[[#Headers],[Rev. F Shear Capacity (kips)]])-1,FALSE)/BY88,IF(Rev="G",VLOOKUP(Calculations!BR88,Reinforcements[],COLUMN(Reinforcements[[#Headers],[Rev. G Shear Capacity (kips)]])-1,FALSE),VLOOKUP(Calculations!BR88,Reinforcements[],COLUMN(Reinforcements[[#Headers],[Rev. H Shear Capacity (kips)]])-1,FALSE))),"")</f>
        <v/>
      </c>
      <c r="AF88" s="451" t="str">
        <f>IFERROR(IF(Rev="F",VLOOKUP(BR88,Reinforcements[],COLUMN(Reinforcements[[#Headers],[Rev. F Tension Yield Capacity (kips)]])-1,FALSE),IF(Rev="G",VLOOKUP(Calculations!BR88,Reinforcements[],COLUMN(Reinforcements[[#Headers],[Rev. G Tension Yield Capacity (kips)]])-1,FALSE),VLOOKUP(Calculations!BR88,Reinforcements[],COLUMN(Reinforcements[[#Headers],[Rev. H Tension Yield Capacity (kips)]])-1,FALSE))),"")</f>
        <v/>
      </c>
      <c r="AG88" s="486" t="str">
        <f>IFERROR(IF(Rev="F",VLOOKUP(BR88,Reinforcements[],COLUMN(Reinforcements[[#Headers],[Rev. F Tension Rupture Capacity (kips)]])-1,FALSE),IF(Rev="G",VLOOKUP(Calculations!BR88,Reinforcements[],COLUMN(Reinforcements[[#Headers],[Rev. G Tension Rupture Capacity (kips)]])-1,FALSE),VLOOKUP(Calculations!BR88,Reinforcements[],COLUMN(Reinforcements[[#Headers],[Rev. H Tension Rupture Capacity (kips)]])-1, FALSE))),"")</f>
        <v/>
      </c>
      <c r="AH88" s="409" t="str">
        <f t="shared" si="95"/>
        <v/>
      </c>
      <c r="AI88" s="380" t="str">
        <f t="shared" si="96"/>
        <v/>
      </c>
      <c r="AJ88" s="380" t="str">
        <f t="shared" si="97"/>
        <v/>
      </c>
      <c r="AK88" s="380" t="str">
        <f t="shared" si="85"/>
        <v/>
      </c>
      <c r="AL88" s="369" t="str">
        <f t="shared" si="78"/>
        <v/>
      </c>
      <c r="AM88" s="380" t="str">
        <f>""</f>
        <v/>
      </c>
      <c r="AN88" s="380" t="str">
        <f t="shared" si="98"/>
        <v/>
      </c>
      <c r="AO88" s="369" t="str">
        <f t="shared" si="99"/>
        <v/>
      </c>
      <c r="AP88" s="410" t="str">
        <f t="shared" si="100"/>
        <v/>
      </c>
      <c r="AQ88" s="411" t="str">
        <f t="shared" si="53"/>
        <v/>
      </c>
      <c r="AR88" s="380" t="str">
        <f>IF(BR88="","",VLOOKUP(VLOOKUP(BR88,Reinforcements[],COLUMN(Reinforcements[[#Headers],[Material]])-1,FALSE),Materials[],2,FALSE)/$D$28)</f>
        <v/>
      </c>
      <c r="AS88" s="369" t="str">
        <f t="shared" si="54"/>
        <v/>
      </c>
      <c r="AT88" s="489" t="str">
        <f t="shared" si="101"/>
        <v/>
      </c>
      <c r="AU88" s="412">
        <f t="shared" si="116"/>
        <v>0</v>
      </c>
      <c r="AV88" s="413">
        <f t="shared" si="117"/>
        <v>0</v>
      </c>
      <c r="AW88" s="413" t="e">
        <f t="shared" si="102"/>
        <v>#N/A</v>
      </c>
      <c r="AX88" s="413" t="e">
        <f t="shared" si="103"/>
        <v>#N/A</v>
      </c>
      <c r="AY88" s="413" t="str">
        <f t="shared" si="104"/>
        <v/>
      </c>
      <c r="AZ88" s="413" t="e">
        <f t="shared" si="105"/>
        <v>#VALUE!</v>
      </c>
      <c r="BA88" s="433" t="str">
        <f t="shared" si="118"/>
        <v/>
      </c>
      <c r="BB88" s="436" t="str">
        <f t="shared" si="119"/>
        <v/>
      </c>
      <c r="BC88" s="437" t="str">
        <f t="shared" si="120"/>
        <v/>
      </c>
      <c r="BD88" s="437" t="str">
        <f t="shared" si="106"/>
        <v/>
      </c>
      <c r="BE88" s="433" t="str">
        <f t="shared" si="121"/>
        <v/>
      </c>
      <c r="BF88" s="438" t="e">
        <f t="shared" si="122"/>
        <v>#DIV/0!</v>
      </c>
      <c r="BG88" s="439" t="str">
        <f t="shared" si="107"/>
        <v/>
      </c>
      <c r="BH88" s="439" t="str">
        <f t="shared" si="108"/>
        <v/>
      </c>
      <c r="BI88" s="433" t="e">
        <f t="shared" si="123"/>
        <v>#DIV/0!</v>
      </c>
      <c r="BJ88" s="438" t="str">
        <f t="shared" si="124"/>
        <v/>
      </c>
      <c r="BK88" s="413" t="e">
        <f t="shared" si="125"/>
        <v>#DIV/0!</v>
      </c>
      <c r="BL88" s="66" t="str">
        <f t="shared" si="68"/>
        <v/>
      </c>
      <c r="BP88" s="30" t="e">
        <f t="shared" si="109"/>
        <v>#DIV/0!</v>
      </c>
      <c r="BQ88" s="444" t="str">
        <f>IFERROR(VALUE(IF(LEN(VLOOKUP(Calculations!$D$4,Results!$G$5:$CM$105,67+$C69,FALSE))-LEN(SUBSTITUTE(VLOOKUP(Calculations!$D$4,Results!$G$5:$CM$105,67+$C69,FALSE),";",""))&gt;1,MID(VLOOKUP(Calculations!$D$4,Results!$G$5:$CM$105,67+$C69,FALSE),FIND(";",VLOOKUP(Calculations!$D$4,Results!$G$5:$CM$105,67+$C69,FALSE))+1,FIND(";",VLOOKUP(Calculations!$D$4,Results!$G$5:$CM$105,67+$C69,FALSE),FIND(";",VLOOKUP(Calculations!$D$4,Results!$G$5:$CM$105,67+$C69,FALSE))+1)-FIND(";",VLOOKUP(Calculations!$D$4,Results!$G$5:$CM$105,67+$C69,FALSE))-1),"")),"")</f>
        <v/>
      </c>
      <c r="BR88" s="444" t="str">
        <f>IF(BQ88="","",VLOOKUP(BQ88,Input!$B$21:$Q$50,13,FALSE))</f>
        <v/>
      </c>
      <c r="BS88" s="369" t="e">
        <f>VLOOKUP(BR88,Reinforcements[],COLUMN(Reinforcements[[#Headers],[Type]])-1,FALSE)</f>
        <v>#N/A</v>
      </c>
      <c r="BT88" s="369" t="e">
        <f>IF(BS88="solid round",VLOOKUP(BR88,Reinforcements[],COLUMN(Reinforcements[[#Headers],[Diameter (in)]])-1,FALSE),VLOOKUP(BR88,Reinforcements[],COLUMN(Reinforcements[[#Headers],[B (in)]])-1,FALSE))</f>
        <v>#N/A</v>
      </c>
      <c r="BU88" s="369" t="e">
        <f>IF(BS88="solid round",VLOOKUP(BR88,Reinforcements[],COLUMN(Reinforcements[[#Headers],[Diameter (in)]])-1,FALSE),VLOOKUP(BR88,Reinforcements[],COLUMN(Reinforcements[[#Headers],[H (in)]])-1,FALSE))</f>
        <v>#N/A</v>
      </c>
      <c r="BV88" s="413" t="e">
        <f>IFERROR((IF(VLOOKUP(BQ88,Input!$B$21:$AL$50,19+C88,FALSE)="c",$D$20/COS(RADIANS(180/$D$8)),$D$20)+BU88/2)*SIN(RADIANS(D88))-IF(ISNUMBER(VLOOKUP(BQ88,Input!$B$21:$AL$50,19+C88,FALSE)),VLOOKUP(BQ88,Input!$B$21:$AL$50,19+C88,FALSE)*COS(RADIANS(D88)),0)-$D$35,"")*0+N88*1</f>
        <v>#VALUE!</v>
      </c>
      <c r="BW88" s="369" t="e">
        <f>VLOOKUP(BR88,Reinforcements[],COLUMN(Reinforcements[[#Headers],[Effective B (in)]])-1,FALSE)</f>
        <v>#N/A</v>
      </c>
      <c r="BX88" s="369" t="e">
        <f>VLOOKUP(BR88,Reinforcements[],COLUMN(Reinforcements[[#Headers],[Effective H (in)]])-1,FALSE)</f>
        <v>#N/A</v>
      </c>
      <c r="BY88" s="369" t="e">
        <f>VLOOKUP(BR88,Reinforcements[],COLUMN(Reinforcements[[#Headers],[Gross Area (in2)]])-1,FALSE)</f>
        <v>#N/A</v>
      </c>
      <c r="BZ88" s="380" t="s">
        <v>335</v>
      </c>
      <c r="CA88" s="369" t="e">
        <f>VLOOKUP(BR88,Reinforcements[],COLUMN(Reinforcements[[#Headers],[Pole Face to Centroid (in)]])-1,FALSE)</f>
        <v>#N/A</v>
      </c>
      <c r="CB88" s="369" t="e">
        <f>VLOOKUP(BR88,Reinforcements[],COLUMN(Reinforcements[[#Headers],[Ix]])-1,FALSE)</f>
        <v>#N/A</v>
      </c>
      <c r="CC88" s="369" t="e">
        <f>VLOOKUP(BR88,Reinforcements[],COLUMN(Reinforcements[[#Headers],[Iy]])-1,FALSE)</f>
        <v>#N/A</v>
      </c>
      <c r="CD88" s="369" t="e">
        <f>VLOOKUP(BR88,Reinforcements[],COLUMN(Reinforcements[[#Headers],[Lu (in)]])-1,FALSE)</f>
        <v>#N/A</v>
      </c>
      <c r="CE88" s="380" t="s">
        <v>335</v>
      </c>
      <c r="CF88" s="380" t="s">
        <v>335</v>
      </c>
      <c r="CG88" s="369" t="e">
        <f>VLOOKUP(VLOOKUP(BR88,Reinforcements[],COLUMN(Reinforcements[[#Headers],[Material]])-1,FALSE),Materials[],2,FALSE)</f>
        <v>#N/A</v>
      </c>
      <c r="CH88" s="369" t="e">
        <f>VLOOKUP(VLOOKUP(BR88,Reinforcements[],COLUMN(Reinforcements[[#Headers],[Material]])-1,FALSE),Materials[],3,FALSE)</f>
        <v>#N/A</v>
      </c>
      <c r="CI88" s="380" t="e">
        <f>VLOOKUP(BR88,Reinforcements[],COLUMN(Reinforcements[[#Headers],[Tension Only?]])-1,FALSE)</f>
        <v>#N/A</v>
      </c>
      <c r="CJ88" s="449" t="str">
        <f>IF(BQ88="","",AND(INDEX(Results!$G$5:$G$104,MATCH(VLOOKUP($BQ88,Input!$B$21:$J$50,2,FALSE)-0.001,Results!$G$5:$G$104,-1))=$D$4))</f>
        <v/>
      </c>
      <c r="CK88" s="449" t="str">
        <f>IF(BQ88="","",AND(INDEX('Macro References'!$BB$2:$BB$101,MATCH(VLOOKUP($BQ88,Input!$B$21:$J$50,6,FALSE)-0.001,'Macro References'!$BB$2:$BB$101,1))=$D$4))</f>
        <v/>
      </c>
      <c r="CL88" s="449" t="e">
        <f>IF(CJ88,VLOOKUP(BR88,Reinforcements[],COLUMN(Reinforcements[[#Headers],[Bottom End Connection Type]])-1,FALSE),IF(CK88,VLOOKUP(BR88,Reinforcements[],COLUMN(Reinforcements[[#Headers],[Top End Connection Type]])-1,FALSE),""))</f>
        <v>#VALUE!</v>
      </c>
      <c r="CM88" s="449" t="e">
        <f>IF(ISBLANK(VLOOKUP(BR88,Reinforcements[],COLUMN(Reinforcements[[#Headers],[Bottom Transverse Weld Length]])-1,FALSE)),"",(VLOOKUP(BR88,Reinforcements[],COLUMN(Reinforcements[[#Headers],[Bottom Transverse Weld Length]])-1,FALSE)))</f>
        <v>#N/A</v>
      </c>
      <c r="CN88" s="449" t="e">
        <f>IF(ISBLANK(VLOOKUP(BR88,Reinforcements[],COLUMN(Reinforcements[[#Headers],[Bottom Transverse (Horizontal) Weld]])-1,FALSE)),"",(VLOOKUP(BR88,Reinforcements[],COLUMN(Reinforcements[[#Headers],[Bottom Transverse (Horizontal) Weld]])-1,FALSE)))</f>
        <v>#N/A</v>
      </c>
      <c r="CO88" s="449" t="e">
        <f>IF(ISBLANK(VLOOKUP(BR88,Reinforcements[],COLUMN(Reinforcements[[#Headers],[Bottom Longitudinal Weld Length]])-1,FALSE)),"",(VLOOKUP(BR88,Reinforcements[],COLUMN(Reinforcements[[#Headers],[Bottom Longitudinal Weld Length]])-1,FALSE)))</f>
        <v>#N/A</v>
      </c>
      <c r="CP88" s="449" t="str">
        <f>IFERROR(VLOOKUP(BR88,Reinforcements[],COLUMN(Reinforcements[[#Headers],[Bottom Connected to Flange/Base Plate?]])-1,FALSE),"")</f>
        <v/>
      </c>
      <c r="CQ88" s="369" t="e">
        <f>IF(Rev="F",VLOOKUP(BR88,Reinforcements[],COLUMN(Reinforcements[[#Headers],[Rev. F Bottom Transverse Weld Strength]])-1,FALSE),VLOOKUP(BR88,Reinforcements[],COLUMN(Reinforcements[[#Headers],[Rev. G Bottom Transverse Weld Strength]])-1,FALSE))</f>
        <v>#N/A</v>
      </c>
      <c r="CR88" s="369" t="e">
        <f>IF(CP88="Yes",IF(CN88="Fillet",VLOOKUP(BR88,Reinforcements[],COLUMN(Reinforcements[[#Headers],[Bottom Transverse Weld Fillet Size (in)]])-1,FALSE)*CM88*MIN(IF(Rev="F",0.4,φ_shear_yield*0.6)*CG88,IF(Rev="F",0.3,φ_shear_rupture*0.6)*CH88),VLOOKUP(BR88,Reinforcements[],COLUMN(Reinforcements[[#Headers],[Bottom Transverse Weld Groove Depth (in)]])-1,FALSE)/COS(RADIANS(VLOOKUP(BR88,Reinforcements[],COLUMN(Reinforcements[[#Headers],[Bottom Transverse Weld Groove Angle (degrees)]])-1,FALSE)))*CM88*IF(Rev="F",0.6,φ_t_y)*CG88),VLOOKUP(BR88,Reinforcements[],COLUMN(Reinforcements[[#Headers],[Bottom Transverse Weld Fillet Size (in)]])-1,FALSE)*CM88*IF(Rev="F",0.6,φ_t_y)*CG88)</f>
        <v>#N/A</v>
      </c>
      <c r="CS88" s="369" t="str">
        <f>IF(CP88&lt;&gt;"Yes","",(VLOOKUP(BR88,Reinforcements[],COLUMN(Reinforcements[[#Headers],[Bottom Transverse Weld Groove Depth (in)]])-1,FALSE)+VLOOKUP(BR88,Reinforcements[],COLUMN(Reinforcements[[#Headers],[Bottom Transverse Weld Fillet Size (in)]])-1,FALSE))*CM88*IF(Rev="F",0.6,φ_t_y)*$D$14)</f>
        <v/>
      </c>
      <c r="CT88" s="369" t="e">
        <f>IF(CP88="Yes","",VLOOKUP(BR88,Reinforcements[],COLUMN(Reinforcements[[#Headers],[Bottom Transverse Weld Fillet Size (in)]])-1,FALSE)*CM88*MIN(IF(Rev="F",0.4,φ_shear_yield*0.6)*$D$6,IF(Rev="F",0.3,φ_shear_rupture*0.6)*$D$7))</f>
        <v>#N/A</v>
      </c>
      <c r="CU88" s="369" t="e">
        <f>IF(Rev="F",VLOOKUP(BR88,Reinforcements[],COLUMN(Reinforcements[[#Headers],[Rev. F Bottom Longitudinal Weld Strength]])-1,FALSE),VLOOKUP(BR88,Reinforcements[],COLUMN(Reinforcements[[#Headers],[Rev. G Bottom Longitudinal Weld Strength]])-1,FALSE))</f>
        <v>#N/A</v>
      </c>
      <c r="CV88" s="369" t="e">
        <f>2*VLOOKUP(BR88,Reinforcements[],COLUMN(Reinforcements[[#Headers],[Bottom Longitudinal Weld Fillet Size (in)]])-1,FALSE)*CO88*MIN(IF(Rev="F",0.4,φ_shear_yield*0.6)*CG88,IF(Rev="F",0.3,φ_shear_rupture*0.6)*CH88)</f>
        <v>#N/A</v>
      </c>
      <c r="CW88" s="369" t="e">
        <f>2*VLOOKUP(BR88,Reinforcements[],COLUMN(Reinforcements[[#Headers],[Bottom Longitudinal Weld Fillet Size (in)]])-1,FALSE)*CO88*MIN(IF(Rev="F",0.4,φ_shear_yield*0.6)*$D$6,IF(Rev="F",0.3,φ_shear_rupture*0.6)*$D$7)</f>
        <v>#N/A</v>
      </c>
      <c r="CX88" s="451" t="e">
        <f>IF(ISBLANK(VLOOKUP(BR88,Reinforcements[],COLUMN(Reinforcements[[#Headers],[Top Transverse Weld Length]])-1,FALSE)),"",(VLOOKUP(BR88,Reinforcements[],COLUMN(Reinforcements[[#Headers],[Top Transverse Weld Length]])-1,FALSE)))</f>
        <v>#N/A</v>
      </c>
      <c r="CY88" s="451" t="e">
        <f>IF(ISBLANK(VLOOKUP(BR88,Reinforcements[],COLUMN(Reinforcements[[#Headers],[Top Transverse (Horizontal) Weld]])-1,FALSE)),"",(VLOOKUP(BR88,Reinforcements[],COLUMN(Reinforcements[[#Headers],[Top Transverse (Horizontal) Weld]])-1,FALSE)))</f>
        <v>#N/A</v>
      </c>
      <c r="CZ88" s="451" t="e">
        <f>IF(ISBLANK(VLOOKUP(BR88,Reinforcements[],COLUMN(Reinforcements[[#Headers],[Top Longitudinal Weld Length]])-1,FALSE)),"",(VLOOKUP(BR88,Reinforcements[],COLUMN(Reinforcements[[#Headers],[Top Longitudinal Weld Length]])-1,FALSE)))</f>
        <v>#N/A</v>
      </c>
      <c r="DA88" s="369" t="str">
        <f>IFERROR(VLOOKUP(BR88,Reinforcements[],COLUMN(Reinforcements[[#Headers],[Top Connected to Flange/Base Plate?]])-1,FALSE),"")</f>
        <v/>
      </c>
      <c r="DB88" s="369" t="e">
        <f>IF(Rev="F",VLOOKUP(BR88,Reinforcements[],COLUMN(Reinforcements[[#Headers],[Rev. F Top Transverse Weld Strength]])-1,FALSE),VLOOKUP(BR88,Reinforcements[],COLUMN(Reinforcements[[#Headers],[Rev. G Top Transverse Weld Strength]])-1,FALSE))</f>
        <v>#N/A</v>
      </c>
      <c r="DC88" s="369" t="e">
        <f>IF(DA88="Yes",IF(CY88="Fillet",VLOOKUP(BR88,Reinforcements[],COLUMN(Reinforcements[[#Headers],[Top Transverse Weld Fillet Size (in)]])-1,FALSE)*CX88*MIN(IF(Rev="F",0.4,φ_shear_yield*0.6)*CG88,IF(Rev="F",0.3,φ_shear_rupture*0.6)*CH88),VLOOKUP(BR88,Reinforcements[],COLUMN(Reinforcements[[#Headers],[Top Transverse Weld Groove Depth (in)]])-1,FALSE)/COS(RADIANS(VLOOKUP(BR88,Reinforcements[],COLUMN(Reinforcements[[#Headers],[Top Transverse Weld Groove Angle (degrees)]])-1,FALSE)))*CX88*IF(Rev="F",0.6,φ_t_y)*CG88),VLOOKUP(BR88,Reinforcements[],COLUMN(Reinforcements[[#Headers],[Top Transverse Weld Fillet Size (in)]])-1,FALSE)*CX88*IF(Rev="F",0.6,φ_t_y)*CG88)</f>
        <v>#N/A</v>
      </c>
      <c r="DD88" s="369" t="str">
        <f>IF(DA88&lt;&gt;"Yes","",(VLOOKUP(BR88,Reinforcements[],COLUMN(Reinforcements[[#Headers],[Top Transverse Weld Groove Depth (in)]])-1,FALSE)+VLOOKUP(BR88,Reinforcements[],COLUMN(Reinforcements[[#Headers],[Top Transverse Weld Fillet Size (in)]])-1,FALSE))*CX88*IF(Rev="F",0.6,φ_t_y)*$D$14)</f>
        <v/>
      </c>
      <c r="DE88" s="369" t="e">
        <f>IF(DA88="Yes","",VLOOKUP(BR88,Reinforcements[],COLUMN(Reinforcements[[#Headers],[Top Transverse Weld Fillet Size (in)]])-1,FALSE)*CX88*MIN(IF(Rev="F",0.4,φ_shear_yield*0.6)*$D$6,IF(Rev="F",0.3,φ_shear_rupture*0.6)*$D$7))</f>
        <v>#N/A</v>
      </c>
      <c r="DF88" s="369" t="e">
        <f>IF(Rev="F",VLOOKUP(BR88,Reinforcements[],COLUMN(Reinforcements[[#Headers],[Rev. F Top Longitudinal Weld Strength]])-1,FALSE),VLOOKUP(BR88,Reinforcements[],COLUMN(Reinforcements[[#Headers],[Rev. G Top Longitudinal Weld Strength]])-1,FALSE))</f>
        <v>#N/A</v>
      </c>
      <c r="DG88" s="369" t="e">
        <f>2*VLOOKUP(BR88,Reinforcements[],COLUMN(Reinforcements[[#Headers],[Top Longitudinal Weld Fillet Size (in)]])-1,FALSE)*CZ88*MIN(IF(Rev="F",0.4,φ_shear_yield*0.6)*CG88,IF(Rev="F",0.3,φ_shear_rupture*0.6)*CH88)</f>
        <v>#N/A</v>
      </c>
      <c r="DH88" s="369" t="e">
        <f>2*VLOOKUP(BR88,Reinforcements[],COLUMN(Reinforcements[[#Headers],[Top Longitudinal Weld Fillet Size (in)]])-1,FALSE)*CZ88*MIN(IF(Rev="F",0.4,φ_shear_yield*0.6)*$D$6,IF(Rev="F",0.3,φ_shear_rupture*0.6)*$D$7)</f>
        <v>#N/A</v>
      </c>
      <c r="DI88" s="66" t="e">
        <f>IF(BS88="channel",VLOOKUP(Calculations!BR88,Reinforcements[],COLUMN(Reinforcements[[#Headers],['[Channel']Web Thickness (in)]])-1,FALSE),"")</f>
        <v>#N/A</v>
      </c>
      <c r="DJ88" s="66" t="b">
        <f t="shared" si="126"/>
        <v>0</v>
      </c>
      <c r="DK88" s="66" t="e">
        <f>IF(BS88="channel",Calculations!BU88-DI88,"")</f>
        <v>#N/A</v>
      </c>
      <c r="DL88" s="66" t="e">
        <f>IF(BS88="channel",(Calculations!BY88-Calculations!BT88*DI88)/(2*DK88))</f>
        <v>#N/A</v>
      </c>
      <c r="DM88" s="66" t="e">
        <f>IF(BS88="channel",(Calculations!BT88*(DI88^2)/2+2*DK88*DL88*(DI88+DK88/2))/Calculations!BY88,"")</f>
        <v>#N/A</v>
      </c>
    </row>
    <row r="89" spans="2:117" ht="15" x14ac:dyDescent="0.25">
      <c r="B89" s="66" t="str">
        <f t="shared" si="70"/>
        <v/>
      </c>
      <c r="C89" s="317">
        <v>11</v>
      </c>
      <c r="D89" s="380" t="str">
        <f>IF(BQ89="","",IF($D$8=0,IF(OR(VLOOKUP(BQ89,Input!$B$21:$AL$50,19+C89,FALSE)+$D$5=0,VLOOKUP(BQ89,Input!$B$21:$AL$50,19+C89,FALSE)+$D$5=180),VLOOKUP(BQ89,Input!$B$21:$AL$50,19+C89,FALSE)+$D$5+0.0001,VLOOKUP(BQ89,Input!$B$21:$AL$50,19+C89,FALSE)+$D$5),IF(VLOOKUP(BQ89,Input!$B$21:$AL$50,19+C89,FALSE)="c",VLOOKUP($C89,$C$40:$E$57,2,FALSE)+180/$D$8,VLOOKUP($C89,$C$40:$E$57,2,FALSE))))</f>
        <v/>
      </c>
      <c r="E89" s="370" t="str">
        <f t="shared" si="110"/>
        <v/>
      </c>
      <c r="F89" s="381" t="str">
        <f>IF(BR89="","",VLOOKUP(BR89,Reinforcements[],COLUMN(Reinforcements[[#Headers],[Gross Area (in2)]])-1,FALSE))</f>
        <v/>
      </c>
      <c r="G89" s="378" t="e">
        <f>(IF(VLOOKUP(BQ89,Input!$B$21:$AL$50,19+C89,FALSE)="c",$D$20/COS(RADIANS(180/$D$8)),$D$20)+CA89)*SIN(RADIANS(D89))-IF(AND(ISNUMBER(VLOOKUP(BQ89,Input!$B$21:$AL$50,19+C89,FALSE)),$D$8&lt;&gt;0),VLOOKUP(BQ89,Input!$B$21:$AL$50,19+C89,FALSE)*COS(RADIANS(D89)),0)</f>
        <v>#N/A</v>
      </c>
      <c r="H89" s="373" t="str">
        <f t="shared" si="111"/>
        <v/>
      </c>
      <c r="I89" s="373" t="e">
        <f t="shared" si="86"/>
        <v>#N/A</v>
      </c>
      <c r="J89" s="373" t="e">
        <f t="shared" si="112"/>
        <v>#N/A</v>
      </c>
      <c r="K89" s="373" t="e">
        <f t="shared" si="113"/>
        <v>#N/A</v>
      </c>
      <c r="L89" s="373" t="e">
        <f t="shared" si="114"/>
        <v>#N/A</v>
      </c>
      <c r="M89" s="374" t="str">
        <f t="shared" si="115"/>
        <v/>
      </c>
      <c r="N89" s="372" t="str">
        <f>IFERROR((IF(VLOOKUP(BQ89,Input!$B$21:$AL$50,19+C89,FALSE)="c",$D$20/COS(RADIANS(180/$D$8)),$D$20)+CA89)*SIN(RADIANS(D89))-IF(AND(ISNUMBER(VLOOKUP(BQ89,Input!$B$21:$AL$50,19+C89,FALSE)),$D$8&lt;&gt;0),VLOOKUP(BQ89,Input!$B$21:$AL$50,19+C89,FALSE)*COS(RADIANS(D89)),0)-$D$35,"")</f>
        <v/>
      </c>
      <c r="O89" s="373" t="str">
        <f t="shared" si="87"/>
        <v/>
      </c>
      <c r="P89" s="373" t="str">
        <f t="shared" si="88"/>
        <v/>
      </c>
      <c r="Q89" s="373" t="str">
        <f t="shared" si="89"/>
        <v/>
      </c>
      <c r="R89" s="374" t="str">
        <f t="shared" si="90"/>
        <v/>
      </c>
      <c r="S89" s="373" t="str">
        <f t="shared" si="91"/>
        <v/>
      </c>
      <c r="T89" s="373" t="str">
        <f t="shared" si="92"/>
        <v/>
      </c>
      <c r="U89" s="373" t="str">
        <f t="shared" si="93"/>
        <v/>
      </c>
      <c r="V89" s="374" t="str">
        <f t="shared" si="94"/>
        <v/>
      </c>
      <c r="W89" s="482" t="str">
        <f>IFERROR(IF('Macro References'!$A$9,IF(AND(Calculations!CK89,CL89="Bolted"),VLOOKUP($BR89,Reinforcements[],COLUMN(IF(Rev="F",Reinforcements[[#Headers],[Rev. F Bolt Shear Capacity   (Top)        (kips)]],IF(Rev="G",Reinforcements[[#Headers],[Rev. G Bolt Shear Capacity (Top)     (kips)]],Reinforcements[[#Headers],[Rev. H Bolt Shear Capacity (Top) (kips)]])))-1,FALSE),IF(AND(Calculations!CJ89,CL89="Bolted"),VLOOKUP($BR89,Reinforcements[],COLUMN(IF(Rev="F",Reinforcements[[#Headers],[Rev. F Bolt Shear Capacity (Bottom)   (kips)]],IF(Rev="G",Reinforcements[[#Headers],[Rev. G Bolt Shear Capacity (Bottom) (kips)]],Reinforcements[[#Headers],[Rev. H Bolt Shear Capacity (Bottom) (kips)]])))-1,FALSE),"")),""),"")</f>
        <v/>
      </c>
      <c r="X89" s="483" t="str">
        <f>IFERROR(IF('Macro References'!$A$9,IF('Macro References'!$A$10,IF(AND(Calculations!CK89,CL89="Bolted"),VLOOKUP($BR89,Reinforcements[],COLUMN(IF(Rev="F",Reinforcements[[#Headers],[Rev.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kips)]])))-1,FALSE),IF(AND(Calculations!CJ89,CL89="Bolted"),VLOOKUP($BR89,Reinforcements[],COLUMN(IF(Rev="F",Reinforcements[[#Headers],[Rev.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kips)]])))-1,FALSE),"")),IF(AND(Calculations!CK89,CL89="Bolted"),VLOOKUP($BR89,Reinforcements[],COLUMN(IF(Rev="F",Reinforcements[[#Headers],[Rev.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kips)]])))-1,FALSE),IF(AND(Calculations!CJ89,CL89="Bolted"),VLOOKUP($BR89,Reinforcements[],COLUMN(IF(Rev="F",Reinforcements[[#Headers],[Rev.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9" s="483" t="str">
        <f>IFERROR(IF('Macro References'!$A$9,IF('Macro References'!$A$10,IF(AND(Calculations!CK89,CL89="Bolted"),VLOOKUP($BR89,Reinforcements[],COLUMN(IF(Rev="F",Reinforcements[[#Headers],[Rev.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(kips)]])))-1,FALSE),IF(AND(Calculations!CJ89,CL89="Bolted"),VLOOKUP($BR89,Reinforcements[],COLUMN(IF(Rev="F",Reinforcements[[#Headers],[Rev.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(kips)]])))-1,FALSE),"")),IF(AND(Calculations!CK89,CL89="Bolted"),VLOOKUP($BR89,Reinforcements[],COLUMN(IF(Rev="F",Reinforcements[[#Headers],[Rev.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(kips)]])))-1,FALSE),IF(AND(Calculations!CJ89,CL89="Bolted"),VLOOKUP($BR89,Reinforcements[],COLUMN(IF(Rev="F",Reinforcements[[#Headers],[Rev.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9" s="483" t="str">
        <f>IFERROR(IF('Macro References'!$A$9,IF(AND(CJ89,CL89="Welded"),MIN(CQ89:CT89),IF(AND(CK89,CL89="Welded"),MIN(DB89:DE89),"")),""),"")</f>
        <v/>
      </c>
      <c r="AA89" s="484" t="str">
        <f>IFERROR(IF('Macro References'!$A$9,IF(AND(CJ89,CL89="Welded"),MIN(CU89:CW89),IF(AND(CK89,CL89="Welded"),MIN(DF89:DH89),"")),""),"")</f>
        <v/>
      </c>
      <c r="AB89" s="484" t="str">
        <f>IFERROR(IF('Macro References'!$A$9,IF(AND(CJ89,CL89="Welded",CN89="Fillet",CU89&gt;0),TRUE,IF(AND(CK89,CL89="Welded",CY89="Fillet",DF89&gt;0),TRUE,"")),""),"")</f>
        <v/>
      </c>
      <c r="AC89" s="484" t="e">
        <f>IF('Macro References'!$A$9,IF(AND(CJ89,CL89="Capacity Input"),IF(Rev="F",VLOOKUP(BR89,Reinforcements[],COLUMN(Reinforcements[[#Headers],[Rev. F Bottom Connection Capacity (kips)]])-1,FALSE),IF(Rev="G",VLOOKUP(BR89,Reinforcements[],COLUMN(Reinforcements[[#Headers],[Rev. G Bottom Connection Capacity (kips)]])-1,FALSE),VLOOKUP(BR89,Reinforcements[],COLUMN(Reinforcements[[#Headers],[Rev. H Bottom Connection Capacity (kips)]])-1,FALSE))),IF(AND(CK89,CL89="Capacity Input"),IF(Rev="F",VLOOKUP(BR89,Reinforcements[],COLUMN(Reinforcements[[#Headers],[Rev. F Top Connection Capacity (kips)]])-1,FALSE),IF(Rev="G",VLOOKUP(BR89,Reinforcements[],COLUMN(Reinforcements[[#Headers],[Rev. G Top Connection Capacity (kips)]])-1,FALSE),VLOOKUP(BR89,Reinforcements[],COLUMN(Reinforcements[[#Headers],[Rev. H Top Connection Capacity (kips)]])-1,FALSE))),"")),"")</f>
        <v>#VALUE!</v>
      </c>
      <c r="AD89" s="484" t="str">
        <f>IFERROR(IF(Rev="F",MIN(VLOOKUP(BR89,Reinforcements[],COLUMN(Reinforcements[[#Headers],[Rev. F Compression Capacity x-x (kips)]])-1,FALSE),VLOOKUP(BR89,Reinforcements[],COLUMN(Reinforcements[[#Headers],[Rev. F Compression Capacity y-y (kips)]])-1,FALSE)),IF(Rev="G",MIN(VLOOKUP(BR89,Reinforcements[],COLUMN(Reinforcements[[#Headers],[Rev. G Compression Capacity x-x (kips)]])-1,FALSE),VLOOKUP(BR89,Reinforcements[],COLUMN(Reinforcements[[#Headers],[Rev. G Compression Capacity y-y (kips)]])-1,FALSE)),MIN(VLOOKUP(BR89,Reinforcements[],COLUMN(Reinforcements[[#Headers],[Rev. H Compression Capacity x-x (kips)]])-1,FALSE),VLOOKUP(BR89,Reinforcements[],COLUMN(Reinforcements[[#Headers],[Rev. H Compression Capacity y-y (kips)]])-1,FALSE)))),"")</f>
        <v/>
      </c>
      <c r="AE89" s="485" t="str">
        <f>IFERROR(IF(Rev="F",VLOOKUP(BR89,Reinforcements[],COLUMN(Reinforcements[[#Headers],[Rev. F Shear Capacity (kips)]])-1,FALSE)/BY89,IF(Rev="G",VLOOKUP(Calculations!BR89,Reinforcements[],COLUMN(Reinforcements[[#Headers],[Rev. G Shear Capacity (kips)]])-1,FALSE),VLOOKUP(Calculations!BR89,Reinforcements[],COLUMN(Reinforcements[[#Headers],[Rev. H Shear Capacity (kips)]])-1,FALSE))),"")</f>
        <v/>
      </c>
      <c r="AF89" s="451" t="str">
        <f>IFERROR(IF(Rev="F",VLOOKUP(BR89,Reinforcements[],COLUMN(Reinforcements[[#Headers],[Rev. F Tension Yield Capacity (kips)]])-1,FALSE),IF(Rev="G",VLOOKUP(Calculations!BR89,Reinforcements[],COLUMN(Reinforcements[[#Headers],[Rev. G Tension Yield Capacity (kips)]])-1,FALSE),VLOOKUP(Calculations!BR89,Reinforcements[],COLUMN(Reinforcements[[#Headers],[Rev. H Tension Yield Capacity (kips)]])-1,FALSE))),"")</f>
        <v/>
      </c>
      <c r="AG89" s="486" t="str">
        <f>IFERROR(IF(Rev="F",VLOOKUP(BR89,Reinforcements[],COLUMN(Reinforcements[[#Headers],[Rev. F Tension Rupture Capacity (kips)]])-1,FALSE),IF(Rev="G",VLOOKUP(Calculations!BR89,Reinforcements[],COLUMN(Reinforcements[[#Headers],[Rev. G Tension Rupture Capacity (kips)]])-1,FALSE),VLOOKUP(Calculations!BR89,Reinforcements[],COLUMN(Reinforcements[[#Headers],[Rev. H Tension Rupture Capacity (kips)]])-1, FALSE))),"")</f>
        <v/>
      </c>
      <c r="AH89" s="409" t="str">
        <f t="shared" si="95"/>
        <v/>
      </c>
      <c r="AI89" s="380" t="str">
        <f t="shared" si="96"/>
        <v/>
      </c>
      <c r="AJ89" s="380" t="str">
        <f t="shared" si="97"/>
        <v/>
      </c>
      <c r="AK89" s="380" t="str">
        <f t="shared" si="85"/>
        <v/>
      </c>
      <c r="AL89" s="369" t="str">
        <f t="shared" si="78"/>
        <v/>
      </c>
      <c r="AM89" s="380" t="str">
        <f>""</f>
        <v/>
      </c>
      <c r="AN89" s="380" t="str">
        <f t="shared" si="98"/>
        <v/>
      </c>
      <c r="AO89" s="369" t="str">
        <f t="shared" si="99"/>
        <v/>
      </c>
      <c r="AP89" s="410" t="str">
        <f t="shared" si="100"/>
        <v/>
      </c>
      <c r="AQ89" s="411" t="str">
        <f t="shared" si="53"/>
        <v/>
      </c>
      <c r="AR89" s="380" t="str">
        <f>IF(BR89="","",VLOOKUP(VLOOKUP(BR89,Reinforcements[],COLUMN(Reinforcements[[#Headers],[Material]])-1,FALSE),Materials[],2,FALSE)/$D$28)</f>
        <v/>
      </c>
      <c r="AS89" s="369" t="str">
        <f t="shared" si="54"/>
        <v/>
      </c>
      <c r="AT89" s="489" t="str">
        <f t="shared" si="101"/>
        <v/>
      </c>
      <c r="AU89" s="412">
        <f t="shared" si="116"/>
        <v>0</v>
      </c>
      <c r="AV89" s="413">
        <f t="shared" si="117"/>
        <v>0</v>
      </c>
      <c r="AW89" s="413" t="e">
        <f t="shared" si="102"/>
        <v>#N/A</v>
      </c>
      <c r="AX89" s="413" t="e">
        <f t="shared" si="103"/>
        <v>#N/A</v>
      </c>
      <c r="AY89" s="413" t="str">
        <f t="shared" si="104"/>
        <v/>
      </c>
      <c r="AZ89" s="413" t="e">
        <f t="shared" si="105"/>
        <v>#VALUE!</v>
      </c>
      <c r="BA89" s="433" t="str">
        <f t="shared" si="118"/>
        <v/>
      </c>
      <c r="BB89" s="436" t="str">
        <f t="shared" si="119"/>
        <v/>
      </c>
      <c r="BC89" s="437" t="str">
        <f t="shared" si="120"/>
        <v/>
      </c>
      <c r="BD89" s="437" t="str">
        <f t="shared" si="106"/>
        <v/>
      </c>
      <c r="BE89" s="433" t="str">
        <f t="shared" si="121"/>
        <v/>
      </c>
      <c r="BF89" s="438" t="e">
        <f t="shared" si="122"/>
        <v>#DIV/0!</v>
      </c>
      <c r="BG89" s="439" t="str">
        <f t="shared" si="107"/>
        <v/>
      </c>
      <c r="BH89" s="439" t="str">
        <f t="shared" si="108"/>
        <v/>
      </c>
      <c r="BI89" s="433" t="e">
        <f t="shared" si="123"/>
        <v>#DIV/0!</v>
      </c>
      <c r="BJ89" s="438" t="str">
        <f t="shared" si="124"/>
        <v/>
      </c>
      <c r="BK89" s="413" t="e">
        <f t="shared" si="125"/>
        <v>#DIV/0!</v>
      </c>
      <c r="BL89" s="66" t="str">
        <f t="shared" si="68"/>
        <v/>
      </c>
      <c r="BP89" s="30" t="e">
        <f t="shared" si="109"/>
        <v>#DIV/0!</v>
      </c>
      <c r="BQ89" s="444" t="str">
        <f>IFERROR(VALUE(IF(LEN(VLOOKUP(Calculations!$D$4,Results!$G$5:$CM$105,67+$C70,FALSE))-LEN(SUBSTITUTE(VLOOKUP(Calculations!$D$4,Results!$G$5:$CM$105,67+$C70,FALSE),";",""))&gt;1,MID(VLOOKUP(Calculations!$D$4,Results!$G$5:$CM$105,67+$C70,FALSE),FIND(";",VLOOKUP(Calculations!$D$4,Results!$G$5:$CM$105,67+$C70,FALSE))+1,FIND(";",VLOOKUP(Calculations!$D$4,Results!$G$5:$CM$105,67+$C70,FALSE),FIND(";",VLOOKUP(Calculations!$D$4,Results!$G$5:$CM$105,67+$C70,FALSE))+1)-FIND(";",VLOOKUP(Calculations!$D$4,Results!$G$5:$CM$105,67+$C70,FALSE))-1),"")),"")</f>
        <v/>
      </c>
      <c r="BR89" s="444" t="str">
        <f>IF(BQ89="","",VLOOKUP(BQ89,Input!$B$21:$Q$50,13,FALSE))</f>
        <v/>
      </c>
      <c r="BS89" s="369" t="e">
        <f>VLOOKUP(BR89,Reinforcements[],COLUMN(Reinforcements[[#Headers],[Type]])-1,FALSE)</f>
        <v>#N/A</v>
      </c>
      <c r="BT89" s="369" t="e">
        <f>IF(BS89="solid round",VLOOKUP(BR89,Reinforcements[],COLUMN(Reinforcements[[#Headers],[Diameter (in)]])-1,FALSE),VLOOKUP(BR89,Reinforcements[],COLUMN(Reinforcements[[#Headers],[B (in)]])-1,FALSE))</f>
        <v>#N/A</v>
      </c>
      <c r="BU89" s="369" t="e">
        <f>IF(BS89="solid round",VLOOKUP(BR89,Reinforcements[],COLUMN(Reinforcements[[#Headers],[Diameter (in)]])-1,FALSE),VLOOKUP(BR89,Reinforcements[],COLUMN(Reinforcements[[#Headers],[H (in)]])-1,FALSE))</f>
        <v>#N/A</v>
      </c>
      <c r="BV89" s="413" t="e">
        <f>IFERROR((IF(VLOOKUP(BQ89,Input!$B$21:$AL$50,19+C89,FALSE)="c",$D$20/COS(RADIANS(180/$D$8)),$D$20)+BU89/2)*SIN(RADIANS(D89))-IF(ISNUMBER(VLOOKUP(BQ89,Input!$B$21:$AL$50,19+C89,FALSE)),VLOOKUP(BQ89,Input!$B$21:$AL$50,19+C89,FALSE)*COS(RADIANS(D89)),0)-$D$35,"")*0+N89*1</f>
        <v>#VALUE!</v>
      </c>
      <c r="BW89" s="369" t="e">
        <f>VLOOKUP(BR89,Reinforcements[],COLUMN(Reinforcements[[#Headers],[Effective B (in)]])-1,FALSE)</f>
        <v>#N/A</v>
      </c>
      <c r="BX89" s="369" t="e">
        <f>VLOOKUP(BR89,Reinforcements[],COLUMN(Reinforcements[[#Headers],[Effective H (in)]])-1,FALSE)</f>
        <v>#N/A</v>
      </c>
      <c r="BY89" s="369" t="e">
        <f>VLOOKUP(BR89,Reinforcements[],COLUMN(Reinforcements[[#Headers],[Gross Area (in2)]])-1,FALSE)</f>
        <v>#N/A</v>
      </c>
      <c r="BZ89" s="380" t="s">
        <v>335</v>
      </c>
      <c r="CA89" s="369" t="e">
        <f>VLOOKUP(BR89,Reinforcements[],COLUMN(Reinforcements[[#Headers],[Pole Face to Centroid (in)]])-1,FALSE)</f>
        <v>#N/A</v>
      </c>
      <c r="CB89" s="369" t="e">
        <f>VLOOKUP(BR89,Reinforcements[],COLUMN(Reinforcements[[#Headers],[Ix]])-1,FALSE)</f>
        <v>#N/A</v>
      </c>
      <c r="CC89" s="369" t="e">
        <f>VLOOKUP(BR89,Reinforcements[],COLUMN(Reinforcements[[#Headers],[Iy]])-1,FALSE)</f>
        <v>#N/A</v>
      </c>
      <c r="CD89" s="369" t="e">
        <f>VLOOKUP(BR89,Reinforcements[],COLUMN(Reinforcements[[#Headers],[Lu (in)]])-1,FALSE)</f>
        <v>#N/A</v>
      </c>
      <c r="CE89" s="380" t="s">
        <v>335</v>
      </c>
      <c r="CF89" s="380" t="s">
        <v>335</v>
      </c>
      <c r="CG89" s="369" t="e">
        <f>VLOOKUP(VLOOKUP(BR89,Reinforcements[],COLUMN(Reinforcements[[#Headers],[Material]])-1,FALSE),Materials[],2,FALSE)</f>
        <v>#N/A</v>
      </c>
      <c r="CH89" s="369" t="e">
        <f>VLOOKUP(VLOOKUP(BR89,Reinforcements[],COLUMN(Reinforcements[[#Headers],[Material]])-1,FALSE),Materials[],3,FALSE)</f>
        <v>#N/A</v>
      </c>
      <c r="CI89" s="380" t="e">
        <f>VLOOKUP(BR89,Reinforcements[],COLUMN(Reinforcements[[#Headers],[Tension Only?]])-1,FALSE)</f>
        <v>#N/A</v>
      </c>
      <c r="CJ89" s="449" t="str">
        <f>IF(BQ89="","",AND(INDEX(Results!$G$5:$G$104,MATCH(VLOOKUP($BQ89,Input!$B$21:$J$50,2,FALSE)-0.001,Results!$G$5:$G$104,-1))=$D$4))</f>
        <v/>
      </c>
      <c r="CK89" s="449" t="str">
        <f>IF(BQ89="","",AND(INDEX('Macro References'!$BB$2:$BB$101,MATCH(VLOOKUP($BQ89,Input!$B$21:$J$50,6,FALSE)-0.001,'Macro References'!$BB$2:$BB$101,1))=$D$4))</f>
        <v/>
      </c>
      <c r="CL89" s="449" t="e">
        <f>IF(CJ89,VLOOKUP(BR89,Reinforcements[],COLUMN(Reinforcements[[#Headers],[Bottom End Connection Type]])-1,FALSE),IF(CK89,VLOOKUP(BR89,Reinforcements[],COLUMN(Reinforcements[[#Headers],[Top End Connection Type]])-1,FALSE),""))</f>
        <v>#VALUE!</v>
      </c>
      <c r="CM89" s="449" t="e">
        <f>IF(ISBLANK(VLOOKUP(BR89,Reinforcements[],COLUMN(Reinforcements[[#Headers],[Bottom Transverse Weld Length]])-1,FALSE)),"",(VLOOKUP(BR89,Reinforcements[],COLUMN(Reinforcements[[#Headers],[Bottom Transverse Weld Length]])-1,FALSE)))</f>
        <v>#N/A</v>
      </c>
      <c r="CN89" s="449" t="e">
        <f>IF(ISBLANK(VLOOKUP(BR89,Reinforcements[],COLUMN(Reinforcements[[#Headers],[Bottom Transverse (Horizontal) Weld]])-1,FALSE)),"",(VLOOKUP(BR89,Reinforcements[],COLUMN(Reinforcements[[#Headers],[Bottom Transverse (Horizontal) Weld]])-1,FALSE)))</f>
        <v>#N/A</v>
      </c>
      <c r="CO89" s="449" t="e">
        <f>IF(ISBLANK(VLOOKUP(BR89,Reinforcements[],COLUMN(Reinforcements[[#Headers],[Bottom Longitudinal Weld Length]])-1,FALSE)),"",(VLOOKUP(BR89,Reinforcements[],COLUMN(Reinforcements[[#Headers],[Bottom Longitudinal Weld Length]])-1,FALSE)))</f>
        <v>#N/A</v>
      </c>
      <c r="CP89" s="449" t="str">
        <f>IFERROR(VLOOKUP(BR89,Reinforcements[],COLUMN(Reinforcements[[#Headers],[Bottom Connected to Flange/Base Plate?]])-1,FALSE),"")</f>
        <v/>
      </c>
      <c r="CQ89" s="369" t="e">
        <f>IF(Rev="F",VLOOKUP(BR89,Reinforcements[],COLUMN(Reinforcements[[#Headers],[Rev. F Bottom Transverse Weld Strength]])-1,FALSE),VLOOKUP(BR89,Reinforcements[],COLUMN(Reinforcements[[#Headers],[Rev. G Bottom Transverse Weld Strength]])-1,FALSE))</f>
        <v>#N/A</v>
      </c>
      <c r="CR89" s="369" t="e">
        <f>IF(CP89="Yes",IF(CN89="Fillet",VLOOKUP(BR89,Reinforcements[],COLUMN(Reinforcements[[#Headers],[Bottom Transverse Weld Fillet Size (in)]])-1,FALSE)*CM89*MIN(IF(Rev="F",0.4,φ_shear_yield*0.6)*CG89,IF(Rev="F",0.3,φ_shear_rupture*0.6)*CH89),VLOOKUP(BR89,Reinforcements[],COLUMN(Reinforcements[[#Headers],[Bottom Transverse Weld Groove Depth (in)]])-1,FALSE)/COS(RADIANS(VLOOKUP(BR89,Reinforcements[],COLUMN(Reinforcements[[#Headers],[Bottom Transverse Weld Groove Angle (degrees)]])-1,FALSE)))*CM89*IF(Rev="F",0.6,φ_t_y)*CG89),VLOOKUP(BR89,Reinforcements[],COLUMN(Reinforcements[[#Headers],[Bottom Transverse Weld Fillet Size (in)]])-1,FALSE)*CM89*IF(Rev="F",0.6,φ_t_y)*CG89)</f>
        <v>#N/A</v>
      </c>
      <c r="CS89" s="369" t="str">
        <f>IF(CP89&lt;&gt;"Yes","",(VLOOKUP(BR89,Reinforcements[],COLUMN(Reinforcements[[#Headers],[Bottom Transverse Weld Groove Depth (in)]])-1,FALSE)+VLOOKUP(BR89,Reinforcements[],COLUMN(Reinforcements[[#Headers],[Bottom Transverse Weld Fillet Size (in)]])-1,FALSE))*CM89*IF(Rev="F",0.6,φ_t_y)*$D$14)</f>
        <v/>
      </c>
      <c r="CT89" s="369" t="e">
        <f>IF(CP89="Yes","",VLOOKUP(BR89,Reinforcements[],COLUMN(Reinforcements[[#Headers],[Bottom Transverse Weld Fillet Size (in)]])-1,FALSE)*CM89*MIN(IF(Rev="F",0.4,φ_shear_yield*0.6)*$D$6,IF(Rev="F",0.3,φ_shear_rupture*0.6)*$D$7))</f>
        <v>#N/A</v>
      </c>
      <c r="CU89" s="369" t="e">
        <f>IF(Rev="F",VLOOKUP(BR89,Reinforcements[],COLUMN(Reinforcements[[#Headers],[Rev. F Bottom Longitudinal Weld Strength]])-1,FALSE),VLOOKUP(BR89,Reinforcements[],COLUMN(Reinforcements[[#Headers],[Rev. G Bottom Longitudinal Weld Strength]])-1,FALSE))</f>
        <v>#N/A</v>
      </c>
      <c r="CV89" s="369" t="e">
        <f>2*VLOOKUP(BR89,Reinforcements[],COLUMN(Reinforcements[[#Headers],[Bottom Longitudinal Weld Fillet Size (in)]])-1,FALSE)*CO89*MIN(IF(Rev="F",0.4,φ_shear_yield*0.6)*CG89,IF(Rev="F",0.3,φ_shear_rupture*0.6)*CH89)</f>
        <v>#N/A</v>
      </c>
      <c r="CW89" s="369" t="e">
        <f>2*VLOOKUP(BR89,Reinforcements[],COLUMN(Reinforcements[[#Headers],[Bottom Longitudinal Weld Fillet Size (in)]])-1,FALSE)*CO89*MIN(IF(Rev="F",0.4,φ_shear_yield*0.6)*$D$6,IF(Rev="F",0.3,φ_shear_rupture*0.6)*$D$7)</f>
        <v>#N/A</v>
      </c>
      <c r="CX89" s="451" t="e">
        <f>IF(ISBLANK(VLOOKUP(BR89,Reinforcements[],COLUMN(Reinforcements[[#Headers],[Top Transverse Weld Length]])-1,FALSE)),"",(VLOOKUP(BR89,Reinforcements[],COLUMN(Reinforcements[[#Headers],[Top Transverse Weld Length]])-1,FALSE)))</f>
        <v>#N/A</v>
      </c>
      <c r="CY89" s="451" t="e">
        <f>IF(ISBLANK(VLOOKUP(BR89,Reinforcements[],COLUMN(Reinforcements[[#Headers],[Top Transverse (Horizontal) Weld]])-1,FALSE)),"",(VLOOKUP(BR89,Reinforcements[],COLUMN(Reinforcements[[#Headers],[Top Transverse (Horizontal) Weld]])-1,FALSE)))</f>
        <v>#N/A</v>
      </c>
      <c r="CZ89" s="451" t="e">
        <f>IF(ISBLANK(VLOOKUP(BR89,Reinforcements[],COLUMN(Reinforcements[[#Headers],[Top Longitudinal Weld Length]])-1,FALSE)),"",(VLOOKUP(BR89,Reinforcements[],COLUMN(Reinforcements[[#Headers],[Top Longitudinal Weld Length]])-1,FALSE)))</f>
        <v>#N/A</v>
      </c>
      <c r="DA89" s="369" t="str">
        <f>IFERROR(VLOOKUP(BR89,Reinforcements[],COLUMN(Reinforcements[[#Headers],[Top Connected to Flange/Base Plate?]])-1,FALSE),"")</f>
        <v/>
      </c>
      <c r="DB89" s="369" t="e">
        <f>IF(Rev="F",VLOOKUP(BR89,Reinforcements[],COLUMN(Reinforcements[[#Headers],[Rev. F Top Transverse Weld Strength]])-1,FALSE),VLOOKUP(BR89,Reinforcements[],COLUMN(Reinforcements[[#Headers],[Rev. G Top Transverse Weld Strength]])-1,FALSE))</f>
        <v>#N/A</v>
      </c>
      <c r="DC89" s="369" t="e">
        <f>IF(DA89="Yes",IF(CY89="Fillet",VLOOKUP(BR89,Reinforcements[],COLUMN(Reinforcements[[#Headers],[Top Transverse Weld Fillet Size (in)]])-1,FALSE)*CX89*MIN(IF(Rev="F",0.4,φ_shear_yield*0.6)*CG89,IF(Rev="F",0.3,φ_shear_rupture*0.6)*CH89),VLOOKUP(BR89,Reinforcements[],COLUMN(Reinforcements[[#Headers],[Top Transverse Weld Groove Depth (in)]])-1,FALSE)/COS(RADIANS(VLOOKUP(BR89,Reinforcements[],COLUMN(Reinforcements[[#Headers],[Top Transverse Weld Groove Angle (degrees)]])-1,FALSE)))*CX89*IF(Rev="F",0.6,φ_t_y)*CG89),VLOOKUP(BR89,Reinforcements[],COLUMN(Reinforcements[[#Headers],[Top Transverse Weld Fillet Size (in)]])-1,FALSE)*CX89*IF(Rev="F",0.6,φ_t_y)*CG89)</f>
        <v>#N/A</v>
      </c>
      <c r="DD89" s="369" t="str">
        <f>IF(DA89&lt;&gt;"Yes","",(VLOOKUP(BR89,Reinforcements[],COLUMN(Reinforcements[[#Headers],[Top Transverse Weld Groove Depth (in)]])-1,FALSE)+VLOOKUP(BR89,Reinforcements[],COLUMN(Reinforcements[[#Headers],[Top Transverse Weld Fillet Size (in)]])-1,FALSE))*CX89*IF(Rev="F",0.6,φ_t_y)*$D$14)</f>
        <v/>
      </c>
      <c r="DE89" s="369" t="e">
        <f>IF(DA89="Yes","",VLOOKUP(BR89,Reinforcements[],COLUMN(Reinforcements[[#Headers],[Top Transverse Weld Fillet Size (in)]])-1,FALSE)*CX89*MIN(IF(Rev="F",0.4,φ_shear_yield*0.6)*$D$6,IF(Rev="F",0.3,φ_shear_rupture*0.6)*$D$7))</f>
        <v>#N/A</v>
      </c>
      <c r="DF89" s="369" t="e">
        <f>IF(Rev="F",VLOOKUP(BR89,Reinforcements[],COLUMN(Reinforcements[[#Headers],[Rev. F Top Longitudinal Weld Strength]])-1,FALSE),VLOOKUP(BR89,Reinforcements[],COLUMN(Reinforcements[[#Headers],[Rev. G Top Longitudinal Weld Strength]])-1,FALSE))</f>
        <v>#N/A</v>
      </c>
      <c r="DG89" s="369" t="e">
        <f>2*VLOOKUP(BR89,Reinforcements[],COLUMN(Reinforcements[[#Headers],[Top Longitudinal Weld Fillet Size (in)]])-1,FALSE)*CZ89*MIN(IF(Rev="F",0.4,φ_shear_yield*0.6)*CG89,IF(Rev="F",0.3,φ_shear_rupture*0.6)*CH89)</f>
        <v>#N/A</v>
      </c>
      <c r="DH89" s="369" t="e">
        <f>2*VLOOKUP(BR89,Reinforcements[],COLUMN(Reinforcements[[#Headers],[Top Longitudinal Weld Fillet Size (in)]])-1,FALSE)*CZ89*MIN(IF(Rev="F",0.4,φ_shear_yield*0.6)*$D$6,IF(Rev="F",0.3,φ_shear_rupture*0.6)*$D$7)</f>
        <v>#N/A</v>
      </c>
      <c r="DI89" s="66" t="e">
        <f>IF(BS89="channel",VLOOKUP(Calculations!BR89,Reinforcements[],COLUMN(Reinforcements[[#Headers],['[Channel']Web Thickness (in)]])-1,FALSE),"")</f>
        <v>#N/A</v>
      </c>
      <c r="DJ89" s="66" t="b">
        <f t="shared" si="126"/>
        <v>0</v>
      </c>
      <c r="DK89" s="66" t="e">
        <f>IF(BS89="channel",Calculations!BU89-DI89,"")</f>
        <v>#N/A</v>
      </c>
      <c r="DL89" s="66" t="e">
        <f>IF(BS89="channel",(Calculations!BY89-Calculations!BT89*DI89)/(2*DK89))</f>
        <v>#N/A</v>
      </c>
      <c r="DM89" s="66" t="e">
        <f>IF(BS89="channel",(Calculations!BT89*(DI89^2)/2+2*DK89*DL89*(DI89+DK89/2))/Calculations!BY89,"")</f>
        <v>#N/A</v>
      </c>
    </row>
    <row r="90" spans="2:117" ht="15" x14ac:dyDescent="0.25">
      <c r="B90" s="66" t="str">
        <f t="shared" si="70"/>
        <v/>
      </c>
      <c r="C90" s="317">
        <v>12</v>
      </c>
      <c r="D90" s="380" t="str">
        <f>IF(BQ90="","",IF($D$8=0,IF(OR(VLOOKUP(BQ90,Input!$B$21:$AL$50,19+C90,FALSE)+$D$5=0,VLOOKUP(BQ90,Input!$B$21:$AL$50,19+C90,FALSE)+$D$5=180),VLOOKUP(BQ90,Input!$B$21:$AL$50,19+C90,FALSE)+$D$5+0.0001,VLOOKUP(BQ90,Input!$B$21:$AL$50,19+C90,FALSE)+$D$5),IF(VLOOKUP(BQ90,Input!$B$21:$AL$50,19+C90,FALSE)="c",VLOOKUP($C90,$C$40:$E$57,2,FALSE)+180/$D$8,VLOOKUP($C90,$C$40:$E$57,2,FALSE))))</f>
        <v/>
      </c>
      <c r="E90" s="370" t="str">
        <f t="shared" si="110"/>
        <v/>
      </c>
      <c r="F90" s="381" t="str">
        <f>IF(BR90="","",VLOOKUP(BR90,Reinforcements[],COLUMN(Reinforcements[[#Headers],[Gross Area (in2)]])-1,FALSE))</f>
        <v/>
      </c>
      <c r="G90" s="378" t="e">
        <f>(IF(VLOOKUP(BQ90,Input!$B$21:$AL$50,19+C90,FALSE)="c",$D$20/COS(RADIANS(180/$D$8)),$D$20)+CA90)*SIN(RADIANS(D90))-IF(AND(ISNUMBER(VLOOKUP(BQ90,Input!$B$21:$AL$50,19+C90,FALSE)),$D$8&lt;&gt;0),VLOOKUP(BQ90,Input!$B$21:$AL$50,19+C90,FALSE)*COS(RADIANS(D90)),0)</f>
        <v>#N/A</v>
      </c>
      <c r="H90" s="373" t="str">
        <f t="shared" si="111"/>
        <v/>
      </c>
      <c r="I90" s="373" t="e">
        <f t="shared" si="86"/>
        <v>#N/A</v>
      </c>
      <c r="J90" s="373" t="e">
        <f t="shared" si="112"/>
        <v>#N/A</v>
      </c>
      <c r="K90" s="373" t="e">
        <f t="shared" si="113"/>
        <v>#N/A</v>
      </c>
      <c r="L90" s="373" t="e">
        <f t="shared" si="114"/>
        <v>#N/A</v>
      </c>
      <c r="M90" s="374" t="str">
        <f t="shared" si="115"/>
        <v/>
      </c>
      <c r="N90" s="372" t="str">
        <f>IFERROR((IF(VLOOKUP(BQ90,Input!$B$21:$AL$50,19+C90,FALSE)="c",$D$20/COS(RADIANS(180/$D$8)),$D$20)+CA90)*SIN(RADIANS(D90))-IF(AND(ISNUMBER(VLOOKUP(BQ90,Input!$B$21:$AL$50,19+C90,FALSE)),$D$8&lt;&gt;0),VLOOKUP(BQ90,Input!$B$21:$AL$50,19+C90,FALSE)*COS(RADIANS(D90)),0)-$D$35,"")</f>
        <v/>
      </c>
      <c r="O90" s="373" t="str">
        <f t="shared" si="87"/>
        <v/>
      </c>
      <c r="P90" s="373" t="str">
        <f t="shared" si="88"/>
        <v/>
      </c>
      <c r="Q90" s="373" t="str">
        <f t="shared" si="89"/>
        <v/>
      </c>
      <c r="R90" s="374" t="str">
        <f t="shared" si="90"/>
        <v/>
      </c>
      <c r="S90" s="373" t="str">
        <f t="shared" si="91"/>
        <v/>
      </c>
      <c r="T90" s="373" t="str">
        <f t="shared" si="92"/>
        <v/>
      </c>
      <c r="U90" s="373" t="str">
        <f t="shared" si="93"/>
        <v/>
      </c>
      <c r="V90" s="374" t="str">
        <f t="shared" si="94"/>
        <v/>
      </c>
      <c r="W90" s="482" t="str">
        <f>IFERROR(IF('Macro References'!$A$9,IF(AND(Calculations!CK90,CL90="Bolted"),VLOOKUP($BR90,Reinforcements[],COLUMN(IF(Rev="F",Reinforcements[[#Headers],[Rev. F Bolt Shear Capacity   (Top)        (kips)]],IF(Rev="G",Reinforcements[[#Headers],[Rev. G Bolt Shear Capacity (Top)     (kips)]],Reinforcements[[#Headers],[Rev. H Bolt Shear Capacity (Top) (kips)]])))-1,FALSE),IF(AND(Calculations!CJ90,CL90="Bolted"),VLOOKUP($BR90,Reinforcements[],COLUMN(IF(Rev="F",Reinforcements[[#Headers],[Rev. F Bolt Shear Capacity (Bottom)   (kips)]],IF(Rev="G",Reinforcements[[#Headers],[Rev. G Bolt Shear Capacity (Bottom) (kips)]],Reinforcements[[#Headers],[Rev. H Bolt Shear Capacity (Bottom) (kips)]])))-1,FALSE),"")),""),"")</f>
        <v/>
      </c>
      <c r="X90" s="483" t="str">
        <f>IFERROR(IF('Macro References'!$A$9,IF('Macro References'!$A$10,IF(AND(Calculations!CK90,CL90="Bolted"),VLOOKUP($BR90,Reinforcements[],COLUMN(IF(Rev="F",Reinforcements[[#Headers],[Rev.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kips)]])))-1,FALSE),IF(AND(Calculations!CJ90,CL90="Bolted"),VLOOKUP($BR90,Reinforcements[],COLUMN(IF(Rev="F",Reinforcements[[#Headers],[Rev.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kips)]])))-1,FALSE),"")),IF(AND(Calculations!CK90,CL90="Bolted"),VLOOKUP($BR90,Reinforcements[],COLUMN(IF(Rev="F",Reinforcements[[#Headers],[Rev.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kips)]])))-1,FALSE),IF(AND(Calculations!CJ90,CL90="Bolted"),VLOOKUP($BR90,Reinforcements[],COLUMN(IF(Rev="F",Reinforcements[[#Headers],[Rev.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0" s="483" t="str">
        <f>IFERROR(IF('Macro References'!$A$9,IF('Macro References'!$A$10,IF(AND(Calculations!CK90,CL90="Bolted"),VLOOKUP($BR90,Reinforcements[],COLUMN(IF(Rev="F",Reinforcements[[#Headers],[Rev.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(kips)]])))-1,FALSE),IF(AND(Calculations!CJ90,CL90="Bolted"),VLOOKUP($BR90,Reinforcements[],COLUMN(IF(Rev="F",Reinforcements[[#Headers],[Rev.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(kips)]])))-1,FALSE),"")),IF(AND(Calculations!CK90,CL90="Bolted"),VLOOKUP($BR90,Reinforcements[],COLUMN(IF(Rev="F",Reinforcements[[#Headers],[Rev.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(kips)]])))-1,FALSE),IF(AND(Calculations!CJ90,CL90="Bolted"),VLOOKUP($BR90,Reinforcements[],COLUMN(IF(Rev="F",Reinforcements[[#Headers],[Rev.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0" s="483" t="str">
        <f>IFERROR(IF('Macro References'!$A$9,IF(AND(CJ90,CL90="Welded"),MIN(CQ90:CT90),IF(AND(CK90,CL90="Welded"),MIN(DB90:DE90),"")),""),"")</f>
        <v/>
      </c>
      <c r="AA90" s="484" t="str">
        <f>IFERROR(IF('Macro References'!$A$9,IF(AND(CJ90,CL90="Welded"),MIN(CU90:CW90),IF(AND(CK90,CL90="Welded"),MIN(DF90:DH90),"")),""),"")</f>
        <v/>
      </c>
      <c r="AB90" s="484" t="str">
        <f>IFERROR(IF('Macro References'!$A$9,IF(AND(CJ90,CL90="Welded",CN90="Fillet",CU90&gt;0),TRUE,IF(AND(CK90,CL90="Welded",CY90="Fillet",DF90&gt;0),TRUE,"")),""),"")</f>
        <v/>
      </c>
      <c r="AC90" s="484" t="e">
        <f>IF('Macro References'!$A$9,IF(AND(CJ90,CL90="Capacity Input"),IF(Rev="F",VLOOKUP(BR90,Reinforcements[],COLUMN(Reinforcements[[#Headers],[Rev. F Bottom Connection Capacity (kips)]])-1,FALSE),IF(Rev="G",VLOOKUP(BR90,Reinforcements[],COLUMN(Reinforcements[[#Headers],[Rev. G Bottom Connection Capacity (kips)]])-1,FALSE),VLOOKUP(BR90,Reinforcements[],COLUMN(Reinforcements[[#Headers],[Rev. H Bottom Connection Capacity (kips)]])-1,FALSE))),IF(AND(CK90,CL90="Capacity Input"),IF(Rev="F",VLOOKUP(BR90,Reinforcements[],COLUMN(Reinforcements[[#Headers],[Rev. F Top Connection Capacity (kips)]])-1,FALSE),IF(Rev="G",VLOOKUP(BR90,Reinforcements[],COLUMN(Reinforcements[[#Headers],[Rev. G Top Connection Capacity (kips)]])-1,FALSE),VLOOKUP(BR90,Reinforcements[],COLUMN(Reinforcements[[#Headers],[Rev. H Top Connection Capacity (kips)]])-1,FALSE))),"")),"")</f>
        <v>#VALUE!</v>
      </c>
      <c r="AD90" s="484" t="str">
        <f>IFERROR(IF(Rev="F",MIN(VLOOKUP(BR90,Reinforcements[],COLUMN(Reinforcements[[#Headers],[Rev. F Compression Capacity x-x (kips)]])-1,FALSE),VLOOKUP(BR90,Reinforcements[],COLUMN(Reinforcements[[#Headers],[Rev. F Compression Capacity y-y (kips)]])-1,FALSE)),IF(Rev="G",MIN(VLOOKUP(BR90,Reinforcements[],COLUMN(Reinforcements[[#Headers],[Rev. G Compression Capacity x-x (kips)]])-1,FALSE),VLOOKUP(BR90,Reinforcements[],COLUMN(Reinforcements[[#Headers],[Rev. G Compression Capacity y-y (kips)]])-1,FALSE)),MIN(VLOOKUP(BR90,Reinforcements[],COLUMN(Reinforcements[[#Headers],[Rev. H Compression Capacity x-x (kips)]])-1,FALSE),VLOOKUP(BR90,Reinforcements[],COLUMN(Reinforcements[[#Headers],[Rev. H Compression Capacity y-y (kips)]])-1,FALSE)))),"")</f>
        <v/>
      </c>
      <c r="AE90" s="485" t="str">
        <f>IFERROR(IF(Rev="F",VLOOKUP(BR90,Reinforcements[],COLUMN(Reinforcements[[#Headers],[Rev. F Shear Capacity (kips)]])-1,FALSE)/BY90,IF(Rev="G",VLOOKUP(Calculations!BR90,Reinforcements[],COLUMN(Reinforcements[[#Headers],[Rev. G Shear Capacity (kips)]])-1,FALSE),VLOOKUP(Calculations!BR90,Reinforcements[],COLUMN(Reinforcements[[#Headers],[Rev. H Shear Capacity (kips)]])-1,FALSE))),"")</f>
        <v/>
      </c>
      <c r="AF90" s="451" t="str">
        <f>IFERROR(IF(Rev="F",VLOOKUP(BR90,Reinforcements[],COLUMN(Reinforcements[[#Headers],[Rev. F Tension Yield Capacity (kips)]])-1,FALSE),IF(Rev="G",VLOOKUP(Calculations!BR90,Reinforcements[],COLUMN(Reinforcements[[#Headers],[Rev. G Tension Yield Capacity (kips)]])-1,FALSE),VLOOKUP(Calculations!BR90,Reinforcements[],COLUMN(Reinforcements[[#Headers],[Rev. H Tension Yield Capacity (kips)]])-1,FALSE))),"")</f>
        <v/>
      </c>
      <c r="AG90" s="486" t="str">
        <f>IFERROR(IF(Rev="F",VLOOKUP(BR90,Reinforcements[],COLUMN(Reinforcements[[#Headers],[Rev. F Tension Rupture Capacity (kips)]])-1,FALSE),IF(Rev="G",VLOOKUP(Calculations!BR90,Reinforcements[],COLUMN(Reinforcements[[#Headers],[Rev. G Tension Rupture Capacity (kips)]])-1,FALSE),VLOOKUP(Calculations!BR90,Reinforcements[],COLUMN(Reinforcements[[#Headers],[Rev. H Tension Rupture Capacity (kips)]])-1, FALSE))),"")</f>
        <v/>
      </c>
      <c r="AH90" s="409" t="str">
        <f t="shared" si="95"/>
        <v/>
      </c>
      <c r="AI90" s="380" t="str">
        <f t="shared" si="96"/>
        <v/>
      </c>
      <c r="AJ90" s="380" t="str">
        <f t="shared" si="97"/>
        <v/>
      </c>
      <c r="AK90" s="380" t="str">
        <f t="shared" si="85"/>
        <v/>
      </c>
      <c r="AL90" s="369" t="str">
        <f t="shared" si="78"/>
        <v/>
      </c>
      <c r="AM90" s="380" t="str">
        <f>""</f>
        <v/>
      </c>
      <c r="AN90" s="380" t="str">
        <f t="shared" si="98"/>
        <v/>
      </c>
      <c r="AO90" s="369" t="str">
        <f t="shared" si="99"/>
        <v/>
      </c>
      <c r="AP90" s="410" t="str">
        <f t="shared" si="100"/>
        <v/>
      </c>
      <c r="AQ90" s="411" t="str">
        <f t="shared" si="53"/>
        <v/>
      </c>
      <c r="AR90" s="380" t="str">
        <f>IF(BR90="","",VLOOKUP(VLOOKUP(BR90,Reinforcements[],COLUMN(Reinforcements[[#Headers],[Material]])-1,FALSE),Materials[],2,FALSE)/$D$28)</f>
        <v/>
      </c>
      <c r="AS90" s="369" t="str">
        <f t="shared" si="54"/>
        <v/>
      </c>
      <c r="AT90" s="489" t="str">
        <f t="shared" si="101"/>
        <v/>
      </c>
      <c r="AU90" s="412">
        <f t="shared" si="116"/>
        <v>0</v>
      </c>
      <c r="AV90" s="413">
        <f t="shared" si="117"/>
        <v>0</v>
      </c>
      <c r="AW90" s="413" t="e">
        <f t="shared" si="102"/>
        <v>#N/A</v>
      </c>
      <c r="AX90" s="413" t="e">
        <f t="shared" si="103"/>
        <v>#N/A</v>
      </c>
      <c r="AY90" s="413" t="str">
        <f t="shared" si="104"/>
        <v/>
      </c>
      <c r="AZ90" s="413" t="e">
        <f t="shared" si="105"/>
        <v>#VALUE!</v>
      </c>
      <c r="BA90" s="433" t="str">
        <f t="shared" si="118"/>
        <v/>
      </c>
      <c r="BB90" s="436" t="str">
        <f t="shared" si="119"/>
        <v/>
      </c>
      <c r="BC90" s="437" t="str">
        <f t="shared" si="120"/>
        <v/>
      </c>
      <c r="BD90" s="437" t="str">
        <f t="shared" si="106"/>
        <v/>
      </c>
      <c r="BE90" s="433" t="str">
        <f t="shared" si="121"/>
        <v/>
      </c>
      <c r="BF90" s="438" t="e">
        <f t="shared" si="122"/>
        <v>#DIV/0!</v>
      </c>
      <c r="BG90" s="439" t="str">
        <f t="shared" si="107"/>
        <v/>
      </c>
      <c r="BH90" s="439" t="str">
        <f t="shared" si="108"/>
        <v/>
      </c>
      <c r="BI90" s="433" t="e">
        <f t="shared" si="123"/>
        <v>#DIV/0!</v>
      </c>
      <c r="BJ90" s="438" t="str">
        <f t="shared" si="124"/>
        <v/>
      </c>
      <c r="BK90" s="413" t="e">
        <f t="shared" si="125"/>
        <v>#DIV/0!</v>
      </c>
      <c r="BL90" s="66" t="str">
        <f t="shared" si="68"/>
        <v/>
      </c>
      <c r="BP90" s="30" t="e">
        <f t="shared" si="109"/>
        <v>#DIV/0!</v>
      </c>
      <c r="BQ90" s="444" t="str">
        <f>IFERROR(VALUE(IF(LEN(VLOOKUP(Calculations!$D$4,Results!$G$5:$CM$105,67+$C71,FALSE))-LEN(SUBSTITUTE(VLOOKUP(Calculations!$D$4,Results!$G$5:$CM$105,67+$C71,FALSE),";",""))&gt;1,MID(VLOOKUP(Calculations!$D$4,Results!$G$5:$CM$105,67+$C71,FALSE),FIND(";",VLOOKUP(Calculations!$D$4,Results!$G$5:$CM$105,67+$C71,FALSE))+1,FIND(";",VLOOKUP(Calculations!$D$4,Results!$G$5:$CM$105,67+$C71,FALSE),FIND(";",VLOOKUP(Calculations!$D$4,Results!$G$5:$CM$105,67+$C71,FALSE))+1)-FIND(";",VLOOKUP(Calculations!$D$4,Results!$G$5:$CM$105,67+$C71,FALSE))-1),"")),"")</f>
        <v/>
      </c>
      <c r="BR90" s="444" t="str">
        <f>IF(BQ90="","",VLOOKUP(BQ90,Input!$B$21:$Q$50,13,FALSE))</f>
        <v/>
      </c>
      <c r="BS90" s="369" t="e">
        <f>VLOOKUP(BR90,Reinforcements[],COLUMN(Reinforcements[[#Headers],[Type]])-1,FALSE)</f>
        <v>#N/A</v>
      </c>
      <c r="BT90" s="369" t="e">
        <f>IF(BS90="solid round",VLOOKUP(BR90,Reinforcements[],COLUMN(Reinforcements[[#Headers],[Diameter (in)]])-1,FALSE),VLOOKUP(BR90,Reinforcements[],COLUMN(Reinforcements[[#Headers],[B (in)]])-1,FALSE))</f>
        <v>#N/A</v>
      </c>
      <c r="BU90" s="369" t="e">
        <f>IF(BS90="solid round",VLOOKUP(BR90,Reinforcements[],COLUMN(Reinforcements[[#Headers],[Diameter (in)]])-1,FALSE),VLOOKUP(BR90,Reinforcements[],COLUMN(Reinforcements[[#Headers],[H (in)]])-1,FALSE))</f>
        <v>#N/A</v>
      </c>
      <c r="BV90" s="413" t="e">
        <f>IFERROR((IF(VLOOKUP(BQ90,Input!$B$21:$AL$50,19+C90,FALSE)="c",$D$20/COS(RADIANS(180/$D$8)),$D$20)+BU90/2)*SIN(RADIANS(D90))-IF(ISNUMBER(VLOOKUP(BQ90,Input!$B$21:$AL$50,19+C90,FALSE)),VLOOKUP(BQ90,Input!$B$21:$AL$50,19+C90,FALSE)*COS(RADIANS(D90)),0)-$D$35,"")*0+N90*1</f>
        <v>#VALUE!</v>
      </c>
      <c r="BW90" s="369" t="e">
        <f>VLOOKUP(BR90,Reinforcements[],COLUMN(Reinforcements[[#Headers],[Effective B (in)]])-1,FALSE)</f>
        <v>#N/A</v>
      </c>
      <c r="BX90" s="369" t="e">
        <f>VLOOKUP(BR90,Reinforcements[],COLUMN(Reinforcements[[#Headers],[Effective H (in)]])-1,FALSE)</f>
        <v>#N/A</v>
      </c>
      <c r="BY90" s="369" t="e">
        <f>VLOOKUP(BR90,Reinforcements[],COLUMN(Reinforcements[[#Headers],[Gross Area (in2)]])-1,FALSE)</f>
        <v>#N/A</v>
      </c>
      <c r="BZ90" s="380" t="s">
        <v>335</v>
      </c>
      <c r="CA90" s="369" t="e">
        <f>VLOOKUP(BR90,Reinforcements[],COLUMN(Reinforcements[[#Headers],[Pole Face to Centroid (in)]])-1,FALSE)</f>
        <v>#N/A</v>
      </c>
      <c r="CB90" s="369" t="e">
        <f>VLOOKUP(BR90,Reinforcements[],COLUMN(Reinforcements[[#Headers],[Ix]])-1,FALSE)</f>
        <v>#N/A</v>
      </c>
      <c r="CC90" s="369" t="e">
        <f>VLOOKUP(BR90,Reinforcements[],COLUMN(Reinforcements[[#Headers],[Iy]])-1,FALSE)</f>
        <v>#N/A</v>
      </c>
      <c r="CD90" s="369" t="e">
        <f>VLOOKUP(BR90,Reinforcements[],COLUMN(Reinforcements[[#Headers],[Lu (in)]])-1,FALSE)</f>
        <v>#N/A</v>
      </c>
      <c r="CE90" s="380" t="s">
        <v>335</v>
      </c>
      <c r="CF90" s="380" t="s">
        <v>335</v>
      </c>
      <c r="CG90" s="369" t="e">
        <f>VLOOKUP(VLOOKUP(BR90,Reinforcements[],COLUMN(Reinforcements[[#Headers],[Material]])-1,FALSE),Materials[],2,FALSE)</f>
        <v>#N/A</v>
      </c>
      <c r="CH90" s="369" t="e">
        <f>VLOOKUP(VLOOKUP(BR90,Reinforcements[],COLUMN(Reinforcements[[#Headers],[Material]])-1,FALSE),Materials[],3,FALSE)</f>
        <v>#N/A</v>
      </c>
      <c r="CI90" s="380" t="e">
        <f>VLOOKUP(BR90,Reinforcements[],COLUMN(Reinforcements[[#Headers],[Tension Only?]])-1,FALSE)</f>
        <v>#N/A</v>
      </c>
      <c r="CJ90" s="449" t="str">
        <f>IF(BQ90="","",AND(INDEX(Results!$G$5:$G$104,MATCH(VLOOKUP($BQ90,Input!$B$21:$J$50,2,FALSE)-0.001,Results!$G$5:$G$104,-1))=$D$4))</f>
        <v/>
      </c>
      <c r="CK90" s="449" t="str">
        <f>IF(BQ90="","",AND(INDEX('Macro References'!$BB$2:$BB$101,MATCH(VLOOKUP($BQ90,Input!$B$21:$J$50,6,FALSE)-0.001,'Macro References'!$BB$2:$BB$101,1))=$D$4))</f>
        <v/>
      </c>
      <c r="CL90" s="449" t="e">
        <f>IF(CJ90,VLOOKUP(BR90,Reinforcements[],COLUMN(Reinforcements[[#Headers],[Bottom End Connection Type]])-1,FALSE),IF(CK90,VLOOKUP(BR90,Reinforcements[],COLUMN(Reinforcements[[#Headers],[Top End Connection Type]])-1,FALSE),""))</f>
        <v>#VALUE!</v>
      </c>
      <c r="CM90" s="449" t="e">
        <f>IF(ISBLANK(VLOOKUP(BR90,Reinforcements[],COLUMN(Reinforcements[[#Headers],[Bottom Transverse Weld Length]])-1,FALSE)),"",(VLOOKUP(BR90,Reinforcements[],COLUMN(Reinforcements[[#Headers],[Bottom Transverse Weld Length]])-1,FALSE)))</f>
        <v>#N/A</v>
      </c>
      <c r="CN90" s="449" t="e">
        <f>IF(ISBLANK(VLOOKUP(BR90,Reinforcements[],COLUMN(Reinforcements[[#Headers],[Bottom Transverse (Horizontal) Weld]])-1,FALSE)),"",(VLOOKUP(BR90,Reinforcements[],COLUMN(Reinforcements[[#Headers],[Bottom Transverse (Horizontal) Weld]])-1,FALSE)))</f>
        <v>#N/A</v>
      </c>
      <c r="CO90" s="449" t="e">
        <f>IF(ISBLANK(VLOOKUP(BR90,Reinforcements[],COLUMN(Reinforcements[[#Headers],[Bottom Longitudinal Weld Length]])-1,FALSE)),"",(VLOOKUP(BR90,Reinforcements[],COLUMN(Reinforcements[[#Headers],[Bottom Longitudinal Weld Length]])-1,FALSE)))</f>
        <v>#N/A</v>
      </c>
      <c r="CP90" s="449" t="str">
        <f>IFERROR(VLOOKUP(BR90,Reinforcements[],COLUMN(Reinforcements[[#Headers],[Bottom Connected to Flange/Base Plate?]])-1,FALSE),"")</f>
        <v/>
      </c>
      <c r="CQ90" s="369" t="e">
        <f>IF(Rev="F",VLOOKUP(BR90,Reinforcements[],COLUMN(Reinforcements[[#Headers],[Rev. F Bottom Transverse Weld Strength]])-1,FALSE),VLOOKUP(BR90,Reinforcements[],COLUMN(Reinforcements[[#Headers],[Rev. G Bottom Transverse Weld Strength]])-1,FALSE))</f>
        <v>#N/A</v>
      </c>
      <c r="CR90" s="369" t="e">
        <f>IF(CP90="Yes",IF(CN90="Fillet",VLOOKUP(BR90,Reinforcements[],COLUMN(Reinforcements[[#Headers],[Bottom Transverse Weld Fillet Size (in)]])-1,FALSE)*CM90*MIN(IF(Rev="F",0.4,φ_shear_yield*0.6)*CG90,IF(Rev="F",0.3,φ_shear_rupture*0.6)*CH90),VLOOKUP(BR90,Reinforcements[],COLUMN(Reinforcements[[#Headers],[Bottom Transverse Weld Groove Depth (in)]])-1,FALSE)/COS(RADIANS(VLOOKUP(BR90,Reinforcements[],COLUMN(Reinforcements[[#Headers],[Bottom Transverse Weld Groove Angle (degrees)]])-1,FALSE)))*CM90*IF(Rev="F",0.6,φ_t_y)*CG90),VLOOKUP(BR90,Reinforcements[],COLUMN(Reinforcements[[#Headers],[Bottom Transverse Weld Fillet Size (in)]])-1,FALSE)*CM90*IF(Rev="F",0.6,φ_t_y)*CG90)</f>
        <v>#N/A</v>
      </c>
      <c r="CS90" s="369" t="str">
        <f>IF(CP90&lt;&gt;"Yes","",(VLOOKUP(BR90,Reinforcements[],COLUMN(Reinforcements[[#Headers],[Bottom Transverse Weld Groove Depth (in)]])-1,FALSE)+VLOOKUP(BR90,Reinforcements[],COLUMN(Reinforcements[[#Headers],[Bottom Transverse Weld Fillet Size (in)]])-1,FALSE))*CM90*IF(Rev="F",0.6,φ_t_y)*$D$14)</f>
        <v/>
      </c>
      <c r="CT90" s="369" t="e">
        <f>IF(CP90="Yes","",VLOOKUP(BR90,Reinforcements[],COLUMN(Reinforcements[[#Headers],[Bottom Transverse Weld Fillet Size (in)]])-1,FALSE)*CM90*MIN(IF(Rev="F",0.4,φ_shear_yield*0.6)*$D$6,IF(Rev="F",0.3,φ_shear_rupture*0.6)*$D$7))</f>
        <v>#N/A</v>
      </c>
      <c r="CU90" s="369" t="e">
        <f>IF(Rev="F",VLOOKUP(BR90,Reinforcements[],COLUMN(Reinforcements[[#Headers],[Rev. F Bottom Longitudinal Weld Strength]])-1,FALSE),VLOOKUP(BR90,Reinforcements[],COLUMN(Reinforcements[[#Headers],[Rev. G Bottom Longitudinal Weld Strength]])-1,FALSE))</f>
        <v>#N/A</v>
      </c>
      <c r="CV90" s="369" t="e">
        <f>2*VLOOKUP(BR90,Reinforcements[],COLUMN(Reinforcements[[#Headers],[Bottom Longitudinal Weld Fillet Size (in)]])-1,FALSE)*CO90*MIN(IF(Rev="F",0.4,φ_shear_yield*0.6)*CG90,IF(Rev="F",0.3,φ_shear_rupture*0.6)*CH90)</f>
        <v>#N/A</v>
      </c>
      <c r="CW90" s="369" t="e">
        <f>2*VLOOKUP(BR90,Reinforcements[],COLUMN(Reinforcements[[#Headers],[Bottom Longitudinal Weld Fillet Size (in)]])-1,FALSE)*CO90*MIN(IF(Rev="F",0.4,φ_shear_yield*0.6)*$D$6,IF(Rev="F",0.3,φ_shear_rupture*0.6)*$D$7)</f>
        <v>#N/A</v>
      </c>
      <c r="CX90" s="451" t="e">
        <f>IF(ISBLANK(VLOOKUP(BR90,Reinforcements[],COLUMN(Reinforcements[[#Headers],[Top Transverse Weld Length]])-1,FALSE)),"",(VLOOKUP(BR90,Reinforcements[],COLUMN(Reinforcements[[#Headers],[Top Transverse Weld Length]])-1,FALSE)))</f>
        <v>#N/A</v>
      </c>
      <c r="CY90" s="451" t="e">
        <f>IF(ISBLANK(VLOOKUP(BR90,Reinforcements[],COLUMN(Reinforcements[[#Headers],[Top Transverse (Horizontal) Weld]])-1,FALSE)),"",(VLOOKUP(BR90,Reinforcements[],COLUMN(Reinforcements[[#Headers],[Top Transverse (Horizontal) Weld]])-1,FALSE)))</f>
        <v>#N/A</v>
      </c>
      <c r="CZ90" s="451" t="e">
        <f>IF(ISBLANK(VLOOKUP(BR90,Reinforcements[],COLUMN(Reinforcements[[#Headers],[Top Longitudinal Weld Length]])-1,FALSE)),"",(VLOOKUP(BR90,Reinforcements[],COLUMN(Reinforcements[[#Headers],[Top Longitudinal Weld Length]])-1,FALSE)))</f>
        <v>#N/A</v>
      </c>
      <c r="DA90" s="369" t="str">
        <f>IFERROR(VLOOKUP(BR90,Reinforcements[],COLUMN(Reinforcements[[#Headers],[Top Connected to Flange/Base Plate?]])-1,FALSE),"")</f>
        <v/>
      </c>
      <c r="DB90" s="369" t="e">
        <f>IF(Rev="F",VLOOKUP(BR90,Reinforcements[],COLUMN(Reinforcements[[#Headers],[Rev. F Top Transverse Weld Strength]])-1,FALSE),VLOOKUP(BR90,Reinforcements[],COLUMN(Reinforcements[[#Headers],[Rev. G Top Transverse Weld Strength]])-1,FALSE))</f>
        <v>#N/A</v>
      </c>
      <c r="DC90" s="369" t="e">
        <f>IF(DA90="Yes",IF(CY90="Fillet",VLOOKUP(BR90,Reinforcements[],COLUMN(Reinforcements[[#Headers],[Top Transverse Weld Fillet Size (in)]])-1,FALSE)*CX90*MIN(IF(Rev="F",0.4,φ_shear_yield*0.6)*CG90,IF(Rev="F",0.3,φ_shear_rupture*0.6)*CH90),VLOOKUP(BR90,Reinforcements[],COLUMN(Reinforcements[[#Headers],[Top Transverse Weld Groove Depth (in)]])-1,FALSE)/COS(RADIANS(VLOOKUP(BR90,Reinforcements[],COLUMN(Reinforcements[[#Headers],[Top Transverse Weld Groove Angle (degrees)]])-1,FALSE)))*CX90*IF(Rev="F",0.6,φ_t_y)*CG90),VLOOKUP(BR90,Reinforcements[],COLUMN(Reinforcements[[#Headers],[Top Transverse Weld Fillet Size (in)]])-1,FALSE)*CX90*IF(Rev="F",0.6,φ_t_y)*CG90)</f>
        <v>#N/A</v>
      </c>
      <c r="DD90" s="369" t="str">
        <f>IF(DA90&lt;&gt;"Yes","",(VLOOKUP(BR90,Reinforcements[],COLUMN(Reinforcements[[#Headers],[Top Transverse Weld Groove Depth (in)]])-1,FALSE)+VLOOKUP(BR90,Reinforcements[],COLUMN(Reinforcements[[#Headers],[Top Transverse Weld Fillet Size (in)]])-1,FALSE))*CX90*IF(Rev="F",0.6,φ_t_y)*$D$14)</f>
        <v/>
      </c>
      <c r="DE90" s="369" t="e">
        <f>IF(DA90="Yes","",VLOOKUP(BR90,Reinforcements[],COLUMN(Reinforcements[[#Headers],[Top Transverse Weld Fillet Size (in)]])-1,FALSE)*CX90*MIN(IF(Rev="F",0.4,φ_shear_yield*0.6)*$D$6,IF(Rev="F",0.3,φ_shear_rupture*0.6)*$D$7))</f>
        <v>#N/A</v>
      </c>
      <c r="DF90" s="369" t="e">
        <f>IF(Rev="F",VLOOKUP(BR90,Reinforcements[],COLUMN(Reinforcements[[#Headers],[Rev. F Top Longitudinal Weld Strength]])-1,FALSE),VLOOKUP(BR90,Reinforcements[],COLUMN(Reinforcements[[#Headers],[Rev. G Top Longitudinal Weld Strength]])-1,FALSE))</f>
        <v>#N/A</v>
      </c>
      <c r="DG90" s="369" t="e">
        <f>2*VLOOKUP(BR90,Reinforcements[],COLUMN(Reinforcements[[#Headers],[Top Longitudinal Weld Fillet Size (in)]])-1,FALSE)*CZ90*MIN(IF(Rev="F",0.4,φ_shear_yield*0.6)*CG90,IF(Rev="F",0.3,φ_shear_rupture*0.6)*CH90)</f>
        <v>#N/A</v>
      </c>
      <c r="DH90" s="369" t="e">
        <f>2*VLOOKUP(BR90,Reinforcements[],COLUMN(Reinforcements[[#Headers],[Top Longitudinal Weld Fillet Size (in)]])-1,FALSE)*CZ90*MIN(IF(Rev="F",0.4,φ_shear_yield*0.6)*$D$6,IF(Rev="F",0.3,φ_shear_rupture*0.6)*$D$7)</f>
        <v>#N/A</v>
      </c>
      <c r="DI90" s="66" t="e">
        <f>IF(BS90="channel",VLOOKUP(Calculations!BR90,Reinforcements[],COLUMN(Reinforcements[[#Headers],['[Channel']Web Thickness (in)]])-1,FALSE),"")</f>
        <v>#N/A</v>
      </c>
      <c r="DJ90" s="66" t="b">
        <f t="shared" si="126"/>
        <v>0</v>
      </c>
      <c r="DK90" s="66" t="e">
        <f>IF(BS90="channel",Calculations!BU90-DI90,"")</f>
        <v>#N/A</v>
      </c>
      <c r="DL90" s="66" t="e">
        <f>IF(BS90="channel",(Calculations!BY90-Calculations!BT90*DI90)/(2*DK90))</f>
        <v>#N/A</v>
      </c>
      <c r="DM90" s="66" t="e">
        <f>IF(BS90="channel",(Calculations!BT90*(DI90^2)/2+2*DK90*DL90*(DI90+DK90/2))/Calculations!BY90,"")</f>
        <v>#N/A</v>
      </c>
    </row>
    <row r="91" spans="2:117" ht="15" x14ac:dyDescent="0.25">
      <c r="B91" s="66" t="str">
        <f t="shared" si="70"/>
        <v/>
      </c>
      <c r="C91" s="317">
        <v>13</v>
      </c>
      <c r="D91" s="380" t="str">
        <f>IF(BQ91="","",IF($D$8=0,IF(OR(VLOOKUP(BQ91,Input!$B$21:$AL$50,19+C91,FALSE)+$D$5=0,VLOOKUP(BQ91,Input!$B$21:$AL$50,19+C91,FALSE)+$D$5=180),VLOOKUP(BQ91,Input!$B$21:$AL$50,19+C91,FALSE)+$D$5+0.0001,VLOOKUP(BQ91,Input!$B$21:$AL$50,19+C91,FALSE)+$D$5),IF(VLOOKUP(BQ91,Input!$B$21:$AL$50,19+C91,FALSE)="c",VLOOKUP($C91,$C$40:$E$57,2,FALSE)+180/$D$8,VLOOKUP($C91,$C$40:$E$57,2,FALSE))))</f>
        <v/>
      </c>
      <c r="E91" s="370" t="str">
        <f t="shared" si="110"/>
        <v/>
      </c>
      <c r="F91" s="381" t="str">
        <f>IF(BR91="","",VLOOKUP(BR91,Reinforcements[],COLUMN(Reinforcements[[#Headers],[Gross Area (in2)]])-1,FALSE))</f>
        <v/>
      </c>
      <c r="G91" s="378" t="e">
        <f>(IF(VLOOKUP(BQ91,Input!$B$21:$AL$50,19+C91,FALSE)="c",$D$20/COS(RADIANS(180/$D$8)),$D$20)+CA91)*SIN(RADIANS(D91))-IF(AND(ISNUMBER(VLOOKUP(BQ91,Input!$B$21:$AL$50,19+C91,FALSE)),$D$8&lt;&gt;0),VLOOKUP(BQ91,Input!$B$21:$AL$50,19+C91,FALSE)*COS(RADIANS(D91)),0)</f>
        <v>#N/A</v>
      </c>
      <c r="H91" s="373" t="str">
        <f t="shared" si="111"/>
        <v/>
      </c>
      <c r="I91" s="373" t="e">
        <f t="shared" si="86"/>
        <v>#N/A</v>
      </c>
      <c r="J91" s="373" t="e">
        <f t="shared" si="112"/>
        <v>#N/A</v>
      </c>
      <c r="K91" s="373" t="e">
        <f t="shared" si="113"/>
        <v>#N/A</v>
      </c>
      <c r="L91" s="373" t="e">
        <f t="shared" si="114"/>
        <v>#N/A</v>
      </c>
      <c r="M91" s="374" t="str">
        <f t="shared" si="115"/>
        <v/>
      </c>
      <c r="N91" s="372" t="str">
        <f>IFERROR((IF(VLOOKUP(BQ91,Input!$B$21:$AL$50,19+C91,FALSE)="c",$D$20/COS(RADIANS(180/$D$8)),$D$20)+CA91)*SIN(RADIANS(D91))-IF(AND(ISNUMBER(VLOOKUP(BQ91,Input!$B$21:$AL$50,19+C91,FALSE)),$D$8&lt;&gt;0),VLOOKUP(BQ91,Input!$B$21:$AL$50,19+C91,FALSE)*COS(RADIANS(D91)),0)-$D$35,"")</f>
        <v/>
      </c>
      <c r="O91" s="373" t="str">
        <f t="shared" si="87"/>
        <v/>
      </c>
      <c r="P91" s="373" t="str">
        <f t="shared" si="88"/>
        <v/>
      </c>
      <c r="Q91" s="373" t="str">
        <f t="shared" si="89"/>
        <v/>
      </c>
      <c r="R91" s="374" t="str">
        <f t="shared" si="90"/>
        <v/>
      </c>
      <c r="S91" s="373" t="str">
        <f t="shared" si="91"/>
        <v/>
      </c>
      <c r="T91" s="373" t="str">
        <f t="shared" si="92"/>
        <v/>
      </c>
      <c r="U91" s="373" t="str">
        <f t="shared" si="93"/>
        <v/>
      </c>
      <c r="V91" s="374" t="str">
        <f t="shared" si="94"/>
        <v/>
      </c>
      <c r="W91" s="482" t="str">
        <f>IFERROR(IF('Macro References'!$A$9,IF(AND(Calculations!CK91,CL91="Bolted"),VLOOKUP($BR91,Reinforcements[],COLUMN(IF(Rev="F",Reinforcements[[#Headers],[Rev. F Bolt Shear Capacity   (Top)        (kips)]],IF(Rev="G",Reinforcements[[#Headers],[Rev. G Bolt Shear Capacity (Top)     (kips)]],Reinforcements[[#Headers],[Rev. H Bolt Shear Capacity (Top) (kips)]])))-1,FALSE),IF(AND(Calculations!CJ91,CL91="Bolted"),VLOOKUP($BR91,Reinforcements[],COLUMN(IF(Rev="F",Reinforcements[[#Headers],[Rev. F Bolt Shear Capacity (Bottom)   (kips)]],IF(Rev="G",Reinforcements[[#Headers],[Rev. G Bolt Shear Capacity (Bottom) (kips)]],Reinforcements[[#Headers],[Rev. H Bolt Shear Capacity (Bottom) (kips)]])))-1,FALSE),"")),""),"")</f>
        <v/>
      </c>
      <c r="X91" s="483" t="str">
        <f>IFERROR(IF('Macro References'!$A$9,IF('Macro References'!$A$10,IF(AND(Calculations!CK91,CL91="Bolted"),VLOOKUP($BR91,Reinforcements[],COLUMN(IF(Rev="F",Reinforcements[[#Headers],[Rev.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kips)]])))-1,FALSE),IF(AND(Calculations!CJ91,CL91="Bolted"),VLOOKUP($BR91,Reinforcements[],COLUMN(IF(Rev="F",Reinforcements[[#Headers],[Rev.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kips)]])))-1,FALSE),"")),IF(AND(Calculations!CK91,CL91="Bolted"),VLOOKUP($BR91,Reinforcements[],COLUMN(IF(Rev="F",Reinforcements[[#Headers],[Rev.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kips)]])))-1,FALSE),IF(AND(Calculations!CJ91,CL91="Bolted"),VLOOKUP($BR91,Reinforcements[],COLUMN(IF(Rev="F",Reinforcements[[#Headers],[Rev.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1" s="483" t="str">
        <f>IFERROR(IF('Macro References'!$A$9,IF('Macro References'!$A$10,IF(AND(Calculations!CK91,CL91="Bolted"),VLOOKUP($BR91,Reinforcements[],COLUMN(IF(Rev="F",Reinforcements[[#Headers],[Rev.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(kips)]])))-1,FALSE),IF(AND(Calculations!CJ91,CL91="Bolted"),VLOOKUP($BR91,Reinforcements[],COLUMN(IF(Rev="F",Reinforcements[[#Headers],[Rev.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(kips)]])))-1,FALSE),"")),IF(AND(Calculations!CK91,CL91="Bolted"),VLOOKUP($BR91,Reinforcements[],COLUMN(IF(Rev="F",Reinforcements[[#Headers],[Rev.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(kips)]])))-1,FALSE),IF(AND(Calculations!CJ91,CL91="Bolted"),VLOOKUP($BR91,Reinforcements[],COLUMN(IF(Rev="F",Reinforcements[[#Headers],[Rev.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1" s="483" t="str">
        <f>IFERROR(IF('Macro References'!$A$9,IF(AND(CJ91,CL91="Welded"),MIN(CQ91:CT91),IF(AND(CK91,CL91="Welded"),MIN(DB91:DE91),"")),""),"")</f>
        <v/>
      </c>
      <c r="AA91" s="484" t="str">
        <f>IFERROR(IF('Macro References'!$A$9,IF(AND(CJ91,CL91="Welded"),MIN(CU91:CW91),IF(AND(CK91,CL91="Welded"),MIN(DF91:DH91),"")),""),"")</f>
        <v/>
      </c>
      <c r="AB91" s="484" t="str">
        <f>IFERROR(IF('Macro References'!$A$9,IF(AND(CJ91,CL91="Welded",CN91="Fillet",CU91&gt;0),TRUE,IF(AND(CK91,CL91="Welded",CY91="Fillet",DF91&gt;0),TRUE,"")),""),"")</f>
        <v/>
      </c>
      <c r="AC91" s="484" t="e">
        <f>IF('Macro References'!$A$9,IF(AND(CJ91,CL91="Capacity Input"),IF(Rev="F",VLOOKUP(BR91,Reinforcements[],COLUMN(Reinforcements[[#Headers],[Rev. F Bottom Connection Capacity (kips)]])-1,FALSE),IF(Rev="G",VLOOKUP(BR91,Reinforcements[],COLUMN(Reinforcements[[#Headers],[Rev. G Bottom Connection Capacity (kips)]])-1,FALSE),VLOOKUP(BR91,Reinforcements[],COLUMN(Reinforcements[[#Headers],[Rev. H Bottom Connection Capacity (kips)]])-1,FALSE))),IF(AND(CK91,CL91="Capacity Input"),IF(Rev="F",VLOOKUP(BR91,Reinforcements[],COLUMN(Reinforcements[[#Headers],[Rev. F Top Connection Capacity (kips)]])-1,FALSE),IF(Rev="G",VLOOKUP(BR91,Reinforcements[],COLUMN(Reinforcements[[#Headers],[Rev. G Top Connection Capacity (kips)]])-1,FALSE),VLOOKUP(BR91,Reinforcements[],COLUMN(Reinforcements[[#Headers],[Rev. H Top Connection Capacity (kips)]])-1,FALSE))),"")),"")</f>
        <v>#VALUE!</v>
      </c>
      <c r="AD91" s="484" t="str">
        <f>IFERROR(IF(Rev="F",MIN(VLOOKUP(BR91,Reinforcements[],COLUMN(Reinforcements[[#Headers],[Rev. F Compression Capacity x-x (kips)]])-1,FALSE),VLOOKUP(BR91,Reinforcements[],COLUMN(Reinforcements[[#Headers],[Rev. F Compression Capacity y-y (kips)]])-1,FALSE)),IF(Rev="G",MIN(VLOOKUP(BR91,Reinforcements[],COLUMN(Reinforcements[[#Headers],[Rev. G Compression Capacity x-x (kips)]])-1,FALSE),VLOOKUP(BR91,Reinforcements[],COLUMN(Reinforcements[[#Headers],[Rev. G Compression Capacity y-y (kips)]])-1,FALSE)),MIN(VLOOKUP(BR91,Reinforcements[],COLUMN(Reinforcements[[#Headers],[Rev. H Compression Capacity x-x (kips)]])-1,FALSE),VLOOKUP(BR91,Reinforcements[],COLUMN(Reinforcements[[#Headers],[Rev. H Compression Capacity y-y (kips)]])-1,FALSE)))),"")</f>
        <v/>
      </c>
      <c r="AE91" s="485" t="str">
        <f>IFERROR(IF(Rev="F",VLOOKUP(BR91,Reinforcements[],COLUMN(Reinforcements[[#Headers],[Rev. F Shear Capacity (kips)]])-1,FALSE)/BY91,IF(Rev="G",VLOOKUP(Calculations!BR91,Reinforcements[],COLUMN(Reinforcements[[#Headers],[Rev. G Shear Capacity (kips)]])-1,FALSE),VLOOKUP(Calculations!BR91,Reinforcements[],COLUMN(Reinforcements[[#Headers],[Rev. H Shear Capacity (kips)]])-1,FALSE))),"")</f>
        <v/>
      </c>
      <c r="AF91" s="451" t="str">
        <f>IFERROR(IF(Rev="F",VLOOKUP(BR91,Reinforcements[],COLUMN(Reinforcements[[#Headers],[Rev. F Tension Yield Capacity (kips)]])-1,FALSE),IF(Rev="G",VLOOKUP(Calculations!BR91,Reinforcements[],COLUMN(Reinforcements[[#Headers],[Rev. G Tension Yield Capacity (kips)]])-1,FALSE),VLOOKUP(Calculations!BR91,Reinforcements[],COLUMN(Reinforcements[[#Headers],[Rev. H Tension Yield Capacity (kips)]])-1,FALSE))),"")</f>
        <v/>
      </c>
      <c r="AG91" s="486" t="str">
        <f>IFERROR(IF(Rev="F",VLOOKUP(BR91,Reinforcements[],COLUMN(Reinforcements[[#Headers],[Rev. F Tension Rupture Capacity (kips)]])-1,FALSE),IF(Rev="G",VLOOKUP(Calculations!BR91,Reinforcements[],COLUMN(Reinforcements[[#Headers],[Rev. G Tension Rupture Capacity (kips)]])-1,FALSE),VLOOKUP(Calculations!BR91,Reinforcements[],COLUMN(Reinforcements[[#Headers],[Rev. H Tension Rupture Capacity (kips)]])-1, FALSE))),"")</f>
        <v/>
      </c>
      <c r="AH91" s="409" t="str">
        <f t="shared" si="95"/>
        <v/>
      </c>
      <c r="AI91" s="380" t="str">
        <f t="shared" si="96"/>
        <v/>
      </c>
      <c r="AJ91" s="380" t="str">
        <f t="shared" si="97"/>
        <v/>
      </c>
      <c r="AK91" s="380" t="str">
        <f t="shared" si="85"/>
        <v/>
      </c>
      <c r="AL91" s="369" t="str">
        <f t="shared" si="78"/>
        <v/>
      </c>
      <c r="AM91" s="380" t="str">
        <f>""</f>
        <v/>
      </c>
      <c r="AN91" s="380" t="str">
        <f t="shared" si="98"/>
        <v/>
      </c>
      <c r="AO91" s="369" t="str">
        <f t="shared" si="99"/>
        <v/>
      </c>
      <c r="AP91" s="410" t="str">
        <f t="shared" si="100"/>
        <v/>
      </c>
      <c r="AQ91" s="411" t="str">
        <f t="shared" si="53"/>
        <v/>
      </c>
      <c r="AR91" s="380" t="str">
        <f>IF(BR91="","",VLOOKUP(VLOOKUP(BR91,Reinforcements[],COLUMN(Reinforcements[[#Headers],[Material]])-1,FALSE),Materials[],2,FALSE)/$D$28)</f>
        <v/>
      </c>
      <c r="AS91" s="369" t="str">
        <f t="shared" si="54"/>
        <v/>
      </c>
      <c r="AT91" s="489" t="str">
        <f t="shared" si="101"/>
        <v/>
      </c>
      <c r="AU91" s="412">
        <f t="shared" si="116"/>
        <v>0</v>
      </c>
      <c r="AV91" s="413">
        <f t="shared" si="117"/>
        <v>0</v>
      </c>
      <c r="AW91" s="413" t="e">
        <f t="shared" si="102"/>
        <v>#N/A</v>
      </c>
      <c r="AX91" s="413" t="e">
        <f t="shared" si="103"/>
        <v>#N/A</v>
      </c>
      <c r="AY91" s="413" t="str">
        <f t="shared" si="104"/>
        <v/>
      </c>
      <c r="AZ91" s="413" t="e">
        <f t="shared" si="105"/>
        <v>#VALUE!</v>
      </c>
      <c r="BA91" s="433" t="str">
        <f t="shared" si="118"/>
        <v/>
      </c>
      <c r="BB91" s="436" t="str">
        <f t="shared" si="119"/>
        <v/>
      </c>
      <c r="BC91" s="437" t="str">
        <f t="shared" si="120"/>
        <v/>
      </c>
      <c r="BD91" s="437" t="str">
        <f t="shared" si="106"/>
        <v/>
      </c>
      <c r="BE91" s="433" t="str">
        <f t="shared" si="121"/>
        <v/>
      </c>
      <c r="BF91" s="438" t="e">
        <f t="shared" si="122"/>
        <v>#DIV/0!</v>
      </c>
      <c r="BG91" s="439" t="str">
        <f t="shared" si="107"/>
        <v/>
      </c>
      <c r="BH91" s="439" t="str">
        <f t="shared" si="108"/>
        <v/>
      </c>
      <c r="BI91" s="433" t="e">
        <f t="shared" si="123"/>
        <v>#DIV/0!</v>
      </c>
      <c r="BJ91" s="438" t="str">
        <f t="shared" si="124"/>
        <v/>
      </c>
      <c r="BK91" s="413" t="e">
        <f t="shared" si="125"/>
        <v>#DIV/0!</v>
      </c>
      <c r="BL91" s="66" t="str">
        <f t="shared" si="68"/>
        <v/>
      </c>
      <c r="BP91" s="30" t="e">
        <f t="shared" si="109"/>
        <v>#DIV/0!</v>
      </c>
      <c r="BQ91" s="444" t="str">
        <f>IFERROR(VALUE(IF(LEN(VLOOKUP(Calculations!$D$4,Results!$G$5:$CM$105,67+$C72,FALSE))-LEN(SUBSTITUTE(VLOOKUP(Calculations!$D$4,Results!$G$5:$CM$105,67+$C72,FALSE),";",""))&gt;1,MID(VLOOKUP(Calculations!$D$4,Results!$G$5:$CM$105,67+$C72,FALSE),FIND(";",VLOOKUP(Calculations!$D$4,Results!$G$5:$CM$105,67+$C72,FALSE))+1,FIND(";",VLOOKUP(Calculations!$D$4,Results!$G$5:$CM$105,67+$C72,FALSE),FIND(";",VLOOKUP(Calculations!$D$4,Results!$G$5:$CM$105,67+$C72,FALSE))+1)-FIND(";",VLOOKUP(Calculations!$D$4,Results!$G$5:$CM$105,67+$C72,FALSE))-1),"")),"")</f>
        <v/>
      </c>
      <c r="BR91" s="444" t="str">
        <f>IF(BQ91="","",VLOOKUP(BQ91,Input!$B$21:$Q$50,13,FALSE))</f>
        <v/>
      </c>
      <c r="BS91" s="369" t="e">
        <f>VLOOKUP(BR91,Reinforcements[],COLUMN(Reinforcements[[#Headers],[Type]])-1,FALSE)</f>
        <v>#N/A</v>
      </c>
      <c r="BT91" s="369" t="e">
        <f>IF(BS91="solid round",VLOOKUP(BR91,Reinforcements[],COLUMN(Reinforcements[[#Headers],[Diameter (in)]])-1,FALSE),VLOOKUP(BR91,Reinforcements[],COLUMN(Reinforcements[[#Headers],[B (in)]])-1,FALSE))</f>
        <v>#N/A</v>
      </c>
      <c r="BU91" s="369" t="e">
        <f>IF(BS91="solid round",VLOOKUP(BR91,Reinforcements[],COLUMN(Reinforcements[[#Headers],[Diameter (in)]])-1,FALSE),VLOOKUP(BR91,Reinforcements[],COLUMN(Reinforcements[[#Headers],[H (in)]])-1,FALSE))</f>
        <v>#N/A</v>
      </c>
      <c r="BV91" s="413" t="e">
        <f>IFERROR((IF(VLOOKUP(BQ91,Input!$B$21:$AL$50,19+C91,FALSE)="c",$D$20/COS(RADIANS(180/$D$8)),$D$20)+BU91/2)*SIN(RADIANS(D91))-IF(ISNUMBER(VLOOKUP(BQ91,Input!$B$21:$AL$50,19+C91,FALSE)),VLOOKUP(BQ91,Input!$B$21:$AL$50,19+C91,FALSE)*COS(RADIANS(D91)),0)-$D$35,"")*0+N91*1</f>
        <v>#VALUE!</v>
      </c>
      <c r="BW91" s="369" t="e">
        <f>VLOOKUP(BR91,Reinforcements[],COLUMN(Reinforcements[[#Headers],[Effective B (in)]])-1,FALSE)</f>
        <v>#N/A</v>
      </c>
      <c r="BX91" s="369" t="e">
        <f>VLOOKUP(BR91,Reinforcements[],COLUMN(Reinforcements[[#Headers],[Effective H (in)]])-1,FALSE)</f>
        <v>#N/A</v>
      </c>
      <c r="BY91" s="369" t="e">
        <f>VLOOKUP(BR91,Reinforcements[],COLUMN(Reinforcements[[#Headers],[Gross Area (in2)]])-1,FALSE)</f>
        <v>#N/A</v>
      </c>
      <c r="BZ91" s="380" t="s">
        <v>335</v>
      </c>
      <c r="CA91" s="369" t="e">
        <f>VLOOKUP(BR91,Reinforcements[],COLUMN(Reinforcements[[#Headers],[Pole Face to Centroid (in)]])-1,FALSE)</f>
        <v>#N/A</v>
      </c>
      <c r="CB91" s="369" t="e">
        <f>VLOOKUP(BR91,Reinforcements[],COLUMN(Reinforcements[[#Headers],[Ix]])-1,FALSE)</f>
        <v>#N/A</v>
      </c>
      <c r="CC91" s="369" t="e">
        <f>VLOOKUP(BR91,Reinforcements[],COLUMN(Reinforcements[[#Headers],[Iy]])-1,FALSE)</f>
        <v>#N/A</v>
      </c>
      <c r="CD91" s="369" t="e">
        <f>VLOOKUP(BR91,Reinforcements[],COLUMN(Reinforcements[[#Headers],[Lu (in)]])-1,FALSE)</f>
        <v>#N/A</v>
      </c>
      <c r="CE91" s="380" t="s">
        <v>335</v>
      </c>
      <c r="CF91" s="380" t="s">
        <v>335</v>
      </c>
      <c r="CG91" s="369" t="e">
        <f>VLOOKUP(VLOOKUP(BR91,Reinforcements[],COLUMN(Reinforcements[[#Headers],[Material]])-1,FALSE),Materials[],2,FALSE)</f>
        <v>#N/A</v>
      </c>
      <c r="CH91" s="369" t="e">
        <f>VLOOKUP(VLOOKUP(BR91,Reinforcements[],COLUMN(Reinforcements[[#Headers],[Material]])-1,FALSE),Materials[],3,FALSE)</f>
        <v>#N/A</v>
      </c>
      <c r="CI91" s="380" t="e">
        <f>VLOOKUP(BR91,Reinforcements[],COLUMN(Reinforcements[[#Headers],[Tension Only?]])-1,FALSE)</f>
        <v>#N/A</v>
      </c>
      <c r="CJ91" s="449" t="str">
        <f>IF(BQ91="","",AND(INDEX(Results!$G$5:$G$104,MATCH(VLOOKUP($BQ91,Input!$B$21:$J$50,2,FALSE)-0.001,Results!$G$5:$G$104,-1))=$D$4))</f>
        <v/>
      </c>
      <c r="CK91" s="449" t="str">
        <f>IF(BQ91="","",AND(INDEX('Macro References'!$BB$2:$BB$101,MATCH(VLOOKUP($BQ91,Input!$B$21:$J$50,6,FALSE)-0.001,'Macro References'!$BB$2:$BB$101,1))=$D$4))</f>
        <v/>
      </c>
      <c r="CL91" s="449" t="e">
        <f>IF(CJ91,VLOOKUP(BR91,Reinforcements[],COLUMN(Reinforcements[[#Headers],[Bottom End Connection Type]])-1,FALSE),IF(CK91,VLOOKUP(BR91,Reinforcements[],COLUMN(Reinforcements[[#Headers],[Top End Connection Type]])-1,FALSE),""))</f>
        <v>#VALUE!</v>
      </c>
      <c r="CM91" s="449" t="e">
        <f>IF(ISBLANK(VLOOKUP(BR91,Reinforcements[],COLUMN(Reinforcements[[#Headers],[Bottom Transverse Weld Length]])-1,FALSE)),"",(VLOOKUP(BR91,Reinforcements[],COLUMN(Reinforcements[[#Headers],[Bottom Transverse Weld Length]])-1,FALSE)))</f>
        <v>#N/A</v>
      </c>
      <c r="CN91" s="449" t="e">
        <f>IF(ISBLANK(VLOOKUP(BR91,Reinforcements[],COLUMN(Reinforcements[[#Headers],[Bottom Transverse (Horizontal) Weld]])-1,FALSE)),"",(VLOOKUP(BR91,Reinforcements[],COLUMN(Reinforcements[[#Headers],[Bottom Transverse (Horizontal) Weld]])-1,FALSE)))</f>
        <v>#N/A</v>
      </c>
      <c r="CO91" s="449" t="e">
        <f>IF(ISBLANK(VLOOKUP(BR91,Reinforcements[],COLUMN(Reinforcements[[#Headers],[Bottom Longitudinal Weld Length]])-1,FALSE)),"",(VLOOKUP(BR91,Reinforcements[],COLUMN(Reinforcements[[#Headers],[Bottom Longitudinal Weld Length]])-1,FALSE)))</f>
        <v>#N/A</v>
      </c>
      <c r="CP91" s="449" t="str">
        <f>IFERROR(VLOOKUP(BR91,Reinforcements[],COLUMN(Reinforcements[[#Headers],[Bottom Connected to Flange/Base Plate?]])-1,FALSE),"")</f>
        <v/>
      </c>
      <c r="CQ91" s="369" t="e">
        <f>IF(Rev="F",VLOOKUP(BR91,Reinforcements[],COLUMN(Reinforcements[[#Headers],[Rev. F Bottom Transverse Weld Strength]])-1,FALSE),VLOOKUP(BR91,Reinforcements[],COLUMN(Reinforcements[[#Headers],[Rev. G Bottom Transverse Weld Strength]])-1,FALSE))</f>
        <v>#N/A</v>
      </c>
      <c r="CR91" s="369" t="e">
        <f>IF(CP91="Yes",IF(CN91="Fillet",VLOOKUP(BR91,Reinforcements[],COLUMN(Reinforcements[[#Headers],[Bottom Transverse Weld Fillet Size (in)]])-1,FALSE)*CM91*MIN(IF(Rev="F",0.4,φ_shear_yield*0.6)*CG91,IF(Rev="F",0.3,φ_shear_rupture*0.6)*CH91),VLOOKUP(BR91,Reinforcements[],COLUMN(Reinforcements[[#Headers],[Bottom Transverse Weld Groove Depth (in)]])-1,FALSE)/COS(RADIANS(VLOOKUP(BR91,Reinforcements[],COLUMN(Reinforcements[[#Headers],[Bottom Transverse Weld Groove Angle (degrees)]])-1,FALSE)))*CM91*IF(Rev="F",0.6,φ_t_y)*CG91),VLOOKUP(BR91,Reinforcements[],COLUMN(Reinforcements[[#Headers],[Bottom Transverse Weld Fillet Size (in)]])-1,FALSE)*CM91*IF(Rev="F",0.6,φ_t_y)*CG91)</f>
        <v>#N/A</v>
      </c>
      <c r="CS91" s="369" t="str">
        <f>IF(CP91&lt;&gt;"Yes","",(VLOOKUP(BR91,Reinforcements[],COLUMN(Reinforcements[[#Headers],[Bottom Transverse Weld Groove Depth (in)]])-1,FALSE)+VLOOKUP(BR91,Reinforcements[],COLUMN(Reinforcements[[#Headers],[Bottom Transverse Weld Fillet Size (in)]])-1,FALSE))*CM91*IF(Rev="F",0.6,φ_t_y)*$D$14)</f>
        <v/>
      </c>
      <c r="CT91" s="369" t="e">
        <f>IF(CP91="Yes","",VLOOKUP(BR91,Reinforcements[],COLUMN(Reinforcements[[#Headers],[Bottom Transverse Weld Fillet Size (in)]])-1,FALSE)*CM91*MIN(IF(Rev="F",0.4,φ_shear_yield*0.6)*$D$6,IF(Rev="F",0.3,φ_shear_rupture*0.6)*$D$7))</f>
        <v>#N/A</v>
      </c>
      <c r="CU91" s="369" t="e">
        <f>IF(Rev="F",VLOOKUP(BR91,Reinforcements[],COLUMN(Reinforcements[[#Headers],[Rev. F Bottom Longitudinal Weld Strength]])-1,FALSE),VLOOKUP(BR91,Reinforcements[],COLUMN(Reinforcements[[#Headers],[Rev. G Bottom Longitudinal Weld Strength]])-1,FALSE))</f>
        <v>#N/A</v>
      </c>
      <c r="CV91" s="369" t="e">
        <f>2*VLOOKUP(BR91,Reinforcements[],COLUMN(Reinforcements[[#Headers],[Bottom Longitudinal Weld Fillet Size (in)]])-1,FALSE)*CO91*MIN(IF(Rev="F",0.4,φ_shear_yield*0.6)*CG91,IF(Rev="F",0.3,φ_shear_rupture*0.6)*CH91)</f>
        <v>#N/A</v>
      </c>
      <c r="CW91" s="369" t="e">
        <f>2*VLOOKUP(BR91,Reinforcements[],COLUMN(Reinforcements[[#Headers],[Bottom Longitudinal Weld Fillet Size (in)]])-1,FALSE)*CO91*MIN(IF(Rev="F",0.4,φ_shear_yield*0.6)*$D$6,IF(Rev="F",0.3,φ_shear_rupture*0.6)*$D$7)</f>
        <v>#N/A</v>
      </c>
      <c r="CX91" s="451" t="e">
        <f>IF(ISBLANK(VLOOKUP(BR91,Reinforcements[],COLUMN(Reinforcements[[#Headers],[Top Transverse Weld Length]])-1,FALSE)),"",(VLOOKUP(BR91,Reinforcements[],COLUMN(Reinforcements[[#Headers],[Top Transverse Weld Length]])-1,FALSE)))</f>
        <v>#N/A</v>
      </c>
      <c r="CY91" s="451" t="e">
        <f>IF(ISBLANK(VLOOKUP(BR91,Reinforcements[],COLUMN(Reinforcements[[#Headers],[Top Transverse (Horizontal) Weld]])-1,FALSE)),"",(VLOOKUP(BR91,Reinforcements[],COLUMN(Reinforcements[[#Headers],[Top Transverse (Horizontal) Weld]])-1,FALSE)))</f>
        <v>#N/A</v>
      </c>
      <c r="CZ91" s="451" t="e">
        <f>IF(ISBLANK(VLOOKUP(BR91,Reinforcements[],COLUMN(Reinforcements[[#Headers],[Top Longitudinal Weld Length]])-1,FALSE)),"",(VLOOKUP(BR91,Reinforcements[],COLUMN(Reinforcements[[#Headers],[Top Longitudinal Weld Length]])-1,FALSE)))</f>
        <v>#N/A</v>
      </c>
      <c r="DA91" s="369" t="str">
        <f>IFERROR(VLOOKUP(BR91,Reinforcements[],COLUMN(Reinforcements[[#Headers],[Top Connected to Flange/Base Plate?]])-1,FALSE),"")</f>
        <v/>
      </c>
      <c r="DB91" s="369" t="e">
        <f>IF(Rev="F",VLOOKUP(BR91,Reinforcements[],COLUMN(Reinforcements[[#Headers],[Rev. F Top Transverse Weld Strength]])-1,FALSE),VLOOKUP(BR91,Reinforcements[],COLUMN(Reinforcements[[#Headers],[Rev. G Top Transverse Weld Strength]])-1,FALSE))</f>
        <v>#N/A</v>
      </c>
      <c r="DC91" s="369" t="e">
        <f>IF(DA91="Yes",IF(CY91="Fillet",VLOOKUP(BR91,Reinforcements[],COLUMN(Reinforcements[[#Headers],[Top Transverse Weld Fillet Size (in)]])-1,FALSE)*CX91*MIN(IF(Rev="F",0.4,φ_shear_yield*0.6)*CG91,IF(Rev="F",0.3,φ_shear_rupture*0.6)*CH91),VLOOKUP(BR91,Reinforcements[],COLUMN(Reinforcements[[#Headers],[Top Transverse Weld Groove Depth (in)]])-1,FALSE)/COS(RADIANS(VLOOKUP(BR91,Reinforcements[],COLUMN(Reinforcements[[#Headers],[Top Transverse Weld Groove Angle (degrees)]])-1,FALSE)))*CX91*IF(Rev="F",0.6,φ_t_y)*CG91),VLOOKUP(BR91,Reinforcements[],COLUMN(Reinforcements[[#Headers],[Top Transverse Weld Fillet Size (in)]])-1,FALSE)*CX91*IF(Rev="F",0.6,φ_t_y)*CG91)</f>
        <v>#N/A</v>
      </c>
      <c r="DD91" s="369" t="str">
        <f>IF(DA91&lt;&gt;"Yes","",(VLOOKUP(BR91,Reinforcements[],COLUMN(Reinforcements[[#Headers],[Top Transverse Weld Groove Depth (in)]])-1,FALSE)+VLOOKUP(BR91,Reinforcements[],COLUMN(Reinforcements[[#Headers],[Top Transverse Weld Fillet Size (in)]])-1,FALSE))*CX91*IF(Rev="F",0.6,φ_t_y)*$D$14)</f>
        <v/>
      </c>
      <c r="DE91" s="369" t="e">
        <f>IF(DA91="Yes","",VLOOKUP(BR91,Reinforcements[],COLUMN(Reinforcements[[#Headers],[Top Transverse Weld Fillet Size (in)]])-1,FALSE)*CX91*MIN(IF(Rev="F",0.4,φ_shear_yield*0.6)*$D$6,IF(Rev="F",0.3,φ_shear_rupture*0.6)*$D$7))</f>
        <v>#N/A</v>
      </c>
      <c r="DF91" s="369" t="e">
        <f>IF(Rev="F",VLOOKUP(BR91,Reinforcements[],COLUMN(Reinforcements[[#Headers],[Rev. F Top Longitudinal Weld Strength]])-1,FALSE),VLOOKUP(BR91,Reinforcements[],COLUMN(Reinforcements[[#Headers],[Rev. G Top Longitudinal Weld Strength]])-1,FALSE))</f>
        <v>#N/A</v>
      </c>
      <c r="DG91" s="369" t="e">
        <f>2*VLOOKUP(BR91,Reinforcements[],COLUMN(Reinforcements[[#Headers],[Top Longitudinal Weld Fillet Size (in)]])-1,FALSE)*CZ91*MIN(IF(Rev="F",0.4,φ_shear_yield*0.6)*CG91,IF(Rev="F",0.3,φ_shear_rupture*0.6)*CH91)</f>
        <v>#N/A</v>
      </c>
      <c r="DH91" s="369" t="e">
        <f>2*VLOOKUP(BR91,Reinforcements[],COLUMN(Reinforcements[[#Headers],[Top Longitudinal Weld Fillet Size (in)]])-1,FALSE)*CZ91*MIN(IF(Rev="F",0.4,φ_shear_yield*0.6)*$D$6,IF(Rev="F",0.3,φ_shear_rupture*0.6)*$D$7)</f>
        <v>#N/A</v>
      </c>
      <c r="DI91" s="66" t="e">
        <f>IF(BS91="channel",VLOOKUP(Calculations!BR91,Reinforcements[],COLUMN(Reinforcements[[#Headers],['[Channel']Web Thickness (in)]])-1,FALSE),"")</f>
        <v>#N/A</v>
      </c>
      <c r="DJ91" s="66" t="b">
        <f t="shared" si="126"/>
        <v>0</v>
      </c>
      <c r="DK91" s="66" t="e">
        <f>IF(BS91="channel",Calculations!BU91-DI91,"")</f>
        <v>#N/A</v>
      </c>
      <c r="DL91" s="66" t="e">
        <f>IF(BS91="channel",(Calculations!BY91-Calculations!BT91*DI91)/(2*DK91))</f>
        <v>#N/A</v>
      </c>
      <c r="DM91" s="66" t="e">
        <f>IF(BS91="channel",(Calculations!BT91*(DI91^2)/2+2*DK91*DL91*(DI91+DK91/2))/Calculations!BY91,"")</f>
        <v>#N/A</v>
      </c>
    </row>
    <row r="92" spans="2:117" ht="15" x14ac:dyDescent="0.25">
      <c r="B92" s="66" t="str">
        <f t="shared" si="70"/>
        <v/>
      </c>
      <c r="C92" s="317">
        <v>14</v>
      </c>
      <c r="D92" s="380" t="str">
        <f>IF(BQ92="","",IF($D$8=0,IF(OR(VLOOKUP(BQ92,Input!$B$21:$AL$50,19+C92,FALSE)+$D$5=0,VLOOKUP(BQ92,Input!$B$21:$AL$50,19+C92,FALSE)+$D$5=180),VLOOKUP(BQ92,Input!$B$21:$AL$50,19+C92,FALSE)+$D$5+0.0001,VLOOKUP(BQ92,Input!$B$21:$AL$50,19+C92,FALSE)+$D$5),IF(VLOOKUP(BQ92,Input!$B$21:$AL$50,19+C92,FALSE)="c",VLOOKUP($C92,$C$40:$E$57,2,FALSE)+180/$D$8,VLOOKUP($C92,$C$40:$E$57,2,FALSE))))</f>
        <v/>
      </c>
      <c r="E92" s="370" t="str">
        <f t="shared" si="110"/>
        <v/>
      </c>
      <c r="F92" s="381" t="str">
        <f>IF(BR92="","",VLOOKUP(BR92,Reinforcements[],COLUMN(Reinforcements[[#Headers],[Gross Area (in2)]])-1,FALSE))</f>
        <v/>
      </c>
      <c r="G92" s="378" t="e">
        <f>(IF(VLOOKUP(BQ92,Input!$B$21:$AL$50,19+C92,FALSE)="c",$D$20/COS(RADIANS(180/$D$8)),$D$20)+CA92)*SIN(RADIANS(D92))-IF(AND(ISNUMBER(VLOOKUP(BQ92,Input!$B$21:$AL$50,19+C92,FALSE)),$D$8&lt;&gt;0),VLOOKUP(BQ92,Input!$B$21:$AL$50,19+C92,FALSE)*COS(RADIANS(D92)),0)</f>
        <v>#N/A</v>
      </c>
      <c r="H92" s="373" t="str">
        <f t="shared" si="111"/>
        <v/>
      </c>
      <c r="I92" s="373" t="e">
        <f t="shared" si="86"/>
        <v>#N/A</v>
      </c>
      <c r="J92" s="373" t="e">
        <f t="shared" si="112"/>
        <v>#N/A</v>
      </c>
      <c r="K92" s="373" t="e">
        <f t="shared" si="113"/>
        <v>#N/A</v>
      </c>
      <c r="L92" s="373" t="e">
        <f t="shared" si="114"/>
        <v>#N/A</v>
      </c>
      <c r="M92" s="374" t="str">
        <f t="shared" si="115"/>
        <v/>
      </c>
      <c r="N92" s="372" t="str">
        <f>IFERROR((IF(VLOOKUP(BQ92,Input!$B$21:$AL$50,19+C92,FALSE)="c",$D$20/COS(RADIANS(180/$D$8)),$D$20)+CA92)*SIN(RADIANS(D92))-IF(AND(ISNUMBER(VLOOKUP(BQ92,Input!$B$21:$AL$50,19+C92,FALSE)),$D$8&lt;&gt;0),VLOOKUP(BQ92,Input!$B$21:$AL$50,19+C92,FALSE)*COS(RADIANS(D92)),0)-$D$35,"")</f>
        <v/>
      </c>
      <c r="O92" s="373" t="str">
        <f t="shared" si="87"/>
        <v/>
      </c>
      <c r="P92" s="373" t="str">
        <f t="shared" si="88"/>
        <v/>
      </c>
      <c r="Q92" s="373" t="str">
        <f t="shared" si="89"/>
        <v/>
      </c>
      <c r="R92" s="374" t="str">
        <f t="shared" si="90"/>
        <v/>
      </c>
      <c r="S92" s="373" t="str">
        <f t="shared" si="91"/>
        <v/>
      </c>
      <c r="T92" s="373" t="str">
        <f t="shared" si="92"/>
        <v/>
      </c>
      <c r="U92" s="373" t="str">
        <f t="shared" si="93"/>
        <v/>
      </c>
      <c r="V92" s="374" t="str">
        <f t="shared" si="94"/>
        <v/>
      </c>
      <c r="W92" s="482" t="str">
        <f>IFERROR(IF('Macro References'!$A$9,IF(AND(Calculations!CK92,CL92="Bolted"),VLOOKUP($BR92,Reinforcements[],COLUMN(IF(Rev="F",Reinforcements[[#Headers],[Rev. F Bolt Shear Capacity   (Top)        (kips)]],IF(Rev="G",Reinforcements[[#Headers],[Rev. G Bolt Shear Capacity (Top)     (kips)]],Reinforcements[[#Headers],[Rev. H Bolt Shear Capacity (Top) (kips)]])))-1,FALSE),IF(AND(Calculations!CJ92,CL92="Bolted"),VLOOKUP($BR92,Reinforcements[],COLUMN(IF(Rev="F",Reinforcements[[#Headers],[Rev. F Bolt Shear Capacity (Bottom)   (kips)]],IF(Rev="G",Reinforcements[[#Headers],[Rev. G Bolt Shear Capacity (Bottom) (kips)]],Reinforcements[[#Headers],[Rev. H Bolt Shear Capacity (Bottom) (kips)]])))-1,FALSE),"")),""),"")</f>
        <v/>
      </c>
      <c r="X92" s="483" t="str">
        <f>IFERROR(IF('Macro References'!$A$9,IF('Macro References'!$A$10,IF(AND(Calculations!CK92,CL92="Bolted"),VLOOKUP($BR92,Reinforcements[],COLUMN(IF(Rev="F",Reinforcements[[#Headers],[Rev.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kips)]])))-1,FALSE),IF(AND(Calculations!CJ92,CL92="Bolted"),VLOOKUP($BR92,Reinforcements[],COLUMN(IF(Rev="F",Reinforcements[[#Headers],[Rev.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kips)]])))-1,FALSE),"")),IF(AND(Calculations!CK92,CL92="Bolted"),VLOOKUP($BR92,Reinforcements[],COLUMN(IF(Rev="F",Reinforcements[[#Headers],[Rev.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kips)]])))-1,FALSE),IF(AND(Calculations!CJ92,CL92="Bolted"),VLOOKUP($BR92,Reinforcements[],COLUMN(IF(Rev="F",Reinforcements[[#Headers],[Rev.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2" s="483" t="str">
        <f>IFERROR(IF('Macro References'!$A$9,IF('Macro References'!$A$10,IF(AND(Calculations!CK92,CL92="Bolted"),VLOOKUP($BR92,Reinforcements[],COLUMN(IF(Rev="F",Reinforcements[[#Headers],[Rev.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(kips)]])))-1,FALSE),IF(AND(Calculations!CJ92,CL92="Bolted"),VLOOKUP($BR92,Reinforcements[],COLUMN(IF(Rev="F",Reinforcements[[#Headers],[Rev.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(kips)]])))-1,FALSE),"")),IF(AND(Calculations!CK92,CL92="Bolted"),VLOOKUP($BR92,Reinforcements[],COLUMN(IF(Rev="F",Reinforcements[[#Headers],[Rev.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(kips)]])))-1,FALSE),IF(AND(Calculations!CJ92,CL92="Bolted"),VLOOKUP($BR92,Reinforcements[],COLUMN(IF(Rev="F",Reinforcements[[#Headers],[Rev.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2" s="483" t="str">
        <f>IFERROR(IF('Macro References'!$A$9,IF(AND(CJ92,CL92="Welded"),MIN(CQ92:CT92),IF(AND(CK92,CL92="Welded"),MIN(DB92:DE92),"")),""),"")</f>
        <v/>
      </c>
      <c r="AA92" s="484" t="str">
        <f>IFERROR(IF('Macro References'!$A$9,IF(AND(CJ92,CL92="Welded"),MIN(CU92:CW92),IF(AND(CK92,CL92="Welded"),MIN(DF92:DH92),"")),""),"")</f>
        <v/>
      </c>
      <c r="AB92" s="484" t="str">
        <f>IFERROR(IF('Macro References'!$A$9,IF(AND(CJ92,CL92="Welded",CN92="Fillet",CU92&gt;0),TRUE,IF(AND(CK92,CL92="Welded",CY92="Fillet",DF92&gt;0),TRUE,"")),""),"")</f>
        <v/>
      </c>
      <c r="AC92" s="484" t="e">
        <f>IF('Macro References'!$A$9,IF(AND(CJ92,CL92="Capacity Input"),IF(Rev="F",VLOOKUP(BR92,Reinforcements[],COLUMN(Reinforcements[[#Headers],[Rev. F Bottom Connection Capacity (kips)]])-1,FALSE),IF(Rev="G",VLOOKUP(BR92,Reinforcements[],COLUMN(Reinforcements[[#Headers],[Rev. G Bottom Connection Capacity (kips)]])-1,FALSE),VLOOKUP(BR92,Reinforcements[],COLUMN(Reinforcements[[#Headers],[Rev. H Bottom Connection Capacity (kips)]])-1,FALSE))),IF(AND(CK92,CL92="Capacity Input"),IF(Rev="F",VLOOKUP(BR92,Reinforcements[],COLUMN(Reinforcements[[#Headers],[Rev. F Top Connection Capacity (kips)]])-1,FALSE),IF(Rev="G",VLOOKUP(BR92,Reinforcements[],COLUMN(Reinforcements[[#Headers],[Rev. G Top Connection Capacity (kips)]])-1,FALSE),VLOOKUP(BR92,Reinforcements[],COLUMN(Reinforcements[[#Headers],[Rev. H Top Connection Capacity (kips)]])-1,FALSE))),"")),"")</f>
        <v>#VALUE!</v>
      </c>
      <c r="AD92" s="484" t="str">
        <f>IFERROR(IF(Rev="F",MIN(VLOOKUP(BR92,Reinforcements[],COLUMN(Reinforcements[[#Headers],[Rev. F Compression Capacity x-x (kips)]])-1,FALSE),VLOOKUP(BR92,Reinforcements[],COLUMN(Reinforcements[[#Headers],[Rev. F Compression Capacity y-y (kips)]])-1,FALSE)),IF(Rev="G",MIN(VLOOKUP(BR92,Reinforcements[],COLUMN(Reinforcements[[#Headers],[Rev. G Compression Capacity x-x (kips)]])-1,FALSE),VLOOKUP(BR92,Reinforcements[],COLUMN(Reinforcements[[#Headers],[Rev. G Compression Capacity y-y (kips)]])-1,FALSE)),MIN(VLOOKUP(BR92,Reinforcements[],COLUMN(Reinforcements[[#Headers],[Rev. H Compression Capacity x-x (kips)]])-1,FALSE),VLOOKUP(BR92,Reinforcements[],COLUMN(Reinforcements[[#Headers],[Rev. H Compression Capacity y-y (kips)]])-1,FALSE)))),"")</f>
        <v/>
      </c>
      <c r="AE92" s="485" t="str">
        <f>IFERROR(IF(Rev="F",VLOOKUP(BR92,Reinforcements[],COLUMN(Reinforcements[[#Headers],[Rev. F Shear Capacity (kips)]])-1,FALSE)/BY92,IF(Rev="G",VLOOKUP(Calculations!BR92,Reinforcements[],COLUMN(Reinforcements[[#Headers],[Rev. G Shear Capacity (kips)]])-1,FALSE),VLOOKUP(Calculations!BR92,Reinforcements[],COLUMN(Reinforcements[[#Headers],[Rev. H Shear Capacity (kips)]])-1,FALSE))),"")</f>
        <v/>
      </c>
      <c r="AF92" s="451" t="str">
        <f>IFERROR(IF(Rev="F",VLOOKUP(BR92,Reinforcements[],COLUMN(Reinforcements[[#Headers],[Rev. F Tension Yield Capacity (kips)]])-1,FALSE),IF(Rev="G",VLOOKUP(Calculations!BR92,Reinforcements[],COLUMN(Reinforcements[[#Headers],[Rev. G Tension Yield Capacity (kips)]])-1,FALSE),VLOOKUP(Calculations!BR92,Reinforcements[],COLUMN(Reinforcements[[#Headers],[Rev. H Tension Yield Capacity (kips)]])-1,FALSE))),"")</f>
        <v/>
      </c>
      <c r="AG92" s="486" t="str">
        <f>IFERROR(IF(Rev="F",VLOOKUP(BR92,Reinforcements[],COLUMN(Reinforcements[[#Headers],[Rev. F Tension Rupture Capacity (kips)]])-1,FALSE),IF(Rev="G",VLOOKUP(Calculations!BR92,Reinforcements[],COLUMN(Reinforcements[[#Headers],[Rev. G Tension Rupture Capacity (kips)]])-1,FALSE),VLOOKUP(Calculations!BR92,Reinforcements[],COLUMN(Reinforcements[[#Headers],[Rev. H Tension Rupture Capacity (kips)]])-1, FALSE))),"")</f>
        <v/>
      </c>
      <c r="AH92" s="409" t="str">
        <f t="shared" si="95"/>
        <v/>
      </c>
      <c r="AI92" s="380" t="str">
        <f t="shared" si="96"/>
        <v/>
      </c>
      <c r="AJ92" s="380" t="str">
        <f t="shared" si="97"/>
        <v/>
      </c>
      <c r="AK92" s="380" t="str">
        <f t="shared" si="85"/>
        <v/>
      </c>
      <c r="AL92" s="369" t="str">
        <f t="shared" si="78"/>
        <v/>
      </c>
      <c r="AM92" s="380" t="str">
        <f>""</f>
        <v/>
      </c>
      <c r="AN92" s="380" t="str">
        <f t="shared" si="98"/>
        <v/>
      </c>
      <c r="AO92" s="369" t="str">
        <f t="shared" si="99"/>
        <v/>
      </c>
      <c r="AP92" s="410" t="str">
        <f t="shared" si="100"/>
        <v/>
      </c>
      <c r="AQ92" s="411" t="str">
        <f t="shared" si="53"/>
        <v/>
      </c>
      <c r="AR92" s="380" t="str">
        <f>IF(BR92="","",VLOOKUP(VLOOKUP(BR92,Reinforcements[],COLUMN(Reinforcements[[#Headers],[Material]])-1,FALSE),Materials[],2,FALSE)/$D$28)</f>
        <v/>
      </c>
      <c r="AS92" s="369" t="str">
        <f t="shared" si="54"/>
        <v/>
      </c>
      <c r="AT92" s="489" t="str">
        <f t="shared" si="101"/>
        <v/>
      </c>
      <c r="AU92" s="412">
        <f t="shared" si="116"/>
        <v>0</v>
      </c>
      <c r="AV92" s="413">
        <f t="shared" si="117"/>
        <v>0</v>
      </c>
      <c r="AW92" s="413" t="e">
        <f t="shared" si="102"/>
        <v>#N/A</v>
      </c>
      <c r="AX92" s="413" t="e">
        <f t="shared" si="103"/>
        <v>#N/A</v>
      </c>
      <c r="AY92" s="413" t="str">
        <f t="shared" si="104"/>
        <v/>
      </c>
      <c r="AZ92" s="413" t="e">
        <f t="shared" si="105"/>
        <v>#VALUE!</v>
      </c>
      <c r="BA92" s="433" t="str">
        <f t="shared" si="118"/>
        <v/>
      </c>
      <c r="BB92" s="436" t="str">
        <f t="shared" si="119"/>
        <v/>
      </c>
      <c r="BC92" s="437" t="str">
        <f t="shared" si="120"/>
        <v/>
      </c>
      <c r="BD92" s="437" t="str">
        <f t="shared" si="106"/>
        <v/>
      </c>
      <c r="BE92" s="433" t="str">
        <f t="shared" si="121"/>
        <v/>
      </c>
      <c r="BF92" s="438" t="e">
        <f t="shared" si="122"/>
        <v>#DIV/0!</v>
      </c>
      <c r="BG92" s="439" t="str">
        <f t="shared" si="107"/>
        <v/>
      </c>
      <c r="BH92" s="439" t="str">
        <f t="shared" si="108"/>
        <v/>
      </c>
      <c r="BI92" s="433" t="e">
        <f t="shared" si="123"/>
        <v>#DIV/0!</v>
      </c>
      <c r="BJ92" s="438" t="str">
        <f t="shared" si="124"/>
        <v/>
      </c>
      <c r="BK92" s="413" t="e">
        <f t="shared" si="125"/>
        <v>#DIV/0!</v>
      </c>
      <c r="BL92" s="66" t="str">
        <f t="shared" si="68"/>
        <v/>
      </c>
      <c r="BP92" s="30" t="e">
        <f t="shared" si="109"/>
        <v>#DIV/0!</v>
      </c>
      <c r="BQ92" s="444" t="str">
        <f>IFERROR(VALUE(IF(LEN(VLOOKUP(Calculations!$D$4,Results!$G$5:$CM$105,67+$C73,FALSE))-LEN(SUBSTITUTE(VLOOKUP(Calculations!$D$4,Results!$G$5:$CM$105,67+$C73,FALSE),";",""))&gt;1,MID(VLOOKUP(Calculations!$D$4,Results!$G$5:$CM$105,67+$C73,FALSE),FIND(";",VLOOKUP(Calculations!$D$4,Results!$G$5:$CM$105,67+$C73,FALSE))+1,FIND(";",VLOOKUP(Calculations!$D$4,Results!$G$5:$CM$105,67+$C73,FALSE),FIND(";",VLOOKUP(Calculations!$D$4,Results!$G$5:$CM$105,67+$C73,FALSE))+1)-FIND(";",VLOOKUP(Calculations!$D$4,Results!$G$5:$CM$105,67+$C73,FALSE))-1),"")),"")</f>
        <v/>
      </c>
      <c r="BR92" s="444" t="str">
        <f>IF(BQ92="","",VLOOKUP(BQ92,Input!$B$21:$Q$50,13,FALSE))</f>
        <v/>
      </c>
      <c r="BS92" s="369" t="e">
        <f>VLOOKUP(BR92,Reinforcements[],COLUMN(Reinforcements[[#Headers],[Type]])-1,FALSE)</f>
        <v>#N/A</v>
      </c>
      <c r="BT92" s="369" t="e">
        <f>IF(BS92="solid round",VLOOKUP(BR92,Reinforcements[],COLUMN(Reinforcements[[#Headers],[Diameter (in)]])-1,FALSE),VLOOKUP(BR92,Reinforcements[],COLUMN(Reinforcements[[#Headers],[B (in)]])-1,FALSE))</f>
        <v>#N/A</v>
      </c>
      <c r="BU92" s="369" t="e">
        <f>IF(BS92="solid round",VLOOKUP(BR92,Reinforcements[],COLUMN(Reinforcements[[#Headers],[Diameter (in)]])-1,FALSE),VLOOKUP(BR92,Reinforcements[],COLUMN(Reinforcements[[#Headers],[H (in)]])-1,FALSE))</f>
        <v>#N/A</v>
      </c>
      <c r="BV92" s="413" t="e">
        <f>IFERROR((IF(VLOOKUP(BQ92,Input!$B$21:$AL$50,19+C92,FALSE)="c",$D$20/COS(RADIANS(180/$D$8)),$D$20)+BU92/2)*SIN(RADIANS(D92))-IF(ISNUMBER(VLOOKUP(BQ92,Input!$B$21:$AL$50,19+C92,FALSE)),VLOOKUP(BQ92,Input!$B$21:$AL$50,19+C92,FALSE)*COS(RADIANS(D92)),0)-$D$35,"")*0+N92*1</f>
        <v>#VALUE!</v>
      </c>
      <c r="BW92" s="369" t="e">
        <f>VLOOKUP(BR92,Reinforcements[],COLUMN(Reinforcements[[#Headers],[Effective B (in)]])-1,FALSE)</f>
        <v>#N/A</v>
      </c>
      <c r="BX92" s="369" t="e">
        <f>VLOOKUP(BR92,Reinforcements[],COLUMN(Reinforcements[[#Headers],[Effective H (in)]])-1,FALSE)</f>
        <v>#N/A</v>
      </c>
      <c r="BY92" s="369" t="e">
        <f>VLOOKUP(BR92,Reinforcements[],COLUMN(Reinforcements[[#Headers],[Gross Area (in2)]])-1,FALSE)</f>
        <v>#N/A</v>
      </c>
      <c r="BZ92" s="380" t="s">
        <v>335</v>
      </c>
      <c r="CA92" s="369" t="e">
        <f>VLOOKUP(BR92,Reinforcements[],COLUMN(Reinforcements[[#Headers],[Pole Face to Centroid (in)]])-1,FALSE)</f>
        <v>#N/A</v>
      </c>
      <c r="CB92" s="369" t="e">
        <f>VLOOKUP(BR92,Reinforcements[],COLUMN(Reinforcements[[#Headers],[Ix]])-1,FALSE)</f>
        <v>#N/A</v>
      </c>
      <c r="CC92" s="369" t="e">
        <f>VLOOKUP(BR92,Reinforcements[],COLUMN(Reinforcements[[#Headers],[Iy]])-1,FALSE)</f>
        <v>#N/A</v>
      </c>
      <c r="CD92" s="369" t="e">
        <f>VLOOKUP(BR92,Reinforcements[],COLUMN(Reinforcements[[#Headers],[Lu (in)]])-1,FALSE)</f>
        <v>#N/A</v>
      </c>
      <c r="CE92" s="380" t="s">
        <v>335</v>
      </c>
      <c r="CF92" s="380" t="s">
        <v>335</v>
      </c>
      <c r="CG92" s="369" t="e">
        <f>VLOOKUP(VLOOKUP(BR92,Reinforcements[],COLUMN(Reinforcements[[#Headers],[Material]])-1,FALSE),Materials[],2,FALSE)</f>
        <v>#N/A</v>
      </c>
      <c r="CH92" s="369" t="e">
        <f>VLOOKUP(VLOOKUP(BR92,Reinforcements[],COLUMN(Reinforcements[[#Headers],[Material]])-1,FALSE),Materials[],3,FALSE)</f>
        <v>#N/A</v>
      </c>
      <c r="CI92" s="380" t="e">
        <f>VLOOKUP(BR92,Reinforcements[],COLUMN(Reinforcements[[#Headers],[Tension Only?]])-1,FALSE)</f>
        <v>#N/A</v>
      </c>
      <c r="CJ92" s="449" t="str">
        <f>IF(BQ92="","",AND(INDEX(Results!$G$5:$G$104,MATCH(VLOOKUP($BQ92,Input!$B$21:$J$50,2,FALSE)-0.001,Results!$G$5:$G$104,-1))=$D$4))</f>
        <v/>
      </c>
      <c r="CK92" s="449" t="str">
        <f>IF(BQ92="","",AND(INDEX('Macro References'!$BB$2:$BB$101,MATCH(VLOOKUP($BQ92,Input!$B$21:$J$50,6,FALSE)-0.001,'Macro References'!$BB$2:$BB$101,1))=$D$4))</f>
        <v/>
      </c>
      <c r="CL92" s="449" t="e">
        <f>IF(CJ92,VLOOKUP(BR92,Reinforcements[],COLUMN(Reinforcements[[#Headers],[Bottom End Connection Type]])-1,FALSE),IF(CK92,VLOOKUP(BR92,Reinforcements[],COLUMN(Reinforcements[[#Headers],[Top End Connection Type]])-1,FALSE),""))</f>
        <v>#VALUE!</v>
      </c>
      <c r="CM92" s="449" t="e">
        <f>IF(ISBLANK(VLOOKUP(BR92,Reinforcements[],COLUMN(Reinforcements[[#Headers],[Bottom Transverse Weld Length]])-1,FALSE)),"",(VLOOKUP(BR92,Reinforcements[],COLUMN(Reinforcements[[#Headers],[Bottom Transverse Weld Length]])-1,FALSE)))</f>
        <v>#N/A</v>
      </c>
      <c r="CN92" s="449" t="e">
        <f>IF(ISBLANK(VLOOKUP(BR92,Reinforcements[],COLUMN(Reinforcements[[#Headers],[Bottom Transverse (Horizontal) Weld]])-1,FALSE)),"",(VLOOKUP(BR92,Reinforcements[],COLUMN(Reinforcements[[#Headers],[Bottom Transverse (Horizontal) Weld]])-1,FALSE)))</f>
        <v>#N/A</v>
      </c>
      <c r="CO92" s="449" t="e">
        <f>IF(ISBLANK(VLOOKUP(BR92,Reinforcements[],COLUMN(Reinforcements[[#Headers],[Bottom Longitudinal Weld Length]])-1,FALSE)),"",(VLOOKUP(BR92,Reinforcements[],COLUMN(Reinforcements[[#Headers],[Bottom Longitudinal Weld Length]])-1,FALSE)))</f>
        <v>#N/A</v>
      </c>
      <c r="CP92" s="449" t="str">
        <f>IFERROR(VLOOKUP(BR92,Reinforcements[],COLUMN(Reinforcements[[#Headers],[Bottom Connected to Flange/Base Plate?]])-1,FALSE),"")</f>
        <v/>
      </c>
      <c r="CQ92" s="369" t="e">
        <f>IF(Rev="F",VLOOKUP(BR92,Reinforcements[],COLUMN(Reinforcements[[#Headers],[Rev. F Bottom Transverse Weld Strength]])-1,FALSE),VLOOKUP(BR92,Reinforcements[],COLUMN(Reinforcements[[#Headers],[Rev. G Bottom Transverse Weld Strength]])-1,FALSE))</f>
        <v>#N/A</v>
      </c>
      <c r="CR92" s="369" t="e">
        <f>IF(CP92="Yes",IF(CN92="Fillet",VLOOKUP(BR92,Reinforcements[],COLUMN(Reinforcements[[#Headers],[Bottom Transverse Weld Fillet Size (in)]])-1,FALSE)*CM92*MIN(IF(Rev="F",0.4,φ_shear_yield*0.6)*CG92,IF(Rev="F",0.3,φ_shear_rupture*0.6)*CH92),VLOOKUP(BR92,Reinforcements[],COLUMN(Reinforcements[[#Headers],[Bottom Transverse Weld Groove Depth (in)]])-1,FALSE)/COS(RADIANS(VLOOKUP(BR92,Reinforcements[],COLUMN(Reinforcements[[#Headers],[Bottom Transverse Weld Groove Angle (degrees)]])-1,FALSE)))*CM92*IF(Rev="F",0.6,φ_t_y)*CG92),VLOOKUP(BR92,Reinforcements[],COLUMN(Reinforcements[[#Headers],[Bottom Transverse Weld Fillet Size (in)]])-1,FALSE)*CM92*IF(Rev="F",0.6,φ_t_y)*CG92)</f>
        <v>#N/A</v>
      </c>
      <c r="CS92" s="369" t="str">
        <f>IF(CP92&lt;&gt;"Yes","",(VLOOKUP(BR92,Reinforcements[],COLUMN(Reinforcements[[#Headers],[Bottom Transverse Weld Groove Depth (in)]])-1,FALSE)+VLOOKUP(BR92,Reinforcements[],COLUMN(Reinforcements[[#Headers],[Bottom Transverse Weld Fillet Size (in)]])-1,FALSE))*CM92*IF(Rev="F",0.6,φ_t_y)*$D$14)</f>
        <v/>
      </c>
      <c r="CT92" s="369" t="e">
        <f>IF(CP92="Yes","",VLOOKUP(BR92,Reinforcements[],COLUMN(Reinforcements[[#Headers],[Bottom Transverse Weld Fillet Size (in)]])-1,FALSE)*CM92*MIN(IF(Rev="F",0.4,φ_shear_yield*0.6)*$D$6,IF(Rev="F",0.3,φ_shear_rupture*0.6)*$D$7))</f>
        <v>#N/A</v>
      </c>
      <c r="CU92" s="369" t="e">
        <f>IF(Rev="F",VLOOKUP(BR92,Reinforcements[],COLUMN(Reinforcements[[#Headers],[Rev. F Bottom Longitudinal Weld Strength]])-1,FALSE),VLOOKUP(BR92,Reinforcements[],COLUMN(Reinforcements[[#Headers],[Rev. G Bottom Longitudinal Weld Strength]])-1,FALSE))</f>
        <v>#N/A</v>
      </c>
      <c r="CV92" s="369" t="e">
        <f>2*VLOOKUP(BR92,Reinforcements[],COLUMN(Reinforcements[[#Headers],[Bottom Longitudinal Weld Fillet Size (in)]])-1,FALSE)*CO92*MIN(IF(Rev="F",0.4,φ_shear_yield*0.6)*CG92,IF(Rev="F",0.3,φ_shear_rupture*0.6)*CH92)</f>
        <v>#N/A</v>
      </c>
      <c r="CW92" s="369" t="e">
        <f>2*VLOOKUP(BR92,Reinforcements[],COLUMN(Reinforcements[[#Headers],[Bottom Longitudinal Weld Fillet Size (in)]])-1,FALSE)*CO92*MIN(IF(Rev="F",0.4,φ_shear_yield*0.6)*$D$6,IF(Rev="F",0.3,φ_shear_rupture*0.6)*$D$7)</f>
        <v>#N/A</v>
      </c>
      <c r="CX92" s="451" t="e">
        <f>IF(ISBLANK(VLOOKUP(BR92,Reinforcements[],COLUMN(Reinforcements[[#Headers],[Top Transverse Weld Length]])-1,FALSE)),"",(VLOOKUP(BR92,Reinforcements[],COLUMN(Reinforcements[[#Headers],[Top Transverse Weld Length]])-1,FALSE)))</f>
        <v>#N/A</v>
      </c>
      <c r="CY92" s="451" t="e">
        <f>IF(ISBLANK(VLOOKUP(BR92,Reinforcements[],COLUMN(Reinforcements[[#Headers],[Top Transverse (Horizontal) Weld]])-1,FALSE)),"",(VLOOKUP(BR92,Reinforcements[],COLUMN(Reinforcements[[#Headers],[Top Transverse (Horizontal) Weld]])-1,FALSE)))</f>
        <v>#N/A</v>
      </c>
      <c r="CZ92" s="451" t="e">
        <f>IF(ISBLANK(VLOOKUP(BR92,Reinforcements[],COLUMN(Reinforcements[[#Headers],[Top Longitudinal Weld Length]])-1,FALSE)),"",(VLOOKUP(BR92,Reinforcements[],COLUMN(Reinforcements[[#Headers],[Top Longitudinal Weld Length]])-1,FALSE)))</f>
        <v>#N/A</v>
      </c>
      <c r="DA92" s="369" t="str">
        <f>IFERROR(VLOOKUP(BR92,Reinforcements[],COLUMN(Reinforcements[[#Headers],[Top Connected to Flange/Base Plate?]])-1,FALSE),"")</f>
        <v/>
      </c>
      <c r="DB92" s="369" t="e">
        <f>IF(Rev="F",VLOOKUP(BR92,Reinforcements[],COLUMN(Reinforcements[[#Headers],[Rev. F Top Transverse Weld Strength]])-1,FALSE),VLOOKUP(BR92,Reinforcements[],COLUMN(Reinforcements[[#Headers],[Rev. G Top Transverse Weld Strength]])-1,FALSE))</f>
        <v>#N/A</v>
      </c>
      <c r="DC92" s="369" t="e">
        <f>IF(DA92="Yes",IF(CY92="Fillet",VLOOKUP(BR92,Reinforcements[],COLUMN(Reinforcements[[#Headers],[Top Transverse Weld Fillet Size (in)]])-1,FALSE)*CX92*MIN(IF(Rev="F",0.4,φ_shear_yield*0.6)*CG92,IF(Rev="F",0.3,φ_shear_rupture*0.6)*CH92),VLOOKUP(BR92,Reinforcements[],COLUMN(Reinforcements[[#Headers],[Top Transverse Weld Groove Depth (in)]])-1,FALSE)/COS(RADIANS(VLOOKUP(BR92,Reinforcements[],COLUMN(Reinforcements[[#Headers],[Top Transverse Weld Groove Angle (degrees)]])-1,FALSE)))*CX92*IF(Rev="F",0.6,φ_t_y)*CG92),VLOOKUP(BR92,Reinforcements[],COLUMN(Reinforcements[[#Headers],[Top Transverse Weld Fillet Size (in)]])-1,FALSE)*CX92*IF(Rev="F",0.6,φ_t_y)*CG92)</f>
        <v>#N/A</v>
      </c>
      <c r="DD92" s="369" t="str">
        <f>IF(DA92&lt;&gt;"Yes","",(VLOOKUP(BR92,Reinforcements[],COLUMN(Reinforcements[[#Headers],[Top Transverse Weld Groove Depth (in)]])-1,FALSE)+VLOOKUP(BR92,Reinforcements[],COLUMN(Reinforcements[[#Headers],[Top Transverse Weld Fillet Size (in)]])-1,FALSE))*CX92*IF(Rev="F",0.6,φ_t_y)*$D$14)</f>
        <v/>
      </c>
      <c r="DE92" s="369" t="e">
        <f>IF(DA92="Yes","",VLOOKUP(BR92,Reinforcements[],COLUMN(Reinforcements[[#Headers],[Top Transverse Weld Fillet Size (in)]])-1,FALSE)*CX92*MIN(IF(Rev="F",0.4,φ_shear_yield*0.6)*$D$6,IF(Rev="F",0.3,φ_shear_rupture*0.6)*$D$7))</f>
        <v>#N/A</v>
      </c>
      <c r="DF92" s="369" t="e">
        <f>IF(Rev="F",VLOOKUP(BR92,Reinforcements[],COLUMN(Reinforcements[[#Headers],[Rev. F Top Longitudinal Weld Strength]])-1,FALSE),VLOOKUP(BR92,Reinforcements[],COLUMN(Reinforcements[[#Headers],[Rev. G Top Longitudinal Weld Strength]])-1,FALSE))</f>
        <v>#N/A</v>
      </c>
      <c r="DG92" s="369" t="e">
        <f>2*VLOOKUP(BR92,Reinforcements[],COLUMN(Reinforcements[[#Headers],[Top Longitudinal Weld Fillet Size (in)]])-1,FALSE)*CZ92*MIN(IF(Rev="F",0.4,φ_shear_yield*0.6)*CG92,IF(Rev="F",0.3,φ_shear_rupture*0.6)*CH92)</f>
        <v>#N/A</v>
      </c>
      <c r="DH92" s="369" t="e">
        <f>2*VLOOKUP(BR92,Reinforcements[],COLUMN(Reinforcements[[#Headers],[Top Longitudinal Weld Fillet Size (in)]])-1,FALSE)*CZ92*MIN(IF(Rev="F",0.4,φ_shear_yield*0.6)*$D$6,IF(Rev="F",0.3,φ_shear_rupture*0.6)*$D$7)</f>
        <v>#N/A</v>
      </c>
      <c r="DI92" s="66" t="e">
        <f>IF(BS92="channel",VLOOKUP(Calculations!BR92,Reinforcements[],COLUMN(Reinforcements[[#Headers],['[Channel']Web Thickness (in)]])-1,FALSE),"")</f>
        <v>#N/A</v>
      </c>
      <c r="DJ92" s="66" t="b">
        <f t="shared" si="126"/>
        <v>0</v>
      </c>
      <c r="DK92" s="66" t="e">
        <f>IF(BS92="channel",Calculations!BU92-DI92,"")</f>
        <v>#N/A</v>
      </c>
      <c r="DL92" s="66" t="e">
        <f>IF(BS92="channel",(Calculations!BY92-Calculations!BT92*DI92)/(2*DK92))</f>
        <v>#N/A</v>
      </c>
      <c r="DM92" s="66" t="e">
        <f>IF(BS92="channel",(Calculations!BT92*(DI92^2)/2+2*DK92*DL92*(DI92+DK92/2))/Calculations!BY92,"")</f>
        <v>#N/A</v>
      </c>
    </row>
    <row r="93" spans="2:117" ht="15" x14ac:dyDescent="0.25">
      <c r="B93" s="66" t="str">
        <f t="shared" si="70"/>
        <v/>
      </c>
      <c r="C93" s="317">
        <v>15</v>
      </c>
      <c r="D93" s="380" t="str">
        <f>IF(BQ93="","",IF($D$8=0,IF(OR(VLOOKUP(BQ93,Input!$B$21:$AL$50,19+C93,FALSE)+$D$5=0,VLOOKUP(BQ93,Input!$B$21:$AL$50,19+C93,FALSE)+$D$5=180),VLOOKUP(BQ93,Input!$B$21:$AL$50,19+C93,FALSE)+$D$5+0.0001,VLOOKUP(BQ93,Input!$B$21:$AL$50,19+C93,FALSE)+$D$5),IF(VLOOKUP(BQ93,Input!$B$21:$AL$50,19+C93,FALSE)="c",VLOOKUP($C93,$C$40:$E$57,2,FALSE)+180/$D$8,VLOOKUP($C93,$C$40:$E$57,2,FALSE))))</f>
        <v/>
      </c>
      <c r="E93" s="370" t="str">
        <f t="shared" si="110"/>
        <v/>
      </c>
      <c r="F93" s="381" t="str">
        <f>IF(BR93="","",VLOOKUP(BR93,Reinforcements[],COLUMN(Reinforcements[[#Headers],[Gross Area (in2)]])-1,FALSE))</f>
        <v/>
      </c>
      <c r="G93" s="378" t="e">
        <f>(IF(VLOOKUP(BQ93,Input!$B$21:$AL$50,19+C93,FALSE)="c",$D$20/COS(RADIANS(180/$D$8)),$D$20)+CA93)*SIN(RADIANS(D93))-IF(AND(ISNUMBER(VLOOKUP(BQ93,Input!$B$21:$AL$50,19+C93,FALSE)),$D$8&lt;&gt;0),VLOOKUP(BQ93,Input!$B$21:$AL$50,19+C93,FALSE)*COS(RADIANS(D93)),0)</f>
        <v>#N/A</v>
      </c>
      <c r="H93" s="373" t="str">
        <f t="shared" si="111"/>
        <v/>
      </c>
      <c r="I93" s="373" t="e">
        <f t="shared" si="86"/>
        <v>#N/A</v>
      </c>
      <c r="J93" s="373" t="e">
        <f t="shared" si="112"/>
        <v>#N/A</v>
      </c>
      <c r="K93" s="373" t="e">
        <f t="shared" si="113"/>
        <v>#N/A</v>
      </c>
      <c r="L93" s="373" t="e">
        <f t="shared" si="114"/>
        <v>#N/A</v>
      </c>
      <c r="M93" s="374" t="str">
        <f t="shared" si="115"/>
        <v/>
      </c>
      <c r="N93" s="372" t="str">
        <f>IFERROR((IF(VLOOKUP(BQ93,Input!$B$21:$AL$50,19+C93,FALSE)="c",$D$20/COS(RADIANS(180/$D$8)),$D$20)+CA93)*SIN(RADIANS(D93))-IF(AND(ISNUMBER(VLOOKUP(BQ93,Input!$B$21:$AL$50,19+C93,FALSE)),$D$8&lt;&gt;0),VLOOKUP(BQ93,Input!$B$21:$AL$50,19+C93,FALSE)*COS(RADIANS(D93)),0)-$D$35,"")</f>
        <v/>
      </c>
      <c r="O93" s="373" t="str">
        <f t="shared" si="87"/>
        <v/>
      </c>
      <c r="P93" s="373" t="str">
        <f t="shared" si="88"/>
        <v/>
      </c>
      <c r="Q93" s="373" t="str">
        <f t="shared" si="89"/>
        <v/>
      </c>
      <c r="R93" s="374" t="str">
        <f t="shared" si="90"/>
        <v/>
      </c>
      <c r="S93" s="373" t="str">
        <f t="shared" si="91"/>
        <v/>
      </c>
      <c r="T93" s="373" t="str">
        <f t="shared" si="92"/>
        <v/>
      </c>
      <c r="U93" s="373" t="str">
        <f t="shared" si="93"/>
        <v/>
      </c>
      <c r="V93" s="374" t="str">
        <f t="shared" si="94"/>
        <v/>
      </c>
      <c r="W93" s="482" t="str">
        <f>IFERROR(IF('Macro References'!$A$9,IF(AND(Calculations!CK93,CL93="Bolted"),VLOOKUP($BR93,Reinforcements[],COLUMN(IF(Rev="F",Reinforcements[[#Headers],[Rev. F Bolt Shear Capacity   (Top)        (kips)]],IF(Rev="G",Reinforcements[[#Headers],[Rev. G Bolt Shear Capacity (Top)     (kips)]],Reinforcements[[#Headers],[Rev. H Bolt Shear Capacity (Top) (kips)]])))-1,FALSE),IF(AND(Calculations!CJ93,CL93="Bolted"),VLOOKUP($BR93,Reinforcements[],COLUMN(IF(Rev="F",Reinforcements[[#Headers],[Rev. F Bolt Shear Capacity (Bottom)   (kips)]],IF(Rev="G",Reinforcements[[#Headers],[Rev. G Bolt Shear Capacity (Bottom) (kips)]],Reinforcements[[#Headers],[Rev. H Bolt Shear Capacity (Bottom) (kips)]])))-1,FALSE),"")),""),"")</f>
        <v/>
      </c>
      <c r="X93" s="483" t="str">
        <f>IFERROR(IF('Macro References'!$A$9,IF('Macro References'!$A$10,IF(AND(Calculations!CK93,CL93="Bolted"),VLOOKUP($BR93,Reinforcements[],COLUMN(IF(Rev="F",Reinforcements[[#Headers],[Rev.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kips)]])))-1,FALSE),IF(AND(Calculations!CJ93,CL93="Bolted"),VLOOKUP($BR93,Reinforcements[],COLUMN(IF(Rev="F",Reinforcements[[#Headers],[Rev.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kips)]])))-1,FALSE),"")),IF(AND(Calculations!CK93,CL93="Bolted"),VLOOKUP($BR93,Reinforcements[],COLUMN(IF(Rev="F",Reinforcements[[#Headers],[Rev.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kips)]])))-1,FALSE),IF(AND(Calculations!CJ93,CL93="Bolted"),VLOOKUP($BR93,Reinforcements[],COLUMN(IF(Rev="F",Reinforcements[[#Headers],[Rev.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3" s="483" t="str">
        <f>IFERROR(IF('Macro References'!$A$9,IF('Macro References'!$A$10,IF(AND(Calculations!CK93,CL93="Bolted"),VLOOKUP($BR93,Reinforcements[],COLUMN(IF(Rev="F",Reinforcements[[#Headers],[Rev.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(kips)]])))-1,FALSE),IF(AND(Calculations!CJ93,CL93="Bolted"),VLOOKUP($BR93,Reinforcements[],COLUMN(IF(Rev="F",Reinforcements[[#Headers],[Rev.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(kips)]])))-1,FALSE),"")),IF(AND(Calculations!CK93,CL93="Bolted"),VLOOKUP($BR93,Reinforcements[],COLUMN(IF(Rev="F",Reinforcements[[#Headers],[Rev.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(kips)]])))-1,FALSE),IF(AND(Calculations!CJ93,CL93="Bolted"),VLOOKUP($BR93,Reinforcements[],COLUMN(IF(Rev="F",Reinforcements[[#Headers],[Rev.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3" s="483" t="str">
        <f>IFERROR(IF('Macro References'!$A$9,IF(AND(CJ93,CL93="Welded"),MIN(CQ93:CT93),IF(AND(CK93,CL93="Welded"),MIN(DB93:DE93),"")),""),"")</f>
        <v/>
      </c>
      <c r="AA93" s="484" t="str">
        <f>IFERROR(IF('Macro References'!$A$9,IF(AND(CJ93,CL93="Welded"),MIN(CU93:CW93),IF(AND(CK93,CL93="Welded"),MIN(DF93:DH93),"")),""),"")</f>
        <v/>
      </c>
      <c r="AB93" s="484" t="str">
        <f>IFERROR(IF('Macro References'!$A$9,IF(AND(CJ93,CL93="Welded",CN93="Fillet",CU93&gt;0),TRUE,IF(AND(CK93,CL93="Welded",CY93="Fillet",DF93&gt;0),TRUE,"")),""),"")</f>
        <v/>
      </c>
      <c r="AC93" s="484" t="e">
        <f>IF('Macro References'!$A$9,IF(AND(CJ93,CL93="Capacity Input"),IF(Rev="F",VLOOKUP(BR93,Reinforcements[],COLUMN(Reinforcements[[#Headers],[Rev. F Bottom Connection Capacity (kips)]])-1,FALSE),IF(Rev="G",VLOOKUP(BR93,Reinforcements[],COLUMN(Reinforcements[[#Headers],[Rev. G Bottom Connection Capacity (kips)]])-1,FALSE),VLOOKUP(BR93,Reinforcements[],COLUMN(Reinforcements[[#Headers],[Rev. H Bottom Connection Capacity (kips)]])-1,FALSE))),IF(AND(CK93,CL93="Capacity Input"),IF(Rev="F",VLOOKUP(BR93,Reinforcements[],COLUMN(Reinforcements[[#Headers],[Rev. F Top Connection Capacity (kips)]])-1,FALSE),IF(Rev="G",VLOOKUP(BR93,Reinforcements[],COLUMN(Reinforcements[[#Headers],[Rev. G Top Connection Capacity (kips)]])-1,FALSE),VLOOKUP(BR93,Reinforcements[],COLUMN(Reinforcements[[#Headers],[Rev. H Top Connection Capacity (kips)]])-1,FALSE))),"")),"")</f>
        <v>#VALUE!</v>
      </c>
      <c r="AD93" s="484" t="str">
        <f>IFERROR(IF(Rev="F",MIN(VLOOKUP(BR93,Reinforcements[],COLUMN(Reinforcements[[#Headers],[Rev. F Compression Capacity x-x (kips)]])-1,FALSE),VLOOKUP(BR93,Reinforcements[],COLUMN(Reinforcements[[#Headers],[Rev. F Compression Capacity y-y (kips)]])-1,FALSE)),IF(Rev="G",MIN(VLOOKUP(BR93,Reinforcements[],COLUMN(Reinforcements[[#Headers],[Rev. G Compression Capacity x-x (kips)]])-1,FALSE),VLOOKUP(BR93,Reinforcements[],COLUMN(Reinforcements[[#Headers],[Rev. G Compression Capacity y-y (kips)]])-1,FALSE)),MIN(VLOOKUP(BR93,Reinforcements[],COLUMN(Reinforcements[[#Headers],[Rev. H Compression Capacity x-x (kips)]])-1,FALSE),VLOOKUP(BR93,Reinforcements[],COLUMN(Reinforcements[[#Headers],[Rev. H Compression Capacity y-y (kips)]])-1,FALSE)))),"")</f>
        <v/>
      </c>
      <c r="AE93" s="485" t="str">
        <f>IFERROR(IF(Rev="F",VLOOKUP(BR93,Reinforcements[],COLUMN(Reinforcements[[#Headers],[Rev. F Shear Capacity (kips)]])-1,FALSE)/BY93,IF(Rev="G",VLOOKUP(Calculations!BR93,Reinforcements[],COLUMN(Reinforcements[[#Headers],[Rev. G Shear Capacity (kips)]])-1,FALSE),VLOOKUP(Calculations!BR93,Reinforcements[],COLUMN(Reinforcements[[#Headers],[Rev. H Shear Capacity (kips)]])-1,FALSE))),"")</f>
        <v/>
      </c>
      <c r="AF93" s="451" t="str">
        <f>IFERROR(IF(Rev="F",VLOOKUP(BR93,Reinforcements[],COLUMN(Reinforcements[[#Headers],[Rev. F Tension Yield Capacity (kips)]])-1,FALSE),IF(Rev="G",VLOOKUP(Calculations!BR93,Reinforcements[],COLUMN(Reinforcements[[#Headers],[Rev. G Tension Yield Capacity (kips)]])-1,FALSE),VLOOKUP(Calculations!BR93,Reinforcements[],COLUMN(Reinforcements[[#Headers],[Rev. H Tension Yield Capacity (kips)]])-1,FALSE))),"")</f>
        <v/>
      </c>
      <c r="AG93" s="486" t="str">
        <f>IFERROR(IF(Rev="F",VLOOKUP(BR93,Reinforcements[],COLUMN(Reinforcements[[#Headers],[Rev. F Tension Rupture Capacity (kips)]])-1,FALSE),IF(Rev="G",VLOOKUP(Calculations!BR93,Reinforcements[],COLUMN(Reinforcements[[#Headers],[Rev. G Tension Rupture Capacity (kips)]])-1,FALSE),VLOOKUP(Calculations!BR93,Reinforcements[],COLUMN(Reinforcements[[#Headers],[Rev. H Tension Rupture Capacity (kips)]])-1, FALSE))),"")</f>
        <v/>
      </c>
      <c r="AH93" s="409" t="str">
        <f t="shared" si="95"/>
        <v/>
      </c>
      <c r="AI93" s="380" t="str">
        <f t="shared" si="96"/>
        <v/>
      </c>
      <c r="AJ93" s="380" t="str">
        <f t="shared" si="97"/>
        <v/>
      </c>
      <c r="AK93" s="380" t="str">
        <f t="shared" si="85"/>
        <v/>
      </c>
      <c r="AL93" s="369" t="str">
        <f t="shared" si="78"/>
        <v/>
      </c>
      <c r="AM93" s="380" t="str">
        <f>""</f>
        <v/>
      </c>
      <c r="AN93" s="380" t="str">
        <f t="shared" si="98"/>
        <v/>
      </c>
      <c r="AO93" s="369" t="str">
        <f t="shared" si="99"/>
        <v/>
      </c>
      <c r="AP93" s="410" t="str">
        <f t="shared" si="100"/>
        <v/>
      </c>
      <c r="AQ93" s="411" t="str">
        <f t="shared" si="53"/>
        <v/>
      </c>
      <c r="AR93" s="380" t="str">
        <f>IF(BR93="","",VLOOKUP(VLOOKUP(BR93,Reinforcements[],COLUMN(Reinforcements[[#Headers],[Material]])-1,FALSE),Materials[],2,FALSE)/$D$28)</f>
        <v/>
      </c>
      <c r="AS93" s="369" t="str">
        <f t="shared" si="54"/>
        <v/>
      </c>
      <c r="AT93" s="489" t="str">
        <f t="shared" si="101"/>
        <v/>
      </c>
      <c r="AU93" s="412">
        <f t="shared" si="116"/>
        <v>0</v>
      </c>
      <c r="AV93" s="413">
        <f t="shared" si="117"/>
        <v>0</v>
      </c>
      <c r="AW93" s="413" t="e">
        <f t="shared" si="102"/>
        <v>#N/A</v>
      </c>
      <c r="AX93" s="413" t="e">
        <f t="shared" si="103"/>
        <v>#N/A</v>
      </c>
      <c r="AY93" s="413" t="str">
        <f t="shared" si="104"/>
        <v/>
      </c>
      <c r="AZ93" s="413" t="e">
        <f t="shared" si="105"/>
        <v>#VALUE!</v>
      </c>
      <c r="BA93" s="433" t="str">
        <f t="shared" si="118"/>
        <v/>
      </c>
      <c r="BB93" s="436" t="str">
        <f t="shared" si="119"/>
        <v/>
      </c>
      <c r="BC93" s="437" t="str">
        <f t="shared" si="120"/>
        <v/>
      </c>
      <c r="BD93" s="437" t="str">
        <f t="shared" si="106"/>
        <v/>
      </c>
      <c r="BE93" s="433" t="str">
        <f t="shared" si="121"/>
        <v/>
      </c>
      <c r="BF93" s="438" t="e">
        <f t="shared" si="122"/>
        <v>#DIV/0!</v>
      </c>
      <c r="BG93" s="439" t="str">
        <f t="shared" si="107"/>
        <v/>
      </c>
      <c r="BH93" s="439" t="str">
        <f t="shared" si="108"/>
        <v/>
      </c>
      <c r="BI93" s="433" t="e">
        <f t="shared" si="123"/>
        <v>#DIV/0!</v>
      </c>
      <c r="BJ93" s="438" t="str">
        <f t="shared" si="124"/>
        <v/>
      </c>
      <c r="BK93" s="413" t="e">
        <f t="shared" si="125"/>
        <v>#DIV/0!</v>
      </c>
      <c r="BL93" s="66" t="str">
        <f t="shared" si="68"/>
        <v/>
      </c>
      <c r="BP93" s="30" t="e">
        <f t="shared" si="109"/>
        <v>#DIV/0!</v>
      </c>
      <c r="BQ93" s="444" t="str">
        <f>IFERROR(VALUE(IF(LEN(VLOOKUP(Calculations!$D$4,Results!$G$5:$CM$105,67+$C74,FALSE))-LEN(SUBSTITUTE(VLOOKUP(Calculations!$D$4,Results!$G$5:$CM$105,67+$C74,FALSE),";",""))&gt;1,MID(VLOOKUP(Calculations!$D$4,Results!$G$5:$CM$105,67+$C74,FALSE),FIND(";",VLOOKUP(Calculations!$D$4,Results!$G$5:$CM$105,67+$C74,FALSE))+1,FIND(";",VLOOKUP(Calculations!$D$4,Results!$G$5:$CM$105,67+$C74,FALSE),FIND(";",VLOOKUP(Calculations!$D$4,Results!$G$5:$CM$105,67+$C74,FALSE))+1)-FIND(";",VLOOKUP(Calculations!$D$4,Results!$G$5:$CM$105,67+$C74,FALSE))-1),"")),"")</f>
        <v/>
      </c>
      <c r="BR93" s="444" t="str">
        <f>IF(BQ93="","",VLOOKUP(BQ93,Input!$B$21:$Q$50,13,FALSE))</f>
        <v/>
      </c>
      <c r="BS93" s="369" t="e">
        <f>VLOOKUP(BR93,Reinforcements[],COLUMN(Reinforcements[[#Headers],[Type]])-1,FALSE)</f>
        <v>#N/A</v>
      </c>
      <c r="BT93" s="369" t="e">
        <f>IF(BS93="solid round",VLOOKUP(BR93,Reinforcements[],COLUMN(Reinforcements[[#Headers],[Diameter (in)]])-1,FALSE),VLOOKUP(BR93,Reinforcements[],COLUMN(Reinforcements[[#Headers],[B (in)]])-1,FALSE))</f>
        <v>#N/A</v>
      </c>
      <c r="BU93" s="369" t="e">
        <f>IF(BS93="solid round",VLOOKUP(BR93,Reinforcements[],COLUMN(Reinforcements[[#Headers],[Diameter (in)]])-1,FALSE),VLOOKUP(BR93,Reinforcements[],COLUMN(Reinforcements[[#Headers],[H (in)]])-1,FALSE))</f>
        <v>#N/A</v>
      </c>
      <c r="BV93" s="413" t="e">
        <f>IFERROR((IF(VLOOKUP(BQ93,Input!$B$21:$AL$50,19+C93,FALSE)="c",$D$20/COS(RADIANS(180/$D$8)),$D$20)+BU93/2)*SIN(RADIANS(D93))-IF(ISNUMBER(VLOOKUP(BQ93,Input!$B$21:$AL$50,19+C93,FALSE)),VLOOKUP(BQ93,Input!$B$21:$AL$50,19+C93,FALSE)*COS(RADIANS(D93)),0)-$D$35,"")*0+N93*1</f>
        <v>#VALUE!</v>
      </c>
      <c r="BW93" s="369" t="e">
        <f>VLOOKUP(BR93,Reinforcements[],COLUMN(Reinforcements[[#Headers],[Effective B (in)]])-1,FALSE)</f>
        <v>#N/A</v>
      </c>
      <c r="BX93" s="369" t="e">
        <f>VLOOKUP(BR93,Reinforcements[],COLUMN(Reinforcements[[#Headers],[Effective H (in)]])-1,FALSE)</f>
        <v>#N/A</v>
      </c>
      <c r="BY93" s="369" t="e">
        <f>VLOOKUP(BR93,Reinforcements[],COLUMN(Reinforcements[[#Headers],[Gross Area (in2)]])-1,FALSE)</f>
        <v>#N/A</v>
      </c>
      <c r="BZ93" s="380" t="s">
        <v>335</v>
      </c>
      <c r="CA93" s="369" t="e">
        <f>VLOOKUP(BR93,Reinforcements[],COLUMN(Reinforcements[[#Headers],[Pole Face to Centroid (in)]])-1,FALSE)</f>
        <v>#N/A</v>
      </c>
      <c r="CB93" s="369" t="e">
        <f>VLOOKUP(BR93,Reinforcements[],COLUMN(Reinforcements[[#Headers],[Ix]])-1,FALSE)</f>
        <v>#N/A</v>
      </c>
      <c r="CC93" s="369" t="e">
        <f>VLOOKUP(BR93,Reinforcements[],COLUMN(Reinforcements[[#Headers],[Iy]])-1,FALSE)</f>
        <v>#N/A</v>
      </c>
      <c r="CD93" s="369" t="e">
        <f>VLOOKUP(BR93,Reinforcements[],COLUMN(Reinforcements[[#Headers],[Lu (in)]])-1,FALSE)</f>
        <v>#N/A</v>
      </c>
      <c r="CE93" s="380" t="s">
        <v>335</v>
      </c>
      <c r="CF93" s="380" t="s">
        <v>335</v>
      </c>
      <c r="CG93" s="369" t="e">
        <f>VLOOKUP(VLOOKUP(BR93,Reinforcements[],COLUMN(Reinforcements[[#Headers],[Material]])-1,FALSE),Materials[],2,FALSE)</f>
        <v>#N/A</v>
      </c>
      <c r="CH93" s="369" t="e">
        <f>VLOOKUP(VLOOKUP(BR93,Reinforcements[],COLUMN(Reinforcements[[#Headers],[Material]])-1,FALSE),Materials[],3,FALSE)</f>
        <v>#N/A</v>
      </c>
      <c r="CI93" s="380" t="e">
        <f>VLOOKUP(BR93,Reinforcements[],COLUMN(Reinforcements[[#Headers],[Tension Only?]])-1,FALSE)</f>
        <v>#N/A</v>
      </c>
      <c r="CJ93" s="449" t="str">
        <f>IF(BQ93="","",AND(INDEX(Results!$G$5:$G$104,MATCH(VLOOKUP($BQ93,Input!$B$21:$J$50,2,FALSE)-0.001,Results!$G$5:$G$104,-1))=$D$4))</f>
        <v/>
      </c>
      <c r="CK93" s="449" t="str">
        <f>IF(BQ93="","",AND(INDEX('Macro References'!$BB$2:$BB$101,MATCH(VLOOKUP($BQ93,Input!$B$21:$J$50,6,FALSE)-0.001,'Macro References'!$BB$2:$BB$101,1))=$D$4))</f>
        <v/>
      </c>
      <c r="CL93" s="449" t="e">
        <f>IF(CJ93,VLOOKUP(BR93,Reinforcements[],COLUMN(Reinforcements[[#Headers],[Bottom End Connection Type]])-1,FALSE),IF(CK93,VLOOKUP(BR93,Reinforcements[],COLUMN(Reinforcements[[#Headers],[Top End Connection Type]])-1,FALSE),""))</f>
        <v>#VALUE!</v>
      </c>
      <c r="CM93" s="449" t="e">
        <f>IF(ISBLANK(VLOOKUP(BR93,Reinforcements[],COLUMN(Reinforcements[[#Headers],[Bottom Transverse Weld Length]])-1,FALSE)),"",(VLOOKUP(BR93,Reinforcements[],COLUMN(Reinforcements[[#Headers],[Bottom Transverse Weld Length]])-1,FALSE)))</f>
        <v>#N/A</v>
      </c>
      <c r="CN93" s="449" t="e">
        <f>IF(ISBLANK(VLOOKUP(BR93,Reinforcements[],COLUMN(Reinforcements[[#Headers],[Bottom Transverse (Horizontal) Weld]])-1,FALSE)),"",(VLOOKUP(BR93,Reinforcements[],COLUMN(Reinforcements[[#Headers],[Bottom Transverse (Horizontal) Weld]])-1,FALSE)))</f>
        <v>#N/A</v>
      </c>
      <c r="CO93" s="449" t="e">
        <f>IF(ISBLANK(VLOOKUP(BR93,Reinforcements[],COLUMN(Reinforcements[[#Headers],[Bottom Longitudinal Weld Length]])-1,FALSE)),"",(VLOOKUP(BR93,Reinforcements[],COLUMN(Reinforcements[[#Headers],[Bottom Longitudinal Weld Length]])-1,FALSE)))</f>
        <v>#N/A</v>
      </c>
      <c r="CP93" s="449" t="str">
        <f>IFERROR(VLOOKUP(BR93,Reinforcements[],COLUMN(Reinforcements[[#Headers],[Bottom Connected to Flange/Base Plate?]])-1,FALSE),"")</f>
        <v/>
      </c>
      <c r="CQ93" s="369" t="e">
        <f>IF(Rev="F",VLOOKUP(BR93,Reinforcements[],COLUMN(Reinforcements[[#Headers],[Rev. F Bottom Transverse Weld Strength]])-1,FALSE),VLOOKUP(BR93,Reinforcements[],COLUMN(Reinforcements[[#Headers],[Rev. G Bottom Transverse Weld Strength]])-1,FALSE))</f>
        <v>#N/A</v>
      </c>
      <c r="CR93" s="369" t="e">
        <f>IF(CP93="Yes",IF(CN93="Fillet",VLOOKUP(BR93,Reinforcements[],COLUMN(Reinforcements[[#Headers],[Bottom Transverse Weld Fillet Size (in)]])-1,FALSE)*CM93*MIN(IF(Rev="F",0.4,φ_shear_yield*0.6)*CG93,IF(Rev="F",0.3,φ_shear_rupture*0.6)*CH93),VLOOKUP(BR93,Reinforcements[],COLUMN(Reinforcements[[#Headers],[Bottom Transverse Weld Groove Depth (in)]])-1,FALSE)/COS(RADIANS(VLOOKUP(BR93,Reinforcements[],COLUMN(Reinforcements[[#Headers],[Bottom Transverse Weld Groove Angle (degrees)]])-1,FALSE)))*CM93*IF(Rev="F",0.6,φ_t_y)*CG93),VLOOKUP(BR93,Reinforcements[],COLUMN(Reinforcements[[#Headers],[Bottom Transverse Weld Fillet Size (in)]])-1,FALSE)*CM93*IF(Rev="F",0.6,φ_t_y)*CG93)</f>
        <v>#N/A</v>
      </c>
      <c r="CS93" s="369" t="str">
        <f>IF(CP93&lt;&gt;"Yes","",(VLOOKUP(BR93,Reinforcements[],COLUMN(Reinforcements[[#Headers],[Bottom Transverse Weld Groove Depth (in)]])-1,FALSE)+VLOOKUP(BR93,Reinforcements[],COLUMN(Reinforcements[[#Headers],[Bottom Transverse Weld Fillet Size (in)]])-1,FALSE))*CM93*IF(Rev="F",0.6,φ_t_y)*$D$14)</f>
        <v/>
      </c>
      <c r="CT93" s="369" t="e">
        <f>IF(CP93="Yes","",VLOOKUP(BR93,Reinforcements[],COLUMN(Reinforcements[[#Headers],[Bottom Transverse Weld Fillet Size (in)]])-1,FALSE)*CM93*MIN(IF(Rev="F",0.4,φ_shear_yield*0.6)*$D$6,IF(Rev="F",0.3,φ_shear_rupture*0.6)*$D$7))</f>
        <v>#N/A</v>
      </c>
      <c r="CU93" s="369" t="e">
        <f>IF(Rev="F",VLOOKUP(BR93,Reinforcements[],COLUMN(Reinforcements[[#Headers],[Rev. F Bottom Longitudinal Weld Strength]])-1,FALSE),VLOOKUP(BR93,Reinforcements[],COLUMN(Reinforcements[[#Headers],[Rev. G Bottom Longitudinal Weld Strength]])-1,FALSE))</f>
        <v>#N/A</v>
      </c>
      <c r="CV93" s="369" t="e">
        <f>2*VLOOKUP(BR93,Reinforcements[],COLUMN(Reinforcements[[#Headers],[Bottom Longitudinal Weld Fillet Size (in)]])-1,FALSE)*CO93*MIN(IF(Rev="F",0.4,φ_shear_yield*0.6)*CG93,IF(Rev="F",0.3,φ_shear_rupture*0.6)*CH93)</f>
        <v>#N/A</v>
      </c>
      <c r="CW93" s="369" t="e">
        <f>2*VLOOKUP(BR93,Reinforcements[],COLUMN(Reinforcements[[#Headers],[Bottom Longitudinal Weld Fillet Size (in)]])-1,FALSE)*CO93*MIN(IF(Rev="F",0.4,φ_shear_yield*0.6)*$D$6,IF(Rev="F",0.3,φ_shear_rupture*0.6)*$D$7)</f>
        <v>#N/A</v>
      </c>
      <c r="CX93" s="451" t="e">
        <f>IF(ISBLANK(VLOOKUP(BR93,Reinforcements[],COLUMN(Reinforcements[[#Headers],[Top Transverse Weld Length]])-1,FALSE)),"",(VLOOKUP(BR93,Reinforcements[],COLUMN(Reinforcements[[#Headers],[Top Transverse Weld Length]])-1,FALSE)))</f>
        <v>#N/A</v>
      </c>
      <c r="CY93" s="451" t="e">
        <f>IF(ISBLANK(VLOOKUP(BR93,Reinforcements[],COLUMN(Reinforcements[[#Headers],[Top Transverse (Horizontal) Weld]])-1,FALSE)),"",(VLOOKUP(BR93,Reinforcements[],COLUMN(Reinforcements[[#Headers],[Top Transverse (Horizontal) Weld]])-1,FALSE)))</f>
        <v>#N/A</v>
      </c>
      <c r="CZ93" s="451" t="e">
        <f>IF(ISBLANK(VLOOKUP(BR93,Reinforcements[],COLUMN(Reinforcements[[#Headers],[Top Longitudinal Weld Length]])-1,FALSE)),"",(VLOOKUP(BR93,Reinforcements[],COLUMN(Reinforcements[[#Headers],[Top Longitudinal Weld Length]])-1,FALSE)))</f>
        <v>#N/A</v>
      </c>
      <c r="DA93" s="369" t="str">
        <f>IFERROR(VLOOKUP(BR93,Reinforcements[],COLUMN(Reinforcements[[#Headers],[Top Connected to Flange/Base Plate?]])-1,FALSE),"")</f>
        <v/>
      </c>
      <c r="DB93" s="369" t="e">
        <f>IF(Rev="F",VLOOKUP(BR93,Reinforcements[],COLUMN(Reinforcements[[#Headers],[Rev. F Top Transverse Weld Strength]])-1,FALSE),VLOOKUP(BR93,Reinforcements[],COLUMN(Reinforcements[[#Headers],[Rev. G Top Transverse Weld Strength]])-1,FALSE))</f>
        <v>#N/A</v>
      </c>
      <c r="DC93" s="369" t="e">
        <f>IF(DA93="Yes",IF(CY93="Fillet",VLOOKUP(BR93,Reinforcements[],COLUMN(Reinforcements[[#Headers],[Top Transverse Weld Fillet Size (in)]])-1,FALSE)*CX93*MIN(IF(Rev="F",0.4,φ_shear_yield*0.6)*CG93,IF(Rev="F",0.3,φ_shear_rupture*0.6)*CH93),VLOOKUP(BR93,Reinforcements[],COLUMN(Reinforcements[[#Headers],[Top Transverse Weld Groove Depth (in)]])-1,FALSE)/COS(RADIANS(VLOOKUP(BR93,Reinforcements[],COLUMN(Reinforcements[[#Headers],[Top Transverse Weld Groove Angle (degrees)]])-1,FALSE)))*CX93*IF(Rev="F",0.6,φ_t_y)*CG93),VLOOKUP(BR93,Reinforcements[],COLUMN(Reinforcements[[#Headers],[Top Transverse Weld Fillet Size (in)]])-1,FALSE)*CX93*IF(Rev="F",0.6,φ_t_y)*CG93)</f>
        <v>#N/A</v>
      </c>
      <c r="DD93" s="369" t="str">
        <f>IF(DA93&lt;&gt;"Yes","",(VLOOKUP(BR93,Reinforcements[],COLUMN(Reinforcements[[#Headers],[Top Transverse Weld Groove Depth (in)]])-1,FALSE)+VLOOKUP(BR93,Reinforcements[],COLUMN(Reinforcements[[#Headers],[Top Transverse Weld Fillet Size (in)]])-1,FALSE))*CX93*IF(Rev="F",0.6,φ_t_y)*$D$14)</f>
        <v/>
      </c>
      <c r="DE93" s="369" t="e">
        <f>IF(DA93="Yes","",VLOOKUP(BR93,Reinforcements[],COLUMN(Reinforcements[[#Headers],[Top Transverse Weld Fillet Size (in)]])-1,FALSE)*CX93*MIN(IF(Rev="F",0.4,φ_shear_yield*0.6)*$D$6,IF(Rev="F",0.3,φ_shear_rupture*0.6)*$D$7))</f>
        <v>#N/A</v>
      </c>
      <c r="DF93" s="369" t="e">
        <f>IF(Rev="F",VLOOKUP(BR93,Reinforcements[],COLUMN(Reinforcements[[#Headers],[Rev. F Top Longitudinal Weld Strength]])-1,FALSE),VLOOKUP(BR93,Reinforcements[],COLUMN(Reinforcements[[#Headers],[Rev. G Top Longitudinal Weld Strength]])-1,FALSE))</f>
        <v>#N/A</v>
      </c>
      <c r="DG93" s="369" t="e">
        <f>2*VLOOKUP(BR93,Reinforcements[],COLUMN(Reinforcements[[#Headers],[Top Longitudinal Weld Fillet Size (in)]])-1,FALSE)*CZ93*MIN(IF(Rev="F",0.4,φ_shear_yield*0.6)*CG93,IF(Rev="F",0.3,φ_shear_rupture*0.6)*CH93)</f>
        <v>#N/A</v>
      </c>
      <c r="DH93" s="369" t="e">
        <f>2*VLOOKUP(BR93,Reinforcements[],COLUMN(Reinforcements[[#Headers],[Top Longitudinal Weld Fillet Size (in)]])-1,FALSE)*CZ93*MIN(IF(Rev="F",0.4,φ_shear_yield*0.6)*$D$6,IF(Rev="F",0.3,φ_shear_rupture*0.6)*$D$7)</f>
        <v>#N/A</v>
      </c>
      <c r="DI93" s="66" t="e">
        <f>IF(BS93="channel",VLOOKUP(Calculations!BR93,Reinforcements[],COLUMN(Reinforcements[[#Headers],['[Channel']Web Thickness (in)]])-1,FALSE),"")</f>
        <v>#N/A</v>
      </c>
      <c r="DJ93" s="66" t="b">
        <f t="shared" si="126"/>
        <v>0</v>
      </c>
      <c r="DK93" s="66" t="e">
        <f>IF(BS93="channel",Calculations!BU93-DI93,"")</f>
        <v>#N/A</v>
      </c>
      <c r="DL93" s="66" t="e">
        <f>IF(BS93="channel",(Calculations!BY93-Calculations!BT93*DI93)/(2*DK93))</f>
        <v>#N/A</v>
      </c>
      <c r="DM93" s="66" t="e">
        <f>IF(BS93="channel",(Calculations!BT93*(DI93^2)/2+2*DK93*DL93*(DI93+DK93/2))/Calculations!BY93,"")</f>
        <v>#N/A</v>
      </c>
    </row>
    <row r="94" spans="2:117" ht="15" x14ac:dyDescent="0.25">
      <c r="B94" s="66" t="str">
        <f t="shared" si="70"/>
        <v/>
      </c>
      <c r="C94" s="317">
        <v>16</v>
      </c>
      <c r="D94" s="380" t="str">
        <f>IF(BQ94="","",IF($D$8=0,IF(OR(VLOOKUP(BQ94,Input!$B$21:$AL$50,19+C94,FALSE)+$D$5=0,VLOOKUP(BQ94,Input!$B$21:$AL$50,19+C94,FALSE)+$D$5=180),VLOOKUP(BQ94,Input!$B$21:$AL$50,19+C94,FALSE)+$D$5+0.0001,VLOOKUP(BQ94,Input!$B$21:$AL$50,19+C94,FALSE)+$D$5),IF(VLOOKUP(BQ94,Input!$B$21:$AL$50,19+C94,FALSE)="c",VLOOKUP($C94,$C$40:$E$57,2,FALSE)+180/$D$8,VLOOKUP($C94,$C$40:$E$57,2,FALSE))))</f>
        <v/>
      </c>
      <c r="E94" s="370" t="str">
        <f t="shared" si="110"/>
        <v/>
      </c>
      <c r="F94" s="381" t="str">
        <f>IF(BR94="","",VLOOKUP(BR94,Reinforcements[],COLUMN(Reinforcements[[#Headers],[Gross Area (in2)]])-1,FALSE))</f>
        <v/>
      </c>
      <c r="G94" s="378" t="e">
        <f>(IF(VLOOKUP(BQ94,Input!$B$21:$AL$50,19+C94,FALSE)="c",$D$20/COS(RADIANS(180/$D$8)),$D$20)+CA94)*SIN(RADIANS(D94))-IF(AND(ISNUMBER(VLOOKUP(BQ94,Input!$B$21:$AL$50,19+C94,FALSE)),$D$8&lt;&gt;0),VLOOKUP(BQ94,Input!$B$21:$AL$50,19+C94,FALSE)*COS(RADIANS(D94)),0)</f>
        <v>#N/A</v>
      </c>
      <c r="H94" s="373" t="str">
        <f t="shared" si="111"/>
        <v/>
      </c>
      <c r="I94" s="373" t="e">
        <f t="shared" si="86"/>
        <v>#N/A</v>
      </c>
      <c r="J94" s="373" t="e">
        <f t="shared" si="112"/>
        <v>#N/A</v>
      </c>
      <c r="K94" s="373" t="e">
        <f t="shared" si="113"/>
        <v>#N/A</v>
      </c>
      <c r="L94" s="373" t="e">
        <f t="shared" si="114"/>
        <v>#N/A</v>
      </c>
      <c r="M94" s="374" t="str">
        <f t="shared" si="115"/>
        <v/>
      </c>
      <c r="N94" s="372" t="str">
        <f>IFERROR((IF(VLOOKUP(BQ94,Input!$B$21:$AL$50,19+C94,FALSE)="c",$D$20/COS(RADIANS(180/$D$8)),$D$20)+CA94)*SIN(RADIANS(D94))-IF(AND(ISNUMBER(VLOOKUP(BQ94,Input!$B$21:$AL$50,19+C94,FALSE)),$D$8&lt;&gt;0),VLOOKUP(BQ94,Input!$B$21:$AL$50,19+C94,FALSE)*COS(RADIANS(D94)),0)-$D$35,"")</f>
        <v/>
      </c>
      <c r="O94" s="373" t="str">
        <f t="shared" si="87"/>
        <v/>
      </c>
      <c r="P94" s="373" t="str">
        <f t="shared" si="88"/>
        <v/>
      </c>
      <c r="Q94" s="373" t="str">
        <f t="shared" si="89"/>
        <v/>
      </c>
      <c r="R94" s="374" t="str">
        <f t="shared" si="90"/>
        <v/>
      </c>
      <c r="S94" s="373" t="str">
        <f t="shared" si="91"/>
        <v/>
      </c>
      <c r="T94" s="373" t="str">
        <f t="shared" si="92"/>
        <v/>
      </c>
      <c r="U94" s="373" t="str">
        <f t="shared" si="93"/>
        <v/>
      </c>
      <c r="V94" s="374" t="str">
        <f t="shared" si="94"/>
        <v/>
      </c>
      <c r="W94" s="482" t="str">
        <f>IFERROR(IF('Macro References'!$A$9,IF(AND(Calculations!CK94,CL94="Bolted"),VLOOKUP($BR94,Reinforcements[],COLUMN(IF(Rev="F",Reinforcements[[#Headers],[Rev. F Bolt Shear Capacity   (Top)        (kips)]],IF(Rev="G",Reinforcements[[#Headers],[Rev. G Bolt Shear Capacity (Top)     (kips)]],Reinforcements[[#Headers],[Rev. H Bolt Shear Capacity (Top) (kips)]])))-1,FALSE),IF(AND(Calculations!CJ94,CL94="Bolted"),VLOOKUP($BR94,Reinforcements[],COLUMN(IF(Rev="F",Reinforcements[[#Headers],[Rev. F Bolt Shear Capacity (Bottom)   (kips)]],IF(Rev="G",Reinforcements[[#Headers],[Rev. G Bolt Shear Capacity (Bottom) (kips)]],Reinforcements[[#Headers],[Rev. H Bolt Shear Capacity (Bottom) (kips)]])))-1,FALSE),"")),""),"")</f>
        <v/>
      </c>
      <c r="X94" s="483" t="str">
        <f>IFERROR(IF('Macro References'!$A$9,IF('Macro References'!$A$10,IF(AND(Calculations!CK94,CL94="Bolted"),VLOOKUP($BR94,Reinforcements[],COLUMN(IF(Rev="F",Reinforcements[[#Headers],[Rev.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kips)]])))-1,FALSE),IF(AND(Calculations!CJ94,CL94="Bolted"),VLOOKUP($BR94,Reinforcements[],COLUMN(IF(Rev="F",Reinforcements[[#Headers],[Rev.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kips)]])))-1,FALSE),"")),IF(AND(Calculations!CK94,CL94="Bolted"),VLOOKUP($BR94,Reinforcements[],COLUMN(IF(Rev="F",Reinforcements[[#Headers],[Rev.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kips)]])))-1,FALSE),IF(AND(Calculations!CJ94,CL94="Bolted"),VLOOKUP($BR94,Reinforcements[],COLUMN(IF(Rev="F",Reinforcements[[#Headers],[Rev.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4" s="483" t="str">
        <f>IFERROR(IF('Macro References'!$A$9,IF('Macro References'!$A$10,IF(AND(Calculations!CK94,CL94="Bolted"),VLOOKUP($BR94,Reinforcements[],COLUMN(IF(Rev="F",Reinforcements[[#Headers],[Rev.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(kips)]])))-1,FALSE),IF(AND(Calculations!CJ94,CL94="Bolted"),VLOOKUP($BR94,Reinforcements[],COLUMN(IF(Rev="F",Reinforcements[[#Headers],[Rev.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(kips)]])))-1,FALSE),"")),IF(AND(Calculations!CK94,CL94="Bolted"),VLOOKUP($BR94,Reinforcements[],COLUMN(IF(Rev="F",Reinforcements[[#Headers],[Rev.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(kips)]])))-1,FALSE),IF(AND(Calculations!CJ94,CL94="Bolted"),VLOOKUP($BR94,Reinforcements[],COLUMN(IF(Rev="F",Reinforcements[[#Headers],[Rev.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4" s="483" t="str">
        <f>IFERROR(IF('Macro References'!$A$9,IF(AND(CJ94,CL94="Welded"),MIN(CQ94:CT94),IF(AND(CK94,CL94="Welded"),MIN(DB94:DE94),"")),""),"")</f>
        <v/>
      </c>
      <c r="AA94" s="484" t="str">
        <f>IFERROR(IF('Macro References'!$A$9,IF(AND(CJ94,CL94="Welded"),MIN(CU94:CW94),IF(AND(CK94,CL94="Welded"),MIN(DF94:DH94),"")),""),"")</f>
        <v/>
      </c>
      <c r="AB94" s="484" t="str">
        <f>IFERROR(IF('Macro References'!$A$9,IF(AND(CJ94,CL94="Welded",CN94="Fillet",CU94&gt;0),TRUE,IF(AND(CK94,CL94="Welded",CY94="Fillet",DF94&gt;0),TRUE,"")),""),"")</f>
        <v/>
      </c>
      <c r="AC94" s="484" t="e">
        <f>IF('Macro References'!$A$9,IF(AND(CJ94,CL94="Capacity Input"),IF(Rev="F",VLOOKUP(BR94,Reinforcements[],COLUMN(Reinforcements[[#Headers],[Rev. F Bottom Connection Capacity (kips)]])-1,FALSE),IF(Rev="G",VLOOKUP(BR94,Reinforcements[],COLUMN(Reinforcements[[#Headers],[Rev. G Bottom Connection Capacity (kips)]])-1,FALSE),VLOOKUP(BR94,Reinforcements[],COLUMN(Reinforcements[[#Headers],[Rev. H Bottom Connection Capacity (kips)]])-1,FALSE))),IF(AND(CK94,CL94="Capacity Input"),IF(Rev="F",VLOOKUP(BR94,Reinforcements[],COLUMN(Reinforcements[[#Headers],[Rev. F Top Connection Capacity (kips)]])-1,FALSE),IF(Rev="G",VLOOKUP(BR94,Reinforcements[],COLUMN(Reinforcements[[#Headers],[Rev. G Top Connection Capacity (kips)]])-1,FALSE),VLOOKUP(BR94,Reinforcements[],COLUMN(Reinforcements[[#Headers],[Rev. H Top Connection Capacity (kips)]])-1,FALSE))),"")),"")</f>
        <v>#VALUE!</v>
      </c>
      <c r="AD94" s="484" t="str">
        <f>IFERROR(IF(Rev="F",MIN(VLOOKUP(BR94,Reinforcements[],COLUMN(Reinforcements[[#Headers],[Rev. F Compression Capacity x-x (kips)]])-1,FALSE),VLOOKUP(BR94,Reinforcements[],COLUMN(Reinforcements[[#Headers],[Rev. F Compression Capacity y-y (kips)]])-1,FALSE)),IF(Rev="G",MIN(VLOOKUP(BR94,Reinforcements[],COLUMN(Reinforcements[[#Headers],[Rev. G Compression Capacity x-x (kips)]])-1,FALSE),VLOOKUP(BR94,Reinforcements[],COLUMN(Reinforcements[[#Headers],[Rev. G Compression Capacity y-y (kips)]])-1,FALSE)),MIN(VLOOKUP(BR94,Reinforcements[],COLUMN(Reinforcements[[#Headers],[Rev. H Compression Capacity x-x (kips)]])-1,FALSE),VLOOKUP(BR94,Reinforcements[],COLUMN(Reinforcements[[#Headers],[Rev. H Compression Capacity y-y (kips)]])-1,FALSE)))),"")</f>
        <v/>
      </c>
      <c r="AE94" s="485" t="str">
        <f>IFERROR(IF(Rev="F",VLOOKUP(BR94,Reinforcements[],COLUMN(Reinforcements[[#Headers],[Rev. F Shear Capacity (kips)]])-1,FALSE)/BY94,IF(Rev="G",VLOOKUP(Calculations!BR94,Reinforcements[],COLUMN(Reinforcements[[#Headers],[Rev. G Shear Capacity (kips)]])-1,FALSE),VLOOKUP(Calculations!BR94,Reinforcements[],COLUMN(Reinforcements[[#Headers],[Rev. H Shear Capacity (kips)]])-1,FALSE))),"")</f>
        <v/>
      </c>
      <c r="AF94" s="451" t="str">
        <f>IFERROR(IF(Rev="F",VLOOKUP(BR94,Reinforcements[],COLUMN(Reinforcements[[#Headers],[Rev. F Tension Yield Capacity (kips)]])-1,FALSE),IF(Rev="G",VLOOKUP(Calculations!BR94,Reinforcements[],COLUMN(Reinforcements[[#Headers],[Rev. G Tension Yield Capacity (kips)]])-1,FALSE),VLOOKUP(Calculations!BR94,Reinforcements[],COLUMN(Reinforcements[[#Headers],[Rev. H Tension Yield Capacity (kips)]])-1,FALSE))),"")</f>
        <v/>
      </c>
      <c r="AG94" s="486" t="str">
        <f>IFERROR(IF(Rev="F",VLOOKUP(BR94,Reinforcements[],COLUMN(Reinforcements[[#Headers],[Rev. F Tension Rupture Capacity (kips)]])-1,FALSE),IF(Rev="G",VLOOKUP(Calculations!BR94,Reinforcements[],COLUMN(Reinforcements[[#Headers],[Rev. G Tension Rupture Capacity (kips)]])-1,FALSE),VLOOKUP(Calculations!BR94,Reinforcements[],COLUMN(Reinforcements[[#Headers],[Rev. H Tension Rupture Capacity (kips)]])-1, FALSE))),"")</f>
        <v/>
      </c>
      <c r="AH94" s="409" t="str">
        <f t="shared" si="95"/>
        <v/>
      </c>
      <c r="AI94" s="380" t="str">
        <f t="shared" si="96"/>
        <v/>
      </c>
      <c r="AJ94" s="380" t="str">
        <f t="shared" si="97"/>
        <v/>
      </c>
      <c r="AK94" s="380" t="str">
        <f t="shared" si="85"/>
        <v/>
      </c>
      <c r="AL94" s="369" t="str">
        <f t="shared" si="78"/>
        <v/>
      </c>
      <c r="AM94" s="380" t="str">
        <f>""</f>
        <v/>
      </c>
      <c r="AN94" s="380" t="str">
        <f t="shared" si="98"/>
        <v/>
      </c>
      <c r="AO94" s="369" t="str">
        <f t="shared" si="99"/>
        <v/>
      </c>
      <c r="AP94" s="410" t="str">
        <f t="shared" si="100"/>
        <v/>
      </c>
      <c r="AQ94" s="411" t="str">
        <f t="shared" si="53"/>
        <v/>
      </c>
      <c r="AR94" s="380" t="str">
        <f>IF(BR94="","",VLOOKUP(VLOOKUP(BR94,Reinforcements[],COLUMN(Reinforcements[[#Headers],[Material]])-1,FALSE),Materials[],2,FALSE)/$D$28)</f>
        <v/>
      </c>
      <c r="AS94" s="369" t="str">
        <f t="shared" si="54"/>
        <v/>
      </c>
      <c r="AT94" s="489" t="str">
        <f t="shared" si="101"/>
        <v/>
      </c>
      <c r="AU94" s="412">
        <f t="shared" si="116"/>
        <v>0</v>
      </c>
      <c r="AV94" s="413">
        <f t="shared" si="117"/>
        <v>0</v>
      </c>
      <c r="AW94" s="413" t="e">
        <f t="shared" si="102"/>
        <v>#N/A</v>
      </c>
      <c r="AX94" s="413" t="e">
        <f t="shared" si="103"/>
        <v>#N/A</v>
      </c>
      <c r="AY94" s="413" t="str">
        <f t="shared" si="104"/>
        <v/>
      </c>
      <c r="AZ94" s="413" t="e">
        <f t="shared" si="105"/>
        <v>#VALUE!</v>
      </c>
      <c r="BA94" s="433" t="str">
        <f t="shared" si="118"/>
        <v/>
      </c>
      <c r="BB94" s="436" t="str">
        <f t="shared" si="119"/>
        <v/>
      </c>
      <c r="BC94" s="437" t="str">
        <f t="shared" si="120"/>
        <v/>
      </c>
      <c r="BD94" s="437" t="str">
        <f t="shared" si="106"/>
        <v/>
      </c>
      <c r="BE94" s="433" t="str">
        <f t="shared" si="121"/>
        <v/>
      </c>
      <c r="BF94" s="438" t="e">
        <f t="shared" si="122"/>
        <v>#DIV/0!</v>
      </c>
      <c r="BG94" s="439" t="str">
        <f t="shared" si="107"/>
        <v/>
      </c>
      <c r="BH94" s="439" t="str">
        <f t="shared" si="108"/>
        <v/>
      </c>
      <c r="BI94" s="433" t="e">
        <f t="shared" si="123"/>
        <v>#DIV/0!</v>
      </c>
      <c r="BJ94" s="438" t="str">
        <f t="shared" si="124"/>
        <v/>
      </c>
      <c r="BK94" s="413" t="e">
        <f t="shared" si="125"/>
        <v>#DIV/0!</v>
      </c>
      <c r="BL94" s="66" t="str">
        <f t="shared" si="68"/>
        <v/>
      </c>
      <c r="BP94" s="30" t="e">
        <f t="shared" si="109"/>
        <v>#DIV/0!</v>
      </c>
      <c r="BQ94" s="444" t="str">
        <f>IFERROR(VALUE(IF(LEN(VLOOKUP(Calculations!$D$4,Results!$G$5:$CM$105,67+$C75,FALSE))-LEN(SUBSTITUTE(VLOOKUP(Calculations!$D$4,Results!$G$5:$CM$105,67+$C75,FALSE),";",""))&gt;1,MID(VLOOKUP(Calculations!$D$4,Results!$G$5:$CM$105,67+$C75,FALSE),FIND(";",VLOOKUP(Calculations!$D$4,Results!$G$5:$CM$105,67+$C75,FALSE))+1,FIND(";",VLOOKUP(Calculations!$D$4,Results!$G$5:$CM$105,67+$C75,FALSE),FIND(";",VLOOKUP(Calculations!$D$4,Results!$G$5:$CM$105,67+$C75,FALSE))+1)-FIND(";",VLOOKUP(Calculations!$D$4,Results!$G$5:$CM$105,67+$C75,FALSE))-1),"")),"")</f>
        <v/>
      </c>
      <c r="BR94" s="444" t="str">
        <f>IF(BQ94="","",VLOOKUP(BQ94,Input!$B$21:$Q$50,13,FALSE))</f>
        <v/>
      </c>
      <c r="BS94" s="369" t="e">
        <f>VLOOKUP(BR94,Reinforcements[],COLUMN(Reinforcements[[#Headers],[Type]])-1,FALSE)</f>
        <v>#N/A</v>
      </c>
      <c r="BT94" s="369" t="e">
        <f>IF(BS94="solid round",VLOOKUP(BR94,Reinforcements[],COLUMN(Reinforcements[[#Headers],[Diameter (in)]])-1,FALSE),VLOOKUP(BR94,Reinforcements[],COLUMN(Reinforcements[[#Headers],[B (in)]])-1,FALSE))</f>
        <v>#N/A</v>
      </c>
      <c r="BU94" s="369" t="e">
        <f>IF(BS94="solid round",VLOOKUP(BR94,Reinforcements[],COLUMN(Reinforcements[[#Headers],[Diameter (in)]])-1,FALSE),VLOOKUP(BR94,Reinforcements[],COLUMN(Reinforcements[[#Headers],[H (in)]])-1,FALSE))</f>
        <v>#N/A</v>
      </c>
      <c r="BV94" s="413" t="e">
        <f>IFERROR((IF(VLOOKUP(BQ94,Input!$B$21:$AL$50,19+C94,FALSE)="c",$D$20/COS(RADIANS(180/$D$8)),$D$20)+BU94/2)*SIN(RADIANS(D94))-IF(ISNUMBER(VLOOKUP(BQ94,Input!$B$21:$AL$50,19+C94,FALSE)),VLOOKUP(BQ94,Input!$B$21:$AL$50,19+C94,FALSE)*COS(RADIANS(D94)),0)-$D$35,"")*0+N94*1</f>
        <v>#VALUE!</v>
      </c>
      <c r="BW94" s="369" t="e">
        <f>VLOOKUP(BR94,Reinforcements[],COLUMN(Reinforcements[[#Headers],[Effective B (in)]])-1,FALSE)</f>
        <v>#N/A</v>
      </c>
      <c r="BX94" s="369" t="e">
        <f>VLOOKUP(BR94,Reinforcements[],COLUMN(Reinforcements[[#Headers],[Effective H (in)]])-1,FALSE)</f>
        <v>#N/A</v>
      </c>
      <c r="BY94" s="369" t="e">
        <f>VLOOKUP(BR94,Reinforcements[],COLUMN(Reinforcements[[#Headers],[Gross Area (in2)]])-1,FALSE)</f>
        <v>#N/A</v>
      </c>
      <c r="BZ94" s="380" t="s">
        <v>335</v>
      </c>
      <c r="CA94" s="369" t="e">
        <f>VLOOKUP(BR94,Reinforcements[],COLUMN(Reinforcements[[#Headers],[Pole Face to Centroid (in)]])-1,FALSE)</f>
        <v>#N/A</v>
      </c>
      <c r="CB94" s="369" t="e">
        <f>VLOOKUP(BR94,Reinforcements[],COLUMN(Reinforcements[[#Headers],[Ix]])-1,FALSE)</f>
        <v>#N/A</v>
      </c>
      <c r="CC94" s="369" t="e">
        <f>VLOOKUP(BR94,Reinforcements[],COLUMN(Reinforcements[[#Headers],[Iy]])-1,FALSE)</f>
        <v>#N/A</v>
      </c>
      <c r="CD94" s="369" t="e">
        <f>VLOOKUP(BR94,Reinforcements[],COLUMN(Reinforcements[[#Headers],[Lu (in)]])-1,FALSE)</f>
        <v>#N/A</v>
      </c>
      <c r="CE94" s="380" t="s">
        <v>335</v>
      </c>
      <c r="CF94" s="380" t="s">
        <v>335</v>
      </c>
      <c r="CG94" s="369" t="e">
        <f>VLOOKUP(VLOOKUP(BR94,Reinforcements[],COLUMN(Reinforcements[[#Headers],[Material]])-1,FALSE),Materials[],2,FALSE)</f>
        <v>#N/A</v>
      </c>
      <c r="CH94" s="369" t="e">
        <f>VLOOKUP(VLOOKUP(BR94,Reinforcements[],COLUMN(Reinforcements[[#Headers],[Material]])-1,FALSE),Materials[],3,FALSE)</f>
        <v>#N/A</v>
      </c>
      <c r="CI94" s="380" t="e">
        <f>VLOOKUP(BR94,Reinforcements[],COLUMN(Reinforcements[[#Headers],[Tension Only?]])-1,FALSE)</f>
        <v>#N/A</v>
      </c>
      <c r="CJ94" s="449" t="str">
        <f>IF(BQ94="","",AND(INDEX(Results!$G$5:$G$104,MATCH(VLOOKUP($BQ94,Input!$B$21:$J$50,2,FALSE)-0.001,Results!$G$5:$G$104,-1))=$D$4))</f>
        <v/>
      </c>
      <c r="CK94" s="449" t="str">
        <f>IF(BQ94="","",AND(INDEX('Macro References'!$BB$2:$BB$101,MATCH(VLOOKUP($BQ94,Input!$B$21:$J$50,6,FALSE)-0.001,'Macro References'!$BB$2:$BB$101,1))=$D$4))</f>
        <v/>
      </c>
      <c r="CL94" s="449" t="e">
        <f>IF(CJ94,VLOOKUP(BR94,Reinforcements[],COLUMN(Reinforcements[[#Headers],[Bottom End Connection Type]])-1,FALSE),IF(CK94,VLOOKUP(BR94,Reinforcements[],COLUMN(Reinforcements[[#Headers],[Top End Connection Type]])-1,FALSE),""))</f>
        <v>#VALUE!</v>
      </c>
      <c r="CM94" s="449" t="e">
        <f>IF(ISBLANK(VLOOKUP(BR94,Reinforcements[],COLUMN(Reinforcements[[#Headers],[Bottom Transverse Weld Length]])-1,FALSE)),"",(VLOOKUP(BR94,Reinforcements[],COLUMN(Reinforcements[[#Headers],[Bottom Transverse Weld Length]])-1,FALSE)))</f>
        <v>#N/A</v>
      </c>
      <c r="CN94" s="449" t="e">
        <f>IF(ISBLANK(VLOOKUP(BR94,Reinforcements[],COLUMN(Reinforcements[[#Headers],[Bottom Transverse (Horizontal) Weld]])-1,FALSE)),"",(VLOOKUP(BR94,Reinforcements[],COLUMN(Reinforcements[[#Headers],[Bottom Transverse (Horizontal) Weld]])-1,FALSE)))</f>
        <v>#N/A</v>
      </c>
      <c r="CO94" s="449" t="e">
        <f>IF(ISBLANK(VLOOKUP(BR94,Reinforcements[],COLUMN(Reinforcements[[#Headers],[Bottom Longitudinal Weld Length]])-1,FALSE)),"",(VLOOKUP(BR94,Reinforcements[],COLUMN(Reinforcements[[#Headers],[Bottom Longitudinal Weld Length]])-1,FALSE)))</f>
        <v>#N/A</v>
      </c>
      <c r="CP94" s="449" t="str">
        <f>IFERROR(VLOOKUP(BR94,Reinforcements[],COLUMN(Reinforcements[[#Headers],[Bottom Connected to Flange/Base Plate?]])-1,FALSE),"")</f>
        <v/>
      </c>
      <c r="CQ94" s="369" t="e">
        <f>IF(Rev="F",VLOOKUP(BR94,Reinforcements[],COLUMN(Reinforcements[[#Headers],[Rev. F Bottom Transverse Weld Strength]])-1,FALSE),VLOOKUP(BR94,Reinforcements[],COLUMN(Reinforcements[[#Headers],[Rev. G Bottom Transverse Weld Strength]])-1,FALSE))</f>
        <v>#N/A</v>
      </c>
      <c r="CR94" s="369" t="e">
        <f>IF(CP94="Yes",IF(CN94="Fillet",VLOOKUP(BR94,Reinforcements[],COLUMN(Reinforcements[[#Headers],[Bottom Transverse Weld Fillet Size (in)]])-1,FALSE)*CM94*MIN(IF(Rev="F",0.4,φ_shear_yield*0.6)*CG94,IF(Rev="F",0.3,φ_shear_rupture*0.6)*CH94),VLOOKUP(BR94,Reinforcements[],COLUMN(Reinforcements[[#Headers],[Bottom Transverse Weld Groove Depth (in)]])-1,FALSE)/COS(RADIANS(VLOOKUP(BR94,Reinforcements[],COLUMN(Reinforcements[[#Headers],[Bottom Transverse Weld Groove Angle (degrees)]])-1,FALSE)))*CM94*IF(Rev="F",0.6,φ_t_y)*CG94),VLOOKUP(BR94,Reinforcements[],COLUMN(Reinforcements[[#Headers],[Bottom Transverse Weld Fillet Size (in)]])-1,FALSE)*CM94*IF(Rev="F",0.6,φ_t_y)*CG94)</f>
        <v>#N/A</v>
      </c>
      <c r="CS94" s="369" t="str">
        <f>IF(CP94&lt;&gt;"Yes","",(VLOOKUP(BR94,Reinforcements[],COLUMN(Reinforcements[[#Headers],[Bottom Transverse Weld Groove Depth (in)]])-1,FALSE)+VLOOKUP(BR94,Reinforcements[],COLUMN(Reinforcements[[#Headers],[Bottom Transverse Weld Fillet Size (in)]])-1,FALSE))*CM94*IF(Rev="F",0.6,φ_t_y)*$D$14)</f>
        <v/>
      </c>
      <c r="CT94" s="369" t="e">
        <f>IF(CP94="Yes","",VLOOKUP(BR94,Reinforcements[],COLUMN(Reinforcements[[#Headers],[Bottom Transverse Weld Fillet Size (in)]])-1,FALSE)*CM94*MIN(IF(Rev="F",0.4,φ_shear_yield*0.6)*$D$6,IF(Rev="F",0.3,φ_shear_rupture*0.6)*$D$7))</f>
        <v>#N/A</v>
      </c>
      <c r="CU94" s="369" t="e">
        <f>IF(Rev="F",VLOOKUP(BR94,Reinforcements[],COLUMN(Reinforcements[[#Headers],[Rev. F Bottom Longitudinal Weld Strength]])-1,FALSE),VLOOKUP(BR94,Reinforcements[],COLUMN(Reinforcements[[#Headers],[Rev. G Bottom Longitudinal Weld Strength]])-1,FALSE))</f>
        <v>#N/A</v>
      </c>
      <c r="CV94" s="369" t="e">
        <f>2*VLOOKUP(BR94,Reinforcements[],COLUMN(Reinforcements[[#Headers],[Bottom Longitudinal Weld Fillet Size (in)]])-1,FALSE)*CO94*MIN(IF(Rev="F",0.4,φ_shear_yield*0.6)*CG94,IF(Rev="F",0.3,φ_shear_rupture*0.6)*CH94)</f>
        <v>#N/A</v>
      </c>
      <c r="CW94" s="369" t="e">
        <f>2*VLOOKUP(BR94,Reinforcements[],COLUMN(Reinforcements[[#Headers],[Bottom Longitudinal Weld Fillet Size (in)]])-1,FALSE)*CO94*MIN(IF(Rev="F",0.4,φ_shear_yield*0.6)*$D$6,IF(Rev="F",0.3,φ_shear_rupture*0.6)*$D$7)</f>
        <v>#N/A</v>
      </c>
      <c r="CX94" s="451" t="e">
        <f>IF(ISBLANK(VLOOKUP(BR94,Reinforcements[],COLUMN(Reinforcements[[#Headers],[Top Transverse Weld Length]])-1,FALSE)),"",(VLOOKUP(BR94,Reinforcements[],COLUMN(Reinforcements[[#Headers],[Top Transverse Weld Length]])-1,FALSE)))</f>
        <v>#N/A</v>
      </c>
      <c r="CY94" s="451" t="e">
        <f>IF(ISBLANK(VLOOKUP(BR94,Reinforcements[],COLUMN(Reinforcements[[#Headers],[Top Transverse (Horizontal) Weld]])-1,FALSE)),"",(VLOOKUP(BR94,Reinforcements[],COLUMN(Reinforcements[[#Headers],[Top Transverse (Horizontal) Weld]])-1,FALSE)))</f>
        <v>#N/A</v>
      </c>
      <c r="CZ94" s="451" t="e">
        <f>IF(ISBLANK(VLOOKUP(BR94,Reinforcements[],COLUMN(Reinforcements[[#Headers],[Top Longitudinal Weld Length]])-1,FALSE)),"",(VLOOKUP(BR94,Reinforcements[],COLUMN(Reinforcements[[#Headers],[Top Longitudinal Weld Length]])-1,FALSE)))</f>
        <v>#N/A</v>
      </c>
      <c r="DA94" s="369" t="str">
        <f>IFERROR(VLOOKUP(BR94,Reinforcements[],COLUMN(Reinforcements[[#Headers],[Top Connected to Flange/Base Plate?]])-1,FALSE),"")</f>
        <v/>
      </c>
      <c r="DB94" s="369" t="e">
        <f>IF(Rev="F",VLOOKUP(BR94,Reinforcements[],COLUMN(Reinforcements[[#Headers],[Rev. F Top Transverse Weld Strength]])-1,FALSE),VLOOKUP(BR94,Reinforcements[],COLUMN(Reinforcements[[#Headers],[Rev. G Top Transverse Weld Strength]])-1,FALSE))</f>
        <v>#N/A</v>
      </c>
      <c r="DC94" s="369" t="e">
        <f>IF(DA94="Yes",IF(CY94="Fillet",VLOOKUP(BR94,Reinforcements[],COLUMN(Reinforcements[[#Headers],[Top Transverse Weld Fillet Size (in)]])-1,FALSE)*CX94*MIN(IF(Rev="F",0.4,φ_shear_yield*0.6)*CG94,IF(Rev="F",0.3,φ_shear_rupture*0.6)*CH94),VLOOKUP(BR94,Reinforcements[],COLUMN(Reinforcements[[#Headers],[Top Transverse Weld Groove Depth (in)]])-1,FALSE)/COS(RADIANS(VLOOKUP(BR94,Reinforcements[],COLUMN(Reinforcements[[#Headers],[Top Transverse Weld Groove Angle (degrees)]])-1,FALSE)))*CX94*IF(Rev="F",0.6,φ_t_y)*CG94),VLOOKUP(BR94,Reinforcements[],COLUMN(Reinforcements[[#Headers],[Top Transverse Weld Fillet Size (in)]])-1,FALSE)*CX94*IF(Rev="F",0.6,φ_t_y)*CG94)</f>
        <v>#N/A</v>
      </c>
      <c r="DD94" s="369" t="str">
        <f>IF(DA94&lt;&gt;"Yes","",(VLOOKUP(BR94,Reinforcements[],COLUMN(Reinforcements[[#Headers],[Top Transverse Weld Groove Depth (in)]])-1,FALSE)+VLOOKUP(BR94,Reinforcements[],COLUMN(Reinforcements[[#Headers],[Top Transverse Weld Fillet Size (in)]])-1,FALSE))*CX94*IF(Rev="F",0.6,φ_t_y)*$D$14)</f>
        <v/>
      </c>
      <c r="DE94" s="369" t="e">
        <f>IF(DA94="Yes","",VLOOKUP(BR94,Reinforcements[],COLUMN(Reinforcements[[#Headers],[Top Transverse Weld Fillet Size (in)]])-1,FALSE)*CX94*MIN(IF(Rev="F",0.4,φ_shear_yield*0.6)*$D$6,IF(Rev="F",0.3,φ_shear_rupture*0.6)*$D$7))</f>
        <v>#N/A</v>
      </c>
      <c r="DF94" s="369" t="e">
        <f>IF(Rev="F",VLOOKUP(BR94,Reinforcements[],COLUMN(Reinforcements[[#Headers],[Rev. F Top Longitudinal Weld Strength]])-1,FALSE),VLOOKUP(BR94,Reinforcements[],COLUMN(Reinforcements[[#Headers],[Rev. G Top Longitudinal Weld Strength]])-1,FALSE))</f>
        <v>#N/A</v>
      </c>
      <c r="DG94" s="369" t="e">
        <f>2*VLOOKUP(BR94,Reinforcements[],COLUMN(Reinforcements[[#Headers],[Top Longitudinal Weld Fillet Size (in)]])-1,FALSE)*CZ94*MIN(IF(Rev="F",0.4,φ_shear_yield*0.6)*CG94,IF(Rev="F",0.3,φ_shear_rupture*0.6)*CH94)</f>
        <v>#N/A</v>
      </c>
      <c r="DH94" s="369" t="e">
        <f>2*VLOOKUP(BR94,Reinforcements[],COLUMN(Reinforcements[[#Headers],[Top Longitudinal Weld Fillet Size (in)]])-1,FALSE)*CZ94*MIN(IF(Rev="F",0.4,φ_shear_yield*0.6)*$D$6,IF(Rev="F",0.3,φ_shear_rupture*0.6)*$D$7)</f>
        <v>#N/A</v>
      </c>
      <c r="DI94" s="66" t="e">
        <f>IF(BS94="channel",VLOOKUP(Calculations!BR94,Reinforcements[],COLUMN(Reinforcements[[#Headers],['[Channel']Web Thickness (in)]])-1,FALSE),"")</f>
        <v>#N/A</v>
      </c>
      <c r="DJ94" s="66" t="b">
        <f t="shared" si="126"/>
        <v>0</v>
      </c>
      <c r="DK94" s="66" t="e">
        <f>IF(BS94="channel",Calculations!BU94-DI94,"")</f>
        <v>#N/A</v>
      </c>
      <c r="DL94" s="66" t="e">
        <f>IF(BS94="channel",(Calculations!BY94-Calculations!BT94*DI94)/(2*DK94))</f>
        <v>#N/A</v>
      </c>
      <c r="DM94" s="66" t="e">
        <f>IF(BS94="channel",(Calculations!BT94*(DI94^2)/2+2*DK94*DL94*(DI94+DK94/2))/Calculations!BY94,"")</f>
        <v>#N/A</v>
      </c>
    </row>
    <row r="95" spans="2:117" ht="15" x14ac:dyDescent="0.25">
      <c r="B95" s="66" t="str">
        <f t="shared" si="70"/>
        <v/>
      </c>
      <c r="C95" s="317">
        <v>17</v>
      </c>
      <c r="D95" s="380" t="str">
        <f>IF(BQ95="","",IF($D$8=0,IF(OR(VLOOKUP(BQ95,Input!$B$21:$AL$50,19+C95,FALSE)+$D$5=0,VLOOKUP(BQ95,Input!$B$21:$AL$50,19+C95,FALSE)+$D$5=180),VLOOKUP(BQ95,Input!$B$21:$AL$50,19+C95,FALSE)+$D$5+0.0001,VLOOKUP(BQ95,Input!$B$21:$AL$50,19+C95,FALSE)+$D$5),IF(VLOOKUP(BQ95,Input!$B$21:$AL$50,19+C95,FALSE)="c",VLOOKUP($C95,$C$40:$E$57,2,FALSE)+180/$D$8,VLOOKUP($C95,$C$40:$E$57,2,FALSE))))</f>
        <v/>
      </c>
      <c r="E95" s="370" t="str">
        <f t="shared" si="110"/>
        <v/>
      </c>
      <c r="F95" s="381" t="str">
        <f>IF(BR95="","",VLOOKUP(BR95,Reinforcements[],COLUMN(Reinforcements[[#Headers],[Gross Area (in2)]])-1,FALSE))</f>
        <v/>
      </c>
      <c r="G95" s="378" t="e">
        <f>(IF(VLOOKUP(BQ95,Input!$B$21:$AL$50,19+C95,FALSE)="c",$D$20/COS(RADIANS(180/$D$8)),$D$20)+CA95)*SIN(RADIANS(D95))-IF(AND(ISNUMBER(VLOOKUP(BQ95,Input!$B$21:$AL$50,19+C95,FALSE)),$D$8&lt;&gt;0),VLOOKUP(BQ95,Input!$B$21:$AL$50,19+C95,FALSE)*COS(RADIANS(D95)),0)</f>
        <v>#N/A</v>
      </c>
      <c r="H95" s="373" t="str">
        <f t="shared" si="111"/>
        <v/>
      </c>
      <c r="I95" s="373" t="e">
        <f t="shared" si="86"/>
        <v>#N/A</v>
      </c>
      <c r="J95" s="373" t="e">
        <f t="shared" si="112"/>
        <v>#N/A</v>
      </c>
      <c r="K95" s="373" t="e">
        <f t="shared" si="113"/>
        <v>#N/A</v>
      </c>
      <c r="L95" s="373" t="e">
        <f t="shared" si="114"/>
        <v>#N/A</v>
      </c>
      <c r="M95" s="374" t="str">
        <f t="shared" si="115"/>
        <v/>
      </c>
      <c r="N95" s="372" t="str">
        <f>IFERROR((IF(VLOOKUP(BQ95,Input!$B$21:$AL$50,19+C95,FALSE)="c",$D$20/COS(RADIANS(180/$D$8)),$D$20)+CA95)*SIN(RADIANS(D95))-IF(AND(ISNUMBER(VLOOKUP(BQ95,Input!$B$21:$AL$50,19+C95,FALSE)),$D$8&lt;&gt;0),VLOOKUP(BQ95,Input!$B$21:$AL$50,19+C95,FALSE)*COS(RADIANS(D95)),0)-$D$35,"")</f>
        <v/>
      </c>
      <c r="O95" s="373" t="str">
        <f t="shared" si="87"/>
        <v/>
      </c>
      <c r="P95" s="373" t="str">
        <f t="shared" si="88"/>
        <v/>
      </c>
      <c r="Q95" s="373" t="str">
        <f t="shared" si="89"/>
        <v/>
      </c>
      <c r="R95" s="374" t="str">
        <f t="shared" si="90"/>
        <v/>
      </c>
      <c r="S95" s="373" t="str">
        <f t="shared" si="91"/>
        <v/>
      </c>
      <c r="T95" s="373" t="str">
        <f t="shared" si="92"/>
        <v/>
      </c>
      <c r="U95" s="373" t="str">
        <f t="shared" si="93"/>
        <v/>
      </c>
      <c r="V95" s="374" t="str">
        <f t="shared" si="94"/>
        <v/>
      </c>
      <c r="W95" s="482" t="str">
        <f>IFERROR(IF('Macro References'!$A$9,IF(AND(Calculations!CK95,CL95="Bolted"),VLOOKUP($BR95,Reinforcements[],COLUMN(IF(Rev="F",Reinforcements[[#Headers],[Rev. F Bolt Shear Capacity   (Top)        (kips)]],IF(Rev="G",Reinforcements[[#Headers],[Rev. G Bolt Shear Capacity (Top)     (kips)]],Reinforcements[[#Headers],[Rev. H Bolt Shear Capacity (Top) (kips)]])))-1,FALSE),IF(AND(Calculations!CJ95,CL95="Bolted"),VLOOKUP($BR95,Reinforcements[],COLUMN(IF(Rev="F",Reinforcements[[#Headers],[Rev. F Bolt Shear Capacity (Bottom)   (kips)]],IF(Rev="G",Reinforcements[[#Headers],[Rev. G Bolt Shear Capacity (Bottom) (kips)]],Reinforcements[[#Headers],[Rev. H Bolt Shear Capacity (Bottom) (kips)]])))-1,FALSE),"")),""),"")</f>
        <v/>
      </c>
      <c r="X95" s="483" t="str">
        <f>IFERROR(IF('Macro References'!$A$9,IF('Macro References'!$A$10,IF(AND(Calculations!CK95,CL95="Bolted"),VLOOKUP($BR95,Reinforcements[],COLUMN(IF(Rev="F",Reinforcements[[#Headers],[Rev.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kips)]])))-1,FALSE),IF(AND(Calculations!CJ95,CL95="Bolted"),VLOOKUP($BR95,Reinforcements[],COLUMN(IF(Rev="F",Reinforcements[[#Headers],[Rev.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kips)]])))-1,FALSE),"")),IF(AND(Calculations!CK95,CL95="Bolted"),VLOOKUP($BR95,Reinforcements[],COLUMN(IF(Rev="F",Reinforcements[[#Headers],[Rev.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kips)]])))-1,FALSE),IF(AND(Calculations!CJ95,CL95="Bolted"),VLOOKUP($BR95,Reinforcements[],COLUMN(IF(Rev="F",Reinforcements[[#Headers],[Rev.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5" s="483" t="str">
        <f>IFERROR(IF('Macro References'!$A$9,IF('Macro References'!$A$10,IF(AND(Calculations!CK95,CL95="Bolted"),VLOOKUP($BR95,Reinforcements[],COLUMN(IF(Rev="F",Reinforcements[[#Headers],[Rev.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(kips)]])))-1,FALSE),IF(AND(Calculations!CJ95,CL95="Bolted"),VLOOKUP($BR95,Reinforcements[],COLUMN(IF(Rev="F",Reinforcements[[#Headers],[Rev.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(kips)]])))-1,FALSE),"")),IF(AND(Calculations!CK95,CL95="Bolted"),VLOOKUP($BR95,Reinforcements[],COLUMN(IF(Rev="F",Reinforcements[[#Headers],[Rev.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(kips)]])))-1,FALSE),IF(AND(Calculations!CJ95,CL95="Bolted"),VLOOKUP($BR95,Reinforcements[],COLUMN(IF(Rev="F",Reinforcements[[#Headers],[Rev.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5" s="483" t="str">
        <f>IFERROR(IF('Macro References'!$A$9,IF(AND(CJ95,CL95="Welded"),MIN(CQ95:CT95),IF(AND(CK95,CL95="Welded"),MIN(DB95:DE95),"")),""),"")</f>
        <v/>
      </c>
      <c r="AA95" s="484" t="str">
        <f>IFERROR(IF('Macro References'!$A$9,IF(AND(CJ95,CL95="Welded"),MIN(CU95:CW95),IF(AND(CK95,CL95="Welded"),MIN(DF95:DH95),"")),""),"")</f>
        <v/>
      </c>
      <c r="AB95" s="484" t="str">
        <f>IFERROR(IF('Macro References'!$A$9,IF(AND(CJ95,CL95="Welded",CN95="Fillet",CU95&gt;0),TRUE,IF(AND(CK95,CL95="Welded",CY95="Fillet",DF95&gt;0),TRUE,"")),""),"")</f>
        <v/>
      </c>
      <c r="AC95" s="484" t="e">
        <f>IF('Macro References'!$A$9,IF(AND(CJ95,CL95="Capacity Input"),IF(Rev="F",VLOOKUP(BR95,Reinforcements[],COLUMN(Reinforcements[[#Headers],[Rev. F Bottom Connection Capacity (kips)]])-1,FALSE),IF(Rev="G",VLOOKUP(BR95,Reinforcements[],COLUMN(Reinforcements[[#Headers],[Rev. G Bottom Connection Capacity (kips)]])-1,FALSE),VLOOKUP(BR95,Reinforcements[],COLUMN(Reinforcements[[#Headers],[Rev. H Bottom Connection Capacity (kips)]])-1,FALSE))),IF(AND(CK95,CL95="Capacity Input"),IF(Rev="F",VLOOKUP(BR95,Reinforcements[],COLUMN(Reinforcements[[#Headers],[Rev. F Top Connection Capacity (kips)]])-1,FALSE),IF(Rev="G",VLOOKUP(BR95,Reinforcements[],COLUMN(Reinforcements[[#Headers],[Rev. G Top Connection Capacity (kips)]])-1,FALSE),VLOOKUP(BR95,Reinforcements[],COLUMN(Reinforcements[[#Headers],[Rev. H Top Connection Capacity (kips)]])-1,FALSE))),"")),"")</f>
        <v>#VALUE!</v>
      </c>
      <c r="AD95" s="484" t="str">
        <f>IFERROR(IF(Rev="F",MIN(VLOOKUP(BR95,Reinforcements[],COLUMN(Reinforcements[[#Headers],[Rev. F Compression Capacity x-x (kips)]])-1,FALSE),VLOOKUP(BR95,Reinforcements[],COLUMN(Reinforcements[[#Headers],[Rev. F Compression Capacity y-y (kips)]])-1,FALSE)),IF(Rev="G",MIN(VLOOKUP(BR95,Reinforcements[],COLUMN(Reinforcements[[#Headers],[Rev. G Compression Capacity x-x (kips)]])-1,FALSE),VLOOKUP(BR95,Reinforcements[],COLUMN(Reinforcements[[#Headers],[Rev. G Compression Capacity y-y (kips)]])-1,FALSE)),MIN(VLOOKUP(BR95,Reinforcements[],COLUMN(Reinforcements[[#Headers],[Rev. H Compression Capacity x-x (kips)]])-1,FALSE),VLOOKUP(BR95,Reinforcements[],COLUMN(Reinforcements[[#Headers],[Rev. H Compression Capacity y-y (kips)]])-1,FALSE)))),"")</f>
        <v/>
      </c>
      <c r="AE95" s="485" t="str">
        <f>IFERROR(IF(Rev="F",VLOOKUP(BR95,Reinforcements[],COLUMN(Reinforcements[[#Headers],[Rev. F Shear Capacity (kips)]])-1,FALSE)/BY95,IF(Rev="G",VLOOKUP(Calculations!BR95,Reinforcements[],COLUMN(Reinforcements[[#Headers],[Rev. G Shear Capacity (kips)]])-1,FALSE),VLOOKUP(Calculations!BR95,Reinforcements[],COLUMN(Reinforcements[[#Headers],[Rev. H Shear Capacity (kips)]])-1,FALSE))),"")</f>
        <v/>
      </c>
      <c r="AF95" s="451" t="str">
        <f>IFERROR(IF(Rev="F",VLOOKUP(BR95,Reinforcements[],COLUMN(Reinforcements[[#Headers],[Rev. F Tension Yield Capacity (kips)]])-1,FALSE),IF(Rev="G",VLOOKUP(Calculations!BR95,Reinforcements[],COLUMN(Reinforcements[[#Headers],[Rev. G Tension Yield Capacity (kips)]])-1,FALSE),VLOOKUP(Calculations!BR95,Reinforcements[],COLUMN(Reinforcements[[#Headers],[Rev. H Tension Yield Capacity (kips)]])-1,FALSE))),"")</f>
        <v/>
      </c>
      <c r="AG95" s="486" t="str">
        <f>IFERROR(IF(Rev="F",VLOOKUP(BR95,Reinforcements[],COLUMN(Reinforcements[[#Headers],[Rev. F Tension Rupture Capacity (kips)]])-1,FALSE),IF(Rev="G",VLOOKUP(Calculations!BR95,Reinforcements[],COLUMN(Reinforcements[[#Headers],[Rev. G Tension Rupture Capacity (kips)]])-1,FALSE),VLOOKUP(Calculations!BR95,Reinforcements[],COLUMN(Reinforcements[[#Headers],[Rev. H Tension Rupture Capacity (kips)]])-1, FALSE))),"")</f>
        <v/>
      </c>
      <c r="AH95" s="409" t="str">
        <f t="shared" si="95"/>
        <v/>
      </c>
      <c r="AI95" s="380" t="str">
        <f t="shared" si="96"/>
        <v/>
      </c>
      <c r="AJ95" s="380" t="str">
        <f t="shared" si="97"/>
        <v/>
      </c>
      <c r="AK95" s="380" t="str">
        <f t="shared" si="85"/>
        <v/>
      </c>
      <c r="AL95" s="369" t="str">
        <f t="shared" si="78"/>
        <v/>
      </c>
      <c r="AM95" s="380" t="str">
        <f>""</f>
        <v/>
      </c>
      <c r="AN95" s="380" t="str">
        <f t="shared" si="98"/>
        <v/>
      </c>
      <c r="AO95" s="369" t="str">
        <f t="shared" si="99"/>
        <v/>
      </c>
      <c r="AP95" s="410" t="str">
        <f t="shared" si="100"/>
        <v/>
      </c>
      <c r="AQ95" s="411" t="str">
        <f t="shared" si="53"/>
        <v/>
      </c>
      <c r="AR95" s="380" t="str">
        <f>IF(BR95="","",VLOOKUP(VLOOKUP(BR95,Reinforcements[],COLUMN(Reinforcements[[#Headers],[Material]])-1,FALSE),Materials[],2,FALSE)/$D$28)</f>
        <v/>
      </c>
      <c r="AS95" s="369" t="str">
        <f t="shared" si="54"/>
        <v/>
      </c>
      <c r="AT95" s="489" t="str">
        <f t="shared" si="101"/>
        <v/>
      </c>
      <c r="AU95" s="412">
        <f t="shared" si="116"/>
        <v>0</v>
      </c>
      <c r="AV95" s="413">
        <f t="shared" si="117"/>
        <v>0</v>
      </c>
      <c r="AW95" s="413" t="e">
        <f t="shared" si="102"/>
        <v>#N/A</v>
      </c>
      <c r="AX95" s="413" t="e">
        <f t="shared" si="103"/>
        <v>#N/A</v>
      </c>
      <c r="AY95" s="413" t="str">
        <f t="shared" si="104"/>
        <v/>
      </c>
      <c r="AZ95" s="413" t="e">
        <f t="shared" si="105"/>
        <v>#VALUE!</v>
      </c>
      <c r="BA95" s="433" t="str">
        <f t="shared" si="118"/>
        <v/>
      </c>
      <c r="BB95" s="436" t="str">
        <f t="shared" si="119"/>
        <v/>
      </c>
      <c r="BC95" s="437" t="str">
        <f t="shared" si="120"/>
        <v/>
      </c>
      <c r="BD95" s="437" t="str">
        <f t="shared" si="106"/>
        <v/>
      </c>
      <c r="BE95" s="433" t="str">
        <f t="shared" si="121"/>
        <v/>
      </c>
      <c r="BF95" s="438" t="e">
        <f t="shared" si="122"/>
        <v>#DIV/0!</v>
      </c>
      <c r="BG95" s="439" t="str">
        <f t="shared" si="107"/>
        <v/>
      </c>
      <c r="BH95" s="439" t="str">
        <f t="shared" si="108"/>
        <v/>
      </c>
      <c r="BI95" s="433" t="e">
        <f t="shared" si="123"/>
        <v>#DIV/0!</v>
      </c>
      <c r="BJ95" s="438" t="str">
        <f t="shared" si="124"/>
        <v/>
      </c>
      <c r="BK95" s="413" t="e">
        <f t="shared" si="125"/>
        <v>#DIV/0!</v>
      </c>
      <c r="BL95" s="66" t="str">
        <f t="shared" si="68"/>
        <v/>
      </c>
      <c r="BP95" s="30" t="e">
        <f t="shared" si="109"/>
        <v>#DIV/0!</v>
      </c>
      <c r="BQ95" s="444" t="str">
        <f>IFERROR(VALUE(IF(LEN(VLOOKUP(Calculations!$D$4,Results!$G$5:$CM$105,67+$C76,FALSE))-LEN(SUBSTITUTE(VLOOKUP(Calculations!$D$4,Results!$G$5:$CM$105,67+$C76,FALSE),";",""))&gt;1,MID(VLOOKUP(Calculations!$D$4,Results!$G$5:$CM$105,67+$C76,FALSE),FIND(";",VLOOKUP(Calculations!$D$4,Results!$G$5:$CM$105,67+$C76,FALSE))+1,FIND(";",VLOOKUP(Calculations!$D$4,Results!$G$5:$CM$105,67+$C76,FALSE),FIND(";",VLOOKUP(Calculations!$D$4,Results!$G$5:$CM$105,67+$C76,FALSE))+1)-FIND(";",VLOOKUP(Calculations!$D$4,Results!$G$5:$CM$105,67+$C76,FALSE))-1),"")),"")</f>
        <v/>
      </c>
      <c r="BR95" s="444" t="str">
        <f>IF(BQ95="","",VLOOKUP(BQ95,Input!$B$21:$Q$50,13,FALSE))</f>
        <v/>
      </c>
      <c r="BS95" s="369" t="e">
        <f>VLOOKUP(BR95,Reinforcements[],COLUMN(Reinforcements[[#Headers],[Type]])-1,FALSE)</f>
        <v>#N/A</v>
      </c>
      <c r="BT95" s="369" t="e">
        <f>IF(BS95="solid round",VLOOKUP(BR95,Reinforcements[],COLUMN(Reinforcements[[#Headers],[Diameter (in)]])-1,FALSE),VLOOKUP(BR95,Reinforcements[],COLUMN(Reinforcements[[#Headers],[B (in)]])-1,FALSE))</f>
        <v>#N/A</v>
      </c>
      <c r="BU95" s="369" t="e">
        <f>IF(BS95="solid round",VLOOKUP(BR95,Reinforcements[],COLUMN(Reinforcements[[#Headers],[Diameter (in)]])-1,FALSE),VLOOKUP(BR95,Reinforcements[],COLUMN(Reinforcements[[#Headers],[H (in)]])-1,FALSE))</f>
        <v>#N/A</v>
      </c>
      <c r="BV95" s="413" t="e">
        <f>IFERROR((IF(VLOOKUP(BQ95,Input!$B$21:$AL$50,19+C95,FALSE)="c",$D$20/COS(RADIANS(180/$D$8)),$D$20)+BU95/2)*SIN(RADIANS(D95))-IF(ISNUMBER(VLOOKUP(BQ95,Input!$B$21:$AL$50,19+C95,FALSE)),VLOOKUP(BQ95,Input!$B$21:$AL$50,19+C95,FALSE)*COS(RADIANS(D95)),0)-$D$35,"")*0+N95*1</f>
        <v>#VALUE!</v>
      </c>
      <c r="BW95" s="369" t="e">
        <f>VLOOKUP(BR95,Reinforcements[],COLUMN(Reinforcements[[#Headers],[Effective B (in)]])-1,FALSE)</f>
        <v>#N/A</v>
      </c>
      <c r="BX95" s="369" t="e">
        <f>VLOOKUP(BR95,Reinforcements[],COLUMN(Reinforcements[[#Headers],[Effective H (in)]])-1,FALSE)</f>
        <v>#N/A</v>
      </c>
      <c r="BY95" s="369" t="e">
        <f>VLOOKUP(BR95,Reinforcements[],COLUMN(Reinforcements[[#Headers],[Gross Area (in2)]])-1,FALSE)</f>
        <v>#N/A</v>
      </c>
      <c r="BZ95" s="380" t="s">
        <v>335</v>
      </c>
      <c r="CA95" s="369" t="e">
        <f>VLOOKUP(BR95,Reinforcements[],COLUMN(Reinforcements[[#Headers],[Pole Face to Centroid (in)]])-1,FALSE)</f>
        <v>#N/A</v>
      </c>
      <c r="CB95" s="369" t="e">
        <f>VLOOKUP(BR95,Reinforcements[],COLUMN(Reinforcements[[#Headers],[Ix]])-1,FALSE)</f>
        <v>#N/A</v>
      </c>
      <c r="CC95" s="369" t="e">
        <f>VLOOKUP(BR95,Reinforcements[],COLUMN(Reinforcements[[#Headers],[Iy]])-1,FALSE)</f>
        <v>#N/A</v>
      </c>
      <c r="CD95" s="369" t="e">
        <f>VLOOKUP(BR95,Reinforcements[],COLUMN(Reinforcements[[#Headers],[Lu (in)]])-1,FALSE)</f>
        <v>#N/A</v>
      </c>
      <c r="CE95" s="380" t="s">
        <v>335</v>
      </c>
      <c r="CF95" s="380" t="s">
        <v>335</v>
      </c>
      <c r="CG95" s="369" t="e">
        <f>VLOOKUP(VLOOKUP(BR95,Reinforcements[],COLUMN(Reinforcements[[#Headers],[Material]])-1,FALSE),Materials[],2,FALSE)</f>
        <v>#N/A</v>
      </c>
      <c r="CH95" s="369" t="e">
        <f>VLOOKUP(VLOOKUP(BR95,Reinforcements[],COLUMN(Reinforcements[[#Headers],[Material]])-1,FALSE),Materials[],3,FALSE)</f>
        <v>#N/A</v>
      </c>
      <c r="CI95" s="380" t="e">
        <f>VLOOKUP(BR95,Reinforcements[],COLUMN(Reinforcements[[#Headers],[Tension Only?]])-1,FALSE)</f>
        <v>#N/A</v>
      </c>
      <c r="CJ95" s="449" t="str">
        <f>IF(BQ95="","",AND(INDEX(Results!$G$5:$G$104,MATCH(VLOOKUP($BQ95,Input!$B$21:$J$50,2,FALSE)-0.001,Results!$G$5:$G$104,-1))=$D$4))</f>
        <v/>
      </c>
      <c r="CK95" s="449" t="str">
        <f>IF(BQ95="","",AND(INDEX('Macro References'!$BB$2:$BB$101,MATCH(VLOOKUP($BQ95,Input!$B$21:$J$50,6,FALSE)-0.001,'Macro References'!$BB$2:$BB$101,1))=$D$4))</f>
        <v/>
      </c>
      <c r="CL95" s="449" t="e">
        <f>IF(CJ95,VLOOKUP(BR95,Reinforcements[],COLUMN(Reinforcements[[#Headers],[Bottom End Connection Type]])-1,FALSE),IF(CK95,VLOOKUP(BR95,Reinforcements[],COLUMN(Reinforcements[[#Headers],[Top End Connection Type]])-1,FALSE),""))</f>
        <v>#VALUE!</v>
      </c>
      <c r="CM95" s="449" t="e">
        <f>IF(ISBLANK(VLOOKUP(BR95,Reinforcements[],COLUMN(Reinforcements[[#Headers],[Bottom Transverse Weld Length]])-1,FALSE)),"",(VLOOKUP(BR95,Reinforcements[],COLUMN(Reinforcements[[#Headers],[Bottom Transverse Weld Length]])-1,FALSE)))</f>
        <v>#N/A</v>
      </c>
      <c r="CN95" s="449" t="e">
        <f>IF(ISBLANK(VLOOKUP(BR95,Reinforcements[],COLUMN(Reinforcements[[#Headers],[Bottom Transverse (Horizontal) Weld]])-1,FALSE)),"",(VLOOKUP(BR95,Reinforcements[],COLUMN(Reinforcements[[#Headers],[Bottom Transverse (Horizontal) Weld]])-1,FALSE)))</f>
        <v>#N/A</v>
      </c>
      <c r="CO95" s="449" t="e">
        <f>IF(ISBLANK(VLOOKUP(BR95,Reinforcements[],COLUMN(Reinforcements[[#Headers],[Bottom Longitudinal Weld Length]])-1,FALSE)),"",(VLOOKUP(BR95,Reinforcements[],COLUMN(Reinforcements[[#Headers],[Bottom Longitudinal Weld Length]])-1,FALSE)))</f>
        <v>#N/A</v>
      </c>
      <c r="CP95" s="449" t="str">
        <f>IFERROR(VLOOKUP(BR95,Reinforcements[],COLUMN(Reinforcements[[#Headers],[Bottom Connected to Flange/Base Plate?]])-1,FALSE),"")</f>
        <v/>
      </c>
      <c r="CQ95" s="369" t="e">
        <f>IF(Rev="F",VLOOKUP(BR95,Reinforcements[],COLUMN(Reinforcements[[#Headers],[Rev. F Bottom Transverse Weld Strength]])-1,FALSE),VLOOKUP(BR95,Reinforcements[],COLUMN(Reinforcements[[#Headers],[Rev. G Bottom Transverse Weld Strength]])-1,FALSE))</f>
        <v>#N/A</v>
      </c>
      <c r="CR95" s="369" t="e">
        <f>IF(CP95="Yes",IF(CN95="Fillet",VLOOKUP(BR95,Reinforcements[],COLUMN(Reinforcements[[#Headers],[Bottom Transverse Weld Fillet Size (in)]])-1,FALSE)*CM95*MIN(IF(Rev="F",0.4,φ_shear_yield*0.6)*CG95,IF(Rev="F",0.3,φ_shear_rupture*0.6)*CH95),VLOOKUP(BR95,Reinforcements[],COLUMN(Reinforcements[[#Headers],[Bottom Transverse Weld Groove Depth (in)]])-1,FALSE)/COS(RADIANS(VLOOKUP(BR95,Reinforcements[],COLUMN(Reinforcements[[#Headers],[Bottom Transverse Weld Groove Angle (degrees)]])-1,FALSE)))*CM95*IF(Rev="F",0.6,φ_t_y)*CG95),VLOOKUP(BR95,Reinforcements[],COLUMN(Reinforcements[[#Headers],[Bottom Transverse Weld Fillet Size (in)]])-1,FALSE)*CM95*IF(Rev="F",0.6,φ_t_y)*CG95)</f>
        <v>#N/A</v>
      </c>
      <c r="CS95" s="369" t="str">
        <f>IF(CP95&lt;&gt;"Yes","",(VLOOKUP(BR95,Reinforcements[],COLUMN(Reinforcements[[#Headers],[Bottom Transverse Weld Groove Depth (in)]])-1,FALSE)+VLOOKUP(BR95,Reinforcements[],COLUMN(Reinforcements[[#Headers],[Bottom Transverse Weld Fillet Size (in)]])-1,FALSE))*CM95*IF(Rev="F",0.6,φ_t_y)*$D$14)</f>
        <v/>
      </c>
      <c r="CT95" s="369" t="e">
        <f>IF(CP95="Yes","",VLOOKUP(BR95,Reinforcements[],COLUMN(Reinforcements[[#Headers],[Bottom Transverse Weld Fillet Size (in)]])-1,FALSE)*CM95*MIN(IF(Rev="F",0.4,φ_shear_yield*0.6)*$D$6,IF(Rev="F",0.3,φ_shear_rupture*0.6)*$D$7))</f>
        <v>#N/A</v>
      </c>
      <c r="CU95" s="369" t="e">
        <f>IF(Rev="F",VLOOKUP(BR95,Reinforcements[],COLUMN(Reinforcements[[#Headers],[Rev. F Bottom Longitudinal Weld Strength]])-1,FALSE),VLOOKUP(BR95,Reinforcements[],COLUMN(Reinforcements[[#Headers],[Rev. G Bottom Longitudinal Weld Strength]])-1,FALSE))</f>
        <v>#N/A</v>
      </c>
      <c r="CV95" s="369" t="e">
        <f>2*VLOOKUP(BR95,Reinforcements[],COLUMN(Reinforcements[[#Headers],[Bottom Longitudinal Weld Fillet Size (in)]])-1,FALSE)*CO95*MIN(IF(Rev="F",0.4,φ_shear_yield*0.6)*CG95,IF(Rev="F",0.3,φ_shear_rupture*0.6)*CH95)</f>
        <v>#N/A</v>
      </c>
      <c r="CW95" s="369" t="e">
        <f>2*VLOOKUP(BR95,Reinforcements[],COLUMN(Reinforcements[[#Headers],[Bottom Longitudinal Weld Fillet Size (in)]])-1,FALSE)*CO95*MIN(IF(Rev="F",0.4,φ_shear_yield*0.6)*$D$6,IF(Rev="F",0.3,φ_shear_rupture*0.6)*$D$7)</f>
        <v>#N/A</v>
      </c>
      <c r="CX95" s="451" t="e">
        <f>IF(ISBLANK(VLOOKUP(BR95,Reinforcements[],COLUMN(Reinforcements[[#Headers],[Top Transverse Weld Length]])-1,FALSE)),"",(VLOOKUP(BR95,Reinforcements[],COLUMN(Reinforcements[[#Headers],[Top Transverse Weld Length]])-1,FALSE)))</f>
        <v>#N/A</v>
      </c>
      <c r="CY95" s="451" t="e">
        <f>IF(ISBLANK(VLOOKUP(BR95,Reinforcements[],COLUMN(Reinforcements[[#Headers],[Top Transverse (Horizontal) Weld]])-1,FALSE)),"",(VLOOKUP(BR95,Reinforcements[],COLUMN(Reinforcements[[#Headers],[Top Transverse (Horizontal) Weld]])-1,FALSE)))</f>
        <v>#N/A</v>
      </c>
      <c r="CZ95" s="451" t="e">
        <f>IF(ISBLANK(VLOOKUP(BR95,Reinforcements[],COLUMN(Reinforcements[[#Headers],[Top Longitudinal Weld Length]])-1,FALSE)),"",(VLOOKUP(BR95,Reinforcements[],COLUMN(Reinforcements[[#Headers],[Top Longitudinal Weld Length]])-1,FALSE)))</f>
        <v>#N/A</v>
      </c>
      <c r="DA95" s="369" t="str">
        <f>IFERROR(VLOOKUP(BR95,Reinforcements[],COLUMN(Reinforcements[[#Headers],[Top Connected to Flange/Base Plate?]])-1,FALSE),"")</f>
        <v/>
      </c>
      <c r="DB95" s="369" t="e">
        <f>IF(Rev="F",VLOOKUP(BR95,Reinforcements[],COLUMN(Reinforcements[[#Headers],[Rev. F Top Transverse Weld Strength]])-1,FALSE),VLOOKUP(BR95,Reinforcements[],COLUMN(Reinforcements[[#Headers],[Rev. G Top Transverse Weld Strength]])-1,FALSE))</f>
        <v>#N/A</v>
      </c>
      <c r="DC95" s="369" t="e">
        <f>IF(DA95="Yes",IF(CY95="Fillet",VLOOKUP(BR95,Reinforcements[],COLUMN(Reinforcements[[#Headers],[Top Transverse Weld Fillet Size (in)]])-1,FALSE)*CX95*MIN(IF(Rev="F",0.4,φ_shear_yield*0.6)*CG95,IF(Rev="F",0.3,φ_shear_rupture*0.6)*CH95),VLOOKUP(BR95,Reinforcements[],COLUMN(Reinforcements[[#Headers],[Top Transverse Weld Groove Depth (in)]])-1,FALSE)/COS(RADIANS(VLOOKUP(BR95,Reinforcements[],COLUMN(Reinforcements[[#Headers],[Top Transverse Weld Groove Angle (degrees)]])-1,FALSE)))*CX95*IF(Rev="F",0.6,φ_t_y)*CG95),VLOOKUP(BR95,Reinforcements[],COLUMN(Reinforcements[[#Headers],[Top Transverse Weld Fillet Size (in)]])-1,FALSE)*CX95*IF(Rev="F",0.6,φ_t_y)*CG95)</f>
        <v>#N/A</v>
      </c>
      <c r="DD95" s="369" t="str">
        <f>IF(DA95&lt;&gt;"Yes","",(VLOOKUP(BR95,Reinforcements[],COLUMN(Reinforcements[[#Headers],[Top Transverse Weld Groove Depth (in)]])-1,FALSE)+VLOOKUP(BR95,Reinforcements[],COLUMN(Reinforcements[[#Headers],[Top Transverse Weld Fillet Size (in)]])-1,FALSE))*CX95*IF(Rev="F",0.6,φ_t_y)*$D$14)</f>
        <v/>
      </c>
      <c r="DE95" s="369" t="e">
        <f>IF(DA95="Yes","",VLOOKUP(BR95,Reinforcements[],COLUMN(Reinforcements[[#Headers],[Top Transverse Weld Fillet Size (in)]])-1,FALSE)*CX95*MIN(IF(Rev="F",0.4,φ_shear_yield*0.6)*$D$6,IF(Rev="F",0.3,φ_shear_rupture*0.6)*$D$7))</f>
        <v>#N/A</v>
      </c>
      <c r="DF95" s="369" t="e">
        <f>IF(Rev="F",VLOOKUP(BR95,Reinforcements[],COLUMN(Reinforcements[[#Headers],[Rev. F Top Longitudinal Weld Strength]])-1,FALSE),VLOOKUP(BR95,Reinforcements[],COLUMN(Reinforcements[[#Headers],[Rev. G Top Longitudinal Weld Strength]])-1,FALSE))</f>
        <v>#N/A</v>
      </c>
      <c r="DG95" s="369" t="e">
        <f>2*VLOOKUP(BR95,Reinforcements[],COLUMN(Reinforcements[[#Headers],[Top Longitudinal Weld Fillet Size (in)]])-1,FALSE)*CZ95*MIN(IF(Rev="F",0.4,φ_shear_yield*0.6)*CG95,IF(Rev="F",0.3,φ_shear_rupture*0.6)*CH95)</f>
        <v>#N/A</v>
      </c>
      <c r="DH95" s="369" t="e">
        <f>2*VLOOKUP(BR95,Reinforcements[],COLUMN(Reinforcements[[#Headers],[Top Longitudinal Weld Fillet Size (in)]])-1,FALSE)*CZ95*MIN(IF(Rev="F",0.4,φ_shear_yield*0.6)*$D$6,IF(Rev="F",0.3,φ_shear_rupture*0.6)*$D$7)</f>
        <v>#N/A</v>
      </c>
      <c r="DI95" s="66" t="e">
        <f>IF(BS95="channel",VLOOKUP(Calculations!BR95,Reinforcements[],COLUMN(Reinforcements[[#Headers],['[Channel']Web Thickness (in)]])-1,FALSE),"")</f>
        <v>#N/A</v>
      </c>
      <c r="DJ95" s="66" t="b">
        <f t="shared" si="126"/>
        <v>0</v>
      </c>
      <c r="DK95" s="66" t="e">
        <f>IF(BS95="channel",Calculations!BU95-DI95,"")</f>
        <v>#N/A</v>
      </c>
      <c r="DL95" s="66" t="e">
        <f>IF(BS95="channel",(Calculations!BY95-Calculations!BT95*DI95)/(2*DK95))</f>
        <v>#N/A</v>
      </c>
      <c r="DM95" s="66" t="e">
        <f>IF(BS95="channel",(Calculations!BT95*(DI95^2)/2+2*DK95*DL95*(DI95+DK95/2))/Calculations!BY95,"")</f>
        <v>#N/A</v>
      </c>
    </row>
    <row r="96" spans="2:117" ht="15" x14ac:dyDescent="0.25">
      <c r="B96" s="66" t="str">
        <f t="shared" si="70"/>
        <v/>
      </c>
      <c r="C96" s="317">
        <v>18</v>
      </c>
      <c r="D96" s="380" t="str">
        <f>IF(BQ96="","",IF($D$8=0,IF(OR(VLOOKUP(BQ96,Input!$B$21:$AL$50,19+C96,FALSE)+$D$5=0,VLOOKUP(BQ96,Input!$B$21:$AL$50,19+C96,FALSE)+$D$5=180),VLOOKUP(BQ96,Input!$B$21:$AL$50,19+C96,FALSE)+$D$5+0.0001,VLOOKUP(BQ96,Input!$B$21:$AL$50,19+C96,FALSE)+$D$5),IF(VLOOKUP(BQ96,Input!$B$21:$AL$50,19+C96,FALSE)="c",VLOOKUP($C96,$C$40:$E$57,2,FALSE)+180/$D$8,VLOOKUP($C96,$C$40:$E$57,2,FALSE))))</f>
        <v/>
      </c>
      <c r="E96" s="370" t="str">
        <f t="shared" si="110"/>
        <v/>
      </c>
      <c r="F96" s="381" t="str">
        <f>IF(BR96="","",VLOOKUP(BR96,Reinforcements[],COLUMN(Reinforcements[[#Headers],[Gross Area (in2)]])-1,FALSE))</f>
        <v/>
      </c>
      <c r="G96" s="378" t="e">
        <f>(IF(VLOOKUP(BQ96,Input!$B$21:$AL$50,19+C96,FALSE)="c",$D$20/COS(RADIANS(180/$D$8)),$D$20)+CA96)*SIN(RADIANS(D96))-IF(AND(ISNUMBER(VLOOKUP(BQ96,Input!$B$21:$AL$50,19+C96,FALSE)),$D$8&lt;&gt;0),VLOOKUP(BQ96,Input!$B$21:$AL$50,19+C96,FALSE)*COS(RADIANS(D96)),0)</f>
        <v>#N/A</v>
      </c>
      <c r="H96" s="373" t="str">
        <f t="shared" si="111"/>
        <v/>
      </c>
      <c r="I96" s="373" t="e">
        <f t="shared" si="86"/>
        <v>#N/A</v>
      </c>
      <c r="J96" s="373" t="e">
        <f t="shared" si="112"/>
        <v>#N/A</v>
      </c>
      <c r="K96" s="373" t="e">
        <f t="shared" si="113"/>
        <v>#N/A</v>
      </c>
      <c r="L96" s="373" t="e">
        <f t="shared" si="114"/>
        <v>#N/A</v>
      </c>
      <c r="M96" s="374" t="str">
        <f t="shared" si="115"/>
        <v/>
      </c>
      <c r="N96" s="372" t="str">
        <f>IFERROR((IF(VLOOKUP(BQ96,Input!$B$21:$AL$50,19+C96,FALSE)="c",$D$20/COS(RADIANS(180/$D$8)),$D$20)+CA96)*SIN(RADIANS(D96))-IF(AND(ISNUMBER(VLOOKUP(BQ96,Input!$B$21:$AL$50,19+C96,FALSE)),$D$8&lt;&gt;0),VLOOKUP(BQ96,Input!$B$21:$AL$50,19+C96,FALSE)*COS(RADIANS(D96)),0)-$D$35,"")</f>
        <v/>
      </c>
      <c r="O96" s="373" t="str">
        <f t="shared" si="87"/>
        <v/>
      </c>
      <c r="P96" s="373" t="str">
        <f t="shared" si="88"/>
        <v/>
      </c>
      <c r="Q96" s="373" t="str">
        <f t="shared" si="89"/>
        <v/>
      </c>
      <c r="R96" s="374" t="str">
        <f t="shared" si="90"/>
        <v/>
      </c>
      <c r="S96" s="373" t="str">
        <f t="shared" si="91"/>
        <v/>
      </c>
      <c r="T96" s="373" t="str">
        <f t="shared" si="92"/>
        <v/>
      </c>
      <c r="U96" s="373" t="str">
        <f t="shared" si="93"/>
        <v/>
      </c>
      <c r="V96" s="374" t="str">
        <f t="shared" si="94"/>
        <v/>
      </c>
      <c r="W96" s="482" t="str">
        <f>IFERROR(IF('Macro References'!$A$9,IF(AND(Calculations!CK96,CL96="Bolted"),VLOOKUP($BR96,Reinforcements[],COLUMN(IF(Rev="F",Reinforcements[[#Headers],[Rev. F Bolt Shear Capacity   (Top)        (kips)]],IF(Rev="G",Reinforcements[[#Headers],[Rev. G Bolt Shear Capacity (Top)     (kips)]],Reinforcements[[#Headers],[Rev. H Bolt Shear Capacity (Top) (kips)]])))-1,FALSE),IF(AND(Calculations!CJ96,CL96="Bolted"),VLOOKUP($BR96,Reinforcements[],COLUMN(IF(Rev="F",Reinforcements[[#Headers],[Rev. F Bolt Shear Capacity (Bottom)   (kips)]],IF(Rev="G",Reinforcements[[#Headers],[Rev. G Bolt Shear Capacity (Bottom) (kips)]],Reinforcements[[#Headers],[Rev. H Bolt Shear Capacity (Bottom) (kips)]])))-1,FALSE),"")),""),"")</f>
        <v/>
      </c>
      <c r="X96" s="483" t="str">
        <f>IFERROR(IF('Macro References'!$A$9,IF('Macro References'!$A$10,IF(AND(Calculations!CK96,CL96="Bolted"),VLOOKUP($BR96,Reinforcements[],COLUMN(IF(Rev="F",Reinforcements[[#Headers],[Rev.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kips)]])))-1,FALSE),IF(AND(Calculations!CJ96,CL96="Bolted"),VLOOKUP($BR96,Reinforcements[],COLUMN(IF(Rev="F",Reinforcements[[#Headers],[Rev.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kips)]])))-1,FALSE),"")),IF(AND(Calculations!CK96,CL96="Bolted"),VLOOKUP($BR96,Reinforcements[],COLUMN(IF(Rev="F",Reinforcements[[#Headers],[Rev.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kips)]])))-1,FALSE),IF(AND(Calculations!CJ96,CL96="Bolted"),VLOOKUP($BR96,Reinforcements[],COLUMN(IF(Rev="F",Reinforcements[[#Headers],[Rev.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6" s="483" t="str">
        <f>IFERROR(IF('Macro References'!$A$9,IF('Macro References'!$A$10,IF(AND(Calculations!CK96,CL96="Bolted"),VLOOKUP($BR96,Reinforcements[],COLUMN(IF(Rev="F",Reinforcements[[#Headers],[Rev.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(kips)]])))-1,FALSE),IF(AND(Calculations!CJ96,CL96="Bolted"),VLOOKUP($BR96,Reinforcements[],COLUMN(IF(Rev="F",Reinforcements[[#Headers],[Rev.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(kips)]])))-1,FALSE),"")),IF(AND(Calculations!CK96,CL96="Bolted"),VLOOKUP($BR96,Reinforcements[],COLUMN(IF(Rev="F",Reinforcements[[#Headers],[Rev.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(kips)]])))-1,FALSE),IF(AND(Calculations!CJ96,CL96="Bolted"),VLOOKUP($BR96,Reinforcements[],COLUMN(IF(Rev="F",Reinforcements[[#Headers],[Rev.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6" s="483" t="str">
        <f>IFERROR(IF('Macro References'!$A$9,IF(AND(CJ96,CL96="Welded"),MIN(CQ96:CT96),IF(AND(CK96,CL96="Welded"),MIN(DB96:DE96),"")),""),"")</f>
        <v/>
      </c>
      <c r="AA96" s="484" t="str">
        <f>IFERROR(IF('Macro References'!$A$9,IF(AND(CJ96,CL96="Welded"),MIN(CU96:CW96),IF(AND(CK96,CL96="Welded"),MIN(DF96:DH96),"")),""),"")</f>
        <v/>
      </c>
      <c r="AB96" s="484" t="str">
        <f>IFERROR(IF('Macro References'!$A$9,IF(AND(CJ96,CL96="Welded",CN96="Fillet",CU96&gt;0),TRUE,IF(AND(CK96,CL96="Welded",CY96="Fillet",DF96&gt;0),TRUE,"")),""),"")</f>
        <v/>
      </c>
      <c r="AC96" s="484" t="e">
        <f>IF('Macro References'!$A$9,IF(AND(CJ96,CL96="Capacity Input"),IF(Rev="F",VLOOKUP(BR96,Reinforcements[],COLUMN(Reinforcements[[#Headers],[Rev. F Bottom Connection Capacity (kips)]])-1,FALSE),IF(Rev="G",VLOOKUP(BR96,Reinforcements[],COLUMN(Reinforcements[[#Headers],[Rev. G Bottom Connection Capacity (kips)]])-1,FALSE),VLOOKUP(BR96,Reinforcements[],COLUMN(Reinforcements[[#Headers],[Rev. H Bottom Connection Capacity (kips)]])-1,FALSE))),IF(AND(CK96,CL96="Capacity Input"),IF(Rev="F",VLOOKUP(BR96,Reinforcements[],COLUMN(Reinforcements[[#Headers],[Rev. F Top Connection Capacity (kips)]])-1,FALSE),IF(Rev="G",VLOOKUP(BR96,Reinforcements[],COLUMN(Reinforcements[[#Headers],[Rev. G Top Connection Capacity (kips)]])-1,FALSE),VLOOKUP(BR96,Reinforcements[],COLUMN(Reinforcements[[#Headers],[Rev. H Top Connection Capacity (kips)]])-1,FALSE))),"")),"")</f>
        <v>#VALUE!</v>
      </c>
      <c r="AD96" s="484" t="str">
        <f>IFERROR(IF(Rev="F",MIN(VLOOKUP(BR96,Reinforcements[],COLUMN(Reinforcements[[#Headers],[Rev. F Compression Capacity x-x (kips)]])-1,FALSE),VLOOKUP(BR96,Reinforcements[],COLUMN(Reinforcements[[#Headers],[Rev. F Compression Capacity y-y (kips)]])-1,FALSE)),IF(Rev="G",MIN(VLOOKUP(BR96,Reinforcements[],COLUMN(Reinforcements[[#Headers],[Rev. G Compression Capacity x-x (kips)]])-1,FALSE),VLOOKUP(BR96,Reinforcements[],COLUMN(Reinforcements[[#Headers],[Rev. G Compression Capacity y-y (kips)]])-1,FALSE)),MIN(VLOOKUP(BR96,Reinforcements[],COLUMN(Reinforcements[[#Headers],[Rev. H Compression Capacity x-x (kips)]])-1,FALSE),VLOOKUP(BR96,Reinforcements[],COLUMN(Reinforcements[[#Headers],[Rev. H Compression Capacity y-y (kips)]])-1,FALSE)))),"")</f>
        <v/>
      </c>
      <c r="AE96" s="485" t="str">
        <f>IFERROR(IF(Rev="F",VLOOKUP(BR96,Reinforcements[],COLUMN(Reinforcements[[#Headers],[Rev. F Shear Capacity (kips)]])-1,FALSE)/BY96,IF(Rev="G",VLOOKUP(Calculations!BR96,Reinforcements[],COLUMN(Reinforcements[[#Headers],[Rev. G Shear Capacity (kips)]])-1,FALSE),VLOOKUP(Calculations!BR96,Reinforcements[],COLUMN(Reinforcements[[#Headers],[Rev. H Shear Capacity (kips)]])-1,FALSE))),"")</f>
        <v/>
      </c>
      <c r="AF96" s="451" t="str">
        <f>IFERROR(IF(Rev="F",VLOOKUP(BR96,Reinforcements[],COLUMN(Reinforcements[[#Headers],[Rev. F Tension Yield Capacity (kips)]])-1,FALSE),IF(Rev="G",VLOOKUP(Calculations!BR96,Reinforcements[],COLUMN(Reinforcements[[#Headers],[Rev. G Tension Yield Capacity (kips)]])-1,FALSE),VLOOKUP(Calculations!BR96,Reinforcements[],COLUMN(Reinforcements[[#Headers],[Rev. H Tension Yield Capacity (kips)]])-1,FALSE))),"")</f>
        <v/>
      </c>
      <c r="AG96" s="486" t="str">
        <f>IFERROR(IF(Rev="F",VLOOKUP(BR96,Reinforcements[],COLUMN(Reinforcements[[#Headers],[Rev. F Tension Rupture Capacity (kips)]])-1,FALSE),IF(Rev="G",VLOOKUP(Calculations!BR96,Reinforcements[],COLUMN(Reinforcements[[#Headers],[Rev. G Tension Rupture Capacity (kips)]])-1,FALSE),VLOOKUP(Calculations!BR96,Reinforcements[],COLUMN(Reinforcements[[#Headers],[Rev. H Tension Rupture Capacity (kips)]])-1, FALSE))),"")</f>
        <v/>
      </c>
      <c r="AH96" s="409" t="str">
        <f t="shared" si="95"/>
        <v/>
      </c>
      <c r="AI96" s="380" t="str">
        <f t="shared" si="96"/>
        <v/>
      </c>
      <c r="AJ96" s="380" t="str">
        <f t="shared" si="97"/>
        <v/>
      </c>
      <c r="AK96" s="380" t="str">
        <f t="shared" si="85"/>
        <v/>
      </c>
      <c r="AL96" s="369" t="str">
        <f t="shared" si="78"/>
        <v/>
      </c>
      <c r="AM96" s="380" t="str">
        <f>""</f>
        <v/>
      </c>
      <c r="AN96" s="380" t="str">
        <f t="shared" si="98"/>
        <v/>
      </c>
      <c r="AO96" s="369" t="str">
        <f t="shared" si="99"/>
        <v/>
      </c>
      <c r="AP96" s="410" t="str">
        <f t="shared" si="100"/>
        <v/>
      </c>
      <c r="AQ96" s="411" t="str">
        <f t="shared" si="53"/>
        <v/>
      </c>
      <c r="AR96" s="380" t="str">
        <f>IF(BR96="","",VLOOKUP(VLOOKUP(BR96,Reinforcements[],COLUMN(Reinforcements[[#Headers],[Material]])-1,FALSE),Materials[],2,FALSE)/$D$28)</f>
        <v/>
      </c>
      <c r="AS96" s="369" t="str">
        <f t="shared" si="54"/>
        <v/>
      </c>
      <c r="AT96" s="489" t="str">
        <f t="shared" si="101"/>
        <v/>
      </c>
      <c r="AU96" s="412">
        <f t="shared" si="116"/>
        <v>0</v>
      </c>
      <c r="AV96" s="413">
        <f t="shared" si="117"/>
        <v>0</v>
      </c>
      <c r="AW96" s="413" t="e">
        <f t="shared" si="102"/>
        <v>#N/A</v>
      </c>
      <c r="AX96" s="413" t="e">
        <f t="shared" si="103"/>
        <v>#N/A</v>
      </c>
      <c r="AY96" s="413" t="str">
        <f t="shared" si="104"/>
        <v/>
      </c>
      <c r="AZ96" s="413" t="e">
        <f t="shared" si="105"/>
        <v>#VALUE!</v>
      </c>
      <c r="BA96" s="433" t="str">
        <f t="shared" si="118"/>
        <v/>
      </c>
      <c r="BB96" s="436" t="str">
        <f t="shared" si="119"/>
        <v/>
      </c>
      <c r="BC96" s="437" t="str">
        <f t="shared" si="120"/>
        <v/>
      </c>
      <c r="BD96" s="437" t="str">
        <f t="shared" si="106"/>
        <v/>
      </c>
      <c r="BE96" s="433" t="str">
        <f t="shared" si="121"/>
        <v/>
      </c>
      <c r="BF96" s="438" t="e">
        <f t="shared" si="122"/>
        <v>#DIV/0!</v>
      </c>
      <c r="BG96" s="439" t="str">
        <f t="shared" si="107"/>
        <v/>
      </c>
      <c r="BH96" s="439" t="str">
        <f t="shared" si="108"/>
        <v/>
      </c>
      <c r="BI96" s="433" t="e">
        <f t="shared" si="123"/>
        <v>#DIV/0!</v>
      </c>
      <c r="BJ96" s="438" t="str">
        <f t="shared" si="124"/>
        <v/>
      </c>
      <c r="BK96" s="413" t="e">
        <f t="shared" si="125"/>
        <v>#DIV/0!</v>
      </c>
      <c r="BL96" s="66" t="str">
        <f t="shared" si="68"/>
        <v/>
      </c>
      <c r="BP96" s="30" t="e">
        <f t="shared" si="109"/>
        <v>#DIV/0!</v>
      </c>
      <c r="BQ96" s="444" t="str">
        <f>IFERROR(VALUE(IF(LEN(VLOOKUP(Calculations!$D$4,Results!$G$5:$CM$105,67+$C77,FALSE))-LEN(SUBSTITUTE(VLOOKUP(Calculations!$D$4,Results!$G$5:$CM$105,67+$C77,FALSE),";",""))&gt;1,MID(VLOOKUP(Calculations!$D$4,Results!$G$5:$CM$105,67+$C77,FALSE),FIND(";",VLOOKUP(Calculations!$D$4,Results!$G$5:$CM$105,67+$C77,FALSE))+1,FIND(";",VLOOKUP(Calculations!$D$4,Results!$G$5:$CM$105,67+$C77,FALSE),FIND(";",VLOOKUP(Calculations!$D$4,Results!$G$5:$CM$105,67+$C77,FALSE))+1)-FIND(";",VLOOKUP(Calculations!$D$4,Results!$G$5:$CM$105,67+$C77,FALSE))-1),"")),"")</f>
        <v/>
      </c>
      <c r="BR96" s="444" t="str">
        <f>IF(BQ96="","",VLOOKUP(BQ96,Input!$B$21:$Q$50,13,FALSE))</f>
        <v/>
      </c>
      <c r="BS96" s="369" t="e">
        <f>VLOOKUP(BR96,Reinforcements[],COLUMN(Reinforcements[[#Headers],[Type]])-1,FALSE)</f>
        <v>#N/A</v>
      </c>
      <c r="BT96" s="369" t="e">
        <f>IF(BS96="solid round",VLOOKUP(BR96,Reinforcements[],COLUMN(Reinforcements[[#Headers],[Diameter (in)]])-1,FALSE),VLOOKUP(BR96,Reinforcements[],COLUMN(Reinforcements[[#Headers],[B (in)]])-1,FALSE))</f>
        <v>#N/A</v>
      </c>
      <c r="BU96" s="369" t="e">
        <f>IF(BS96="solid round",VLOOKUP(BR96,Reinforcements[],COLUMN(Reinforcements[[#Headers],[Diameter (in)]])-1,FALSE),VLOOKUP(BR96,Reinforcements[],COLUMN(Reinforcements[[#Headers],[H (in)]])-1,FALSE))</f>
        <v>#N/A</v>
      </c>
      <c r="BV96" s="413" t="e">
        <f>IFERROR((IF(VLOOKUP(BQ96,Input!$B$21:$AL$50,19+C96,FALSE)="c",$D$20/COS(RADIANS(180/$D$8)),$D$20)+BU96/2)*SIN(RADIANS(D96))-IF(ISNUMBER(VLOOKUP(BQ96,Input!$B$21:$AL$50,19+C96,FALSE)),VLOOKUP(BQ96,Input!$B$21:$AL$50,19+C96,FALSE)*COS(RADIANS(D96)),0)-$D$35,"")*0+N96*1</f>
        <v>#VALUE!</v>
      </c>
      <c r="BW96" s="369" t="e">
        <f>VLOOKUP(BR96,Reinforcements[],COLUMN(Reinforcements[[#Headers],[Effective B (in)]])-1,FALSE)</f>
        <v>#N/A</v>
      </c>
      <c r="BX96" s="369" t="e">
        <f>VLOOKUP(BR96,Reinforcements[],COLUMN(Reinforcements[[#Headers],[Effective H (in)]])-1,FALSE)</f>
        <v>#N/A</v>
      </c>
      <c r="BY96" s="369" t="e">
        <f>VLOOKUP(BR96,Reinforcements[],COLUMN(Reinforcements[[#Headers],[Gross Area (in2)]])-1,FALSE)</f>
        <v>#N/A</v>
      </c>
      <c r="BZ96" s="380" t="s">
        <v>335</v>
      </c>
      <c r="CA96" s="369" t="e">
        <f>VLOOKUP(BR96,Reinforcements[],COLUMN(Reinforcements[[#Headers],[Pole Face to Centroid (in)]])-1,FALSE)</f>
        <v>#N/A</v>
      </c>
      <c r="CB96" s="369" t="e">
        <f>VLOOKUP(BR96,Reinforcements[],COLUMN(Reinforcements[[#Headers],[Ix]])-1,FALSE)</f>
        <v>#N/A</v>
      </c>
      <c r="CC96" s="369" t="e">
        <f>VLOOKUP(BR96,Reinforcements[],COLUMN(Reinforcements[[#Headers],[Iy]])-1,FALSE)</f>
        <v>#N/A</v>
      </c>
      <c r="CD96" s="369" t="e">
        <f>VLOOKUP(BR96,Reinforcements[],COLUMN(Reinforcements[[#Headers],[Lu (in)]])-1,FALSE)</f>
        <v>#N/A</v>
      </c>
      <c r="CE96" s="380" t="s">
        <v>335</v>
      </c>
      <c r="CF96" s="380" t="s">
        <v>335</v>
      </c>
      <c r="CG96" s="369" t="e">
        <f>VLOOKUP(VLOOKUP(BR96,Reinforcements[],COLUMN(Reinforcements[[#Headers],[Material]])-1,FALSE),Materials[],2,FALSE)</f>
        <v>#N/A</v>
      </c>
      <c r="CH96" s="369" t="e">
        <f>VLOOKUP(VLOOKUP(BR96,Reinforcements[],COLUMN(Reinforcements[[#Headers],[Material]])-1,FALSE),Materials[],3,FALSE)</f>
        <v>#N/A</v>
      </c>
      <c r="CI96" s="380" t="e">
        <f>VLOOKUP(BR96,Reinforcements[],COLUMN(Reinforcements[[#Headers],[Tension Only?]])-1,FALSE)</f>
        <v>#N/A</v>
      </c>
      <c r="CJ96" s="449" t="str">
        <f>IF(BQ96="","",AND(INDEX(Results!$G$5:$G$104,MATCH(VLOOKUP($BQ96,Input!$B$21:$J$50,2,FALSE)-0.001,Results!$G$5:$G$104,-1))=$D$4))</f>
        <v/>
      </c>
      <c r="CK96" s="449" t="str">
        <f>IF(BQ96="","",AND(INDEX('Macro References'!$BB$2:$BB$101,MATCH(VLOOKUP($BQ96,Input!$B$21:$J$50,6,FALSE)-0.001,'Macro References'!$BB$2:$BB$101,1))=$D$4))</f>
        <v/>
      </c>
      <c r="CL96" s="449" t="e">
        <f>IF(CJ96,VLOOKUP(BR96,Reinforcements[],COLUMN(Reinforcements[[#Headers],[Bottom End Connection Type]])-1,FALSE),IF(CK96,VLOOKUP(BR96,Reinforcements[],COLUMN(Reinforcements[[#Headers],[Top End Connection Type]])-1,FALSE),""))</f>
        <v>#VALUE!</v>
      </c>
      <c r="CM96" s="449" t="e">
        <f>IF(ISBLANK(VLOOKUP(BR96,Reinforcements[],COLUMN(Reinforcements[[#Headers],[Bottom Transverse Weld Length]])-1,FALSE)),"",(VLOOKUP(BR96,Reinforcements[],COLUMN(Reinforcements[[#Headers],[Bottom Transverse Weld Length]])-1,FALSE)))</f>
        <v>#N/A</v>
      </c>
      <c r="CN96" s="449" t="e">
        <f>IF(ISBLANK(VLOOKUP(BR96,Reinforcements[],COLUMN(Reinforcements[[#Headers],[Bottom Transverse (Horizontal) Weld]])-1,FALSE)),"",(VLOOKUP(BR96,Reinforcements[],COLUMN(Reinforcements[[#Headers],[Bottom Transverse (Horizontal) Weld]])-1,FALSE)))</f>
        <v>#N/A</v>
      </c>
      <c r="CO96" s="449" t="e">
        <f>IF(ISBLANK(VLOOKUP(BR96,Reinforcements[],COLUMN(Reinforcements[[#Headers],[Bottom Longitudinal Weld Length]])-1,FALSE)),"",(VLOOKUP(BR96,Reinforcements[],COLUMN(Reinforcements[[#Headers],[Bottom Longitudinal Weld Length]])-1,FALSE)))</f>
        <v>#N/A</v>
      </c>
      <c r="CP96" s="449" t="str">
        <f>IFERROR(VLOOKUP(BR96,Reinforcements[],COLUMN(Reinforcements[[#Headers],[Bottom Connected to Flange/Base Plate?]])-1,FALSE),"")</f>
        <v/>
      </c>
      <c r="CQ96" s="369" t="e">
        <f>IF(Rev="F",VLOOKUP(BR96,Reinforcements[],COLUMN(Reinforcements[[#Headers],[Rev. F Bottom Transverse Weld Strength]])-1,FALSE),VLOOKUP(BR96,Reinforcements[],COLUMN(Reinforcements[[#Headers],[Rev. G Bottom Transverse Weld Strength]])-1,FALSE))</f>
        <v>#N/A</v>
      </c>
      <c r="CR96" s="369" t="e">
        <f>IF(CP96="Yes",IF(CN96="Fillet",VLOOKUP(BR96,Reinforcements[],COLUMN(Reinforcements[[#Headers],[Bottom Transverse Weld Fillet Size (in)]])-1,FALSE)*CM96*MIN(IF(Rev="F",0.4,φ_shear_yield*0.6)*CG96,IF(Rev="F",0.3,φ_shear_rupture*0.6)*CH96),VLOOKUP(BR96,Reinforcements[],COLUMN(Reinforcements[[#Headers],[Bottom Transverse Weld Groove Depth (in)]])-1,FALSE)/COS(RADIANS(VLOOKUP(BR96,Reinforcements[],COLUMN(Reinforcements[[#Headers],[Bottom Transverse Weld Groove Angle (degrees)]])-1,FALSE)))*CM96*IF(Rev="F",0.6,φ_t_y)*CG96),VLOOKUP(BR96,Reinforcements[],COLUMN(Reinforcements[[#Headers],[Bottom Transverse Weld Fillet Size (in)]])-1,FALSE)*CM96*IF(Rev="F",0.6,φ_t_y)*CG96)</f>
        <v>#N/A</v>
      </c>
      <c r="CS96" s="369" t="str">
        <f>IF(CP96&lt;&gt;"Yes","",(VLOOKUP(BR96,Reinforcements[],COLUMN(Reinforcements[[#Headers],[Bottom Transverse Weld Groove Depth (in)]])-1,FALSE)+VLOOKUP(BR96,Reinforcements[],COLUMN(Reinforcements[[#Headers],[Bottom Transverse Weld Fillet Size (in)]])-1,FALSE))*CM96*IF(Rev="F",0.6,φ_t_y)*$D$14)</f>
        <v/>
      </c>
      <c r="CT96" s="369" t="e">
        <f>IF(CP96="Yes","",VLOOKUP(BR96,Reinforcements[],COLUMN(Reinforcements[[#Headers],[Bottom Transverse Weld Fillet Size (in)]])-1,FALSE)*CM96*MIN(IF(Rev="F",0.4,φ_shear_yield*0.6)*$D$6,IF(Rev="F",0.3,φ_shear_rupture*0.6)*$D$7))</f>
        <v>#N/A</v>
      </c>
      <c r="CU96" s="369" t="e">
        <f>IF(Rev="F",VLOOKUP(BR96,Reinforcements[],COLUMN(Reinforcements[[#Headers],[Rev. F Bottom Longitudinal Weld Strength]])-1,FALSE),VLOOKUP(BR96,Reinforcements[],COLUMN(Reinforcements[[#Headers],[Rev. G Bottom Longitudinal Weld Strength]])-1,FALSE))</f>
        <v>#N/A</v>
      </c>
      <c r="CV96" s="369" t="e">
        <f>2*VLOOKUP(BR96,Reinforcements[],COLUMN(Reinforcements[[#Headers],[Bottom Longitudinal Weld Fillet Size (in)]])-1,FALSE)*CO96*MIN(IF(Rev="F",0.4,φ_shear_yield*0.6)*CG96,IF(Rev="F",0.3,φ_shear_rupture*0.6)*CH96)</f>
        <v>#N/A</v>
      </c>
      <c r="CW96" s="369" t="e">
        <f>2*VLOOKUP(BR96,Reinforcements[],COLUMN(Reinforcements[[#Headers],[Bottom Longitudinal Weld Fillet Size (in)]])-1,FALSE)*CO96*MIN(IF(Rev="F",0.4,φ_shear_yield*0.6)*$D$6,IF(Rev="F",0.3,φ_shear_rupture*0.6)*$D$7)</f>
        <v>#N/A</v>
      </c>
      <c r="CX96" s="451" t="e">
        <f>IF(ISBLANK(VLOOKUP(BR96,Reinforcements[],COLUMN(Reinforcements[[#Headers],[Top Transverse Weld Length]])-1,FALSE)),"",(VLOOKUP(BR96,Reinforcements[],COLUMN(Reinforcements[[#Headers],[Top Transverse Weld Length]])-1,FALSE)))</f>
        <v>#N/A</v>
      </c>
      <c r="CY96" s="451" t="e">
        <f>IF(ISBLANK(VLOOKUP(BR96,Reinforcements[],COLUMN(Reinforcements[[#Headers],[Top Transverse (Horizontal) Weld]])-1,FALSE)),"",(VLOOKUP(BR96,Reinforcements[],COLUMN(Reinforcements[[#Headers],[Top Transverse (Horizontal) Weld]])-1,FALSE)))</f>
        <v>#N/A</v>
      </c>
      <c r="CZ96" s="451" t="e">
        <f>IF(ISBLANK(VLOOKUP(BR96,Reinforcements[],COLUMN(Reinforcements[[#Headers],[Top Longitudinal Weld Length]])-1,FALSE)),"",(VLOOKUP(BR96,Reinforcements[],COLUMN(Reinforcements[[#Headers],[Top Longitudinal Weld Length]])-1,FALSE)))</f>
        <v>#N/A</v>
      </c>
      <c r="DA96" s="369" t="str">
        <f>IFERROR(VLOOKUP(BR96,Reinforcements[],COLUMN(Reinforcements[[#Headers],[Top Connected to Flange/Base Plate?]])-1,FALSE),"")</f>
        <v/>
      </c>
      <c r="DB96" s="369" t="e">
        <f>IF(Rev="F",VLOOKUP(BR96,Reinforcements[],COLUMN(Reinforcements[[#Headers],[Rev. F Top Transverse Weld Strength]])-1,FALSE),VLOOKUP(BR96,Reinforcements[],COLUMN(Reinforcements[[#Headers],[Rev. G Top Transverse Weld Strength]])-1,FALSE))</f>
        <v>#N/A</v>
      </c>
      <c r="DC96" s="369" t="e">
        <f>IF(DA96="Yes",IF(CY96="Fillet",VLOOKUP(BR96,Reinforcements[],COLUMN(Reinforcements[[#Headers],[Top Transverse Weld Fillet Size (in)]])-1,FALSE)*CX96*MIN(IF(Rev="F",0.4,φ_shear_yield*0.6)*CG96,IF(Rev="F",0.3,φ_shear_rupture*0.6)*CH96),VLOOKUP(BR96,Reinforcements[],COLUMN(Reinforcements[[#Headers],[Top Transverse Weld Groove Depth (in)]])-1,FALSE)/COS(RADIANS(VLOOKUP(BR96,Reinforcements[],COLUMN(Reinforcements[[#Headers],[Top Transverse Weld Groove Angle (degrees)]])-1,FALSE)))*CX96*IF(Rev="F",0.6,φ_t_y)*CG96),VLOOKUP(BR96,Reinforcements[],COLUMN(Reinforcements[[#Headers],[Top Transverse Weld Fillet Size (in)]])-1,FALSE)*CX96*IF(Rev="F",0.6,φ_t_y)*CG96)</f>
        <v>#N/A</v>
      </c>
      <c r="DD96" s="369" t="str">
        <f>IF(DA96&lt;&gt;"Yes","",(VLOOKUP(BR96,Reinforcements[],COLUMN(Reinforcements[[#Headers],[Top Transverse Weld Groove Depth (in)]])-1,FALSE)+VLOOKUP(BR96,Reinforcements[],COLUMN(Reinforcements[[#Headers],[Top Transverse Weld Fillet Size (in)]])-1,FALSE))*CX96*IF(Rev="F",0.6,φ_t_y)*$D$14)</f>
        <v/>
      </c>
      <c r="DE96" s="369" t="e">
        <f>IF(DA96="Yes","",VLOOKUP(BR96,Reinforcements[],COLUMN(Reinforcements[[#Headers],[Top Transverse Weld Fillet Size (in)]])-1,FALSE)*CX96*MIN(IF(Rev="F",0.4,φ_shear_yield*0.6)*$D$6,IF(Rev="F",0.3,φ_shear_rupture*0.6)*$D$7))</f>
        <v>#N/A</v>
      </c>
      <c r="DF96" s="369" t="e">
        <f>IF(Rev="F",VLOOKUP(BR96,Reinforcements[],COLUMN(Reinforcements[[#Headers],[Rev. F Top Longitudinal Weld Strength]])-1,FALSE),VLOOKUP(BR96,Reinforcements[],COLUMN(Reinforcements[[#Headers],[Rev. G Top Longitudinal Weld Strength]])-1,FALSE))</f>
        <v>#N/A</v>
      </c>
      <c r="DG96" s="369" t="e">
        <f>2*VLOOKUP(BR96,Reinforcements[],COLUMN(Reinforcements[[#Headers],[Top Longitudinal Weld Fillet Size (in)]])-1,FALSE)*CZ96*MIN(IF(Rev="F",0.4,φ_shear_yield*0.6)*CG96,IF(Rev="F",0.3,φ_shear_rupture*0.6)*CH96)</f>
        <v>#N/A</v>
      </c>
      <c r="DH96" s="369" t="e">
        <f>2*VLOOKUP(BR96,Reinforcements[],COLUMN(Reinforcements[[#Headers],[Top Longitudinal Weld Fillet Size (in)]])-1,FALSE)*CZ96*MIN(IF(Rev="F",0.4,φ_shear_yield*0.6)*$D$6,IF(Rev="F",0.3,φ_shear_rupture*0.6)*$D$7)</f>
        <v>#N/A</v>
      </c>
      <c r="DI96" s="66" t="e">
        <f>IF(BS96="channel",VLOOKUP(Calculations!BR96,Reinforcements[],COLUMN(Reinforcements[[#Headers],['[Channel']Web Thickness (in)]])-1,FALSE),"")</f>
        <v>#N/A</v>
      </c>
      <c r="DJ96" s="66" t="b">
        <f t="shared" si="126"/>
        <v>0</v>
      </c>
      <c r="DK96" s="66" t="e">
        <f>IF(BS96="channel",Calculations!BU96-DI96,"")</f>
        <v>#N/A</v>
      </c>
      <c r="DL96" s="66" t="e">
        <f>IF(BS96="channel",(Calculations!BY96-Calculations!BT96*DI96)/(2*DK96))</f>
        <v>#N/A</v>
      </c>
      <c r="DM96" s="66" t="e">
        <f>IF(BS96="channel",(Calculations!BT96*(DI96^2)/2+2*DK96*DL96*(DI96+DK96/2))/Calculations!BY96,"")</f>
        <v>#N/A</v>
      </c>
    </row>
    <row r="97" spans="1:115" ht="15" x14ac:dyDescent="0.25">
      <c r="C97" s="257"/>
      <c r="D97" s="257"/>
      <c r="E97" s="257"/>
      <c r="F97" s="257"/>
      <c r="G97" s="257"/>
      <c r="H97" s="257"/>
      <c r="I97" s="257"/>
      <c r="J97" s="257"/>
      <c r="K97" s="257"/>
      <c r="L97" s="257"/>
      <c r="M97" s="257"/>
      <c r="N97" s="257"/>
      <c r="O97" s="257"/>
      <c r="P97" s="257"/>
      <c r="Q97" s="257"/>
      <c r="R97" s="257"/>
      <c r="S97" s="257"/>
      <c r="T97" s="257"/>
      <c r="U97" s="257"/>
      <c r="V97" s="257"/>
      <c r="W97" s="257"/>
      <c r="X97" s="257"/>
      <c r="Y97" s="257"/>
      <c r="Z97" s="257"/>
      <c r="AA97" s="257"/>
      <c r="AB97" s="257"/>
      <c r="AC97" s="257"/>
      <c r="AD97" s="257"/>
      <c r="AE97" s="257"/>
      <c r="AF97" s="257"/>
      <c r="AG97" s="257"/>
      <c r="AH97" s="257"/>
      <c r="AI97" s="257"/>
      <c r="AJ97" s="257"/>
      <c r="AK97" s="257"/>
      <c r="AL97" s="257"/>
      <c r="AM97" s="257"/>
      <c r="AN97" s="257"/>
      <c r="AO97" s="257"/>
      <c r="AP97" s="257"/>
      <c r="AQ97" s="257"/>
      <c r="AR97" s="257"/>
      <c r="AS97" s="257"/>
      <c r="AT97" s="30"/>
      <c r="AU97" s="257"/>
      <c r="AV97" s="257"/>
      <c r="AW97" s="257"/>
      <c r="AX97" s="257"/>
      <c r="AY97" s="257"/>
      <c r="AZ97" s="257"/>
      <c r="BA97" s="257"/>
      <c r="BB97" s="257"/>
      <c r="BC97" s="283" t="e">
        <f>$D$28*$BX97*(MAX(AVERAGE(O97:P97),AVERAGE(Q97:R97))/COS(RADIANS(E97)))/2*(2*(-$BX97/2*SIN(RADIANS(E97))*COS(RADIANS(E97)))+IF(OR(D97&gt;540,AND(D97&gt;180,D97&lt;=360)),-1,1)*$BX97*SIN(RADIANS(E97))+IF(OR(D97&gt;540,AND(D97&gt;180,D97&lt;=360)),-1,1)*(MAX(AVERAGE(O97:P97),AVERAGE(Q97:R97))/COS(RADIANS(E97)))*COS(RADIANS(E97)))</f>
        <v>#N/A</v>
      </c>
      <c r="BD97" s="283" t="e">
        <f>-$D$28*$BX97*(MIN(AVERAGE(O97:P97),AVERAGE(Q97:R97))/COS(RADIANS(E97)))/2*(2*(-$BX97/2*SIN(RADIANS(E97))*COS(RADIANS(E97)))-IF(OR(D97&gt;540,AND(D97&gt;180,D97&lt;=360)),-1,1)*$BX97*SIN(RADIANS(E97))+IF(OR(D97&gt;540,AND(D97&gt;180,D97&lt;=360)),-1,1)*(MIN(AVERAGE(O97:P97),AVERAGE(Q97:R97))/COS(RADIANS(E97)))*COS(RADIANS(E97)))</f>
        <v>#N/A</v>
      </c>
      <c r="BE97" s="257"/>
      <c r="BF97" s="257"/>
      <c r="BG97" s="257"/>
      <c r="BH97" s="257"/>
      <c r="BI97" s="257"/>
      <c r="BJ97" s="257"/>
      <c r="BK97" s="257"/>
      <c r="BL97" s="30"/>
      <c r="BM97" s="257"/>
      <c r="BN97" s="257"/>
      <c r="BO97" s="257"/>
      <c r="BP97" s="30"/>
      <c r="BQ97" s="30"/>
      <c r="BR97" s="30"/>
      <c r="BS97" s="30"/>
      <c r="BT97" s="30"/>
      <c r="BU97" s="30"/>
      <c r="BV97" s="30"/>
      <c r="BW97" s="30"/>
      <c r="BX97" s="30"/>
      <c r="BY97" s="30"/>
      <c r="BZ97" s="30"/>
      <c r="CA97" s="30"/>
      <c r="CB97" s="30"/>
      <c r="CC97" s="30"/>
      <c r="CD97" s="30"/>
      <c r="CE97" s="30"/>
      <c r="CF97" s="30"/>
      <c r="CG97" s="30"/>
      <c r="CH97" s="30"/>
      <c r="CI97" s="30"/>
      <c r="CT97" s="66"/>
      <c r="CU97" s="66"/>
      <c r="CV97" s="66"/>
      <c r="CW97" s="66"/>
    </row>
    <row r="98" spans="1:115" ht="18" x14ac:dyDescent="0.35">
      <c r="A98" s="212" t="s">
        <v>379</v>
      </c>
      <c r="B98" s="49">
        <f>SUM(B60:B77,B79:B96)</f>
        <v>0</v>
      </c>
      <c r="C98" s="66"/>
      <c r="D98" s="30"/>
      <c r="E98" s="30"/>
      <c r="F98" s="99" t="s">
        <v>301</v>
      </c>
      <c r="G98" s="257"/>
      <c r="H98" s="257"/>
      <c r="I98" s="257"/>
      <c r="J98" s="257"/>
      <c r="K98" s="257"/>
      <c r="L98" s="257"/>
      <c r="M98" s="257"/>
      <c r="N98" s="257"/>
      <c r="O98" s="257"/>
      <c r="P98" s="257"/>
      <c r="Q98" s="257"/>
      <c r="R98" s="257"/>
      <c r="S98" s="257"/>
      <c r="T98" s="257"/>
      <c r="U98" s="257"/>
      <c r="V98" s="257"/>
      <c r="W98" s="257"/>
      <c r="X98" s="257"/>
      <c r="Y98" s="257"/>
      <c r="Z98" s="257"/>
      <c r="AA98" s="257"/>
      <c r="AB98" s="257"/>
      <c r="AC98" s="257"/>
      <c r="AD98" s="257"/>
      <c r="AE98" s="257"/>
      <c r="AF98" s="257"/>
      <c r="AG98" s="257"/>
      <c r="AH98" s="257"/>
      <c r="AI98" s="257"/>
      <c r="AJ98" s="257"/>
      <c r="AK98" s="257"/>
      <c r="AL98" s="257"/>
      <c r="AM98" s="257"/>
      <c r="AN98" s="257"/>
      <c r="AO98" s="257"/>
      <c r="AP98" s="257"/>
      <c r="AQ98" s="257"/>
      <c r="AR98" s="257"/>
      <c r="AS98" s="257"/>
      <c r="AT98" s="30"/>
      <c r="AU98" s="257"/>
      <c r="AV98" s="257"/>
      <c r="AW98" s="257"/>
      <c r="AX98" s="257"/>
      <c r="AY98" s="279"/>
      <c r="AZ98" s="279"/>
      <c r="BA98" s="279"/>
      <c r="BB98" s="257"/>
      <c r="BC98" s="283" t="str">
        <f>IFERROR(IF(AND(MAX(AVERAGE(O98:P98),AVERAGE(Q98:R98))&gt;0,MIN(AVERAGE(O98:P98),AVERAGE(Q98:R98))&lt;=$AR98),IF(AND(MIN(AVERAGE(O98:P98),AVERAGE(Q98:R98))&gt;=0,MAX(AVERAGE(O98:P98),AVERAGE(Q98:R98))&lt;=$AR98),"case1",IF(MIN(AVERAGE(O98:P98),AVERAGE(Q98:R98))&gt;=0,"case4",IF(MAX(AVERAGE(O98:P98),AVERAGE(Q98:R98))&gt;$AR98,"case3","case2"))),""),"")</f>
        <v/>
      </c>
      <c r="BD98" s="283" t="str">
        <f>IFERROR(IF(CI98="Yes","",IF(AND(MIN(AVERAGE(O98:P98),AVERAGE(Q98:R98))&lt;0,MAX(AVERAGE(O98:P98),AVERAGE(Q98:R98))&gt;=-$AR98),IF(AND(MAX(AVERAGE(O98:P98),AVERAGE(Q98:R98))&lt;=0,MIN(AVERAGE(O98:P98),AVERAGE(Q98:R98))&gt;-$AR98),"case1",IF(MAX(AVERAGE(O98:P98),AVERAGE(Q98:R98))&lt;=0,"case4",IF(MIN(AVERAGE(O98:P98),AVERAGE(Q98:R98))&lt;-$AR98,"case3","case2"))),"")),"")</f>
        <v/>
      </c>
      <c r="BE98" s="257"/>
      <c r="BF98" s="257"/>
      <c r="BG98" s="257"/>
      <c r="BH98" s="257"/>
      <c r="BI98" s="257"/>
      <c r="BJ98" s="257"/>
      <c r="BK98" s="279"/>
      <c r="BL98" s="30"/>
      <c r="BM98" s="257"/>
      <c r="BN98" s="257"/>
      <c r="BO98" s="257"/>
      <c r="BP98" s="30"/>
      <c r="BQ98" s="30"/>
      <c r="BR98" s="30"/>
      <c r="BS98" s="30"/>
      <c r="BT98" s="30"/>
      <c r="BU98" s="30"/>
      <c r="BV98" s="30"/>
      <c r="BW98" s="30"/>
      <c r="BX98" s="30"/>
      <c r="BY98" s="30"/>
      <c r="BZ98" s="30"/>
      <c r="CA98" s="30"/>
      <c r="CB98" s="30"/>
      <c r="CC98" s="30"/>
      <c r="CD98" s="30"/>
      <c r="CE98" s="30"/>
      <c r="CF98" s="30"/>
      <c r="CG98" s="30"/>
      <c r="CH98" s="30"/>
      <c r="CI98" s="30"/>
      <c r="CT98" s="66"/>
      <c r="CU98" s="66"/>
      <c r="CV98" s="66"/>
      <c r="CW98" s="66"/>
      <c r="DJ98" s="277" t="b">
        <f>IFERROR(AND(MATCH(TRUE,DJ60:DJ96,0)&gt;0),FALSE)</f>
        <v>0</v>
      </c>
      <c r="DK98" s="34" t="s">
        <v>581</v>
      </c>
    </row>
    <row r="99" spans="1:115" ht="15" x14ac:dyDescent="0.25">
      <c r="A99" s="66"/>
      <c r="B99" s="30" t="s">
        <v>380</v>
      </c>
      <c r="C99" s="30"/>
      <c r="D99" s="30"/>
      <c r="E99" s="30"/>
      <c r="F99" s="98" t="e">
        <f>SUM(F40:F57,F60:F77,F79:F96)</f>
        <v>#N/A</v>
      </c>
      <c r="G99" s="257"/>
      <c r="H99" s="257"/>
      <c r="I99" s="257"/>
      <c r="J99" s="257"/>
      <c r="K99" s="257"/>
      <c r="L99" s="257"/>
      <c r="M99" s="257"/>
      <c r="N99" s="257"/>
      <c r="O99" s="257"/>
      <c r="P99" s="257"/>
      <c r="Q99" s="257"/>
      <c r="R99" s="257"/>
      <c r="S99" s="257"/>
      <c r="T99" s="257"/>
      <c r="U99" s="257"/>
      <c r="V99" s="257"/>
      <c r="W99" s="257"/>
      <c r="X99" s="257"/>
      <c r="Y99" s="257"/>
      <c r="Z99" s="257"/>
      <c r="AA99" s="257"/>
      <c r="AB99" s="257"/>
      <c r="AC99" s="257"/>
      <c r="AD99" s="257"/>
      <c r="AE99" s="257"/>
      <c r="AF99" s="257"/>
      <c r="AG99" s="257"/>
      <c r="AH99" s="257"/>
      <c r="AI99" s="257"/>
      <c r="AJ99" s="257"/>
      <c r="AK99" s="257"/>
      <c r="AL99" s="257"/>
      <c r="AM99" s="257"/>
      <c r="AN99" s="257"/>
      <c r="AO99" s="257"/>
      <c r="AP99" s="257"/>
      <c r="AQ99" s="257"/>
      <c r="AR99" s="257"/>
      <c r="AS99" s="257"/>
      <c r="AT99" s="30"/>
      <c r="AU99" s="257"/>
      <c r="AV99" s="257"/>
      <c r="AW99" s="257"/>
      <c r="AX99" s="257"/>
      <c r="AY99" s="257"/>
      <c r="AZ99" s="257"/>
      <c r="BA99" s="257"/>
      <c r="BB99" s="428" t="s">
        <v>127</v>
      </c>
      <c r="BC99" s="428" t="e">
        <f>$D$28*$BX97*$BW97/2*(2*AV97+IF(OR(D97&gt;540,AND(D97&gt;180,D97&lt;=360)),-1,1)*$BX97*SIN(RADIANS(E97))+IF(OR(D97&gt;540,AND(D97&gt;180,D97&lt;=360)),-1,1)*$BW97*COS(RADIANS(E97)))</f>
        <v>#N/A</v>
      </c>
      <c r="BD99" s="34" t="e">
        <f>$D$28*$BX97*$BW97/2*(2*AV97+IF(OR(D97&gt;540,AND(D97&gt;180,D97&lt;=360)),-1,1)*$BX97*SIN(RADIANS(E97))+IF(OR(D97&gt;540,AND(D97&gt;180,D97&lt;=360)),-1,1)*$BW97*COS(RADIANS(E97)))</f>
        <v>#N/A</v>
      </c>
      <c r="BE99" s="257"/>
      <c r="BF99" s="257"/>
      <c r="BG99" s="257"/>
      <c r="BH99" s="257"/>
      <c r="BI99" s="257"/>
      <c r="BJ99" s="257"/>
      <c r="BK99" s="257"/>
      <c r="BL99" s="30"/>
      <c r="BM99" s="257"/>
      <c r="BN99" s="257"/>
      <c r="BO99" s="257"/>
      <c r="BP99" s="30"/>
      <c r="BQ99" s="30"/>
      <c r="BR99" s="30"/>
      <c r="BS99" s="30"/>
      <c r="BT99" s="30"/>
      <c r="BU99" s="30"/>
      <c r="BV99" s="30"/>
      <c r="BW99" s="30"/>
      <c r="BX99" s="30"/>
      <c r="BY99" s="30"/>
      <c r="BZ99" s="30"/>
      <c r="CA99" s="30"/>
      <c r="CB99" s="30"/>
      <c r="CC99" s="30"/>
      <c r="CD99" s="30"/>
      <c r="CE99" s="30"/>
      <c r="CF99" s="30"/>
      <c r="CG99" s="30"/>
      <c r="CH99" s="30"/>
      <c r="CI99" s="30"/>
      <c r="CT99" s="66"/>
      <c r="CU99" s="66"/>
      <c r="CV99" s="66"/>
      <c r="CW99" s="66"/>
    </row>
    <row r="100" spans="1:115" ht="15" x14ac:dyDescent="0.25">
      <c r="C100" s="257"/>
      <c r="D100" s="257"/>
      <c r="E100" s="257"/>
      <c r="F100" s="257"/>
      <c r="G100" s="257"/>
      <c r="H100" s="257"/>
      <c r="I100" s="257"/>
      <c r="J100" s="257"/>
      <c r="K100" s="257"/>
      <c r="L100" s="257"/>
      <c r="M100" s="257"/>
      <c r="N100" s="257"/>
      <c r="O100" s="257"/>
      <c r="P100" s="257"/>
      <c r="Q100" s="257"/>
      <c r="R100" s="257"/>
      <c r="S100" s="257"/>
      <c r="T100" s="257"/>
      <c r="U100" s="257"/>
      <c r="V100" s="257"/>
      <c r="W100" s="257"/>
      <c r="X100" s="257"/>
      <c r="Y100" s="257"/>
      <c r="Z100" s="257"/>
      <c r="AA100" s="257"/>
      <c r="AB100" s="257"/>
      <c r="AC100" s="257"/>
      <c r="AD100" s="257"/>
      <c r="AE100" s="257"/>
      <c r="AF100" s="257"/>
      <c r="AG100" s="257"/>
      <c r="AH100" s="257"/>
      <c r="AI100" s="257"/>
      <c r="AJ100" s="257"/>
      <c r="AK100" s="257"/>
      <c r="AL100" s="257"/>
      <c r="AM100" s="257"/>
      <c r="AN100" s="257"/>
      <c r="AO100" s="257"/>
      <c r="AP100" s="257"/>
      <c r="AQ100" s="257"/>
      <c r="AR100" s="257"/>
      <c r="AS100" s="257"/>
      <c r="AT100" s="30"/>
      <c r="AU100" s="279"/>
      <c r="AV100" s="279"/>
      <c r="AW100" s="257"/>
      <c r="AX100" s="257"/>
      <c r="AY100" s="257"/>
      <c r="AZ100" s="257"/>
      <c r="BA100" s="257"/>
      <c r="BB100" s="428" t="s">
        <v>128</v>
      </c>
      <c r="BC100" s="428" t="e">
        <f>$D$28*$BX97*(MAX(AVERAGE(O97:P97),AVERAGE(Q97:R97))/COS(RADIANS(E97)))/2*(2*(-$BX97/2*SIN(RADIANS(E97))*COS(RADIANS(E97)))+IF(OR(D97&gt;540,AND(D97&gt;180,D97&lt;=360)),-1,1)*$BX97*SIN(RADIANS(E97))+IF(OR(D97&gt;540,AND(D97&gt;180,D97&lt;=360)),-1,1)*(MAX(AVERAGE(O97:P97),AVERAGE(Q97:R97))/COS(RADIANS(E97)))*COS(RADIANS(E97)))</f>
        <v>#N/A</v>
      </c>
      <c r="BD100" s="34" t="e">
        <f>-$D$28*$BX97*(MIN(AVERAGE(O97:P97),AVERAGE(Q97:R97))/COS(RADIANS(E97)))/2*(2*(-$BX97/2*SIN(RADIANS(E97))*COS(RADIANS(E97)))-IF(OR(D97&gt;540,AND(D97&gt;180,D97&lt;=360)),-1,1)*$BX97*SIN(RADIANS(E97))+IF(OR(D97&gt;540,AND(D97&gt;180,D97&lt;=360)),-1,1)*(MIN(AVERAGE(O97:P97),AVERAGE(Q97:R97))/COS(RADIANS(E97)))*COS(RADIANS(E97)))</f>
        <v>#N/A</v>
      </c>
      <c r="BE100" s="257"/>
      <c r="BF100" s="257"/>
      <c r="BG100" s="257"/>
      <c r="BH100" s="257"/>
      <c r="BI100" s="257"/>
      <c r="BJ100" s="257"/>
      <c r="BK100" s="257"/>
      <c r="BL100" s="30"/>
      <c r="BM100" s="257"/>
      <c r="BN100" s="257"/>
      <c r="BO100" s="257"/>
      <c r="BP100" s="30"/>
      <c r="BQ100" s="30"/>
      <c r="BR100" s="30"/>
      <c r="BS100" s="30"/>
      <c r="BT100" s="30"/>
      <c r="BU100" s="30"/>
      <c r="BV100" s="30"/>
      <c r="BW100" s="30"/>
      <c r="BX100" s="30"/>
      <c r="BY100" s="30"/>
      <c r="BZ100" s="30"/>
      <c r="CA100" s="30"/>
      <c r="CB100" s="30"/>
      <c r="CC100" s="30"/>
      <c r="CD100" s="30"/>
      <c r="CE100" s="30"/>
      <c r="CF100" s="30"/>
      <c r="CG100" s="30"/>
      <c r="CH100" s="30"/>
      <c r="CI100" s="30"/>
      <c r="CT100" s="66"/>
      <c r="CU100" s="66"/>
      <c r="CV100" s="66"/>
      <c r="CW100" s="66"/>
    </row>
    <row r="101" spans="1:115" ht="15" x14ac:dyDescent="0.25">
      <c r="C101" s="257"/>
      <c r="D101" s="257"/>
      <c r="E101" s="257"/>
      <c r="F101" s="257"/>
      <c r="G101" s="257"/>
      <c r="H101" s="257"/>
      <c r="I101" s="257"/>
      <c r="J101" s="257"/>
      <c r="K101" s="257"/>
      <c r="L101" s="257"/>
      <c r="M101" s="257"/>
      <c r="N101" s="257"/>
      <c r="O101" s="257"/>
      <c r="P101" s="257"/>
      <c r="Q101" s="257"/>
      <c r="R101" s="257"/>
      <c r="S101" s="257"/>
      <c r="T101" s="257"/>
      <c r="U101" s="257"/>
      <c r="V101" s="257"/>
      <c r="W101" s="257"/>
      <c r="X101" s="257"/>
      <c r="Y101" s="257"/>
      <c r="Z101" s="257"/>
      <c r="AA101" s="257"/>
      <c r="AB101" s="257"/>
      <c r="AC101" s="257"/>
      <c r="AD101" s="257"/>
      <c r="AE101" s="257"/>
      <c r="AF101" s="257"/>
      <c r="AG101" s="257"/>
      <c r="AH101" s="257"/>
      <c r="AI101" s="257"/>
      <c r="AJ101" s="257"/>
      <c r="AK101" s="257"/>
      <c r="AL101" s="257"/>
      <c r="AM101" s="257"/>
      <c r="AN101" s="257"/>
      <c r="AO101" s="257"/>
      <c r="AP101" s="257"/>
      <c r="AQ101" s="257"/>
      <c r="AR101" s="257"/>
      <c r="AS101" s="257"/>
      <c r="AT101" s="30"/>
      <c r="AU101" s="279"/>
      <c r="AV101" s="279"/>
      <c r="AW101" s="257"/>
      <c r="AX101" s="257"/>
      <c r="AY101" s="257"/>
      <c r="AZ101" s="257"/>
      <c r="BA101" s="257"/>
      <c r="BB101" s="428" t="s">
        <v>129</v>
      </c>
      <c r="BC101" s="428" t="e">
        <f>$D$28*$BX97*($AR97/COS(RADIANS(E97)))/2*(2*(-$BX97/2*SIN(RADIANS(E97))*COS(RADIANS(E97)))+IF(OR(D97&gt;540,AND(D97&gt;180,D97&lt;=360)),-1,1)*$BX97*SIN(RADIANS(E97))+IF(OR(D97&gt;540,AND(D97&gt;180,D97&lt;=360)),-1,1)*($AR97/COS(RADIANS(E97)))*COS(RADIANS(E97)))</f>
        <v>#N/A</v>
      </c>
      <c r="BD101" s="34" t="e">
        <f>$D$28*$BX97*($AR97/COS(RADIANS(E97)))/2*(2*(-$BX97/2*SIN(RADIANS(E97))*COS(RADIANS(E97)))+IF(OR(D97&gt;540,AND(D97&gt;180,D97&lt;=360)),-1,1)*$BX97*SIN(RADIANS(E97))+IF(OR(D97&gt;540,AND(D97&gt;180,D97&lt;=360)),-1,1)*($AR97/COS(RADIANS(E97)))*COS(RADIANS(E97)))</f>
        <v>#N/A</v>
      </c>
      <c r="BE101" s="257"/>
      <c r="BF101" s="257"/>
      <c r="BG101" s="257"/>
      <c r="BH101" s="257"/>
      <c r="BI101" s="257"/>
      <c r="BJ101" s="257"/>
      <c r="BK101" s="257"/>
      <c r="BL101" s="30"/>
      <c r="BM101" s="257"/>
      <c r="BN101" s="257"/>
      <c r="BO101" s="257"/>
      <c r="BP101" s="30"/>
      <c r="BQ101" s="30"/>
      <c r="BR101" s="30"/>
      <c r="BS101" s="30"/>
      <c r="BT101" s="30"/>
      <c r="BU101" s="30"/>
      <c r="BV101" s="30"/>
      <c r="BW101" s="30"/>
      <c r="BX101" s="30"/>
      <c r="BY101" s="30"/>
      <c r="BZ101" s="30"/>
      <c r="CA101" s="30"/>
      <c r="CB101" s="30"/>
      <c r="CC101" s="30"/>
      <c r="CD101" s="30"/>
      <c r="CE101" s="30"/>
      <c r="CF101" s="30"/>
      <c r="CG101" s="30"/>
      <c r="CH101" s="30"/>
      <c r="CI101" s="30"/>
      <c r="CT101" s="66"/>
      <c r="CU101" s="66"/>
      <c r="CV101" s="66"/>
      <c r="CW101" s="66"/>
    </row>
    <row r="102" spans="1:115" ht="15" x14ac:dyDescent="0.25">
      <c r="C102" s="257"/>
      <c r="D102" s="257"/>
      <c r="E102" s="257"/>
      <c r="F102" s="257"/>
      <c r="I102" s="257"/>
      <c r="J102" s="257"/>
      <c r="K102" s="257"/>
      <c r="L102" s="257"/>
      <c r="M102" s="257"/>
      <c r="N102" s="257"/>
      <c r="O102" s="257"/>
      <c r="P102" s="257"/>
      <c r="Q102" s="257"/>
      <c r="R102" s="257"/>
      <c r="S102" s="257"/>
      <c r="T102" s="257"/>
      <c r="U102" s="257"/>
      <c r="V102" s="257"/>
      <c r="W102" s="257"/>
      <c r="X102" s="257"/>
      <c r="Y102" s="257"/>
      <c r="Z102" s="257"/>
      <c r="AA102" s="257"/>
      <c r="AB102" s="257"/>
      <c r="AC102" s="257"/>
      <c r="AD102" s="257"/>
      <c r="AE102" s="257"/>
      <c r="AF102" s="257"/>
      <c r="AG102" s="257"/>
      <c r="AH102" s="257"/>
      <c r="AI102" s="257"/>
      <c r="AJ102" s="257"/>
      <c r="AK102" s="257"/>
      <c r="AL102" s="257"/>
      <c r="AM102" s="257"/>
      <c r="AN102" s="257"/>
      <c r="AO102" s="257"/>
      <c r="AP102" s="257"/>
      <c r="AQ102" s="257"/>
      <c r="AR102" s="257"/>
      <c r="AS102" s="257"/>
      <c r="AT102" s="30"/>
      <c r="AU102" s="279"/>
      <c r="AV102" s="279"/>
      <c r="AW102" s="257"/>
      <c r="AX102" s="257"/>
      <c r="AY102" s="257"/>
      <c r="AZ102" s="257"/>
      <c r="BA102" s="257"/>
      <c r="BB102" s="428" t="s">
        <v>130</v>
      </c>
      <c r="BC102" s="428" t="e">
        <f>$D$28*$BX97*($AR97-MIN(AVERAGE(O97:P97),AVERAGE(Q97:R97)))/COS(RADIANS(E97))/2*(2*(MIN(AVERAGE(O97:P97),AVERAGE(Q97:R97)))+IF(OR(D97&gt;540,AND(D97&gt;180,D97&lt;=360)),-1,1)*$BX97*SIN(RADIANS(E97))+IF(OR(D97&gt;540,AND(D97&gt;180,D97&lt;=360)),-1,1)*($AR97-MIN(AVERAGE(O97:P97),AVERAGE(Q97:R97)))/COS(RADIANS(E97))*COS(RADIANS(E97)))</f>
        <v>#N/A</v>
      </c>
      <c r="BD102" s="34" t="e">
        <f>$D$28*$BX97*(MAX(AVERAGE(O97:P97),AVERAGE(Q97:R97))+$AR97)/COS(RADIANS(E97))/2*(2*(MAX(AVERAGE(O97:P97),AVERAGE(Q97:R97)))+IF(OR(D97&gt;540,AND(D97&gt;180,D97&lt;=360)),-1,1)*$BX97*SIN(RADIANS(E97))+IF(OR(D97&gt;540,AND(D97&gt;180,D97&lt;=360)),-1,1)*(MAX(AVERAGE(O97:P97),AVERAGE(Q97:R97))+$AR97)/COS(RADIANS(E97))*COS(RADIANS(E97)))</f>
        <v>#N/A</v>
      </c>
      <c r="BE102" s="257"/>
      <c r="BF102" s="257"/>
      <c r="BG102" s="257"/>
      <c r="BH102" s="257"/>
      <c r="BI102" s="257"/>
      <c r="BJ102" s="257"/>
      <c r="BK102" s="257"/>
      <c r="BL102" s="30"/>
      <c r="BM102" s="257"/>
      <c r="BN102" s="257"/>
      <c r="BO102" s="257"/>
      <c r="BP102" s="30"/>
      <c r="BQ102" s="30"/>
      <c r="BR102" s="30"/>
      <c r="BS102" s="30"/>
      <c r="BT102" s="30"/>
      <c r="BU102" s="30"/>
      <c r="BV102" s="30"/>
      <c r="BW102" s="30"/>
      <c r="BX102" s="30"/>
      <c r="BY102" s="30"/>
      <c r="BZ102" s="30"/>
      <c r="CA102" s="30"/>
      <c r="CB102" s="30"/>
      <c r="CC102" s="30"/>
      <c r="CD102" s="30"/>
      <c r="CE102" s="30"/>
      <c r="CF102" s="30"/>
      <c r="CG102" s="30"/>
      <c r="CH102" s="30"/>
      <c r="CI102" s="30"/>
      <c r="CT102" s="66"/>
      <c r="CU102" s="66"/>
      <c r="CV102" s="66"/>
      <c r="CW102" s="66"/>
    </row>
    <row r="103" spans="1:115" ht="18.75" x14ac:dyDescent="0.3">
      <c r="C103" s="257"/>
      <c r="D103" s="257"/>
      <c r="E103" s="257"/>
      <c r="F103" s="257"/>
      <c r="H103" s="270"/>
      <c r="I103" s="257"/>
      <c r="J103" s="257"/>
      <c r="K103" s="257"/>
      <c r="L103" s="257"/>
      <c r="M103" s="257"/>
      <c r="N103" s="257"/>
      <c r="O103" s="257"/>
      <c r="P103" s="257"/>
      <c r="Q103" s="257"/>
      <c r="R103" s="257"/>
      <c r="S103" s="257"/>
      <c r="T103" s="257"/>
      <c r="U103" s="257"/>
      <c r="V103" s="257"/>
      <c r="W103" s="257"/>
      <c r="X103" s="257"/>
      <c r="Y103" s="257"/>
      <c r="Z103" s="257"/>
      <c r="AA103" s="257"/>
      <c r="AB103" s="257"/>
      <c r="AC103" s="257"/>
      <c r="AD103" s="257"/>
      <c r="AE103" s="257"/>
      <c r="AF103" s="257"/>
      <c r="AG103" s="257"/>
      <c r="AH103" s="257"/>
      <c r="AI103" s="257"/>
      <c r="AJ103" s="257"/>
      <c r="AK103" s="257"/>
      <c r="AL103" s="257"/>
      <c r="AM103" s="257"/>
      <c r="AN103" s="257"/>
      <c r="AO103" s="257"/>
      <c r="AP103" s="257"/>
      <c r="AQ103" s="257"/>
      <c r="AR103" s="257"/>
      <c r="AS103" s="257"/>
      <c r="AT103" s="30"/>
      <c r="AU103" s="279"/>
      <c r="AV103" s="279"/>
      <c r="AW103" s="257"/>
      <c r="AX103" s="257"/>
      <c r="AY103" s="257"/>
      <c r="AZ103" s="257"/>
      <c r="BA103" s="257"/>
      <c r="BB103" s="428"/>
      <c r="BC103" s="428"/>
      <c r="BD103" s="34"/>
      <c r="BE103" s="257"/>
      <c r="BF103" s="257"/>
      <c r="BG103" s="257"/>
      <c r="BH103" s="257"/>
      <c r="BI103" s="257"/>
      <c r="BJ103" s="257"/>
      <c r="BK103" s="257"/>
      <c r="BL103" s="30"/>
      <c r="BM103" s="257"/>
      <c r="BN103" s="257"/>
      <c r="BO103" s="257"/>
      <c r="BP103" s="30"/>
      <c r="BQ103" s="30"/>
      <c r="BR103" s="30"/>
      <c r="BS103" s="30"/>
      <c r="BT103" s="30"/>
      <c r="BU103" s="30"/>
      <c r="BV103" s="30"/>
      <c r="BW103" s="30"/>
      <c r="BX103" s="30"/>
      <c r="BY103" s="30"/>
      <c r="BZ103" s="30"/>
      <c r="CA103" s="30"/>
      <c r="CB103" s="30"/>
      <c r="CC103" s="30"/>
      <c r="CD103" s="30"/>
      <c r="CE103" s="30"/>
      <c r="CF103" s="30"/>
      <c r="CG103" s="30"/>
      <c r="CH103" s="30"/>
      <c r="CI103" s="30"/>
      <c r="CT103" s="66"/>
      <c r="CU103" s="66"/>
      <c r="CV103" s="66"/>
      <c r="CW103" s="66"/>
    </row>
    <row r="104" spans="1:115" ht="15" x14ac:dyDescent="0.25">
      <c r="C104" s="257"/>
      <c r="D104" s="257"/>
      <c r="E104" s="257"/>
      <c r="F104" s="257"/>
      <c r="G104" s="257"/>
      <c r="H104" s="279"/>
      <c r="I104" s="257"/>
      <c r="J104" s="257"/>
      <c r="K104" s="257"/>
      <c r="L104" s="257"/>
      <c r="M104" s="257"/>
      <c r="N104" s="257"/>
      <c r="O104" s="257"/>
      <c r="P104" s="257"/>
      <c r="Q104" s="257"/>
      <c r="R104" s="257"/>
      <c r="S104" s="257"/>
      <c r="T104" s="257"/>
      <c r="U104" s="257"/>
      <c r="V104" s="257"/>
      <c r="W104" s="257"/>
      <c r="X104" s="257"/>
      <c r="Y104" s="257"/>
      <c r="Z104" s="257"/>
      <c r="AA104" s="257"/>
      <c r="AB104" s="257"/>
      <c r="AC104" s="257"/>
      <c r="AD104" s="257"/>
      <c r="AE104" s="257"/>
      <c r="AF104" s="257"/>
      <c r="AG104" s="257"/>
      <c r="AH104" s="257"/>
      <c r="AI104" s="257"/>
      <c r="AJ104" s="257"/>
      <c r="AK104" s="257"/>
      <c r="AL104" s="257"/>
      <c r="AM104" s="257"/>
      <c r="AN104" s="257"/>
      <c r="AO104" s="257"/>
      <c r="AP104" s="257"/>
      <c r="AQ104" s="257"/>
      <c r="AR104" s="257"/>
      <c r="AS104" s="257"/>
      <c r="AT104" s="30"/>
      <c r="AU104" s="279"/>
      <c r="AV104" s="279"/>
      <c r="AW104" s="257"/>
      <c r="AX104" s="257"/>
      <c r="AY104" s="257"/>
      <c r="AZ104" s="257"/>
      <c r="BA104" s="257"/>
      <c r="BB104" s="431">
        <v>1</v>
      </c>
      <c r="BC104" s="428" t="str">
        <f>IFERROR(AND(OR(BC60="",ROUND(BC40,5)=ROUND(BC60,5)),OR(BC79="",BC60="",ROUND(BC60,5)=ROUND(BC79,5))),"")</f>
        <v/>
      </c>
      <c r="BD104" s="428" t="str">
        <f>IFERROR(AND(OR(BD60="",ROUND(BD40,5)=ROUND(BD60,5)),OR(BD79="",BD60="",ROUND(BD60,5)=ROUND(BD79,5))),"")</f>
        <v/>
      </c>
      <c r="BE104" s="257"/>
      <c r="BF104" s="257"/>
      <c r="BG104" s="279"/>
      <c r="BH104" s="279"/>
      <c r="BI104" s="257"/>
      <c r="BJ104" s="257"/>
      <c r="BK104" s="257"/>
      <c r="BL104" s="30"/>
      <c r="BM104" s="257"/>
      <c r="BN104" s="257"/>
      <c r="BO104" s="257"/>
      <c r="BP104" s="30"/>
      <c r="BQ104" s="30"/>
      <c r="BR104" s="30"/>
      <c r="BS104" s="30"/>
      <c r="BT104" s="30"/>
      <c r="BU104" s="30"/>
      <c r="BV104" s="30"/>
      <c r="BW104" s="30"/>
      <c r="BX104" s="30"/>
      <c r="BY104" s="30"/>
      <c r="BZ104" s="30"/>
      <c r="CA104" s="30"/>
      <c r="CB104" s="30"/>
      <c r="CC104" s="30"/>
      <c r="CD104" s="30"/>
      <c r="CE104" s="30"/>
      <c r="CF104" s="30"/>
      <c r="CG104" s="30"/>
      <c r="CH104" s="30"/>
      <c r="CI104" s="30"/>
      <c r="CT104" s="66"/>
      <c r="CU104" s="66"/>
      <c r="CV104" s="66"/>
      <c r="CW104" s="66"/>
    </row>
    <row r="105" spans="1:115" ht="15" x14ac:dyDescent="0.25">
      <c r="C105" s="257"/>
      <c r="D105" s="257"/>
      <c r="E105" s="257"/>
      <c r="F105" s="257"/>
      <c r="G105" s="257"/>
      <c r="H105" s="257"/>
      <c r="I105" s="257"/>
      <c r="J105" s="257"/>
      <c r="K105" s="257"/>
      <c r="L105" s="257"/>
      <c r="M105" s="257"/>
      <c r="N105" s="257"/>
      <c r="O105" s="257"/>
      <c r="P105" s="257"/>
      <c r="Q105" s="257"/>
      <c r="R105" s="257"/>
      <c r="S105" s="257"/>
      <c r="T105" s="257"/>
      <c r="U105" s="257"/>
      <c r="V105" s="257"/>
      <c r="W105" s="257"/>
      <c r="X105" s="257"/>
      <c r="Y105" s="257"/>
      <c r="Z105" s="257"/>
      <c r="AA105" s="257"/>
      <c r="AB105" s="257"/>
      <c r="AC105" s="257"/>
      <c r="AD105" s="257"/>
      <c r="AE105" s="257"/>
      <c r="AF105" s="257"/>
      <c r="AG105" s="257"/>
      <c r="AH105" s="257"/>
      <c r="AI105" s="257"/>
      <c r="AJ105" s="257"/>
      <c r="AK105" s="257"/>
      <c r="AL105" s="257"/>
      <c r="AM105" s="257"/>
      <c r="AN105" s="257"/>
      <c r="AO105" s="257"/>
      <c r="AP105" s="257"/>
      <c r="AQ105" s="257"/>
      <c r="AR105" s="257"/>
      <c r="AS105" s="257"/>
      <c r="AT105" s="30"/>
      <c r="AU105" s="279"/>
      <c r="AV105" s="279"/>
      <c r="AW105" s="257"/>
      <c r="AX105" s="257"/>
      <c r="AY105" s="257"/>
      <c r="AZ105" s="257"/>
      <c r="BA105" s="257"/>
      <c r="BB105" s="431">
        <v>2</v>
      </c>
      <c r="BC105" s="428" t="str">
        <f t="shared" ref="BC105:BD121" si="127">IFERROR(AND(OR(BC61="",ROUND(BC41,5)=ROUND(BC61,5)),OR(BC80="",BC61="",ROUND(BC61,5)=ROUND(BC80,5))),"")</f>
        <v/>
      </c>
      <c r="BD105" s="428" t="str">
        <f t="shared" si="127"/>
        <v/>
      </c>
      <c r="BE105" s="257"/>
      <c r="BF105" s="257"/>
      <c r="BG105" s="279"/>
      <c r="BH105" s="279"/>
      <c r="BI105" s="257"/>
      <c r="BJ105" s="257"/>
      <c r="BK105" s="257"/>
      <c r="BL105" s="30"/>
      <c r="BM105" s="257"/>
      <c r="BN105" s="257"/>
      <c r="BO105" s="257"/>
      <c r="BP105" s="30"/>
      <c r="BQ105" s="30"/>
      <c r="BR105" s="30"/>
      <c r="BS105" s="30"/>
      <c r="BT105" s="30"/>
      <c r="BU105" s="30"/>
      <c r="BV105" s="30"/>
      <c r="BW105" s="30"/>
      <c r="BX105" s="30"/>
      <c r="BY105" s="30"/>
      <c r="BZ105" s="30"/>
      <c r="CA105" s="30"/>
      <c r="CB105" s="30"/>
      <c r="CC105" s="30"/>
      <c r="CD105" s="30"/>
      <c r="CE105" s="30"/>
      <c r="CF105" s="30"/>
      <c r="CG105" s="30"/>
      <c r="CH105" s="30"/>
      <c r="CI105" s="30"/>
      <c r="CT105" s="66"/>
      <c r="CU105" s="66"/>
      <c r="CV105" s="66"/>
      <c r="CW105" s="66"/>
    </row>
    <row r="106" spans="1:115" ht="15" x14ac:dyDescent="0.25">
      <c r="C106" s="257"/>
      <c r="D106" s="257"/>
      <c r="E106" s="257"/>
      <c r="F106" s="257"/>
      <c r="G106" s="257"/>
      <c r="H106" s="257"/>
      <c r="I106" s="257"/>
      <c r="J106" s="257"/>
      <c r="K106" s="257"/>
      <c r="L106" s="257"/>
      <c r="M106" s="257"/>
      <c r="N106" s="257"/>
      <c r="O106" s="257"/>
      <c r="P106" s="257"/>
      <c r="Q106" s="257"/>
      <c r="R106" s="257"/>
      <c r="S106" s="257"/>
      <c r="T106" s="257"/>
      <c r="U106" s="257"/>
      <c r="V106" s="257"/>
      <c r="W106" s="257"/>
      <c r="X106" s="257"/>
      <c r="Y106" s="257"/>
      <c r="Z106" s="257"/>
      <c r="AA106" s="257"/>
      <c r="AB106" s="257"/>
      <c r="AC106" s="257"/>
      <c r="AD106" s="257"/>
      <c r="AE106" s="257"/>
      <c r="AF106" s="257"/>
      <c r="AG106" s="257"/>
      <c r="AH106" s="257"/>
      <c r="AI106" s="257"/>
      <c r="AJ106" s="257"/>
      <c r="AK106" s="257"/>
      <c r="AL106" s="257"/>
      <c r="AM106" s="257"/>
      <c r="AN106" s="257"/>
      <c r="AO106" s="257"/>
      <c r="AP106" s="257"/>
      <c r="AQ106" s="257"/>
      <c r="AR106" s="257"/>
      <c r="AS106" s="257"/>
      <c r="AT106" s="30"/>
      <c r="AU106" s="279"/>
      <c r="AV106" s="279"/>
      <c r="AW106" s="257"/>
      <c r="AX106" s="257"/>
      <c r="AY106" s="257"/>
      <c r="AZ106" s="257"/>
      <c r="BA106" s="257"/>
      <c r="BB106" s="431">
        <v>3</v>
      </c>
      <c r="BC106" s="428" t="str">
        <f t="shared" si="127"/>
        <v/>
      </c>
      <c r="BD106" s="428" t="str">
        <f t="shared" si="127"/>
        <v/>
      </c>
      <c r="BE106" s="257"/>
      <c r="BF106" s="257"/>
      <c r="BG106" s="279"/>
      <c r="BH106" s="279"/>
      <c r="BI106" s="257"/>
      <c r="BJ106" s="257"/>
      <c r="BK106" s="257"/>
      <c r="BL106" s="30"/>
      <c r="BM106" s="257"/>
      <c r="BN106" s="257"/>
      <c r="BO106" s="257"/>
      <c r="BP106" s="30"/>
      <c r="BQ106" s="30"/>
      <c r="BR106" s="30"/>
      <c r="BS106" s="30"/>
      <c r="BT106" s="30"/>
      <c r="BU106" s="30"/>
      <c r="BV106" s="30"/>
      <c r="BW106" s="30"/>
      <c r="BX106" s="30"/>
      <c r="BY106" s="30"/>
      <c r="BZ106" s="30"/>
      <c r="CA106" s="30"/>
      <c r="CB106" s="30"/>
      <c r="CC106" s="30"/>
      <c r="CD106" s="30"/>
      <c r="CE106" s="30"/>
      <c r="CF106" s="30"/>
      <c r="CG106" s="30"/>
      <c r="CH106" s="30"/>
      <c r="CI106" s="30"/>
      <c r="CT106" s="66"/>
      <c r="CU106" s="66"/>
      <c r="CV106" s="66"/>
      <c r="CW106" s="66"/>
    </row>
    <row r="107" spans="1:115" ht="15" x14ac:dyDescent="0.25">
      <c r="C107" s="257"/>
      <c r="D107" s="257"/>
      <c r="E107" s="257"/>
      <c r="F107" s="257"/>
      <c r="G107" s="257"/>
      <c r="H107" s="257"/>
      <c r="I107" s="257"/>
      <c r="J107" s="853" t="s">
        <v>229</v>
      </c>
      <c r="K107" s="853"/>
      <c r="L107" s="853"/>
      <c r="M107" s="853"/>
      <c r="N107" s="853"/>
      <c r="O107" s="853"/>
      <c r="P107" s="853"/>
      <c r="Q107" s="853"/>
      <c r="R107" s="853"/>
      <c r="S107" s="853"/>
      <c r="T107" s="853"/>
      <c r="U107" s="853"/>
      <c r="V107" s="853"/>
      <c r="W107" s="257"/>
      <c r="X107" s="257"/>
      <c r="Y107" s="257"/>
      <c r="Z107" s="257"/>
      <c r="AA107" s="257"/>
      <c r="AB107" s="257"/>
      <c r="AC107" s="257"/>
      <c r="AD107" s="257"/>
      <c r="AE107" s="257"/>
      <c r="AF107" s="257"/>
      <c r="AG107" s="257"/>
      <c r="AH107" s="257"/>
      <c r="AI107" s="257"/>
      <c r="AJ107" s="257"/>
      <c r="AK107" s="257"/>
      <c r="AL107" s="257"/>
      <c r="AM107" s="257"/>
      <c r="AN107" s="257"/>
      <c r="AO107" s="257"/>
      <c r="AP107" s="257"/>
      <c r="AQ107" s="257"/>
      <c r="AR107" s="257"/>
      <c r="AS107" s="257"/>
      <c r="AT107" s="30"/>
      <c r="AU107" s="279"/>
      <c r="AV107" s="279"/>
      <c r="AW107" s="257"/>
      <c r="AX107" s="257"/>
      <c r="AY107" s="257"/>
      <c r="AZ107" s="257"/>
      <c r="BA107" s="257"/>
      <c r="BB107" s="431">
        <v>4</v>
      </c>
      <c r="BC107" s="428" t="str">
        <f t="shared" si="127"/>
        <v/>
      </c>
      <c r="BD107" s="428" t="str">
        <f t="shared" si="127"/>
        <v/>
      </c>
      <c r="BE107" s="257"/>
      <c r="BF107" s="257"/>
      <c r="BG107" s="279"/>
      <c r="BH107" s="279"/>
      <c r="BI107" s="257"/>
      <c r="BJ107" s="257"/>
      <c r="BK107" s="257"/>
      <c r="BL107" s="30"/>
      <c r="BM107" s="257"/>
      <c r="BN107" s="257"/>
      <c r="BO107" s="257"/>
      <c r="BP107" s="30"/>
      <c r="BQ107" s="30"/>
      <c r="BR107" s="30"/>
      <c r="BS107" s="30"/>
      <c r="BT107" s="30"/>
      <c r="BU107" s="30"/>
      <c r="BV107" s="30"/>
      <c r="BW107" s="30"/>
      <c r="BX107" s="30"/>
      <c r="BY107" s="30"/>
      <c r="BZ107" s="30"/>
      <c r="CA107" s="30"/>
      <c r="CB107" s="30"/>
      <c r="CC107" s="30"/>
      <c r="CD107" s="30"/>
      <c r="CE107" s="30"/>
      <c r="CF107" s="30"/>
      <c r="CG107" s="30"/>
      <c r="CH107" s="30"/>
      <c r="CI107" s="30"/>
      <c r="CT107" s="66"/>
      <c r="CU107" s="66"/>
      <c r="CV107" s="66"/>
      <c r="CW107" s="66"/>
    </row>
    <row r="108" spans="1:115" ht="15" x14ac:dyDescent="0.25">
      <c r="C108" s="257"/>
      <c r="D108" s="257"/>
      <c r="E108" s="257"/>
      <c r="F108" s="257"/>
      <c r="G108" s="100" t="s">
        <v>230</v>
      </c>
      <c r="H108" s="100" t="s">
        <v>374</v>
      </c>
      <c r="I108" s="257"/>
      <c r="J108" s="853"/>
      <c r="K108" s="853"/>
      <c r="L108" s="853"/>
      <c r="M108" s="853"/>
      <c r="N108" s="853"/>
      <c r="O108" s="853"/>
      <c r="P108" s="853"/>
      <c r="Q108" s="853"/>
      <c r="R108" s="853"/>
      <c r="S108" s="853"/>
      <c r="T108" s="853"/>
      <c r="U108" s="853"/>
      <c r="V108" s="853"/>
      <c r="W108" s="257"/>
      <c r="X108" s="257"/>
      <c r="Y108" s="257"/>
      <c r="Z108" s="257"/>
      <c r="AA108" s="257"/>
      <c r="AB108" s="257"/>
      <c r="AC108" s="257"/>
      <c r="AD108" s="257"/>
      <c r="AE108" s="257"/>
      <c r="AF108" s="257"/>
      <c r="AG108" s="257"/>
      <c r="AH108" s="257"/>
      <c r="AI108" s="257"/>
      <c r="AJ108" s="257"/>
      <c r="AK108" s="257"/>
      <c r="AL108" s="257"/>
      <c r="AM108" s="257"/>
      <c r="AN108" s="257"/>
      <c r="AO108" s="257"/>
      <c r="AP108" s="257"/>
      <c r="AQ108" s="257"/>
      <c r="AR108" s="257"/>
      <c r="AS108" s="257"/>
      <c r="AT108" s="30"/>
      <c r="AU108" s="279"/>
      <c r="AV108" s="279"/>
      <c r="AW108" s="257"/>
      <c r="AX108" s="257"/>
      <c r="AY108" s="257"/>
      <c r="AZ108" s="257"/>
      <c r="BA108" s="257"/>
      <c r="BB108" s="431">
        <v>5</v>
      </c>
      <c r="BC108" s="428" t="str">
        <f t="shared" si="127"/>
        <v/>
      </c>
      <c r="BD108" s="428" t="str">
        <f t="shared" si="127"/>
        <v/>
      </c>
      <c r="BE108" s="257"/>
      <c r="BF108" s="257"/>
      <c r="BG108" s="279"/>
      <c r="BH108" s="279"/>
      <c r="BI108" s="257"/>
      <c r="BJ108" s="257"/>
      <c r="BK108" s="257"/>
      <c r="BL108" s="30"/>
      <c r="BM108" s="257"/>
      <c r="BN108" s="257"/>
      <c r="BO108" s="257"/>
      <c r="BP108" s="30"/>
      <c r="BQ108" s="30"/>
      <c r="BR108" s="30"/>
      <c r="BS108" s="30"/>
      <c r="BT108" s="30"/>
      <c r="BU108" s="30"/>
      <c r="BV108" s="30"/>
      <c r="BW108" s="30"/>
      <c r="BX108" s="30"/>
      <c r="BY108" s="30"/>
      <c r="BZ108" s="30"/>
      <c r="CA108" s="30"/>
      <c r="CB108" s="30"/>
      <c r="CC108" s="30"/>
      <c r="CD108" s="30"/>
      <c r="CE108" s="30"/>
      <c r="CF108" s="30"/>
      <c r="CG108" s="30"/>
      <c r="CH108" s="30"/>
      <c r="CI108" s="30"/>
      <c r="CT108" s="66"/>
      <c r="CU108" s="66"/>
      <c r="CV108" s="66"/>
      <c r="CW108" s="66"/>
    </row>
    <row r="109" spans="1:115" ht="15" x14ac:dyDescent="0.25">
      <c r="G109" s="315">
        <v>0</v>
      </c>
      <c r="H109" s="605"/>
      <c r="AU109" s="271"/>
      <c r="AV109" s="271"/>
      <c r="AZ109" s="34" t="e">
        <f>AND(BC104:BD121,BG104:BH121)</f>
        <v>#VALUE!</v>
      </c>
      <c r="BA109" s="257"/>
      <c r="BB109" s="431">
        <v>6</v>
      </c>
      <c r="BC109" s="428" t="str">
        <f t="shared" si="127"/>
        <v/>
      </c>
      <c r="BD109" s="428" t="str">
        <f t="shared" si="127"/>
        <v/>
      </c>
      <c r="BE109" s="257"/>
      <c r="BF109" s="257"/>
      <c r="BG109" s="279"/>
      <c r="BH109" s="279"/>
      <c r="CT109" s="66"/>
      <c r="CU109" s="66"/>
      <c r="CV109" s="66"/>
      <c r="CW109" s="66"/>
    </row>
    <row r="110" spans="1:115" ht="15" x14ac:dyDescent="0.25">
      <c r="G110" s="315">
        <v>1</v>
      </c>
      <c r="H110" s="605"/>
      <c r="AU110" s="271"/>
      <c r="AV110" s="271"/>
      <c r="AZ110" s="257"/>
      <c r="BA110" s="257"/>
      <c r="BB110" s="431">
        <v>7</v>
      </c>
      <c r="BC110" s="428" t="str">
        <f t="shared" si="127"/>
        <v/>
      </c>
      <c r="BD110" s="428" t="str">
        <f t="shared" si="127"/>
        <v/>
      </c>
      <c r="BE110" s="257"/>
      <c r="BF110" s="257"/>
      <c r="BG110" s="279"/>
      <c r="BH110" s="279"/>
      <c r="CT110" s="66"/>
      <c r="CU110" s="66"/>
      <c r="CV110" s="66"/>
      <c r="CW110" s="66"/>
    </row>
    <row r="111" spans="1:115" ht="15" x14ac:dyDescent="0.25">
      <c r="G111" s="315">
        <v>2</v>
      </c>
      <c r="H111" s="605"/>
      <c r="AU111" s="271"/>
      <c r="AV111" s="271"/>
      <c r="AZ111" s="257"/>
      <c r="BA111" s="257"/>
      <c r="BB111" s="431">
        <v>8</v>
      </c>
      <c r="BC111" s="428" t="str">
        <f t="shared" si="127"/>
        <v/>
      </c>
      <c r="BD111" s="428" t="str">
        <f t="shared" si="127"/>
        <v/>
      </c>
      <c r="BE111" s="257"/>
      <c r="BF111" s="257"/>
      <c r="BG111" s="279"/>
      <c r="BH111" s="279"/>
      <c r="CT111" s="66"/>
      <c r="CU111" s="66"/>
      <c r="CV111" s="66"/>
      <c r="CW111" s="66"/>
    </row>
    <row r="112" spans="1:115" ht="15" x14ac:dyDescent="0.25">
      <c r="G112" s="315">
        <v>3</v>
      </c>
      <c r="H112" s="605"/>
      <c r="AU112" s="271"/>
      <c r="AV112" s="271"/>
      <c r="AZ112" s="257"/>
      <c r="BA112" s="257"/>
      <c r="BB112" s="431">
        <v>9</v>
      </c>
      <c r="BC112" s="428" t="str">
        <f t="shared" si="127"/>
        <v/>
      </c>
      <c r="BD112" s="428" t="str">
        <f t="shared" si="127"/>
        <v/>
      </c>
      <c r="BE112" s="257"/>
      <c r="BF112" s="257"/>
      <c r="BG112" s="279"/>
      <c r="BH112" s="279"/>
      <c r="CT112" s="66"/>
      <c r="CU112" s="66"/>
      <c r="CV112" s="66"/>
      <c r="CW112" s="66"/>
    </row>
    <row r="113" spans="7:101" ht="15" x14ac:dyDescent="0.25">
      <c r="G113" s="315">
        <v>4</v>
      </c>
      <c r="H113" s="605"/>
      <c r="AU113" s="271"/>
      <c r="AV113" s="271"/>
      <c r="AZ113" s="257"/>
      <c r="BA113" s="257"/>
      <c r="BB113" s="431">
        <v>10</v>
      </c>
      <c r="BC113" s="428" t="str">
        <f t="shared" si="127"/>
        <v/>
      </c>
      <c r="BD113" s="428" t="str">
        <f t="shared" si="127"/>
        <v/>
      </c>
      <c r="BE113" s="257"/>
      <c r="BF113" s="257"/>
      <c r="BG113" s="279"/>
      <c r="BH113" s="279"/>
      <c r="CT113" s="66"/>
      <c r="CU113" s="66"/>
      <c r="CV113" s="66"/>
      <c r="CW113" s="66"/>
    </row>
    <row r="114" spans="7:101" ht="15" x14ac:dyDescent="0.25">
      <c r="G114" s="315">
        <v>5</v>
      </c>
      <c r="H114" s="605"/>
      <c r="AU114" s="271"/>
      <c r="AV114" s="271"/>
      <c r="AZ114" s="257"/>
      <c r="BA114" s="257"/>
      <c r="BB114" s="431">
        <v>11</v>
      </c>
      <c r="BC114" s="428" t="str">
        <f t="shared" si="127"/>
        <v/>
      </c>
      <c r="BD114" s="428" t="str">
        <f t="shared" si="127"/>
        <v/>
      </c>
      <c r="BE114" s="257"/>
      <c r="BF114" s="257"/>
      <c r="BG114" s="279"/>
      <c r="BH114" s="279"/>
      <c r="CT114" s="66"/>
      <c r="CU114" s="66"/>
      <c r="CV114" s="66"/>
      <c r="CW114" s="66"/>
    </row>
    <row r="115" spans="7:101" ht="15" x14ac:dyDescent="0.25">
      <c r="G115" s="315">
        <v>6</v>
      </c>
      <c r="H115" s="605"/>
      <c r="AU115" s="271"/>
      <c r="AV115" s="271"/>
      <c r="AZ115" s="257"/>
      <c r="BA115" s="257"/>
      <c r="BB115" s="431">
        <v>12</v>
      </c>
      <c r="BC115" s="428" t="str">
        <f t="shared" si="127"/>
        <v/>
      </c>
      <c r="BD115" s="428" t="str">
        <f t="shared" si="127"/>
        <v/>
      </c>
      <c r="BE115" s="257"/>
      <c r="BF115" s="257"/>
      <c r="BG115" s="279"/>
      <c r="BH115" s="279"/>
      <c r="CT115" s="66"/>
      <c r="CU115" s="66"/>
      <c r="CV115" s="66"/>
      <c r="CW115" s="66"/>
    </row>
    <row r="116" spans="7:101" ht="15" x14ac:dyDescent="0.25">
      <c r="G116" s="315">
        <v>7</v>
      </c>
      <c r="H116" s="605"/>
      <c r="AU116" s="271"/>
      <c r="AV116" s="271"/>
      <c r="AZ116" s="257"/>
      <c r="BA116" s="257"/>
      <c r="BB116" s="431">
        <v>13</v>
      </c>
      <c r="BC116" s="428" t="str">
        <f t="shared" si="127"/>
        <v/>
      </c>
      <c r="BD116" s="428" t="str">
        <f t="shared" si="127"/>
        <v/>
      </c>
      <c r="BE116" s="257"/>
      <c r="BF116" s="257"/>
      <c r="BG116" s="279"/>
      <c r="BH116" s="279"/>
      <c r="CT116" s="66"/>
      <c r="CU116" s="66"/>
      <c r="CV116" s="66"/>
      <c r="CW116" s="66"/>
    </row>
    <row r="117" spans="7:101" ht="15" x14ac:dyDescent="0.25">
      <c r="G117" s="315">
        <v>8</v>
      </c>
      <c r="H117" s="605"/>
      <c r="AU117" s="271"/>
      <c r="AV117" s="271"/>
      <c r="AZ117" s="257"/>
      <c r="BA117" s="257"/>
      <c r="BB117" s="431">
        <v>14</v>
      </c>
      <c r="BC117" s="428" t="str">
        <f t="shared" si="127"/>
        <v/>
      </c>
      <c r="BD117" s="428" t="str">
        <f t="shared" si="127"/>
        <v/>
      </c>
      <c r="BE117" s="257"/>
      <c r="BF117" s="257"/>
      <c r="BG117" s="279"/>
      <c r="BH117" s="279"/>
      <c r="CT117" s="66"/>
      <c r="CU117" s="66"/>
      <c r="CV117" s="66"/>
      <c r="CW117" s="66"/>
    </row>
    <row r="118" spans="7:101" ht="15" x14ac:dyDescent="0.25">
      <c r="G118" s="315">
        <v>9</v>
      </c>
      <c r="H118" s="605"/>
      <c r="AU118" s="271"/>
      <c r="AV118" s="271"/>
      <c r="AZ118" s="257"/>
      <c r="BA118" s="257"/>
      <c r="BB118" s="431">
        <v>15</v>
      </c>
      <c r="BC118" s="428" t="str">
        <f t="shared" si="127"/>
        <v/>
      </c>
      <c r="BD118" s="428" t="str">
        <f t="shared" si="127"/>
        <v/>
      </c>
      <c r="BE118" s="257"/>
      <c r="BF118" s="257"/>
      <c r="BG118" s="279"/>
      <c r="BH118" s="279"/>
      <c r="CT118" s="66"/>
      <c r="CU118" s="66"/>
      <c r="CV118" s="66"/>
      <c r="CW118" s="66"/>
    </row>
    <row r="119" spans="7:101" ht="15" x14ac:dyDescent="0.25">
      <c r="G119" s="315">
        <v>10</v>
      </c>
      <c r="H119" s="605"/>
      <c r="AU119" s="271"/>
      <c r="AV119" s="271"/>
      <c r="AZ119" s="257"/>
      <c r="BA119" s="257"/>
      <c r="BB119" s="431">
        <v>16</v>
      </c>
      <c r="BC119" s="428" t="str">
        <f t="shared" si="127"/>
        <v/>
      </c>
      <c r="BD119" s="428" t="str">
        <f t="shared" si="127"/>
        <v/>
      </c>
      <c r="BE119" s="257"/>
      <c r="BF119" s="257"/>
      <c r="BG119" s="279"/>
      <c r="BH119" s="279"/>
      <c r="CT119" s="66"/>
      <c r="CU119" s="66"/>
      <c r="CV119" s="66"/>
      <c r="CW119" s="66"/>
    </row>
    <row r="120" spans="7:101" ht="15" x14ac:dyDescent="0.25">
      <c r="G120" s="315">
        <v>11</v>
      </c>
      <c r="H120" s="605"/>
      <c r="AU120" s="271"/>
      <c r="AV120" s="271"/>
      <c r="AZ120" s="257"/>
      <c r="BA120" s="257"/>
      <c r="BB120" s="431">
        <v>17</v>
      </c>
      <c r="BC120" s="428" t="str">
        <f t="shared" si="127"/>
        <v/>
      </c>
      <c r="BD120" s="428" t="str">
        <f t="shared" si="127"/>
        <v/>
      </c>
      <c r="BE120" s="257"/>
      <c r="BF120" s="257"/>
      <c r="BG120" s="279" t="str">
        <f>IFERROR(AND(OR(BG76="",ROUND(BG56,5)=ROUND(BG76,5)),OR(BG95="",BG76="",ROUND(BG76,5)=ROUND(BG95,5))),"")</f>
        <v/>
      </c>
      <c r="BH120" s="279" t="str">
        <f>IFERROR(AND(OR(BH76="",ROUND(BH56,5)=ROUND(BH76,5)),OR(BH95="",BH76="",ROUND(BH76,5)=ROUND(BH95,5))),"")</f>
        <v/>
      </c>
    </row>
    <row r="121" spans="7:101" ht="15" x14ac:dyDescent="0.25">
      <c r="G121" s="315">
        <v>12</v>
      </c>
      <c r="H121" s="605"/>
      <c r="AU121" s="271"/>
      <c r="AV121" s="271"/>
      <c r="AZ121" s="257"/>
      <c r="BA121" s="257"/>
      <c r="BB121" s="431">
        <v>18</v>
      </c>
      <c r="BC121" s="428" t="str">
        <f t="shared" si="127"/>
        <v/>
      </c>
      <c r="BD121" s="428" t="str">
        <f t="shared" si="127"/>
        <v/>
      </c>
      <c r="BE121" s="257"/>
      <c r="BF121" s="257"/>
      <c r="BG121" s="279" t="str">
        <f>IFERROR(AND(OR(BG77="",ROUND(BG57,5)=ROUND(BG77,5)),OR(BG96="",BG77="",ROUND(BG77,5)=ROUND(BG96,5))),"")</f>
        <v/>
      </c>
      <c r="BH121" s="279" t="str">
        <f>IFERROR(AND(OR(BH77="",ROUND(BH57,5)=ROUND(BH77,5)),OR(BH96="",BH77="",ROUND(BH77,5)=ROUND(BH96,5))),"")</f>
        <v/>
      </c>
    </row>
    <row r="122" spans="7:101" x14ac:dyDescent="0.2">
      <c r="G122" s="315">
        <v>13</v>
      </c>
      <c r="H122" s="605"/>
      <c r="AU122" s="271"/>
      <c r="AV122" s="271"/>
      <c r="BB122" s="432"/>
      <c r="BC122" s="432"/>
      <c r="BD122" s="62"/>
    </row>
    <row r="123" spans="7:101" x14ac:dyDescent="0.2">
      <c r="G123" s="315">
        <v>14</v>
      </c>
      <c r="H123" s="605"/>
      <c r="AU123" s="271"/>
      <c r="AV123" s="271"/>
      <c r="BB123" s="432"/>
      <c r="BC123" s="432"/>
      <c r="BD123" s="62"/>
    </row>
    <row r="124" spans="7:101" x14ac:dyDescent="0.2">
      <c r="G124" s="315">
        <v>15</v>
      </c>
      <c r="H124" s="605"/>
      <c r="AU124" s="271"/>
      <c r="AV124" s="271"/>
      <c r="BB124" s="432"/>
      <c r="BC124" s="432"/>
      <c r="BD124" s="62"/>
    </row>
    <row r="125" spans="7:101" x14ac:dyDescent="0.2">
      <c r="G125" s="315">
        <v>16</v>
      </c>
      <c r="H125" s="605"/>
      <c r="AU125" s="271"/>
      <c r="AV125" s="271"/>
      <c r="BB125" s="432"/>
      <c r="BC125" s="432"/>
      <c r="BD125" s="62"/>
    </row>
    <row r="126" spans="7:101" x14ac:dyDescent="0.2">
      <c r="G126" s="315">
        <v>17</v>
      </c>
      <c r="H126" s="605"/>
      <c r="AU126" s="271"/>
      <c r="AV126" s="271"/>
      <c r="BB126" s="432"/>
      <c r="BC126" s="432"/>
      <c r="BD126" s="62"/>
    </row>
    <row r="127" spans="7:101" x14ac:dyDescent="0.2">
      <c r="G127" s="315">
        <v>18</v>
      </c>
      <c r="H127" s="605"/>
      <c r="AU127" s="271"/>
      <c r="AV127" s="271"/>
      <c r="BB127" s="432"/>
      <c r="BC127" s="432"/>
      <c r="BD127" s="62"/>
    </row>
    <row r="128" spans="7:101" x14ac:dyDescent="0.2">
      <c r="G128" s="315">
        <v>19</v>
      </c>
      <c r="H128" s="605"/>
      <c r="AU128" s="271"/>
      <c r="AV128" s="271"/>
      <c r="BB128" s="432"/>
      <c r="BC128" s="432"/>
      <c r="BD128" s="62"/>
    </row>
    <row r="129" spans="7:56" x14ac:dyDescent="0.2">
      <c r="G129" s="315">
        <v>20</v>
      </c>
      <c r="H129" s="605"/>
      <c r="AU129" s="271"/>
      <c r="AV129" s="271"/>
      <c r="BB129" s="432"/>
      <c r="BC129" s="432"/>
      <c r="BD129" s="62"/>
    </row>
    <row r="130" spans="7:56" x14ac:dyDescent="0.2">
      <c r="G130" s="315">
        <v>21</v>
      </c>
      <c r="H130" s="605"/>
      <c r="AU130" s="271"/>
      <c r="AV130" s="271"/>
      <c r="BB130" s="432"/>
      <c r="BC130" s="432"/>
      <c r="BD130" s="62"/>
    </row>
    <row r="131" spans="7:56" x14ac:dyDescent="0.2">
      <c r="G131" s="315">
        <v>22</v>
      </c>
      <c r="H131" s="605"/>
      <c r="AU131" s="271"/>
      <c r="AV131" s="271"/>
      <c r="BB131" s="432"/>
      <c r="BC131" s="432"/>
      <c r="BD131" s="62"/>
    </row>
    <row r="132" spans="7:56" x14ac:dyDescent="0.2">
      <c r="G132" s="315">
        <v>23</v>
      </c>
      <c r="H132" s="605"/>
      <c r="AU132" s="271"/>
      <c r="AV132" s="271"/>
      <c r="BB132" s="271"/>
      <c r="BC132" s="271"/>
    </row>
    <row r="133" spans="7:56" x14ac:dyDescent="0.2">
      <c r="G133" s="315">
        <v>24</v>
      </c>
      <c r="H133" s="605"/>
      <c r="AU133" s="271"/>
      <c r="AV133" s="271"/>
      <c r="BB133" s="271"/>
      <c r="BC133" s="271"/>
    </row>
    <row r="134" spans="7:56" x14ac:dyDescent="0.2">
      <c r="G134" s="315">
        <v>25</v>
      </c>
      <c r="H134" s="605"/>
      <c r="AU134" s="271"/>
      <c r="AV134" s="271"/>
      <c r="BB134" s="271"/>
      <c r="BC134" s="271"/>
    </row>
    <row r="135" spans="7:56" x14ac:dyDescent="0.2">
      <c r="G135" s="315">
        <v>26</v>
      </c>
      <c r="H135" s="605"/>
      <c r="AU135" s="271"/>
      <c r="AV135" s="271"/>
      <c r="BB135" s="271"/>
      <c r="BC135" s="271"/>
    </row>
    <row r="136" spans="7:56" x14ac:dyDescent="0.2">
      <c r="G136" s="315">
        <v>27</v>
      </c>
      <c r="H136" s="605"/>
      <c r="AU136" s="271"/>
      <c r="AV136" s="271"/>
      <c r="BB136" s="271"/>
      <c r="BC136" s="271"/>
    </row>
    <row r="137" spans="7:56" x14ac:dyDescent="0.2">
      <c r="G137" s="315">
        <v>28</v>
      </c>
      <c r="H137" s="605"/>
      <c r="AU137" s="271"/>
      <c r="AV137" s="271"/>
      <c r="BB137" s="271"/>
      <c r="BC137" s="271"/>
    </row>
    <row r="138" spans="7:56" x14ac:dyDescent="0.2">
      <c r="G138" s="315">
        <v>29</v>
      </c>
      <c r="H138" s="605"/>
      <c r="AU138" s="271"/>
      <c r="AV138" s="271"/>
      <c r="BB138" s="271"/>
      <c r="BC138" s="271"/>
    </row>
    <row r="139" spans="7:56" x14ac:dyDescent="0.2">
      <c r="G139" s="315">
        <v>30</v>
      </c>
      <c r="H139" s="605"/>
      <c r="AU139" s="271"/>
      <c r="AV139" s="271"/>
      <c r="BB139" s="271"/>
      <c r="BC139" s="271"/>
    </row>
    <row r="140" spans="7:56" x14ac:dyDescent="0.2">
      <c r="G140" s="315">
        <v>31</v>
      </c>
      <c r="H140" s="605"/>
      <c r="AU140" s="271"/>
      <c r="AV140" s="271"/>
      <c r="BB140" s="271"/>
      <c r="BC140" s="271"/>
    </row>
    <row r="141" spans="7:56" x14ac:dyDescent="0.2">
      <c r="G141" s="315">
        <v>32</v>
      </c>
      <c r="H141" s="605"/>
      <c r="AU141" s="271"/>
      <c r="AV141" s="271"/>
      <c r="BB141" s="271"/>
      <c r="BC141" s="271"/>
    </row>
    <row r="142" spans="7:56" x14ac:dyDescent="0.2">
      <c r="G142" s="315">
        <v>33</v>
      </c>
      <c r="H142" s="605"/>
      <c r="AU142" s="271"/>
      <c r="AV142" s="271"/>
      <c r="BB142" s="271"/>
      <c r="BC142" s="271"/>
    </row>
    <row r="143" spans="7:56" x14ac:dyDescent="0.2">
      <c r="G143" s="315">
        <v>34</v>
      </c>
      <c r="H143" s="605"/>
      <c r="AU143" s="271"/>
      <c r="AV143" s="271"/>
      <c r="BB143" s="271"/>
      <c r="BC143" s="271"/>
    </row>
    <row r="144" spans="7:56" x14ac:dyDescent="0.2">
      <c r="G144" s="315">
        <v>35</v>
      </c>
      <c r="H144" s="605"/>
      <c r="AU144" s="271"/>
      <c r="AV144" s="271"/>
      <c r="BB144" s="271"/>
      <c r="BC144" s="271"/>
    </row>
    <row r="145" spans="7:55" x14ac:dyDescent="0.2">
      <c r="G145" s="315">
        <v>36</v>
      </c>
      <c r="H145" s="605"/>
      <c r="AU145" s="271"/>
      <c r="AV145" s="271"/>
      <c r="BB145" s="271"/>
      <c r="BC145" s="271"/>
    </row>
    <row r="146" spans="7:55" x14ac:dyDescent="0.2">
      <c r="G146" s="315">
        <v>37</v>
      </c>
      <c r="H146" s="605"/>
      <c r="AU146" s="271"/>
      <c r="AV146" s="271"/>
      <c r="BB146" s="271"/>
      <c r="BC146" s="271"/>
    </row>
    <row r="147" spans="7:55" x14ac:dyDescent="0.2">
      <c r="G147" s="315">
        <v>38</v>
      </c>
      <c r="H147" s="605"/>
      <c r="AU147" s="271"/>
      <c r="AV147" s="271"/>
      <c r="BB147" s="271"/>
      <c r="BC147" s="271"/>
    </row>
    <row r="148" spans="7:55" x14ac:dyDescent="0.2">
      <c r="G148" s="315">
        <v>39</v>
      </c>
      <c r="H148" s="605"/>
      <c r="AU148" s="271"/>
      <c r="AV148" s="271"/>
      <c r="BB148" s="271"/>
      <c r="BC148" s="271"/>
    </row>
    <row r="149" spans="7:55" x14ac:dyDescent="0.2">
      <c r="G149" s="315">
        <v>40</v>
      </c>
      <c r="H149" s="605"/>
      <c r="AU149" s="271"/>
      <c r="AV149" s="271"/>
      <c r="BB149" s="271"/>
      <c r="BC149" s="271"/>
    </row>
    <row r="150" spans="7:55" x14ac:dyDescent="0.2">
      <c r="G150" s="315">
        <v>41</v>
      </c>
      <c r="H150" s="605"/>
      <c r="AU150" s="271"/>
      <c r="AV150" s="271"/>
      <c r="BB150" s="271"/>
      <c r="BC150" s="271"/>
    </row>
    <row r="151" spans="7:55" x14ac:dyDescent="0.2">
      <c r="G151" s="315">
        <v>42</v>
      </c>
      <c r="H151" s="605"/>
      <c r="AU151" s="271"/>
      <c r="AV151" s="271"/>
      <c r="BB151" s="271"/>
      <c r="BC151" s="271"/>
    </row>
    <row r="152" spans="7:55" x14ac:dyDescent="0.2">
      <c r="G152" s="315">
        <v>43</v>
      </c>
      <c r="H152" s="605"/>
      <c r="AU152" s="271"/>
      <c r="AV152" s="271"/>
      <c r="BB152" s="271"/>
      <c r="BC152" s="271"/>
    </row>
    <row r="153" spans="7:55" x14ac:dyDescent="0.2">
      <c r="G153" s="315">
        <v>44</v>
      </c>
      <c r="H153" s="605"/>
      <c r="AU153" s="271"/>
      <c r="AV153" s="271"/>
      <c r="BB153" s="271"/>
      <c r="BC153" s="271"/>
    </row>
    <row r="154" spans="7:55" x14ac:dyDescent="0.2">
      <c r="G154" s="315">
        <v>45</v>
      </c>
      <c r="H154" s="605"/>
      <c r="AU154" s="271"/>
      <c r="AV154" s="271"/>
      <c r="BB154" s="271"/>
      <c r="BC154" s="271"/>
    </row>
    <row r="155" spans="7:55" x14ac:dyDescent="0.2">
      <c r="G155" s="315">
        <v>46</v>
      </c>
      <c r="H155" s="605"/>
      <c r="AU155" s="271"/>
      <c r="AV155" s="271"/>
      <c r="BB155" s="271"/>
      <c r="BC155" s="271"/>
    </row>
    <row r="156" spans="7:55" x14ac:dyDescent="0.2">
      <c r="G156" s="315">
        <v>47</v>
      </c>
      <c r="H156" s="605"/>
      <c r="AU156" s="271"/>
      <c r="AV156" s="271"/>
      <c r="BB156" s="271"/>
      <c r="BC156" s="271"/>
    </row>
    <row r="157" spans="7:55" x14ac:dyDescent="0.2">
      <c r="G157" s="315">
        <v>48</v>
      </c>
      <c r="H157" s="605"/>
      <c r="AU157" s="271"/>
      <c r="AV157" s="271"/>
      <c r="BB157" s="271"/>
      <c r="BC157" s="271"/>
    </row>
    <row r="158" spans="7:55" x14ac:dyDescent="0.2">
      <c r="G158" s="315">
        <v>49</v>
      </c>
      <c r="H158" s="605"/>
      <c r="AU158" s="271"/>
      <c r="AV158" s="271"/>
      <c r="BB158" s="271"/>
      <c r="BC158" s="271"/>
    </row>
    <row r="159" spans="7:55" x14ac:dyDescent="0.2">
      <c r="G159" s="315">
        <v>50</v>
      </c>
      <c r="H159" s="605"/>
      <c r="AU159" s="271"/>
      <c r="AV159" s="271"/>
      <c r="BB159" s="271"/>
      <c r="BC159" s="271"/>
    </row>
    <row r="160" spans="7:55" x14ac:dyDescent="0.2">
      <c r="G160" s="315">
        <v>51</v>
      </c>
      <c r="H160" s="605"/>
      <c r="AU160" s="271"/>
      <c r="AV160" s="271"/>
      <c r="BB160" s="271"/>
      <c r="BC160" s="271"/>
    </row>
    <row r="161" spans="7:55" x14ac:dyDescent="0.2">
      <c r="G161" s="315">
        <v>52</v>
      </c>
      <c r="H161" s="605"/>
      <c r="AU161" s="271"/>
      <c r="AV161" s="271"/>
      <c r="BB161" s="271"/>
      <c r="BC161" s="271"/>
    </row>
    <row r="162" spans="7:55" x14ac:dyDescent="0.2">
      <c r="G162" s="315">
        <v>53</v>
      </c>
      <c r="H162" s="605"/>
      <c r="AU162" s="271"/>
      <c r="AV162" s="271"/>
      <c r="BB162" s="271"/>
      <c r="BC162" s="271"/>
    </row>
    <row r="163" spans="7:55" x14ac:dyDescent="0.2">
      <c r="G163" s="315">
        <v>54</v>
      </c>
      <c r="H163" s="605"/>
      <c r="AU163" s="271"/>
      <c r="AV163" s="271"/>
      <c r="BB163" s="271"/>
      <c r="BC163" s="271"/>
    </row>
    <row r="164" spans="7:55" x14ac:dyDescent="0.2">
      <c r="G164" s="315">
        <v>55</v>
      </c>
      <c r="H164" s="605"/>
      <c r="AU164" s="271"/>
      <c r="AV164" s="271"/>
      <c r="BB164" s="271"/>
      <c r="BC164" s="271"/>
    </row>
    <row r="165" spans="7:55" x14ac:dyDescent="0.2">
      <c r="G165" s="315">
        <v>56</v>
      </c>
      <c r="H165" s="605"/>
      <c r="AU165" s="271"/>
      <c r="AV165" s="271"/>
      <c r="BB165" s="271"/>
      <c r="BC165" s="271"/>
    </row>
    <row r="166" spans="7:55" x14ac:dyDescent="0.2">
      <c r="G166" s="315">
        <v>57</v>
      </c>
      <c r="H166" s="605"/>
      <c r="AU166" s="271"/>
      <c r="AV166" s="271"/>
      <c r="BB166" s="271"/>
      <c r="BC166" s="271"/>
    </row>
    <row r="167" spans="7:55" x14ac:dyDescent="0.2">
      <c r="G167" s="315">
        <v>58</v>
      </c>
      <c r="H167" s="605"/>
      <c r="AU167" s="271"/>
      <c r="AV167" s="271"/>
      <c r="BB167" s="271"/>
      <c r="BC167" s="271"/>
    </row>
    <row r="168" spans="7:55" x14ac:dyDescent="0.2">
      <c r="G168" s="315">
        <v>59</v>
      </c>
      <c r="H168" s="605"/>
      <c r="AU168" s="271"/>
      <c r="AV168" s="271"/>
      <c r="BB168" s="271"/>
      <c r="BC168" s="271"/>
    </row>
    <row r="169" spans="7:55" x14ac:dyDescent="0.2">
      <c r="G169" s="315">
        <v>60</v>
      </c>
      <c r="H169" s="605"/>
      <c r="AU169" s="271"/>
      <c r="AV169" s="271"/>
      <c r="BB169" s="271"/>
      <c r="BC169" s="271"/>
    </row>
    <row r="170" spans="7:55" x14ac:dyDescent="0.2">
      <c r="G170" s="315">
        <v>61</v>
      </c>
      <c r="H170" s="605"/>
      <c r="AU170" s="271"/>
      <c r="AV170" s="271"/>
      <c r="BB170" s="271"/>
      <c r="BC170" s="271"/>
    </row>
    <row r="171" spans="7:55" x14ac:dyDescent="0.2">
      <c r="G171" s="315">
        <v>62</v>
      </c>
      <c r="H171" s="605"/>
      <c r="AU171" s="271"/>
      <c r="AV171" s="271"/>
      <c r="BB171" s="271"/>
    </row>
    <row r="172" spans="7:55" x14ac:dyDescent="0.2">
      <c r="G172" s="315">
        <v>63</v>
      </c>
      <c r="H172" s="605"/>
      <c r="AU172" s="271"/>
      <c r="AV172" s="271"/>
    </row>
    <row r="173" spans="7:55" x14ac:dyDescent="0.2">
      <c r="G173" s="315">
        <v>64</v>
      </c>
      <c r="H173" s="605"/>
      <c r="AU173" s="271"/>
      <c r="AV173" s="271"/>
    </row>
    <row r="174" spans="7:55" x14ac:dyDescent="0.2">
      <c r="G174" s="315">
        <v>65</v>
      </c>
      <c r="H174" s="605"/>
      <c r="AU174" s="271"/>
      <c r="AV174" s="271"/>
    </row>
    <row r="175" spans="7:55" x14ac:dyDescent="0.2">
      <c r="G175" s="315">
        <v>66</v>
      </c>
      <c r="H175" s="605"/>
      <c r="AU175" s="271"/>
      <c r="AV175" s="271"/>
    </row>
    <row r="176" spans="7:55" x14ac:dyDescent="0.2">
      <c r="G176" s="315">
        <v>67</v>
      </c>
      <c r="H176" s="605"/>
      <c r="AU176" s="271"/>
    </row>
    <row r="177" spans="7:47" x14ac:dyDescent="0.2">
      <c r="G177" s="315">
        <v>68</v>
      </c>
      <c r="H177" s="605"/>
      <c r="AU177" s="271"/>
    </row>
    <row r="178" spans="7:47" x14ac:dyDescent="0.2">
      <c r="G178" s="315">
        <v>69</v>
      </c>
      <c r="H178" s="605"/>
      <c r="AU178" s="271"/>
    </row>
    <row r="179" spans="7:47" x14ac:dyDescent="0.2">
      <c r="G179" s="315">
        <v>70</v>
      </c>
      <c r="H179" s="605"/>
    </row>
    <row r="180" spans="7:47" x14ac:dyDescent="0.2">
      <c r="G180" s="315">
        <v>71</v>
      </c>
      <c r="H180" s="605"/>
    </row>
    <row r="181" spans="7:47" x14ac:dyDescent="0.2">
      <c r="G181" s="315">
        <v>72</v>
      </c>
      <c r="H181" s="605"/>
    </row>
    <row r="182" spans="7:47" x14ac:dyDescent="0.2">
      <c r="G182" s="315">
        <v>73</v>
      </c>
      <c r="H182" s="605"/>
    </row>
    <row r="183" spans="7:47" x14ac:dyDescent="0.2">
      <c r="G183" s="315">
        <v>74</v>
      </c>
      <c r="H183" s="605"/>
    </row>
    <row r="184" spans="7:47" x14ac:dyDescent="0.2">
      <c r="G184" s="315">
        <v>75</v>
      </c>
      <c r="H184" s="605"/>
    </row>
    <row r="185" spans="7:47" x14ac:dyDescent="0.2">
      <c r="G185" s="315">
        <v>76</v>
      </c>
      <c r="H185" s="605"/>
    </row>
    <row r="186" spans="7:47" x14ac:dyDescent="0.2">
      <c r="G186" s="315">
        <v>77</v>
      </c>
      <c r="H186" s="605"/>
    </row>
    <row r="187" spans="7:47" x14ac:dyDescent="0.2">
      <c r="G187" s="315">
        <v>78</v>
      </c>
      <c r="H187" s="605"/>
    </row>
    <row r="188" spans="7:47" x14ac:dyDescent="0.2">
      <c r="G188" s="315">
        <v>79</v>
      </c>
      <c r="H188" s="605"/>
    </row>
    <row r="189" spans="7:47" x14ac:dyDescent="0.2">
      <c r="G189" s="315">
        <v>80</v>
      </c>
      <c r="H189" s="605"/>
    </row>
    <row r="190" spans="7:47" x14ac:dyDescent="0.2">
      <c r="G190" s="315">
        <v>81</v>
      </c>
      <c r="H190" s="605"/>
    </row>
    <row r="191" spans="7:47" x14ac:dyDescent="0.2">
      <c r="G191" s="315">
        <v>82</v>
      </c>
      <c r="H191" s="605"/>
    </row>
    <row r="192" spans="7:47" x14ac:dyDescent="0.2">
      <c r="G192" s="315">
        <v>83</v>
      </c>
      <c r="H192" s="605"/>
    </row>
    <row r="193" spans="7:8" x14ac:dyDescent="0.2">
      <c r="G193" s="315">
        <v>84</v>
      </c>
      <c r="H193" s="605"/>
    </row>
    <row r="194" spans="7:8" x14ac:dyDescent="0.2">
      <c r="G194" s="315">
        <v>85</v>
      </c>
      <c r="H194" s="605"/>
    </row>
    <row r="195" spans="7:8" x14ac:dyDescent="0.2">
      <c r="G195" s="315">
        <v>86</v>
      </c>
      <c r="H195" s="605"/>
    </row>
    <row r="196" spans="7:8" x14ac:dyDescent="0.2">
      <c r="G196" s="315">
        <v>87</v>
      </c>
      <c r="H196" s="605"/>
    </row>
    <row r="197" spans="7:8" x14ac:dyDescent="0.2">
      <c r="G197" s="315">
        <v>88</v>
      </c>
      <c r="H197" s="605"/>
    </row>
    <row r="198" spans="7:8" x14ac:dyDescent="0.2">
      <c r="G198" s="315">
        <v>89</v>
      </c>
      <c r="H198" s="605"/>
    </row>
    <row r="199" spans="7:8" x14ac:dyDescent="0.2">
      <c r="G199" s="315">
        <v>90</v>
      </c>
      <c r="H199" s="605"/>
    </row>
    <row r="200" spans="7:8" x14ac:dyDescent="0.2">
      <c r="G200" s="315">
        <v>91</v>
      </c>
      <c r="H200" s="605"/>
    </row>
    <row r="201" spans="7:8" x14ac:dyDescent="0.2">
      <c r="G201" s="315">
        <v>92</v>
      </c>
      <c r="H201" s="605"/>
    </row>
    <row r="202" spans="7:8" x14ac:dyDescent="0.2">
      <c r="G202" s="315">
        <v>93</v>
      </c>
      <c r="H202" s="605"/>
    </row>
    <row r="203" spans="7:8" x14ac:dyDescent="0.2">
      <c r="G203" s="315">
        <v>94</v>
      </c>
      <c r="H203" s="605"/>
    </row>
    <row r="204" spans="7:8" x14ac:dyDescent="0.2">
      <c r="G204" s="315">
        <v>95</v>
      </c>
      <c r="H204" s="605"/>
    </row>
    <row r="205" spans="7:8" x14ac:dyDescent="0.2">
      <c r="G205" s="315">
        <v>96</v>
      </c>
      <c r="H205" s="605"/>
    </row>
    <row r="206" spans="7:8" x14ac:dyDescent="0.2">
      <c r="G206" s="315">
        <v>97</v>
      </c>
      <c r="H206" s="605"/>
    </row>
    <row r="207" spans="7:8" x14ac:dyDescent="0.2">
      <c r="G207" s="315">
        <v>98</v>
      </c>
      <c r="H207" s="605"/>
    </row>
    <row r="208" spans="7:8" x14ac:dyDescent="0.2">
      <c r="G208" s="315">
        <v>99</v>
      </c>
      <c r="H208" s="605"/>
    </row>
    <row r="209" spans="7:8" x14ac:dyDescent="0.2">
      <c r="G209" s="315">
        <v>100</v>
      </c>
      <c r="H209" s="605"/>
    </row>
    <row r="210" spans="7:8" x14ac:dyDescent="0.2">
      <c r="G210" s="315">
        <v>101</v>
      </c>
      <c r="H210" s="605"/>
    </row>
    <row r="211" spans="7:8" x14ac:dyDescent="0.2">
      <c r="G211" s="315">
        <v>102</v>
      </c>
      <c r="H211" s="605"/>
    </row>
    <row r="212" spans="7:8" x14ac:dyDescent="0.2">
      <c r="G212" s="315">
        <v>103</v>
      </c>
      <c r="H212" s="605"/>
    </row>
    <row r="213" spans="7:8" x14ac:dyDescent="0.2">
      <c r="G213" s="315">
        <v>104</v>
      </c>
      <c r="H213" s="605"/>
    </row>
    <row r="214" spans="7:8" x14ac:dyDescent="0.2">
      <c r="G214" s="315">
        <v>105</v>
      </c>
      <c r="H214" s="605"/>
    </row>
    <row r="215" spans="7:8" x14ac:dyDescent="0.2">
      <c r="G215" s="315">
        <v>106</v>
      </c>
      <c r="H215" s="605"/>
    </row>
    <row r="216" spans="7:8" x14ac:dyDescent="0.2">
      <c r="G216" s="315">
        <v>107</v>
      </c>
      <c r="H216" s="605"/>
    </row>
    <row r="217" spans="7:8" x14ac:dyDescent="0.2">
      <c r="G217" s="315">
        <v>108</v>
      </c>
      <c r="H217" s="605"/>
    </row>
    <row r="218" spans="7:8" x14ac:dyDescent="0.2">
      <c r="G218" s="315">
        <v>109</v>
      </c>
      <c r="H218" s="605"/>
    </row>
    <row r="219" spans="7:8" x14ac:dyDescent="0.2">
      <c r="G219" s="315">
        <v>110</v>
      </c>
      <c r="H219" s="605"/>
    </row>
    <row r="220" spans="7:8" x14ac:dyDescent="0.2">
      <c r="G220" s="315">
        <v>111</v>
      </c>
      <c r="H220" s="605"/>
    </row>
    <row r="221" spans="7:8" x14ac:dyDescent="0.2">
      <c r="G221" s="315">
        <v>112</v>
      </c>
      <c r="H221" s="605"/>
    </row>
    <row r="222" spans="7:8" x14ac:dyDescent="0.2">
      <c r="G222" s="315">
        <v>113</v>
      </c>
      <c r="H222" s="605"/>
    </row>
    <row r="223" spans="7:8" x14ac:dyDescent="0.2">
      <c r="G223" s="315">
        <v>114</v>
      </c>
      <c r="H223" s="605"/>
    </row>
    <row r="224" spans="7:8" x14ac:dyDescent="0.2">
      <c r="G224" s="315">
        <v>115</v>
      </c>
      <c r="H224" s="605"/>
    </row>
    <row r="225" spans="7:8" x14ac:dyDescent="0.2">
      <c r="G225" s="315">
        <v>116</v>
      </c>
      <c r="H225" s="605"/>
    </row>
    <row r="226" spans="7:8" x14ac:dyDescent="0.2">
      <c r="G226" s="315">
        <v>117</v>
      </c>
      <c r="H226" s="605"/>
    </row>
    <row r="227" spans="7:8" x14ac:dyDescent="0.2">
      <c r="G227" s="315">
        <v>118</v>
      </c>
      <c r="H227" s="605"/>
    </row>
    <row r="228" spans="7:8" x14ac:dyDescent="0.2">
      <c r="G228" s="315">
        <v>119</v>
      </c>
      <c r="H228" s="605"/>
    </row>
    <row r="229" spans="7:8" x14ac:dyDescent="0.2">
      <c r="G229" s="315">
        <v>120</v>
      </c>
      <c r="H229" s="605"/>
    </row>
    <row r="230" spans="7:8" x14ac:dyDescent="0.2">
      <c r="G230" s="315">
        <v>121</v>
      </c>
      <c r="H230" s="605"/>
    </row>
    <row r="231" spans="7:8" x14ac:dyDescent="0.2">
      <c r="G231" s="315">
        <v>122</v>
      </c>
      <c r="H231" s="605"/>
    </row>
    <row r="232" spans="7:8" x14ac:dyDescent="0.2">
      <c r="G232" s="315">
        <v>123</v>
      </c>
      <c r="H232" s="605"/>
    </row>
    <row r="233" spans="7:8" x14ac:dyDescent="0.2">
      <c r="G233" s="315">
        <v>124</v>
      </c>
      <c r="H233" s="605"/>
    </row>
    <row r="234" spans="7:8" x14ac:dyDescent="0.2">
      <c r="G234" s="315">
        <v>125</v>
      </c>
      <c r="H234" s="605"/>
    </row>
    <row r="235" spans="7:8" x14ac:dyDescent="0.2">
      <c r="G235" s="315">
        <v>126</v>
      </c>
      <c r="H235" s="605"/>
    </row>
    <row r="236" spans="7:8" x14ac:dyDescent="0.2">
      <c r="G236" s="315">
        <v>127</v>
      </c>
      <c r="H236" s="605"/>
    </row>
    <row r="237" spans="7:8" x14ac:dyDescent="0.2">
      <c r="G237" s="315">
        <v>128</v>
      </c>
      <c r="H237" s="605"/>
    </row>
    <row r="238" spans="7:8" x14ac:dyDescent="0.2">
      <c r="G238" s="315">
        <v>129</v>
      </c>
      <c r="H238" s="605"/>
    </row>
    <row r="239" spans="7:8" x14ac:dyDescent="0.2">
      <c r="G239" s="315">
        <v>130</v>
      </c>
      <c r="H239" s="605"/>
    </row>
    <row r="240" spans="7:8" x14ac:dyDescent="0.2">
      <c r="G240" s="315">
        <v>131</v>
      </c>
      <c r="H240" s="605"/>
    </row>
    <row r="241" spans="7:8" x14ac:dyDescent="0.2">
      <c r="G241" s="315">
        <v>132</v>
      </c>
      <c r="H241" s="605"/>
    </row>
    <row r="242" spans="7:8" x14ac:dyDescent="0.2">
      <c r="G242" s="315">
        <v>133</v>
      </c>
      <c r="H242" s="605"/>
    </row>
    <row r="243" spans="7:8" x14ac:dyDescent="0.2">
      <c r="G243" s="315">
        <v>134</v>
      </c>
      <c r="H243" s="605"/>
    </row>
    <row r="244" spans="7:8" x14ac:dyDescent="0.2">
      <c r="G244" s="315">
        <v>135</v>
      </c>
      <c r="H244" s="605"/>
    </row>
    <row r="245" spans="7:8" x14ac:dyDescent="0.2">
      <c r="G245" s="315">
        <v>136</v>
      </c>
      <c r="H245" s="605"/>
    </row>
    <row r="246" spans="7:8" x14ac:dyDescent="0.2">
      <c r="G246" s="315">
        <v>137</v>
      </c>
      <c r="H246" s="605"/>
    </row>
    <row r="247" spans="7:8" x14ac:dyDescent="0.2">
      <c r="G247" s="315">
        <v>138</v>
      </c>
      <c r="H247" s="605"/>
    </row>
    <row r="248" spans="7:8" x14ac:dyDescent="0.2">
      <c r="G248" s="315">
        <v>139</v>
      </c>
      <c r="H248" s="605"/>
    </row>
    <row r="249" spans="7:8" x14ac:dyDescent="0.2">
      <c r="G249" s="315">
        <v>140</v>
      </c>
      <c r="H249" s="605"/>
    </row>
    <row r="250" spans="7:8" x14ac:dyDescent="0.2">
      <c r="G250" s="315">
        <v>141</v>
      </c>
      <c r="H250" s="605"/>
    </row>
    <row r="251" spans="7:8" x14ac:dyDescent="0.2">
      <c r="G251" s="315">
        <v>142</v>
      </c>
      <c r="H251" s="605"/>
    </row>
    <row r="252" spans="7:8" x14ac:dyDescent="0.2">
      <c r="G252" s="315">
        <v>143</v>
      </c>
      <c r="H252" s="605"/>
    </row>
    <row r="253" spans="7:8" x14ac:dyDescent="0.2">
      <c r="G253" s="315">
        <v>144</v>
      </c>
      <c r="H253" s="605"/>
    </row>
    <row r="254" spans="7:8" x14ac:dyDescent="0.2">
      <c r="G254" s="315">
        <v>145</v>
      </c>
      <c r="H254" s="605"/>
    </row>
    <row r="255" spans="7:8" x14ac:dyDescent="0.2">
      <c r="G255" s="315">
        <v>146</v>
      </c>
      <c r="H255" s="605"/>
    </row>
    <row r="256" spans="7:8" x14ac:dyDescent="0.2">
      <c r="G256" s="315">
        <v>147</v>
      </c>
      <c r="H256" s="605"/>
    </row>
    <row r="257" spans="7:8" x14ac:dyDescent="0.2">
      <c r="G257" s="315">
        <v>148</v>
      </c>
      <c r="H257" s="605"/>
    </row>
    <row r="258" spans="7:8" x14ac:dyDescent="0.2">
      <c r="G258" s="315">
        <v>149</v>
      </c>
      <c r="H258" s="605"/>
    </row>
    <row r="259" spans="7:8" x14ac:dyDescent="0.2">
      <c r="G259" s="315">
        <v>150</v>
      </c>
      <c r="H259" s="605"/>
    </row>
    <row r="260" spans="7:8" x14ac:dyDescent="0.2">
      <c r="G260" s="315">
        <v>151</v>
      </c>
      <c r="H260" s="605"/>
    </row>
    <row r="261" spans="7:8" x14ac:dyDescent="0.2">
      <c r="G261" s="315">
        <v>152</v>
      </c>
      <c r="H261" s="605"/>
    </row>
    <row r="262" spans="7:8" x14ac:dyDescent="0.2">
      <c r="G262" s="315">
        <v>153</v>
      </c>
      <c r="H262" s="605"/>
    </row>
    <row r="263" spans="7:8" x14ac:dyDescent="0.2">
      <c r="G263" s="315">
        <v>154</v>
      </c>
      <c r="H263" s="605"/>
    </row>
    <row r="264" spans="7:8" x14ac:dyDescent="0.2">
      <c r="G264" s="315">
        <v>155</v>
      </c>
      <c r="H264" s="605"/>
    </row>
    <row r="265" spans="7:8" x14ac:dyDescent="0.2">
      <c r="G265" s="315">
        <v>156</v>
      </c>
      <c r="H265" s="605"/>
    </row>
    <row r="266" spans="7:8" x14ac:dyDescent="0.2">
      <c r="G266" s="315">
        <v>157</v>
      </c>
      <c r="H266" s="605"/>
    </row>
    <row r="267" spans="7:8" x14ac:dyDescent="0.2">
      <c r="G267" s="315">
        <v>158</v>
      </c>
      <c r="H267" s="605"/>
    </row>
    <row r="268" spans="7:8" x14ac:dyDescent="0.2">
      <c r="G268" s="315">
        <v>159</v>
      </c>
      <c r="H268" s="605"/>
    </row>
    <row r="269" spans="7:8" x14ac:dyDescent="0.2">
      <c r="G269" s="315">
        <v>160</v>
      </c>
      <c r="H269" s="605"/>
    </row>
    <row r="270" spans="7:8" x14ac:dyDescent="0.2">
      <c r="G270" s="315">
        <v>161</v>
      </c>
      <c r="H270" s="605"/>
    </row>
    <row r="271" spans="7:8" x14ac:dyDescent="0.2">
      <c r="G271" s="315">
        <v>162</v>
      </c>
      <c r="H271" s="605"/>
    </row>
    <row r="272" spans="7:8" x14ac:dyDescent="0.2">
      <c r="G272" s="315">
        <v>163</v>
      </c>
      <c r="H272" s="605"/>
    </row>
    <row r="273" spans="7:8" x14ac:dyDescent="0.2">
      <c r="G273" s="315">
        <v>164</v>
      </c>
      <c r="H273" s="605"/>
    </row>
    <row r="274" spans="7:8" x14ac:dyDescent="0.2">
      <c r="G274" s="315">
        <v>165</v>
      </c>
      <c r="H274" s="605"/>
    </row>
    <row r="275" spans="7:8" x14ac:dyDescent="0.2">
      <c r="G275" s="315">
        <v>166</v>
      </c>
      <c r="H275" s="605"/>
    </row>
    <row r="276" spans="7:8" x14ac:dyDescent="0.2">
      <c r="G276" s="315">
        <v>167</v>
      </c>
      <c r="H276" s="605"/>
    </row>
    <row r="277" spans="7:8" x14ac:dyDescent="0.2">
      <c r="G277" s="315">
        <v>168</v>
      </c>
      <c r="H277" s="605"/>
    </row>
    <row r="278" spans="7:8" x14ac:dyDescent="0.2">
      <c r="G278" s="315">
        <v>169</v>
      </c>
      <c r="H278" s="605"/>
    </row>
    <row r="279" spans="7:8" x14ac:dyDescent="0.2">
      <c r="G279" s="315">
        <v>170</v>
      </c>
      <c r="H279" s="605"/>
    </row>
    <row r="280" spans="7:8" x14ac:dyDescent="0.2">
      <c r="G280" s="315">
        <v>171</v>
      </c>
      <c r="H280" s="605"/>
    </row>
    <row r="281" spans="7:8" x14ac:dyDescent="0.2">
      <c r="G281" s="315">
        <v>172</v>
      </c>
      <c r="H281" s="605"/>
    </row>
    <row r="282" spans="7:8" x14ac:dyDescent="0.2">
      <c r="G282" s="315">
        <v>173</v>
      </c>
      <c r="H282" s="605"/>
    </row>
    <row r="283" spans="7:8" x14ac:dyDescent="0.2">
      <c r="G283" s="315">
        <v>174</v>
      </c>
      <c r="H283" s="605"/>
    </row>
    <row r="284" spans="7:8" x14ac:dyDescent="0.2">
      <c r="G284" s="315">
        <v>175</v>
      </c>
      <c r="H284" s="605"/>
    </row>
    <row r="285" spans="7:8" x14ac:dyDescent="0.2">
      <c r="G285" s="315">
        <v>176</v>
      </c>
      <c r="H285" s="605"/>
    </row>
    <row r="286" spans="7:8" x14ac:dyDescent="0.2">
      <c r="G286" s="315">
        <v>177</v>
      </c>
      <c r="H286" s="605"/>
    </row>
    <row r="287" spans="7:8" x14ac:dyDescent="0.2">
      <c r="G287" s="315">
        <v>178</v>
      </c>
      <c r="H287" s="605"/>
    </row>
    <row r="288" spans="7:8" x14ac:dyDescent="0.2">
      <c r="G288" s="315">
        <v>179</v>
      </c>
      <c r="H288" s="605"/>
    </row>
    <row r="289" spans="7:8" x14ac:dyDescent="0.2">
      <c r="G289" s="315">
        <v>180</v>
      </c>
      <c r="H289" s="605"/>
    </row>
  </sheetData>
  <sheetProtection algorithmName="SHA-512" hashValue="/z8nK9RPXx1TLPaFR3lNVtQMjiRtkSx6zfXH0JS1NGYmhm/pdqPJH83xrtpQu+iEozziKjcKdv4HoAbSTzrtUQ==" saltValue="JfbVK3yIlP+xEYA7feOp+A==" spinCount="100000" sheet="1" objects="1" scenarios="1"/>
  <mergeCells count="146">
    <mergeCell ref="P5:R6"/>
    <mergeCell ref="T27:U27"/>
    <mergeCell ref="I18:J18"/>
    <mergeCell ref="CH57:CH59"/>
    <mergeCell ref="CA57:CA59"/>
    <mergeCell ref="CJ56:CL56"/>
    <mergeCell ref="CL57:CL59"/>
    <mergeCell ref="AE38:AE39"/>
    <mergeCell ref="AF38:AG38"/>
    <mergeCell ref="Z38:AB38"/>
    <mergeCell ref="O11:R11"/>
    <mergeCell ref="Q16:R16"/>
    <mergeCell ref="T18:T19"/>
    <mergeCell ref="M14:U14"/>
    <mergeCell ref="M16:N16"/>
    <mergeCell ref="AC38:AC39"/>
    <mergeCell ref="AR38:AR39"/>
    <mergeCell ref="W38:Y38"/>
    <mergeCell ref="T15:U16"/>
    <mergeCell ref="R7:R8"/>
    <mergeCell ref="O7:O8"/>
    <mergeCell ref="BI19:BJ19"/>
    <mergeCell ref="AQ38:AQ39"/>
    <mergeCell ref="BT56:BV56"/>
    <mergeCell ref="M30:N30"/>
    <mergeCell ref="M27:N27"/>
    <mergeCell ref="Q18:Q19"/>
    <mergeCell ref="Q20:Q21"/>
    <mergeCell ref="Q22:Q23"/>
    <mergeCell ref="M28:N28"/>
    <mergeCell ref="M29:N29"/>
    <mergeCell ref="N38:R38"/>
    <mergeCell ref="BG19:BH19"/>
    <mergeCell ref="Q24:Q25"/>
    <mergeCell ref="T20:T21"/>
    <mergeCell ref="T22:T23"/>
    <mergeCell ref="T24:T25"/>
    <mergeCell ref="AD40:AD57"/>
    <mergeCell ref="AT40:AT57"/>
    <mergeCell ref="M23:N23"/>
    <mergeCell ref="AT38:AT39"/>
    <mergeCell ref="BS57:BS59"/>
    <mergeCell ref="AH38:AP38"/>
    <mergeCell ref="AE40:AE57"/>
    <mergeCell ref="B21:C21"/>
    <mergeCell ref="I20:J20"/>
    <mergeCell ref="B23:C23"/>
    <mergeCell ref="B29:C29"/>
    <mergeCell ref="B28:C28"/>
    <mergeCell ref="B30:C30"/>
    <mergeCell ref="B24:C24"/>
    <mergeCell ref="B25:C25"/>
    <mergeCell ref="B26:C26"/>
    <mergeCell ref="B27:C27"/>
    <mergeCell ref="B31:C31"/>
    <mergeCell ref="B37:C37"/>
    <mergeCell ref="I25:J25"/>
    <mergeCell ref="M26:N26"/>
    <mergeCell ref="M25:O25"/>
    <mergeCell ref="M34:N34"/>
    <mergeCell ref="S38:V38"/>
    <mergeCell ref="M17:N17"/>
    <mergeCell ref="M19:N19"/>
    <mergeCell ref="M20:N20"/>
    <mergeCell ref="M18:N18"/>
    <mergeCell ref="B22:C22"/>
    <mergeCell ref="B20:C20"/>
    <mergeCell ref="A1:D1"/>
    <mergeCell ref="B2:G2"/>
    <mergeCell ref="B16:C16"/>
    <mergeCell ref="B17:C17"/>
    <mergeCell ref="B18:C18"/>
    <mergeCell ref="B19:C19"/>
    <mergeCell ref="I22:J22"/>
    <mergeCell ref="M21:N21"/>
    <mergeCell ref="M22:N22"/>
    <mergeCell ref="J11:K11"/>
    <mergeCell ref="L7:L8"/>
    <mergeCell ref="I14:K14"/>
    <mergeCell ref="I16:J16"/>
    <mergeCell ref="I17:J17"/>
    <mergeCell ref="J5:L6"/>
    <mergeCell ref="M5:O6"/>
    <mergeCell ref="B35:C35"/>
    <mergeCell ref="B34:C34"/>
    <mergeCell ref="B33:C33"/>
    <mergeCell ref="B32:C32"/>
    <mergeCell ref="B36:C36"/>
    <mergeCell ref="J107:V108"/>
    <mergeCell ref="M31:N31"/>
    <mergeCell ref="M33:N33"/>
    <mergeCell ref="M32:N32"/>
    <mergeCell ref="G38:M38"/>
    <mergeCell ref="CD57:CD59"/>
    <mergeCell ref="CB57:CB59"/>
    <mergeCell ref="CE57:CE59"/>
    <mergeCell ref="BX57:BX59"/>
    <mergeCell ref="BY57:BY59"/>
    <mergeCell ref="BV57:BV59"/>
    <mergeCell ref="AS38:AS39"/>
    <mergeCell ref="AS40:AS57"/>
    <mergeCell ref="BQ57:BQ59"/>
    <mergeCell ref="BB38:BK38"/>
    <mergeCell ref="AU38:BA38"/>
    <mergeCell ref="BW56:BX56"/>
    <mergeCell ref="BR57:BR59"/>
    <mergeCell ref="CM56:CW56"/>
    <mergeCell ref="CW57:CW59"/>
    <mergeCell ref="CU57:CU59"/>
    <mergeCell ref="CV57:CV59"/>
    <mergeCell ref="CN57:CN59"/>
    <mergeCell ref="CY57:CY59"/>
    <mergeCell ref="BZ57:BZ59"/>
    <mergeCell ref="BT57:BT59"/>
    <mergeCell ref="BU57:BU59"/>
    <mergeCell ref="BW57:BW59"/>
    <mergeCell ref="CT57:CT59"/>
    <mergeCell ref="CS57:CS59"/>
    <mergeCell ref="CX57:CX59"/>
    <mergeCell ref="CM57:CM59"/>
    <mergeCell ref="CO57:CO59"/>
    <mergeCell ref="CP57:CP59"/>
    <mergeCell ref="CQ57:CQ59"/>
    <mergeCell ref="CR57:CR59"/>
    <mergeCell ref="CI57:CI59"/>
    <mergeCell ref="CG57:CG59"/>
    <mergeCell ref="CJ57:CJ59"/>
    <mergeCell ref="CK57:CK59"/>
    <mergeCell ref="CC57:CC59"/>
    <mergeCell ref="CF57:CF59"/>
    <mergeCell ref="DI57:DI59"/>
    <mergeCell ref="DK57:DK59"/>
    <mergeCell ref="DL57:DL59"/>
    <mergeCell ref="DM57:DM59"/>
    <mergeCell ref="DI56:DM56"/>
    <mergeCell ref="DA57:DA59"/>
    <mergeCell ref="DF57:DF59"/>
    <mergeCell ref="DG57:DG59"/>
    <mergeCell ref="DH57:DH59"/>
    <mergeCell ref="CX56:DH56"/>
    <mergeCell ref="CZ57:CZ59"/>
    <mergeCell ref="DB57:DB59"/>
    <mergeCell ref="DC57:DC59"/>
    <mergeCell ref="DD57:DD59"/>
    <mergeCell ref="DE57:DE59"/>
    <mergeCell ref="DJ57:DJ59"/>
  </mergeCells>
  <conditionalFormatting sqref="I11:J11">
    <cfRule type="expression" dxfId="68" priority="227" stopIfTrue="1">
      <formula>AND($J$11&gt;1.05)</formula>
    </cfRule>
  </conditionalFormatting>
  <conditionalFormatting sqref="BS60:BU78 AU41:BB57 AS78:BK78 D40:AA57 BE40:BF57 BE60:BF77 BI60:BK77 BW60:CI78 AM41:AR57 AM78:AQ78 AM40:BB40 AF41:AG57 AD40:AG40 AH40:AH57 AN60:AQ77 D79:D96 AF60:AG78 D60:AA78 BI40:BL57 AS60:BB77">
    <cfRule type="containsErrors" dxfId="67" priority="226" stopIfTrue="1">
      <formula>ISERROR(D40)</formula>
    </cfRule>
  </conditionalFormatting>
  <conditionalFormatting sqref="BV60:BV78">
    <cfRule type="containsErrors" dxfId="66" priority="222" stopIfTrue="1">
      <formula>ISERROR(BV60)</formula>
    </cfRule>
  </conditionalFormatting>
  <conditionalFormatting sqref="AU79:BA96 BF79:BF96 E79:E96 AO79:AP96 BK79:BK96 BI79:BI96 H79:L96 O79:V96">
    <cfRule type="containsErrors" dxfId="65" priority="221" stopIfTrue="1">
      <formula>ISERROR(E79)</formula>
    </cfRule>
  </conditionalFormatting>
  <conditionalFormatting sqref="F79:F96">
    <cfRule type="containsErrors" dxfId="64" priority="217" stopIfTrue="1">
      <formula>ISERROR(F79)</formula>
    </cfRule>
  </conditionalFormatting>
  <conditionalFormatting sqref="BS79:BS96">
    <cfRule type="containsErrors" dxfId="63" priority="212" stopIfTrue="1">
      <formula>ISERROR(BS79)</formula>
    </cfRule>
  </conditionalFormatting>
  <conditionalFormatting sqref="BT79:BU96">
    <cfRule type="containsErrors" dxfId="62" priority="211" stopIfTrue="1">
      <formula>ISERROR(BT79)</formula>
    </cfRule>
  </conditionalFormatting>
  <conditionalFormatting sqref="BW79:BW96">
    <cfRule type="containsErrors" dxfId="61" priority="210" stopIfTrue="1">
      <formula>ISERROR(BW79)</formula>
    </cfRule>
  </conditionalFormatting>
  <conditionalFormatting sqref="BX79:BX96">
    <cfRule type="containsErrors" dxfId="60" priority="209" stopIfTrue="1">
      <formula>ISERROR(BX79)</formula>
    </cfRule>
  </conditionalFormatting>
  <conditionalFormatting sqref="BY79:CD96">
    <cfRule type="containsErrors" dxfId="59" priority="208" stopIfTrue="1">
      <formula>ISERROR(BY79)</formula>
    </cfRule>
  </conditionalFormatting>
  <conditionalFormatting sqref="CG79:CG96">
    <cfRule type="containsErrors" dxfId="58" priority="207" stopIfTrue="1">
      <formula>ISERROR(CG79)</formula>
    </cfRule>
  </conditionalFormatting>
  <conditionalFormatting sqref="CH79:CH96">
    <cfRule type="containsErrors" dxfId="57" priority="206" stopIfTrue="1">
      <formula>ISERROR(CH79)</formula>
    </cfRule>
  </conditionalFormatting>
  <conditionalFormatting sqref="AN79:AN96">
    <cfRule type="containsErrors" dxfId="56" priority="205" stopIfTrue="1">
      <formula>ISERROR(AN79)</formula>
    </cfRule>
  </conditionalFormatting>
  <conditionalFormatting sqref="CI79:CI96">
    <cfRule type="containsErrors" dxfId="55" priority="204" stopIfTrue="1">
      <formula>ISERROR(CI79)</formula>
    </cfRule>
  </conditionalFormatting>
  <conditionalFormatting sqref="BB79:BB96 BE79:BE96">
    <cfRule type="containsErrors" dxfId="54" priority="189" stopIfTrue="1">
      <formula>ISERROR(BB79)</formula>
    </cfRule>
  </conditionalFormatting>
  <conditionalFormatting sqref="CE79:CF96">
    <cfRule type="containsErrors" dxfId="53" priority="188" stopIfTrue="1">
      <formula>ISERROR(CE79)</formula>
    </cfRule>
  </conditionalFormatting>
  <conditionalFormatting sqref="BJ79:BJ96">
    <cfRule type="containsErrors" dxfId="52" priority="185" stopIfTrue="1">
      <formula>ISERROR(BJ79)</formula>
    </cfRule>
  </conditionalFormatting>
  <conditionalFormatting sqref="M79:M96">
    <cfRule type="containsErrors" dxfId="51" priority="183" stopIfTrue="1">
      <formula>ISERROR(M79)</formula>
    </cfRule>
  </conditionalFormatting>
  <conditionalFormatting sqref="BC58">
    <cfRule type="containsErrors" dxfId="50" priority="160" stopIfTrue="1">
      <formula>ISERROR(BC58)</formula>
    </cfRule>
  </conditionalFormatting>
  <conditionalFormatting sqref="BD58">
    <cfRule type="containsErrors" dxfId="49" priority="159" stopIfTrue="1">
      <formula>ISERROR(BD58)</formula>
    </cfRule>
  </conditionalFormatting>
  <conditionalFormatting sqref="BC97:BC98">
    <cfRule type="containsErrors" dxfId="48" priority="126" stopIfTrue="1">
      <formula>ISERROR(BC97)</formula>
    </cfRule>
  </conditionalFormatting>
  <conditionalFormatting sqref="BD97:BD98">
    <cfRule type="containsErrors" dxfId="47" priority="125" stopIfTrue="1">
      <formula>ISERROR(BD97)</formula>
    </cfRule>
  </conditionalFormatting>
  <conditionalFormatting sqref="BD37">
    <cfRule type="containsErrors" dxfId="46" priority="65" stopIfTrue="1">
      <formula>ISERROR(BD37)</formula>
    </cfRule>
  </conditionalFormatting>
  <conditionalFormatting sqref="BC37">
    <cfRule type="containsErrors" dxfId="45" priority="61" stopIfTrue="1">
      <formula>ISERROR(BC37)</formula>
    </cfRule>
  </conditionalFormatting>
  <conditionalFormatting sqref="BC40:BC57">
    <cfRule type="containsErrors" dxfId="44" priority="60" stopIfTrue="1">
      <formula>ISERROR(BC40)</formula>
    </cfRule>
  </conditionalFormatting>
  <conditionalFormatting sqref="BD40:BD57">
    <cfRule type="containsErrors" dxfId="43" priority="59" stopIfTrue="1">
      <formula>ISERROR(BD40)</formula>
    </cfRule>
  </conditionalFormatting>
  <conditionalFormatting sqref="BD60:BD77">
    <cfRule type="containsErrors" dxfId="42" priority="57" stopIfTrue="1">
      <formula>ISERROR(BD60)</formula>
    </cfRule>
  </conditionalFormatting>
  <conditionalFormatting sqref="BC79:BC96">
    <cfRule type="containsErrors" dxfId="41" priority="56" stopIfTrue="1">
      <formula>ISERROR(BC79)</formula>
    </cfRule>
  </conditionalFormatting>
  <conditionalFormatting sqref="BD79:BD96">
    <cfRule type="containsErrors" dxfId="40" priority="55" stopIfTrue="1">
      <formula>ISERROR(BD79)</formula>
    </cfRule>
  </conditionalFormatting>
  <conditionalFormatting sqref="BC60:BC77">
    <cfRule type="containsErrors" dxfId="39" priority="53" stopIfTrue="1">
      <formula>ISERROR(BC60)</formula>
    </cfRule>
  </conditionalFormatting>
  <conditionalFormatting sqref="AI40:AL57">
    <cfRule type="containsErrors" dxfId="38" priority="49" stopIfTrue="1">
      <formula>ISERROR(AI40)</formula>
    </cfRule>
  </conditionalFormatting>
  <conditionalFormatting sqref="AH60:AK77 AM60:AM77">
    <cfRule type="containsErrors" dxfId="37" priority="48" stopIfTrue="1">
      <formula>ISERROR(AH60)</formula>
    </cfRule>
  </conditionalFormatting>
  <conditionalFormatting sqref="AM79:AM96">
    <cfRule type="containsErrors" dxfId="36" priority="47" stopIfTrue="1">
      <formula>ISERROR(AM79)</formula>
    </cfRule>
  </conditionalFormatting>
  <conditionalFormatting sqref="AH79:AH96">
    <cfRule type="containsErrors" dxfId="35" priority="42" stopIfTrue="1">
      <formula>ISERROR(AH79)</formula>
    </cfRule>
  </conditionalFormatting>
  <conditionalFormatting sqref="AI79:AI96">
    <cfRule type="containsErrors" dxfId="34" priority="41" stopIfTrue="1">
      <formula>ISERROR(AI79)</formula>
    </cfRule>
  </conditionalFormatting>
  <conditionalFormatting sqref="AJ79:AJ96">
    <cfRule type="containsErrors" dxfId="33" priority="36" stopIfTrue="1">
      <formula>ISERROR(AJ79)</formula>
    </cfRule>
  </conditionalFormatting>
  <conditionalFormatting sqref="Z79:AA96">
    <cfRule type="containsErrors" dxfId="32" priority="35" stopIfTrue="1">
      <formula>ISERROR(Z79)</formula>
    </cfRule>
  </conditionalFormatting>
  <conditionalFormatting sqref="AB40:AC56">
    <cfRule type="containsErrors" dxfId="31" priority="30" stopIfTrue="1">
      <formula>ISERROR(AB40)</formula>
    </cfRule>
  </conditionalFormatting>
  <conditionalFormatting sqref="AB57:AC57">
    <cfRule type="containsErrors" dxfId="30" priority="29" stopIfTrue="1">
      <formula>ISERROR(AB57)</formula>
    </cfRule>
  </conditionalFormatting>
  <conditionalFormatting sqref="AB60:AC96">
    <cfRule type="containsErrors" dxfId="29" priority="28" stopIfTrue="1">
      <formula>ISERROR(AB60)</formula>
    </cfRule>
  </conditionalFormatting>
  <conditionalFormatting sqref="AK79:AK96">
    <cfRule type="containsErrors" dxfId="28" priority="27" stopIfTrue="1">
      <formula>ISERROR(AK79)</formula>
    </cfRule>
  </conditionalFormatting>
  <conditionalFormatting sqref="AQ79:AQ96">
    <cfRule type="containsErrors" dxfId="27" priority="25" stopIfTrue="1">
      <formula>ISERROR(AQ79)</formula>
    </cfRule>
  </conditionalFormatting>
  <conditionalFormatting sqref="AL60:AL77">
    <cfRule type="containsErrors" dxfId="26" priority="20" stopIfTrue="1">
      <formula>ISERROR(AL60)</formula>
    </cfRule>
  </conditionalFormatting>
  <conditionalFormatting sqref="AL79:AL96">
    <cfRule type="containsErrors" dxfId="25" priority="19" stopIfTrue="1">
      <formula>ISERROR(AL79)</formula>
    </cfRule>
  </conditionalFormatting>
  <conditionalFormatting sqref="AS79:AS96">
    <cfRule type="containsErrors" dxfId="24" priority="18" stopIfTrue="1">
      <formula>ISERROR(AS79)</formula>
    </cfRule>
  </conditionalFormatting>
  <conditionalFormatting sqref="G79:G96">
    <cfRule type="containsErrors" dxfId="23" priority="12" stopIfTrue="1">
      <formula>ISERROR(G79)</formula>
    </cfRule>
  </conditionalFormatting>
  <conditionalFormatting sqref="N79:N96">
    <cfRule type="containsErrors" dxfId="22" priority="10" stopIfTrue="1">
      <formula>ISERROR(N79)</formula>
    </cfRule>
  </conditionalFormatting>
  <conditionalFormatting sqref="AF79:AF96">
    <cfRule type="containsErrors" dxfId="21" priority="8" stopIfTrue="1">
      <formula>ISERROR(AF79)</formula>
    </cfRule>
  </conditionalFormatting>
  <conditionalFormatting sqref="AG79:AG96">
    <cfRule type="containsErrors" dxfId="20" priority="7" stopIfTrue="1">
      <formula>ISERROR(AG79)</formula>
    </cfRule>
  </conditionalFormatting>
  <conditionalFormatting sqref="W79:W96">
    <cfRule type="containsErrors" dxfId="19" priority="6" stopIfTrue="1">
      <formula>ISERROR(W79)</formula>
    </cfRule>
  </conditionalFormatting>
  <conditionalFormatting sqref="X79:X96">
    <cfRule type="containsErrors" dxfId="18" priority="4" stopIfTrue="1">
      <formula>ISERROR(X79)</formula>
    </cfRule>
  </conditionalFormatting>
  <conditionalFormatting sqref="Y79:Y96">
    <cfRule type="containsErrors" dxfId="17" priority="3" stopIfTrue="1">
      <formula>ISERROR(Y79)</formula>
    </cfRule>
  </conditionalFormatting>
  <conditionalFormatting sqref="AT79:AT96">
    <cfRule type="containsErrors" dxfId="16" priority="2" stopIfTrue="1">
      <formula>ISERROR(AT79)</formula>
    </cfRule>
  </conditionalFormatting>
  <conditionalFormatting sqref="BV79:BV96">
    <cfRule type="containsErrors" dxfId="15" priority="1" stopIfTrue="1">
      <formula>ISERROR(BV79)</formula>
    </cfRule>
  </conditionalFormatting>
  <dataValidations disablePrompts="1" count="2">
    <dataValidation type="list" showInputMessage="1" showErrorMessage="1" sqref="D4" xr:uid="{00000000-0002-0000-0400-000000000000}">
      <formula1>elev_list</formula1>
    </dataValidation>
    <dataValidation type="list" allowBlank="1" showInputMessage="1" showErrorMessage="1" sqref="BJ31" xr:uid="{00000000-0002-0000-0400-000001000000}">
      <formula1>"Elastic,Plastic"</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04247" r:id="rId4" name="Auto_Input">
              <controlPr defaultSize="0" print="0" autoFill="0" autoPict="0" macro="[0]!Sheet13.Auto_Input_Click">
                <anchor moveWithCells="1">
                  <from>
                    <xdr:col>5</xdr:col>
                    <xdr:colOff>66675</xdr:colOff>
                    <xdr:row>3</xdr:row>
                    <xdr:rowOff>95250</xdr:rowOff>
                  </from>
                  <to>
                    <xdr:col>6</xdr:col>
                    <xdr:colOff>228600</xdr:colOff>
                    <xdr:row>5</xdr:row>
                    <xdr:rowOff>9525</xdr:rowOff>
                  </to>
                </anchor>
              </controlPr>
            </control>
          </mc:Choice>
        </mc:AlternateContent>
        <mc:AlternateContent xmlns:mc="http://schemas.openxmlformats.org/markup-compatibility/2006">
          <mc:Choice Requires="x14">
            <control shapeId="804248" r:id="rId5" name="Manual_Input">
              <controlPr defaultSize="0" print="0" autoFill="0" autoPict="0" macro="[0]!Sheet13.Manual_Input_Click">
                <anchor moveWithCells="1">
                  <from>
                    <xdr:col>5</xdr:col>
                    <xdr:colOff>66675</xdr:colOff>
                    <xdr:row>5</xdr:row>
                    <xdr:rowOff>95250</xdr:rowOff>
                  </from>
                  <to>
                    <xdr:col>6</xdr:col>
                    <xdr:colOff>228600</xdr:colOff>
                    <xdr:row>7</xdr:row>
                    <xdr:rowOff>9525</xdr:rowOff>
                  </to>
                </anchor>
              </controlPr>
            </control>
          </mc:Choice>
        </mc:AlternateContent>
        <mc:AlternateContent xmlns:mc="http://schemas.openxmlformats.org/markup-compatibility/2006">
          <mc:Choice Requires="x14">
            <control shapeId="804249" r:id="rId6" name="Principle_Axes">
              <controlPr defaultSize="0" print="0" autoFill="0" autoPict="0" macro="[0]!Sheet13.Principle_Axes_Click">
                <anchor moveWithCells="1">
                  <from>
                    <xdr:col>5</xdr:col>
                    <xdr:colOff>66675</xdr:colOff>
                    <xdr:row>9</xdr:row>
                    <xdr:rowOff>95250</xdr:rowOff>
                  </from>
                  <to>
                    <xdr:col>6</xdr:col>
                    <xdr:colOff>228600</xdr:colOff>
                    <xdr:row>11</xdr:row>
                    <xdr:rowOff>9525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01E789-CDD7-4635-AF03-7E95741F6816}">
  <sheetPr codeName="Sheet20"/>
  <dimension ref="A1"/>
  <sheetViews>
    <sheetView workbookViewId="0"/>
  </sheetViews>
  <sheetFormatPr defaultRowHeight="12.75" x14ac:dyDescent="0.2"/>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E28"/>
  <sheetViews>
    <sheetView workbookViewId="0">
      <selection activeCell="P9" sqref="P9"/>
    </sheetView>
  </sheetViews>
  <sheetFormatPr defaultRowHeight="12.75" x14ac:dyDescent="0.2"/>
  <cols>
    <col min="1" max="1" width="8.7109375" style="615" customWidth="1"/>
    <col min="2" max="16384" width="9.140625" style="615"/>
  </cols>
  <sheetData>
    <row r="1" spans="1:5" ht="48" customHeight="1" x14ac:dyDescent="0.35">
      <c r="B1" s="616" t="s">
        <v>370</v>
      </c>
    </row>
    <row r="3" spans="1:5" x14ac:dyDescent="0.2">
      <c r="A3" s="617"/>
    </row>
    <row r="4" spans="1:5" ht="15.75" x14ac:dyDescent="0.25">
      <c r="B4" s="618" t="s">
        <v>371</v>
      </c>
    </row>
    <row r="10" spans="1:5" ht="15.75" x14ac:dyDescent="0.25">
      <c r="B10" s="618" t="s">
        <v>372</v>
      </c>
    </row>
    <row r="16" spans="1:5" x14ac:dyDescent="0.2">
      <c r="E16" s="619" t="b">
        <v>1</v>
      </c>
    </row>
    <row r="18" spans="2:5" ht="15.75" x14ac:dyDescent="0.25">
      <c r="B18" s="618" t="s">
        <v>373</v>
      </c>
    </row>
    <row r="24" spans="2:5" ht="15.75" x14ac:dyDescent="0.25">
      <c r="B24" s="618" t="s">
        <v>377</v>
      </c>
    </row>
    <row r="26" spans="2:5" x14ac:dyDescent="0.2">
      <c r="E26" s="619" t="b">
        <v>0</v>
      </c>
    </row>
    <row r="28" spans="2:5" ht="15" x14ac:dyDescent="0.25">
      <c r="B28" s="620" t="s">
        <v>934</v>
      </c>
      <c r="C28" s="542" t="b">
        <v>0</v>
      </c>
    </row>
  </sheetData>
  <dataValidations count="1">
    <dataValidation type="list" allowBlank="1" showInputMessage="1" showErrorMessage="1" sqref="C28" xr:uid="{876EE325-7FB3-4687-A231-81CA053923A4}">
      <formula1>"TRUE,FALSE"</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808980" r:id="rId4" name="CheckBox2">
          <controlPr defaultSize="0" autoLine="0" linkedCell="E26" r:id="rId5">
            <anchor moveWithCells="1">
              <from>
                <xdr:col>1</xdr:col>
                <xdr:colOff>428625</xdr:colOff>
                <xdr:row>24</xdr:row>
                <xdr:rowOff>104775</xdr:rowOff>
              </from>
              <to>
                <xdr:col>3</xdr:col>
                <xdr:colOff>504825</xdr:colOff>
                <xdr:row>26</xdr:row>
                <xdr:rowOff>19050</xdr:rowOff>
              </to>
            </anchor>
          </controlPr>
        </control>
      </mc:Choice>
      <mc:Fallback>
        <control shapeId="808980" r:id="rId4" name="CheckBox2"/>
      </mc:Fallback>
    </mc:AlternateContent>
    <mc:AlternateContent xmlns:mc="http://schemas.openxmlformats.org/markup-compatibility/2006">
      <mc:Choice Requires="x14">
        <control shapeId="808979" r:id="rId6" name="CheckBox1">
          <controlPr defaultSize="0" autoLine="0" linkedCell="E16" r:id="rId7">
            <anchor moveWithCells="1">
              <from>
                <xdr:col>1</xdr:col>
                <xdr:colOff>400050</xdr:colOff>
                <xdr:row>14</xdr:row>
                <xdr:rowOff>104775</xdr:rowOff>
              </from>
              <to>
                <xdr:col>3</xdr:col>
                <xdr:colOff>581025</xdr:colOff>
                <xdr:row>16</xdr:row>
                <xdr:rowOff>66675</xdr:rowOff>
              </to>
            </anchor>
          </controlPr>
        </control>
      </mc:Choice>
      <mc:Fallback>
        <control shapeId="808979" r:id="rId6" name="CheckBox1"/>
      </mc:Fallback>
    </mc:AlternateContent>
    <mc:AlternateContent xmlns:mc="http://schemas.openxmlformats.org/markup-compatibility/2006">
      <mc:Choice Requires="x14">
        <control shapeId="808978" r:id="rId8" name="OptionButton6">
          <controlPr autoLine="0" r:id="rId9">
            <anchor moveWithCells="1">
              <from>
                <xdr:col>1</xdr:col>
                <xdr:colOff>400050</xdr:colOff>
                <xdr:row>20</xdr:row>
                <xdr:rowOff>85725</xdr:rowOff>
              </from>
              <to>
                <xdr:col>4</xdr:col>
                <xdr:colOff>247650</xdr:colOff>
                <xdr:row>22</xdr:row>
                <xdr:rowOff>9525</xdr:rowOff>
              </to>
            </anchor>
          </controlPr>
        </control>
      </mc:Choice>
      <mc:Fallback>
        <control shapeId="808978" r:id="rId8" name="OptionButton6"/>
      </mc:Fallback>
    </mc:AlternateContent>
    <mc:AlternateContent xmlns:mc="http://schemas.openxmlformats.org/markup-compatibility/2006">
      <mc:Choice Requires="x14">
        <control shapeId="808977" r:id="rId10" name="OptionButton5">
          <controlPr autoLine="0" r:id="rId11">
            <anchor moveWithCells="1">
              <from>
                <xdr:col>1</xdr:col>
                <xdr:colOff>400050</xdr:colOff>
                <xdr:row>18</xdr:row>
                <xdr:rowOff>123825</xdr:rowOff>
              </from>
              <to>
                <xdr:col>4</xdr:col>
                <xdr:colOff>247650</xdr:colOff>
                <xdr:row>20</xdr:row>
                <xdr:rowOff>47625</xdr:rowOff>
              </to>
            </anchor>
          </controlPr>
        </control>
      </mc:Choice>
      <mc:Fallback>
        <control shapeId="808977" r:id="rId10" name="OptionButton5"/>
      </mc:Fallback>
    </mc:AlternateContent>
    <mc:AlternateContent xmlns:mc="http://schemas.openxmlformats.org/markup-compatibility/2006">
      <mc:Choice Requires="x14">
        <control shapeId="808974" r:id="rId12" name="OptionButton4">
          <controlPr autoLine="0" r:id="rId13">
            <anchor moveWithCells="1">
              <from>
                <xdr:col>1</xdr:col>
                <xdr:colOff>371475</xdr:colOff>
                <xdr:row>12</xdr:row>
                <xdr:rowOff>142875</xdr:rowOff>
              </from>
              <to>
                <xdr:col>3</xdr:col>
                <xdr:colOff>523875</xdr:colOff>
                <xdr:row>14</xdr:row>
                <xdr:rowOff>66675</xdr:rowOff>
              </to>
            </anchor>
          </controlPr>
        </control>
      </mc:Choice>
      <mc:Fallback>
        <control shapeId="808974" r:id="rId12" name="OptionButton4"/>
      </mc:Fallback>
    </mc:AlternateContent>
    <mc:AlternateContent xmlns:mc="http://schemas.openxmlformats.org/markup-compatibility/2006">
      <mc:Choice Requires="x14">
        <control shapeId="808973" r:id="rId14" name="OptionButton3">
          <controlPr autoLine="0" r:id="rId15">
            <anchor moveWithCells="1">
              <from>
                <xdr:col>1</xdr:col>
                <xdr:colOff>371475</xdr:colOff>
                <xdr:row>11</xdr:row>
                <xdr:rowOff>0</xdr:rowOff>
              </from>
              <to>
                <xdr:col>3</xdr:col>
                <xdr:colOff>523875</xdr:colOff>
                <xdr:row>12</xdr:row>
                <xdr:rowOff>85725</xdr:rowOff>
              </to>
            </anchor>
          </controlPr>
        </control>
      </mc:Choice>
      <mc:Fallback>
        <control shapeId="808973" r:id="rId14" name="OptionButton3"/>
      </mc:Fallback>
    </mc:AlternateContent>
    <mc:AlternateContent xmlns:mc="http://schemas.openxmlformats.org/markup-compatibility/2006">
      <mc:Choice Requires="x14">
        <control shapeId="808972" r:id="rId16" name="OptionButton2">
          <controlPr autoLine="0" r:id="rId17">
            <anchor moveWithCells="1">
              <from>
                <xdr:col>1</xdr:col>
                <xdr:colOff>371475</xdr:colOff>
                <xdr:row>6</xdr:row>
                <xdr:rowOff>104775</xdr:rowOff>
              </from>
              <to>
                <xdr:col>3</xdr:col>
                <xdr:colOff>523875</xdr:colOff>
                <xdr:row>8</xdr:row>
                <xdr:rowOff>28575</xdr:rowOff>
              </to>
            </anchor>
          </controlPr>
        </control>
      </mc:Choice>
      <mc:Fallback>
        <control shapeId="808972" r:id="rId16" name="OptionButton2"/>
      </mc:Fallback>
    </mc:AlternateContent>
    <mc:AlternateContent xmlns:mc="http://schemas.openxmlformats.org/markup-compatibility/2006">
      <mc:Choice Requires="x14">
        <control shapeId="808971" r:id="rId18" name="OptionButton1">
          <controlPr autoLine="0" r:id="rId19">
            <anchor moveWithCells="1">
              <from>
                <xdr:col>1</xdr:col>
                <xdr:colOff>371475</xdr:colOff>
                <xdr:row>4</xdr:row>
                <xdr:rowOff>133350</xdr:rowOff>
              </from>
              <to>
                <xdr:col>3</xdr:col>
                <xdr:colOff>523875</xdr:colOff>
                <xdr:row>6</xdr:row>
                <xdr:rowOff>57150</xdr:rowOff>
              </to>
            </anchor>
          </controlPr>
        </control>
      </mc:Choice>
      <mc:Fallback>
        <control shapeId="808971" r:id="rId18" name="OptionButton1"/>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BC136"/>
  <sheetViews>
    <sheetView topLeftCell="A58" workbookViewId="0">
      <selection activeCell="L75" sqref="L75"/>
    </sheetView>
  </sheetViews>
  <sheetFormatPr defaultColWidth="9.140625" defaultRowHeight="12.75" x14ac:dyDescent="0.2"/>
  <cols>
    <col min="1" max="1" width="10.42578125" style="1" customWidth="1"/>
    <col min="2" max="16384" width="9.140625" style="1"/>
  </cols>
  <sheetData>
    <row r="1" spans="1:55" ht="15" x14ac:dyDescent="0.25">
      <c r="BA1" s="6" t="s">
        <v>485</v>
      </c>
    </row>
    <row r="2" spans="1:55" x14ac:dyDescent="0.2">
      <c r="A2" s="1">
        <f>MAX(Input!B8:B17)</f>
        <v>0</v>
      </c>
      <c r="B2" s="1" t="s">
        <v>104</v>
      </c>
      <c r="BA2" s="1">
        <v>100</v>
      </c>
      <c r="BB2" s="1" t="e">
        <f>VLOOKUP(BA2,Results!$C$5:$H$104,5,FALSE)</f>
        <v>#N/A</v>
      </c>
      <c r="BC2" s="65">
        <f t="shared" ref="BC2:BC65" si="0">BA2</f>
        <v>100</v>
      </c>
    </row>
    <row r="3" spans="1:55" x14ac:dyDescent="0.2">
      <c r="A3" s="1" t="b">
        <v>0</v>
      </c>
      <c r="B3" s="1" t="s">
        <v>78</v>
      </c>
      <c r="BA3" s="1">
        <v>99</v>
      </c>
      <c r="BB3" s="1" t="e">
        <f>VLOOKUP(BA3,Results!$C$5:$H$104,5,FALSE)</f>
        <v>#N/A</v>
      </c>
      <c r="BC3" s="65">
        <f t="shared" si="0"/>
        <v>99</v>
      </c>
    </row>
    <row r="4" spans="1:55" x14ac:dyDescent="0.2">
      <c r="A4" s="1" t="b">
        <v>0</v>
      </c>
      <c r="B4" s="1" t="s">
        <v>79</v>
      </c>
      <c r="BA4" s="1">
        <v>98</v>
      </c>
      <c r="BB4" s="1" t="e">
        <f>VLOOKUP(BA4,Results!$C$5:$H$104,5,FALSE)</f>
        <v>#N/A</v>
      </c>
      <c r="BC4" s="65">
        <f t="shared" si="0"/>
        <v>98</v>
      </c>
    </row>
    <row r="5" spans="1:55" ht="15" x14ac:dyDescent="0.25">
      <c r="A5" s="1">
        <v>0</v>
      </c>
      <c r="B5" s="1" t="s">
        <v>98</v>
      </c>
      <c r="H5" s="7" t="s">
        <v>99</v>
      </c>
      <c r="I5" s="1" t="b">
        <f>IF(A5=1,"Reinforcement Input",IF(A5=2,"TNX Geometry Input",IF(A5=3,"TNX Section Forces",IF(A5=4,"Results"))))</f>
        <v>0</v>
      </c>
      <c r="M5" s="7" t="s">
        <v>100</v>
      </c>
      <c r="N5" s="1" t="b">
        <f>IF(A5=1,"TNX Section Forces",IF(A5=2,IF(A7=TRUE,"View Results","Run Analysis"),IF(A5=3,"Additional Calculations",IF(A5=4,"Print PDF"))))</f>
        <v>0</v>
      </c>
      <c r="Q5" s="7" t="s">
        <v>101</v>
      </c>
      <c r="R5" s="1" t="b">
        <f>IF('Macro References'!$A$5=1,"TNX Geometry Input",IF('Macro References'!$A$5=2,"TNX Section Forces",IF('Macro References'!$A$5=3,"Analysis Results",IF('Macro References'!$A$5=4,"Additional Calculations"))))</f>
        <v>0</v>
      </c>
      <c r="BA5" s="1">
        <v>97</v>
      </c>
      <c r="BB5" s="1" t="e">
        <f>VLOOKUP(BA5,Results!$C$5:$H$104,5,FALSE)</f>
        <v>#N/A</v>
      </c>
      <c r="BC5" s="65">
        <f t="shared" si="0"/>
        <v>97</v>
      </c>
    </row>
    <row r="6" spans="1:55" x14ac:dyDescent="0.2">
      <c r="A6" s="1">
        <f>COUNT(Results!G5:H104)</f>
        <v>0</v>
      </c>
      <c r="B6" s="1" t="s">
        <v>102</v>
      </c>
      <c r="BA6" s="1">
        <v>96</v>
      </c>
      <c r="BB6" s="1" t="e">
        <f>VLOOKUP(BA6,Results!$C$5:$H$104,5,FALSE)</f>
        <v>#N/A</v>
      </c>
      <c r="BC6" s="65">
        <f t="shared" si="0"/>
        <v>96</v>
      </c>
    </row>
    <row r="7" spans="1:55" x14ac:dyDescent="0.2">
      <c r="A7" s="1" t="b">
        <v>0</v>
      </c>
      <c r="B7" s="1" t="s">
        <v>103</v>
      </c>
      <c r="BA7" s="1">
        <v>95</v>
      </c>
      <c r="BB7" s="1" t="e">
        <f>VLOOKUP(BA7,Results!$C$5:$H$104,5,FALSE)</f>
        <v>#N/A</v>
      </c>
      <c r="BC7" s="65">
        <f t="shared" si="0"/>
        <v>95</v>
      </c>
    </row>
    <row r="8" spans="1:55" ht="15" x14ac:dyDescent="0.25">
      <c r="A8" s="1" t="b">
        <f>AND(COUNT(Calculations!BQ60:BQ77)&gt;0)</f>
        <v>0</v>
      </c>
      <c r="B8" s="1" t="s">
        <v>105</v>
      </c>
      <c r="H8" s="162"/>
      <c r="BA8" s="1">
        <v>94</v>
      </c>
      <c r="BB8" s="1" t="e">
        <f>VLOOKUP(BA8,Results!$C$5:$H$104,5,FALSE)</f>
        <v>#N/A</v>
      </c>
      <c r="BC8" s="65">
        <f t="shared" si="0"/>
        <v>94</v>
      </c>
    </row>
    <row r="9" spans="1:55" ht="15" x14ac:dyDescent="0.25">
      <c r="A9" s="1" t="b">
        <v>1</v>
      </c>
      <c r="B9" s="142" t="s">
        <v>449</v>
      </c>
      <c r="BA9" s="1">
        <v>93</v>
      </c>
      <c r="BB9" s="1" t="e">
        <f>VLOOKUP(BA9,Results!$C$5:$H$104,5,FALSE)</f>
        <v>#N/A</v>
      </c>
      <c r="BC9" s="65">
        <f t="shared" si="0"/>
        <v>93</v>
      </c>
    </row>
    <row r="10" spans="1:55" ht="15" x14ac:dyDescent="0.25">
      <c r="A10" s="1" t="b">
        <v>0</v>
      </c>
      <c r="B10" s="142" t="s">
        <v>450</v>
      </c>
      <c r="BA10" s="1">
        <v>92</v>
      </c>
      <c r="BB10" s="1" t="e">
        <f>VLOOKUP(BA10,Results!$C$5:$H$104,5,FALSE)</f>
        <v>#N/A</v>
      </c>
      <c r="BC10" s="65">
        <f t="shared" si="0"/>
        <v>92</v>
      </c>
    </row>
    <row r="11" spans="1:55" x14ac:dyDescent="0.2">
      <c r="A11" s="1" t="b">
        <v>0</v>
      </c>
      <c r="B11" s="1" t="s">
        <v>123</v>
      </c>
      <c r="BA11" s="1">
        <v>91</v>
      </c>
      <c r="BB11" s="1" t="e">
        <f>VLOOKUP(BA11,Results!$C$5:$H$104,5,FALSE)</f>
        <v>#N/A</v>
      </c>
      <c r="BC11" s="65">
        <f t="shared" si="0"/>
        <v>91</v>
      </c>
    </row>
    <row r="12" spans="1:55" ht="15" x14ac:dyDescent="0.25">
      <c r="A12" s="1">
        <f>IF(AND(A2&gt;0,MAX(Input!O8:R17)=0),0,MAX(Input!U20:AL20))</f>
        <v>18</v>
      </c>
      <c r="B12" s="35" t="s">
        <v>144</v>
      </c>
      <c r="BA12" s="1">
        <v>90</v>
      </c>
      <c r="BB12" s="1" t="e">
        <f>VLOOKUP(BA12,Results!$C$5:$H$104,5,FALSE)</f>
        <v>#N/A</v>
      </c>
      <c r="BC12" s="65">
        <f t="shared" si="0"/>
        <v>90</v>
      </c>
    </row>
    <row r="13" spans="1:55" ht="15" x14ac:dyDescent="0.25">
      <c r="B13" s="35" t="s">
        <v>145</v>
      </c>
      <c r="BA13" s="1">
        <v>89</v>
      </c>
      <c r="BB13" s="1" t="e">
        <f>VLOOKUP(BA13,Results!$C$5:$H$104,5,FALSE)</f>
        <v>#N/A</v>
      </c>
      <c r="BC13" s="65">
        <f t="shared" si="0"/>
        <v>89</v>
      </c>
    </row>
    <row r="14" spans="1:55" x14ac:dyDescent="0.2">
      <c r="B14" s="33" t="str">
        <f>IF($A$12=0,IFERROR(VLOOKUP(VALUE(CONCATENATE(IF(AND($A13&lt;Hta_1,$A13&gt;=Hba_1,Input!U$21&lt;&gt;""),Input!$B$21,""),IF(AND($A13&lt;Hta_2,$A13&gt;=Hba_2,Input!U$22&lt;&gt;""),Input!$B$22,""),IF(AND($A13&lt;Hta_3,$A13&gt;=Hba_3,Input!U$23&lt;&gt;""),Input!$B$23,""),IF(AND($A13&lt;Hta_4,$A13&gt;=Hba_4,Input!U$24&lt;&gt;""),Input!$B$24,""),IF(AND($A13&lt;Hta_5,$A13&gt;=Hba_5,Input!U$25&lt;&gt;""),Input!$B$25,""),IF(AND($A13&lt;Hta_6,$A13&gt;=Hba_6,Input!U$26&lt;&gt;""),Input!$B$26,""),IF(AND($A13&lt;Hta_7,$A13&gt;=Hba_7,Input!U$27&lt;&gt;""),Input!$B$27,""),IF(AND($A13&lt;Hta_8,$A13&gt;=Hba_8,Input!U$28&lt;&gt;""),Input!$B$28,""),IF(AND($A13&lt;Hta_9,$A13&gt;=Hba_9,Input!U$29&lt;&gt;""),Input!$B$29,""),IF(AND($A13&lt;Hta_10,$A13&gt;=Hba_10,Input!U$30&lt;&gt;""),Input!$B$30,""),IF(AND($A13&lt;Hta_11,$A13&gt;=Hba_11,Input!U$31&lt;&gt;""),Input!$B$31,""),IF(AND($A13&lt;Hta_12,$A13&gt;=Hba_12,Input!U$32&lt;&gt;""),Input!$B$32,""),IF(AND($A13&lt;Hta_13,$A13&gt;=Hba_13,Input!U$33&lt;&gt;""),Input!$B$33,""),IF(AND($A13&lt;Hta_14,$A13&gt;=Hba_14,Input!U$34&lt;&gt;""),Input!$B$34,""),IF(AND($A13&lt;Hta_15,$A13&gt;=Hba_15,Input!U$35&lt;&gt;""),Input!$B$35,""),IF(AND($A13&lt;Hta_16,$A13&gt;=Hba_16,Input!U$36&lt;&gt;""),Input!$B$36,""),IF(AND($A13&lt;Hta_17,$A13&gt;=Hba_17,Input!U$37&lt;&gt;""),Input!$B$37,""),IF(AND($A13&lt;Hta_18,$A13&gt;=Hba_18,Input!U$38&lt;&gt;""),Input!$B$38,""),IF(AND($A13&lt;Hta_19,$A13&gt;=Hba_19,Input!U$39&lt;&gt;""),Input!$B$39,""),IF(AND($A13&lt;Hta_20,$A13&gt;=Hba_20,Input!U$40&lt;&gt;""),Input!$B$40,""),IF(AND($A13&lt;Hta_21,$A13&gt;=Hba_21,Input!U$41&lt;&gt;""),Input!$B$41,""),IF(AND($A13&lt;Hta_22,$A13&gt;=Hba_22,Input!U$42&lt;&gt;""),Input!$B$42,""),IF(AND($A13&lt;Hta_23,$A13&gt;=Hba_23,Input!U$43&lt;&gt;""),Input!$B$43,""),IF(AND($A13&lt;Hta_24,$A13&gt;=Hba_24,Input!U$44&lt;&gt;""),Input!$B$44,""),IF(AND($A13&lt;Hta_25,$A13&gt;=Hba_25,Input!U$45&lt;&gt;""),Input!$B$45,""),IF(AND($A13&lt;Hta_26,$A13&gt;=Hba_26,Input!U$46&lt;&gt;""),Input!$B$46,""),IF(AND($A13&lt;Hta_27,$A13&gt;=Hba_27,Input!U$47&lt;&gt;""),Input!$B$47,""),IF(AND($A13&lt;Hta_28,$A13&gt;=Hba_28,Input!U$48&lt;&gt;""),Input!$B$48,""),IF(AND($A13&lt;Hta_29,$A13&gt;=Hba_29,Input!U$49&lt;&gt;""),Input!$B$49,""),IF(AND($A13&lt;Hta_30,$A13&gt;=Hba_30,Input!U$50&lt;&gt;""),Input!$B$50,""))),Input!$B$21:$AL$50,19+Input!U20,FALSE),""),IFERROR(CONCATENATE(IF(AND($A13&lt;Hta_1,$A13&gt;=Hba_1,Input!U$21&lt;&gt;""),Input!$B$21&amp;";",""),IF(AND($A13&lt;Hta_2,$A13&gt;=Hba_2,Input!U$22&lt;&gt;""),Input!$B$22&amp;";",""),IF(AND($A13&lt;Hta_3,$A13&gt;=Hba_3,Input!U$23&lt;&gt;""),Input!$B$23&amp;";",""),IF(AND($A13&lt;Hta_4,$A13&gt;=Hba_4,Input!U$24&lt;&gt;""),Input!$B$24&amp;";",""),IF(AND($A13&lt;Hta_5,$A13&gt;=Hba_5,Input!U$25&lt;&gt;""),Input!$B$25&amp;";",""),IF(AND($A13&lt;Hta_6,$A13&gt;=Hba_6,Input!U$26&lt;&gt;""),Input!$B$26&amp;";",""),IF(AND($A13&lt;Hta_7,$A13&gt;=Hba_7,Input!U$27&lt;&gt;""),Input!$B$27&amp;";",""),IF(AND($A13&lt;Hta_8,$A13&gt;=Hba_8,Input!U$28&lt;&gt;""),Input!$B$28&amp;";",""),IF(AND($A13&lt;Hta_9,$A13&gt;=Hba_9,Input!U$29&lt;&gt;""),Input!$B$29&amp;";",""),IF(AND($A13&lt;Hta_10,$A13&gt;=Hba_10,Input!U$30&lt;&gt;""),Input!$B$30&amp;";",""),IF(AND($A13&lt;Hta_11,$A13&gt;=Hba_11,Input!U$31&lt;&gt;""),Input!$B$31&amp;";",""),IF(AND($A13&lt;Hta_12,$A13&gt;=Hba_12,Input!U$32&lt;&gt;""),Input!$B$32&amp;";",""),IF(AND($A13&lt;Hta_13,$A13&gt;=Hba_13,Input!U$33&lt;&gt;""),Input!$B$33&amp;";",""),IF(AND($A13&lt;Hta_14,$A13&gt;=Hba_14,Input!U$34&lt;&gt;""),Input!$B$34&amp;";",""),IF(AND($A13&lt;Hta_15,$A13&gt;=Hba_15,Input!U$35&lt;&gt;""),Input!$B$35&amp;";",""),IF(AND($A13&lt;Hta_16,$A13&gt;=Hba_16,Input!U$36&lt;&gt;""),Input!$B$36&amp;";",""),IF(AND($A13&lt;Hta_17,$A13&gt;=Hba_17,Input!U$37&lt;&gt;""),Input!$B$37&amp;";",""),IF(AND($A13&lt;Hta_18,$A13&gt;=Hba_18,Input!U$38&lt;&gt;""),Input!$B$38&amp;";",""),IF(AND($A13&lt;Hta_19,$A13&gt;=Hba_19,Input!U$39&lt;&gt;""),Input!$B$39&amp;";",""),IF(AND($A13&lt;Hta_20,$A13&gt;=Hba_20,Input!U$40&lt;&gt;""),Input!$B$40&amp;";",""),IF(AND($A13&lt;Hta_21,$A13&gt;=Hba_21,Input!U$41&lt;&gt;""),Input!$B$41&amp;";",""),IF(AND($A13&lt;Hta_22,$A13&gt;=Hba_22,Input!U$42&lt;&gt;""),Input!$B$42&amp;";",""),IF(AND($A13&lt;Hta_23,$A13&gt;=Hba_23,Input!U$43&lt;&gt;""),Input!$B$43&amp;";",""),IF(AND($A13&lt;Hta_24,$A13&gt;=Hba_24,Input!U$44&lt;&gt;""),Input!$B$44&amp;";",""),IF(AND($A13&lt;Hta_25,$A13&gt;=Hba_25,Input!U$45&lt;&gt;""),Input!$B$45&amp;";",""),IF(AND($A13&lt;Hta_26,$A13&gt;=Hba_26,Input!U$46&lt;&gt;""),Input!$B$46&amp;";",""),IF(AND($A13&lt;Hta_27,$A13&gt;=Hba_27,Input!U$47&lt;&gt;""),Input!$B$47&amp;";",""),IF(AND($A13&lt;Hta_28,$A13&gt;=Hba_28,Input!U$48&lt;&gt;""),Input!$B$48&amp;";",""),IF(AND($A13&lt;Hta_29,$A13&gt;=Hba_29,Input!U$49&lt;&gt;""),Input!$B$49&amp;";",""),IF(AND($A13&lt;Hta_30,$A13&gt;=Hba_30,Input!U$50&lt;&gt;""),Input!$B$50&amp;";","")),""))</f>
        <v/>
      </c>
      <c r="C14" s="110" t="str">
        <f>IF($A$12=0,IFERROR(VLOOKUP(VALUE(CONCATENATE(IF(AND($A13&lt;Hta_1,$A13&gt;=Hba_1,Input!V$21&lt;&gt;""),Input!$B$21,""),IF(AND($A13&lt;Hta_2,$A13&gt;=Hba_2,Input!V$22&lt;&gt;""),Input!$B$22,""),IF(AND($A13&lt;Hta_3,$A13&gt;=Hba_3,Input!V$23&lt;&gt;""),Input!$B$23,""),IF(AND($A13&lt;Hta_4,$A13&gt;=Hba_4,Input!V$24&lt;&gt;""),Input!$B$24,""),IF(AND($A13&lt;Hta_5,$A13&gt;=Hba_5,Input!V$25&lt;&gt;""),Input!$B$25,""),IF(AND($A13&lt;Hta_6,$A13&gt;=Hba_6,Input!V$26&lt;&gt;""),Input!$B$26,""),IF(AND($A13&lt;Hta_7,$A13&gt;=Hba_7,Input!V$27&lt;&gt;""),Input!$B$27,""),IF(AND($A13&lt;Hta_8,$A13&gt;=Hba_8,Input!V$28&lt;&gt;""),Input!$B$28,""),IF(AND($A13&lt;Hta_9,$A13&gt;=Hba_9,Input!V$29&lt;&gt;""),Input!$B$29,""),IF(AND($A13&lt;Hta_10,$A13&gt;=Hba_10,Input!V$30&lt;&gt;""),Input!$B$30,""),IF(AND($A13&lt;Hta_11,$A13&gt;=Hba_11,Input!V$31&lt;&gt;""),Input!$B$31,""),IF(AND($A13&lt;Hta_12,$A13&gt;=Hba_12,Input!V$32&lt;&gt;""),Input!$B$32,""),IF(AND($A13&lt;Hta_13,$A13&gt;=Hba_13,Input!V$33&lt;&gt;""),Input!$B$33,""),IF(AND($A13&lt;Hta_14,$A13&gt;=Hba_14,Input!V$34&lt;&gt;""),Input!$B$34,""),IF(AND($A13&lt;Hta_15,$A13&gt;=Hba_15,Input!V$35&lt;&gt;""),Input!$B$35,""),IF(AND($A13&lt;Hta_16,$A13&gt;=Hba_16,Input!V$36&lt;&gt;""),Input!$B$36,""),IF(AND($A13&lt;Hta_17,$A13&gt;=Hba_17,Input!V$37&lt;&gt;""),Input!$B$37,""),IF(AND($A13&lt;Hta_18,$A13&gt;=Hba_18,Input!V$38&lt;&gt;""),Input!$B$38,""),IF(AND($A13&lt;Hta_19,$A13&gt;=Hba_19,Input!V$39&lt;&gt;""),Input!$B$39,""),IF(AND($A13&lt;Hta_20,$A13&gt;=Hba_20,Input!V$40&lt;&gt;""),Input!$B$40,""),IF(AND($A13&lt;Hta_21,$A13&gt;=Hba_21,Input!V$41&lt;&gt;""),Input!$B$41,""),IF(AND($A13&lt;Hta_22,$A13&gt;=Hba_22,Input!V$42&lt;&gt;""),Input!$B$42,""),IF(AND($A13&lt;Hta_23,$A13&gt;=Hba_23,Input!V$43&lt;&gt;""),Input!$B$43,""),IF(AND($A13&lt;Hta_24,$A13&gt;=Hba_24,Input!V$44&lt;&gt;""),Input!$B$44,""),IF(AND($A13&lt;Hta_25,$A13&gt;=Hba_25,Input!V$45&lt;&gt;""),Input!$B$45,""),IF(AND($A13&lt;Hta_26,$A13&gt;=Hba_26,Input!V$46&lt;&gt;""),Input!$B$46,""),IF(AND($A13&lt;Hta_27,$A13&gt;=Hba_27,Input!V$47&lt;&gt;""),Input!$B$47,""),IF(AND($A13&lt;Hta_28,$A13&gt;=Hba_28,Input!V$48&lt;&gt;""),Input!$B$48,""),IF(AND($A13&lt;Hta_29,$A13&gt;=Hba_29,Input!V$49&lt;&gt;""),Input!$B$49,""),IF(AND($A13&lt;Hta_30,$A13&gt;=Hba_30,Input!V$50&lt;&gt;""),Input!$B$50,""))),Input!$B$21:$AL$50,19+Input!V20,FALSE),""),IFERROR(CONCATENATE(IF(AND($A13&lt;Hta_1,$A13&gt;=Hba_1,Input!V$21&lt;&gt;""),Input!$B$21&amp;";",""),IF(AND($A13&lt;Hta_2,$A13&gt;=Hba_2,Input!V$22&lt;&gt;""),Input!$B$22&amp;";",""),IF(AND($A13&lt;Hta_3,$A13&gt;=Hba_3,Input!V$23&lt;&gt;""),Input!$B$23&amp;";",""),IF(AND($A13&lt;Hta_4,$A13&gt;=Hba_4,Input!V$24&lt;&gt;""),Input!$B$24&amp;";",""),IF(AND($A13&lt;Hta_5,$A13&gt;=Hba_5,Input!V$25&lt;&gt;""),Input!$B$25&amp;";",""),IF(AND($A13&lt;Hta_6,$A13&gt;=Hba_6,Input!V$26&lt;&gt;""),Input!$B$26&amp;";",""),IF(AND($A13&lt;Hta_7,$A13&gt;=Hba_7,Input!V$27&lt;&gt;""),Input!$B$27&amp;";",""),IF(AND($A13&lt;Hta_8,$A13&gt;=Hba_8,Input!V$28&lt;&gt;""),Input!$B$28&amp;";",""),IF(AND($A13&lt;Hta_9,$A13&gt;=Hba_9,Input!V$29&lt;&gt;""),Input!$B$29&amp;";",""),IF(AND($A13&lt;Hta_10,$A13&gt;=Hba_10,Input!V$30&lt;&gt;""),Input!$B$30&amp;";",""),IF(AND($A13&lt;Hta_11,$A13&gt;=Hba_11,Input!V$31&lt;&gt;""),Input!$B$31&amp;";",""),IF(AND($A13&lt;Hta_12,$A13&gt;=Hba_12,Input!V$32&lt;&gt;""),Input!$B$32&amp;";",""),IF(AND($A13&lt;Hta_13,$A13&gt;=Hba_13,Input!V$33&lt;&gt;""),Input!$B$33&amp;";",""),IF(AND($A13&lt;Hta_14,$A13&gt;=Hba_14,Input!V$34&lt;&gt;""),Input!$B$34&amp;";",""),IF(AND($A13&lt;Hta_15,$A13&gt;=Hba_15,Input!V$35&lt;&gt;""),Input!$B$35&amp;";",""),IF(AND($A13&lt;Hta_16,$A13&gt;=Hba_16,Input!V$36&lt;&gt;""),Input!$B$36&amp;";",""),IF(AND($A13&lt;Hta_17,$A13&gt;=Hba_17,Input!V$37&lt;&gt;""),Input!$B$37&amp;";",""),IF(AND($A13&lt;Hta_18,$A13&gt;=Hba_18,Input!V$38&lt;&gt;""),Input!$B$38&amp;";",""),IF(AND($A13&lt;Hta_19,$A13&gt;=Hba_19,Input!V$39&lt;&gt;""),Input!$B$39&amp;";",""),IF(AND($A13&lt;Hta_20,$A13&gt;=Hba_20,Input!V$40&lt;&gt;""),Input!$B$40&amp;";",""),IF(AND($A13&lt;Hta_21,$A13&gt;=Hba_21,Input!V$41&lt;&gt;""),Input!$B$41&amp;";",""),IF(AND($A13&lt;Hta_22,$A13&gt;=Hba_22,Input!V$42&lt;&gt;""),Input!$B$42&amp;";",""),IF(AND($A13&lt;Hta_23,$A13&gt;=Hba_23,Input!V$43&lt;&gt;""),Input!$B$43&amp;";",""),IF(AND($A13&lt;Hta_24,$A13&gt;=Hba_24,Input!V$44&lt;&gt;""),Input!$B$44&amp;";",""),IF(AND($A13&lt;Hta_25,$A13&gt;=Hba_25,Input!V$45&lt;&gt;""),Input!$B$45&amp;";",""),IF(AND($A13&lt;Hta_26,$A13&gt;=Hba_26,Input!V$46&lt;&gt;""),Input!$B$46&amp;";",""),IF(AND($A13&lt;Hta_27,$A13&gt;=Hba_27,Input!V$47&lt;&gt;""),Input!$B$47&amp;";",""),IF(AND($A13&lt;Hta_28,$A13&gt;=Hba_28,Input!V$48&lt;&gt;""),Input!$B$48&amp;";",""),IF(AND($A13&lt;Hta_29,$A13&gt;=Hba_29,Input!V$49&lt;&gt;""),Input!$B$49&amp;";",""),IF(AND($A13&lt;Hta_30,$A13&gt;=Hba_30,Input!V$50&lt;&gt;""),Input!$B$50&amp;";","")),""))</f>
        <v/>
      </c>
      <c r="D14" s="110" t="str">
        <f>IF($A$12=0,IFERROR(VLOOKUP(VALUE(CONCATENATE(IF(AND($A13&lt;Hta_1,$A13&gt;=Hba_1,Input!W$21&lt;&gt;""),Input!$B$21,""),IF(AND($A13&lt;Hta_2,$A13&gt;=Hba_2,Input!W$22&lt;&gt;""),Input!$B$22,""),IF(AND($A13&lt;Hta_3,$A13&gt;=Hba_3,Input!W$23&lt;&gt;""),Input!$B$23,""),IF(AND($A13&lt;Hta_4,$A13&gt;=Hba_4,Input!W$24&lt;&gt;""),Input!$B$24,""),IF(AND($A13&lt;Hta_5,$A13&gt;=Hba_5,Input!W$25&lt;&gt;""),Input!$B$25,""),IF(AND($A13&lt;Hta_6,$A13&gt;=Hba_6,Input!W$26&lt;&gt;""),Input!$B$26,""),IF(AND($A13&lt;Hta_7,$A13&gt;=Hba_7,Input!W$27&lt;&gt;""),Input!$B$27,""),IF(AND($A13&lt;Hta_8,$A13&gt;=Hba_8,Input!W$28&lt;&gt;""),Input!$B$28,""),IF(AND($A13&lt;Hta_9,$A13&gt;=Hba_9,Input!W$29&lt;&gt;""),Input!$B$29,""),IF(AND($A13&lt;Hta_10,$A13&gt;=Hba_10,Input!W$30&lt;&gt;""),Input!$B$30,""),IF(AND($A13&lt;Hta_11,$A13&gt;=Hba_11,Input!W$31&lt;&gt;""),Input!$B$31,""),IF(AND($A13&lt;Hta_12,$A13&gt;=Hba_12,Input!W$32&lt;&gt;""),Input!$B$32,""),IF(AND($A13&lt;Hta_13,$A13&gt;=Hba_13,Input!W$33&lt;&gt;""),Input!$B$33,""),IF(AND($A13&lt;Hta_14,$A13&gt;=Hba_14,Input!W$34&lt;&gt;""),Input!$B$34,""),IF(AND($A13&lt;Hta_15,$A13&gt;=Hba_15,Input!W$35&lt;&gt;""),Input!$B$35,""),IF(AND($A13&lt;Hta_16,$A13&gt;=Hba_16,Input!W$36&lt;&gt;""),Input!$B$36,""),IF(AND($A13&lt;Hta_17,$A13&gt;=Hba_17,Input!W$37&lt;&gt;""),Input!$B$37,""),IF(AND($A13&lt;Hta_18,$A13&gt;=Hba_18,Input!W$38&lt;&gt;""),Input!$B$38,""),IF(AND($A13&lt;Hta_19,$A13&gt;=Hba_19,Input!W$39&lt;&gt;""),Input!$B$39,""),IF(AND($A13&lt;Hta_20,$A13&gt;=Hba_20,Input!W$40&lt;&gt;""),Input!$B$40,""),IF(AND($A13&lt;Hta_21,$A13&gt;=Hba_21,Input!W$41&lt;&gt;""),Input!$B$41,""),IF(AND($A13&lt;Hta_22,$A13&gt;=Hba_22,Input!W$42&lt;&gt;""),Input!$B$42,""),IF(AND($A13&lt;Hta_23,$A13&gt;=Hba_23,Input!W$43&lt;&gt;""),Input!$B$43,""),IF(AND($A13&lt;Hta_24,$A13&gt;=Hba_24,Input!W$44&lt;&gt;""),Input!$B$44,""),IF(AND($A13&lt;Hta_25,$A13&gt;=Hba_25,Input!W$45&lt;&gt;""),Input!$B$45,""),IF(AND($A13&lt;Hta_26,$A13&gt;=Hba_26,Input!W$46&lt;&gt;""),Input!$B$46,""),IF(AND($A13&lt;Hta_27,$A13&gt;=Hba_27,Input!W$47&lt;&gt;""),Input!$B$47,""),IF(AND($A13&lt;Hta_28,$A13&gt;=Hba_28,Input!W$48&lt;&gt;""),Input!$B$48,""),IF(AND($A13&lt;Hta_29,$A13&gt;=Hba_29,Input!W$49&lt;&gt;""),Input!$B$49,""),IF(AND($A13&lt;Hta_30,$A13&gt;=Hba_30,Input!W$50&lt;&gt;""),Input!$B$50,""))),Input!$B$21:$AL$50,19+Input!W20,FALSE),""),IFERROR(CONCATENATE(IF(AND($A13&lt;Hta_1,$A13&gt;=Hba_1,Input!W$21&lt;&gt;""),Input!$B$21&amp;";",""),IF(AND($A13&lt;Hta_2,$A13&gt;=Hba_2,Input!W$22&lt;&gt;""),Input!$B$22&amp;";",""),IF(AND($A13&lt;Hta_3,$A13&gt;=Hba_3,Input!W$23&lt;&gt;""),Input!$B$23&amp;";",""),IF(AND($A13&lt;Hta_4,$A13&gt;=Hba_4,Input!W$24&lt;&gt;""),Input!$B$24&amp;";",""),IF(AND($A13&lt;Hta_5,$A13&gt;=Hba_5,Input!W$25&lt;&gt;""),Input!$B$25&amp;";",""),IF(AND($A13&lt;Hta_6,$A13&gt;=Hba_6,Input!W$26&lt;&gt;""),Input!$B$26&amp;";",""),IF(AND($A13&lt;Hta_7,$A13&gt;=Hba_7,Input!W$27&lt;&gt;""),Input!$B$27&amp;";",""),IF(AND($A13&lt;Hta_8,$A13&gt;=Hba_8,Input!W$28&lt;&gt;""),Input!$B$28&amp;";",""),IF(AND($A13&lt;Hta_9,$A13&gt;=Hba_9,Input!W$29&lt;&gt;""),Input!$B$29&amp;";",""),IF(AND($A13&lt;Hta_10,$A13&gt;=Hba_10,Input!W$30&lt;&gt;""),Input!$B$30&amp;";",""),IF(AND($A13&lt;Hta_11,$A13&gt;=Hba_11,Input!W$31&lt;&gt;""),Input!$B$31&amp;";",""),IF(AND($A13&lt;Hta_12,$A13&gt;=Hba_12,Input!W$32&lt;&gt;""),Input!$B$32&amp;";",""),IF(AND($A13&lt;Hta_13,$A13&gt;=Hba_13,Input!W$33&lt;&gt;""),Input!$B$33&amp;";",""),IF(AND($A13&lt;Hta_14,$A13&gt;=Hba_14,Input!W$34&lt;&gt;""),Input!$B$34&amp;";",""),IF(AND($A13&lt;Hta_15,$A13&gt;=Hba_15,Input!W$35&lt;&gt;""),Input!$B$35&amp;";",""),IF(AND($A13&lt;Hta_16,$A13&gt;=Hba_16,Input!W$36&lt;&gt;""),Input!$B$36&amp;";",""),IF(AND($A13&lt;Hta_17,$A13&gt;=Hba_17,Input!W$37&lt;&gt;""),Input!$B$37&amp;";",""),IF(AND($A13&lt;Hta_18,$A13&gt;=Hba_18,Input!W$38&lt;&gt;""),Input!$B$38&amp;";",""),IF(AND($A13&lt;Hta_19,$A13&gt;=Hba_19,Input!W$39&lt;&gt;""),Input!$B$39&amp;";",""),IF(AND($A13&lt;Hta_20,$A13&gt;=Hba_20,Input!W$40&lt;&gt;""),Input!$B$40&amp;";",""),IF(AND($A13&lt;Hta_21,$A13&gt;=Hba_21,Input!W$41&lt;&gt;""),Input!$B$41&amp;";",""),IF(AND($A13&lt;Hta_22,$A13&gt;=Hba_22,Input!W$42&lt;&gt;""),Input!$B$42&amp;";",""),IF(AND($A13&lt;Hta_23,$A13&gt;=Hba_23,Input!W$43&lt;&gt;""),Input!$B$43&amp;";",""),IF(AND($A13&lt;Hta_24,$A13&gt;=Hba_24,Input!W$44&lt;&gt;""),Input!$B$44&amp;";",""),IF(AND($A13&lt;Hta_25,$A13&gt;=Hba_25,Input!W$45&lt;&gt;""),Input!$B$45&amp;";",""),IF(AND($A13&lt;Hta_26,$A13&gt;=Hba_26,Input!W$46&lt;&gt;""),Input!$B$46&amp;";",""),IF(AND($A13&lt;Hta_27,$A13&gt;=Hba_27,Input!W$47&lt;&gt;""),Input!$B$47&amp;";",""),IF(AND($A13&lt;Hta_28,$A13&gt;=Hba_28,Input!W$48&lt;&gt;""),Input!$B$48&amp;";",""),IF(AND($A13&lt;Hta_29,$A13&gt;=Hba_29,Input!W$49&lt;&gt;""),Input!$B$49&amp;";",""),IF(AND($A13&lt;Hta_30,$A13&gt;=Hba_30,Input!W$50&lt;&gt;""),Input!$B$50&amp;";","")),""))</f>
        <v/>
      </c>
      <c r="E14" s="110" t="str">
        <f>IF($A$12=0,IFERROR(VLOOKUP(VALUE(CONCATENATE(IF(AND($A13&lt;Hta_1,$A13&gt;=Hba_1,Input!X$21&lt;&gt;""),Input!$B$21,""),IF(AND($A13&lt;Hta_2,$A13&gt;=Hba_2,Input!X$22&lt;&gt;""),Input!$B$22,""),IF(AND($A13&lt;Hta_3,$A13&gt;=Hba_3,Input!X$23&lt;&gt;""),Input!$B$23,""),IF(AND($A13&lt;Hta_4,$A13&gt;=Hba_4,Input!X$24&lt;&gt;""),Input!$B$24,""),IF(AND($A13&lt;Hta_5,$A13&gt;=Hba_5,Input!X$25&lt;&gt;""),Input!$B$25,""),IF(AND($A13&lt;Hta_6,$A13&gt;=Hba_6,Input!X$26&lt;&gt;""),Input!$B$26,""),IF(AND($A13&lt;Hta_7,$A13&gt;=Hba_7,Input!X$27&lt;&gt;""),Input!$B$27,""),IF(AND($A13&lt;Hta_8,$A13&gt;=Hba_8,Input!X$28&lt;&gt;""),Input!$B$28,""),IF(AND($A13&lt;Hta_9,$A13&gt;=Hba_9,Input!X$29&lt;&gt;""),Input!$B$29,""),IF(AND($A13&lt;Hta_10,$A13&gt;=Hba_10,Input!X$30&lt;&gt;""),Input!$B$30,""),IF(AND($A13&lt;Hta_11,$A13&gt;=Hba_11,Input!X$31&lt;&gt;""),Input!$B$31,""),IF(AND($A13&lt;Hta_12,$A13&gt;=Hba_12,Input!X$32&lt;&gt;""),Input!$B$32,""),IF(AND($A13&lt;Hta_13,$A13&gt;=Hba_13,Input!X$33&lt;&gt;""),Input!$B$33,""),IF(AND($A13&lt;Hta_14,$A13&gt;=Hba_14,Input!X$34&lt;&gt;""),Input!$B$34,""),IF(AND($A13&lt;Hta_15,$A13&gt;=Hba_15,Input!X$35&lt;&gt;""),Input!$B$35,""),IF(AND($A13&lt;Hta_16,$A13&gt;=Hba_16,Input!X$36&lt;&gt;""),Input!$B$36,""),IF(AND($A13&lt;Hta_17,$A13&gt;=Hba_17,Input!X$37&lt;&gt;""),Input!$B$37,""),IF(AND($A13&lt;Hta_18,$A13&gt;=Hba_18,Input!X$38&lt;&gt;""),Input!$B$38,""),IF(AND($A13&lt;Hta_19,$A13&gt;=Hba_19,Input!X$39&lt;&gt;""),Input!$B$39,""),IF(AND($A13&lt;Hta_20,$A13&gt;=Hba_20,Input!X$40&lt;&gt;""),Input!$B$40,""),IF(AND($A13&lt;Hta_21,$A13&gt;=Hba_21,Input!X$41&lt;&gt;""),Input!$B$41,""),IF(AND($A13&lt;Hta_22,$A13&gt;=Hba_22,Input!X$42&lt;&gt;""),Input!$B$42,""),IF(AND($A13&lt;Hta_23,$A13&gt;=Hba_23,Input!X$43&lt;&gt;""),Input!$B$43,""),IF(AND($A13&lt;Hta_24,$A13&gt;=Hba_24,Input!X$44&lt;&gt;""),Input!$B$44,""),IF(AND($A13&lt;Hta_25,$A13&gt;=Hba_25,Input!X$45&lt;&gt;""),Input!$B$45,""),IF(AND($A13&lt;Hta_26,$A13&gt;=Hba_26,Input!X$46&lt;&gt;""),Input!$B$46,""),IF(AND($A13&lt;Hta_27,$A13&gt;=Hba_27,Input!X$47&lt;&gt;""),Input!$B$47,""),IF(AND($A13&lt;Hta_28,$A13&gt;=Hba_28,Input!X$48&lt;&gt;""),Input!$B$48,""),IF(AND($A13&lt;Hta_29,$A13&gt;=Hba_29,Input!X$49&lt;&gt;""),Input!$B$49,""),IF(AND($A13&lt;Hta_30,$A13&gt;=Hba_30,Input!X$50&lt;&gt;""),Input!$B$50,""))),Input!$B$21:$AL$50,19+Input!X20,FALSE),""),IFERROR(CONCATENATE(IF(AND($A13&lt;Hta_1,$A13&gt;=Hba_1,Input!X$21&lt;&gt;""),Input!$B$21&amp;";",""),IF(AND($A13&lt;Hta_2,$A13&gt;=Hba_2,Input!X$22&lt;&gt;""),Input!$B$22&amp;";",""),IF(AND($A13&lt;Hta_3,$A13&gt;=Hba_3,Input!X$23&lt;&gt;""),Input!$B$23&amp;";",""),IF(AND($A13&lt;Hta_4,$A13&gt;=Hba_4,Input!X$24&lt;&gt;""),Input!$B$24&amp;";",""),IF(AND($A13&lt;Hta_5,$A13&gt;=Hba_5,Input!X$25&lt;&gt;""),Input!$B$25&amp;";",""),IF(AND($A13&lt;Hta_6,$A13&gt;=Hba_6,Input!X$26&lt;&gt;""),Input!$B$26&amp;";",""),IF(AND($A13&lt;Hta_7,$A13&gt;=Hba_7,Input!X$27&lt;&gt;""),Input!$B$27&amp;";",""),IF(AND($A13&lt;Hta_8,$A13&gt;=Hba_8,Input!X$28&lt;&gt;""),Input!$B$28&amp;";",""),IF(AND($A13&lt;Hta_9,$A13&gt;=Hba_9,Input!X$29&lt;&gt;""),Input!$B$29&amp;";",""),IF(AND($A13&lt;Hta_10,$A13&gt;=Hba_10,Input!X$30&lt;&gt;""),Input!$B$30&amp;";",""),IF(AND($A13&lt;Hta_11,$A13&gt;=Hba_11,Input!X$31&lt;&gt;""),Input!$B$31&amp;";",""),IF(AND($A13&lt;Hta_12,$A13&gt;=Hba_12,Input!X$32&lt;&gt;""),Input!$B$32&amp;";",""),IF(AND($A13&lt;Hta_13,$A13&gt;=Hba_13,Input!X$33&lt;&gt;""),Input!$B$33&amp;";",""),IF(AND($A13&lt;Hta_14,$A13&gt;=Hba_14,Input!X$34&lt;&gt;""),Input!$B$34&amp;";",""),IF(AND($A13&lt;Hta_15,$A13&gt;=Hba_15,Input!X$35&lt;&gt;""),Input!$B$35&amp;";",""),IF(AND($A13&lt;Hta_16,$A13&gt;=Hba_16,Input!X$36&lt;&gt;""),Input!$B$36&amp;";",""),IF(AND($A13&lt;Hta_17,$A13&gt;=Hba_17,Input!X$37&lt;&gt;""),Input!$B$37&amp;";",""),IF(AND($A13&lt;Hta_18,$A13&gt;=Hba_18,Input!X$38&lt;&gt;""),Input!$B$38&amp;";",""),IF(AND($A13&lt;Hta_19,$A13&gt;=Hba_19,Input!X$39&lt;&gt;""),Input!$B$39&amp;";",""),IF(AND($A13&lt;Hta_20,$A13&gt;=Hba_20,Input!X$40&lt;&gt;""),Input!$B$40&amp;";",""),IF(AND($A13&lt;Hta_21,$A13&gt;=Hba_21,Input!X$41&lt;&gt;""),Input!$B$41&amp;";",""),IF(AND($A13&lt;Hta_22,$A13&gt;=Hba_22,Input!X$42&lt;&gt;""),Input!$B$42&amp;";",""),IF(AND($A13&lt;Hta_23,$A13&gt;=Hba_23,Input!X$43&lt;&gt;""),Input!$B$43&amp;";",""),IF(AND($A13&lt;Hta_24,$A13&gt;=Hba_24,Input!X$44&lt;&gt;""),Input!$B$44&amp;";",""),IF(AND($A13&lt;Hta_25,$A13&gt;=Hba_25,Input!X$45&lt;&gt;""),Input!$B$45&amp;";",""),IF(AND($A13&lt;Hta_26,$A13&gt;=Hba_26,Input!X$46&lt;&gt;""),Input!$B$46&amp;";",""),IF(AND($A13&lt;Hta_27,$A13&gt;=Hba_27,Input!X$47&lt;&gt;""),Input!$B$47&amp;";",""),IF(AND($A13&lt;Hta_28,$A13&gt;=Hba_28,Input!X$48&lt;&gt;""),Input!$B$48&amp;";",""),IF(AND($A13&lt;Hta_29,$A13&gt;=Hba_29,Input!X$49&lt;&gt;""),Input!$B$49&amp;";",""),IF(AND($A13&lt;Hta_30,$A13&gt;=Hba_30,Input!X$50&lt;&gt;""),Input!$B$50&amp;";","")),""))</f>
        <v/>
      </c>
      <c r="F14" s="110" t="str">
        <f>IF($A$12=0,IFERROR(VLOOKUP(VALUE(CONCATENATE(IF(AND($A13&lt;Hta_1,$A13&gt;=Hba_1,Input!Y$21&lt;&gt;""),Input!$B$21,""),IF(AND($A13&lt;Hta_2,$A13&gt;=Hba_2,Input!Y$22&lt;&gt;""),Input!$B$22,""),IF(AND($A13&lt;Hta_3,$A13&gt;=Hba_3,Input!Y$23&lt;&gt;""),Input!$B$23,""),IF(AND($A13&lt;Hta_4,$A13&gt;=Hba_4,Input!Y$24&lt;&gt;""),Input!$B$24,""),IF(AND($A13&lt;Hta_5,$A13&gt;=Hba_5,Input!Y$25&lt;&gt;""),Input!$B$25,""),IF(AND($A13&lt;Hta_6,$A13&gt;=Hba_6,Input!Y$26&lt;&gt;""),Input!$B$26,""),IF(AND($A13&lt;Hta_7,$A13&gt;=Hba_7,Input!Y$27&lt;&gt;""),Input!$B$27,""),IF(AND($A13&lt;Hta_8,$A13&gt;=Hba_8,Input!Y$28&lt;&gt;""),Input!$B$28,""),IF(AND($A13&lt;Hta_9,$A13&gt;=Hba_9,Input!Y$29&lt;&gt;""),Input!$B$29,""),IF(AND($A13&lt;Hta_10,$A13&gt;=Hba_10,Input!Y$30&lt;&gt;""),Input!$B$30,""),IF(AND($A13&lt;Hta_11,$A13&gt;=Hba_11,Input!Y$31&lt;&gt;""),Input!$B$31,""),IF(AND($A13&lt;Hta_12,$A13&gt;=Hba_12,Input!Y$32&lt;&gt;""),Input!$B$32,""),IF(AND($A13&lt;Hta_13,$A13&gt;=Hba_13,Input!Y$33&lt;&gt;""),Input!$B$33,""),IF(AND($A13&lt;Hta_14,$A13&gt;=Hba_14,Input!Y$34&lt;&gt;""),Input!$B$34,""),IF(AND($A13&lt;Hta_15,$A13&gt;=Hba_15,Input!Y$35&lt;&gt;""),Input!$B$35,""),IF(AND($A13&lt;Hta_16,$A13&gt;=Hba_16,Input!Y$36&lt;&gt;""),Input!$B$36,""),IF(AND($A13&lt;Hta_17,$A13&gt;=Hba_17,Input!Y$37&lt;&gt;""),Input!$B$37,""),IF(AND($A13&lt;Hta_18,$A13&gt;=Hba_18,Input!Y$38&lt;&gt;""),Input!$B$38,""),IF(AND($A13&lt;Hta_19,$A13&gt;=Hba_19,Input!Y$39&lt;&gt;""),Input!$B$39,""),IF(AND($A13&lt;Hta_20,$A13&gt;=Hba_20,Input!Y$40&lt;&gt;""),Input!$B$40,""),IF(AND($A13&lt;Hta_21,$A13&gt;=Hba_21,Input!Y$41&lt;&gt;""),Input!$B$41,""),IF(AND($A13&lt;Hta_22,$A13&gt;=Hba_22,Input!Y$42&lt;&gt;""),Input!$B$42,""),IF(AND($A13&lt;Hta_23,$A13&gt;=Hba_23,Input!Y$43&lt;&gt;""),Input!$B$43,""),IF(AND($A13&lt;Hta_24,$A13&gt;=Hba_24,Input!Y$44&lt;&gt;""),Input!$B$44,""),IF(AND($A13&lt;Hta_25,$A13&gt;=Hba_25,Input!Y$45&lt;&gt;""),Input!$B$45,""),IF(AND($A13&lt;Hta_26,$A13&gt;=Hba_26,Input!Y$46&lt;&gt;""),Input!$B$46,""),IF(AND($A13&lt;Hta_27,$A13&gt;=Hba_27,Input!Y$47&lt;&gt;""),Input!$B$47,""),IF(AND($A13&lt;Hta_28,$A13&gt;=Hba_28,Input!Y$48&lt;&gt;""),Input!$B$48,""),IF(AND($A13&lt;Hta_29,$A13&gt;=Hba_29,Input!Y$49&lt;&gt;""),Input!$B$49,""),IF(AND($A13&lt;Hta_30,$A13&gt;=Hba_30,Input!Y$50&lt;&gt;""),Input!$B$50,""))),Input!$B$21:$AL$50,19+Input!Y20,FALSE),""),IFERROR(CONCATENATE(IF(AND($A13&lt;Hta_1,$A13&gt;=Hba_1,Input!Y$21&lt;&gt;""),Input!$B$21&amp;";",""),IF(AND($A13&lt;Hta_2,$A13&gt;=Hba_2,Input!Y$22&lt;&gt;""),Input!$B$22&amp;";",""),IF(AND($A13&lt;Hta_3,$A13&gt;=Hba_3,Input!Y$23&lt;&gt;""),Input!$B$23&amp;";",""),IF(AND($A13&lt;Hta_4,$A13&gt;=Hba_4,Input!Y$24&lt;&gt;""),Input!$B$24&amp;";",""),IF(AND($A13&lt;Hta_5,$A13&gt;=Hba_5,Input!Y$25&lt;&gt;""),Input!$B$25&amp;";",""),IF(AND($A13&lt;Hta_6,$A13&gt;=Hba_6,Input!Y$26&lt;&gt;""),Input!$B$26&amp;";",""),IF(AND($A13&lt;Hta_7,$A13&gt;=Hba_7,Input!Y$27&lt;&gt;""),Input!$B$27&amp;";",""),IF(AND($A13&lt;Hta_8,$A13&gt;=Hba_8,Input!Y$28&lt;&gt;""),Input!$B$28&amp;";",""),IF(AND($A13&lt;Hta_9,$A13&gt;=Hba_9,Input!Y$29&lt;&gt;""),Input!$B$29&amp;";",""),IF(AND($A13&lt;Hta_10,$A13&gt;=Hba_10,Input!Y$30&lt;&gt;""),Input!$B$30&amp;";",""),IF(AND($A13&lt;Hta_11,$A13&gt;=Hba_11,Input!Y$31&lt;&gt;""),Input!$B$31&amp;";",""),IF(AND($A13&lt;Hta_12,$A13&gt;=Hba_12,Input!Y$32&lt;&gt;""),Input!$B$32&amp;";",""),IF(AND($A13&lt;Hta_13,$A13&gt;=Hba_13,Input!Y$33&lt;&gt;""),Input!$B$33&amp;";",""),IF(AND($A13&lt;Hta_14,$A13&gt;=Hba_14,Input!Y$34&lt;&gt;""),Input!$B$34&amp;";",""),IF(AND($A13&lt;Hta_15,$A13&gt;=Hba_15,Input!Y$35&lt;&gt;""),Input!$B$35&amp;";",""),IF(AND($A13&lt;Hta_16,$A13&gt;=Hba_16,Input!Y$36&lt;&gt;""),Input!$B$36&amp;";",""),IF(AND($A13&lt;Hta_17,$A13&gt;=Hba_17,Input!Y$37&lt;&gt;""),Input!$B$37&amp;";",""),IF(AND($A13&lt;Hta_18,$A13&gt;=Hba_18,Input!Y$38&lt;&gt;""),Input!$B$38&amp;";",""),IF(AND($A13&lt;Hta_19,$A13&gt;=Hba_19,Input!Y$39&lt;&gt;""),Input!$B$39&amp;";",""),IF(AND($A13&lt;Hta_20,$A13&gt;=Hba_20,Input!Y$40&lt;&gt;""),Input!$B$40&amp;";",""),IF(AND($A13&lt;Hta_21,$A13&gt;=Hba_21,Input!Y$41&lt;&gt;""),Input!$B$41&amp;";",""),IF(AND($A13&lt;Hta_22,$A13&gt;=Hba_22,Input!Y$42&lt;&gt;""),Input!$B$42&amp;";",""),IF(AND($A13&lt;Hta_23,$A13&gt;=Hba_23,Input!Y$43&lt;&gt;""),Input!$B$43&amp;";",""),IF(AND($A13&lt;Hta_24,$A13&gt;=Hba_24,Input!Y$44&lt;&gt;""),Input!$B$44&amp;";",""),IF(AND($A13&lt;Hta_25,$A13&gt;=Hba_25,Input!Y$45&lt;&gt;""),Input!$B$45&amp;";",""),IF(AND($A13&lt;Hta_26,$A13&gt;=Hba_26,Input!Y$46&lt;&gt;""),Input!$B$46&amp;";",""),IF(AND($A13&lt;Hta_27,$A13&gt;=Hba_27,Input!Y$47&lt;&gt;""),Input!$B$47&amp;";",""),IF(AND($A13&lt;Hta_28,$A13&gt;=Hba_28,Input!Y$48&lt;&gt;""),Input!$B$48&amp;";",""),IF(AND($A13&lt;Hta_29,$A13&gt;=Hba_29,Input!Y$49&lt;&gt;""),Input!$B$49&amp;";",""),IF(AND($A13&lt;Hta_30,$A13&gt;=Hba_30,Input!Y$50&lt;&gt;""),Input!$B$50&amp;";","")),""))</f>
        <v/>
      </c>
      <c r="G14" s="110" t="str">
        <f>IF($A$12=0,IFERROR(VLOOKUP(VALUE(CONCATENATE(IF(AND($A13&lt;Hta_1,$A13&gt;=Hba_1,Input!Z$21&lt;&gt;""),Input!$B$21,""),IF(AND($A13&lt;Hta_2,$A13&gt;=Hba_2,Input!Z$22&lt;&gt;""),Input!$B$22,""),IF(AND($A13&lt;Hta_3,$A13&gt;=Hba_3,Input!Z$23&lt;&gt;""),Input!$B$23,""),IF(AND($A13&lt;Hta_4,$A13&gt;=Hba_4,Input!Z$24&lt;&gt;""),Input!$B$24,""),IF(AND($A13&lt;Hta_5,$A13&gt;=Hba_5,Input!Z$25&lt;&gt;""),Input!$B$25,""),IF(AND($A13&lt;Hta_6,$A13&gt;=Hba_6,Input!Z$26&lt;&gt;""),Input!$B$26,""),IF(AND($A13&lt;Hta_7,$A13&gt;=Hba_7,Input!Z$27&lt;&gt;""),Input!$B$27,""),IF(AND($A13&lt;Hta_8,$A13&gt;=Hba_8,Input!Z$28&lt;&gt;""),Input!$B$28,""),IF(AND($A13&lt;Hta_9,$A13&gt;=Hba_9,Input!Z$29&lt;&gt;""),Input!$B$29,""),IF(AND($A13&lt;Hta_10,$A13&gt;=Hba_10,Input!Z$30&lt;&gt;""),Input!$B$30,""),IF(AND($A13&lt;Hta_11,$A13&gt;=Hba_11,Input!Z$31&lt;&gt;""),Input!$B$31,""),IF(AND($A13&lt;Hta_12,$A13&gt;=Hba_12,Input!Z$32&lt;&gt;""),Input!$B$32,""),IF(AND($A13&lt;Hta_13,$A13&gt;=Hba_13,Input!Z$33&lt;&gt;""),Input!$B$33,""),IF(AND($A13&lt;Hta_14,$A13&gt;=Hba_14,Input!Z$34&lt;&gt;""),Input!$B$34,""),IF(AND($A13&lt;Hta_15,$A13&gt;=Hba_15,Input!Z$35&lt;&gt;""),Input!$B$35,""),IF(AND($A13&lt;Hta_16,$A13&gt;=Hba_16,Input!Z$36&lt;&gt;""),Input!$B$36,""),IF(AND($A13&lt;Hta_17,$A13&gt;=Hba_17,Input!Z$37&lt;&gt;""),Input!$B$37,""),IF(AND($A13&lt;Hta_18,$A13&gt;=Hba_18,Input!Z$38&lt;&gt;""),Input!$B$38,""),IF(AND($A13&lt;Hta_19,$A13&gt;=Hba_19,Input!Z$39&lt;&gt;""),Input!$B$39,""),IF(AND($A13&lt;Hta_20,$A13&gt;=Hba_20,Input!Z$40&lt;&gt;""),Input!$B$40,""),IF(AND($A13&lt;Hta_21,$A13&gt;=Hba_21,Input!Z$41&lt;&gt;""),Input!$B$41,""),IF(AND($A13&lt;Hta_22,$A13&gt;=Hba_22,Input!Z$42&lt;&gt;""),Input!$B$42,""),IF(AND($A13&lt;Hta_23,$A13&gt;=Hba_23,Input!Z$43&lt;&gt;""),Input!$B$43,""),IF(AND($A13&lt;Hta_24,$A13&gt;=Hba_24,Input!Z$44&lt;&gt;""),Input!$B$44,""),IF(AND($A13&lt;Hta_25,$A13&gt;=Hba_25,Input!Z$45&lt;&gt;""),Input!$B$45,""),IF(AND($A13&lt;Hta_26,$A13&gt;=Hba_26,Input!Z$46&lt;&gt;""),Input!$B$46,""),IF(AND($A13&lt;Hta_27,$A13&gt;=Hba_27,Input!Z$47&lt;&gt;""),Input!$B$47,""),IF(AND($A13&lt;Hta_28,$A13&gt;=Hba_28,Input!Z$48&lt;&gt;""),Input!$B$48,""),IF(AND($A13&lt;Hta_29,$A13&gt;=Hba_29,Input!Z$49&lt;&gt;""),Input!$B$49,""),IF(AND($A13&lt;Hta_30,$A13&gt;=Hba_30,Input!Z$50&lt;&gt;""),Input!$B$50,""))),Input!$B$21:$AL$50,19+Input!Z20,FALSE),""),IFERROR(CONCATENATE(IF(AND($A13&lt;Hta_1,$A13&gt;=Hba_1,Input!Z$21&lt;&gt;""),Input!$B$21&amp;";",""),IF(AND($A13&lt;Hta_2,$A13&gt;=Hba_2,Input!Z$22&lt;&gt;""),Input!$B$22&amp;";",""),IF(AND($A13&lt;Hta_3,$A13&gt;=Hba_3,Input!Z$23&lt;&gt;""),Input!$B$23&amp;";",""),IF(AND($A13&lt;Hta_4,$A13&gt;=Hba_4,Input!Z$24&lt;&gt;""),Input!$B$24&amp;";",""),IF(AND($A13&lt;Hta_5,$A13&gt;=Hba_5,Input!Z$25&lt;&gt;""),Input!$B$25&amp;";",""),IF(AND($A13&lt;Hta_6,$A13&gt;=Hba_6,Input!Z$26&lt;&gt;""),Input!$B$26&amp;";",""),IF(AND($A13&lt;Hta_7,$A13&gt;=Hba_7,Input!Z$27&lt;&gt;""),Input!$B$27&amp;";",""),IF(AND($A13&lt;Hta_8,$A13&gt;=Hba_8,Input!Z$28&lt;&gt;""),Input!$B$28&amp;";",""),IF(AND($A13&lt;Hta_9,$A13&gt;=Hba_9,Input!Z$29&lt;&gt;""),Input!$B$29&amp;";",""),IF(AND($A13&lt;Hta_10,$A13&gt;=Hba_10,Input!Z$30&lt;&gt;""),Input!$B$30&amp;";",""),IF(AND($A13&lt;Hta_11,$A13&gt;=Hba_11,Input!Z$31&lt;&gt;""),Input!$B$31&amp;";",""),IF(AND($A13&lt;Hta_12,$A13&gt;=Hba_12,Input!Z$32&lt;&gt;""),Input!$B$32&amp;";",""),IF(AND($A13&lt;Hta_13,$A13&gt;=Hba_13,Input!Z$33&lt;&gt;""),Input!$B$33&amp;";",""),IF(AND($A13&lt;Hta_14,$A13&gt;=Hba_14,Input!Z$34&lt;&gt;""),Input!$B$34&amp;";",""),IF(AND($A13&lt;Hta_15,$A13&gt;=Hba_15,Input!Z$35&lt;&gt;""),Input!$B$35&amp;";",""),IF(AND($A13&lt;Hta_16,$A13&gt;=Hba_16,Input!Z$36&lt;&gt;""),Input!$B$36&amp;";",""),IF(AND($A13&lt;Hta_17,$A13&gt;=Hba_17,Input!Z$37&lt;&gt;""),Input!$B$37&amp;";",""),IF(AND($A13&lt;Hta_18,$A13&gt;=Hba_18,Input!Z$38&lt;&gt;""),Input!$B$38&amp;";",""),IF(AND($A13&lt;Hta_19,$A13&gt;=Hba_19,Input!Z$39&lt;&gt;""),Input!$B$39&amp;";",""),IF(AND($A13&lt;Hta_20,$A13&gt;=Hba_20,Input!Z$40&lt;&gt;""),Input!$B$40&amp;";",""),IF(AND($A13&lt;Hta_21,$A13&gt;=Hba_21,Input!Z$41&lt;&gt;""),Input!$B$41&amp;";",""),IF(AND($A13&lt;Hta_22,$A13&gt;=Hba_22,Input!Z$42&lt;&gt;""),Input!$B$42&amp;";",""),IF(AND($A13&lt;Hta_23,$A13&gt;=Hba_23,Input!Z$43&lt;&gt;""),Input!$B$43&amp;";",""),IF(AND($A13&lt;Hta_24,$A13&gt;=Hba_24,Input!Z$44&lt;&gt;""),Input!$B$44&amp;";",""),IF(AND($A13&lt;Hta_25,$A13&gt;=Hba_25,Input!Z$45&lt;&gt;""),Input!$B$45&amp;";",""),IF(AND($A13&lt;Hta_26,$A13&gt;=Hba_26,Input!Z$46&lt;&gt;""),Input!$B$46&amp;";",""),IF(AND($A13&lt;Hta_27,$A13&gt;=Hba_27,Input!Z$47&lt;&gt;""),Input!$B$47&amp;";",""),IF(AND($A13&lt;Hta_28,$A13&gt;=Hba_28,Input!Z$48&lt;&gt;""),Input!$B$48&amp;";",""),IF(AND($A13&lt;Hta_29,$A13&gt;=Hba_29,Input!Z$49&lt;&gt;""),Input!$B$49&amp;";",""),IF(AND($A13&lt;Hta_30,$A13&gt;=Hba_30,Input!Z$50&lt;&gt;""),Input!$B$50&amp;";","")),""))</f>
        <v/>
      </c>
      <c r="H14" s="110" t="str">
        <f>IF($A$12=0,IFERROR(VLOOKUP(VALUE(CONCATENATE(IF(AND($A13&lt;Hta_1,$A13&gt;=Hba_1,Input!AA$21&lt;&gt;""),Input!$B$21,""),IF(AND($A13&lt;Hta_2,$A13&gt;=Hba_2,Input!AA$22&lt;&gt;""),Input!$B$22,""),IF(AND($A13&lt;Hta_3,$A13&gt;=Hba_3,Input!AA$23&lt;&gt;""),Input!$B$23,""),IF(AND($A13&lt;Hta_4,$A13&gt;=Hba_4,Input!AA$24&lt;&gt;""),Input!$B$24,""),IF(AND($A13&lt;Hta_5,$A13&gt;=Hba_5,Input!AA$25&lt;&gt;""),Input!$B$25,""),IF(AND($A13&lt;Hta_6,$A13&gt;=Hba_6,Input!AA$26&lt;&gt;""),Input!$B$26,""),IF(AND($A13&lt;Hta_7,$A13&gt;=Hba_7,Input!AA$27&lt;&gt;""),Input!$B$27,""),IF(AND($A13&lt;Hta_8,$A13&gt;=Hba_8,Input!AA$28&lt;&gt;""),Input!$B$28,""),IF(AND($A13&lt;Hta_9,$A13&gt;=Hba_9,Input!AA$29&lt;&gt;""),Input!$B$29,""),IF(AND($A13&lt;Hta_10,$A13&gt;=Hba_10,Input!AA$30&lt;&gt;""),Input!$B$30,""),IF(AND($A13&lt;Hta_11,$A13&gt;=Hba_11,Input!AA$31&lt;&gt;""),Input!$B$31,""),IF(AND($A13&lt;Hta_12,$A13&gt;=Hba_12,Input!AA$32&lt;&gt;""),Input!$B$32,""),IF(AND($A13&lt;Hta_13,$A13&gt;=Hba_13,Input!AA$33&lt;&gt;""),Input!$B$33,""),IF(AND($A13&lt;Hta_14,$A13&gt;=Hba_14,Input!AA$34&lt;&gt;""),Input!$B$34,""),IF(AND($A13&lt;Hta_15,$A13&gt;=Hba_15,Input!AA$35&lt;&gt;""),Input!$B$35,""),IF(AND($A13&lt;Hta_16,$A13&gt;=Hba_16,Input!AA$36&lt;&gt;""),Input!$B$36,""),IF(AND($A13&lt;Hta_17,$A13&gt;=Hba_17,Input!AA$37&lt;&gt;""),Input!$B$37,""),IF(AND($A13&lt;Hta_18,$A13&gt;=Hba_18,Input!AA$38&lt;&gt;""),Input!$B$38,""),IF(AND($A13&lt;Hta_19,$A13&gt;=Hba_19,Input!AA$39&lt;&gt;""),Input!$B$39,""),IF(AND($A13&lt;Hta_20,$A13&gt;=Hba_20,Input!AA$40&lt;&gt;""),Input!$B$40,""),IF(AND($A13&lt;Hta_21,$A13&gt;=Hba_21,Input!AA$41&lt;&gt;""),Input!$B$41,""),IF(AND($A13&lt;Hta_22,$A13&gt;=Hba_22,Input!AA$42&lt;&gt;""),Input!$B$42,""),IF(AND($A13&lt;Hta_23,$A13&gt;=Hba_23,Input!AA$43&lt;&gt;""),Input!$B$43,""),IF(AND($A13&lt;Hta_24,$A13&gt;=Hba_24,Input!AA$44&lt;&gt;""),Input!$B$44,""),IF(AND($A13&lt;Hta_25,$A13&gt;=Hba_25,Input!AA$45&lt;&gt;""),Input!$B$45,""),IF(AND($A13&lt;Hta_26,$A13&gt;=Hba_26,Input!AA$46&lt;&gt;""),Input!$B$46,""),IF(AND($A13&lt;Hta_27,$A13&gt;=Hba_27,Input!AA$47&lt;&gt;""),Input!$B$47,""),IF(AND($A13&lt;Hta_28,$A13&gt;=Hba_28,Input!AA$48&lt;&gt;""),Input!$B$48,""),IF(AND($A13&lt;Hta_29,$A13&gt;=Hba_29,Input!AA$49&lt;&gt;""),Input!$B$49,""),IF(AND($A13&lt;Hta_30,$A13&gt;=Hba_30,Input!AA$50&lt;&gt;""),Input!$B$50,""))),Input!$B$21:$AL$50,19+Input!AA20,FALSE),""),IFERROR(CONCATENATE(IF(AND($A13&lt;Hta_1,$A13&gt;=Hba_1,Input!AA$21&lt;&gt;""),Input!$B$21&amp;";",""),IF(AND($A13&lt;Hta_2,$A13&gt;=Hba_2,Input!AA$22&lt;&gt;""),Input!$B$22&amp;";",""),IF(AND($A13&lt;Hta_3,$A13&gt;=Hba_3,Input!AA$23&lt;&gt;""),Input!$B$23&amp;";",""),IF(AND($A13&lt;Hta_4,$A13&gt;=Hba_4,Input!AA$24&lt;&gt;""),Input!$B$24&amp;";",""),IF(AND($A13&lt;Hta_5,$A13&gt;=Hba_5,Input!AA$25&lt;&gt;""),Input!$B$25&amp;";",""),IF(AND($A13&lt;Hta_6,$A13&gt;=Hba_6,Input!AA$26&lt;&gt;""),Input!$B$26&amp;";",""),IF(AND($A13&lt;Hta_7,$A13&gt;=Hba_7,Input!AA$27&lt;&gt;""),Input!$B$27&amp;";",""),IF(AND($A13&lt;Hta_8,$A13&gt;=Hba_8,Input!AA$28&lt;&gt;""),Input!$B$28&amp;";",""),IF(AND($A13&lt;Hta_9,$A13&gt;=Hba_9,Input!AA$29&lt;&gt;""),Input!$B$29&amp;";",""),IF(AND($A13&lt;Hta_10,$A13&gt;=Hba_10,Input!AA$30&lt;&gt;""),Input!$B$30&amp;";",""),IF(AND($A13&lt;Hta_11,$A13&gt;=Hba_11,Input!AA$31&lt;&gt;""),Input!$B$31&amp;";",""),IF(AND($A13&lt;Hta_12,$A13&gt;=Hba_12,Input!AA$32&lt;&gt;""),Input!$B$32&amp;";",""),IF(AND($A13&lt;Hta_13,$A13&gt;=Hba_13,Input!AA$33&lt;&gt;""),Input!$B$33&amp;";",""),IF(AND($A13&lt;Hta_14,$A13&gt;=Hba_14,Input!AA$34&lt;&gt;""),Input!$B$34&amp;";",""),IF(AND($A13&lt;Hta_15,$A13&gt;=Hba_15,Input!AA$35&lt;&gt;""),Input!$B$35&amp;";",""),IF(AND($A13&lt;Hta_16,$A13&gt;=Hba_16,Input!AA$36&lt;&gt;""),Input!$B$36&amp;";",""),IF(AND($A13&lt;Hta_17,$A13&gt;=Hba_17,Input!AA$37&lt;&gt;""),Input!$B$37&amp;";",""),IF(AND($A13&lt;Hta_18,$A13&gt;=Hba_18,Input!AA$38&lt;&gt;""),Input!$B$38&amp;";",""),IF(AND($A13&lt;Hta_19,$A13&gt;=Hba_19,Input!AA$39&lt;&gt;""),Input!$B$39&amp;";",""),IF(AND($A13&lt;Hta_20,$A13&gt;=Hba_20,Input!AA$40&lt;&gt;""),Input!$B$40&amp;";",""),IF(AND($A13&lt;Hta_21,$A13&gt;=Hba_21,Input!AA$41&lt;&gt;""),Input!$B$41&amp;";",""),IF(AND($A13&lt;Hta_22,$A13&gt;=Hba_22,Input!AA$42&lt;&gt;""),Input!$B$42&amp;";",""),IF(AND($A13&lt;Hta_23,$A13&gt;=Hba_23,Input!AA$43&lt;&gt;""),Input!$B$43&amp;";",""),IF(AND($A13&lt;Hta_24,$A13&gt;=Hba_24,Input!AA$44&lt;&gt;""),Input!$B$44&amp;";",""),IF(AND($A13&lt;Hta_25,$A13&gt;=Hba_25,Input!AA$45&lt;&gt;""),Input!$B$45&amp;";",""),IF(AND($A13&lt;Hta_26,$A13&gt;=Hba_26,Input!AA$46&lt;&gt;""),Input!$B$46&amp;";",""),IF(AND($A13&lt;Hta_27,$A13&gt;=Hba_27,Input!AA$47&lt;&gt;""),Input!$B$47&amp;";",""),IF(AND($A13&lt;Hta_28,$A13&gt;=Hba_28,Input!AA$48&lt;&gt;""),Input!$B$48&amp;";",""),IF(AND($A13&lt;Hta_29,$A13&gt;=Hba_29,Input!AA$49&lt;&gt;""),Input!$B$49&amp;";",""),IF(AND($A13&lt;Hta_30,$A13&gt;=Hba_30,Input!AA$50&lt;&gt;""),Input!$B$50&amp;";","")),""))</f>
        <v/>
      </c>
      <c r="I14" s="110" t="str">
        <f>IF($A$12=0,IFERROR(VLOOKUP(VALUE(CONCATENATE(IF(AND($A13&lt;Hta_1,$A13&gt;=Hba_1,Input!AB$21&lt;&gt;""),Input!$B$21,""),IF(AND($A13&lt;Hta_2,$A13&gt;=Hba_2,Input!AB$22&lt;&gt;""),Input!$B$22,""),IF(AND($A13&lt;Hta_3,$A13&gt;=Hba_3,Input!AB$23&lt;&gt;""),Input!$B$23,""),IF(AND($A13&lt;Hta_4,$A13&gt;=Hba_4,Input!AB$24&lt;&gt;""),Input!$B$24,""),IF(AND($A13&lt;Hta_5,$A13&gt;=Hba_5,Input!AB$25&lt;&gt;""),Input!$B$25,""),IF(AND($A13&lt;Hta_6,$A13&gt;=Hba_6,Input!AB$26&lt;&gt;""),Input!$B$26,""),IF(AND($A13&lt;Hta_7,$A13&gt;=Hba_7,Input!AB$27&lt;&gt;""),Input!$B$27,""),IF(AND($A13&lt;Hta_8,$A13&gt;=Hba_8,Input!AB$28&lt;&gt;""),Input!$B$28,""),IF(AND($A13&lt;Hta_9,$A13&gt;=Hba_9,Input!AB$29&lt;&gt;""),Input!$B$29,""),IF(AND($A13&lt;Hta_10,$A13&gt;=Hba_10,Input!AB$30&lt;&gt;""),Input!$B$30,""),IF(AND($A13&lt;Hta_11,$A13&gt;=Hba_11,Input!AB$31&lt;&gt;""),Input!$B$31,""),IF(AND($A13&lt;Hta_12,$A13&gt;=Hba_12,Input!AB$32&lt;&gt;""),Input!$B$32,""),IF(AND($A13&lt;Hta_13,$A13&gt;=Hba_13,Input!AB$33&lt;&gt;""),Input!$B$33,""),IF(AND($A13&lt;Hta_14,$A13&gt;=Hba_14,Input!AB$34&lt;&gt;""),Input!$B$34,""),IF(AND($A13&lt;Hta_15,$A13&gt;=Hba_15,Input!AB$35&lt;&gt;""),Input!$B$35,""),IF(AND($A13&lt;Hta_16,$A13&gt;=Hba_16,Input!AB$36&lt;&gt;""),Input!$B$36,""),IF(AND($A13&lt;Hta_17,$A13&gt;=Hba_17,Input!AB$37&lt;&gt;""),Input!$B$37,""),IF(AND($A13&lt;Hta_18,$A13&gt;=Hba_18,Input!AB$38&lt;&gt;""),Input!$B$38,""),IF(AND($A13&lt;Hta_19,$A13&gt;=Hba_19,Input!AB$39&lt;&gt;""),Input!$B$39,""),IF(AND($A13&lt;Hta_20,$A13&gt;=Hba_20,Input!AB$40&lt;&gt;""),Input!$B$40,""),IF(AND($A13&lt;Hta_21,$A13&gt;=Hba_21,Input!AB$41&lt;&gt;""),Input!$B$41,""),IF(AND($A13&lt;Hta_22,$A13&gt;=Hba_22,Input!AB$42&lt;&gt;""),Input!$B$42,""),IF(AND($A13&lt;Hta_23,$A13&gt;=Hba_23,Input!AB$43&lt;&gt;""),Input!$B$43,""),IF(AND($A13&lt;Hta_24,$A13&gt;=Hba_24,Input!AB$44&lt;&gt;""),Input!$B$44,""),IF(AND($A13&lt;Hta_25,$A13&gt;=Hba_25,Input!AB$45&lt;&gt;""),Input!$B$45,""),IF(AND($A13&lt;Hta_26,$A13&gt;=Hba_26,Input!AB$46&lt;&gt;""),Input!$B$46,""),IF(AND($A13&lt;Hta_27,$A13&gt;=Hba_27,Input!AB$47&lt;&gt;""),Input!$B$47,""),IF(AND($A13&lt;Hta_28,$A13&gt;=Hba_28,Input!AB$48&lt;&gt;""),Input!$B$48,""),IF(AND($A13&lt;Hta_29,$A13&gt;=Hba_29,Input!AB$49&lt;&gt;""),Input!$B$49,""),IF(AND($A13&lt;Hta_30,$A13&gt;=Hba_30,Input!AB$50&lt;&gt;""),Input!$B$50,""))),Input!$B$21:$AL$50,19+Input!AB20,FALSE),""),IFERROR(CONCATENATE(IF(AND($A13&lt;Hta_1,$A13&gt;=Hba_1,Input!AB$21&lt;&gt;""),Input!$B$21&amp;";",""),IF(AND($A13&lt;Hta_2,$A13&gt;=Hba_2,Input!AB$22&lt;&gt;""),Input!$B$22&amp;";",""),IF(AND($A13&lt;Hta_3,$A13&gt;=Hba_3,Input!AB$23&lt;&gt;""),Input!$B$23&amp;";",""),IF(AND($A13&lt;Hta_4,$A13&gt;=Hba_4,Input!AB$24&lt;&gt;""),Input!$B$24&amp;";",""),IF(AND($A13&lt;Hta_5,$A13&gt;=Hba_5,Input!AB$25&lt;&gt;""),Input!$B$25&amp;";",""),IF(AND($A13&lt;Hta_6,$A13&gt;=Hba_6,Input!AB$26&lt;&gt;""),Input!$B$26&amp;";",""),IF(AND($A13&lt;Hta_7,$A13&gt;=Hba_7,Input!AB$27&lt;&gt;""),Input!$B$27&amp;";",""),IF(AND($A13&lt;Hta_8,$A13&gt;=Hba_8,Input!AB$28&lt;&gt;""),Input!$B$28&amp;";",""),IF(AND($A13&lt;Hta_9,$A13&gt;=Hba_9,Input!AB$29&lt;&gt;""),Input!$B$29&amp;";",""),IF(AND($A13&lt;Hta_10,$A13&gt;=Hba_10,Input!AB$30&lt;&gt;""),Input!$B$30&amp;";",""),IF(AND($A13&lt;Hta_11,$A13&gt;=Hba_11,Input!AB$31&lt;&gt;""),Input!$B$31&amp;";",""),IF(AND($A13&lt;Hta_12,$A13&gt;=Hba_12,Input!AB$32&lt;&gt;""),Input!$B$32&amp;";",""),IF(AND($A13&lt;Hta_13,$A13&gt;=Hba_13,Input!AB$33&lt;&gt;""),Input!$B$33&amp;";",""),IF(AND($A13&lt;Hta_14,$A13&gt;=Hba_14,Input!AB$34&lt;&gt;""),Input!$B$34&amp;";",""),IF(AND($A13&lt;Hta_15,$A13&gt;=Hba_15,Input!AB$35&lt;&gt;""),Input!$B$35&amp;";",""),IF(AND($A13&lt;Hta_16,$A13&gt;=Hba_16,Input!AB$36&lt;&gt;""),Input!$B$36&amp;";",""),IF(AND($A13&lt;Hta_17,$A13&gt;=Hba_17,Input!AB$37&lt;&gt;""),Input!$B$37&amp;";",""),IF(AND($A13&lt;Hta_18,$A13&gt;=Hba_18,Input!AB$38&lt;&gt;""),Input!$B$38&amp;";",""),IF(AND($A13&lt;Hta_19,$A13&gt;=Hba_19,Input!AB$39&lt;&gt;""),Input!$B$39&amp;";",""),IF(AND($A13&lt;Hta_20,$A13&gt;=Hba_20,Input!AB$40&lt;&gt;""),Input!$B$40&amp;";",""),IF(AND($A13&lt;Hta_21,$A13&gt;=Hba_21,Input!AB$41&lt;&gt;""),Input!$B$41&amp;";",""),IF(AND($A13&lt;Hta_22,$A13&gt;=Hba_22,Input!AB$42&lt;&gt;""),Input!$B$42&amp;";",""),IF(AND($A13&lt;Hta_23,$A13&gt;=Hba_23,Input!AB$43&lt;&gt;""),Input!$B$43&amp;";",""),IF(AND($A13&lt;Hta_24,$A13&gt;=Hba_24,Input!AB$44&lt;&gt;""),Input!$B$44&amp;";",""),IF(AND($A13&lt;Hta_25,$A13&gt;=Hba_25,Input!AB$45&lt;&gt;""),Input!$B$45&amp;";",""),IF(AND($A13&lt;Hta_26,$A13&gt;=Hba_26,Input!AB$46&lt;&gt;""),Input!$B$46&amp;";",""),IF(AND($A13&lt;Hta_27,$A13&gt;=Hba_27,Input!AB$47&lt;&gt;""),Input!$B$47&amp;";",""),IF(AND($A13&lt;Hta_28,$A13&gt;=Hba_28,Input!AB$48&lt;&gt;""),Input!$B$48&amp;";",""),IF(AND($A13&lt;Hta_29,$A13&gt;=Hba_29,Input!AB$49&lt;&gt;""),Input!$B$49&amp;";",""),IF(AND($A13&lt;Hta_30,$A13&gt;=Hba_30,Input!AB$50&lt;&gt;""),Input!$B$50&amp;";","")),""))</f>
        <v/>
      </c>
      <c r="J14" s="110" t="str">
        <f>IF($A$12=0,IFERROR(VLOOKUP(VALUE(CONCATENATE(IF(AND($A13&lt;Hta_1,$A13&gt;=Hba_1,Input!AC$21&lt;&gt;""),Input!$B$21,""),IF(AND($A13&lt;Hta_2,$A13&gt;=Hba_2,Input!AC$22&lt;&gt;""),Input!$B$22,""),IF(AND($A13&lt;Hta_3,$A13&gt;=Hba_3,Input!AC$23&lt;&gt;""),Input!$B$23,""),IF(AND($A13&lt;Hta_4,$A13&gt;=Hba_4,Input!AC$24&lt;&gt;""),Input!$B$24,""),IF(AND($A13&lt;Hta_5,$A13&gt;=Hba_5,Input!AC$25&lt;&gt;""),Input!$B$25,""),IF(AND($A13&lt;Hta_6,$A13&gt;=Hba_6,Input!AC$26&lt;&gt;""),Input!$B$26,""),IF(AND($A13&lt;Hta_7,$A13&gt;=Hba_7,Input!AC$27&lt;&gt;""),Input!$B$27,""),IF(AND($A13&lt;Hta_8,$A13&gt;=Hba_8,Input!AC$28&lt;&gt;""),Input!$B$28,""),IF(AND($A13&lt;Hta_9,$A13&gt;=Hba_9,Input!AC$29&lt;&gt;""),Input!$B$29,""),IF(AND($A13&lt;Hta_10,$A13&gt;=Hba_10,Input!AC$30&lt;&gt;""),Input!$B$30,""),IF(AND($A13&lt;Hta_11,$A13&gt;=Hba_11,Input!AC$31&lt;&gt;""),Input!$B$31,""),IF(AND($A13&lt;Hta_12,$A13&gt;=Hba_12,Input!AC$32&lt;&gt;""),Input!$B$32,""),IF(AND($A13&lt;Hta_13,$A13&gt;=Hba_13,Input!AC$33&lt;&gt;""),Input!$B$33,""),IF(AND($A13&lt;Hta_14,$A13&gt;=Hba_14,Input!AC$34&lt;&gt;""),Input!$B$34,""),IF(AND($A13&lt;Hta_15,$A13&gt;=Hba_15,Input!AC$35&lt;&gt;""),Input!$B$35,""),IF(AND($A13&lt;Hta_16,$A13&gt;=Hba_16,Input!AC$36&lt;&gt;""),Input!$B$36,""),IF(AND($A13&lt;Hta_17,$A13&gt;=Hba_17,Input!AC$37&lt;&gt;""),Input!$B$37,""),IF(AND($A13&lt;Hta_18,$A13&gt;=Hba_18,Input!AC$38&lt;&gt;""),Input!$B$38,""),IF(AND($A13&lt;Hta_19,$A13&gt;=Hba_19,Input!AC$39&lt;&gt;""),Input!$B$39,""),IF(AND($A13&lt;Hta_20,$A13&gt;=Hba_20,Input!AC$40&lt;&gt;""),Input!$B$40,""),IF(AND($A13&lt;Hta_21,$A13&gt;=Hba_21,Input!AC$41&lt;&gt;""),Input!$B$41,""),IF(AND($A13&lt;Hta_22,$A13&gt;=Hba_22,Input!AC$42&lt;&gt;""),Input!$B$42,""),IF(AND($A13&lt;Hta_23,$A13&gt;=Hba_23,Input!AC$43&lt;&gt;""),Input!$B$43,""),IF(AND($A13&lt;Hta_24,$A13&gt;=Hba_24,Input!AC$44&lt;&gt;""),Input!$B$44,""),IF(AND($A13&lt;Hta_25,$A13&gt;=Hba_25,Input!AC$45&lt;&gt;""),Input!$B$45,""),IF(AND($A13&lt;Hta_26,$A13&gt;=Hba_26,Input!AC$46&lt;&gt;""),Input!$B$46,""),IF(AND($A13&lt;Hta_27,$A13&gt;=Hba_27,Input!AC$47&lt;&gt;""),Input!$B$47,""),IF(AND($A13&lt;Hta_28,$A13&gt;=Hba_28,Input!AC$48&lt;&gt;""),Input!$B$48,""),IF(AND($A13&lt;Hta_29,$A13&gt;=Hba_29,Input!AC$49&lt;&gt;""),Input!$B$49,""),IF(AND($A13&lt;Hta_30,$A13&gt;=Hba_30,Input!AC$50&lt;&gt;""),Input!$B$50,""))),Input!$B$21:$AL$50,19+Input!AC20,FALSE),""),IFERROR(CONCATENATE(IF(AND($A13&lt;Hta_1,$A13&gt;=Hba_1,Input!AC$21&lt;&gt;""),Input!$B$21&amp;";",""),IF(AND($A13&lt;Hta_2,$A13&gt;=Hba_2,Input!AC$22&lt;&gt;""),Input!$B$22&amp;";",""),IF(AND($A13&lt;Hta_3,$A13&gt;=Hba_3,Input!AC$23&lt;&gt;""),Input!$B$23&amp;";",""),IF(AND($A13&lt;Hta_4,$A13&gt;=Hba_4,Input!AC$24&lt;&gt;""),Input!$B$24&amp;";",""),IF(AND($A13&lt;Hta_5,$A13&gt;=Hba_5,Input!AC$25&lt;&gt;""),Input!$B$25&amp;";",""),IF(AND($A13&lt;Hta_6,$A13&gt;=Hba_6,Input!AC$26&lt;&gt;""),Input!$B$26&amp;";",""),IF(AND($A13&lt;Hta_7,$A13&gt;=Hba_7,Input!AC$27&lt;&gt;""),Input!$B$27&amp;";",""),IF(AND($A13&lt;Hta_8,$A13&gt;=Hba_8,Input!AC$28&lt;&gt;""),Input!$B$28&amp;";",""),IF(AND($A13&lt;Hta_9,$A13&gt;=Hba_9,Input!AC$29&lt;&gt;""),Input!$B$29&amp;";",""),IF(AND($A13&lt;Hta_10,$A13&gt;=Hba_10,Input!AC$30&lt;&gt;""),Input!$B$30&amp;";",""),IF(AND($A13&lt;Hta_11,$A13&gt;=Hba_11,Input!AC$31&lt;&gt;""),Input!$B$31&amp;";",""),IF(AND($A13&lt;Hta_12,$A13&gt;=Hba_12,Input!AC$32&lt;&gt;""),Input!$B$32&amp;";",""),IF(AND($A13&lt;Hta_13,$A13&gt;=Hba_13,Input!AC$33&lt;&gt;""),Input!$B$33&amp;";",""),IF(AND($A13&lt;Hta_14,$A13&gt;=Hba_14,Input!AC$34&lt;&gt;""),Input!$B$34&amp;";",""),IF(AND($A13&lt;Hta_15,$A13&gt;=Hba_15,Input!AC$35&lt;&gt;""),Input!$B$35&amp;";",""),IF(AND($A13&lt;Hta_16,$A13&gt;=Hba_16,Input!AC$36&lt;&gt;""),Input!$B$36&amp;";",""),IF(AND($A13&lt;Hta_17,$A13&gt;=Hba_17,Input!AC$37&lt;&gt;""),Input!$B$37&amp;";",""),IF(AND($A13&lt;Hta_18,$A13&gt;=Hba_18,Input!AC$38&lt;&gt;""),Input!$B$38&amp;";",""),IF(AND($A13&lt;Hta_19,$A13&gt;=Hba_19,Input!AC$39&lt;&gt;""),Input!$B$39&amp;";",""),IF(AND($A13&lt;Hta_20,$A13&gt;=Hba_20,Input!AC$40&lt;&gt;""),Input!$B$40&amp;";",""),IF(AND($A13&lt;Hta_21,$A13&gt;=Hba_21,Input!AC$41&lt;&gt;""),Input!$B$41&amp;";",""),IF(AND($A13&lt;Hta_22,$A13&gt;=Hba_22,Input!AC$42&lt;&gt;""),Input!$B$42&amp;";",""),IF(AND($A13&lt;Hta_23,$A13&gt;=Hba_23,Input!AC$43&lt;&gt;""),Input!$B$43&amp;";",""),IF(AND($A13&lt;Hta_24,$A13&gt;=Hba_24,Input!AC$44&lt;&gt;""),Input!$B$44&amp;";",""),IF(AND($A13&lt;Hta_25,$A13&gt;=Hba_25,Input!AC$45&lt;&gt;""),Input!$B$45&amp;";",""),IF(AND($A13&lt;Hta_26,$A13&gt;=Hba_26,Input!AC$46&lt;&gt;""),Input!$B$46&amp;";",""),IF(AND($A13&lt;Hta_27,$A13&gt;=Hba_27,Input!AC$47&lt;&gt;""),Input!$B$47&amp;";",""),IF(AND($A13&lt;Hta_28,$A13&gt;=Hba_28,Input!AC$48&lt;&gt;""),Input!$B$48&amp;";",""),IF(AND($A13&lt;Hta_29,$A13&gt;=Hba_29,Input!AC$49&lt;&gt;""),Input!$B$49&amp;";",""),IF(AND($A13&lt;Hta_30,$A13&gt;=Hba_30,Input!AC$50&lt;&gt;""),Input!$B$50&amp;";","")),""))</f>
        <v/>
      </c>
      <c r="K14" s="110" t="str">
        <f>IF($A$12=0,IFERROR(VLOOKUP(VALUE(CONCATENATE(IF(AND($A13&lt;Hta_1,$A13&gt;=Hba_1,Input!AD$21&lt;&gt;""),Input!$B$21,""),IF(AND($A13&lt;Hta_2,$A13&gt;=Hba_2,Input!AD$22&lt;&gt;""),Input!$B$22,""),IF(AND($A13&lt;Hta_3,$A13&gt;=Hba_3,Input!AD$23&lt;&gt;""),Input!$B$23,""),IF(AND($A13&lt;Hta_4,$A13&gt;=Hba_4,Input!AD$24&lt;&gt;""),Input!$B$24,""),IF(AND($A13&lt;Hta_5,$A13&gt;=Hba_5,Input!AD$25&lt;&gt;""),Input!$B$25,""),IF(AND($A13&lt;Hta_6,$A13&gt;=Hba_6,Input!AD$26&lt;&gt;""),Input!$B$26,""),IF(AND($A13&lt;Hta_7,$A13&gt;=Hba_7,Input!AD$27&lt;&gt;""),Input!$B$27,""),IF(AND($A13&lt;Hta_8,$A13&gt;=Hba_8,Input!AD$28&lt;&gt;""),Input!$B$28,""),IF(AND($A13&lt;Hta_9,$A13&gt;=Hba_9,Input!AD$29&lt;&gt;""),Input!$B$29,""),IF(AND($A13&lt;Hta_10,$A13&gt;=Hba_10,Input!AD$30&lt;&gt;""),Input!$B$30,""),IF(AND($A13&lt;Hta_11,$A13&gt;=Hba_11,Input!AD$31&lt;&gt;""),Input!$B$31,""),IF(AND($A13&lt;Hta_12,$A13&gt;=Hba_12,Input!AD$32&lt;&gt;""),Input!$B$32,""),IF(AND($A13&lt;Hta_13,$A13&gt;=Hba_13,Input!AD$33&lt;&gt;""),Input!$B$33,""),IF(AND($A13&lt;Hta_14,$A13&gt;=Hba_14,Input!AD$34&lt;&gt;""),Input!$B$34,""),IF(AND($A13&lt;Hta_15,$A13&gt;=Hba_15,Input!AD$35&lt;&gt;""),Input!$B$35,""),IF(AND($A13&lt;Hta_16,$A13&gt;=Hba_16,Input!AD$36&lt;&gt;""),Input!$B$36,""),IF(AND($A13&lt;Hta_17,$A13&gt;=Hba_17,Input!AD$37&lt;&gt;""),Input!$B$37,""),IF(AND($A13&lt;Hta_18,$A13&gt;=Hba_18,Input!AD$38&lt;&gt;""),Input!$B$38,""),IF(AND($A13&lt;Hta_19,$A13&gt;=Hba_19,Input!AD$39&lt;&gt;""),Input!$B$39,""),IF(AND($A13&lt;Hta_20,$A13&gt;=Hba_20,Input!AD$40&lt;&gt;""),Input!$B$40,""),IF(AND($A13&lt;Hta_21,$A13&gt;=Hba_21,Input!AD$41&lt;&gt;""),Input!$B$41,""),IF(AND($A13&lt;Hta_22,$A13&gt;=Hba_22,Input!AD$42&lt;&gt;""),Input!$B$42,""),IF(AND($A13&lt;Hta_23,$A13&gt;=Hba_23,Input!AD$43&lt;&gt;""),Input!$B$43,""),IF(AND($A13&lt;Hta_24,$A13&gt;=Hba_24,Input!AD$44&lt;&gt;""),Input!$B$44,""),IF(AND($A13&lt;Hta_25,$A13&gt;=Hba_25,Input!AD$45&lt;&gt;""),Input!$B$45,""),IF(AND($A13&lt;Hta_26,$A13&gt;=Hba_26,Input!AD$46&lt;&gt;""),Input!$B$46,""),IF(AND($A13&lt;Hta_27,$A13&gt;=Hba_27,Input!AD$47&lt;&gt;""),Input!$B$47,""),IF(AND($A13&lt;Hta_28,$A13&gt;=Hba_28,Input!AD$48&lt;&gt;""),Input!$B$48,""),IF(AND($A13&lt;Hta_29,$A13&gt;=Hba_29,Input!AD$49&lt;&gt;""),Input!$B$49,""),IF(AND($A13&lt;Hta_30,$A13&gt;=Hba_30,Input!AD$50&lt;&gt;""),Input!$B$50,""))),Input!$B$21:$AL$50,19+Input!AD20,FALSE),""),IFERROR(CONCATENATE(IF(AND($A13&lt;Hta_1,$A13&gt;=Hba_1,Input!AD$21&lt;&gt;""),Input!$B$21&amp;";",""),IF(AND($A13&lt;Hta_2,$A13&gt;=Hba_2,Input!AD$22&lt;&gt;""),Input!$B$22&amp;";",""),IF(AND($A13&lt;Hta_3,$A13&gt;=Hba_3,Input!AD$23&lt;&gt;""),Input!$B$23&amp;";",""),IF(AND($A13&lt;Hta_4,$A13&gt;=Hba_4,Input!AD$24&lt;&gt;""),Input!$B$24&amp;";",""),IF(AND($A13&lt;Hta_5,$A13&gt;=Hba_5,Input!AD$25&lt;&gt;""),Input!$B$25&amp;";",""),IF(AND($A13&lt;Hta_6,$A13&gt;=Hba_6,Input!AD$26&lt;&gt;""),Input!$B$26&amp;";",""),IF(AND($A13&lt;Hta_7,$A13&gt;=Hba_7,Input!AD$27&lt;&gt;""),Input!$B$27&amp;";",""),IF(AND($A13&lt;Hta_8,$A13&gt;=Hba_8,Input!AD$28&lt;&gt;""),Input!$B$28&amp;";",""),IF(AND($A13&lt;Hta_9,$A13&gt;=Hba_9,Input!AD$29&lt;&gt;""),Input!$B$29&amp;";",""),IF(AND($A13&lt;Hta_10,$A13&gt;=Hba_10,Input!AD$30&lt;&gt;""),Input!$B$30&amp;";",""),IF(AND($A13&lt;Hta_11,$A13&gt;=Hba_11,Input!AD$31&lt;&gt;""),Input!$B$31&amp;";",""),IF(AND($A13&lt;Hta_12,$A13&gt;=Hba_12,Input!AD$32&lt;&gt;""),Input!$B$32&amp;";",""),IF(AND($A13&lt;Hta_13,$A13&gt;=Hba_13,Input!AD$33&lt;&gt;""),Input!$B$33&amp;";",""),IF(AND($A13&lt;Hta_14,$A13&gt;=Hba_14,Input!AD$34&lt;&gt;""),Input!$B$34&amp;";",""),IF(AND($A13&lt;Hta_15,$A13&gt;=Hba_15,Input!AD$35&lt;&gt;""),Input!$B$35&amp;";",""),IF(AND($A13&lt;Hta_16,$A13&gt;=Hba_16,Input!AD$36&lt;&gt;""),Input!$B$36&amp;";",""),IF(AND($A13&lt;Hta_17,$A13&gt;=Hba_17,Input!AD$37&lt;&gt;""),Input!$B$37&amp;";",""),IF(AND($A13&lt;Hta_18,$A13&gt;=Hba_18,Input!AD$38&lt;&gt;""),Input!$B$38&amp;";",""),IF(AND($A13&lt;Hta_19,$A13&gt;=Hba_19,Input!AD$39&lt;&gt;""),Input!$B$39&amp;";",""),IF(AND($A13&lt;Hta_20,$A13&gt;=Hba_20,Input!AD$40&lt;&gt;""),Input!$B$40&amp;";",""),IF(AND($A13&lt;Hta_21,$A13&gt;=Hba_21,Input!AD$41&lt;&gt;""),Input!$B$41&amp;";",""),IF(AND($A13&lt;Hta_22,$A13&gt;=Hba_22,Input!AD$42&lt;&gt;""),Input!$B$42&amp;";",""),IF(AND($A13&lt;Hta_23,$A13&gt;=Hba_23,Input!AD$43&lt;&gt;""),Input!$B$43&amp;";",""),IF(AND($A13&lt;Hta_24,$A13&gt;=Hba_24,Input!AD$44&lt;&gt;""),Input!$B$44&amp;";",""),IF(AND($A13&lt;Hta_25,$A13&gt;=Hba_25,Input!AD$45&lt;&gt;""),Input!$B$45&amp;";",""),IF(AND($A13&lt;Hta_26,$A13&gt;=Hba_26,Input!AD$46&lt;&gt;""),Input!$B$46&amp;";",""),IF(AND($A13&lt;Hta_27,$A13&gt;=Hba_27,Input!AD$47&lt;&gt;""),Input!$B$47&amp;";",""),IF(AND($A13&lt;Hta_28,$A13&gt;=Hba_28,Input!AD$48&lt;&gt;""),Input!$B$48&amp;";",""),IF(AND($A13&lt;Hta_29,$A13&gt;=Hba_29,Input!AD$49&lt;&gt;""),Input!$B$49&amp;";",""),IF(AND($A13&lt;Hta_30,$A13&gt;=Hba_30,Input!AD$50&lt;&gt;""),Input!$B$50&amp;";","")),""))</f>
        <v/>
      </c>
      <c r="L14" s="110" t="str">
        <f>IF($A$12=0,IFERROR(VLOOKUP(VALUE(CONCATENATE(IF(AND($A13&lt;Hta_1,$A13&gt;=Hba_1,Input!AE$21&lt;&gt;""),Input!$B$21,""),IF(AND($A13&lt;Hta_2,$A13&gt;=Hba_2,Input!AE$22&lt;&gt;""),Input!$B$22,""),IF(AND($A13&lt;Hta_3,$A13&gt;=Hba_3,Input!AE$23&lt;&gt;""),Input!$B$23,""),IF(AND($A13&lt;Hta_4,$A13&gt;=Hba_4,Input!AE$24&lt;&gt;""),Input!$B$24,""),IF(AND($A13&lt;Hta_5,$A13&gt;=Hba_5,Input!AE$25&lt;&gt;""),Input!$B$25,""),IF(AND($A13&lt;Hta_6,$A13&gt;=Hba_6,Input!AE$26&lt;&gt;""),Input!$B$26,""),IF(AND($A13&lt;Hta_7,$A13&gt;=Hba_7,Input!AE$27&lt;&gt;""),Input!$B$27,""),IF(AND($A13&lt;Hta_8,$A13&gt;=Hba_8,Input!AE$28&lt;&gt;""),Input!$B$28,""),IF(AND($A13&lt;Hta_9,$A13&gt;=Hba_9,Input!AE$29&lt;&gt;""),Input!$B$29,""),IF(AND($A13&lt;Hta_10,$A13&gt;=Hba_10,Input!AE$30&lt;&gt;""),Input!$B$30,""),IF(AND($A13&lt;Hta_11,$A13&gt;=Hba_11,Input!AE$31&lt;&gt;""),Input!$B$31,""),IF(AND($A13&lt;Hta_12,$A13&gt;=Hba_12,Input!AE$32&lt;&gt;""),Input!$B$32,""),IF(AND($A13&lt;Hta_13,$A13&gt;=Hba_13,Input!AE$33&lt;&gt;""),Input!$B$33,""),IF(AND($A13&lt;Hta_14,$A13&gt;=Hba_14,Input!AE$34&lt;&gt;""),Input!$B$34,""),IF(AND($A13&lt;Hta_15,$A13&gt;=Hba_15,Input!AE$35&lt;&gt;""),Input!$B$35,""),IF(AND($A13&lt;Hta_16,$A13&gt;=Hba_16,Input!AE$36&lt;&gt;""),Input!$B$36,""),IF(AND($A13&lt;Hta_17,$A13&gt;=Hba_17,Input!AE$37&lt;&gt;""),Input!$B$37,""),IF(AND($A13&lt;Hta_18,$A13&gt;=Hba_18,Input!AE$38&lt;&gt;""),Input!$B$38,""),IF(AND($A13&lt;Hta_19,$A13&gt;=Hba_19,Input!AE$39&lt;&gt;""),Input!$B$39,""),IF(AND($A13&lt;Hta_20,$A13&gt;=Hba_20,Input!AE$40&lt;&gt;""),Input!$B$40,""),IF(AND($A13&lt;Hta_21,$A13&gt;=Hba_21,Input!AE$41&lt;&gt;""),Input!$B$41,""),IF(AND($A13&lt;Hta_22,$A13&gt;=Hba_22,Input!AE$42&lt;&gt;""),Input!$B$42,""),IF(AND($A13&lt;Hta_23,$A13&gt;=Hba_23,Input!AE$43&lt;&gt;""),Input!$B$43,""),IF(AND($A13&lt;Hta_24,$A13&gt;=Hba_24,Input!AE$44&lt;&gt;""),Input!$B$44,""),IF(AND($A13&lt;Hta_25,$A13&gt;=Hba_25,Input!AE$45&lt;&gt;""),Input!$B$45,""),IF(AND($A13&lt;Hta_26,$A13&gt;=Hba_26,Input!AE$46&lt;&gt;""),Input!$B$46,""),IF(AND($A13&lt;Hta_27,$A13&gt;=Hba_27,Input!AE$47&lt;&gt;""),Input!$B$47,""),IF(AND($A13&lt;Hta_28,$A13&gt;=Hba_28,Input!AE$48&lt;&gt;""),Input!$B$48,""),IF(AND($A13&lt;Hta_29,$A13&gt;=Hba_29,Input!AE$49&lt;&gt;""),Input!$B$49,""),IF(AND($A13&lt;Hta_30,$A13&gt;=Hba_30,Input!AE$50&lt;&gt;""),Input!$B$50,""))),Input!$B$21:$AL$50,19+Input!AE20,FALSE),""),IFERROR(CONCATENATE(IF(AND($A13&lt;Hta_1,$A13&gt;=Hba_1,Input!AE$21&lt;&gt;""),Input!$B$21&amp;";",""),IF(AND($A13&lt;Hta_2,$A13&gt;=Hba_2,Input!AE$22&lt;&gt;""),Input!$B$22&amp;";",""),IF(AND($A13&lt;Hta_3,$A13&gt;=Hba_3,Input!AE$23&lt;&gt;""),Input!$B$23&amp;";",""),IF(AND($A13&lt;Hta_4,$A13&gt;=Hba_4,Input!AE$24&lt;&gt;""),Input!$B$24&amp;";",""),IF(AND($A13&lt;Hta_5,$A13&gt;=Hba_5,Input!AE$25&lt;&gt;""),Input!$B$25&amp;";",""),IF(AND($A13&lt;Hta_6,$A13&gt;=Hba_6,Input!AE$26&lt;&gt;""),Input!$B$26&amp;";",""),IF(AND($A13&lt;Hta_7,$A13&gt;=Hba_7,Input!AE$27&lt;&gt;""),Input!$B$27&amp;";",""),IF(AND($A13&lt;Hta_8,$A13&gt;=Hba_8,Input!AE$28&lt;&gt;""),Input!$B$28&amp;";",""),IF(AND($A13&lt;Hta_9,$A13&gt;=Hba_9,Input!AE$29&lt;&gt;""),Input!$B$29&amp;";",""),IF(AND($A13&lt;Hta_10,$A13&gt;=Hba_10,Input!AE$30&lt;&gt;""),Input!$B$30&amp;";",""),IF(AND($A13&lt;Hta_11,$A13&gt;=Hba_11,Input!AE$31&lt;&gt;""),Input!$B$31&amp;";",""),IF(AND($A13&lt;Hta_12,$A13&gt;=Hba_12,Input!AE$32&lt;&gt;""),Input!$B$32&amp;";",""),IF(AND($A13&lt;Hta_13,$A13&gt;=Hba_13,Input!AE$33&lt;&gt;""),Input!$B$33&amp;";",""),IF(AND($A13&lt;Hta_14,$A13&gt;=Hba_14,Input!AE$34&lt;&gt;""),Input!$B$34&amp;";",""),IF(AND($A13&lt;Hta_15,$A13&gt;=Hba_15,Input!AE$35&lt;&gt;""),Input!$B$35&amp;";",""),IF(AND($A13&lt;Hta_16,$A13&gt;=Hba_16,Input!AE$36&lt;&gt;""),Input!$B$36&amp;";",""),IF(AND($A13&lt;Hta_17,$A13&gt;=Hba_17,Input!AE$37&lt;&gt;""),Input!$B$37&amp;";",""),IF(AND($A13&lt;Hta_18,$A13&gt;=Hba_18,Input!AE$38&lt;&gt;""),Input!$B$38&amp;";",""),IF(AND($A13&lt;Hta_19,$A13&gt;=Hba_19,Input!AE$39&lt;&gt;""),Input!$B$39&amp;";",""),IF(AND($A13&lt;Hta_20,$A13&gt;=Hba_20,Input!AE$40&lt;&gt;""),Input!$B$40&amp;";",""),IF(AND($A13&lt;Hta_21,$A13&gt;=Hba_21,Input!AE$41&lt;&gt;""),Input!$B$41&amp;";",""),IF(AND($A13&lt;Hta_22,$A13&gt;=Hba_22,Input!AE$42&lt;&gt;""),Input!$B$42&amp;";",""),IF(AND($A13&lt;Hta_23,$A13&gt;=Hba_23,Input!AE$43&lt;&gt;""),Input!$B$43&amp;";",""),IF(AND($A13&lt;Hta_24,$A13&gt;=Hba_24,Input!AE$44&lt;&gt;""),Input!$B$44&amp;";",""),IF(AND($A13&lt;Hta_25,$A13&gt;=Hba_25,Input!AE$45&lt;&gt;""),Input!$B$45&amp;";",""),IF(AND($A13&lt;Hta_26,$A13&gt;=Hba_26,Input!AE$46&lt;&gt;""),Input!$B$46&amp;";",""),IF(AND($A13&lt;Hta_27,$A13&gt;=Hba_27,Input!AE$47&lt;&gt;""),Input!$B$47&amp;";",""),IF(AND($A13&lt;Hta_28,$A13&gt;=Hba_28,Input!AE$48&lt;&gt;""),Input!$B$48&amp;";",""),IF(AND($A13&lt;Hta_29,$A13&gt;=Hba_29,Input!AE$49&lt;&gt;""),Input!$B$49&amp;";",""),IF(AND($A13&lt;Hta_30,$A13&gt;=Hba_30,Input!AE$50&lt;&gt;""),Input!$B$50&amp;";","")),""))</f>
        <v/>
      </c>
      <c r="M14" s="110" t="str">
        <f>IF($A$12=0,IFERROR(VLOOKUP(VALUE(CONCATENATE(IF(AND($A13&lt;Hta_1,$A13&gt;=Hba_1,Input!AF$21&lt;&gt;""),Input!$B$21,""),IF(AND($A13&lt;Hta_2,$A13&gt;=Hba_2,Input!AF$22&lt;&gt;""),Input!$B$22,""),IF(AND($A13&lt;Hta_3,$A13&gt;=Hba_3,Input!AF$23&lt;&gt;""),Input!$B$23,""),IF(AND($A13&lt;Hta_4,$A13&gt;=Hba_4,Input!AF$24&lt;&gt;""),Input!$B$24,""),IF(AND($A13&lt;Hta_5,$A13&gt;=Hba_5,Input!AF$25&lt;&gt;""),Input!$B$25,""),IF(AND($A13&lt;Hta_6,$A13&gt;=Hba_6,Input!AF$26&lt;&gt;""),Input!$B$26,""),IF(AND($A13&lt;Hta_7,$A13&gt;=Hba_7,Input!AF$27&lt;&gt;""),Input!$B$27,""),IF(AND($A13&lt;Hta_8,$A13&gt;=Hba_8,Input!AF$28&lt;&gt;""),Input!$B$28,""),IF(AND($A13&lt;Hta_9,$A13&gt;=Hba_9,Input!AF$29&lt;&gt;""),Input!$B$29,""),IF(AND($A13&lt;Hta_10,$A13&gt;=Hba_10,Input!AF$30&lt;&gt;""),Input!$B$30,""),IF(AND($A13&lt;Hta_11,$A13&gt;=Hba_11,Input!AF$31&lt;&gt;""),Input!$B$31,""),IF(AND($A13&lt;Hta_12,$A13&gt;=Hba_12,Input!AF$32&lt;&gt;""),Input!$B$32,""),IF(AND($A13&lt;Hta_13,$A13&gt;=Hba_13,Input!AF$33&lt;&gt;""),Input!$B$33,""),IF(AND($A13&lt;Hta_14,$A13&gt;=Hba_14,Input!AF$34&lt;&gt;""),Input!$B$34,""),IF(AND($A13&lt;Hta_15,$A13&gt;=Hba_15,Input!AF$35&lt;&gt;""),Input!$B$35,""),IF(AND($A13&lt;Hta_16,$A13&gt;=Hba_16,Input!AF$36&lt;&gt;""),Input!$B$36,""),IF(AND($A13&lt;Hta_17,$A13&gt;=Hba_17,Input!AF$37&lt;&gt;""),Input!$B$37,""),IF(AND($A13&lt;Hta_18,$A13&gt;=Hba_18,Input!AF$38&lt;&gt;""),Input!$B$38,""),IF(AND($A13&lt;Hta_19,$A13&gt;=Hba_19,Input!AF$39&lt;&gt;""),Input!$B$39,""),IF(AND($A13&lt;Hta_20,$A13&gt;=Hba_20,Input!AF$40&lt;&gt;""),Input!$B$40,""),IF(AND($A13&lt;Hta_21,$A13&gt;=Hba_21,Input!AF$41&lt;&gt;""),Input!$B$41,""),IF(AND($A13&lt;Hta_22,$A13&gt;=Hba_22,Input!AF$42&lt;&gt;""),Input!$B$42,""),IF(AND($A13&lt;Hta_23,$A13&gt;=Hba_23,Input!AF$43&lt;&gt;""),Input!$B$43,""),IF(AND($A13&lt;Hta_24,$A13&gt;=Hba_24,Input!AF$44&lt;&gt;""),Input!$B$44,""),IF(AND($A13&lt;Hta_25,$A13&gt;=Hba_25,Input!AF$45&lt;&gt;""),Input!$B$45,""),IF(AND($A13&lt;Hta_26,$A13&gt;=Hba_26,Input!AF$46&lt;&gt;""),Input!$B$46,""),IF(AND($A13&lt;Hta_27,$A13&gt;=Hba_27,Input!AF$47&lt;&gt;""),Input!$B$47,""),IF(AND($A13&lt;Hta_28,$A13&gt;=Hba_28,Input!AF$48&lt;&gt;""),Input!$B$48,""),IF(AND($A13&lt;Hta_29,$A13&gt;=Hba_29,Input!AF$49&lt;&gt;""),Input!$B$49,""),IF(AND($A13&lt;Hta_30,$A13&gt;=Hba_30,Input!AF$50&lt;&gt;""),Input!$B$50,""))),Input!$B$21:$AL$50,19+Input!AF20,FALSE),""),IFERROR(CONCATENATE(IF(AND($A13&lt;Hta_1,$A13&gt;=Hba_1,Input!AF$21&lt;&gt;""),Input!$B$21&amp;";",""),IF(AND($A13&lt;Hta_2,$A13&gt;=Hba_2,Input!AF$22&lt;&gt;""),Input!$B$22&amp;";",""),IF(AND($A13&lt;Hta_3,$A13&gt;=Hba_3,Input!AF$23&lt;&gt;""),Input!$B$23&amp;";",""),IF(AND($A13&lt;Hta_4,$A13&gt;=Hba_4,Input!AF$24&lt;&gt;""),Input!$B$24&amp;";",""),IF(AND($A13&lt;Hta_5,$A13&gt;=Hba_5,Input!AF$25&lt;&gt;""),Input!$B$25&amp;";",""),IF(AND($A13&lt;Hta_6,$A13&gt;=Hba_6,Input!AF$26&lt;&gt;""),Input!$B$26&amp;";",""),IF(AND($A13&lt;Hta_7,$A13&gt;=Hba_7,Input!AF$27&lt;&gt;""),Input!$B$27&amp;";",""),IF(AND($A13&lt;Hta_8,$A13&gt;=Hba_8,Input!AF$28&lt;&gt;""),Input!$B$28&amp;";",""),IF(AND($A13&lt;Hta_9,$A13&gt;=Hba_9,Input!AF$29&lt;&gt;""),Input!$B$29&amp;";",""),IF(AND($A13&lt;Hta_10,$A13&gt;=Hba_10,Input!AF$30&lt;&gt;""),Input!$B$30&amp;";",""),IF(AND($A13&lt;Hta_11,$A13&gt;=Hba_11,Input!AF$31&lt;&gt;""),Input!$B$31&amp;";",""),IF(AND($A13&lt;Hta_12,$A13&gt;=Hba_12,Input!AF$32&lt;&gt;""),Input!$B$32&amp;";",""),IF(AND($A13&lt;Hta_13,$A13&gt;=Hba_13,Input!AF$33&lt;&gt;""),Input!$B$33&amp;";",""),IF(AND($A13&lt;Hta_14,$A13&gt;=Hba_14,Input!AF$34&lt;&gt;""),Input!$B$34&amp;";",""),IF(AND($A13&lt;Hta_15,$A13&gt;=Hba_15,Input!AF$35&lt;&gt;""),Input!$B$35&amp;";",""),IF(AND($A13&lt;Hta_16,$A13&gt;=Hba_16,Input!AF$36&lt;&gt;""),Input!$B$36&amp;";",""),IF(AND($A13&lt;Hta_17,$A13&gt;=Hba_17,Input!AF$37&lt;&gt;""),Input!$B$37&amp;";",""),IF(AND($A13&lt;Hta_18,$A13&gt;=Hba_18,Input!AF$38&lt;&gt;""),Input!$B$38&amp;";",""),IF(AND($A13&lt;Hta_19,$A13&gt;=Hba_19,Input!AF$39&lt;&gt;""),Input!$B$39&amp;";",""),IF(AND($A13&lt;Hta_20,$A13&gt;=Hba_20,Input!AF$40&lt;&gt;""),Input!$B$40&amp;";",""),IF(AND($A13&lt;Hta_21,$A13&gt;=Hba_21,Input!AF$41&lt;&gt;""),Input!$B$41&amp;";",""),IF(AND($A13&lt;Hta_22,$A13&gt;=Hba_22,Input!AF$42&lt;&gt;""),Input!$B$42&amp;";",""),IF(AND($A13&lt;Hta_23,$A13&gt;=Hba_23,Input!AF$43&lt;&gt;""),Input!$B$43&amp;";",""),IF(AND($A13&lt;Hta_24,$A13&gt;=Hba_24,Input!AF$44&lt;&gt;""),Input!$B$44&amp;";",""),IF(AND($A13&lt;Hta_25,$A13&gt;=Hba_25,Input!AF$45&lt;&gt;""),Input!$B$45&amp;";",""),IF(AND($A13&lt;Hta_26,$A13&gt;=Hba_26,Input!AF$46&lt;&gt;""),Input!$B$46&amp;";",""),IF(AND($A13&lt;Hta_27,$A13&gt;=Hba_27,Input!AF$47&lt;&gt;""),Input!$B$47&amp;";",""),IF(AND($A13&lt;Hta_28,$A13&gt;=Hba_28,Input!AF$48&lt;&gt;""),Input!$B$48&amp;";",""),IF(AND($A13&lt;Hta_29,$A13&gt;=Hba_29,Input!AF$49&lt;&gt;""),Input!$B$49&amp;";",""),IF(AND($A13&lt;Hta_30,$A13&gt;=Hba_30,Input!AF$50&lt;&gt;""),Input!$B$50&amp;";","")),""))</f>
        <v/>
      </c>
      <c r="N14" s="110" t="str">
        <f>IF($A$12=0,IFERROR(VLOOKUP(VALUE(CONCATENATE(IF(AND($A13&lt;Hta_1,$A13&gt;=Hba_1,Input!AG$21&lt;&gt;""),Input!$B$21,""),IF(AND($A13&lt;Hta_2,$A13&gt;=Hba_2,Input!AG$22&lt;&gt;""),Input!$B$22,""),IF(AND($A13&lt;Hta_3,$A13&gt;=Hba_3,Input!AG$23&lt;&gt;""),Input!$B$23,""),IF(AND($A13&lt;Hta_4,$A13&gt;=Hba_4,Input!AG$24&lt;&gt;""),Input!$B$24,""),IF(AND($A13&lt;Hta_5,$A13&gt;=Hba_5,Input!AG$25&lt;&gt;""),Input!$B$25,""),IF(AND($A13&lt;Hta_6,$A13&gt;=Hba_6,Input!AG$26&lt;&gt;""),Input!$B$26,""),IF(AND($A13&lt;Hta_7,$A13&gt;=Hba_7,Input!AG$27&lt;&gt;""),Input!$B$27,""),IF(AND($A13&lt;Hta_8,$A13&gt;=Hba_8,Input!AG$28&lt;&gt;""),Input!$B$28,""),IF(AND($A13&lt;Hta_9,$A13&gt;=Hba_9,Input!AG$29&lt;&gt;""),Input!$B$29,""),IF(AND($A13&lt;Hta_10,$A13&gt;=Hba_10,Input!AG$30&lt;&gt;""),Input!$B$30,""),IF(AND($A13&lt;Hta_11,$A13&gt;=Hba_11,Input!AG$31&lt;&gt;""),Input!$B$31,""),IF(AND($A13&lt;Hta_12,$A13&gt;=Hba_12,Input!AG$32&lt;&gt;""),Input!$B$32,""),IF(AND($A13&lt;Hta_13,$A13&gt;=Hba_13,Input!AG$33&lt;&gt;""),Input!$B$33,""),IF(AND($A13&lt;Hta_14,$A13&gt;=Hba_14,Input!AG$34&lt;&gt;""),Input!$B$34,""),IF(AND($A13&lt;Hta_15,$A13&gt;=Hba_15,Input!AG$35&lt;&gt;""),Input!$B$35,""),IF(AND($A13&lt;Hta_16,$A13&gt;=Hba_16,Input!AG$36&lt;&gt;""),Input!$B$36,""),IF(AND($A13&lt;Hta_17,$A13&gt;=Hba_17,Input!AG$37&lt;&gt;""),Input!$B$37,""),IF(AND($A13&lt;Hta_18,$A13&gt;=Hba_18,Input!AG$38&lt;&gt;""),Input!$B$38,""),IF(AND($A13&lt;Hta_19,$A13&gt;=Hba_19,Input!AG$39&lt;&gt;""),Input!$B$39,""),IF(AND($A13&lt;Hta_20,$A13&gt;=Hba_20,Input!AG$40&lt;&gt;""),Input!$B$40,""),IF(AND($A13&lt;Hta_21,$A13&gt;=Hba_21,Input!AG$41&lt;&gt;""),Input!$B$41,""),IF(AND($A13&lt;Hta_22,$A13&gt;=Hba_22,Input!AG$42&lt;&gt;""),Input!$B$42,""),IF(AND($A13&lt;Hta_23,$A13&gt;=Hba_23,Input!AG$43&lt;&gt;""),Input!$B$43,""),IF(AND($A13&lt;Hta_24,$A13&gt;=Hba_24,Input!AG$44&lt;&gt;""),Input!$B$44,""),IF(AND($A13&lt;Hta_25,$A13&gt;=Hba_25,Input!AG$45&lt;&gt;""),Input!$B$45,""),IF(AND($A13&lt;Hta_26,$A13&gt;=Hba_26,Input!AG$46&lt;&gt;""),Input!$B$46,""),IF(AND($A13&lt;Hta_27,$A13&gt;=Hba_27,Input!AG$47&lt;&gt;""),Input!$B$47,""),IF(AND($A13&lt;Hta_28,$A13&gt;=Hba_28,Input!AG$48&lt;&gt;""),Input!$B$48,""),IF(AND($A13&lt;Hta_29,$A13&gt;=Hba_29,Input!AG$49&lt;&gt;""),Input!$B$49,""),IF(AND($A13&lt;Hta_30,$A13&gt;=Hba_30,Input!AG$50&lt;&gt;""),Input!$B$50,""))),Input!$B$21:$AL$50,19+Input!AG20,FALSE),""),IFERROR(CONCATENATE(IF(AND($A13&lt;Hta_1,$A13&gt;=Hba_1,Input!AG$21&lt;&gt;""),Input!$B$21&amp;";",""),IF(AND($A13&lt;Hta_2,$A13&gt;=Hba_2,Input!AG$22&lt;&gt;""),Input!$B$22&amp;";",""),IF(AND($A13&lt;Hta_3,$A13&gt;=Hba_3,Input!AG$23&lt;&gt;""),Input!$B$23&amp;";",""),IF(AND($A13&lt;Hta_4,$A13&gt;=Hba_4,Input!AG$24&lt;&gt;""),Input!$B$24&amp;";",""),IF(AND($A13&lt;Hta_5,$A13&gt;=Hba_5,Input!AG$25&lt;&gt;""),Input!$B$25&amp;";",""),IF(AND($A13&lt;Hta_6,$A13&gt;=Hba_6,Input!AG$26&lt;&gt;""),Input!$B$26&amp;";",""),IF(AND($A13&lt;Hta_7,$A13&gt;=Hba_7,Input!AG$27&lt;&gt;""),Input!$B$27&amp;";",""),IF(AND($A13&lt;Hta_8,$A13&gt;=Hba_8,Input!AG$28&lt;&gt;""),Input!$B$28&amp;";",""),IF(AND($A13&lt;Hta_9,$A13&gt;=Hba_9,Input!AG$29&lt;&gt;""),Input!$B$29&amp;";",""),IF(AND($A13&lt;Hta_10,$A13&gt;=Hba_10,Input!AG$30&lt;&gt;""),Input!$B$30&amp;";",""),IF(AND($A13&lt;Hta_11,$A13&gt;=Hba_11,Input!AG$31&lt;&gt;""),Input!$B$31&amp;";",""),IF(AND($A13&lt;Hta_12,$A13&gt;=Hba_12,Input!AG$32&lt;&gt;""),Input!$B$32&amp;";",""),IF(AND($A13&lt;Hta_13,$A13&gt;=Hba_13,Input!AG$33&lt;&gt;""),Input!$B$33&amp;";",""),IF(AND($A13&lt;Hta_14,$A13&gt;=Hba_14,Input!AG$34&lt;&gt;""),Input!$B$34&amp;";",""),IF(AND($A13&lt;Hta_15,$A13&gt;=Hba_15,Input!AG$35&lt;&gt;""),Input!$B$35&amp;";",""),IF(AND($A13&lt;Hta_16,$A13&gt;=Hba_16,Input!AG$36&lt;&gt;""),Input!$B$36&amp;";",""),IF(AND($A13&lt;Hta_17,$A13&gt;=Hba_17,Input!AG$37&lt;&gt;""),Input!$B$37&amp;";",""),IF(AND($A13&lt;Hta_18,$A13&gt;=Hba_18,Input!AG$38&lt;&gt;""),Input!$B$38&amp;";",""),IF(AND($A13&lt;Hta_19,$A13&gt;=Hba_19,Input!AG$39&lt;&gt;""),Input!$B$39&amp;";",""),IF(AND($A13&lt;Hta_20,$A13&gt;=Hba_20,Input!AG$40&lt;&gt;""),Input!$B$40&amp;";",""),IF(AND($A13&lt;Hta_21,$A13&gt;=Hba_21,Input!AG$41&lt;&gt;""),Input!$B$41&amp;";",""),IF(AND($A13&lt;Hta_22,$A13&gt;=Hba_22,Input!AG$42&lt;&gt;""),Input!$B$42&amp;";",""),IF(AND($A13&lt;Hta_23,$A13&gt;=Hba_23,Input!AG$43&lt;&gt;""),Input!$B$43&amp;";",""),IF(AND($A13&lt;Hta_24,$A13&gt;=Hba_24,Input!AG$44&lt;&gt;""),Input!$B$44&amp;";",""),IF(AND($A13&lt;Hta_25,$A13&gt;=Hba_25,Input!AG$45&lt;&gt;""),Input!$B$45&amp;";",""),IF(AND($A13&lt;Hta_26,$A13&gt;=Hba_26,Input!AG$46&lt;&gt;""),Input!$B$46&amp;";",""),IF(AND($A13&lt;Hta_27,$A13&gt;=Hba_27,Input!AG$47&lt;&gt;""),Input!$B$47&amp;";",""),IF(AND($A13&lt;Hta_28,$A13&gt;=Hba_28,Input!AG$48&lt;&gt;""),Input!$B$48&amp;";",""),IF(AND($A13&lt;Hta_29,$A13&gt;=Hba_29,Input!AG$49&lt;&gt;""),Input!$B$49&amp;";",""),IF(AND($A13&lt;Hta_30,$A13&gt;=Hba_30,Input!AG$50&lt;&gt;""),Input!$B$50&amp;";","")),""))</f>
        <v/>
      </c>
      <c r="O14" s="110" t="str">
        <f>IF($A$12=0,IFERROR(VLOOKUP(VALUE(CONCATENATE(IF(AND($A13&lt;Hta_1,$A13&gt;=Hba_1,Input!AH$21&lt;&gt;""),Input!$B$21,""),IF(AND($A13&lt;Hta_2,$A13&gt;=Hba_2,Input!AH$22&lt;&gt;""),Input!$B$22,""),IF(AND($A13&lt;Hta_3,$A13&gt;=Hba_3,Input!AH$23&lt;&gt;""),Input!$B$23,""),IF(AND($A13&lt;Hta_4,$A13&gt;=Hba_4,Input!AH$24&lt;&gt;""),Input!$B$24,""),IF(AND($A13&lt;Hta_5,$A13&gt;=Hba_5,Input!AH$25&lt;&gt;""),Input!$B$25,""),IF(AND($A13&lt;Hta_6,$A13&gt;=Hba_6,Input!AH$26&lt;&gt;""),Input!$B$26,""),IF(AND($A13&lt;Hta_7,$A13&gt;=Hba_7,Input!AH$27&lt;&gt;""),Input!$B$27,""),IF(AND($A13&lt;Hta_8,$A13&gt;=Hba_8,Input!AH$28&lt;&gt;""),Input!$B$28,""),IF(AND($A13&lt;Hta_9,$A13&gt;=Hba_9,Input!AH$29&lt;&gt;""),Input!$B$29,""),IF(AND($A13&lt;Hta_10,$A13&gt;=Hba_10,Input!AH$30&lt;&gt;""),Input!$B$30,""),IF(AND($A13&lt;Hta_11,$A13&gt;=Hba_11,Input!AH$31&lt;&gt;""),Input!$B$31,""),IF(AND($A13&lt;Hta_12,$A13&gt;=Hba_12,Input!AH$32&lt;&gt;""),Input!$B$32,""),IF(AND($A13&lt;Hta_13,$A13&gt;=Hba_13,Input!AH$33&lt;&gt;""),Input!$B$33,""),IF(AND($A13&lt;Hta_14,$A13&gt;=Hba_14,Input!AH$34&lt;&gt;""),Input!$B$34,""),IF(AND($A13&lt;Hta_15,$A13&gt;=Hba_15,Input!AH$35&lt;&gt;""),Input!$B$35,""),IF(AND($A13&lt;Hta_16,$A13&gt;=Hba_16,Input!AH$36&lt;&gt;""),Input!$B$36,""),IF(AND($A13&lt;Hta_17,$A13&gt;=Hba_17,Input!AH$37&lt;&gt;""),Input!$B$37,""),IF(AND($A13&lt;Hta_18,$A13&gt;=Hba_18,Input!AH$38&lt;&gt;""),Input!$B$38,""),IF(AND($A13&lt;Hta_19,$A13&gt;=Hba_19,Input!AH$39&lt;&gt;""),Input!$B$39,""),IF(AND($A13&lt;Hta_20,$A13&gt;=Hba_20,Input!AH$40&lt;&gt;""),Input!$B$40,""),IF(AND($A13&lt;Hta_21,$A13&gt;=Hba_21,Input!AH$41&lt;&gt;""),Input!$B$41,""),IF(AND($A13&lt;Hta_22,$A13&gt;=Hba_22,Input!AH$42&lt;&gt;""),Input!$B$42,""),IF(AND($A13&lt;Hta_23,$A13&gt;=Hba_23,Input!AH$43&lt;&gt;""),Input!$B$43,""),IF(AND($A13&lt;Hta_24,$A13&gt;=Hba_24,Input!AH$44&lt;&gt;""),Input!$B$44,""),IF(AND($A13&lt;Hta_25,$A13&gt;=Hba_25,Input!AH$45&lt;&gt;""),Input!$B$45,""),IF(AND($A13&lt;Hta_26,$A13&gt;=Hba_26,Input!AH$46&lt;&gt;""),Input!$B$46,""),IF(AND($A13&lt;Hta_27,$A13&gt;=Hba_27,Input!AH$47&lt;&gt;""),Input!$B$47,""),IF(AND($A13&lt;Hta_28,$A13&gt;=Hba_28,Input!AH$48&lt;&gt;""),Input!$B$48,""),IF(AND($A13&lt;Hta_29,$A13&gt;=Hba_29,Input!AH$49&lt;&gt;""),Input!$B$49,""),IF(AND($A13&lt;Hta_30,$A13&gt;=Hba_30,Input!AH$50&lt;&gt;""),Input!$B$50,""))),Input!$B$21:$AL$50,19+Input!AH20,FALSE),""),IFERROR(CONCATENATE(IF(AND($A13&lt;Hta_1,$A13&gt;=Hba_1,Input!AH$21&lt;&gt;""),Input!$B$21&amp;";",""),IF(AND($A13&lt;Hta_2,$A13&gt;=Hba_2,Input!AH$22&lt;&gt;""),Input!$B$22&amp;";",""),IF(AND($A13&lt;Hta_3,$A13&gt;=Hba_3,Input!AH$23&lt;&gt;""),Input!$B$23&amp;";",""),IF(AND($A13&lt;Hta_4,$A13&gt;=Hba_4,Input!AH$24&lt;&gt;""),Input!$B$24&amp;";",""),IF(AND($A13&lt;Hta_5,$A13&gt;=Hba_5,Input!AH$25&lt;&gt;""),Input!$B$25&amp;";",""),IF(AND($A13&lt;Hta_6,$A13&gt;=Hba_6,Input!AH$26&lt;&gt;""),Input!$B$26&amp;";",""),IF(AND($A13&lt;Hta_7,$A13&gt;=Hba_7,Input!AH$27&lt;&gt;""),Input!$B$27&amp;";",""),IF(AND($A13&lt;Hta_8,$A13&gt;=Hba_8,Input!AH$28&lt;&gt;""),Input!$B$28&amp;";",""),IF(AND($A13&lt;Hta_9,$A13&gt;=Hba_9,Input!AH$29&lt;&gt;""),Input!$B$29&amp;";",""),IF(AND($A13&lt;Hta_10,$A13&gt;=Hba_10,Input!AH$30&lt;&gt;""),Input!$B$30&amp;";",""),IF(AND($A13&lt;Hta_11,$A13&gt;=Hba_11,Input!AH$31&lt;&gt;""),Input!$B$31&amp;";",""),IF(AND($A13&lt;Hta_12,$A13&gt;=Hba_12,Input!AH$32&lt;&gt;""),Input!$B$32&amp;";",""),IF(AND($A13&lt;Hta_13,$A13&gt;=Hba_13,Input!AH$33&lt;&gt;""),Input!$B$33&amp;";",""),IF(AND($A13&lt;Hta_14,$A13&gt;=Hba_14,Input!AH$34&lt;&gt;""),Input!$B$34&amp;";",""),IF(AND($A13&lt;Hta_15,$A13&gt;=Hba_15,Input!AH$35&lt;&gt;""),Input!$B$35&amp;";",""),IF(AND($A13&lt;Hta_16,$A13&gt;=Hba_16,Input!AH$36&lt;&gt;""),Input!$B$36&amp;";",""),IF(AND($A13&lt;Hta_17,$A13&gt;=Hba_17,Input!AH$37&lt;&gt;""),Input!$B$37&amp;";",""),IF(AND($A13&lt;Hta_18,$A13&gt;=Hba_18,Input!AH$38&lt;&gt;""),Input!$B$38&amp;";",""),IF(AND($A13&lt;Hta_19,$A13&gt;=Hba_19,Input!AH$39&lt;&gt;""),Input!$B$39&amp;";",""),IF(AND($A13&lt;Hta_20,$A13&gt;=Hba_20,Input!AH$40&lt;&gt;""),Input!$B$40&amp;";",""),IF(AND($A13&lt;Hta_21,$A13&gt;=Hba_21,Input!AH$41&lt;&gt;""),Input!$B$41&amp;";",""),IF(AND($A13&lt;Hta_22,$A13&gt;=Hba_22,Input!AH$42&lt;&gt;""),Input!$B$42&amp;";",""),IF(AND($A13&lt;Hta_23,$A13&gt;=Hba_23,Input!AH$43&lt;&gt;""),Input!$B$43&amp;";",""),IF(AND($A13&lt;Hta_24,$A13&gt;=Hba_24,Input!AH$44&lt;&gt;""),Input!$B$44&amp;";",""),IF(AND($A13&lt;Hta_25,$A13&gt;=Hba_25,Input!AH$45&lt;&gt;""),Input!$B$45&amp;";",""),IF(AND($A13&lt;Hta_26,$A13&gt;=Hba_26,Input!AH$46&lt;&gt;""),Input!$B$46&amp;";",""),IF(AND($A13&lt;Hta_27,$A13&gt;=Hba_27,Input!AH$47&lt;&gt;""),Input!$B$47&amp;";",""),IF(AND($A13&lt;Hta_28,$A13&gt;=Hba_28,Input!AH$48&lt;&gt;""),Input!$B$48&amp;";",""),IF(AND($A13&lt;Hta_29,$A13&gt;=Hba_29,Input!AH$49&lt;&gt;""),Input!$B$49&amp;";",""),IF(AND($A13&lt;Hta_30,$A13&gt;=Hba_30,Input!AH$50&lt;&gt;""),Input!$B$50&amp;";","")),""))</f>
        <v/>
      </c>
      <c r="P14" s="110" t="str">
        <f>IF($A$12=0,IFERROR(VLOOKUP(VALUE(CONCATENATE(IF(AND($A13&lt;Hta_1,$A13&gt;=Hba_1,Input!AI$21&lt;&gt;""),Input!$B$21,""),IF(AND($A13&lt;Hta_2,$A13&gt;=Hba_2,Input!AI$22&lt;&gt;""),Input!$B$22,""),IF(AND($A13&lt;Hta_3,$A13&gt;=Hba_3,Input!AI$23&lt;&gt;""),Input!$B$23,""),IF(AND($A13&lt;Hta_4,$A13&gt;=Hba_4,Input!AI$24&lt;&gt;""),Input!$B$24,""),IF(AND($A13&lt;Hta_5,$A13&gt;=Hba_5,Input!AI$25&lt;&gt;""),Input!$B$25,""),IF(AND($A13&lt;Hta_6,$A13&gt;=Hba_6,Input!AI$26&lt;&gt;""),Input!$B$26,""),IF(AND($A13&lt;Hta_7,$A13&gt;=Hba_7,Input!AI$27&lt;&gt;""),Input!$B$27,""),IF(AND($A13&lt;Hta_8,$A13&gt;=Hba_8,Input!AI$28&lt;&gt;""),Input!$B$28,""),IF(AND($A13&lt;Hta_9,$A13&gt;=Hba_9,Input!AI$29&lt;&gt;""),Input!$B$29,""),IF(AND($A13&lt;Hta_10,$A13&gt;=Hba_10,Input!AI$30&lt;&gt;""),Input!$B$30,""),IF(AND($A13&lt;Hta_11,$A13&gt;=Hba_11,Input!AI$31&lt;&gt;""),Input!$B$31,""),IF(AND($A13&lt;Hta_12,$A13&gt;=Hba_12,Input!AI$32&lt;&gt;""),Input!$B$32,""),IF(AND($A13&lt;Hta_13,$A13&gt;=Hba_13,Input!AI$33&lt;&gt;""),Input!$B$33,""),IF(AND($A13&lt;Hta_14,$A13&gt;=Hba_14,Input!AI$34&lt;&gt;""),Input!$B$34,""),IF(AND($A13&lt;Hta_15,$A13&gt;=Hba_15,Input!AI$35&lt;&gt;""),Input!$B$35,""),IF(AND($A13&lt;Hta_16,$A13&gt;=Hba_16,Input!AI$36&lt;&gt;""),Input!$B$36,""),IF(AND($A13&lt;Hta_17,$A13&gt;=Hba_17,Input!AI$37&lt;&gt;""),Input!$B$37,""),IF(AND($A13&lt;Hta_18,$A13&gt;=Hba_18,Input!AI$38&lt;&gt;""),Input!$B$38,""),IF(AND($A13&lt;Hta_19,$A13&gt;=Hba_19,Input!AI$39&lt;&gt;""),Input!$B$39,""),IF(AND($A13&lt;Hta_20,$A13&gt;=Hba_20,Input!AI$40&lt;&gt;""),Input!$B$40,""),IF(AND($A13&lt;Hta_21,$A13&gt;=Hba_21,Input!AI$41&lt;&gt;""),Input!$B$41,""),IF(AND($A13&lt;Hta_22,$A13&gt;=Hba_22,Input!AI$42&lt;&gt;""),Input!$B$42,""),IF(AND($A13&lt;Hta_23,$A13&gt;=Hba_23,Input!AI$43&lt;&gt;""),Input!$B$43,""),IF(AND($A13&lt;Hta_24,$A13&gt;=Hba_24,Input!AI$44&lt;&gt;""),Input!$B$44,""),IF(AND($A13&lt;Hta_25,$A13&gt;=Hba_25,Input!AI$45&lt;&gt;""),Input!$B$45,""),IF(AND($A13&lt;Hta_26,$A13&gt;=Hba_26,Input!AI$46&lt;&gt;""),Input!$B$46,""),IF(AND($A13&lt;Hta_27,$A13&gt;=Hba_27,Input!AI$47&lt;&gt;""),Input!$B$47,""),IF(AND($A13&lt;Hta_28,$A13&gt;=Hba_28,Input!AI$48&lt;&gt;""),Input!$B$48,""),IF(AND($A13&lt;Hta_29,$A13&gt;=Hba_29,Input!AI$49&lt;&gt;""),Input!$B$49,""),IF(AND($A13&lt;Hta_30,$A13&gt;=Hba_30,Input!AI$50&lt;&gt;""),Input!$B$50,""))),Input!$B$21:$AL$50,19+Input!AI20,FALSE),""),IFERROR(CONCATENATE(IF(AND($A13&lt;Hta_1,$A13&gt;=Hba_1,Input!AI$21&lt;&gt;""),Input!$B$21&amp;";",""),IF(AND($A13&lt;Hta_2,$A13&gt;=Hba_2,Input!AI$22&lt;&gt;""),Input!$B$22&amp;";",""),IF(AND($A13&lt;Hta_3,$A13&gt;=Hba_3,Input!AI$23&lt;&gt;""),Input!$B$23&amp;";",""),IF(AND($A13&lt;Hta_4,$A13&gt;=Hba_4,Input!AI$24&lt;&gt;""),Input!$B$24&amp;";",""),IF(AND($A13&lt;Hta_5,$A13&gt;=Hba_5,Input!AI$25&lt;&gt;""),Input!$B$25&amp;";",""),IF(AND($A13&lt;Hta_6,$A13&gt;=Hba_6,Input!AI$26&lt;&gt;""),Input!$B$26&amp;";",""),IF(AND($A13&lt;Hta_7,$A13&gt;=Hba_7,Input!AI$27&lt;&gt;""),Input!$B$27&amp;";",""),IF(AND($A13&lt;Hta_8,$A13&gt;=Hba_8,Input!AI$28&lt;&gt;""),Input!$B$28&amp;";",""),IF(AND($A13&lt;Hta_9,$A13&gt;=Hba_9,Input!AI$29&lt;&gt;""),Input!$B$29&amp;";",""),IF(AND($A13&lt;Hta_10,$A13&gt;=Hba_10,Input!AI$30&lt;&gt;""),Input!$B$30&amp;";",""),IF(AND($A13&lt;Hta_11,$A13&gt;=Hba_11,Input!AI$31&lt;&gt;""),Input!$B$31&amp;";",""),IF(AND($A13&lt;Hta_12,$A13&gt;=Hba_12,Input!AI$32&lt;&gt;""),Input!$B$32&amp;";",""),IF(AND($A13&lt;Hta_13,$A13&gt;=Hba_13,Input!AI$33&lt;&gt;""),Input!$B$33&amp;";",""),IF(AND($A13&lt;Hta_14,$A13&gt;=Hba_14,Input!AI$34&lt;&gt;""),Input!$B$34&amp;";",""),IF(AND($A13&lt;Hta_15,$A13&gt;=Hba_15,Input!AI$35&lt;&gt;""),Input!$B$35&amp;";",""),IF(AND($A13&lt;Hta_16,$A13&gt;=Hba_16,Input!AI$36&lt;&gt;""),Input!$B$36&amp;";",""),IF(AND($A13&lt;Hta_17,$A13&gt;=Hba_17,Input!AI$37&lt;&gt;""),Input!$B$37&amp;";",""),IF(AND($A13&lt;Hta_18,$A13&gt;=Hba_18,Input!AI$38&lt;&gt;""),Input!$B$38&amp;";",""),IF(AND($A13&lt;Hta_19,$A13&gt;=Hba_19,Input!AI$39&lt;&gt;""),Input!$B$39&amp;";",""),IF(AND($A13&lt;Hta_20,$A13&gt;=Hba_20,Input!AI$40&lt;&gt;""),Input!$B$40&amp;";",""),IF(AND($A13&lt;Hta_21,$A13&gt;=Hba_21,Input!AI$41&lt;&gt;""),Input!$B$41&amp;";",""),IF(AND($A13&lt;Hta_22,$A13&gt;=Hba_22,Input!AI$42&lt;&gt;""),Input!$B$42&amp;";",""),IF(AND($A13&lt;Hta_23,$A13&gt;=Hba_23,Input!AI$43&lt;&gt;""),Input!$B$43&amp;";",""),IF(AND($A13&lt;Hta_24,$A13&gt;=Hba_24,Input!AI$44&lt;&gt;""),Input!$B$44&amp;";",""),IF(AND($A13&lt;Hta_25,$A13&gt;=Hba_25,Input!AI$45&lt;&gt;""),Input!$B$45&amp;";",""),IF(AND($A13&lt;Hta_26,$A13&gt;=Hba_26,Input!AI$46&lt;&gt;""),Input!$B$46&amp;";",""),IF(AND($A13&lt;Hta_27,$A13&gt;=Hba_27,Input!AI$47&lt;&gt;""),Input!$B$47&amp;";",""),IF(AND($A13&lt;Hta_28,$A13&gt;=Hba_28,Input!AI$48&lt;&gt;""),Input!$B$48&amp;";",""),IF(AND($A13&lt;Hta_29,$A13&gt;=Hba_29,Input!AI$49&lt;&gt;""),Input!$B$49&amp;";",""),IF(AND($A13&lt;Hta_30,$A13&gt;=Hba_30,Input!AI$50&lt;&gt;""),Input!$B$50&amp;";","")),""))</f>
        <v/>
      </c>
      <c r="Q14" s="110" t="str">
        <f>IF($A$12=0,IFERROR(VLOOKUP(VALUE(CONCATENATE(IF(AND($A13&lt;Hta_1,$A13&gt;=Hba_1,Input!AJ$21&lt;&gt;""),Input!$B$21,""),IF(AND($A13&lt;Hta_2,$A13&gt;=Hba_2,Input!AJ$22&lt;&gt;""),Input!$B$22,""),IF(AND($A13&lt;Hta_3,$A13&gt;=Hba_3,Input!AJ$23&lt;&gt;""),Input!$B$23,""),IF(AND($A13&lt;Hta_4,$A13&gt;=Hba_4,Input!AJ$24&lt;&gt;""),Input!$B$24,""),IF(AND($A13&lt;Hta_5,$A13&gt;=Hba_5,Input!AJ$25&lt;&gt;""),Input!$B$25,""),IF(AND($A13&lt;Hta_6,$A13&gt;=Hba_6,Input!AJ$26&lt;&gt;""),Input!$B$26,""),IF(AND($A13&lt;Hta_7,$A13&gt;=Hba_7,Input!AJ$27&lt;&gt;""),Input!$B$27,""),IF(AND($A13&lt;Hta_8,$A13&gt;=Hba_8,Input!AJ$28&lt;&gt;""),Input!$B$28,""),IF(AND($A13&lt;Hta_9,$A13&gt;=Hba_9,Input!AJ$29&lt;&gt;""),Input!$B$29,""),IF(AND($A13&lt;Hta_10,$A13&gt;=Hba_10,Input!AJ$30&lt;&gt;""),Input!$B$30,""),IF(AND($A13&lt;Hta_11,$A13&gt;=Hba_11,Input!AJ$31&lt;&gt;""),Input!$B$31,""),IF(AND($A13&lt;Hta_12,$A13&gt;=Hba_12,Input!AJ$32&lt;&gt;""),Input!$B$32,""),IF(AND($A13&lt;Hta_13,$A13&gt;=Hba_13,Input!AJ$33&lt;&gt;""),Input!$B$33,""),IF(AND($A13&lt;Hta_14,$A13&gt;=Hba_14,Input!AJ$34&lt;&gt;""),Input!$B$34,""),IF(AND($A13&lt;Hta_15,$A13&gt;=Hba_15,Input!AJ$35&lt;&gt;""),Input!$B$35,""),IF(AND($A13&lt;Hta_16,$A13&gt;=Hba_16,Input!AJ$36&lt;&gt;""),Input!$B$36,""),IF(AND($A13&lt;Hta_17,$A13&gt;=Hba_17,Input!AJ$37&lt;&gt;""),Input!$B$37,""),IF(AND($A13&lt;Hta_18,$A13&gt;=Hba_18,Input!AJ$38&lt;&gt;""),Input!$B$38,""),IF(AND($A13&lt;Hta_19,$A13&gt;=Hba_19,Input!AJ$39&lt;&gt;""),Input!$B$39,""),IF(AND($A13&lt;Hta_20,$A13&gt;=Hba_20,Input!AJ$40&lt;&gt;""),Input!$B$40,""),IF(AND($A13&lt;Hta_21,$A13&gt;=Hba_21,Input!AJ$41&lt;&gt;""),Input!$B$41,""),IF(AND($A13&lt;Hta_22,$A13&gt;=Hba_22,Input!AJ$42&lt;&gt;""),Input!$B$42,""),IF(AND($A13&lt;Hta_23,$A13&gt;=Hba_23,Input!AJ$43&lt;&gt;""),Input!$B$43,""),IF(AND($A13&lt;Hta_24,$A13&gt;=Hba_24,Input!AJ$44&lt;&gt;""),Input!$B$44,""),IF(AND($A13&lt;Hta_25,$A13&gt;=Hba_25,Input!AJ$45&lt;&gt;""),Input!$B$45,""),IF(AND($A13&lt;Hta_26,$A13&gt;=Hba_26,Input!AJ$46&lt;&gt;""),Input!$B$46,""),IF(AND($A13&lt;Hta_27,$A13&gt;=Hba_27,Input!AJ$47&lt;&gt;""),Input!$B$47,""),IF(AND($A13&lt;Hta_28,$A13&gt;=Hba_28,Input!AJ$48&lt;&gt;""),Input!$B$48,""),IF(AND($A13&lt;Hta_29,$A13&gt;=Hba_29,Input!AJ$49&lt;&gt;""),Input!$B$49,""),IF(AND($A13&lt;Hta_30,$A13&gt;=Hba_30,Input!AJ$50&lt;&gt;""),Input!$B$50,""))),Input!$B$21:$AL$50,19+Input!AJ20,FALSE),""),IFERROR(CONCATENATE(IF(AND($A13&lt;Hta_1,$A13&gt;=Hba_1,Input!AJ$21&lt;&gt;""),Input!$B$21&amp;";",""),IF(AND($A13&lt;Hta_2,$A13&gt;=Hba_2,Input!AJ$22&lt;&gt;""),Input!$B$22&amp;";",""),IF(AND($A13&lt;Hta_3,$A13&gt;=Hba_3,Input!AJ$23&lt;&gt;""),Input!$B$23&amp;";",""),IF(AND($A13&lt;Hta_4,$A13&gt;=Hba_4,Input!AJ$24&lt;&gt;""),Input!$B$24&amp;";",""),IF(AND($A13&lt;Hta_5,$A13&gt;=Hba_5,Input!AJ$25&lt;&gt;""),Input!$B$25&amp;";",""),IF(AND($A13&lt;Hta_6,$A13&gt;=Hba_6,Input!AJ$26&lt;&gt;""),Input!$B$26&amp;";",""),IF(AND($A13&lt;Hta_7,$A13&gt;=Hba_7,Input!AJ$27&lt;&gt;""),Input!$B$27&amp;";",""),IF(AND($A13&lt;Hta_8,$A13&gt;=Hba_8,Input!AJ$28&lt;&gt;""),Input!$B$28&amp;";",""),IF(AND($A13&lt;Hta_9,$A13&gt;=Hba_9,Input!AJ$29&lt;&gt;""),Input!$B$29&amp;";",""),IF(AND($A13&lt;Hta_10,$A13&gt;=Hba_10,Input!AJ$30&lt;&gt;""),Input!$B$30&amp;";",""),IF(AND($A13&lt;Hta_11,$A13&gt;=Hba_11,Input!AJ$31&lt;&gt;""),Input!$B$31&amp;";",""),IF(AND($A13&lt;Hta_12,$A13&gt;=Hba_12,Input!AJ$32&lt;&gt;""),Input!$B$32&amp;";",""),IF(AND($A13&lt;Hta_13,$A13&gt;=Hba_13,Input!AJ$33&lt;&gt;""),Input!$B$33&amp;";",""),IF(AND($A13&lt;Hta_14,$A13&gt;=Hba_14,Input!AJ$34&lt;&gt;""),Input!$B$34&amp;";",""),IF(AND($A13&lt;Hta_15,$A13&gt;=Hba_15,Input!AJ$35&lt;&gt;""),Input!$B$35&amp;";",""),IF(AND($A13&lt;Hta_16,$A13&gt;=Hba_16,Input!AJ$36&lt;&gt;""),Input!$B$36&amp;";",""),IF(AND($A13&lt;Hta_17,$A13&gt;=Hba_17,Input!AJ$37&lt;&gt;""),Input!$B$37&amp;";",""),IF(AND($A13&lt;Hta_18,$A13&gt;=Hba_18,Input!AJ$38&lt;&gt;""),Input!$B$38&amp;";",""),IF(AND($A13&lt;Hta_19,$A13&gt;=Hba_19,Input!AJ$39&lt;&gt;""),Input!$B$39&amp;";",""),IF(AND($A13&lt;Hta_20,$A13&gt;=Hba_20,Input!AJ$40&lt;&gt;""),Input!$B$40&amp;";",""),IF(AND($A13&lt;Hta_21,$A13&gt;=Hba_21,Input!AJ$41&lt;&gt;""),Input!$B$41&amp;";",""),IF(AND($A13&lt;Hta_22,$A13&gt;=Hba_22,Input!AJ$42&lt;&gt;""),Input!$B$42&amp;";",""),IF(AND($A13&lt;Hta_23,$A13&gt;=Hba_23,Input!AJ$43&lt;&gt;""),Input!$B$43&amp;";",""),IF(AND($A13&lt;Hta_24,$A13&gt;=Hba_24,Input!AJ$44&lt;&gt;""),Input!$B$44&amp;";",""),IF(AND($A13&lt;Hta_25,$A13&gt;=Hba_25,Input!AJ$45&lt;&gt;""),Input!$B$45&amp;";",""),IF(AND($A13&lt;Hta_26,$A13&gt;=Hba_26,Input!AJ$46&lt;&gt;""),Input!$B$46&amp;";",""),IF(AND($A13&lt;Hta_27,$A13&gt;=Hba_27,Input!AJ$47&lt;&gt;""),Input!$B$47&amp;";",""),IF(AND($A13&lt;Hta_28,$A13&gt;=Hba_28,Input!AJ$48&lt;&gt;""),Input!$B$48&amp;";",""),IF(AND($A13&lt;Hta_29,$A13&gt;=Hba_29,Input!AJ$49&lt;&gt;""),Input!$B$49&amp;";",""),IF(AND($A13&lt;Hta_30,$A13&gt;=Hba_30,Input!AJ$50&lt;&gt;""),Input!$B$50&amp;";","")),""))</f>
        <v/>
      </c>
      <c r="R14" s="110" t="str">
        <f>IF($A$12=0,IFERROR(VLOOKUP(VALUE(CONCATENATE(IF(AND($A13&lt;Hta_1,$A13&gt;=Hba_1,Input!AK$21&lt;&gt;""),Input!$B$21,""),IF(AND($A13&lt;Hta_2,$A13&gt;=Hba_2,Input!AK$22&lt;&gt;""),Input!$B$22,""),IF(AND($A13&lt;Hta_3,$A13&gt;=Hba_3,Input!AK$23&lt;&gt;""),Input!$B$23,""),IF(AND($A13&lt;Hta_4,$A13&gt;=Hba_4,Input!AK$24&lt;&gt;""),Input!$B$24,""),IF(AND($A13&lt;Hta_5,$A13&gt;=Hba_5,Input!AK$25&lt;&gt;""),Input!$B$25,""),IF(AND($A13&lt;Hta_6,$A13&gt;=Hba_6,Input!AK$26&lt;&gt;""),Input!$B$26,""),IF(AND($A13&lt;Hta_7,$A13&gt;=Hba_7,Input!AK$27&lt;&gt;""),Input!$B$27,""),IF(AND($A13&lt;Hta_8,$A13&gt;=Hba_8,Input!AK$28&lt;&gt;""),Input!$B$28,""),IF(AND($A13&lt;Hta_9,$A13&gt;=Hba_9,Input!AK$29&lt;&gt;""),Input!$B$29,""),IF(AND($A13&lt;Hta_10,$A13&gt;=Hba_10,Input!AK$30&lt;&gt;""),Input!$B$30,""),IF(AND($A13&lt;Hta_11,$A13&gt;=Hba_11,Input!AK$31&lt;&gt;""),Input!$B$31,""),IF(AND($A13&lt;Hta_12,$A13&gt;=Hba_12,Input!AK$32&lt;&gt;""),Input!$B$32,""),IF(AND($A13&lt;Hta_13,$A13&gt;=Hba_13,Input!AK$33&lt;&gt;""),Input!$B$33,""),IF(AND($A13&lt;Hta_14,$A13&gt;=Hba_14,Input!AK$34&lt;&gt;""),Input!$B$34,""),IF(AND($A13&lt;Hta_15,$A13&gt;=Hba_15,Input!AK$35&lt;&gt;""),Input!$B$35,""),IF(AND($A13&lt;Hta_16,$A13&gt;=Hba_16,Input!AK$36&lt;&gt;""),Input!$B$36,""),IF(AND($A13&lt;Hta_17,$A13&gt;=Hba_17,Input!AK$37&lt;&gt;""),Input!$B$37,""),IF(AND($A13&lt;Hta_18,$A13&gt;=Hba_18,Input!AK$38&lt;&gt;""),Input!$B$38,""),IF(AND($A13&lt;Hta_19,$A13&gt;=Hba_19,Input!AK$39&lt;&gt;""),Input!$B$39,""),IF(AND($A13&lt;Hta_20,$A13&gt;=Hba_20,Input!AK$40&lt;&gt;""),Input!$B$40,""),IF(AND($A13&lt;Hta_21,$A13&gt;=Hba_21,Input!AK$41&lt;&gt;""),Input!$B$41,""),IF(AND($A13&lt;Hta_22,$A13&gt;=Hba_22,Input!AK$42&lt;&gt;""),Input!$B$42,""),IF(AND($A13&lt;Hta_23,$A13&gt;=Hba_23,Input!AK$43&lt;&gt;""),Input!$B$43,""),IF(AND($A13&lt;Hta_24,$A13&gt;=Hba_24,Input!AK$44&lt;&gt;""),Input!$B$44,""),IF(AND($A13&lt;Hta_25,$A13&gt;=Hba_25,Input!AK$45&lt;&gt;""),Input!$B$45,""),IF(AND($A13&lt;Hta_26,$A13&gt;=Hba_26,Input!AK$46&lt;&gt;""),Input!$B$46,""),IF(AND($A13&lt;Hta_27,$A13&gt;=Hba_27,Input!AK$47&lt;&gt;""),Input!$B$47,""),IF(AND($A13&lt;Hta_28,$A13&gt;=Hba_28,Input!AK$48&lt;&gt;""),Input!$B$48,""),IF(AND($A13&lt;Hta_29,$A13&gt;=Hba_29,Input!AK$49&lt;&gt;""),Input!$B$49,""),IF(AND($A13&lt;Hta_30,$A13&gt;=Hba_30,Input!AK$50&lt;&gt;""),Input!$B$50,""))),Input!$B$21:$AL$50,19+Input!AK20,FALSE),""),IFERROR(CONCATENATE(IF(AND($A13&lt;Hta_1,$A13&gt;=Hba_1,Input!AK$21&lt;&gt;""),Input!$B$21&amp;";",""),IF(AND($A13&lt;Hta_2,$A13&gt;=Hba_2,Input!AK$22&lt;&gt;""),Input!$B$22&amp;";",""),IF(AND($A13&lt;Hta_3,$A13&gt;=Hba_3,Input!AK$23&lt;&gt;""),Input!$B$23&amp;";",""),IF(AND($A13&lt;Hta_4,$A13&gt;=Hba_4,Input!AK$24&lt;&gt;""),Input!$B$24&amp;";",""),IF(AND($A13&lt;Hta_5,$A13&gt;=Hba_5,Input!AK$25&lt;&gt;""),Input!$B$25&amp;";",""),IF(AND($A13&lt;Hta_6,$A13&gt;=Hba_6,Input!AK$26&lt;&gt;""),Input!$B$26&amp;";",""),IF(AND($A13&lt;Hta_7,$A13&gt;=Hba_7,Input!AK$27&lt;&gt;""),Input!$B$27&amp;";",""),IF(AND($A13&lt;Hta_8,$A13&gt;=Hba_8,Input!AK$28&lt;&gt;""),Input!$B$28&amp;";",""),IF(AND($A13&lt;Hta_9,$A13&gt;=Hba_9,Input!AK$29&lt;&gt;""),Input!$B$29&amp;";",""),IF(AND($A13&lt;Hta_10,$A13&gt;=Hba_10,Input!AK$30&lt;&gt;""),Input!$B$30&amp;";",""),IF(AND($A13&lt;Hta_11,$A13&gt;=Hba_11,Input!AK$31&lt;&gt;""),Input!$B$31&amp;";",""),IF(AND($A13&lt;Hta_12,$A13&gt;=Hba_12,Input!AK$32&lt;&gt;""),Input!$B$32&amp;";",""),IF(AND($A13&lt;Hta_13,$A13&gt;=Hba_13,Input!AK$33&lt;&gt;""),Input!$B$33&amp;";",""),IF(AND($A13&lt;Hta_14,$A13&gt;=Hba_14,Input!AK$34&lt;&gt;""),Input!$B$34&amp;";",""),IF(AND($A13&lt;Hta_15,$A13&gt;=Hba_15,Input!AK$35&lt;&gt;""),Input!$B$35&amp;";",""),IF(AND($A13&lt;Hta_16,$A13&gt;=Hba_16,Input!AK$36&lt;&gt;""),Input!$B$36&amp;";",""),IF(AND($A13&lt;Hta_17,$A13&gt;=Hba_17,Input!AK$37&lt;&gt;""),Input!$B$37&amp;";",""),IF(AND($A13&lt;Hta_18,$A13&gt;=Hba_18,Input!AK$38&lt;&gt;""),Input!$B$38&amp;";",""),IF(AND($A13&lt;Hta_19,$A13&gt;=Hba_19,Input!AK$39&lt;&gt;""),Input!$B$39&amp;";",""),IF(AND($A13&lt;Hta_20,$A13&gt;=Hba_20,Input!AK$40&lt;&gt;""),Input!$B$40&amp;";",""),IF(AND($A13&lt;Hta_21,$A13&gt;=Hba_21,Input!AK$41&lt;&gt;""),Input!$B$41&amp;";",""),IF(AND($A13&lt;Hta_22,$A13&gt;=Hba_22,Input!AK$42&lt;&gt;""),Input!$B$42&amp;";",""),IF(AND($A13&lt;Hta_23,$A13&gt;=Hba_23,Input!AK$43&lt;&gt;""),Input!$B$43&amp;";",""),IF(AND($A13&lt;Hta_24,$A13&gt;=Hba_24,Input!AK$44&lt;&gt;""),Input!$B$44&amp;";",""),IF(AND($A13&lt;Hta_25,$A13&gt;=Hba_25,Input!AK$45&lt;&gt;""),Input!$B$45&amp;";",""),IF(AND($A13&lt;Hta_26,$A13&gt;=Hba_26,Input!AK$46&lt;&gt;""),Input!$B$46&amp;";",""),IF(AND($A13&lt;Hta_27,$A13&gt;=Hba_27,Input!AK$47&lt;&gt;""),Input!$B$47&amp;";",""),IF(AND($A13&lt;Hta_28,$A13&gt;=Hba_28,Input!AK$48&lt;&gt;""),Input!$B$48&amp;";",""),IF(AND($A13&lt;Hta_29,$A13&gt;=Hba_29,Input!AK$49&lt;&gt;""),Input!$B$49&amp;";",""),IF(AND($A13&lt;Hta_30,$A13&gt;=Hba_30,Input!AK$50&lt;&gt;""),Input!$B$50&amp;";","")),""))</f>
        <v/>
      </c>
      <c r="S14" s="110" t="str">
        <f>IF($A$12=0,IFERROR(VLOOKUP(VALUE(CONCATENATE(IF(AND($A13&lt;Hta_1,$A13&gt;=Hba_1,Input!AL$21&lt;&gt;""),Input!$B$21,""),IF(AND($A13&lt;Hta_2,$A13&gt;=Hba_2,Input!AL$22&lt;&gt;""),Input!$B$22,""),IF(AND($A13&lt;Hta_3,$A13&gt;=Hba_3,Input!AL$23&lt;&gt;""),Input!$B$23,""),IF(AND($A13&lt;Hta_4,$A13&gt;=Hba_4,Input!AL$24&lt;&gt;""),Input!$B$24,""),IF(AND($A13&lt;Hta_5,$A13&gt;=Hba_5,Input!AL$25&lt;&gt;""),Input!$B$25,""),IF(AND($A13&lt;Hta_6,$A13&gt;=Hba_6,Input!AL$26&lt;&gt;""),Input!$B$26,""),IF(AND($A13&lt;Hta_7,$A13&gt;=Hba_7,Input!AL$27&lt;&gt;""),Input!$B$27,""),IF(AND($A13&lt;Hta_8,$A13&gt;=Hba_8,Input!AL$28&lt;&gt;""),Input!$B$28,""),IF(AND($A13&lt;Hta_9,$A13&gt;=Hba_9,Input!AL$29&lt;&gt;""),Input!$B$29,""),IF(AND($A13&lt;Hta_10,$A13&gt;=Hba_10,Input!AL$30&lt;&gt;""),Input!$B$30,""),IF(AND($A13&lt;Hta_11,$A13&gt;=Hba_11,Input!AL$31&lt;&gt;""),Input!$B$31,""),IF(AND($A13&lt;Hta_12,$A13&gt;=Hba_12,Input!AL$32&lt;&gt;""),Input!$B$32,""),IF(AND($A13&lt;Hta_13,$A13&gt;=Hba_13,Input!AL$33&lt;&gt;""),Input!$B$33,""),IF(AND($A13&lt;Hta_14,$A13&gt;=Hba_14,Input!AL$34&lt;&gt;""),Input!$B$34,""),IF(AND($A13&lt;Hta_15,$A13&gt;=Hba_15,Input!AL$35&lt;&gt;""),Input!$B$35,""),IF(AND($A13&lt;Hta_16,$A13&gt;=Hba_16,Input!AL$36&lt;&gt;""),Input!$B$36,""),IF(AND($A13&lt;Hta_17,$A13&gt;=Hba_17,Input!AL$37&lt;&gt;""),Input!$B$37,""),IF(AND($A13&lt;Hta_18,$A13&gt;=Hba_18,Input!AL$38&lt;&gt;""),Input!$B$38,""),IF(AND($A13&lt;Hta_19,$A13&gt;=Hba_19,Input!AL$39&lt;&gt;""),Input!$B$39,""),IF(AND($A13&lt;Hta_20,$A13&gt;=Hba_20,Input!AL$40&lt;&gt;""),Input!$B$40,""),IF(AND($A13&lt;Hta_21,$A13&gt;=Hba_21,Input!AL$41&lt;&gt;""),Input!$B$41,""),IF(AND($A13&lt;Hta_22,$A13&gt;=Hba_22,Input!AL$42&lt;&gt;""),Input!$B$42,""),IF(AND($A13&lt;Hta_23,$A13&gt;=Hba_23,Input!AL$43&lt;&gt;""),Input!$B$43,""),IF(AND($A13&lt;Hta_24,$A13&gt;=Hba_24,Input!AL$44&lt;&gt;""),Input!$B$44,""),IF(AND($A13&lt;Hta_25,$A13&gt;=Hba_25,Input!AL$45&lt;&gt;""),Input!$B$45,""),IF(AND($A13&lt;Hta_26,$A13&gt;=Hba_26,Input!AL$46&lt;&gt;""),Input!$B$46,""),IF(AND($A13&lt;Hta_27,$A13&gt;=Hba_27,Input!AL$47&lt;&gt;""),Input!$B$47,""),IF(AND($A13&lt;Hta_28,$A13&gt;=Hba_28,Input!AL$48&lt;&gt;""),Input!$B$48,""),IF(AND($A13&lt;Hta_29,$A13&gt;=Hba_29,Input!AL$49&lt;&gt;""),Input!$B$49,""),IF(AND($A13&lt;Hta_30,$A13&gt;=Hba_30,Input!AL$50&lt;&gt;""),Input!$B$50,""))),Input!$B$21:$AL$50,19+Input!AL20,FALSE),""),IFERROR(CONCATENATE(IF(AND($A13&lt;Hta_1,$A13&gt;=Hba_1,Input!AL$21&lt;&gt;""),Input!$B$21&amp;";",""),IF(AND($A13&lt;Hta_2,$A13&gt;=Hba_2,Input!AL$22&lt;&gt;""),Input!$B$22&amp;";",""),IF(AND($A13&lt;Hta_3,$A13&gt;=Hba_3,Input!AL$23&lt;&gt;""),Input!$B$23&amp;";",""),IF(AND($A13&lt;Hta_4,$A13&gt;=Hba_4,Input!AL$24&lt;&gt;""),Input!$B$24&amp;";",""),IF(AND($A13&lt;Hta_5,$A13&gt;=Hba_5,Input!AL$25&lt;&gt;""),Input!$B$25&amp;";",""),IF(AND($A13&lt;Hta_6,$A13&gt;=Hba_6,Input!AL$26&lt;&gt;""),Input!$B$26&amp;";",""),IF(AND($A13&lt;Hta_7,$A13&gt;=Hba_7,Input!AL$27&lt;&gt;""),Input!$B$27&amp;";",""),IF(AND($A13&lt;Hta_8,$A13&gt;=Hba_8,Input!AL$28&lt;&gt;""),Input!$B$28&amp;";",""),IF(AND($A13&lt;Hta_9,$A13&gt;=Hba_9,Input!AL$29&lt;&gt;""),Input!$B$29&amp;";",""),IF(AND($A13&lt;Hta_10,$A13&gt;=Hba_10,Input!AL$30&lt;&gt;""),Input!$B$30&amp;";",""),IF(AND($A13&lt;Hta_11,$A13&gt;=Hba_11,Input!AL$31&lt;&gt;""),Input!$B$31&amp;";",""),IF(AND($A13&lt;Hta_12,$A13&gt;=Hba_12,Input!AL$32&lt;&gt;""),Input!$B$32&amp;";",""),IF(AND($A13&lt;Hta_13,$A13&gt;=Hba_13,Input!AL$33&lt;&gt;""),Input!$B$33&amp;";",""),IF(AND($A13&lt;Hta_14,$A13&gt;=Hba_14,Input!AL$34&lt;&gt;""),Input!$B$34&amp;";",""),IF(AND($A13&lt;Hta_15,$A13&gt;=Hba_15,Input!AL$35&lt;&gt;""),Input!$B$35&amp;";",""),IF(AND($A13&lt;Hta_16,$A13&gt;=Hba_16,Input!AL$36&lt;&gt;""),Input!$B$36&amp;";",""),IF(AND($A13&lt;Hta_17,$A13&gt;=Hba_17,Input!AL$37&lt;&gt;""),Input!$B$37&amp;";",""),IF(AND($A13&lt;Hta_18,$A13&gt;=Hba_18,Input!AL$38&lt;&gt;""),Input!$B$38&amp;";",""),IF(AND($A13&lt;Hta_19,$A13&gt;=Hba_19,Input!AL$39&lt;&gt;""),Input!$B$39&amp;";",""),IF(AND($A13&lt;Hta_20,$A13&gt;=Hba_20,Input!AL$40&lt;&gt;""),Input!$B$40&amp;";",""),IF(AND($A13&lt;Hta_21,$A13&gt;=Hba_21,Input!AL$41&lt;&gt;""),Input!$B$41&amp;";",""),IF(AND($A13&lt;Hta_22,$A13&gt;=Hba_22,Input!AL$42&lt;&gt;""),Input!$B$42&amp;";",""),IF(AND($A13&lt;Hta_23,$A13&gt;=Hba_23,Input!AL$43&lt;&gt;""),Input!$B$43&amp;";",""),IF(AND($A13&lt;Hta_24,$A13&gt;=Hba_24,Input!AL$44&lt;&gt;""),Input!$B$44&amp;";",""),IF(AND($A13&lt;Hta_25,$A13&gt;=Hba_25,Input!AL$45&lt;&gt;""),Input!$B$45&amp;";",""),IF(AND($A13&lt;Hta_26,$A13&gt;=Hba_26,Input!AL$46&lt;&gt;""),Input!$B$46&amp;";",""),IF(AND($A13&lt;Hta_27,$A13&gt;=Hba_27,Input!AL$47&lt;&gt;""),Input!$B$47&amp;";",""),IF(AND($A13&lt;Hta_28,$A13&gt;=Hba_28,Input!AL$48&lt;&gt;""),Input!$B$48&amp;";",""),IF(AND($A13&lt;Hta_29,$A13&gt;=Hba_29,Input!AL$49&lt;&gt;""),Input!$B$49&amp;";",""),IF(AND($A13&lt;Hta_30,$A13&gt;=Hba_30,Input!AL$50&lt;&gt;""),Input!$B$50&amp;";","")),""))</f>
        <v/>
      </c>
      <c r="BA14" s="1">
        <v>88</v>
      </c>
      <c r="BB14" s="1" t="e">
        <f>VLOOKUP(BA14,Results!$C$5:$H$104,5,FALSE)</f>
        <v>#N/A</v>
      </c>
      <c r="BC14" s="65">
        <f t="shared" si="0"/>
        <v>88</v>
      </c>
    </row>
    <row r="15" spans="1:55" ht="15" x14ac:dyDescent="0.25">
      <c r="B15" s="41" t="s">
        <v>162</v>
      </c>
      <c r="BA15" s="1">
        <v>87</v>
      </c>
      <c r="BB15" s="1" t="e">
        <f>VLOOKUP(BA15,Results!$C$5:$H$104,5,FALSE)</f>
        <v>#N/A</v>
      </c>
      <c r="BC15" s="65">
        <f t="shared" si="0"/>
        <v>87</v>
      </c>
    </row>
    <row r="16" spans="1:55" x14ac:dyDescent="0.2">
      <c r="B16" s="20" t="b">
        <f>AND(Input!$C21&lt;&gt;"")</f>
        <v>0</v>
      </c>
      <c r="C16" s="20" t="b">
        <f>AND(Input!$C22&lt;&gt;"")</f>
        <v>0</v>
      </c>
      <c r="D16" s="20" t="b">
        <f>AND(Input!$C23&lt;&gt;"")</f>
        <v>0</v>
      </c>
      <c r="E16" s="20" t="b">
        <f>AND(Input!$C24&lt;&gt;"")</f>
        <v>0</v>
      </c>
      <c r="F16" s="20" t="b">
        <f>AND(Input!$C25&lt;&gt;"")</f>
        <v>0</v>
      </c>
      <c r="G16" s="20" t="b">
        <f>AND(Input!$C26&lt;&gt;"")</f>
        <v>0</v>
      </c>
      <c r="H16" s="20" t="b">
        <f>AND(Input!$C27&lt;&gt;"")</f>
        <v>0</v>
      </c>
      <c r="I16" s="20" t="b">
        <f>AND(Input!$C28&lt;&gt;"")</f>
        <v>0</v>
      </c>
      <c r="J16" s="20" t="b">
        <f>AND(Input!$C29&lt;&gt;"")</f>
        <v>0</v>
      </c>
      <c r="K16" s="20" t="b">
        <f>AND(Input!$C30&lt;&gt;"")</f>
        <v>0</v>
      </c>
      <c r="L16" s="20" t="b">
        <f>AND(Input!$C31&lt;&gt;"")</f>
        <v>0</v>
      </c>
      <c r="M16" s="20" t="b">
        <f>AND(Input!$C32&lt;&gt;"")</f>
        <v>0</v>
      </c>
      <c r="N16" s="20" t="b">
        <f>AND(Input!$C33&lt;&gt;"")</f>
        <v>0</v>
      </c>
      <c r="O16" s="20" t="b">
        <f>AND(Input!$C34&lt;&gt;"")</f>
        <v>0</v>
      </c>
      <c r="P16" s="20" t="b">
        <f>AND(Input!$C35&lt;&gt;"")</f>
        <v>0</v>
      </c>
      <c r="Q16" s="20" t="b">
        <f>AND(Input!$C36&lt;&gt;"")</f>
        <v>0</v>
      </c>
      <c r="R16" s="20" t="b">
        <f>AND(Input!$C37&lt;&gt;"")</f>
        <v>0</v>
      </c>
      <c r="S16" s="20" t="b">
        <f>AND(Input!$C38&lt;&gt;"")</f>
        <v>0</v>
      </c>
      <c r="T16" s="20" t="b">
        <f>AND(Input!$C39&lt;&gt;"")</f>
        <v>0</v>
      </c>
      <c r="U16" s="20" t="b">
        <f>AND(Input!$C40&lt;&gt;"")</f>
        <v>0</v>
      </c>
      <c r="V16" s="20" t="b">
        <f>AND(Input!$C41&lt;&gt;"")</f>
        <v>0</v>
      </c>
      <c r="W16" s="20" t="b">
        <f>AND(Input!$C42&lt;&gt;"")</f>
        <v>0</v>
      </c>
      <c r="X16" s="20" t="b">
        <f>AND(Input!$C43&lt;&gt;"")</f>
        <v>0</v>
      </c>
      <c r="Y16" s="20" t="b">
        <f>AND(Input!$C44&lt;&gt;"")</f>
        <v>0</v>
      </c>
      <c r="Z16" s="20" t="b">
        <f>AND(Input!$C45&lt;&gt;"")</f>
        <v>0</v>
      </c>
      <c r="AA16" s="20" t="b">
        <f>AND(Input!$C46&lt;&gt;"")</f>
        <v>0</v>
      </c>
      <c r="AB16" s="20" t="b">
        <f>AND(Input!$C47&lt;&gt;"")</f>
        <v>0</v>
      </c>
      <c r="AC16" s="20" t="b">
        <f>AND(Input!$C48&lt;&gt;"")</f>
        <v>0</v>
      </c>
      <c r="AD16" s="20" t="b">
        <f>AND(Input!$C49&lt;&gt;"")</f>
        <v>0</v>
      </c>
      <c r="AE16" s="20" t="b">
        <f>AND(Input!$C50&lt;&gt;"")</f>
        <v>0</v>
      </c>
      <c r="AF16" s="1">
        <f>COUNTIF(B16:AE16,"=True")</f>
        <v>0</v>
      </c>
      <c r="BA16" s="1">
        <v>86</v>
      </c>
      <c r="BB16" s="1" t="e">
        <f>VLOOKUP(BA16,Results!$C$5:$H$104,5,FALSE)</f>
        <v>#N/A</v>
      </c>
      <c r="BC16" s="65">
        <f t="shared" si="0"/>
        <v>86</v>
      </c>
    </row>
    <row r="17" spans="1:55" ht="15" x14ac:dyDescent="0.25">
      <c r="B17" s="20" t="b">
        <f>NOT(OR(B16,C16,D16,E16,F16,G16,H16,I16,J16,K16,L16,M16,N16,O16,P16,Q16,R16,S16,T16,U16,V16,W16,X16,Y16,Z16,AA16,AB16,AC16,AD16,AE16))</f>
        <v>1</v>
      </c>
      <c r="C17" s="78" t="s">
        <v>242</v>
      </c>
      <c r="BA17" s="1">
        <v>85</v>
      </c>
      <c r="BB17" s="1" t="e">
        <f>VLOOKUP(BA17,Results!$C$5:$H$104,5,FALSE)</f>
        <v>#N/A</v>
      </c>
      <c r="BC17" s="65">
        <f t="shared" si="0"/>
        <v>85</v>
      </c>
    </row>
    <row r="18" spans="1:55" ht="15" x14ac:dyDescent="0.25">
      <c r="A18" s="1">
        <f>COUNTA('New TNX Lines'!$D:$D)+1</f>
        <v>1</v>
      </c>
      <c r="B18" s="46" t="s">
        <v>179</v>
      </c>
      <c r="BA18" s="1">
        <v>84</v>
      </c>
      <c r="BB18" s="1" t="e">
        <f>VLOOKUP(BA18,Results!$C$5:$H$104,5,FALSE)</f>
        <v>#N/A</v>
      </c>
      <c r="BC18" s="65">
        <f t="shared" si="0"/>
        <v>84</v>
      </c>
    </row>
    <row r="19" spans="1:55" ht="15" x14ac:dyDescent="0.25">
      <c r="A19" s="587" t="s">
        <v>1306</v>
      </c>
      <c r="B19" s="45" t="s">
        <v>178</v>
      </c>
      <c r="BA19" s="1">
        <v>83</v>
      </c>
      <c r="BB19" s="1" t="e">
        <f>VLOOKUP(BA19,Results!$C$5:$H$104,5,FALSE)</f>
        <v>#N/A</v>
      </c>
      <c r="BC19" s="65">
        <f t="shared" si="0"/>
        <v>83</v>
      </c>
    </row>
    <row r="20" spans="1:55" ht="15" x14ac:dyDescent="0.25">
      <c r="A20" s="67" t="b">
        <v>1</v>
      </c>
      <c r="B20" s="71" t="s">
        <v>232</v>
      </c>
      <c r="C20" s="65"/>
      <c r="D20" s="65"/>
      <c r="E20" s="65"/>
      <c r="H20" s="42"/>
      <c r="BA20" s="1">
        <v>82</v>
      </c>
      <c r="BB20" s="1" t="e">
        <f>VLOOKUP(BA20,Results!$C$5:$H$104,5,FALSE)</f>
        <v>#N/A</v>
      </c>
      <c r="BC20" s="65">
        <f t="shared" si="0"/>
        <v>82</v>
      </c>
    </row>
    <row r="21" spans="1:55" ht="15" x14ac:dyDescent="0.25">
      <c r="A21" s="65"/>
      <c r="B21" s="67" t="s">
        <v>222</v>
      </c>
      <c r="C21" s="67" t="s">
        <v>223</v>
      </c>
      <c r="D21" s="65"/>
      <c r="E21" s="65"/>
      <c r="BA21" s="1">
        <v>81</v>
      </c>
      <c r="BB21" s="1" t="e">
        <f>VLOOKUP(BA21,Results!$C$5:$H$104,5,FALSE)</f>
        <v>#N/A</v>
      </c>
      <c r="BC21" s="65">
        <f t="shared" si="0"/>
        <v>81</v>
      </c>
    </row>
    <row r="22" spans="1:55" ht="15" x14ac:dyDescent="0.25">
      <c r="A22" s="65"/>
      <c r="B22" s="67" t="s">
        <v>224</v>
      </c>
      <c r="C22" s="67" t="str">
        <f>IF(A5=2,"TNX Section Forces","")</f>
        <v/>
      </c>
      <c r="D22" s="65"/>
      <c r="E22" s="65"/>
      <c r="BA22" s="1">
        <v>80</v>
      </c>
      <c r="BB22" s="1" t="e">
        <f>VLOOKUP(BA22,Results!$C$5:$H$104,5,FALSE)</f>
        <v>#N/A</v>
      </c>
      <c r="BC22" s="65">
        <f t="shared" si="0"/>
        <v>80</v>
      </c>
    </row>
    <row r="23" spans="1:55" ht="15" x14ac:dyDescent="0.25">
      <c r="A23" s="65"/>
      <c r="B23" s="67" t="s">
        <v>225</v>
      </c>
      <c r="C23" s="67" t="s">
        <v>226</v>
      </c>
      <c r="D23" s="65"/>
      <c r="E23" s="65"/>
      <c r="BA23" s="1">
        <v>79</v>
      </c>
      <c r="BB23" s="1" t="e">
        <f>VLOOKUP(BA23,Results!$C$5:$H$104,5,FALSE)</f>
        <v>#N/A</v>
      </c>
      <c r="BC23" s="65">
        <f t="shared" si="0"/>
        <v>79</v>
      </c>
    </row>
    <row r="24" spans="1:55" ht="15" x14ac:dyDescent="0.25">
      <c r="A24" s="65"/>
      <c r="B24" s="67" t="s">
        <v>227</v>
      </c>
      <c r="C24" s="67" t="s">
        <v>228</v>
      </c>
      <c r="D24" s="65"/>
      <c r="E24" s="65"/>
      <c r="BA24" s="1">
        <v>78</v>
      </c>
      <c r="BB24" s="1" t="e">
        <f>VLOOKUP(BA24,Results!$C$5:$H$104,5,FALSE)</f>
        <v>#N/A</v>
      </c>
      <c r="BC24" s="65">
        <f t="shared" si="0"/>
        <v>78</v>
      </c>
    </row>
    <row r="25" spans="1:55" ht="15" x14ac:dyDescent="0.25">
      <c r="A25" s="1">
        <v>5746</v>
      </c>
      <c r="B25" s="68" t="s">
        <v>231</v>
      </c>
      <c r="BA25" s="1">
        <v>77</v>
      </c>
      <c r="BB25" s="1" t="e">
        <f>VLOOKUP(BA25,Results!$C$5:$H$104,5,FALSE)</f>
        <v>#N/A</v>
      </c>
      <c r="BC25" s="65">
        <f t="shared" si="0"/>
        <v>77</v>
      </c>
    </row>
    <row r="26" spans="1:55" ht="15" x14ac:dyDescent="0.25">
      <c r="A26" s="92"/>
      <c r="B26" s="78" t="s">
        <v>241</v>
      </c>
      <c r="BA26" s="1">
        <v>76</v>
      </c>
      <c r="BB26" s="1" t="e">
        <f>VLOOKUP(BA26,Results!$C$5:$H$104,5,FALSE)</f>
        <v>#N/A</v>
      </c>
      <c r="BC26" s="65">
        <f t="shared" si="0"/>
        <v>76</v>
      </c>
    </row>
    <row r="27" spans="1:55" ht="15" x14ac:dyDescent="0.25">
      <c r="A27" s="1">
        <f>COUNT(Results!I5:I104)+5</f>
        <v>5</v>
      </c>
      <c r="B27" s="78" t="s">
        <v>243</v>
      </c>
      <c r="BA27" s="1">
        <v>75</v>
      </c>
      <c r="BB27" s="1" t="e">
        <f>VLOOKUP(BA27,Results!$C$5:$H$104,5,FALSE)</f>
        <v>#N/A</v>
      </c>
      <c r="BC27" s="65">
        <f t="shared" si="0"/>
        <v>75</v>
      </c>
    </row>
    <row r="28" spans="1:55" ht="15" x14ac:dyDescent="0.25">
      <c r="A28" s="1" t="e">
        <f>MATCH(G28,'TNX Forces'!AP:AP,0)</f>
        <v>#N/A</v>
      </c>
      <c r="B28" s="78" t="s">
        <v>244</v>
      </c>
      <c r="G28" s="79" t="s">
        <v>240</v>
      </c>
      <c r="BA28" s="1">
        <v>74</v>
      </c>
      <c r="BB28" s="1" t="e">
        <f>VLOOKUP(BA28,Results!$C$5:$H$104,5,FALSE)</f>
        <v>#N/A</v>
      </c>
      <c r="BC28" s="65">
        <f t="shared" si="0"/>
        <v>74</v>
      </c>
    </row>
    <row r="29" spans="1:55" ht="15" x14ac:dyDescent="0.25">
      <c r="A29" s="80"/>
      <c r="B29" s="81" t="s">
        <v>259</v>
      </c>
      <c r="BA29" s="1">
        <v>73</v>
      </c>
      <c r="BB29" s="1" t="e">
        <f>VLOOKUP(BA29,Results!$C$5:$H$104,5,FALSE)</f>
        <v>#N/A</v>
      </c>
      <c r="BC29" s="65">
        <f t="shared" si="0"/>
        <v>73</v>
      </c>
    </row>
    <row r="30" spans="1:55" ht="15" x14ac:dyDescent="0.25">
      <c r="A30" s="1" t="b">
        <v>0</v>
      </c>
      <c r="B30" s="111" t="s">
        <v>321</v>
      </c>
      <c r="BA30" s="1">
        <v>72</v>
      </c>
      <c r="BB30" s="1" t="e">
        <f>VLOOKUP(BA30,Results!$C$5:$H$104,5,FALSE)</f>
        <v>#N/A</v>
      </c>
      <c r="BC30" s="65">
        <f t="shared" si="0"/>
        <v>72</v>
      </c>
    </row>
    <row r="31" spans="1:55" x14ac:dyDescent="0.2">
      <c r="B31" s="110" t="str">
        <f>IF($A$12=0,B14,IFERROR(VALUE(LEFT(B$14,FIND(";",B$14)-1)),""))</f>
        <v/>
      </c>
      <c r="C31" s="110" t="str">
        <f t="shared" ref="C31:S31" si="1">IF($A$12=0,C14,IFERROR(VALUE(LEFT(C$14,FIND(";",C$14)-1)),""))</f>
        <v/>
      </c>
      <c r="D31" s="110" t="str">
        <f t="shared" si="1"/>
        <v/>
      </c>
      <c r="E31" s="110" t="str">
        <f t="shared" si="1"/>
        <v/>
      </c>
      <c r="F31" s="110" t="str">
        <f t="shared" si="1"/>
        <v/>
      </c>
      <c r="G31" s="110" t="str">
        <f t="shared" si="1"/>
        <v/>
      </c>
      <c r="H31" s="110" t="str">
        <f t="shared" si="1"/>
        <v/>
      </c>
      <c r="I31" s="110" t="str">
        <f t="shared" si="1"/>
        <v/>
      </c>
      <c r="J31" s="110" t="str">
        <f t="shared" si="1"/>
        <v/>
      </c>
      <c r="K31" s="110" t="str">
        <f t="shared" si="1"/>
        <v/>
      </c>
      <c r="L31" s="110" t="str">
        <f t="shared" si="1"/>
        <v/>
      </c>
      <c r="M31" s="110" t="str">
        <f t="shared" si="1"/>
        <v/>
      </c>
      <c r="N31" s="110" t="str">
        <f t="shared" si="1"/>
        <v/>
      </c>
      <c r="O31" s="110" t="str">
        <f t="shared" si="1"/>
        <v/>
      </c>
      <c r="P31" s="110" t="str">
        <f t="shared" si="1"/>
        <v/>
      </c>
      <c r="Q31" s="110" t="str">
        <f t="shared" si="1"/>
        <v/>
      </c>
      <c r="R31" s="110" t="str">
        <f t="shared" si="1"/>
        <v/>
      </c>
      <c r="S31" s="110" t="str">
        <f t="shared" si="1"/>
        <v/>
      </c>
      <c r="BA31" s="1">
        <v>71</v>
      </c>
      <c r="BB31" s="1" t="e">
        <f>VLOOKUP(BA31,Results!$C$5:$H$104,5,FALSE)</f>
        <v>#N/A</v>
      </c>
      <c r="BC31" s="65">
        <f t="shared" si="0"/>
        <v>71</v>
      </c>
    </row>
    <row r="32" spans="1:55" x14ac:dyDescent="0.2">
      <c r="B32" s="110" t="str">
        <f>IFERROR(VALUE(IF(LEN(B$14)-LEN(SUBSTITUTE(B$14,";",""))&gt;1,MID(B$14,FIND(";",B$14)+1,FIND(";",B$14,FIND(";",B$14)+1)-FIND(";",B$14)-1),"")),"")</f>
        <v/>
      </c>
      <c r="C32" s="110" t="str">
        <f t="shared" ref="C32:S32" si="2">IFERROR(VALUE(IF(LEN(C$14)-LEN(SUBSTITUTE(C$14,";",""))&gt;1,MID(C$14,FIND(";",C$14)+1,FIND(";",C$14,FIND(";",C$14)+1)-FIND(";",C$14)-1),"")),"")</f>
        <v/>
      </c>
      <c r="D32" s="110" t="str">
        <f t="shared" si="2"/>
        <v/>
      </c>
      <c r="E32" s="110" t="str">
        <f t="shared" si="2"/>
        <v/>
      </c>
      <c r="F32" s="110" t="str">
        <f t="shared" si="2"/>
        <v/>
      </c>
      <c r="G32" s="110" t="str">
        <f t="shared" si="2"/>
        <v/>
      </c>
      <c r="H32" s="110" t="str">
        <f t="shared" si="2"/>
        <v/>
      </c>
      <c r="I32" s="110" t="str">
        <f t="shared" si="2"/>
        <v/>
      </c>
      <c r="J32" s="110" t="str">
        <f t="shared" si="2"/>
        <v/>
      </c>
      <c r="K32" s="110" t="str">
        <f t="shared" si="2"/>
        <v/>
      </c>
      <c r="L32" s="110" t="str">
        <f t="shared" si="2"/>
        <v/>
      </c>
      <c r="M32" s="110" t="str">
        <f t="shared" si="2"/>
        <v/>
      </c>
      <c r="N32" s="110" t="str">
        <f t="shared" si="2"/>
        <v/>
      </c>
      <c r="O32" s="110" t="str">
        <f t="shared" si="2"/>
        <v/>
      </c>
      <c r="P32" s="110" t="str">
        <f t="shared" si="2"/>
        <v/>
      </c>
      <c r="Q32" s="110" t="str">
        <f t="shared" si="2"/>
        <v/>
      </c>
      <c r="R32" s="110" t="str">
        <f t="shared" si="2"/>
        <v/>
      </c>
      <c r="S32" s="110" t="str">
        <f t="shared" si="2"/>
        <v/>
      </c>
      <c r="BA32" s="1">
        <v>70</v>
      </c>
      <c r="BB32" s="1" t="e">
        <f>VLOOKUP(BA32,Results!$C$5:$H$104,5,FALSE)</f>
        <v>#N/A</v>
      </c>
      <c r="BC32" s="65">
        <f t="shared" si="0"/>
        <v>70</v>
      </c>
    </row>
    <row r="33" spans="1:55" x14ac:dyDescent="0.2">
      <c r="B33" s="19">
        <v>1</v>
      </c>
      <c r="C33" s="19">
        <v>2</v>
      </c>
      <c r="D33" s="19">
        <v>3</v>
      </c>
      <c r="E33" s="19">
        <v>4</v>
      </c>
      <c r="F33" s="19">
        <v>5</v>
      </c>
      <c r="G33" s="19">
        <v>6</v>
      </c>
      <c r="H33" s="19">
        <v>7</v>
      </c>
      <c r="I33" s="19">
        <v>8</v>
      </c>
      <c r="J33" s="19">
        <v>9</v>
      </c>
      <c r="K33" s="19">
        <v>10</v>
      </c>
      <c r="L33" s="19">
        <v>11</v>
      </c>
      <c r="M33" s="19">
        <v>12</v>
      </c>
      <c r="N33" s="19">
        <v>13</v>
      </c>
      <c r="O33" s="19">
        <v>14</v>
      </c>
      <c r="P33" s="19">
        <v>15</v>
      </c>
      <c r="Q33" s="19">
        <v>16</v>
      </c>
      <c r="R33" s="19">
        <v>17</v>
      </c>
      <c r="S33" s="19">
        <v>18</v>
      </c>
      <c r="BA33" s="1">
        <v>69</v>
      </c>
      <c r="BB33" s="1" t="e">
        <f>VLOOKUP(BA33,Results!$C$5:$H$104,5,FALSE)</f>
        <v>#N/A</v>
      </c>
      <c r="BC33" s="65">
        <f t="shared" si="0"/>
        <v>69</v>
      </c>
    </row>
    <row r="34" spans="1:55" ht="15" x14ac:dyDescent="0.25">
      <c r="A34" s="1" t="b">
        <f>NOT(ISERROR(MATCH("Yes",Calculations!CI60:CI96,0)))</f>
        <v>0</v>
      </c>
      <c r="B34" s="114" t="s">
        <v>337</v>
      </c>
      <c r="BA34" s="1">
        <v>68</v>
      </c>
      <c r="BB34" s="1" t="e">
        <f>VLOOKUP(BA34,Results!$C$5:$H$104,5,FALSE)</f>
        <v>#N/A</v>
      </c>
      <c r="BC34" s="65">
        <f t="shared" si="0"/>
        <v>68</v>
      </c>
    </row>
    <row r="35" spans="1:55" ht="15" x14ac:dyDescent="0.25">
      <c r="A35" s="1">
        <v>30</v>
      </c>
      <c r="B35" s="118" t="s">
        <v>344</v>
      </c>
      <c r="BA35" s="1">
        <v>67</v>
      </c>
      <c r="BB35" s="1" t="e">
        <f>VLOOKUP(BA35,Results!$C$5:$H$104,5,FALSE)</f>
        <v>#N/A</v>
      </c>
      <c r="BC35" s="65">
        <f t="shared" si="0"/>
        <v>67</v>
      </c>
    </row>
    <row r="36" spans="1:55" ht="15" x14ac:dyDescent="0.25">
      <c r="A36" s="1">
        <v>5</v>
      </c>
      <c r="B36" s="144" t="s">
        <v>477</v>
      </c>
      <c r="BA36" s="1">
        <v>66</v>
      </c>
      <c r="BB36" s="1" t="e">
        <f>VLOOKUP(BA36,Results!$C$5:$H$104,5,FALSE)</f>
        <v>#N/A</v>
      </c>
      <c r="BC36" s="65">
        <f t="shared" si="0"/>
        <v>66</v>
      </c>
    </row>
    <row r="37" spans="1:55" ht="15" x14ac:dyDescent="0.25">
      <c r="A37" s="1" t="b">
        <v>1</v>
      </c>
      <c r="B37" s="144" t="s">
        <v>478</v>
      </c>
      <c r="BA37" s="1">
        <v>65</v>
      </c>
      <c r="BB37" s="1" t="e">
        <f>VLOOKUP(BA37,Results!$C$5:$H$104,5,FALSE)</f>
        <v>#N/A</v>
      </c>
      <c r="BC37" s="65">
        <f t="shared" si="0"/>
        <v>65</v>
      </c>
    </row>
    <row r="38" spans="1:55" ht="15" x14ac:dyDescent="0.25">
      <c r="B38" s="146" t="s">
        <v>479</v>
      </c>
      <c r="BA38" s="1">
        <v>64</v>
      </c>
      <c r="BB38" s="1" t="e">
        <f>VLOOKUP(BA38,Results!$C$5:$H$104,5,FALSE)</f>
        <v>#N/A</v>
      </c>
      <c r="BC38" s="65">
        <f t="shared" si="0"/>
        <v>64</v>
      </c>
    </row>
    <row r="39" spans="1:55" ht="15" x14ac:dyDescent="0.25">
      <c r="A39" s="1">
        <f>MIN(Results!$L$5:$O$104)</f>
        <v>0</v>
      </c>
      <c r="B39" s="150" t="s">
        <v>484</v>
      </c>
      <c r="BA39" s="1">
        <v>63</v>
      </c>
      <c r="BB39" s="1" t="e">
        <f>VLOOKUP(BA39,Results!$C$5:$H$104,5,FALSE)</f>
        <v>#N/A</v>
      </c>
      <c r="BC39" s="65">
        <f t="shared" si="0"/>
        <v>63</v>
      </c>
    </row>
    <row r="40" spans="1:55" ht="15" x14ac:dyDescent="0.25">
      <c r="A40" s="1" t="b">
        <v>0</v>
      </c>
      <c r="B40" s="163" t="s">
        <v>515</v>
      </c>
      <c r="C40" s="11"/>
      <c r="D40" s="11"/>
      <c r="E40" s="11" t="b">
        <v>0</v>
      </c>
      <c r="F40" s="166" t="s">
        <v>516</v>
      </c>
      <c r="G40" s="11"/>
      <c r="H40" s="11"/>
      <c r="I40" s="11"/>
      <c r="J40" s="11"/>
      <c r="K40" s="11"/>
      <c r="L40" s="11"/>
      <c r="M40" s="11"/>
      <c r="N40" s="11"/>
      <c r="O40" s="11"/>
      <c r="P40" s="11"/>
      <c r="Q40" s="11"/>
      <c r="R40" s="11"/>
      <c r="S40" s="11"/>
      <c r="BA40" s="1">
        <v>62</v>
      </c>
      <c r="BB40" s="1" t="e">
        <f>VLOOKUP(BA40,Results!$C$5:$H$104,5,FALSE)</f>
        <v>#N/A</v>
      </c>
      <c r="BC40" s="65">
        <f t="shared" si="0"/>
        <v>62</v>
      </c>
    </row>
    <row r="41" spans="1:55" ht="15" x14ac:dyDescent="0.25">
      <c r="A41" s="1" t="b">
        <v>0</v>
      </c>
      <c r="B41" s="162" t="s">
        <v>514</v>
      </c>
      <c r="BA41" s="1">
        <v>61</v>
      </c>
      <c r="BB41" s="1" t="e">
        <f>VLOOKUP(BA41,Results!$C$5:$H$104,5,FALSE)</f>
        <v>#N/A</v>
      </c>
      <c r="BC41" s="65">
        <f t="shared" si="0"/>
        <v>61</v>
      </c>
    </row>
    <row r="42" spans="1:55" ht="15" x14ac:dyDescent="0.25">
      <c r="A42" s="914" t="s">
        <v>480</v>
      </c>
      <c r="B42" s="20" t="s">
        <v>579</v>
      </c>
      <c r="C42" s="20"/>
      <c r="D42" s="20"/>
      <c r="E42" s="149"/>
      <c r="F42" s="149" t="s">
        <v>1252</v>
      </c>
      <c r="G42" s="149"/>
      <c r="H42" s="149"/>
      <c r="I42" s="149"/>
      <c r="J42" s="20" t="s">
        <v>1253</v>
      </c>
      <c r="K42" s="20"/>
      <c r="L42" s="20"/>
      <c r="M42" s="20"/>
      <c r="N42" s="20"/>
      <c r="O42" s="20"/>
      <c r="P42" s="20"/>
      <c r="Q42" s="20"/>
      <c r="R42" s="20"/>
      <c r="S42" s="20"/>
      <c r="U42" s="147" t="s">
        <v>165</v>
      </c>
      <c r="V42" s="147" t="s">
        <v>181</v>
      </c>
      <c r="W42" s="147" t="s">
        <v>182</v>
      </c>
      <c r="X42" s="147" t="s">
        <v>183</v>
      </c>
      <c r="Y42" s="147" t="s">
        <v>184</v>
      </c>
      <c r="Z42" s="147" t="s">
        <v>185</v>
      </c>
      <c r="AA42" s="147" t="s">
        <v>186</v>
      </c>
      <c r="AB42" s="147" t="s">
        <v>187</v>
      </c>
      <c r="AC42" s="147" t="s">
        <v>188</v>
      </c>
      <c r="AD42" s="147" t="s">
        <v>189</v>
      </c>
      <c r="AE42" s="147" t="s">
        <v>190</v>
      </c>
      <c r="AF42" s="147" t="s">
        <v>274</v>
      </c>
      <c r="AG42" s="147" t="s">
        <v>275</v>
      </c>
      <c r="AH42" s="147" t="s">
        <v>276</v>
      </c>
      <c r="AI42" s="147" t="s">
        <v>277</v>
      </c>
      <c r="AJ42" s="147" t="s">
        <v>278</v>
      </c>
      <c r="AK42" s="147" t="s">
        <v>279</v>
      </c>
      <c r="AL42" s="147" t="s">
        <v>280</v>
      </c>
      <c r="AM42" s="147" t="s">
        <v>281</v>
      </c>
      <c r="AN42" s="147" t="s">
        <v>282</v>
      </c>
      <c r="AO42" s="147" t="s">
        <v>283</v>
      </c>
      <c r="AP42" s="147" t="s">
        <v>284</v>
      </c>
      <c r="AQ42" s="147" t="s">
        <v>285</v>
      </c>
      <c r="AR42" s="147" t="s">
        <v>286</v>
      </c>
      <c r="AS42" s="147" t="s">
        <v>287</v>
      </c>
      <c r="AT42" s="147" t="s">
        <v>288</v>
      </c>
      <c r="AU42" s="147" t="s">
        <v>289</v>
      </c>
      <c r="AV42" s="147" t="s">
        <v>290</v>
      </c>
      <c r="AW42" s="147" t="s">
        <v>291</v>
      </c>
      <c r="AX42" s="147" t="s">
        <v>292</v>
      </c>
      <c r="AY42" s="147" t="s">
        <v>293</v>
      </c>
      <c r="BA42" s="1">
        <v>60</v>
      </c>
      <c r="BB42" s="1" t="e">
        <f>VLOOKUP(BA42,Results!$C$5:$H$104,5,FALSE)</f>
        <v>#N/A</v>
      </c>
      <c r="BC42" s="65">
        <f t="shared" si="0"/>
        <v>60</v>
      </c>
    </row>
    <row r="43" spans="1:55" x14ac:dyDescent="0.2">
      <c r="A43" s="915"/>
      <c r="B43" s="20"/>
      <c r="C43" s="20"/>
      <c r="D43" s="20"/>
      <c r="E43" s="20" t="s">
        <v>973</v>
      </c>
      <c r="F43" s="20"/>
      <c r="G43" s="20"/>
      <c r="H43" s="20"/>
      <c r="I43" s="20" t="s">
        <v>973</v>
      </c>
      <c r="J43" s="20"/>
      <c r="K43" s="20"/>
      <c r="L43" s="20"/>
      <c r="M43" s="20" t="s">
        <v>973</v>
      </c>
      <c r="N43" s="20"/>
      <c r="O43" s="20"/>
      <c r="P43" s="20"/>
      <c r="Q43" s="20"/>
      <c r="R43" s="20"/>
      <c r="S43" s="20"/>
      <c r="U43" s="20"/>
      <c r="V43" s="20"/>
      <c r="W43" s="20"/>
      <c r="X43" s="20"/>
      <c r="Y43" s="20"/>
      <c r="Z43" s="20"/>
      <c r="AA43" s="20"/>
      <c r="AB43" s="20"/>
      <c r="AC43" s="20"/>
      <c r="AD43" s="20"/>
      <c r="AE43" s="20"/>
      <c r="AF43" s="20"/>
      <c r="AG43" s="20"/>
      <c r="AH43" s="20"/>
      <c r="AI43" s="20"/>
      <c r="AJ43" s="20"/>
      <c r="AK43" s="20"/>
      <c r="AL43" s="20"/>
      <c r="AM43" s="20"/>
      <c r="AN43" s="20"/>
      <c r="AO43" s="20"/>
      <c r="AP43" s="20"/>
      <c r="AQ43" s="20"/>
      <c r="AR43" s="20"/>
      <c r="AS43" s="20"/>
      <c r="AT43" s="20"/>
      <c r="AU43" s="20"/>
      <c r="AV43" s="20"/>
      <c r="AW43" s="20"/>
      <c r="AX43" s="20"/>
      <c r="AY43" s="20"/>
      <c r="BA43" s="1">
        <v>59</v>
      </c>
      <c r="BB43" s="1" t="e">
        <f>VLOOKUP(BA43,Results!$C$5:$H$104,5,FALSE)</f>
        <v>#N/A</v>
      </c>
      <c r="BC43" s="65">
        <f t="shared" si="0"/>
        <v>59</v>
      </c>
    </row>
    <row r="44" spans="1:55" x14ac:dyDescent="0.2">
      <c r="A44" s="915"/>
      <c r="B44" s="20"/>
      <c r="C44" s="20" t="s">
        <v>973</v>
      </c>
      <c r="D44" s="20"/>
      <c r="E44" s="20"/>
      <c r="F44" s="20"/>
      <c r="G44" s="20" t="s">
        <v>973</v>
      </c>
      <c r="H44" s="20"/>
      <c r="I44" s="20"/>
      <c r="J44" s="20"/>
      <c r="K44" s="20" t="s">
        <v>973</v>
      </c>
      <c r="L44" s="20"/>
      <c r="M44" s="20"/>
      <c r="N44" s="20"/>
      <c r="O44" s="20"/>
      <c r="P44" s="20"/>
      <c r="Q44" s="20"/>
      <c r="R44" s="20"/>
      <c r="S44" s="20"/>
      <c r="BA44" s="1">
        <v>58</v>
      </c>
      <c r="BB44" s="1" t="e">
        <f>VLOOKUP(BA44,Results!$C$5:$H$104,5,FALSE)</f>
        <v>#N/A</v>
      </c>
      <c r="BC44" s="65">
        <f t="shared" si="0"/>
        <v>58</v>
      </c>
    </row>
    <row r="45" spans="1:55" ht="15" x14ac:dyDescent="0.25">
      <c r="B45" s="20"/>
      <c r="C45" s="20" t="s">
        <v>1254</v>
      </c>
      <c r="D45" s="20"/>
      <c r="E45" s="20"/>
      <c r="F45" s="20"/>
      <c r="G45" s="20" t="s">
        <v>1254</v>
      </c>
      <c r="H45" s="20"/>
      <c r="I45" s="20"/>
      <c r="J45" s="20"/>
      <c r="K45" s="20" t="s">
        <v>1254</v>
      </c>
      <c r="L45" s="20"/>
      <c r="M45" s="20"/>
      <c r="N45" s="20"/>
      <c r="O45" s="20"/>
      <c r="P45" s="20"/>
      <c r="Q45" s="20"/>
      <c r="R45" s="20"/>
      <c r="S45" s="20"/>
      <c r="U45" s="148" t="s">
        <v>481</v>
      </c>
      <c r="V45" s="20">
        <v>3.3369580647107967E-2</v>
      </c>
      <c r="W45" s="20"/>
      <c r="X45" s="20"/>
      <c r="Y45" s="20"/>
      <c r="Z45" s="20"/>
      <c r="AA45" s="20"/>
      <c r="AB45" s="20"/>
      <c r="AC45" s="20"/>
      <c r="AD45" s="20"/>
      <c r="AE45" s="20"/>
      <c r="AF45" s="20"/>
      <c r="AG45" s="20"/>
      <c r="AH45" s="20"/>
      <c r="AI45" s="20"/>
      <c r="AJ45" s="20"/>
      <c r="AK45" s="20"/>
      <c r="AL45" s="20"/>
      <c r="AM45" s="20"/>
      <c r="AN45" s="20"/>
      <c r="AO45" s="20"/>
      <c r="AP45" s="20"/>
      <c r="AQ45" s="20"/>
      <c r="AR45" s="20"/>
      <c r="AS45" s="20"/>
      <c r="AT45" s="20"/>
      <c r="AU45" s="20"/>
      <c r="AV45" s="20"/>
      <c r="AW45" s="20"/>
      <c r="AX45" s="20"/>
      <c r="AY45" s="20"/>
      <c r="BA45" s="1">
        <v>57</v>
      </c>
      <c r="BB45" s="1" t="e">
        <f>VLOOKUP(BA45,Results!$C$5:$H$104,5,FALSE)</f>
        <v>#N/A</v>
      </c>
      <c r="BC45" s="65">
        <f t="shared" si="0"/>
        <v>57</v>
      </c>
    </row>
    <row r="46" spans="1:55" ht="15" x14ac:dyDescent="0.25">
      <c r="B46" s="20"/>
      <c r="C46" s="20">
        <v>-0.375</v>
      </c>
      <c r="D46" s="20"/>
      <c r="E46" s="20"/>
      <c r="F46" s="20"/>
      <c r="G46" s="20">
        <v>-0.375</v>
      </c>
      <c r="H46" s="20"/>
      <c r="I46" s="20"/>
      <c r="J46" s="20"/>
      <c r="K46" s="20">
        <v>-0.375</v>
      </c>
      <c r="L46" s="20"/>
      <c r="M46" s="20"/>
      <c r="N46" s="20"/>
      <c r="O46" s="20"/>
      <c r="P46" s="20"/>
      <c r="Q46" s="20"/>
      <c r="R46" s="20"/>
      <c r="S46" s="20"/>
      <c r="U46" s="148" t="s">
        <v>482</v>
      </c>
      <c r="V46" s="20">
        <v>110</v>
      </c>
      <c r="W46" s="20"/>
      <c r="X46" s="20"/>
      <c r="Y46" s="20"/>
      <c r="Z46" s="20"/>
      <c r="AA46" s="20"/>
      <c r="AB46" s="20"/>
      <c r="AC46" s="20"/>
      <c r="AD46" s="20"/>
      <c r="AE46" s="20"/>
      <c r="AF46" s="20"/>
      <c r="AG46" s="20"/>
      <c r="AH46" s="20"/>
      <c r="AI46" s="20"/>
      <c r="AJ46" s="20"/>
      <c r="AK46" s="20"/>
      <c r="AL46" s="20"/>
      <c r="AM46" s="20"/>
      <c r="AN46" s="20"/>
      <c r="AO46" s="20"/>
      <c r="AP46" s="20"/>
      <c r="AQ46" s="20"/>
      <c r="AR46" s="20"/>
      <c r="AS46" s="20"/>
      <c r="AT46" s="20"/>
      <c r="AU46" s="20"/>
      <c r="AV46" s="20"/>
      <c r="AW46" s="20"/>
      <c r="AX46" s="20"/>
      <c r="AY46" s="20"/>
      <c r="BA46" s="1">
        <v>56</v>
      </c>
      <c r="BB46" s="1" t="e">
        <f>VLOOKUP(BA46,Results!$C$5:$H$104,5,FALSE)</f>
        <v>#N/A</v>
      </c>
      <c r="BC46" s="65">
        <f t="shared" si="0"/>
        <v>56</v>
      </c>
    </row>
    <row r="47" spans="1:55" ht="15" x14ac:dyDescent="0.25">
      <c r="B47" s="20">
        <v>0</v>
      </c>
      <c r="C47" s="20">
        <v>120</v>
      </c>
      <c r="D47" s="20">
        <v>240</v>
      </c>
      <c r="E47" s="20"/>
      <c r="F47" s="20"/>
      <c r="G47" s="20"/>
      <c r="H47" s="20"/>
      <c r="I47" s="20"/>
      <c r="J47" s="20"/>
      <c r="K47" s="20"/>
      <c r="L47" s="20"/>
      <c r="M47" s="20"/>
      <c r="N47" s="20"/>
      <c r="O47" s="20"/>
      <c r="P47" s="20"/>
      <c r="Q47" s="20"/>
      <c r="R47" s="20"/>
      <c r="S47" s="20"/>
      <c r="U47" s="148" t="s">
        <v>483</v>
      </c>
      <c r="V47" s="20">
        <v>0.70419164242193943</v>
      </c>
      <c r="W47" s="20"/>
      <c r="X47" s="20"/>
      <c r="Y47" s="20"/>
      <c r="Z47" s="20"/>
      <c r="AA47" s="20"/>
      <c r="AB47" s="20"/>
      <c r="AC47" s="20"/>
      <c r="AD47" s="20"/>
      <c r="AE47" s="20"/>
      <c r="AF47" s="20"/>
      <c r="AG47" s="20"/>
      <c r="AH47" s="20"/>
      <c r="AI47" s="20"/>
      <c r="AJ47" s="20"/>
      <c r="AK47" s="20"/>
      <c r="AL47" s="20"/>
      <c r="AM47" s="20"/>
      <c r="AN47" s="20"/>
      <c r="AO47" s="20"/>
      <c r="AP47" s="20"/>
      <c r="AQ47" s="20"/>
      <c r="AR47" s="20"/>
      <c r="AS47" s="20"/>
      <c r="AT47" s="20"/>
      <c r="AU47" s="20"/>
      <c r="AV47" s="20"/>
      <c r="AW47" s="20"/>
      <c r="AX47" s="20"/>
      <c r="AY47" s="20"/>
      <c r="BA47" s="1">
        <v>55</v>
      </c>
      <c r="BB47" s="1" t="e">
        <f>VLOOKUP(BA47,Results!$C$5:$H$104,5,FALSE)</f>
        <v>#N/A</v>
      </c>
      <c r="BC47" s="65">
        <f t="shared" si="0"/>
        <v>55</v>
      </c>
    </row>
    <row r="48" spans="1:55" x14ac:dyDescent="0.2">
      <c r="B48" s="20"/>
      <c r="C48" s="20"/>
      <c r="D48" s="20"/>
      <c r="E48" s="20"/>
      <c r="F48" s="20"/>
      <c r="G48" s="20"/>
      <c r="H48" s="20"/>
      <c r="I48" s="20"/>
      <c r="J48" s="20"/>
      <c r="K48" s="20"/>
      <c r="L48" s="20"/>
      <c r="M48" s="20"/>
      <c r="N48" s="20"/>
      <c r="O48" s="20"/>
      <c r="P48" s="20"/>
      <c r="Q48" s="20"/>
      <c r="R48" s="20"/>
      <c r="S48" s="20"/>
      <c r="BA48" s="1">
        <v>54</v>
      </c>
      <c r="BB48" s="1" t="e">
        <f>VLOOKUP(BA48,Results!$C$5:$H$104,5,FALSE)</f>
        <v>#N/A</v>
      </c>
      <c r="BC48" s="65">
        <f t="shared" si="0"/>
        <v>54</v>
      </c>
    </row>
    <row r="49" spans="2:55" x14ac:dyDescent="0.2">
      <c r="B49" s="20"/>
      <c r="C49" s="20"/>
      <c r="D49" s="20"/>
      <c r="E49" s="20"/>
      <c r="F49" s="20"/>
      <c r="G49" s="20"/>
      <c r="H49" s="20"/>
      <c r="I49" s="20"/>
      <c r="J49" s="20"/>
      <c r="K49" s="20"/>
      <c r="L49" s="20"/>
      <c r="M49" s="20"/>
      <c r="N49" s="20"/>
      <c r="O49" s="20"/>
      <c r="P49" s="20"/>
      <c r="Q49" s="20"/>
      <c r="R49" s="20"/>
      <c r="S49" s="20"/>
      <c r="BA49" s="1">
        <v>53</v>
      </c>
      <c r="BB49" s="1" t="e">
        <f>VLOOKUP(BA49,Results!$C$5:$H$104,5,FALSE)</f>
        <v>#N/A</v>
      </c>
      <c r="BC49" s="65">
        <f t="shared" si="0"/>
        <v>53</v>
      </c>
    </row>
    <row r="50" spans="2:55" x14ac:dyDescent="0.2">
      <c r="B50" s="20"/>
      <c r="C50" s="20"/>
      <c r="D50" s="20"/>
      <c r="E50" s="20"/>
      <c r="F50" s="20"/>
      <c r="G50" s="20"/>
      <c r="H50" s="20"/>
      <c r="I50" s="20"/>
      <c r="J50" s="20"/>
      <c r="K50" s="20"/>
      <c r="L50" s="20"/>
      <c r="M50" s="20"/>
      <c r="N50" s="20"/>
      <c r="O50" s="20"/>
      <c r="P50" s="20"/>
      <c r="Q50" s="20"/>
      <c r="R50" s="20"/>
      <c r="S50" s="20"/>
      <c r="BA50" s="1">
        <v>52</v>
      </c>
      <c r="BB50" s="1" t="e">
        <f>VLOOKUP(BA50,Results!$C$5:$H$104,5,FALSE)</f>
        <v>#N/A</v>
      </c>
      <c r="BC50" s="65">
        <f t="shared" si="0"/>
        <v>52</v>
      </c>
    </row>
    <row r="51" spans="2:55" x14ac:dyDescent="0.2">
      <c r="B51" s="20"/>
      <c r="C51" s="20"/>
      <c r="D51" s="20"/>
      <c r="E51" s="20"/>
      <c r="F51" s="20"/>
      <c r="G51" s="20"/>
      <c r="H51" s="20"/>
      <c r="I51" s="20"/>
      <c r="J51" s="20"/>
      <c r="K51" s="20"/>
      <c r="L51" s="20"/>
      <c r="M51" s="20"/>
      <c r="N51" s="20"/>
      <c r="O51" s="20"/>
      <c r="P51" s="20"/>
      <c r="Q51" s="20"/>
      <c r="R51" s="20"/>
      <c r="S51" s="20"/>
      <c r="BA51" s="1">
        <v>51</v>
      </c>
      <c r="BB51" s="1" t="e">
        <f>VLOOKUP(BA51,Results!$C$5:$H$104,5,FALSE)</f>
        <v>#N/A</v>
      </c>
      <c r="BC51" s="65">
        <f t="shared" si="0"/>
        <v>51</v>
      </c>
    </row>
    <row r="52" spans="2:55" x14ac:dyDescent="0.2">
      <c r="B52" s="20"/>
      <c r="C52" s="20"/>
      <c r="D52" s="20"/>
      <c r="E52" s="20"/>
      <c r="F52" s="20"/>
      <c r="G52" s="20"/>
      <c r="H52" s="20"/>
      <c r="I52" s="20"/>
      <c r="J52" s="20"/>
      <c r="K52" s="20"/>
      <c r="L52" s="20"/>
      <c r="M52" s="20"/>
      <c r="N52" s="20"/>
      <c r="O52" s="20"/>
      <c r="P52" s="20"/>
      <c r="Q52" s="20"/>
      <c r="R52" s="20"/>
      <c r="S52" s="20"/>
      <c r="BA52" s="1">
        <v>50</v>
      </c>
      <c r="BB52" s="1" t="e">
        <f>VLOOKUP(BA52,Results!$C$5:$H$104,5,FALSE)</f>
        <v>#N/A</v>
      </c>
      <c r="BC52" s="65">
        <f t="shared" si="0"/>
        <v>50</v>
      </c>
    </row>
    <row r="53" spans="2:55" x14ac:dyDescent="0.2">
      <c r="B53" s="20"/>
      <c r="C53" s="20"/>
      <c r="D53" s="20"/>
      <c r="E53" s="20"/>
      <c r="F53" s="20"/>
      <c r="G53" s="20"/>
      <c r="H53" s="20"/>
      <c r="I53" s="20"/>
      <c r="J53" s="20"/>
      <c r="K53" s="20"/>
      <c r="L53" s="20"/>
      <c r="M53" s="20"/>
      <c r="N53" s="20"/>
      <c r="O53" s="20"/>
      <c r="P53" s="20"/>
      <c r="Q53" s="20"/>
      <c r="R53" s="20"/>
      <c r="S53" s="20"/>
      <c r="BA53" s="1">
        <v>49</v>
      </c>
      <c r="BB53" s="1" t="e">
        <f>VLOOKUP(BA53,Results!$C$5:$H$104,5,FALSE)</f>
        <v>#N/A</v>
      </c>
      <c r="BC53" s="65">
        <f t="shared" si="0"/>
        <v>49</v>
      </c>
    </row>
    <row r="54" spans="2:55" x14ac:dyDescent="0.2">
      <c r="B54" s="20"/>
      <c r="C54" s="20"/>
      <c r="D54" s="20"/>
      <c r="E54" s="20"/>
      <c r="F54" s="20"/>
      <c r="G54" s="20"/>
      <c r="H54" s="20"/>
      <c r="I54" s="20"/>
      <c r="J54" s="20"/>
      <c r="K54" s="20"/>
      <c r="L54" s="20"/>
      <c r="M54" s="20"/>
      <c r="N54" s="20"/>
      <c r="O54" s="20"/>
      <c r="P54" s="20"/>
      <c r="Q54" s="20"/>
      <c r="R54" s="20"/>
      <c r="S54" s="20"/>
      <c r="BA54" s="1">
        <v>48</v>
      </c>
      <c r="BB54" s="1" t="e">
        <f>VLOOKUP(BA54,Results!$C$5:$H$104,5,FALSE)</f>
        <v>#N/A</v>
      </c>
      <c r="BC54" s="65">
        <f t="shared" si="0"/>
        <v>48</v>
      </c>
    </row>
    <row r="55" spans="2:55" x14ac:dyDescent="0.2">
      <c r="B55" s="20"/>
      <c r="C55" s="20"/>
      <c r="D55" s="20"/>
      <c r="E55" s="20"/>
      <c r="F55" s="20"/>
      <c r="G55" s="20"/>
      <c r="H55" s="20"/>
      <c r="I55" s="20"/>
      <c r="J55" s="20"/>
      <c r="K55" s="20"/>
      <c r="L55" s="20"/>
      <c r="M55" s="20"/>
      <c r="N55" s="20"/>
      <c r="O55" s="20"/>
      <c r="P55" s="20"/>
      <c r="Q55" s="20"/>
      <c r="R55" s="20"/>
      <c r="S55" s="20"/>
      <c r="BA55" s="1">
        <v>47</v>
      </c>
      <c r="BB55" s="1" t="e">
        <f>VLOOKUP(BA55,Results!$C$5:$H$104,5,FALSE)</f>
        <v>#N/A</v>
      </c>
      <c r="BC55" s="65">
        <f t="shared" si="0"/>
        <v>47</v>
      </c>
    </row>
    <row r="56" spans="2:55" x14ac:dyDescent="0.2">
      <c r="B56" s="20"/>
      <c r="C56" s="20"/>
      <c r="D56" s="20"/>
      <c r="E56" s="20"/>
      <c r="F56" s="20"/>
      <c r="G56" s="20"/>
      <c r="H56" s="20"/>
      <c r="I56" s="20"/>
      <c r="J56" s="20"/>
      <c r="K56" s="20"/>
      <c r="L56" s="20"/>
      <c r="M56" s="20"/>
      <c r="N56" s="20"/>
      <c r="O56" s="20"/>
      <c r="P56" s="20"/>
      <c r="Q56" s="20"/>
      <c r="R56" s="20"/>
      <c r="S56" s="20"/>
      <c r="BA56" s="1">
        <v>46</v>
      </c>
      <c r="BB56" s="1" t="e">
        <f>VLOOKUP(BA56,Results!$C$5:$H$104,5,FALSE)</f>
        <v>#N/A</v>
      </c>
      <c r="BC56" s="65">
        <f t="shared" si="0"/>
        <v>46</v>
      </c>
    </row>
    <row r="57" spans="2:55" x14ac:dyDescent="0.2">
      <c r="B57" s="20"/>
      <c r="C57" s="20"/>
      <c r="D57" s="20"/>
      <c r="E57" s="20"/>
      <c r="F57" s="20"/>
      <c r="G57" s="20"/>
      <c r="H57" s="20"/>
      <c r="I57" s="20"/>
      <c r="J57" s="20"/>
      <c r="K57" s="20"/>
      <c r="L57" s="20"/>
      <c r="M57" s="20"/>
      <c r="N57" s="20"/>
      <c r="O57" s="20"/>
      <c r="P57" s="20"/>
      <c r="Q57" s="20"/>
      <c r="R57" s="20"/>
      <c r="S57" s="20"/>
      <c r="BA57" s="1">
        <v>45</v>
      </c>
      <c r="BB57" s="1" t="e">
        <f>VLOOKUP(BA57,Results!$C$5:$H$104,5,FALSE)</f>
        <v>#N/A</v>
      </c>
      <c r="BC57" s="65">
        <f t="shared" si="0"/>
        <v>45</v>
      </c>
    </row>
    <row r="58" spans="2:55" x14ac:dyDescent="0.2">
      <c r="B58" s="20"/>
      <c r="C58" s="20"/>
      <c r="D58" s="20"/>
      <c r="E58" s="20"/>
      <c r="F58" s="20"/>
      <c r="G58" s="20"/>
      <c r="H58" s="20"/>
      <c r="I58" s="20"/>
      <c r="J58" s="20"/>
      <c r="K58" s="20"/>
      <c r="L58" s="20"/>
      <c r="M58" s="20"/>
      <c r="N58" s="20"/>
      <c r="O58" s="20"/>
      <c r="P58" s="20"/>
      <c r="Q58" s="20"/>
      <c r="R58" s="20"/>
      <c r="S58" s="20"/>
      <c r="BA58" s="1">
        <v>44</v>
      </c>
      <c r="BB58" s="1" t="e">
        <f>VLOOKUP(BA58,Results!$C$5:$H$104,5,FALSE)</f>
        <v>#N/A</v>
      </c>
      <c r="BC58" s="65">
        <f t="shared" si="0"/>
        <v>44</v>
      </c>
    </row>
    <row r="59" spans="2:55" x14ac:dyDescent="0.2">
      <c r="B59" s="20"/>
      <c r="C59" s="20"/>
      <c r="D59" s="20"/>
      <c r="E59" s="20"/>
      <c r="F59" s="20"/>
      <c r="G59" s="20"/>
      <c r="H59" s="20"/>
      <c r="I59" s="20"/>
      <c r="J59" s="20"/>
      <c r="K59" s="20"/>
      <c r="L59" s="20"/>
      <c r="M59" s="20"/>
      <c r="N59" s="20"/>
      <c r="O59" s="20"/>
      <c r="P59" s="20"/>
      <c r="Q59" s="20"/>
      <c r="R59" s="20"/>
      <c r="S59" s="20"/>
      <c r="BA59" s="1">
        <v>43</v>
      </c>
      <c r="BB59" s="1" t="e">
        <f>VLOOKUP(BA59,Results!$C$5:$H$104,5,FALSE)</f>
        <v>#N/A</v>
      </c>
      <c r="BC59" s="65">
        <f t="shared" si="0"/>
        <v>43</v>
      </c>
    </row>
    <row r="60" spans="2:55" x14ac:dyDescent="0.2">
      <c r="B60" s="20"/>
      <c r="C60" s="20"/>
      <c r="D60" s="20"/>
      <c r="E60" s="20"/>
      <c r="F60" s="20"/>
      <c r="G60" s="20"/>
      <c r="H60" s="20"/>
      <c r="I60" s="20"/>
      <c r="J60" s="20"/>
      <c r="K60" s="20"/>
      <c r="L60" s="20"/>
      <c r="M60" s="20"/>
      <c r="N60" s="20"/>
      <c r="O60" s="20"/>
      <c r="P60" s="20"/>
      <c r="Q60" s="20"/>
      <c r="R60" s="20"/>
      <c r="S60" s="20"/>
      <c r="BA60" s="1">
        <v>42</v>
      </c>
      <c r="BB60" s="1" t="e">
        <f>VLOOKUP(BA60,Results!$C$5:$H$104,5,FALSE)</f>
        <v>#N/A</v>
      </c>
      <c r="BC60" s="65">
        <f t="shared" si="0"/>
        <v>42</v>
      </c>
    </row>
    <row r="61" spans="2:55" x14ac:dyDescent="0.2">
      <c r="B61" s="20"/>
      <c r="C61" s="20"/>
      <c r="D61" s="20"/>
      <c r="E61" s="20"/>
      <c r="F61" s="20"/>
      <c r="G61" s="20"/>
      <c r="H61" s="20"/>
      <c r="I61" s="20"/>
      <c r="J61" s="20"/>
      <c r="K61" s="20"/>
      <c r="L61" s="20"/>
      <c r="M61" s="20"/>
      <c r="N61" s="20"/>
      <c r="O61" s="20"/>
      <c r="P61" s="20"/>
      <c r="Q61" s="20"/>
      <c r="R61" s="20"/>
      <c r="S61" s="20"/>
      <c r="BA61" s="1">
        <v>41</v>
      </c>
      <c r="BB61" s="1" t="e">
        <f>VLOOKUP(BA61,Results!$C$5:$H$104,5,FALSE)</f>
        <v>#N/A</v>
      </c>
      <c r="BC61" s="65">
        <f t="shared" si="0"/>
        <v>41</v>
      </c>
    </row>
    <row r="62" spans="2:55" x14ac:dyDescent="0.2">
      <c r="B62" s="20"/>
      <c r="C62" s="20"/>
      <c r="D62" s="20"/>
      <c r="E62" s="20"/>
      <c r="F62" s="20"/>
      <c r="G62" s="20"/>
      <c r="H62" s="20"/>
      <c r="I62" s="20"/>
      <c r="J62" s="20"/>
      <c r="K62" s="20"/>
      <c r="L62" s="20"/>
      <c r="M62" s="20"/>
      <c r="N62" s="20"/>
      <c r="O62" s="20"/>
      <c r="P62" s="20"/>
      <c r="Q62" s="20"/>
      <c r="R62" s="20"/>
      <c r="S62" s="20"/>
      <c r="BA62" s="1">
        <v>40</v>
      </c>
      <c r="BB62" s="1" t="e">
        <f>VLOOKUP(BA62,Results!$C$5:$H$104,5,FALSE)</f>
        <v>#N/A</v>
      </c>
      <c r="BC62" s="65">
        <f t="shared" si="0"/>
        <v>40</v>
      </c>
    </row>
    <row r="63" spans="2:55" x14ac:dyDescent="0.2">
      <c r="B63" s="20"/>
      <c r="C63" s="20"/>
      <c r="D63" s="20"/>
      <c r="E63" s="20"/>
      <c r="F63" s="20"/>
      <c r="G63" s="20"/>
      <c r="H63" s="20"/>
      <c r="I63" s="20"/>
      <c r="J63" s="20"/>
      <c r="K63" s="20"/>
      <c r="L63" s="20"/>
      <c r="M63" s="20"/>
      <c r="N63" s="20"/>
      <c r="O63" s="20"/>
      <c r="P63" s="20"/>
      <c r="Q63" s="20"/>
      <c r="R63" s="20"/>
      <c r="S63" s="20"/>
      <c r="BA63" s="1">
        <v>39</v>
      </c>
      <c r="BB63" s="1" t="e">
        <f>VLOOKUP(BA63,Results!$C$5:$H$104,5,FALSE)</f>
        <v>#N/A</v>
      </c>
      <c r="BC63" s="65">
        <f t="shared" si="0"/>
        <v>39</v>
      </c>
    </row>
    <row r="64" spans="2:55" x14ac:dyDescent="0.2">
      <c r="B64" s="20"/>
      <c r="C64" s="20"/>
      <c r="D64" s="20"/>
      <c r="E64" s="20"/>
      <c r="F64" s="20"/>
      <c r="G64" s="20"/>
      <c r="H64" s="20"/>
      <c r="I64" s="20"/>
      <c r="J64" s="20"/>
      <c r="K64" s="20"/>
      <c r="L64" s="20"/>
      <c r="M64" s="20"/>
      <c r="N64" s="20"/>
      <c r="O64" s="20"/>
      <c r="P64" s="20"/>
      <c r="Q64" s="20"/>
      <c r="R64" s="20"/>
      <c r="S64" s="20"/>
      <c r="BA64" s="1">
        <v>38</v>
      </c>
      <c r="BB64" s="1" t="e">
        <f>VLOOKUP(BA64,Results!$C$5:$H$104,5,FALSE)</f>
        <v>#N/A</v>
      </c>
      <c r="BC64" s="65">
        <f t="shared" si="0"/>
        <v>38</v>
      </c>
    </row>
    <row r="65" spans="1:55" x14ac:dyDescent="0.2">
      <c r="B65" s="20"/>
      <c r="C65" s="20"/>
      <c r="D65" s="20"/>
      <c r="E65" s="20"/>
      <c r="F65" s="20"/>
      <c r="G65" s="20"/>
      <c r="H65" s="20"/>
      <c r="I65" s="20"/>
      <c r="J65" s="20"/>
      <c r="K65" s="20"/>
      <c r="L65" s="20"/>
      <c r="M65" s="20"/>
      <c r="N65" s="20"/>
      <c r="O65" s="20"/>
      <c r="P65" s="20"/>
      <c r="Q65" s="20"/>
      <c r="R65" s="20"/>
      <c r="S65" s="20"/>
      <c r="BA65" s="1">
        <v>37</v>
      </c>
      <c r="BB65" s="1" t="e">
        <f>VLOOKUP(BA65,Results!$C$5:$H$104,5,FALSE)</f>
        <v>#N/A</v>
      </c>
      <c r="BC65" s="65">
        <f t="shared" si="0"/>
        <v>37</v>
      </c>
    </row>
    <row r="66" spans="1:55" x14ac:dyDescent="0.2">
      <c r="B66" s="20"/>
      <c r="C66" s="20"/>
      <c r="D66" s="20"/>
      <c r="E66" s="20"/>
      <c r="F66" s="20"/>
      <c r="G66" s="20"/>
      <c r="H66" s="20"/>
      <c r="I66" s="20"/>
      <c r="J66" s="20"/>
      <c r="K66" s="20"/>
      <c r="L66" s="20"/>
      <c r="M66" s="20"/>
      <c r="N66" s="20"/>
      <c r="O66" s="20"/>
      <c r="P66" s="20"/>
      <c r="Q66" s="20"/>
      <c r="R66" s="20"/>
      <c r="S66" s="20"/>
      <c r="BA66" s="1">
        <v>36</v>
      </c>
      <c r="BB66" s="1" t="e">
        <f>VLOOKUP(BA66,Results!$C$5:$H$104,5,FALSE)</f>
        <v>#N/A</v>
      </c>
      <c r="BC66" s="65">
        <f t="shared" ref="BC66:BC100" si="3">BA66</f>
        <v>36</v>
      </c>
    </row>
    <row r="67" spans="1:55" x14ac:dyDescent="0.2">
      <c r="B67" s="20"/>
      <c r="C67" s="20"/>
      <c r="D67" s="20"/>
      <c r="E67" s="20"/>
      <c r="F67" s="20"/>
      <c r="G67" s="20"/>
      <c r="H67" s="20"/>
      <c r="I67" s="20"/>
      <c r="J67" s="20"/>
      <c r="K67" s="20"/>
      <c r="L67" s="20"/>
      <c r="M67" s="20"/>
      <c r="N67" s="20"/>
      <c r="O67" s="20"/>
      <c r="P67" s="20"/>
      <c r="Q67" s="20"/>
      <c r="R67" s="20"/>
      <c r="S67" s="20"/>
      <c r="BA67" s="1">
        <v>35</v>
      </c>
      <c r="BB67" s="1" t="e">
        <f>VLOOKUP(BA67,Results!$C$5:$H$104,5,FALSE)</f>
        <v>#N/A</v>
      </c>
      <c r="BC67" s="65">
        <f t="shared" si="3"/>
        <v>35</v>
      </c>
    </row>
    <row r="68" spans="1:55" x14ac:dyDescent="0.2">
      <c r="B68" s="20"/>
      <c r="C68" s="20"/>
      <c r="D68" s="20"/>
      <c r="E68" s="20"/>
      <c r="F68" s="20"/>
      <c r="G68" s="20"/>
      <c r="H68" s="20"/>
      <c r="I68" s="20"/>
      <c r="J68" s="20"/>
      <c r="K68" s="20"/>
      <c r="L68" s="20"/>
      <c r="M68" s="20"/>
      <c r="N68" s="20"/>
      <c r="O68" s="20"/>
      <c r="P68" s="20"/>
      <c r="Q68" s="20"/>
      <c r="R68" s="20"/>
      <c r="S68" s="20"/>
      <c r="BA68" s="1">
        <v>34</v>
      </c>
      <c r="BB68" s="1" t="e">
        <f>VLOOKUP(BA68,Results!$C$5:$H$104,5,FALSE)</f>
        <v>#N/A</v>
      </c>
      <c r="BC68" s="65">
        <f t="shared" si="3"/>
        <v>34</v>
      </c>
    </row>
    <row r="69" spans="1:55" x14ac:dyDescent="0.2">
      <c r="B69" s="20"/>
      <c r="C69" s="20"/>
      <c r="D69" s="20"/>
      <c r="E69" s="20"/>
      <c r="F69" s="20"/>
      <c r="G69" s="20"/>
      <c r="H69" s="20"/>
      <c r="I69" s="20"/>
      <c r="J69" s="20"/>
      <c r="K69" s="20"/>
      <c r="L69" s="20"/>
      <c r="M69" s="20"/>
      <c r="N69" s="20"/>
      <c r="O69" s="20"/>
      <c r="P69" s="20"/>
      <c r="Q69" s="20"/>
      <c r="R69" s="20"/>
      <c r="S69" s="20"/>
      <c r="BA69" s="1">
        <v>33</v>
      </c>
      <c r="BB69" s="1" t="e">
        <f>VLOOKUP(BA69,Results!$C$5:$H$104,5,FALSE)</f>
        <v>#N/A</v>
      </c>
      <c r="BC69" s="65">
        <f t="shared" si="3"/>
        <v>33</v>
      </c>
    </row>
    <row r="70" spans="1:55" x14ac:dyDescent="0.2">
      <c r="B70" s="20"/>
      <c r="C70" s="20"/>
      <c r="D70" s="20"/>
      <c r="E70" s="20"/>
      <c r="F70" s="20"/>
      <c r="G70" s="20"/>
      <c r="H70" s="20"/>
      <c r="I70" s="20"/>
      <c r="J70" s="20"/>
      <c r="K70" s="20"/>
      <c r="L70" s="20"/>
      <c r="M70" s="20"/>
      <c r="N70" s="20"/>
      <c r="O70" s="20"/>
      <c r="P70" s="20"/>
      <c r="Q70" s="20"/>
      <c r="R70" s="20"/>
      <c r="S70" s="20"/>
      <c r="BA70" s="1">
        <v>32</v>
      </c>
      <c r="BB70" s="1" t="e">
        <f>VLOOKUP(BA70,Results!$C$5:$H$104,5,FALSE)</f>
        <v>#N/A</v>
      </c>
      <c r="BC70" s="65">
        <f t="shared" si="3"/>
        <v>32</v>
      </c>
    </row>
    <row r="71" spans="1:55" x14ac:dyDescent="0.2">
      <c r="B71" s="20"/>
      <c r="C71" s="20"/>
      <c r="D71" s="20"/>
      <c r="E71" s="20"/>
      <c r="F71" s="20"/>
      <c r="G71" s="20"/>
      <c r="H71" s="20"/>
      <c r="I71" s="20"/>
      <c r="J71" s="20"/>
      <c r="K71" s="20"/>
      <c r="L71" s="20"/>
      <c r="M71" s="20"/>
      <c r="N71" s="20"/>
      <c r="O71" s="20"/>
      <c r="P71" s="20"/>
      <c r="Q71" s="20"/>
      <c r="R71" s="20"/>
      <c r="S71" s="20"/>
      <c r="BA71" s="1">
        <v>31</v>
      </c>
      <c r="BB71" s="1" t="e">
        <f>VLOOKUP(BA71,Results!$C$5:$H$104,5,FALSE)</f>
        <v>#N/A</v>
      </c>
      <c r="BC71" s="65">
        <f t="shared" si="3"/>
        <v>31</v>
      </c>
    </row>
    <row r="72" spans="1:55" x14ac:dyDescent="0.2">
      <c r="B72" s="11"/>
      <c r="BA72" s="1">
        <v>30</v>
      </c>
      <c r="BB72" s="1" t="e">
        <f>VLOOKUP(BA72,Results!$C$5:$H$104,5,FALSE)</f>
        <v>#N/A</v>
      </c>
      <c r="BC72" s="65">
        <f t="shared" si="3"/>
        <v>30</v>
      </c>
    </row>
    <row r="73" spans="1:55" ht="15" x14ac:dyDescent="0.25">
      <c r="B73" s="101" t="s">
        <v>489</v>
      </c>
      <c r="C73" s="6" t="s">
        <v>500</v>
      </c>
      <c r="D73" s="6" t="s">
        <v>57</v>
      </c>
      <c r="H73" s="625" t="s">
        <v>3244</v>
      </c>
      <c r="I73" s="101" t="s">
        <v>489</v>
      </c>
      <c r="J73" s="6" t="s">
        <v>58</v>
      </c>
      <c r="BA73" s="1">
        <v>29</v>
      </c>
      <c r="BB73" s="1" t="e">
        <f>VLOOKUP(BA73,Results!$C$5:$H$104,5,FALSE)</f>
        <v>#N/A</v>
      </c>
      <c r="BC73" s="65">
        <f t="shared" si="3"/>
        <v>29</v>
      </c>
    </row>
    <row r="74" spans="1:55" x14ac:dyDescent="0.2">
      <c r="A74" s="1">
        <v>1</v>
      </c>
      <c r="B74" s="20" t="str">
        <f>Input!C8</f>
        <v/>
      </c>
      <c r="C74" s="20"/>
      <c r="D74" s="20"/>
      <c r="G74" s="1" t="b">
        <v>1</v>
      </c>
      <c r="H74" s="65">
        <v>1</v>
      </c>
      <c r="I74" s="20"/>
      <c r="J74" s="20"/>
      <c r="K74" s="65"/>
      <c r="BA74" s="1">
        <v>28</v>
      </c>
      <c r="BB74" s="1" t="e">
        <f>VLOOKUP(BA74,Results!$C$5:$H$104,5,FALSE)</f>
        <v>#N/A</v>
      </c>
      <c r="BC74" s="65">
        <f t="shared" si="3"/>
        <v>28</v>
      </c>
    </row>
    <row r="75" spans="1:55" x14ac:dyDescent="0.2">
      <c r="A75" s="1">
        <v>2</v>
      </c>
      <c r="B75" s="20" t="str">
        <f>Input!C9</f>
        <v/>
      </c>
      <c r="C75" s="20"/>
      <c r="D75" s="20"/>
      <c r="H75" s="65">
        <v>2</v>
      </c>
      <c r="I75" s="20"/>
      <c r="J75" s="20"/>
      <c r="K75" s="65"/>
      <c r="BA75" s="1">
        <v>27</v>
      </c>
      <c r="BB75" s="1" t="e">
        <f>VLOOKUP(BA75,Results!$C$5:$H$104,5,FALSE)</f>
        <v>#N/A</v>
      </c>
      <c r="BC75" s="65">
        <f t="shared" si="3"/>
        <v>27</v>
      </c>
    </row>
    <row r="76" spans="1:55" x14ac:dyDescent="0.2">
      <c r="A76" s="1">
        <v>3</v>
      </c>
      <c r="B76" s="20" t="str">
        <f>Input!C10</f>
        <v/>
      </c>
      <c r="C76" s="20"/>
      <c r="D76" s="20"/>
      <c r="H76" s="65">
        <v>3</v>
      </c>
      <c r="I76" s="20"/>
      <c r="J76" s="20"/>
      <c r="K76" s="65"/>
      <c r="BA76" s="1">
        <v>26</v>
      </c>
      <c r="BB76" s="1" t="e">
        <f>VLOOKUP(BA76,Results!$C$5:$H$104,5,FALSE)</f>
        <v>#N/A</v>
      </c>
      <c r="BC76" s="65">
        <f t="shared" si="3"/>
        <v>26</v>
      </c>
    </row>
    <row r="77" spans="1:55" x14ac:dyDescent="0.2">
      <c r="A77" s="1">
        <v>4</v>
      </c>
      <c r="B77" s="20" t="str">
        <f>Input!C11</f>
        <v/>
      </c>
      <c r="C77" s="20"/>
      <c r="D77" s="20"/>
      <c r="H77" s="65">
        <v>4</v>
      </c>
      <c r="I77" s="20"/>
      <c r="J77" s="20"/>
      <c r="K77" s="65"/>
      <c r="BA77" s="1">
        <v>25</v>
      </c>
      <c r="BB77" s="1" t="e">
        <f>VLOOKUP(BA77,Results!$C$5:$H$104,5,FALSE)</f>
        <v>#N/A</v>
      </c>
      <c r="BC77" s="65">
        <f t="shared" si="3"/>
        <v>25</v>
      </c>
    </row>
    <row r="78" spans="1:55" x14ac:dyDescent="0.2">
      <c r="A78" s="1">
        <v>5</v>
      </c>
      <c r="B78" s="20" t="str">
        <f>Input!C12</f>
        <v/>
      </c>
      <c r="C78" s="20"/>
      <c r="D78" s="20"/>
      <c r="H78" s="65">
        <v>5</v>
      </c>
      <c r="I78" s="20"/>
      <c r="J78" s="20"/>
      <c r="K78" s="65"/>
      <c r="BA78" s="1">
        <v>24</v>
      </c>
      <c r="BB78" s="1" t="e">
        <f>VLOOKUP(BA78,Results!$C$5:$H$104,5,FALSE)</f>
        <v>#N/A</v>
      </c>
      <c r="BC78" s="65">
        <f t="shared" si="3"/>
        <v>24</v>
      </c>
    </row>
    <row r="79" spans="1:55" ht="15" x14ac:dyDescent="0.25">
      <c r="A79" s="1">
        <v>6</v>
      </c>
      <c r="B79" s="20" t="str">
        <f>Input!C13</f>
        <v/>
      </c>
      <c r="C79" s="20"/>
      <c r="D79" s="20"/>
      <c r="G79" s="145"/>
      <c r="H79" s="65">
        <v>6</v>
      </c>
      <c r="I79" s="20"/>
      <c r="J79" s="20"/>
      <c r="K79" s="65"/>
      <c r="BA79" s="1">
        <v>23</v>
      </c>
      <c r="BB79" s="1" t="e">
        <f>VLOOKUP(BA79,Results!$C$5:$H$104,5,FALSE)</f>
        <v>#N/A</v>
      </c>
      <c r="BC79" s="65">
        <f t="shared" si="3"/>
        <v>23</v>
      </c>
    </row>
    <row r="80" spans="1:55" x14ac:dyDescent="0.2">
      <c r="A80" s="1">
        <v>7</v>
      </c>
      <c r="B80" s="20" t="str">
        <f>Input!C14</f>
        <v/>
      </c>
      <c r="C80" s="20"/>
      <c r="D80" s="20"/>
      <c r="H80" s="65">
        <v>7</v>
      </c>
      <c r="I80" s="20"/>
      <c r="J80" s="20"/>
      <c r="K80" s="65"/>
      <c r="BA80" s="1">
        <v>22</v>
      </c>
      <c r="BB80" s="1" t="e">
        <f>VLOOKUP(BA80,Results!$C$5:$H$104,5,FALSE)</f>
        <v>#N/A</v>
      </c>
      <c r="BC80" s="65">
        <f t="shared" si="3"/>
        <v>22</v>
      </c>
    </row>
    <row r="81" spans="1:55" x14ac:dyDescent="0.2">
      <c r="A81" s="1">
        <v>8</v>
      </c>
      <c r="B81" s="20" t="str">
        <f>Input!C15</f>
        <v/>
      </c>
      <c r="C81" s="20"/>
      <c r="D81" s="20"/>
      <c r="H81" s="65">
        <v>8</v>
      </c>
      <c r="I81" s="20"/>
      <c r="J81" s="20"/>
      <c r="K81" s="65"/>
      <c r="BA81" s="1">
        <v>21</v>
      </c>
      <c r="BB81" s="1" t="e">
        <f>VLOOKUP(BA81,Results!$C$5:$H$104,5,FALSE)</f>
        <v>#N/A</v>
      </c>
      <c r="BC81" s="65">
        <f t="shared" si="3"/>
        <v>21</v>
      </c>
    </row>
    <row r="82" spans="1:55" x14ac:dyDescent="0.2">
      <c r="A82" s="1">
        <v>9</v>
      </c>
      <c r="B82" s="20" t="str">
        <f>Input!C16</f>
        <v/>
      </c>
      <c r="C82" s="20"/>
      <c r="D82" s="20"/>
      <c r="H82" s="65">
        <v>9</v>
      </c>
      <c r="I82" s="20"/>
      <c r="J82" s="20"/>
      <c r="K82" s="65"/>
      <c r="BA82" s="1">
        <v>20</v>
      </c>
      <c r="BB82" s="1" t="e">
        <f>VLOOKUP(BA82,Results!$C$5:$H$104,5,FALSE)</f>
        <v>#N/A</v>
      </c>
      <c r="BC82" s="65">
        <f t="shared" si="3"/>
        <v>20</v>
      </c>
    </row>
    <row r="83" spans="1:55" x14ac:dyDescent="0.2">
      <c r="A83" s="1">
        <v>10</v>
      </c>
      <c r="B83" s="20" t="str">
        <f>Input!C17</f>
        <v/>
      </c>
      <c r="C83" s="20"/>
      <c r="D83" s="20"/>
      <c r="H83" s="65">
        <v>10</v>
      </c>
      <c r="I83" s="20"/>
      <c r="J83" s="20"/>
      <c r="K83" s="65"/>
      <c r="BA83" s="1">
        <v>19</v>
      </c>
      <c r="BB83" s="1" t="e">
        <f>VLOOKUP(BA83,Results!$C$5:$H$104,5,FALSE)</f>
        <v>#N/A</v>
      </c>
      <c r="BC83" s="65">
        <f t="shared" si="3"/>
        <v>19</v>
      </c>
    </row>
    <row r="84" spans="1:55" x14ac:dyDescent="0.2">
      <c r="K84" s="65"/>
      <c r="BA84" s="1">
        <v>18</v>
      </c>
      <c r="BB84" s="1" t="e">
        <f>VLOOKUP(BA84,Results!$C$5:$H$104,5,FALSE)</f>
        <v>#N/A</v>
      </c>
      <c r="BC84" s="65">
        <f t="shared" si="3"/>
        <v>18</v>
      </c>
    </row>
    <row r="85" spans="1:55" ht="15" x14ac:dyDescent="0.25">
      <c r="B85" s="170" t="s">
        <v>550</v>
      </c>
      <c r="BA85" s="1">
        <v>17</v>
      </c>
      <c r="BB85" s="1" t="e">
        <f>VLOOKUP(BA85,Results!$C$5:$H$104,5,FALSE)</f>
        <v>#N/A</v>
      </c>
      <c r="BC85" s="65">
        <f t="shared" si="3"/>
        <v>17</v>
      </c>
    </row>
    <row r="86" spans="1:55" x14ac:dyDescent="0.2">
      <c r="B86" s="1">
        <v>1</v>
      </c>
      <c r="C86" s="1">
        <v>2</v>
      </c>
      <c r="D86" s="1">
        <v>3</v>
      </c>
      <c r="E86" s="1">
        <v>4</v>
      </c>
      <c r="F86" s="1">
        <v>5</v>
      </c>
      <c r="G86" s="1">
        <v>6</v>
      </c>
      <c r="H86" s="1">
        <v>7</v>
      </c>
      <c r="I86" s="1">
        <v>8</v>
      </c>
      <c r="J86" s="1">
        <v>9</v>
      </c>
      <c r="K86" s="1">
        <v>10</v>
      </c>
      <c r="L86" s="1">
        <v>11</v>
      </c>
      <c r="M86" s="1">
        <v>12</v>
      </c>
      <c r="N86" s="1">
        <v>13</v>
      </c>
      <c r="O86" s="1">
        <v>14</v>
      </c>
      <c r="P86" s="1">
        <v>15</v>
      </c>
      <c r="Q86" s="1">
        <v>16</v>
      </c>
      <c r="R86" s="1">
        <v>17</v>
      </c>
      <c r="S86" s="1">
        <v>18</v>
      </c>
      <c r="T86" s="1">
        <v>19</v>
      </c>
      <c r="U86" s="1">
        <v>20</v>
      </c>
      <c r="V86" s="1">
        <v>21</v>
      </c>
      <c r="W86" s="1">
        <v>22</v>
      </c>
      <c r="X86" s="1">
        <v>23</v>
      </c>
      <c r="Y86" s="1">
        <v>24</v>
      </c>
      <c r="Z86" s="1">
        <v>25</v>
      </c>
      <c r="AA86" s="1">
        <v>26</v>
      </c>
      <c r="AB86" s="1">
        <v>27</v>
      </c>
      <c r="AC86" s="1">
        <v>28</v>
      </c>
      <c r="AD86" s="1">
        <v>29</v>
      </c>
      <c r="AE86" s="1">
        <v>30</v>
      </c>
      <c r="BA86" s="1">
        <v>16</v>
      </c>
      <c r="BB86" s="1" t="e">
        <f>VLOOKUP(BA86,Results!$C$5:$H$104,5,FALSE)</f>
        <v>#N/A</v>
      </c>
      <c r="BC86" s="65">
        <f t="shared" si="3"/>
        <v>16</v>
      </c>
    </row>
    <row r="87" spans="1:55" x14ac:dyDescent="0.2">
      <c r="A87" s="1">
        <v>1</v>
      </c>
      <c r="B87" s="20" t="str">
        <f>IF(Calculations!$BQ60='Macro References'!B$86,Calculations!$AT60,"")</f>
        <v/>
      </c>
      <c r="C87" s="20" t="str">
        <f>IF(Calculations!$BQ60='Macro References'!C$86,Calculations!$AT60,"")</f>
        <v/>
      </c>
      <c r="D87" s="20" t="str">
        <f>IF(Calculations!$BQ60='Macro References'!D$86,Calculations!$AT60,"")</f>
        <v/>
      </c>
      <c r="E87" s="20" t="str">
        <f>IF(Calculations!$BQ60='Macro References'!E$86,Calculations!$AT60,"")</f>
        <v/>
      </c>
      <c r="F87" s="20" t="str">
        <f>IF(Calculations!$BQ60='Macro References'!F$86,Calculations!$AT60,"")</f>
        <v/>
      </c>
      <c r="G87" s="20" t="str">
        <f>IF(Calculations!$BQ60='Macro References'!G$86,Calculations!$AT60,"")</f>
        <v/>
      </c>
      <c r="H87" s="20" t="str">
        <f>IF(Calculations!$BQ60='Macro References'!H$86,Calculations!$AT60,"")</f>
        <v/>
      </c>
      <c r="I87" s="20" t="str">
        <f>IF(Calculations!$BQ60='Macro References'!I$86,Calculations!$AT60,"")</f>
        <v/>
      </c>
      <c r="J87" s="20" t="str">
        <f>IF(Calculations!$BQ60='Macro References'!J$86,Calculations!$AT60,"")</f>
        <v/>
      </c>
      <c r="K87" s="20" t="str">
        <f>IF(Calculations!$BQ60='Macro References'!K$86,Calculations!$AT60,"")</f>
        <v/>
      </c>
      <c r="L87" s="20" t="str">
        <f>IF(Calculations!$BQ60='Macro References'!L$86,Calculations!$AT60,"")</f>
        <v/>
      </c>
      <c r="M87" s="20" t="str">
        <f>IF(Calculations!$BQ60='Macro References'!M$86,Calculations!$AT60,"")</f>
        <v/>
      </c>
      <c r="N87" s="20" t="str">
        <f>IF(Calculations!$BQ60='Macro References'!N$86,Calculations!$AT60,"")</f>
        <v/>
      </c>
      <c r="O87" s="20" t="str">
        <f>IF(Calculations!$BQ60='Macro References'!O$86,Calculations!$AT60,"")</f>
        <v/>
      </c>
      <c r="P87" s="20" t="str">
        <f>IF(Calculations!$BQ60='Macro References'!P$86,Calculations!$AT60,"")</f>
        <v/>
      </c>
      <c r="Q87" s="20" t="str">
        <f>IF(Calculations!$BQ60='Macro References'!Q$86,Calculations!$AT60,"")</f>
        <v/>
      </c>
      <c r="R87" s="20" t="str">
        <f>IF(Calculations!$BQ60='Macro References'!R$86,Calculations!$AT60,"")</f>
        <v/>
      </c>
      <c r="S87" s="20" t="str">
        <f>IF(Calculations!$BQ60='Macro References'!S$86,Calculations!$AT60,"")</f>
        <v/>
      </c>
      <c r="T87" s="20" t="str">
        <f>IF(Calculations!$BQ60='Macro References'!T$86,Calculations!$AT60,"")</f>
        <v/>
      </c>
      <c r="U87" s="20" t="str">
        <f>IF(Calculations!$BQ60='Macro References'!U$86,Calculations!$AT60,"")</f>
        <v/>
      </c>
      <c r="V87" s="20" t="str">
        <f>IF(Calculations!$BQ60='Macro References'!V$86,Calculations!$AT60,"")</f>
        <v/>
      </c>
      <c r="W87" s="20" t="str">
        <f>IF(Calculations!$BQ60='Macro References'!W$86,Calculations!$AT60,"")</f>
        <v/>
      </c>
      <c r="X87" s="20" t="str">
        <f>IF(Calculations!$BQ60='Macro References'!X$86,Calculations!$AT60,"")</f>
        <v/>
      </c>
      <c r="Y87" s="20" t="str">
        <f>IF(Calculations!$BQ60='Macro References'!Y$86,Calculations!$AT60,"")</f>
        <v/>
      </c>
      <c r="Z87" s="20" t="str">
        <f>IF(Calculations!$BQ60='Macro References'!Z$86,Calculations!$AT60,"")</f>
        <v/>
      </c>
      <c r="AA87" s="20" t="str">
        <f>IF(Calculations!$BQ60='Macro References'!AA$86,Calculations!$AT60,"")</f>
        <v/>
      </c>
      <c r="AB87" s="20" t="str">
        <f>IF(Calculations!$BQ60='Macro References'!AB$86,Calculations!$AT60,"")</f>
        <v/>
      </c>
      <c r="AC87" s="20" t="str">
        <f>IF(Calculations!$BQ60='Macro References'!AC$86,Calculations!$AT60,"")</f>
        <v/>
      </c>
      <c r="AD87" s="20" t="str">
        <f>IF(Calculations!$BQ60='Macro References'!AD$86,Calculations!$AT60,"")</f>
        <v/>
      </c>
      <c r="AE87" s="20" t="str">
        <f>IF(Calculations!$BQ60='Macro References'!AE$86,Calculations!$AT60,"")</f>
        <v/>
      </c>
      <c r="BA87" s="1">
        <v>15</v>
      </c>
      <c r="BB87" s="1" t="e">
        <f>VLOOKUP(BA87,Results!$C$5:$H$104,5,FALSE)</f>
        <v>#N/A</v>
      </c>
      <c r="BC87" s="65">
        <f t="shared" si="3"/>
        <v>15</v>
      </c>
    </row>
    <row r="88" spans="1:55" x14ac:dyDescent="0.2">
      <c r="A88" s="1">
        <v>2</v>
      </c>
      <c r="B88" s="20" t="str">
        <f>IF(Calculations!$BQ61='Macro References'!B$86,Calculations!$AT61,"")</f>
        <v/>
      </c>
      <c r="C88" s="20" t="str">
        <f>IF(Calculations!$BQ61='Macro References'!C$86,Calculations!$AT61,"")</f>
        <v/>
      </c>
      <c r="D88" s="20" t="str">
        <f>IF(Calculations!$BQ61='Macro References'!D$86,Calculations!$AT61,"")</f>
        <v/>
      </c>
      <c r="E88" s="20" t="str">
        <f>IF(Calculations!$BQ61='Macro References'!E$86,Calculations!$AT61,"")</f>
        <v/>
      </c>
      <c r="F88" s="20" t="str">
        <f>IF(Calculations!$BQ61='Macro References'!F$86,Calculations!$AT61,"")</f>
        <v/>
      </c>
      <c r="G88" s="20" t="str">
        <f>IF(Calculations!$BQ61='Macro References'!G$86,Calculations!$AT61,"")</f>
        <v/>
      </c>
      <c r="H88" s="20" t="str">
        <f>IF(Calculations!$BQ61='Macro References'!H$86,Calculations!$AT61,"")</f>
        <v/>
      </c>
      <c r="I88" s="20" t="str">
        <f>IF(Calculations!$BQ61='Macro References'!I$86,Calculations!$AT61,"")</f>
        <v/>
      </c>
      <c r="J88" s="20" t="str">
        <f>IF(Calculations!$BQ61='Macro References'!J$86,Calculations!$AT61,"")</f>
        <v/>
      </c>
      <c r="K88" s="20" t="str">
        <f>IF(Calculations!$BQ61='Macro References'!K$86,Calculations!$AT61,"")</f>
        <v/>
      </c>
      <c r="L88" s="20" t="str">
        <f>IF(Calculations!$BQ61='Macro References'!L$86,Calculations!$AT61,"")</f>
        <v/>
      </c>
      <c r="M88" s="20" t="str">
        <f>IF(Calculations!$BQ61='Macro References'!M$86,Calculations!$AT61,"")</f>
        <v/>
      </c>
      <c r="N88" s="20" t="str">
        <f>IF(Calculations!$BQ61='Macro References'!N$86,Calculations!$AT61,"")</f>
        <v/>
      </c>
      <c r="O88" s="20" t="str">
        <f>IF(Calculations!$BQ61='Macro References'!O$86,Calculations!$AT61,"")</f>
        <v/>
      </c>
      <c r="P88" s="20" t="str">
        <f>IF(Calculations!$BQ61='Macro References'!P$86,Calculations!$AT61,"")</f>
        <v/>
      </c>
      <c r="Q88" s="20" t="str">
        <f>IF(Calculations!$BQ61='Macro References'!Q$86,Calculations!$AT61,"")</f>
        <v/>
      </c>
      <c r="R88" s="20" t="str">
        <f>IF(Calculations!$BQ61='Macro References'!R$86,Calculations!$AT61,"")</f>
        <v/>
      </c>
      <c r="S88" s="20" t="str">
        <f>IF(Calculations!$BQ61='Macro References'!S$86,Calculations!$AT61,"")</f>
        <v/>
      </c>
      <c r="T88" s="20" t="str">
        <f>IF(Calculations!$BQ61='Macro References'!T$86,Calculations!$AT61,"")</f>
        <v/>
      </c>
      <c r="U88" s="20" t="str">
        <f>IF(Calculations!$BQ61='Macro References'!U$86,Calculations!$AT61,"")</f>
        <v/>
      </c>
      <c r="V88" s="20" t="str">
        <f>IF(Calculations!$BQ61='Macro References'!V$86,Calculations!$AT61,"")</f>
        <v/>
      </c>
      <c r="W88" s="20" t="str">
        <f>IF(Calculations!$BQ61='Macro References'!W$86,Calculations!$AT61,"")</f>
        <v/>
      </c>
      <c r="X88" s="20" t="str">
        <f>IF(Calculations!$BQ61='Macro References'!X$86,Calculations!$AT61,"")</f>
        <v/>
      </c>
      <c r="Y88" s="20" t="str">
        <f>IF(Calculations!$BQ61='Macro References'!Y$86,Calculations!$AT61,"")</f>
        <v/>
      </c>
      <c r="Z88" s="20" t="str">
        <f>IF(Calculations!$BQ61='Macro References'!Z$86,Calculations!$AT61,"")</f>
        <v/>
      </c>
      <c r="AA88" s="20" t="str">
        <f>IF(Calculations!$BQ61='Macro References'!AA$86,Calculations!$AT61,"")</f>
        <v/>
      </c>
      <c r="AB88" s="20" t="str">
        <f>IF(Calculations!$BQ61='Macro References'!AB$86,Calculations!$AT61,"")</f>
        <v/>
      </c>
      <c r="AC88" s="20" t="str">
        <f>IF(Calculations!$BQ61='Macro References'!AC$86,Calculations!$AT61,"")</f>
        <v/>
      </c>
      <c r="AD88" s="20" t="str">
        <f>IF(Calculations!$BQ61='Macro References'!AD$86,Calculations!$AT61,"")</f>
        <v/>
      </c>
      <c r="AE88" s="20" t="str">
        <f>IF(Calculations!$BQ61='Macro References'!AE$86,Calculations!$AT61,"")</f>
        <v/>
      </c>
      <c r="BA88" s="1">
        <v>14</v>
      </c>
      <c r="BB88" s="1" t="e">
        <f>VLOOKUP(BA88,Results!$C$5:$H$104,5,FALSE)</f>
        <v>#N/A</v>
      </c>
      <c r="BC88" s="65">
        <f t="shared" si="3"/>
        <v>14</v>
      </c>
    </row>
    <row r="89" spans="1:55" x14ac:dyDescent="0.2">
      <c r="A89" s="1">
        <v>3</v>
      </c>
      <c r="B89" s="20" t="str">
        <f>IF(Calculations!$BQ62='Macro References'!B$86,Calculations!$AT62,"")</f>
        <v/>
      </c>
      <c r="C89" s="20" t="str">
        <f>IF(Calculations!$BQ62='Macro References'!C$86,Calculations!$AT62,"")</f>
        <v/>
      </c>
      <c r="D89" s="20" t="str">
        <f>IF(Calculations!$BQ62='Macro References'!D$86,Calculations!$AT62,"")</f>
        <v/>
      </c>
      <c r="E89" s="20" t="str">
        <f>IF(Calculations!$BQ62='Macro References'!E$86,Calculations!$AT62,"")</f>
        <v/>
      </c>
      <c r="F89" s="20" t="str">
        <f>IF(Calculations!$BQ62='Macro References'!F$86,Calculations!$AT62,"")</f>
        <v/>
      </c>
      <c r="G89" s="20" t="str">
        <f>IF(Calculations!$BQ62='Macro References'!G$86,Calculations!$AT62,"")</f>
        <v/>
      </c>
      <c r="H89" s="20" t="str">
        <f>IF(Calculations!$BQ62='Macro References'!H$86,Calculations!$AT62,"")</f>
        <v/>
      </c>
      <c r="I89" s="20" t="str">
        <f>IF(Calculations!$BQ62='Macro References'!I$86,Calculations!$AT62,"")</f>
        <v/>
      </c>
      <c r="J89" s="20" t="str">
        <f>IF(Calculations!$BQ62='Macro References'!J$86,Calculations!$AT62,"")</f>
        <v/>
      </c>
      <c r="K89" s="20" t="str">
        <f>IF(Calculations!$BQ62='Macro References'!K$86,Calculations!$AT62,"")</f>
        <v/>
      </c>
      <c r="L89" s="20" t="str">
        <f>IF(Calculations!$BQ62='Macro References'!L$86,Calculations!$AT62,"")</f>
        <v/>
      </c>
      <c r="M89" s="20" t="str">
        <f>IF(Calculations!$BQ62='Macro References'!M$86,Calculations!$AT62,"")</f>
        <v/>
      </c>
      <c r="N89" s="20" t="str">
        <f>IF(Calculations!$BQ62='Macro References'!N$86,Calculations!$AT62,"")</f>
        <v/>
      </c>
      <c r="O89" s="20" t="str">
        <f>IF(Calculations!$BQ62='Macro References'!O$86,Calculations!$AT62,"")</f>
        <v/>
      </c>
      <c r="P89" s="20" t="str">
        <f>IF(Calculations!$BQ62='Macro References'!P$86,Calculations!$AT62,"")</f>
        <v/>
      </c>
      <c r="Q89" s="20" t="str">
        <f>IF(Calculations!$BQ62='Macro References'!Q$86,Calculations!$AT62,"")</f>
        <v/>
      </c>
      <c r="R89" s="20" t="str">
        <f>IF(Calculations!$BQ62='Macro References'!R$86,Calculations!$AT62,"")</f>
        <v/>
      </c>
      <c r="S89" s="20" t="str">
        <f>IF(Calculations!$BQ62='Macro References'!S$86,Calculations!$AT62,"")</f>
        <v/>
      </c>
      <c r="T89" s="20" t="str">
        <f>IF(Calculations!$BQ62='Macro References'!T$86,Calculations!$AT62,"")</f>
        <v/>
      </c>
      <c r="U89" s="20" t="str">
        <f>IF(Calculations!$BQ62='Macro References'!U$86,Calculations!$AT62,"")</f>
        <v/>
      </c>
      <c r="V89" s="20" t="str">
        <f>IF(Calculations!$BQ62='Macro References'!V$86,Calculations!$AT62,"")</f>
        <v/>
      </c>
      <c r="W89" s="20" t="str">
        <f>IF(Calculations!$BQ62='Macro References'!W$86,Calculations!$AT62,"")</f>
        <v/>
      </c>
      <c r="X89" s="20" t="str">
        <f>IF(Calculations!$BQ62='Macro References'!X$86,Calculations!$AT62,"")</f>
        <v/>
      </c>
      <c r="Y89" s="20" t="str">
        <f>IF(Calculations!$BQ62='Macro References'!Y$86,Calculations!$AT62,"")</f>
        <v/>
      </c>
      <c r="Z89" s="20" t="str">
        <f>IF(Calculations!$BQ62='Macro References'!Z$86,Calculations!$AT62,"")</f>
        <v/>
      </c>
      <c r="AA89" s="20" t="str">
        <f>IF(Calculations!$BQ62='Macro References'!AA$86,Calculations!$AT62,"")</f>
        <v/>
      </c>
      <c r="AB89" s="20" t="str">
        <f>IF(Calculations!$BQ62='Macro References'!AB$86,Calculations!$AT62,"")</f>
        <v/>
      </c>
      <c r="AC89" s="20" t="str">
        <f>IF(Calculations!$BQ62='Macro References'!AC$86,Calculations!$AT62,"")</f>
        <v/>
      </c>
      <c r="AD89" s="20" t="str">
        <f>IF(Calculations!$BQ62='Macro References'!AD$86,Calculations!$AT62,"")</f>
        <v/>
      </c>
      <c r="AE89" s="20" t="str">
        <f>IF(Calculations!$BQ62='Macro References'!AE$86,Calculations!$AT62,"")</f>
        <v/>
      </c>
      <c r="BA89" s="1">
        <v>13</v>
      </c>
      <c r="BB89" s="1" t="e">
        <f>VLOOKUP(BA89,Results!$C$5:$H$104,5,FALSE)</f>
        <v>#N/A</v>
      </c>
      <c r="BC89" s="65">
        <f t="shared" si="3"/>
        <v>13</v>
      </c>
    </row>
    <row r="90" spans="1:55" x14ac:dyDescent="0.2">
      <c r="A90" s="1">
        <v>4</v>
      </c>
      <c r="B90" s="20" t="str">
        <f>IF(Calculations!$BQ63='Macro References'!B$86,Calculations!$AT63,"")</f>
        <v/>
      </c>
      <c r="C90" s="20" t="str">
        <f>IF(Calculations!$BQ63='Macro References'!C$86,Calculations!$AT63,"")</f>
        <v/>
      </c>
      <c r="D90" s="20" t="str">
        <f>IF(Calculations!$BQ63='Macro References'!D$86,Calculations!$AT63,"")</f>
        <v/>
      </c>
      <c r="E90" s="20" t="str">
        <f>IF(Calculations!$BQ63='Macro References'!E$86,Calculations!$AT63,"")</f>
        <v/>
      </c>
      <c r="F90" s="20" t="str">
        <f>IF(Calculations!$BQ63='Macro References'!F$86,Calculations!$AT63,"")</f>
        <v/>
      </c>
      <c r="G90" s="20" t="str">
        <f>IF(Calculations!$BQ63='Macro References'!G$86,Calculations!$AT63,"")</f>
        <v/>
      </c>
      <c r="H90" s="20" t="str">
        <f>IF(Calculations!$BQ63='Macro References'!H$86,Calculations!$AT63,"")</f>
        <v/>
      </c>
      <c r="I90" s="20" t="str">
        <f>IF(Calculations!$BQ63='Macro References'!I$86,Calculations!$AT63,"")</f>
        <v/>
      </c>
      <c r="J90" s="20" t="str">
        <f>IF(Calculations!$BQ63='Macro References'!J$86,Calculations!$AT63,"")</f>
        <v/>
      </c>
      <c r="K90" s="20" t="str">
        <f>IF(Calculations!$BQ63='Macro References'!K$86,Calculations!$AT63,"")</f>
        <v/>
      </c>
      <c r="L90" s="20" t="str">
        <f>IF(Calculations!$BQ63='Macro References'!L$86,Calculations!$AT63,"")</f>
        <v/>
      </c>
      <c r="M90" s="20" t="str">
        <f>IF(Calculations!$BQ63='Macro References'!M$86,Calculations!$AT63,"")</f>
        <v/>
      </c>
      <c r="N90" s="20" t="str">
        <f>IF(Calculations!$BQ63='Macro References'!N$86,Calculations!$AT63,"")</f>
        <v/>
      </c>
      <c r="O90" s="20" t="str">
        <f>IF(Calculations!$BQ63='Macro References'!O$86,Calculations!$AT63,"")</f>
        <v/>
      </c>
      <c r="P90" s="20" t="str">
        <f>IF(Calculations!$BQ63='Macro References'!P$86,Calculations!$AT63,"")</f>
        <v/>
      </c>
      <c r="Q90" s="20" t="str">
        <f>IF(Calculations!$BQ63='Macro References'!Q$86,Calculations!$AT63,"")</f>
        <v/>
      </c>
      <c r="R90" s="20" t="str">
        <f>IF(Calculations!$BQ63='Macro References'!R$86,Calculations!$AT63,"")</f>
        <v/>
      </c>
      <c r="S90" s="20" t="str">
        <f>IF(Calculations!$BQ63='Macro References'!S$86,Calculations!$AT63,"")</f>
        <v/>
      </c>
      <c r="T90" s="20" t="str">
        <f>IF(Calculations!$BQ63='Macro References'!T$86,Calculations!$AT63,"")</f>
        <v/>
      </c>
      <c r="U90" s="20" t="str">
        <f>IF(Calculations!$BQ63='Macro References'!U$86,Calculations!$AT63,"")</f>
        <v/>
      </c>
      <c r="V90" s="20" t="str">
        <f>IF(Calculations!$BQ63='Macro References'!V$86,Calculations!$AT63,"")</f>
        <v/>
      </c>
      <c r="W90" s="20" t="str">
        <f>IF(Calculations!$BQ63='Macro References'!W$86,Calculations!$AT63,"")</f>
        <v/>
      </c>
      <c r="X90" s="20" t="str">
        <f>IF(Calculations!$BQ63='Macro References'!X$86,Calculations!$AT63,"")</f>
        <v/>
      </c>
      <c r="Y90" s="20" t="str">
        <f>IF(Calculations!$BQ63='Macro References'!Y$86,Calculations!$AT63,"")</f>
        <v/>
      </c>
      <c r="Z90" s="20" t="str">
        <f>IF(Calculations!$BQ63='Macro References'!Z$86,Calculations!$AT63,"")</f>
        <v/>
      </c>
      <c r="AA90" s="20" t="str">
        <f>IF(Calculations!$BQ63='Macro References'!AA$86,Calculations!$AT63,"")</f>
        <v/>
      </c>
      <c r="AB90" s="20" t="str">
        <f>IF(Calculations!$BQ63='Macro References'!AB$86,Calculations!$AT63,"")</f>
        <v/>
      </c>
      <c r="AC90" s="20" t="str">
        <f>IF(Calculations!$BQ63='Macro References'!AC$86,Calculations!$AT63,"")</f>
        <v/>
      </c>
      <c r="AD90" s="20" t="str">
        <f>IF(Calculations!$BQ63='Macro References'!AD$86,Calculations!$AT63,"")</f>
        <v/>
      </c>
      <c r="AE90" s="20" t="str">
        <f>IF(Calculations!$BQ63='Macro References'!AE$86,Calculations!$AT63,"")</f>
        <v/>
      </c>
      <c r="BA90" s="1">
        <v>12</v>
      </c>
      <c r="BB90" s="1" t="e">
        <f>VLOOKUP(BA90,Results!$C$5:$H$104,5,FALSE)</f>
        <v>#N/A</v>
      </c>
      <c r="BC90" s="65">
        <f t="shared" si="3"/>
        <v>12</v>
      </c>
    </row>
    <row r="91" spans="1:55" x14ac:dyDescent="0.2">
      <c r="A91" s="1">
        <v>5</v>
      </c>
      <c r="B91" s="20" t="str">
        <f>IF(Calculations!$BQ64='Macro References'!B$86,Calculations!$AT64,"")</f>
        <v/>
      </c>
      <c r="C91" s="20" t="str">
        <f>IF(Calculations!$BQ64='Macro References'!C$86,Calculations!$AT64,"")</f>
        <v/>
      </c>
      <c r="D91" s="20" t="str">
        <f>IF(Calculations!$BQ64='Macro References'!D$86,Calculations!$AT64,"")</f>
        <v/>
      </c>
      <c r="E91" s="20" t="str">
        <f>IF(Calculations!$BQ64='Macro References'!E$86,Calculations!$AT64,"")</f>
        <v/>
      </c>
      <c r="F91" s="20" t="str">
        <f>IF(Calculations!$BQ64='Macro References'!F$86,Calculations!$AT64,"")</f>
        <v/>
      </c>
      <c r="G91" s="20" t="str">
        <f>IF(Calculations!$BQ64='Macro References'!G$86,Calculations!$AT64,"")</f>
        <v/>
      </c>
      <c r="H91" s="20" t="str">
        <f>IF(Calculations!$BQ64='Macro References'!H$86,Calculations!$AT64,"")</f>
        <v/>
      </c>
      <c r="I91" s="20" t="str">
        <f>IF(Calculations!$BQ64='Macro References'!I$86,Calculations!$AT64,"")</f>
        <v/>
      </c>
      <c r="J91" s="20" t="str">
        <f>IF(Calculations!$BQ64='Macro References'!J$86,Calculations!$AT64,"")</f>
        <v/>
      </c>
      <c r="K91" s="20" t="str">
        <f>IF(Calculations!$BQ64='Macro References'!K$86,Calculations!$AT64,"")</f>
        <v/>
      </c>
      <c r="L91" s="20" t="str">
        <f>IF(Calculations!$BQ64='Macro References'!L$86,Calculations!$AT64,"")</f>
        <v/>
      </c>
      <c r="M91" s="20" t="str">
        <f>IF(Calculations!$BQ64='Macro References'!M$86,Calculations!$AT64,"")</f>
        <v/>
      </c>
      <c r="N91" s="20" t="str">
        <f>IF(Calculations!$BQ64='Macro References'!N$86,Calculations!$AT64,"")</f>
        <v/>
      </c>
      <c r="O91" s="20" t="str">
        <f>IF(Calculations!$BQ64='Macro References'!O$86,Calculations!$AT64,"")</f>
        <v/>
      </c>
      <c r="P91" s="20" t="str">
        <f>IF(Calculations!$BQ64='Macro References'!P$86,Calculations!$AT64,"")</f>
        <v/>
      </c>
      <c r="Q91" s="20" t="str">
        <f>IF(Calculations!$BQ64='Macro References'!Q$86,Calculations!$AT64,"")</f>
        <v/>
      </c>
      <c r="R91" s="20" t="str">
        <f>IF(Calculations!$BQ64='Macro References'!R$86,Calculations!$AT64,"")</f>
        <v/>
      </c>
      <c r="S91" s="20" t="str">
        <f>IF(Calculations!$BQ64='Macro References'!S$86,Calculations!$AT64,"")</f>
        <v/>
      </c>
      <c r="T91" s="20" t="str">
        <f>IF(Calculations!$BQ64='Macro References'!T$86,Calculations!$AT64,"")</f>
        <v/>
      </c>
      <c r="U91" s="20" t="str">
        <f>IF(Calculations!$BQ64='Macro References'!U$86,Calculations!$AT64,"")</f>
        <v/>
      </c>
      <c r="V91" s="20" t="str">
        <f>IF(Calculations!$BQ64='Macro References'!V$86,Calculations!$AT64,"")</f>
        <v/>
      </c>
      <c r="W91" s="20" t="str">
        <f>IF(Calculations!$BQ64='Macro References'!W$86,Calculations!$AT64,"")</f>
        <v/>
      </c>
      <c r="X91" s="20" t="str">
        <f>IF(Calculations!$BQ64='Macro References'!X$86,Calculations!$AT64,"")</f>
        <v/>
      </c>
      <c r="Y91" s="20" t="str">
        <f>IF(Calculations!$BQ64='Macro References'!Y$86,Calculations!$AT64,"")</f>
        <v/>
      </c>
      <c r="Z91" s="20" t="str">
        <f>IF(Calculations!$BQ64='Macro References'!Z$86,Calculations!$AT64,"")</f>
        <v/>
      </c>
      <c r="AA91" s="20" t="str">
        <f>IF(Calculations!$BQ64='Macro References'!AA$86,Calculations!$AT64,"")</f>
        <v/>
      </c>
      <c r="AB91" s="20" t="str">
        <f>IF(Calculations!$BQ64='Macro References'!AB$86,Calculations!$AT64,"")</f>
        <v/>
      </c>
      <c r="AC91" s="20" t="str">
        <f>IF(Calculations!$BQ64='Macro References'!AC$86,Calculations!$AT64,"")</f>
        <v/>
      </c>
      <c r="AD91" s="20" t="str">
        <f>IF(Calculations!$BQ64='Macro References'!AD$86,Calculations!$AT64,"")</f>
        <v/>
      </c>
      <c r="AE91" s="20" t="str">
        <f>IF(Calculations!$BQ64='Macro References'!AE$86,Calculations!$AT64,"")</f>
        <v/>
      </c>
      <c r="BA91" s="1">
        <v>11</v>
      </c>
      <c r="BB91" s="1" t="e">
        <f>VLOOKUP(BA91,Results!$C$5:$H$104,5,FALSE)</f>
        <v>#N/A</v>
      </c>
      <c r="BC91" s="65">
        <f t="shared" si="3"/>
        <v>11</v>
      </c>
    </row>
    <row r="92" spans="1:55" x14ac:dyDescent="0.2">
      <c r="A92" s="1">
        <v>6</v>
      </c>
      <c r="B92" s="20" t="str">
        <f>IF(Calculations!$BQ65='Macro References'!B$86,Calculations!$AT65,"")</f>
        <v/>
      </c>
      <c r="C92" s="20" t="str">
        <f>IF(Calculations!$BQ65='Macro References'!C$86,Calculations!$AT65,"")</f>
        <v/>
      </c>
      <c r="D92" s="20" t="str">
        <f>IF(Calculations!$BQ65='Macro References'!D$86,Calculations!$AT65,"")</f>
        <v/>
      </c>
      <c r="E92" s="20" t="str">
        <f>IF(Calculations!$BQ65='Macro References'!E$86,Calculations!$AT65,"")</f>
        <v/>
      </c>
      <c r="F92" s="20" t="str">
        <f>IF(Calculations!$BQ65='Macro References'!F$86,Calculations!$AT65,"")</f>
        <v/>
      </c>
      <c r="G92" s="20" t="str">
        <f>IF(Calculations!$BQ65='Macro References'!G$86,Calculations!$AT65,"")</f>
        <v/>
      </c>
      <c r="H92" s="20" t="str">
        <f>IF(Calculations!$BQ65='Macro References'!H$86,Calculations!$AT65,"")</f>
        <v/>
      </c>
      <c r="I92" s="20" t="str">
        <f>IF(Calculations!$BQ65='Macro References'!I$86,Calculations!$AT65,"")</f>
        <v/>
      </c>
      <c r="J92" s="20" t="str">
        <f>IF(Calculations!$BQ65='Macro References'!J$86,Calculations!$AT65,"")</f>
        <v/>
      </c>
      <c r="K92" s="20" t="str">
        <f>IF(Calculations!$BQ65='Macro References'!K$86,Calculations!$AT65,"")</f>
        <v/>
      </c>
      <c r="L92" s="20" t="str">
        <f>IF(Calculations!$BQ65='Macro References'!L$86,Calculations!$AT65,"")</f>
        <v/>
      </c>
      <c r="M92" s="20" t="str">
        <f>IF(Calculations!$BQ65='Macro References'!M$86,Calculations!$AT65,"")</f>
        <v/>
      </c>
      <c r="N92" s="20" t="str">
        <f>IF(Calculations!$BQ65='Macro References'!N$86,Calculations!$AT65,"")</f>
        <v/>
      </c>
      <c r="O92" s="20" t="str">
        <f>IF(Calculations!$BQ65='Macro References'!O$86,Calculations!$AT65,"")</f>
        <v/>
      </c>
      <c r="P92" s="20" t="str">
        <f>IF(Calculations!$BQ65='Macro References'!P$86,Calculations!$AT65,"")</f>
        <v/>
      </c>
      <c r="Q92" s="20" t="str">
        <f>IF(Calculations!$BQ65='Macro References'!Q$86,Calculations!$AT65,"")</f>
        <v/>
      </c>
      <c r="R92" s="20" t="str">
        <f>IF(Calculations!$BQ65='Macro References'!R$86,Calculations!$AT65,"")</f>
        <v/>
      </c>
      <c r="S92" s="20" t="str">
        <f>IF(Calculations!$BQ65='Macro References'!S$86,Calculations!$AT65,"")</f>
        <v/>
      </c>
      <c r="T92" s="20" t="str">
        <f>IF(Calculations!$BQ65='Macro References'!T$86,Calculations!$AT65,"")</f>
        <v/>
      </c>
      <c r="U92" s="20" t="str">
        <f>IF(Calculations!$BQ65='Macro References'!U$86,Calculations!$AT65,"")</f>
        <v/>
      </c>
      <c r="V92" s="20" t="str">
        <f>IF(Calculations!$BQ65='Macro References'!V$86,Calculations!$AT65,"")</f>
        <v/>
      </c>
      <c r="W92" s="20" t="str">
        <f>IF(Calculations!$BQ65='Macro References'!W$86,Calculations!$AT65,"")</f>
        <v/>
      </c>
      <c r="X92" s="20" t="str">
        <f>IF(Calculations!$BQ65='Macro References'!X$86,Calculations!$AT65,"")</f>
        <v/>
      </c>
      <c r="Y92" s="20" t="str">
        <f>IF(Calculations!$BQ65='Macro References'!Y$86,Calculations!$AT65,"")</f>
        <v/>
      </c>
      <c r="Z92" s="20" t="str">
        <f>IF(Calculations!$BQ65='Macro References'!Z$86,Calculations!$AT65,"")</f>
        <v/>
      </c>
      <c r="AA92" s="20" t="str">
        <f>IF(Calculations!$BQ65='Macro References'!AA$86,Calculations!$AT65,"")</f>
        <v/>
      </c>
      <c r="AB92" s="20" t="str">
        <f>IF(Calculations!$BQ65='Macro References'!AB$86,Calculations!$AT65,"")</f>
        <v/>
      </c>
      <c r="AC92" s="20" t="str">
        <f>IF(Calculations!$BQ65='Macro References'!AC$86,Calculations!$AT65,"")</f>
        <v/>
      </c>
      <c r="AD92" s="20" t="str">
        <f>IF(Calculations!$BQ65='Macro References'!AD$86,Calculations!$AT65,"")</f>
        <v/>
      </c>
      <c r="AE92" s="20" t="str">
        <f>IF(Calculations!$BQ65='Macro References'!AE$86,Calculations!$AT65,"")</f>
        <v/>
      </c>
      <c r="BA92" s="1">
        <v>10</v>
      </c>
      <c r="BB92" s="1" t="e">
        <f>VLOOKUP(BA92,Results!$C$5:$H$104,5,FALSE)</f>
        <v>#N/A</v>
      </c>
      <c r="BC92" s="65">
        <f t="shared" si="3"/>
        <v>10</v>
      </c>
    </row>
    <row r="93" spans="1:55" x14ac:dyDescent="0.2">
      <c r="A93" s="1">
        <v>7</v>
      </c>
      <c r="B93" s="20" t="str">
        <f>IF(Calculations!$BQ66='Macro References'!B$86,Calculations!$AT66,"")</f>
        <v/>
      </c>
      <c r="C93" s="20" t="str">
        <f>IF(Calculations!$BQ66='Macro References'!C$86,Calculations!$AT66,"")</f>
        <v/>
      </c>
      <c r="D93" s="20" t="str">
        <f>IF(Calculations!$BQ66='Macro References'!D$86,Calculations!$AT66,"")</f>
        <v/>
      </c>
      <c r="E93" s="20" t="str">
        <f>IF(Calculations!$BQ66='Macro References'!E$86,Calculations!$AT66,"")</f>
        <v/>
      </c>
      <c r="F93" s="20" t="str">
        <f>IF(Calculations!$BQ66='Macro References'!F$86,Calculations!$AT66,"")</f>
        <v/>
      </c>
      <c r="G93" s="20" t="str">
        <f>IF(Calculations!$BQ66='Macro References'!G$86,Calculations!$AT66,"")</f>
        <v/>
      </c>
      <c r="H93" s="20" t="str">
        <f>IF(Calculations!$BQ66='Macro References'!H$86,Calculations!$AT66,"")</f>
        <v/>
      </c>
      <c r="I93" s="20" t="str">
        <f>IF(Calculations!$BQ66='Macro References'!I$86,Calculations!$AT66,"")</f>
        <v/>
      </c>
      <c r="J93" s="20" t="str">
        <f>IF(Calculations!$BQ66='Macro References'!J$86,Calculations!$AT66,"")</f>
        <v/>
      </c>
      <c r="K93" s="20" t="str">
        <f>IF(Calculations!$BQ66='Macro References'!K$86,Calculations!$AT66,"")</f>
        <v/>
      </c>
      <c r="L93" s="20" t="str">
        <f>IF(Calculations!$BQ66='Macro References'!L$86,Calculations!$AT66,"")</f>
        <v/>
      </c>
      <c r="M93" s="20" t="str">
        <f>IF(Calculations!$BQ66='Macro References'!M$86,Calculations!$AT66,"")</f>
        <v/>
      </c>
      <c r="N93" s="20" t="str">
        <f>IF(Calculations!$BQ66='Macro References'!N$86,Calculations!$AT66,"")</f>
        <v/>
      </c>
      <c r="O93" s="20" t="str">
        <f>IF(Calculations!$BQ66='Macro References'!O$86,Calculations!$AT66,"")</f>
        <v/>
      </c>
      <c r="P93" s="20" t="str">
        <f>IF(Calculations!$BQ66='Macro References'!P$86,Calculations!$AT66,"")</f>
        <v/>
      </c>
      <c r="Q93" s="20" t="str">
        <f>IF(Calculations!$BQ66='Macro References'!Q$86,Calculations!$AT66,"")</f>
        <v/>
      </c>
      <c r="R93" s="20" t="str">
        <f>IF(Calculations!$BQ66='Macro References'!R$86,Calculations!$AT66,"")</f>
        <v/>
      </c>
      <c r="S93" s="20" t="str">
        <f>IF(Calculations!$BQ66='Macro References'!S$86,Calculations!$AT66,"")</f>
        <v/>
      </c>
      <c r="T93" s="20" t="str">
        <f>IF(Calculations!$BQ66='Macro References'!T$86,Calculations!$AT66,"")</f>
        <v/>
      </c>
      <c r="U93" s="20" t="str">
        <f>IF(Calculations!$BQ66='Macro References'!U$86,Calculations!$AT66,"")</f>
        <v/>
      </c>
      <c r="V93" s="20" t="str">
        <f>IF(Calculations!$BQ66='Macro References'!V$86,Calculations!$AT66,"")</f>
        <v/>
      </c>
      <c r="W93" s="20" t="str">
        <f>IF(Calculations!$BQ66='Macro References'!W$86,Calculations!$AT66,"")</f>
        <v/>
      </c>
      <c r="X93" s="20" t="str">
        <f>IF(Calculations!$BQ66='Macro References'!X$86,Calculations!$AT66,"")</f>
        <v/>
      </c>
      <c r="Y93" s="20" t="str">
        <f>IF(Calculations!$BQ66='Macro References'!Y$86,Calculations!$AT66,"")</f>
        <v/>
      </c>
      <c r="Z93" s="20" t="str">
        <f>IF(Calculations!$BQ66='Macro References'!Z$86,Calculations!$AT66,"")</f>
        <v/>
      </c>
      <c r="AA93" s="20" t="str">
        <f>IF(Calculations!$BQ66='Macro References'!AA$86,Calculations!$AT66,"")</f>
        <v/>
      </c>
      <c r="AB93" s="20" t="str">
        <f>IF(Calculations!$BQ66='Macro References'!AB$86,Calculations!$AT66,"")</f>
        <v/>
      </c>
      <c r="AC93" s="20" t="str">
        <f>IF(Calculations!$BQ66='Macro References'!AC$86,Calculations!$AT66,"")</f>
        <v/>
      </c>
      <c r="AD93" s="20" t="str">
        <f>IF(Calculations!$BQ66='Macro References'!AD$86,Calculations!$AT66,"")</f>
        <v/>
      </c>
      <c r="AE93" s="20" t="str">
        <f>IF(Calculations!$BQ66='Macro References'!AE$86,Calculations!$AT66,"")</f>
        <v/>
      </c>
      <c r="BA93" s="1">
        <v>9</v>
      </c>
      <c r="BB93" s="1" t="e">
        <f>VLOOKUP(BA93,Results!$C$5:$H$104,5,FALSE)</f>
        <v>#N/A</v>
      </c>
      <c r="BC93" s="65">
        <f t="shared" si="3"/>
        <v>9</v>
      </c>
    </row>
    <row r="94" spans="1:55" x14ac:dyDescent="0.2">
      <c r="A94" s="1">
        <v>8</v>
      </c>
      <c r="B94" s="20" t="str">
        <f>IF(Calculations!$BQ67='Macro References'!B$86,Calculations!$AT67,"")</f>
        <v/>
      </c>
      <c r="C94" s="20" t="str">
        <f>IF(Calculations!$BQ67='Macro References'!C$86,Calculations!$AT67,"")</f>
        <v/>
      </c>
      <c r="D94" s="20" t="str">
        <f>IF(Calculations!$BQ67='Macro References'!D$86,Calculations!$AT67,"")</f>
        <v/>
      </c>
      <c r="E94" s="20" t="str">
        <f>IF(Calculations!$BQ67='Macro References'!E$86,Calculations!$AT67,"")</f>
        <v/>
      </c>
      <c r="F94" s="20" t="str">
        <f>IF(Calculations!$BQ67='Macro References'!F$86,Calculations!$AT67,"")</f>
        <v/>
      </c>
      <c r="G94" s="20" t="str">
        <f>IF(Calculations!$BQ67='Macro References'!G$86,Calculations!$AT67,"")</f>
        <v/>
      </c>
      <c r="H94" s="20" t="str">
        <f>IF(Calculations!$BQ67='Macro References'!H$86,Calculations!$AT67,"")</f>
        <v/>
      </c>
      <c r="I94" s="20" t="str">
        <f>IF(Calculations!$BQ67='Macro References'!I$86,Calculations!$AT67,"")</f>
        <v/>
      </c>
      <c r="J94" s="20" t="str">
        <f>IF(Calculations!$BQ67='Macro References'!J$86,Calculations!$AT67,"")</f>
        <v/>
      </c>
      <c r="K94" s="20" t="str">
        <f>IF(Calculations!$BQ67='Macro References'!K$86,Calculations!$AT67,"")</f>
        <v/>
      </c>
      <c r="L94" s="20" t="str">
        <f>IF(Calculations!$BQ67='Macro References'!L$86,Calculations!$AT67,"")</f>
        <v/>
      </c>
      <c r="M94" s="20" t="str">
        <f>IF(Calculations!$BQ67='Macro References'!M$86,Calculations!$AT67,"")</f>
        <v/>
      </c>
      <c r="N94" s="20" t="str">
        <f>IF(Calculations!$BQ67='Macro References'!N$86,Calculations!$AT67,"")</f>
        <v/>
      </c>
      <c r="O94" s="20" t="str">
        <f>IF(Calculations!$BQ67='Macro References'!O$86,Calculations!$AT67,"")</f>
        <v/>
      </c>
      <c r="P94" s="20" t="str">
        <f>IF(Calculations!$BQ67='Macro References'!P$86,Calculations!$AT67,"")</f>
        <v/>
      </c>
      <c r="Q94" s="20" t="str">
        <f>IF(Calculations!$BQ67='Macro References'!Q$86,Calculations!$AT67,"")</f>
        <v/>
      </c>
      <c r="R94" s="20" t="str">
        <f>IF(Calculations!$BQ67='Macro References'!R$86,Calculations!$AT67,"")</f>
        <v/>
      </c>
      <c r="S94" s="20" t="str">
        <f>IF(Calculations!$BQ67='Macro References'!S$86,Calculations!$AT67,"")</f>
        <v/>
      </c>
      <c r="T94" s="20" t="str">
        <f>IF(Calculations!$BQ67='Macro References'!T$86,Calculations!$AT67,"")</f>
        <v/>
      </c>
      <c r="U94" s="20" t="str">
        <f>IF(Calculations!$BQ67='Macro References'!U$86,Calculations!$AT67,"")</f>
        <v/>
      </c>
      <c r="V94" s="20" t="str">
        <f>IF(Calculations!$BQ67='Macro References'!V$86,Calculations!$AT67,"")</f>
        <v/>
      </c>
      <c r="W94" s="20" t="str">
        <f>IF(Calculations!$BQ67='Macro References'!W$86,Calculations!$AT67,"")</f>
        <v/>
      </c>
      <c r="X94" s="20" t="str">
        <f>IF(Calculations!$BQ67='Macro References'!X$86,Calculations!$AT67,"")</f>
        <v/>
      </c>
      <c r="Y94" s="20" t="str">
        <f>IF(Calculations!$BQ67='Macro References'!Y$86,Calculations!$AT67,"")</f>
        <v/>
      </c>
      <c r="Z94" s="20" t="str">
        <f>IF(Calculations!$BQ67='Macro References'!Z$86,Calculations!$AT67,"")</f>
        <v/>
      </c>
      <c r="AA94" s="20" t="str">
        <f>IF(Calculations!$BQ67='Macro References'!AA$86,Calculations!$AT67,"")</f>
        <v/>
      </c>
      <c r="AB94" s="20" t="str">
        <f>IF(Calculations!$BQ67='Macro References'!AB$86,Calculations!$AT67,"")</f>
        <v/>
      </c>
      <c r="AC94" s="20" t="str">
        <f>IF(Calculations!$BQ67='Macro References'!AC$86,Calculations!$AT67,"")</f>
        <v/>
      </c>
      <c r="AD94" s="20" t="str">
        <f>IF(Calculations!$BQ67='Macro References'!AD$86,Calculations!$AT67,"")</f>
        <v/>
      </c>
      <c r="AE94" s="20" t="str">
        <f>IF(Calculations!$BQ67='Macro References'!AE$86,Calculations!$AT67,"")</f>
        <v/>
      </c>
      <c r="BA94" s="1">
        <v>8</v>
      </c>
      <c r="BB94" s="1" t="e">
        <f>VLOOKUP(BA94,Results!$C$5:$H$104,5,FALSE)</f>
        <v>#N/A</v>
      </c>
      <c r="BC94" s="65">
        <f t="shared" si="3"/>
        <v>8</v>
      </c>
    </row>
    <row r="95" spans="1:55" x14ac:dyDescent="0.2">
      <c r="A95" s="1">
        <v>9</v>
      </c>
      <c r="B95" s="20" t="str">
        <f>IF(Calculations!$BQ68='Macro References'!B$86,Calculations!$AT68,"")</f>
        <v/>
      </c>
      <c r="C95" s="20" t="str">
        <f>IF(Calculations!$BQ68='Macro References'!C$86,Calculations!$AT68,"")</f>
        <v/>
      </c>
      <c r="D95" s="20" t="str">
        <f>IF(Calculations!$BQ68='Macro References'!D$86,Calculations!$AT68,"")</f>
        <v/>
      </c>
      <c r="E95" s="20" t="str">
        <f>IF(Calculations!$BQ68='Macro References'!E$86,Calculations!$AT68,"")</f>
        <v/>
      </c>
      <c r="F95" s="20" t="str">
        <f>IF(Calculations!$BQ68='Macro References'!F$86,Calculations!$AT68,"")</f>
        <v/>
      </c>
      <c r="G95" s="20" t="str">
        <f>IF(Calculations!$BQ68='Macro References'!G$86,Calculations!$AT68,"")</f>
        <v/>
      </c>
      <c r="H95" s="20" t="str">
        <f>IF(Calculations!$BQ68='Macro References'!H$86,Calculations!$AT68,"")</f>
        <v/>
      </c>
      <c r="I95" s="20" t="str">
        <f>IF(Calculations!$BQ68='Macro References'!I$86,Calculations!$AT68,"")</f>
        <v/>
      </c>
      <c r="J95" s="20" t="str">
        <f>IF(Calculations!$BQ68='Macro References'!J$86,Calculations!$AT68,"")</f>
        <v/>
      </c>
      <c r="K95" s="20" t="str">
        <f>IF(Calculations!$BQ68='Macro References'!K$86,Calculations!$AT68,"")</f>
        <v/>
      </c>
      <c r="L95" s="20" t="str">
        <f>IF(Calculations!$BQ68='Macro References'!L$86,Calculations!$AT68,"")</f>
        <v/>
      </c>
      <c r="M95" s="20" t="str">
        <f>IF(Calculations!$BQ68='Macro References'!M$86,Calculations!$AT68,"")</f>
        <v/>
      </c>
      <c r="N95" s="20" t="str">
        <f>IF(Calculations!$BQ68='Macro References'!N$86,Calculations!$AT68,"")</f>
        <v/>
      </c>
      <c r="O95" s="20" t="str">
        <f>IF(Calculations!$BQ68='Macro References'!O$86,Calculations!$AT68,"")</f>
        <v/>
      </c>
      <c r="P95" s="20" t="str">
        <f>IF(Calculations!$BQ68='Macro References'!P$86,Calculations!$AT68,"")</f>
        <v/>
      </c>
      <c r="Q95" s="20" t="str">
        <f>IF(Calculations!$BQ68='Macro References'!Q$86,Calculations!$AT68,"")</f>
        <v/>
      </c>
      <c r="R95" s="20" t="str">
        <f>IF(Calculations!$BQ68='Macro References'!R$86,Calculations!$AT68,"")</f>
        <v/>
      </c>
      <c r="S95" s="20" t="str">
        <f>IF(Calculations!$BQ68='Macro References'!S$86,Calculations!$AT68,"")</f>
        <v/>
      </c>
      <c r="T95" s="20" t="str">
        <f>IF(Calculations!$BQ68='Macro References'!T$86,Calculations!$AT68,"")</f>
        <v/>
      </c>
      <c r="U95" s="20" t="str">
        <f>IF(Calculations!$BQ68='Macro References'!U$86,Calculations!$AT68,"")</f>
        <v/>
      </c>
      <c r="V95" s="20" t="str">
        <f>IF(Calculations!$BQ68='Macro References'!V$86,Calculations!$AT68,"")</f>
        <v/>
      </c>
      <c r="W95" s="20" t="str">
        <f>IF(Calculations!$BQ68='Macro References'!W$86,Calculations!$AT68,"")</f>
        <v/>
      </c>
      <c r="X95" s="20" t="str">
        <f>IF(Calculations!$BQ68='Macro References'!X$86,Calculations!$AT68,"")</f>
        <v/>
      </c>
      <c r="Y95" s="20" t="str">
        <f>IF(Calculations!$BQ68='Macro References'!Y$86,Calculations!$AT68,"")</f>
        <v/>
      </c>
      <c r="Z95" s="20" t="str">
        <f>IF(Calculations!$BQ68='Macro References'!Z$86,Calculations!$AT68,"")</f>
        <v/>
      </c>
      <c r="AA95" s="20" t="str">
        <f>IF(Calculations!$BQ68='Macro References'!AA$86,Calculations!$AT68,"")</f>
        <v/>
      </c>
      <c r="AB95" s="20" t="str">
        <f>IF(Calculations!$BQ68='Macro References'!AB$86,Calculations!$AT68,"")</f>
        <v/>
      </c>
      <c r="AC95" s="20" t="str">
        <f>IF(Calculations!$BQ68='Macro References'!AC$86,Calculations!$AT68,"")</f>
        <v/>
      </c>
      <c r="AD95" s="20" t="str">
        <f>IF(Calculations!$BQ68='Macro References'!AD$86,Calculations!$AT68,"")</f>
        <v/>
      </c>
      <c r="AE95" s="20" t="str">
        <f>IF(Calculations!$BQ68='Macro References'!AE$86,Calculations!$AT68,"")</f>
        <v/>
      </c>
      <c r="BA95" s="1">
        <v>7</v>
      </c>
      <c r="BB95" s="1" t="e">
        <f>VLOOKUP(BA95,Results!$C$5:$H$104,5,FALSE)</f>
        <v>#N/A</v>
      </c>
      <c r="BC95" s="65">
        <f t="shared" si="3"/>
        <v>7</v>
      </c>
    </row>
    <row r="96" spans="1:55" x14ac:dyDescent="0.2">
      <c r="A96" s="1">
        <v>10</v>
      </c>
      <c r="B96" s="20" t="str">
        <f>IF(Calculations!$BQ69='Macro References'!B$86,Calculations!$AT69,"")</f>
        <v/>
      </c>
      <c r="C96" s="20" t="str">
        <f>IF(Calculations!$BQ69='Macro References'!C$86,Calculations!$AT69,"")</f>
        <v/>
      </c>
      <c r="D96" s="20" t="str">
        <f>IF(Calculations!$BQ69='Macro References'!D$86,Calculations!$AT69,"")</f>
        <v/>
      </c>
      <c r="E96" s="20" t="str">
        <f>IF(Calculations!$BQ69='Macro References'!E$86,Calculations!$AT69,"")</f>
        <v/>
      </c>
      <c r="F96" s="20" t="str">
        <f>IF(Calculations!$BQ69='Macro References'!F$86,Calculations!$AT69,"")</f>
        <v/>
      </c>
      <c r="G96" s="20" t="str">
        <f>IF(Calculations!$BQ69='Macro References'!G$86,Calculations!$AT69,"")</f>
        <v/>
      </c>
      <c r="H96" s="20" t="str">
        <f>IF(Calculations!$BQ69='Macro References'!H$86,Calculations!$AT69,"")</f>
        <v/>
      </c>
      <c r="I96" s="20" t="str">
        <f>IF(Calculations!$BQ69='Macro References'!I$86,Calculations!$AT69,"")</f>
        <v/>
      </c>
      <c r="J96" s="20" t="str">
        <f>IF(Calculations!$BQ69='Macro References'!J$86,Calculations!$AT69,"")</f>
        <v/>
      </c>
      <c r="K96" s="20" t="str">
        <f>IF(Calculations!$BQ69='Macro References'!K$86,Calculations!$AT69,"")</f>
        <v/>
      </c>
      <c r="L96" s="20" t="str">
        <f>IF(Calculations!$BQ69='Macro References'!L$86,Calculations!$AT69,"")</f>
        <v/>
      </c>
      <c r="M96" s="20" t="str">
        <f>IF(Calculations!$BQ69='Macro References'!M$86,Calculations!$AT69,"")</f>
        <v/>
      </c>
      <c r="N96" s="20" t="str">
        <f>IF(Calculations!$BQ69='Macro References'!N$86,Calculations!$AT69,"")</f>
        <v/>
      </c>
      <c r="O96" s="20" t="str">
        <f>IF(Calculations!$BQ69='Macro References'!O$86,Calculations!$AT69,"")</f>
        <v/>
      </c>
      <c r="P96" s="20" t="str">
        <f>IF(Calculations!$BQ69='Macro References'!P$86,Calculations!$AT69,"")</f>
        <v/>
      </c>
      <c r="Q96" s="20" t="str">
        <f>IF(Calculations!$BQ69='Macro References'!Q$86,Calculations!$AT69,"")</f>
        <v/>
      </c>
      <c r="R96" s="20" t="str">
        <f>IF(Calculations!$BQ69='Macro References'!R$86,Calculations!$AT69,"")</f>
        <v/>
      </c>
      <c r="S96" s="20" t="str">
        <f>IF(Calculations!$BQ69='Macro References'!S$86,Calculations!$AT69,"")</f>
        <v/>
      </c>
      <c r="T96" s="20" t="str">
        <f>IF(Calculations!$BQ69='Macro References'!T$86,Calculations!$AT69,"")</f>
        <v/>
      </c>
      <c r="U96" s="20" t="str">
        <f>IF(Calculations!$BQ69='Macro References'!U$86,Calculations!$AT69,"")</f>
        <v/>
      </c>
      <c r="V96" s="20" t="str">
        <f>IF(Calculations!$BQ69='Macro References'!V$86,Calculations!$AT69,"")</f>
        <v/>
      </c>
      <c r="W96" s="20" t="str">
        <f>IF(Calculations!$BQ69='Macro References'!W$86,Calculations!$AT69,"")</f>
        <v/>
      </c>
      <c r="X96" s="20" t="str">
        <f>IF(Calculations!$BQ69='Macro References'!X$86,Calculations!$AT69,"")</f>
        <v/>
      </c>
      <c r="Y96" s="20" t="str">
        <f>IF(Calculations!$BQ69='Macro References'!Y$86,Calculations!$AT69,"")</f>
        <v/>
      </c>
      <c r="Z96" s="20" t="str">
        <f>IF(Calculations!$BQ69='Macro References'!Z$86,Calculations!$AT69,"")</f>
        <v/>
      </c>
      <c r="AA96" s="20" t="str">
        <f>IF(Calculations!$BQ69='Macro References'!AA$86,Calculations!$AT69,"")</f>
        <v/>
      </c>
      <c r="AB96" s="20" t="str">
        <f>IF(Calculations!$BQ69='Macro References'!AB$86,Calculations!$AT69,"")</f>
        <v/>
      </c>
      <c r="AC96" s="20" t="str">
        <f>IF(Calculations!$BQ69='Macro References'!AC$86,Calculations!$AT69,"")</f>
        <v/>
      </c>
      <c r="AD96" s="20" t="str">
        <f>IF(Calculations!$BQ69='Macro References'!AD$86,Calculations!$AT69,"")</f>
        <v/>
      </c>
      <c r="AE96" s="20" t="str">
        <f>IF(Calculations!$BQ69='Macro References'!AE$86,Calculations!$AT69,"")</f>
        <v/>
      </c>
      <c r="BA96" s="1">
        <v>6</v>
      </c>
      <c r="BB96" s="1" t="e">
        <f>VLOOKUP(BA96,Results!$C$5:$H$104,5,FALSE)</f>
        <v>#N/A</v>
      </c>
      <c r="BC96" s="65">
        <f t="shared" si="3"/>
        <v>6</v>
      </c>
    </row>
    <row r="97" spans="1:55" x14ac:dyDescent="0.2">
      <c r="A97" s="1">
        <v>11</v>
      </c>
      <c r="B97" s="20" t="str">
        <f>IF(Calculations!$BQ70='Macro References'!B$86,Calculations!$AT70,"")</f>
        <v/>
      </c>
      <c r="C97" s="20" t="str">
        <f>IF(Calculations!$BQ70='Macro References'!C$86,Calculations!$AT70,"")</f>
        <v/>
      </c>
      <c r="D97" s="20" t="str">
        <f>IF(Calculations!$BQ70='Macro References'!D$86,Calculations!$AT70,"")</f>
        <v/>
      </c>
      <c r="E97" s="20" t="str">
        <f>IF(Calculations!$BQ70='Macro References'!E$86,Calculations!$AT70,"")</f>
        <v/>
      </c>
      <c r="F97" s="20" t="str">
        <f>IF(Calculations!$BQ70='Macro References'!F$86,Calculations!$AT70,"")</f>
        <v/>
      </c>
      <c r="G97" s="20" t="str">
        <f>IF(Calculations!$BQ70='Macro References'!G$86,Calculations!$AT70,"")</f>
        <v/>
      </c>
      <c r="H97" s="20" t="str">
        <f>IF(Calculations!$BQ70='Macro References'!H$86,Calculations!$AT70,"")</f>
        <v/>
      </c>
      <c r="I97" s="20" t="str">
        <f>IF(Calculations!$BQ70='Macro References'!I$86,Calculations!$AT70,"")</f>
        <v/>
      </c>
      <c r="J97" s="20" t="str">
        <f>IF(Calculations!$BQ70='Macro References'!J$86,Calculations!$AT70,"")</f>
        <v/>
      </c>
      <c r="K97" s="20" t="str">
        <f>IF(Calculations!$BQ70='Macro References'!K$86,Calculations!$AT70,"")</f>
        <v/>
      </c>
      <c r="L97" s="20" t="str">
        <f>IF(Calculations!$BQ70='Macro References'!L$86,Calculations!$AT70,"")</f>
        <v/>
      </c>
      <c r="M97" s="20" t="str">
        <f>IF(Calculations!$BQ70='Macro References'!M$86,Calculations!$AT70,"")</f>
        <v/>
      </c>
      <c r="N97" s="20" t="str">
        <f>IF(Calculations!$BQ70='Macro References'!N$86,Calculations!$AT70,"")</f>
        <v/>
      </c>
      <c r="O97" s="20" t="str">
        <f>IF(Calculations!$BQ70='Macro References'!O$86,Calculations!$AT70,"")</f>
        <v/>
      </c>
      <c r="P97" s="20" t="str">
        <f>IF(Calculations!$BQ70='Macro References'!P$86,Calculations!$AT70,"")</f>
        <v/>
      </c>
      <c r="Q97" s="20" t="str">
        <f>IF(Calculations!$BQ70='Macro References'!Q$86,Calculations!$AT70,"")</f>
        <v/>
      </c>
      <c r="R97" s="20" t="str">
        <f>IF(Calculations!$BQ70='Macro References'!R$86,Calculations!$AT70,"")</f>
        <v/>
      </c>
      <c r="S97" s="20" t="str">
        <f>IF(Calculations!$BQ70='Macro References'!S$86,Calculations!$AT70,"")</f>
        <v/>
      </c>
      <c r="T97" s="20" t="str">
        <f>IF(Calculations!$BQ70='Macro References'!T$86,Calculations!$AT70,"")</f>
        <v/>
      </c>
      <c r="U97" s="20" t="str">
        <f>IF(Calculations!$BQ70='Macro References'!U$86,Calculations!$AT70,"")</f>
        <v/>
      </c>
      <c r="V97" s="20" t="str">
        <f>IF(Calculations!$BQ70='Macro References'!V$86,Calculations!$AT70,"")</f>
        <v/>
      </c>
      <c r="W97" s="20" t="str">
        <f>IF(Calculations!$BQ70='Macro References'!W$86,Calculations!$AT70,"")</f>
        <v/>
      </c>
      <c r="X97" s="20" t="str">
        <f>IF(Calculations!$BQ70='Macro References'!X$86,Calculations!$AT70,"")</f>
        <v/>
      </c>
      <c r="Y97" s="20" t="str">
        <f>IF(Calculations!$BQ70='Macro References'!Y$86,Calculations!$AT70,"")</f>
        <v/>
      </c>
      <c r="Z97" s="20" t="str">
        <f>IF(Calculations!$BQ70='Macro References'!Z$86,Calculations!$AT70,"")</f>
        <v/>
      </c>
      <c r="AA97" s="20" t="str">
        <f>IF(Calculations!$BQ70='Macro References'!AA$86,Calculations!$AT70,"")</f>
        <v/>
      </c>
      <c r="AB97" s="20" t="str">
        <f>IF(Calculations!$BQ70='Macro References'!AB$86,Calculations!$AT70,"")</f>
        <v/>
      </c>
      <c r="AC97" s="20" t="str">
        <f>IF(Calculations!$BQ70='Macro References'!AC$86,Calculations!$AT70,"")</f>
        <v/>
      </c>
      <c r="AD97" s="20" t="str">
        <f>IF(Calculations!$BQ70='Macro References'!AD$86,Calculations!$AT70,"")</f>
        <v/>
      </c>
      <c r="AE97" s="20" t="str">
        <f>IF(Calculations!$BQ70='Macro References'!AE$86,Calculations!$AT70,"")</f>
        <v/>
      </c>
      <c r="BA97" s="1">
        <v>5</v>
      </c>
      <c r="BB97" s="1" t="e">
        <f>VLOOKUP(BA97,Results!$C$5:$H$104,5,FALSE)</f>
        <v>#N/A</v>
      </c>
      <c r="BC97" s="65">
        <f t="shared" si="3"/>
        <v>5</v>
      </c>
    </row>
    <row r="98" spans="1:55" x14ac:dyDescent="0.2">
      <c r="A98" s="1">
        <v>12</v>
      </c>
      <c r="B98" s="20" t="str">
        <f>IF(Calculations!$BQ71='Macro References'!B$86,Calculations!$AT71,"")</f>
        <v/>
      </c>
      <c r="C98" s="20" t="str">
        <f>IF(Calculations!$BQ71='Macro References'!C$86,Calculations!$AT71,"")</f>
        <v/>
      </c>
      <c r="D98" s="20" t="str">
        <f>IF(Calculations!$BQ71='Macro References'!D$86,Calculations!$AT71,"")</f>
        <v/>
      </c>
      <c r="E98" s="20" t="str">
        <f>IF(Calculations!$BQ71='Macro References'!E$86,Calculations!$AT71,"")</f>
        <v/>
      </c>
      <c r="F98" s="20" t="str">
        <f>IF(Calculations!$BQ71='Macro References'!F$86,Calculations!$AT71,"")</f>
        <v/>
      </c>
      <c r="G98" s="20" t="str">
        <f>IF(Calculations!$BQ71='Macro References'!G$86,Calculations!$AT71,"")</f>
        <v/>
      </c>
      <c r="H98" s="20" t="str">
        <f>IF(Calculations!$BQ71='Macro References'!H$86,Calculations!$AT71,"")</f>
        <v/>
      </c>
      <c r="I98" s="20" t="str">
        <f>IF(Calculations!$BQ71='Macro References'!I$86,Calculations!$AT71,"")</f>
        <v/>
      </c>
      <c r="J98" s="20" t="str">
        <f>IF(Calculations!$BQ71='Macro References'!J$86,Calculations!$AT71,"")</f>
        <v/>
      </c>
      <c r="K98" s="20" t="str">
        <f>IF(Calculations!$BQ71='Macro References'!K$86,Calculations!$AT71,"")</f>
        <v/>
      </c>
      <c r="L98" s="20" t="str">
        <f>IF(Calculations!$BQ71='Macro References'!L$86,Calculations!$AT71,"")</f>
        <v/>
      </c>
      <c r="M98" s="20" t="str">
        <f>IF(Calculations!$BQ71='Macro References'!M$86,Calculations!$AT71,"")</f>
        <v/>
      </c>
      <c r="N98" s="20" t="str">
        <f>IF(Calculations!$BQ71='Macro References'!N$86,Calculations!$AT71,"")</f>
        <v/>
      </c>
      <c r="O98" s="20" t="str">
        <f>IF(Calculations!$BQ71='Macro References'!O$86,Calculations!$AT71,"")</f>
        <v/>
      </c>
      <c r="P98" s="20" t="str">
        <f>IF(Calculations!$BQ71='Macro References'!P$86,Calculations!$AT71,"")</f>
        <v/>
      </c>
      <c r="Q98" s="20" t="str">
        <f>IF(Calculations!$BQ71='Macro References'!Q$86,Calculations!$AT71,"")</f>
        <v/>
      </c>
      <c r="R98" s="20" t="str">
        <f>IF(Calculations!$BQ71='Macro References'!R$86,Calculations!$AT71,"")</f>
        <v/>
      </c>
      <c r="S98" s="20" t="str">
        <f>IF(Calculations!$BQ71='Macro References'!S$86,Calculations!$AT71,"")</f>
        <v/>
      </c>
      <c r="T98" s="20" t="str">
        <f>IF(Calculations!$BQ71='Macro References'!T$86,Calculations!$AT71,"")</f>
        <v/>
      </c>
      <c r="U98" s="20" t="str">
        <f>IF(Calculations!$BQ71='Macro References'!U$86,Calculations!$AT71,"")</f>
        <v/>
      </c>
      <c r="V98" s="20" t="str">
        <f>IF(Calculations!$BQ71='Macro References'!V$86,Calculations!$AT71,"")</f>
        <v/>
      </c>
      <c r="W98" s="20" t="str">
        <f>IF(Calculations!$BQ71='Macro References'!W$86,Calculations!$AT71,"")</f>
        <v/>
      </c>
      <c r="X98" s="20" t="str">
        <f>IF(Calculations!$BQ71='Macro References'!X$86,Calculations!$AT71,"")</f>
        <v/>
      </c>
      <c r="Y98" s="20" t="str">
        <f>IF(Calculations!$BQ71='Macro References'!Y$86,Calculations!$AT71,"")</f>
        <v/>
      </c>
      <c r="Z98" s="20" t="str">
        <f>IF(Calculations!$BQ71='Macro References'!Z$86,Calculations!$AT71,"")</f>
        <v/>
      </c>
      <c r="AA98" s="20" t="str">
        <f>IF(Calculations!$BQ71='Macro References'!AA$86,Calculations!$AT71,"")</f>
        <v/>
      </c>
      <c r="AB98" s="20" t="str">
        <f>IF(Calculations!$BQ71='Macro References'!AB$86,Calculations!$AT71,"")</f>
        <v/>
      </c>
      <c r="AC98" s="20" t="str">
        <f>IF(Calculations!$BQ71='Macro References'!AC$86,Calculations!$AT71,"")</f>
        <v/>
      </c>
      <c r="AD98" s="20" t="str">
        <f>IF(Calculations!$BQ71='Macro References'!AD$86,Calculations!$AT71,"")</f>
        <v/>
      </c>
      <c r="AE98" s="20" t="str">
        <f>IF(Calculations!$BQ71='Macro References'!AE$86,Calculations!$AT71,"")</f>
        <v/>
      </c>
      <c r="BA98" s="1">
        <v>4</v>
      </c>
      <c r="BB98" s="1" t="e">
        <f>VLOOKUP(BA98,Results!$C$5:$H$104,5,FALSE)</f>
        <v>#N/A</v>
      </c>
      <c r="BC98" s="65">
        <f t="shared" si="3"/>
        <v>4</v>
      </c>
    </row>
    <row r="99" spans="1:55" x14ac:dyDescent="0.2">
      <c r="A99" s="1">
        <v>13</v>
      </c>
      <c r="B99" s="20" t="str">
        <f>IF(Calculations!$BQ72='Macro References'!B$86,Calculations!$AT72,"")</f>
        <v/>
      </c>
      <c r="C99" s="20" t="str">
        <f>IF(Calculations!$BQ72='Macro References'!C$86,Calculations!$AT72,"")</f>
        <v/>
      </c>
      <c r="D99" s="20" t="str">
        <f>IF(Calculations!$BQ72='Macro References'!D$86,Calculations!$AT72,"")</f>
        <v/>
      </c>
      <c r="E99" s="20" t="str">
        <f>IF(Calculations!$BQ72='Macro References'!E$86,Calculations!$AT72,"")</f>
        <v/>
      </c>
      <c r="F99" s="20" t="str">
        <f>IF(Calculations!$BQ72='Macro References'!F$86,Calculations!$AT72,"")</f>
        <v/>
      </c>
      <c r="G99" s="20" t="str">
        <f>IF(Calculations!$BQ72='Macro References'!G$86,Calculations!$AT72,"")</f>
        <v/>
      </c>
      <c r="H99" s="20" t="str">
        <f>IF(Calculations!$BQ72='Macro References'!H$86,Calculations!$AT72,"")</f>
        <v/>
      </c>
      <c r="I99" s="20" t="str">
        <f>IF(Calculations!$BQ72='Macro References'!I$86,Calculations!$AT72,"")</f>
        <v/>
      </c>
      <c r="J99" s="20" t="str">
        <f>IF(Calculations!$BQ72='Macro References'!J$86,Calculations!$AT72,"")</f>
        <v/>
      </c>
      <c r="K99" s="20" t="str">
        <f>IF(Calculations!$BQ72='Macro References'!K$86,Calculations!$AT72,"")</f>
        <v/>
      </c>
      <c r="L99" s="20" t="str">
        <f>IF(Calculations!$BQ72='Macro References'!L$86,Calculations!$AT72,"")</f>
        <v/>
      </c>
      <c r="M99" s="20" t="str">
        <f>IF(Calculations!$BQ72='Macro References'!M$86,Calculations!$AT72,"")</f>
        <v/>
      </c>
      <c r="N99" s="20" t="str">
        <f>IF(Calculations!$BQ72='Macro References'!N$86,Calculations!$AT72,"")</f>
        <v/>
      </c>
      <c r="O99" s="20" t="str">
        <f>IF(Calculations!$BQ72='Macro References'!O$86,Calculations!$AT72,"")</f>
        <v/>
      </c>
      <c r="P99" s="20" t="str">
        <f>IF(Calculations!$BQ72='Macro References'!P$86,Calculations!$AT72,"")</f>
        <v/>
      </c>
      <c r="Q99" s="20" t="str">
        <f>IF(Calculations!$BQ72='Macro References'!Q$86,Calculations!$AT72,"")</f>
        <v/>
      </c>
      <c r="R99" s="20" t="str">
        <f>IF(Calculations!$BQ72='Macro References'!R$86,Calculations!$AT72,"")</f>
        <v/>
      </c>
      <c r="S99" s="20" t="str">
        <f>IF(Calculations!$BQ72='Macro References'!S$86,Calculations!$AT72,"")</f>
        <v/>
      </c>
      <c r="T99" s="20" t="str">
        <f>IF(Calculations!$BQ72='Macro References'!T$86,Calculations!$AT72,"")</f>
        <v/>
      </c>
      <c r="U99" s="20" t="str">
        <f>IF(Calculations!$BQ72='Macro References'!U$86,Calculations!$AT72,"")</f>
        <v/>
      </c>
      <c r="V99" s="20" t="str">
        <f>IF(Calculations!$BQ72='Macro References'!V$86,Calculations!$AT72,"")</f>
        <v/>
      </c>
      <c r="W99" s="20" t="str">
        <f>IF(Calculations!$BQ72='Macro References'!W$86,Calculations!$AT72,"")</f>
        <v/>
      </c>
      <c r="X99" s="20" t="str">
        <f>IF(Calculations!$BQ72='Macro References'!X$86,Calculations!$AT72,"")</f>
        <v/>
      </c>
      <c r="Y99" s="20" t="str">
        <f>IF(Calculations!$BQ72='Macro References'!Y$86,Calculations!$AT72,"")</f>
        <v/>
      </c>
      <c r="Z99" s="20" t="str">
        <f>IF(Calculations!$BQ72='Macro References'!Z$86,Calculations!$AT72,"")</f>
        <v/>
      </c>
      <c r="AA99" s="20" t="str">
        <f>IF(Calculations!$BQ72='Macro References'!AA$86,Calculations!$AT72,"")</f>
        <v/>
      </c>
      <c r="AB99" s="20" t="str">
        <f>IF(Calculations!$BQ72='Macro References'!AB$86,Calculations!$AT72,"")</f>
        <v/>
      </c>
      <c r="AC99" s="20" t="str">
        <f>IF(Calculations!$BQ72='Macro References'!AC$86,Calculations!$AT72,"")</f>
        <v/>
      </c>
      <c r="AD99" s="20" t="str">
        <f>IF(Calculations!$BQ72='Macro References'!AD$86,Calculations!$AT72,"")</f>
        <v/>
      </c>
      <c r="AE99" s="20" t="str">
        <f>IF(Calculations!$BQ72='Macro References'!AE$86,Calculations!$AT72,"")</f>
        <v/>
      </c>
      <c r="BA99" s="1">
        <v>3</v>
      </c>
      <c r="BB99" s="1" t="e">
        <f>VLOOKUP(BA99,Results!$C$5:$H$104,5,FALSE)</f>
        <v>#N/A</v>
      </c>
      <c r="BC99" s="65">
        <f t="shared" si="3"/>
        <v>3</v>
      </c>
    </row>
    <row r="100" spans="1:55" x14ac:dyDescent="0.2">
      <c r="A100" s="1">
        <v>14</v>
      </c>
      <c r="B100" s="20" t="str">
        <f>IF(Calculations!$BQ73='Macro References'!B$86,Calculations!$AT73,"")</f>
        <v/>
      </c>
      <c r="C100" s="20" t="str">
        <f>IF(Calculations!$BQ73='Macro References'!C$86,Calculations!$AT73,"")</f>
        <v/>
      </c>
      <c r="D100" s="20" t="str">
        <f>IF(Calculations!$BQ73='Macro References'!D$86,Calculations!$AT73,"")</f>
        <v/>
      </c>
      <c r="E100" s="20" t="str">
        <f>IF(Calculations!$BQ73='Macro References'!E$86,Calculations!$AT73,"")</f>
        <v/>
      </c>
      <c r="F100" s="20" t="str">
        <f>IF(Calculations!$BQ73='Macro References'!F$86,Calculations!$AT73,"")</f>
        <v/>
      </c>
      <c r="G100" s="20" t="str">
        <f>IF(Calculations!$BQ73='Macro References'!G$86,Calculations!$AT73,"")</f>
        <v/>
      </c>
      <c r="H100" s="20" t="str">
        <f>IF(Calculations!$BQ73='Macro References'!H$86,Calculations!$AT73,"")</f>
        <v/>
      </c>
      <c r="I100" s="20" t="str">
        <f>IF(Calculations!$BQ73='Macro References'!I$86,Calculations!$AT73,"")</f>
        <v/>
      </c>
      <c r="J100" s="20" t="str">
        <f>IF(Calculations!$BQ73='Macro References'!J$86,Calculations!$AT73,"")</f>
        <v/>
      </c>
      <c r="K100" s="20" t="str">
        <f>IF(Calculations!$BQ73='Macro References'!K$86,Calculations!$AT73,"")</f>
        <v/>
      </c>
      <c r="L100" s="20" t="str">
        <f>IF(Calculations!$BQ73='Macro References'!L$86,Calculations!$AT73,"")</f>
        <v/>
      </c>
      <c r="M100" s="20" t="str">
        <f>IF(Calculations!$BQ73='Macro References'!M$86,Calculations!$AT73,"")</f>
        <v/>
      </c>
      <c r="N100" s="20" t="str">
        <f>IF(Calculations!$BQ73='Macro References'!N$86,Calculations!$AT73,"")</f>
        <v/>
      </c>
      <c r="O100" s="20" t="str">
        <f>IF(Calculations!$BQ73='Macro References'!O$86,Calculations!$AT73,"")</f>
        <v/>
      </c>
      <c r="P100" s="20" t="str">
        <f>IF(Calculations!$BQ73='Macro References'!P$86,Calculations!$AT73,"")</f>
        <v/>
      </c>
      <c r="Q100" s="20" t="str">
        <f>IF(Calculations!$BQ73='Macro References'!Q$86,Calculations!$AT73,"")</f>
        <v/>
      </c>
      <c r="R100" s="20" t="str">
        <f>IF(Calculations!$BQ73='Macro References'!R$86,Calculations!$AT73,"")</f>
        <v/>
      </c>
      <c r="S100" s="20" t="str">
        <f>IF(Calculations!$BQ73='Macro References'!S$86,Calculations!$AT73,"")</f>
        <v/>
      </c>
      <c r="T100" s="20" t="str">
        <f>IF(Calculations!$BQ73='Macro References'!T$86,Calculations!$AT73,"")</f>
        <v/>
      </c>
      <c r="U100" s="20" t="str">
        <f>IF(Calculations!$BQ73='Macro References'!U$86,Calculations!$AT73,"")</f>
        <v/>
      </c>
      <c r="V100" s="20" t="str">
        <f>IF(Calculations!$BQ73='Macro References'!V$86,Calculations!$AT73,"")</f>
        <v/>
      </c>
      <c r="W100" s="20" t="str">
        <f>IF(Calculations!$BQ73='Macro References'!W$86,Calculations!$AT73,"")</f>
        <v/>
      </c>
      <c r="X100" s="20" t="str">
        <f>IF(Calculations!$BQ73='Macro References'!X$86,Calculations!$AT73,"")</f>
        <v/>
      </c>
      <c r="Y100" s="20" t="str">
        <f>IF(Calculations!$BQ73='Macro References'!Y$86,Calculations!$AT73,"")</f>
        <v/>
      </c>
      <c r="Z100" s="20" t="str">
        <f>IF(Calculations!$BQ73='Macro References'!Z$86,Calculations!$AT73,"")</f>
        <v/>
      </c>
      <c r="AA100" s="20" t="str">
        <f>IF(Calculations!$BQ73='Macro References'!AA$86,Calculations!$AT73,"")</f>
        <v/>
      </c>
      <c r="AB100" s="20" t="str">
        <f>IF(Calculations!$BQ73='Macro References'!AB$86,Calculations!$AT73,"")</f>
        <v/>
      </c>
      <c r="AC100" s="20" t="str">
        <f>IF(Calculations!$BQ73='Macro References'!AC$86,Calculations!$AT73,"")</f>
        <v/>
      </c>
      <c r="AD100" s="20" t="str">
        <f>IF(Calculations!$BQ73='Macro References'!AD$86,Calculations!$AT73,"")</f>
        <v/>
      </c>
      <c r="AE100" s="20" t="str">
        <f>IF(Calculations!$BQ73='Macro References'!AE$86,Calculations!$AT73,"")</f>
        <v/>
      </c>
      <c r="BA100" s="1">
        <v>2</v>
      </c>
      <c r="BB100" s="1" t="e">
        <f>VLOOKUP(BA100,Results!$C$5:$H$104,5,FALSE)</f>
        <v>#N/A</v>
      </c>
      <c r="BC100" s="65">
        <f t="shared" si="3"/>
        <v>2</v>
      </c>
    </row>
    <row r="101" spans="1:55" x14ac:dyDescent="0.2">
      <c r="A101" s="1">
        <v>15</v>
      </c>
      <c r="B101" s="20" t="str">
        <f>IF(Calculations!$BQ74='Macro References'!B$86,Calculations!$AT74,"")</f>
        <v/>
      </c>
      <c r="C101" s="20" t="str">
        <f>IF(Calculations!$BQ74='Macro References'!C$86,Calculations!$AT74,"")</f>
        <v/>
      </c>
      <c r="D101" s="20" t="str">
        <f>IF(Calculations!$BQ74='Macro References'!D$86,Calculations!$AT74,"")</f>
        <v/>
      </c>
      <c r="E101" s="20" t="str">
        <f>IF(Calculations!$BQ74='Macro References'!E$86,Calculations!$AT74,"")</f>
        <v/>
      </c>
      <c r="F101" s="20" t="str">
        <f>IF(Calculations!$BQ74='Macro References'!F$86,Calculations!$AT74,"")</f>
        <v/>
      </c>
      <c r="G101" s="20" t="str">
        <f>IF(Calculations!$BQ74='Macro References'!G$86,Calculations!$AT74,"")</f>
        <v/>
      </c>
      <c r="H101" s="20" t="str">
        <f>IF(Calculations!$BQ74='Macro References'!H$86,Calculations!$AT74,"")</f>
        <v/>
      </c>
      <c r="I101" s="20" t="str">
        <f>IF(Calculations!$BQ74='Macro References'!I$86,Calculations!$AT74,"")</f>
        <v/>
      </c>
      <c r="J101" s="20" t="str">
        <f>IF(Calculations!$BQ74='Macro References'!J$86,Calculations!$AT74,"")</f>
        <v/>
      </c>
      <c r="K101" s="20" t="str">
        <f>IF(Calculations!$BQ74='Macro References'!K$86,Calculations!$AT74,"")</f>
        <v/>
      </c>
      <c r="L101" s="20" t="str">
        <f>IF(Calculations!$BQ74='Macro References'!L$86,Calculations!$AT74,"")</f>
        <v/>
      </c>
      <c r="M101" s="20" t="str">
        <f>IF(Calculations!$BQ74='Macro References'!M$86,Calculations!$AT74,"")</f>
        <v/>
      </c>
      <c r="N101" s="20" t="str">
        <f>IF(Calculations!$BQ74='Macro References'!N$86,Calculations!$AT74,"")</f>
        <v/>
      </c>
      <c r="O101" s="20" t="str">
        <f>IF(Calculations!$BQ74='Macro References'!O$86,Calculations!$AT74,"")</f>
        <v/>
      </c>
      <c r="P101" s="20" t="str">
        <f>IF(Calculations!$BQ74='Macro References'!P$86,Calculations!$AT74,"")</f>
        <v/>
      </c>
      <c r="Q101" s="20" t="str">
        <f>IF(Calculations!$BQ74='Macro References'!Q$86,Calculations!$AT74,"")</f>
        <v/>
      </c>
      <c r="R101" s="20" t="str">
        <f>IF(Calculations!$BQ74='Macro References'!R$86,Calculations!$AT74,"")</f>
        <v/>
      </c>
      <c r="S101" s="20" t="str">
        <f>IF(Calculations!$BQ74='Macro References'!S$86,Calculations!$AT74,"")</f>
        <v/>
      </c>
      <c r="T101" s="20" t="str">
        <f>IF(Calculations!$BQ74='Macro References'!T$86,Calculations!$AT74,"")</f>
        <v/>
      </c>
      <c r="U101" s="20" t="str">
        <f>IF(Calculations!$BQ74='Macro References'!U$86,Calculations!$AT74,"")</f>
        <v/>
      </c>
      <c r="V101" s="20" t="str">
        <f>IF(Calculations!$BQ74='Macro References'!V$86,Calculations!$AT74,"")</f>
        <v/>
      </c>
      <c r="W101" s="20" t="str">
        <f>IF(Calculations!$BQ74='Macro References'!W$86,Calculations!$AT74,"")</f>
        <v/>
      </c>
      <c r="X101" s="20" t="str">
        <f>IF(Calculations!$BQ74='Macro References'!X$86,Calculations!$AT74,"")</f>
        <v/>
      </c>
      <c r="Y101" s="20" t="str">
        <f>IF(Calculations!$BQ74='Macro References'!Y$86,Calculations!$AT74,"")</f>
        <v/>
      </c>
      <c r="Z101" s="20" t="str">
        <f>IF(Calculations!$BQ74='Macro References'!Z$86,Calculations!$AT74,"")</f>
        <v/>
      </c>
      <c r="AA101" s="20" t="str">
        <f>IF(Calculations!$BQ74='Macro References'!AA$86,Calculations!$AT74,"")</f>
        <v/>
      </c>
      <c r="AB101" s="20" t="str">
        <f>IF(Calculations!$BQ74='Macro References'!AB$86,Calculations!$AT74,"")</f>
        <v/>
      </c>
      <c r="AC101" s="20" t="str">
        <f>IF(Calculations!$BQ74='Macro References'!AC$86,Calculations!$AT74,"")</f>
        <v/>
      </c>
      <c r="AD101" s="20" t="str">
        <f>IF(Calculations!$BQ74='Macro References'!AD$86,Calculations!$AT74,"")</f>
        <v/>
      </c>
      <c r="AE101" s="20" t="str">
        <f>IF(Calculations!$BQ74='Macro References'!AE$86,Calculations!$AT74,"")</f>
        <v/>
      </c>
      <c r="BA101" s="1">
        <v>1</v>
      </c>
      <c r="BB101" s="1" t="e">
        <f>VLOOKUP(BA101,Results!$C$5:$H$104,5,FALSE)</f>
        <v>#N/A</v>
      </c>
      <c r="BC101" s="1">
        <f>BA101</f>
        <v>1</v>
      </c>
    </row>
    <row r="102" spans="1:55" x14ac:dyDescent="0.2">
      <c r="A102" s="1">
        <v>16</v>
      </c>
      <c r="B102" s="20" t="str">
        <f>IF(Calculations!$BQ75='Macro References'!B$86,Calculations!$AT75,"")</f>
        <v/>
      </c>
      <c r="C102" s="20" t="str">
        <f>IF(Calculations!$BQ75='Macro References'!C$86,Calculations!$AT75,"")</f>
        <v/>
      </c>
      <c r="D102" s="20" t="str">
        <f>IF(Calculations!$BQ75='Macro References'!D$86,Calculations!$AT75,"")</f>
        <v/>
      </c>
      <c r="E102" s="20" t="str">
        <f>IF(Calculations!$BQ75='Macro References'!E$86,Calculations!$AT75,"")</f>
        <v/>
      </c>
      <c r="F102" s="20" t="str">
        <f>IF(Calculations!$BQ75='Macro References'!F$86,Calculations!$AT75,"")</f>
        <v/>
      </c>
      <c r="G102" s="20" t="str">
        <f>IF(Calculations!$BQ75='Macro References'!G$86,Calculations!$AT75,"")</f>
        <v/>
      </c>
      <c r="H102" s="20" t="str">
        <f>IF(Calculations!$BQ75='Macro References'!H$86,Calculations!$AT75,"")</f>
        <v/>
      </c>
      <c r="I102" s="20" t="str">
        <f>IF(Calculations!$BQ75='Macro References'!I$86,Calculations!$AT75,"")</f>
        <v/>
      </c>
      <c r="J102" s="20" t="str">
        <f>IF(Calculations!$BQ75='Macro References'!J$86,Calculations!$AT75,"")</f>
        <v/>
      </c>
      <c r="K102" s="20" t="str">
        <f>IF(Calculations!$BQ75='Macro References'!K$86,Calculations!$AT75,"")</f>
        <v/>
      </c>
      <c r="L102" s="20" t="str">
        <f>IF(Calculations!$BQ75='Macro References'!L$86,Calculations!$AT75,"")</f>
        <v/>
      </c>
      <c r="M102" s="20" t="str">
        <f>IF(Calculations!$BQ75='Macro References'!M$86,Calculations!$AT75,"")</f>
        <v/>
      </c>
      <c r="N102" s="20" t="str">
        <f>IF(Calculations!$BQ75='Macro References'!N$86,Calculations!$AT75,"")</f>
        <v/>
      </c>
      <c r="O102" s="20" t="str">
        <f>IF(Calculations!$BQ75='Macro References'!O$86,Calculations!$AT75,"")</f>
        <v/>
      </c>
      <c r="P102" s="20" t="str">
        <f>IF(Calculations!$BQ75='Macro References'!P$86,Calculations!$AT75,"")</f>
        <v/>
      </c>
      <c r="Q102" s="20" t="str">
        <f>IF(Calculations!$BQ75='Macro References'!Q$86,Calculations!$AT75,"")</f>
        <v/>
      </c>
      <c r="R102" s="20" t="str">
        <f>IF(Calculations!$BQ75='Macro References'!R$86,Calculations!$AT75,"")</f>
        <v/>
      </c>
      <c r="S102" s="20" t="str">
        <f>IF(Calculations!$BQ75='Macro References'!S$86,Calculations!$AT75,"")</f>
        <v/>
      </c>
      <c r="T102" s="20" t="str">
        <f>IF(Calculations!$BQ75='Macro References'!T$86,Calculations!$AT75,"")</f>
        <v/>
      </c>
      <c r="U102" s="20" t="str">
        <f>IF(Calculations!$BQ75='Macro References'!U$86,Calculations!$AT75,"")</f>
        <v/>
      </c>
      <c r="V102" s="20" t="str">
        <f>IF(Calculations!$BQ75='Macro References'!V$86,Calculations!$AT75,"")</f>
        <v/>
      </c>
      <c r="W102" s="20" t="str">
        <f>IF(Calculations!$BQ75='Macro References'!W$86,Calculations!$AT75,"")</f>
        <v/>
      </c>
      <c r="X102" s="20" t="str">
        <f>IF(Calculations!$BQ75='Macro References'!X$86,Calculations!$AT75,"")</f>
        <v/>
      </c>
      <c r="Y102" s="20" t="str">
        <f>IF(Calculations!$BQ75='Macro References'!Y$86,Calculations!$AT75,"")</f>
        <v/>
      </c>
      <c r="Z102" s="20" t="str">
        <f>IF(Calculations!$BQ75='Macro References'!Z$86,Calculations!$AT75,"")</f>
        <v/>
      </c>
      <c r="AA102" s="20" t="str">
        <f>IF(Calculations!$BQ75='Macro References'!AA$86,Calculations!$AT75,"")</f>
        <v/>
      </c>
      <c r="AB102" s="20" t="str">
        <f>IF(Calculations!$BQ75='Macro References'!AB$86,Calculations!$AT75,"")</f>
        <v/>
      </c>
      <c r="AC102" s="20" t="str">
        <f>IF(Calculations!$BQ75='Macro References'!AC$86,Calculations!$AT75,"")</f>
        <v/>
      </c>
      <c r="AD102" s="20" t="str">
        <f>IF(Calculations!$BQ75='Macro References'!AD$86,Calculations!$AT75,"")</f>
        <v/>
      </c>
      <c r="AE102" s="20" t="str">
        <f>IF(Calculations!$BQ75='Macro References'!AE$86,Calculations!$AT75,"")</f>
        <v/>
      </c>
    </row>
    <row r="103" spans="1:55" x14ac:dyDescent="0.2">
      <c r="A103" s="1">
        <v>17</v>
      </c>
      <c r="B103" s="20" t="str">
        <f>IF(Calculations!$BQ76='Macro References'!B$86,Calculations!$AT76,"")</f>
        <v/>
      </c>
      <c r="C103" s="20" t="str">
        <f>IF(Calculations!$BQ76='Macro References'!C$86,Calculations!$AT76,"")</f>
        <v/>
      </c>
      <c r="D103" s="20" t="str">
        <f>IF(Calculations!$BQ76='Macro References'!D$86,Calculations!$AT76,"")</f>
        <v/>
      </c>
      <c r="E103" s="20" t="str">
        <f>IF(Calculations!$BQ76='Macro References'!E$86,Calculations!$AT76,"")</f>
        <v/>
      </c>
      <c r="F103" s="20" t="str">
        <f>IF(Calculations!$BQ76='Macro References'!F$86,Calculations!$AT76,"")</f>
        <v/>
      </c>
      <c r="G103" s="20" t="str">
        <f>IF(Calculations!$BQ76='Macro References'!G$86,Calculations!$AT76,"")</f>
        <v/>
      </c>
      <c r="H103" s="20" t="str">
        <f>IF(Calculations!$BQ76='Macro References'!H$86,Calculations!$AT76,"")</f>
        <v/>
      </c>
      <c r="I103" s="20" t="str">
        <f>IF(Calculations!$BQ76='Macro References'!I$86,Calculations!$AT76,"")</f>
        <v/>
      </c>
      <c r="J103" s="20" t="str">
        <f>IF(Calculations!$BQ76='Macro References'!J$86,Calculations!$AT76,"")</f>
        <v/>
      </c>
      <c r="K103" s="20" t="str">
        <f>IF(Calculations!$BQ76='Macro References'!K$86,Calculations!$AT76,"")</f>
        <v/>
      </c>
      <c r="L103" s="20" t="str">
        <f>IF(Calculations!$BQ76='Macro References'!L$86,Calculations!$AT76,"")</f>
        <v/>
      </c>
      <c r="M103" s="20" t="str">
        <f>IF(Calculations!$BQ76='Macro References'!M$86,Calculations!$AT76,"")</f>
        <v/>
      </c>
      <c r="N103" s="20" t="str">
        <f>IF(Calculations!$BQ76='Macro References'!N$86,Calculations!$AT76,"")</f>
        <v/>
      </c>
      <c r="O103" s="20" t="str">
        <f>IF(Calculations!$BQ76='Macro References'!O$86,Calculations!$AT76,"")</f>
        <v/>
      </c>
      <c r="P103" s="20" t="str">
        <f>IF(Calculations!$BQ76='Macro References'!P$86,Calculations!$AT76,"")</f>
        <v/>
      </c>
      <c r="Q103" s="20" t="str">
        <f>IF(Calculations!$BQ76='Macro References'!Q$86,Calculations!$AT76,"")</f>
        <v/>
      </c>
      <c r="R103" s="20" t="str">
        <f>IF(Calculations!$BQ76='Macro References'!R$86,Calculations!$AT76,"")</f>
        <v/>
      </c>
      <c r="S103" s="20" t="str">
        <f>IF(Calculations!$BQ76='Macro References'!S$86,Calculations!$AT76,"")</f>
        <v/>
      </c>
      <c r="T103" s="20" t="str">
        <f>IF(Calculations!$BQ76='Macro References'!T$86,Calculations!$AT76,"")</f>
        <v/>
      </c>
      <c r="U103" s="20" t="str">
        <f>IF(Calculations!$BQ76='Macro References'!U$86,Calculations!$AT76,"")</f>
        <v/>
      </c>
      <c r="V103" s="20" t="str">
        <f>IF(Calculations!$BQ76='Macro References'!V$86,Calculations!$AT76,"")</f>
        <v/>
      </c>
      <c r="W103" s="20" t="str">
        <f>IF(Calculations!$BQ76='Macro References'!W$86,Calculations!$AT76,"")</f>
        <v/>
      </c>
      <c r="X103" s="20" t="str">
        <f>IF(Calculations!$BQ76='Macro References'!X$86,Calculations!$AT76,"")</f>
        <v/>
      </c>
      <c r="Y103" s="20" t="str">
        <f>IF(Calculations!$BQ76='Macro References'!Y$86,Calculations!$AT76,"")</f>
        <v/>
      </c>
      <c r="Z103" s="20" t="str">
        <f>IF(Calculations!$BQ76='Macro References'!Z$86,Calculations!$AT76,"")</f>
        <v/>
      </c>
      <c r="AA103" s="20" t="str">
        <f>IF(Calculations!$BQ76='Macro References'!AA$86,Calculations!$AT76,"")</f>
        <v/>
      </c>
      <c r="AB103" s="20" t="str">
        <f>IF(Calculations!$BQ76='Macro References'!AB$86,Calculations!$AT76,"")</f>
        <v/>
      </c>
      <c r="AC103" s="20" t="str">
        <f>IF(Calculations!$BQ76='Macro References'!AC$86,Calculations!$AT76,"")</f>
        <v/>
      </c>
      <c r="AD103" s="20" t="str">
        <f>IF(Calculations!$BQ76='Macro References'!AD$86,Calculations!$AT76,"")</f>
        <v/>
      </c>
      <c r="AE103" s="20" t="str">
        <f>IF(Calculations!$BQ76='Macro References'!AE$86,Calculations!$AT76,"")</f>
        <v/>
      </c>
    </row>
    <row r="104" spans="1:55" x14ac:dyDescent="0.2">
      <c r="A104" s="1">
        <v>18</v>
      </c>
      <c r="B104" s="20" t="str">
        <f>IF(Calculations!$BQ77='Macro References'!B$86,Calculations!$AT77,"")</f>
        <v/>
      </c>
      <c r="C104" s="20" t="str">
        <f>IF(Calculations!$BQ77='Macro References'!C$86,Calculations!$AT77,"")</f>
        <v/>
      </c>
      <c r="D104" s="20" t="str">
        <f>IF(Calculations!$BQ77='Macro References'!D$86,Calculations!$AT77,"")</f>
        <v/>
      </c>
      <c r="E104" s="20" t="str">
        <f>IF(Calculations!$BQ77='Macro References'!E$86,Calculations!$AT77,"")</f>
        <v/>
      </c>
      <c r="F104" s="20" t="str">
        <f>IF(Calculations!$BQ77='Macro References'!F$86,Calculations!$AT77,"")</f>
        <v/>
      </c>
      <c r="G104" s="20" t="str">
        <f>IF(Calculations!$BQ77='Macro References'!G$86,Calculations!$AT77,"")</f>
        <v/>
      </c>
      <c r="H104" s="20" t="str">
        <f>IF(Calculations!$BQ77='Macro References'!H$86,Calculations!$AT77,"")</f>
        <v/>
      </c>
      <c r="I104" s="20" t="str">
        <f>IF(Calculations!$BQ77='Macro References'!I$86,Calculations!$AT77,"")</f>
        <v/>
      </c>
      <c r="J104" s="20" t="str">
        <f>IF(Calculations!$BQ77='Macro References'!J$86,Calculations!$AT77,"")</f>
        <v/>
      </c>
      <c r="K104" s="20" t="str">
        <f>IF(Calculations!$BQ77='Macro References'!K$86,Calculations!$AT77,"")</f>
        <v/>
      </c>
      <c r="L104" s="20" t="str">
        <f>IF(Calculations!$BQ77='Macro References'!L$86,Calculations!$AT77,"")</f>
        <v/>
      </c>
      <c r="M104" s="20" t="str">
        <f>IF(Calculations!$BQ77='Macro References'!M$86,Calculations!$AT77,"")</f>
        <v/>
      </c>
      <c r="N104" s="20" t="str">
        <f>IF(Calculations!$BQ77='Macro References'!N$86,Calculations!$AT77,"")</f>
        <v/>
      </c>
      <c r="O104" s="20" t="str">
        <f>IF(Calculations!$BQ77='Macro References'!O$86,Calculations!$AT77,"")</f>
        <v/>
      </c>
      <c r="P104" s="20" t="str">
        <f>IF(Calculations!$BQ77='Macro References'!P$86,Calculations!$AT77,"")</f>
        <v/>
      </c>
      <c r="Q104" s="20" t="str">
        <f>IF(Calculations!$BQ77='Macro References'!Q$86,Calculations!$AT77,"")</f>
        <v/>
      </c>
      <c r="R104" s="20" t="str">
        <f>IF(Calculations!$BQ77='Macro References'!R$86,Calculations!$AT77,"")</f>
        <v/>
      </c>
      <c r="S104" s="20" t="str">
        <f>IF(Calculations!$BQ77='Macro References'!S$86,Calculations!$AT77,"")</f>
        <v/>
      </c>
      <c r="T104" s="20" t="str">
        <f>IF(Calculations!$BQ77='Macro References'!T$86,Calculations!$AT77,"")</f>
        <v/>
      </c>
      <c r="U104" s="20" t="str">
        <f>IF(Calculations!$BQ77='Macro References'!U$86,Calculations!$AT77,"")</f>
        <v/>
      </c>
      <c r="V104" s="20" t="str">
        <f>IF(Calculations!$BQ77='Macro References'!V$86,Calculations!$AT77,"")</f>
        <v/>
      </c>
      <c r="W104" s="20" t="str">
        <f>IF(Calculations!$BQ77='Macro References'!W$86,Calculations!$AT77,"")</f>
        <v/>
      </c>
      <c r="X104" s="20" t="str">
        <f>IF(Calculations!$BQ77='Macro References'!X$86,Calculations!$AT77,"")</f>
        <v/>
      </c>
      <c r="Y104" s="20" t="str">
        <f>IF(Calculations!$BQ77='Macro References'!Y$86,Calculations!$AT77,"")</f>
        <v/>
      </c>
      <c r="Z104" s="20" t="str">
        <f>IF(Calculations!$BQ77='Macro References'!Z$86,Calculations!$AT77,"")</f>
        <v/>
      </c>
      <c r="AA104" s="20" t="str">
        <f>IF(Calculations!$BQ77='Macro References'!AA$86,Calculations!$AT77,"")</f>
        <v/>
      </c>
      <c r="AB104" s="20" t="str">
        <f>IF(Calculations!$BQ77='Macro References'!AB$86,Calculations!$AT77,"")</f>
        <v/>
      </c>
      <c r="AC104" s="20" t="str">
        <f>IF(Calculations!$BQ77='Macro References'!AC$86,Calculations!$AT77,"")</f>
        <v/>
      </c>
      <c r="AD104" s="20" t="str">
        <f>IF(Calculations!$BQ77='Macro References'!AD$86,Calculations!$AT77,"")</f>
        <v/>
      </c>
      <c r="AE104" s="20" t="str">
        <f>IF(Calculations!$BQ77='Macro References'!AE$86,Calculations!$AT77,"")</f>
        <v/>
      </c>
    </row>
    <row r="106" spans="1:55" x14ac:dyDescent="0.2">
      <c r="A106" s="1">
        <v>1</v>
      </c>
      <c r="B106" s="20" t="str">
        <f>IF(Calculations!$BQ79='Macro References'!B$86,Calculations!$AT79,"")</f>
        <v/>
      </c>
      <c r="C106" s="20" t="str">
        <f>IF(Calculations!$BQ79='Macro References'!C$86,Calculations!$AT79,"")</f>
        <v/>
      </c>
      <c r="D106" s="20" t="str">
        <f>IF(Calculations!$BQ79='Macro References'!D$86,Calculations!$AT79,"")</f>
        <v/>
      </c>
      <c r="E106" s="20" t="str">
        <f>IF(Calculations!$BQ79='Macro References'!E$86,Calculations!$AT79,"")</f>
        <v/>
      </c>
      <c r="F106" s="20" t="str">
        <f>IF(Calculations!$BQ79='Macro References'!F$86,Calculations!$AT79,"")</f>
        <v/>
      </c>
      <c r="G106" s="20" t="str">
        <f>IF(Calculations!$BQ79='Macro References'!G$86,Calculations!$AT79,"")</f>
        <v/>
      </c>
      <c r="H106" s="20" t="str">
        <f>IF(Calculations!$BQ79='Macro References'!H$86,Calculations!$AT79,"")</f>
        <v/>
      </c>
      <c r="I106" s="20" t="str">
        <f>IF(Calculations!$BQ79='Macro References'!I$86,Calculations!$AT79,"")</f>
        <v/>
      </c>
      <c r="J106" s="20" t="str">
        <f>IF(Calculations!$BQ79='Macro References'!J$86,Calculations!$AT79,"")</f>
        <v/>
      </c>
      <c r="K106" s="20" t="str">
        <f>IF(Calculations!$BQ79='Macro References'!K$86,Calculations!$AT79,"")</f>
        <v/>
      </c>
      <c r="L106" s="20" t="str">
        <f>IF(Calculations!$BQ79='Macro References'!L$86,Calculations!$AT79,"")</f>
        <v/>
      </c>
      <c r="M106" s="20" t="str">
        <f>IF(Calculations!$BQ79='Macro References'!M$86,Calculations!$AT79,"")</f>
        <v/>
      </c>
      <c r="N106" s="20" t="str">
        <f>IF(Calculations!$BQ79='Macro References'!N$86,Calculations!$AT79,"")</f>
        <v/>
      </c>
      <c r="O106" s="20" t="str">
        <f>IF(Calculations!$BQ79='Macro References'!O$86,Calculations!$AT79,"")</f>
        <v/>
      </c>
      <c r="P106" s="20" t="str">
        <f>IF(Calculations!$BQ79='Macro References'!P$86,Calculations!$AT79,"")</f>
        <v/>
      </c>
      <c r="Q106" s="20" t="str">
        <f>IF(Calculations!$BQ79='Macro References'!Q$86,Calculations!$AT79,"")</f>
        <v/>
      </c>
      <c r="R106" s="20" t="str">
        <f>IF(Calculations!$BQ79='Macro References'!R$86,Calculations!$AT79,"")</f>
        <v/>
      </c>
      <c r="S106" s="20" t="str">
        <f>IF(Calculations!$BQ79='Macro References'!S$86,Calculations!$AT79,"")</f>
        <v/>
      </c>
      <c r="T106" s="20" t="str">
        <f>IF(Calculations!$BQ79='Macro References'!T$86,Calculations!$AT79,"")</f>
        <v/>
      </c>
      <c r="U106" s="20" t="str">
        <f>IF(Calculations!$BQ79='Macro References'!U$86,Calculations!$AT79,"")</f>
        <v/>
      </c>
      <c r="V106" s="20" t="str">
        <f>IF(Calculations!$BQ79='Macro References'!V$86,Calculations!$AT79,"")</f>
        <v/>
      </c>
      <c r="W106" s="20" t="str">
        <f>IF(Calculations!$BQ79='Macro References'!W$86,Calculations!$AT79,"")</f>
        <v/>
      </c>
      <c r="X106" s="20" t="str">
        <f>IF(Calculations!$BQ79='Macro References'!X$86,Calculations!$AT79,"")</f>
        <v/>
      </c>
      <c r="Y106" s="20" t="str">
        <f>IF(Calculations!$BQ79='Macro References'!Y$86,Calculations!$AT79,"")</f>
        <v/>
      </c>
      <c r="Z106" s="20" t="str">
        <f>IF(Calculations!$BQ79='Macro References'!Z$86,Calculations!$AT79,"")</f>
        <v/>
      </c>
      <c r="AA106" s="20" t="str">
        <f>IF(Calculations!$BQ79='Macro References'!AA$86,Calculations!$AT79,"")</f>
        <v/>
      </c>
      <c r="AB106" s="20" t="str">
        <f>IF(Calculations!$BQ79='Macro References'!AB$86,Calculations!$AT79,"")</f>
        <v/>
      </c>
      <c r="AC106" s="20" t="str">
        <f>IF(Calculations!$BQ79='Macro References'!AC$86,Calculations!$AT79,"")</f>
        <v/>
      </c>
      <c r="AD106" s="20" t="str">
        <f>IF(Calculations!$BQ79='Macro References'!AD$86,Calculations!$AT79,"")</f>
        <v/>
      </c>
      <c r="AE106" s="20" t="str">
        <f>IF(Calculations!$BQ79='Macro References'!AE$86,Calculations!$AT79,"")</f>
        <v/>
      </c>
    </row>
    <row r="107" spans="1:55" x14ac:dyDescent="0.2">
      <c r="A107" s="1">
        <v>2</v>
      </c>
      <c r="B107" s="20" t="str">
        <f>IF(Calculations!$BQ80='Macro References'!B$86,Calculations!$AT80,"")</f>
        <v/>
      </c>
      <c r="C107" s="20" t="str">
        <f>IF(Calculations!$BQ80='Macro References'!C$86,Calculations!$AT80,"")</f>
        <v/>
      </c>
      <c r="D107" s="20" t="str">
        <f>IF(Calculations!$BQ80='Macro References'!D$86,Calculations!$AT80,"")</f>
        <v/>
      </c>
      <c r="E107" s="20" t="str">
        <f>IF(Calculations!$BQ80='Macro References'!E$86,Calculations!$AT80,"")</f>
        <v/>
      </c>
      <c r="F107" s="20" t="str">
        <f>IF(Calculations!$BQ80='Macro References'!F$86,Calculations!$AT80,"")</f>
        <v/>
      </c>
      <c r="G107" s="20" t="str">
        <f>IF(Calculations!$BQ80='Macro References'!G$86,Calculations!$AT80,"")</f>
        <v/>
      </c>
      <c r="H107" s="20" t="str">
        <f>IF(Calculations!$BQ80='Macro References'!H$86,Calculations!$AT80,"")</f>
        <v/>
      </c>
      <c r="I107" s="20" t="str">
        <f>IF(Calculations!$BQ80='Macro References'!I$86,Calculations!$AT80,"")</f>
        <v/>
      </c>
      <c r="J107" s="20" t="str">
        <f>IF(Calculations!$BQ80='Macro References'!J$86,Calculations!$AT80,"")</f>
        <v/>
      </c>
      <c r="K107" s="20" t="str">
        <f>IF(Calculations!$BQ80='Macro References'!K$86,Calculations!$AT80,"")</f>
        <v/>
      </c>
      <c r="L107" s="20" t="str">
        <f>IF(Calculations!$BQ80='Macro References'!L$86,Calculations!$AT80,"")</f>
        <v/>
      </c>
      <c r="M107" s="20" t="str">
        <f>IF(Calculations!$BQ80='Macro References'!M$86,Calculations!$AT80,"")</f>
        <v/>
      </c>
      <c r="N107" s="20" t="str">
        <f>IF(Calculations!$BQ80='Macro References'!N$86,Calculations!$AT80,"")</f>
        <v/>
      </c>
      <c r="O107" s="20" t="str">
        <f>IF(Calculations!$BQ80='Macro References'!O$86,Calculations!$AT80,"")</f>
        <v/>
      </c>
      <c r="P107" s="20" t="str">
        <f>IF(Calculations!$BQ80='Macro References'!P$86,Calculations!$AT80,"")</f>
        <v/>
      </c>
      <c r="Q107" s="20" t="str">
        <f>IF(Calculations!$BQ80='Macro References'!Q$86,Calculations!$AT80,"")</f>
        <v/>
      </c>
      <c r="R107" s="20" t="str">
        <f>IF(Calculations!$BQ80='Macro References'!R$86,Calculations!$AT80,"")</f>
        <v/>
      </c>
      <c r="S107" s="20" t="str">
        <f>IF(Calculations!$BQ80='Macro References'!S$86,Calculations!$AT80,"")</f>
        <v/>
      </c>
      <c r="T107" s="20" t="str">
        <f>IF(Calculations!$BQ80='Macro References'!T$86,Calculations!$AT80,"")</f>
        <v/>
      </c>
      <c r="U107" s="20" t="str">
        <f>IF(Calculations!$BQ80='Macro References'!U$86,Calculations!$AT80,"")</f>
        <v/>
      </c>
      <c r="V107" s="20" t="str">
        <f>IF(Calculations!$BQ80='Macro References'!V$86,Calculations!$AT80,"")</f>
        <v/>
      </c>
      <c r="W107" s="20" t="str">
        <f>IF(Calculations!$BQ80='Macro References'!W$86,Calculations!$AT80,"")</f>
        <v/>
      </c>
      <c r="X107" s="20" t="str">
        <f>IF(Calculations!$BQ80='Macro References'!X$86,Calculations!$AT80,"")</f>
        <v/>
      </c>
      <c r="Y107" s="20" t="str">
        <f>IF(Calculations!$BQ80='Macro References'!Y$86,Calculations!$AT80,"")</f>
        <v/>
      </c>
      <c r="Z107" s="20" t="str">
        <f>IF(Calculations!$BQ80='Macro References'!Z$86,Calculations!$AT80,"")</f>
        <v/>
      </c>
      <c r="AA107" s="20" t="str">
        <f>IF(Calculations!$BQ80='Macro References'!AA$86,Calculations!$AT80,"")</f>
        <v/>
      </c>
      <c r="AB107" s="20" t="str">
        <f>IF(Calculations!$BQ80='Macro References'!AB$86,Calculations!$AT80,"")</f>
        <v/>
      </c>
      <c r="AC107" s="20" t="str">
        <f>IF(Calculations!$BQ80='Macro References'!AC$86,Calculations!$AT80,"")</f>
        <v/>
      </c>
      <c r="AD107" s="20" t="str">
        <f>IF(Calculations!$BQ80='Macro References'!AD$86,Calculations!$AT80,"")</f>
        <v/>
      </c>
      <c r="AE107" s="20" t="str">
        <f>IF(Calculations!$BQ80='Macro References'!AE$86,Calculations!$AT80,"")</f>
        <v/>
      </c>
    </row>
    <row r="108" spans="1:55" x14ac:dyDescent="0.2">
      <c r="A108" s="1">
        <v>3</v>
      </c>
      <c r="B108" s="20" t="str">
        <f>IF(Calculations!$BQ81='Macro References'!B$86,Calculations!$AT81,"")</f>
        <v/>
      </c>
      <c r="C108" s="20" t="str">
        <f>IF(Calculations!$BQ81='Macro References'!C$86,Calculations!$AT81,"")</f>
        <v/>
      </c>
      <c r="D108" s="20" t="str">
        <f>IF(Calculations!$BQ81='Macro References'!D$86,Calculations!$AT81,"")</f>
        <v/>
      </c>
      <c r="E108" s="20" t="str">
        <f>IF(Calculations!$BQ81='Macro References'!E$86,Calculations!$AT81,"")</f>
        <v/>
      </c>
      <c r="F108" s="20" t="str">
        <f>IF(Calculations!$BQ81='Macro References'!F$86,Calculations!$AT81,"")</f>
        <v/>
      </c>
      <c r="G108" s="20" t="str">
        <f>IF(Calculations!$BQ81='Macro References'!G$86,Calculations!$AT81,"")</f>
        <v/>
      </c>
      <c r="H108" s="20" t="str">
        <f>IF(Calculations!$BQ81='Macro References'!H$86,Calculations!$AT81,"")</f>
        <v/>
      </c>
      <c r="I108" s="20" t="str">
        <f>IF(Calculations!$BQ81='Macro References'!I$86,Calculations!$AT81,"")</f>
        <v/>
      </c>
      <c r="J108" s="20" t="str">
        <f>IF(Calculations!$BQ81='Macro References'!J$86,Calculations!$AT81,"")</f>
        <v/>
      </c>
      <c r="K108" s="20" t="str">
        <f>IF(Calculations!$BQ81='Macro References'!K$86,Calculations!$AT81,"")</f>
        <v/>
      </c>
      <c r="L108" s="20" t="str">
        <f>IF(Calculations!$BQ81='Macro References'!L$86,Calculations!$AT81,"")</f>
        <v/>
      </c>
      <c r="M108" s="20" t="str">
        <f>IF(Calculations!$BQ81='Macro References'!M$86,Calculations!$AT81,"")</f>
        <v/>
      </c>
      <c r="N108" s="20" t="str">
        <f>IF(Calculations!$BQ81='Macro References'!N$86,Calculations!$AT81,"")</f>
        <v/>
      </c>
      <c r="O108" s="20" t="str">
        <f>IF(Calculations!$BQ81='Macro References'!O$86,Calculations!$AT81,"")</f>
        <v/>
      </c>
      <c r="P108" s="20" t="str">
        <f>IF(Calculations!$BQ81='Macro References'!P$86,Calculations!$AT81,"")</f>
        <v/>
      </c>
      <c r="Q108" s="20" t="str">
        <f>IF(Calculations!$BQ81='Macro References'!Q$86,Calculations!$AT81,"")</f>
        <v/>
      </c>
      <c r="R108" s="20" t="str">
        <f>IF(Calculations!$BQ81='Macro References'!R$86,Calculations!$AT81,"")</f>
        <v/>
      </c>
      <c r="S108" s="20" t="str">
        <f>IF(Calculations!$BQ81='Macro References'!S$86,Calculations!$AT81,"")</f>
        <v/>
      </c>
      <c r="T108" s="20" t="str">
        <f>IF(Calculations!$BQ81='Macro References'!T$86,Calculations!$AT81,"")</f>
        <v/>
      </c>
      <c r="U108" s="20" t="str">
        <f>IF(Calculations!$BQ81='Macro References'!U$86,Calculations!$AT81,"")</f>
        <v/>
      </c>
      <c r="V108" s="20" t="str">
        <f>IF(Calculations!$BQ81='Macro References'!V$86,Calculations!$AT81,"")</f>
        <v/>
      </c>
      <c r="W108" s="20" t="str">
        <f>IF(Calculations!$BQ81='Macro References'!W$86,Calculations!$AT81,"")</f>
        <v/>
      </c>
      <c r="X108" s="20" t="str">
        <f>IF(Calculations!$BQ81='Macro References'!X$86,Calculations!$AT81,"")</f>
        <v/>
      </c>
      <c r="Y108" s="20" t="str">
        <f>IF(Calculations!$BQ81='Macro References'!Y$86,Calculations!$AT81,"")</f>
        <v/>
      </c>
      <c r="Z108" s="20" t="str">
        <f>IF(Calculations!$BQ81='Macro References'!Z$86,Calculations!$AT81,"")</f>
        <v/>
      </c>
      <c r="AA108" s="20" t="str">
        <f>IF(Calculations!$BQ81='Macro References'!AA$86,Calculations!$AT81,"")</f>
        <v/>
      </c>
      <c r="AB108" s="20" t="str">
        <f>IF(Calculations!$BQ81='Macro References'!AB$86,Calculations!$AT81,"")</f>
        <v/>
      </c>
      <c r="AC108" s="20" t="str">
        <f>IF(Calculations!$BQ81='Macro References'!AC$86,Calculations!$AT81,"")</f>
        <v/>
      </c>
      <c r="AD108" s="20" t="str">
        <f>IF(Calculations!$BQ81='Macro References'!AD$86,Calculations!$AT81,"")</f>
        <v/>
      </c>
      <c r="AE108" s="20" t="str">
        <f>IF(Calculations!$BQ81='Macro References'!AE$86,Calculations!$AT81,"")</f>
        <v/>
      </c>
    </row>
    <row r="109" spans="1:55" x14ac:dyDescent="0.2">
      <c r="A109" s="1">
        <v>4</v>
      </c>
      <c r="B109" s="20" t="str">
        <f>IF(Calculations!$BQ82='Macro References'!B$86,Calculations!$AT82,"")</f>
        <v/>
      </c>
      <c r="C109" s="20" t="str">
        <f>IF(Calculations!$BQ82='Macro References'!C$86,Calculations!$AT82,"")</f>
        <v/>
      </c>
      <c r="D109" s="20" t="str">
        <f>IF(Calculations!$BQ82='Macro References'!D$86,Calculations!$AT82,"")</f>
        <v/>
      </c>
      <c r="E109" s="20" t="str">
        <f>IF(Calculations!$BQ82='Macro References'!E$86,Calculations!$AT82,"")</f>
        <v/>
      </c>
      <c r="F109" s="20" t="str">
        <f>IF(Calculations!$BQ82='Macro References'!F$86,Calculations!$AT82,"")</f>
        <v/>
      </c>
      <c r="G109" s="20" t="str">
        <f>IF(Calculations!$BQ82='Macro References'!G$86,Calculations!$AT82,"")</f>
        <v/>
      </c>
      <c r="H109" s="20" t="str">
        <f>IF(Calculations!$BQ82='Macro References'!H$86,Calculations!$AT82,"")</f>
        <v/>
      </c>
      <c r="I109" s="20" t="str">
        <f>IF(Calculations!$BQ82='Macro References'!I$86,Calculations!$AT82,"")</f>
        <v/>
      </c>
      <c r="J109" s="20" t="str">
        <f>IF(Calculations!$BQ82='Macro References'!J$86,Calculations!$AT82,"")</f>
        <v/>
      </c>
      <c r="K109" s="20" t="str">
        <f>IF(Calculations!$BQ82='Macro References'!K$86,Calculations!$AT82,"")</f>
        <v/>
      </c>
      <c r="L109" s="20" t="str">
        <f>IF(Calculations!$BQ82='Macro References'!L$86,Calculations!$AT82,"")</f>
        <v/>
      </c>
      <c r="M109" s="20" t="str">
        <f>IF(Calculations!$BQ82='Macro References'!M$86,Calculations!$AT82,"")</f>
        <v/>
      </c>
      <c r="N109" s="20" t="str">
        <f>IF(Calculations!$BQ82='Macro References'!N$86,Calculations!$AT82,"")</f>
        <v/>
      </c>
      <c r="O109" s="20" t="str">
        <f>IF(Calculations!$BQ82='Macro References'!O$86,Calculations!$AT82,"")</f>
        <v/>
      </c>
      <c r="P109" s="20" t="str">
        <f>IF(Calculations!$BQ82='Macro References'!P$86,Calculations!$AT82,"")</f>
        <v/>
      </c>
      <c r="Q109" s="20" t="str">
        <f>IF(Calculations!$BQ82='Macro References'!Q$86,Calculations!$AT82,"")</f>
        <v/>
      </c>
      <c r="R109" s="20" t="str">
        <f>IF(Calculations!$BQ82='Macro References'!R$86,Calculations!$AT82,"")</f>
        <v/>
      </c>
      <c r="S109" s="20" t="str">
        <f>IF(Calculations!$BQ82='Macro References'!S$86,Calculations!$AT82,"")</f>
        <v/>
      </c>
      <c r="T109" s="20" t="str">
        <f>IF(Calculations!$BQ82='Macro References'!T$86,Calculations!$AT82,"")</f>
        <v/>
      </c>
      <c r="U109" s="20" t="str">
        <f>IF(Calculations!$BQ82='Macro References'!U$86,Calculations!$AT82,"")</f>
        <v/>
      </c>
      <c r="V109" s="20" t="str">
        <f>IF(Calculations!$BQ82='Macro References'!V$86,Calculations!$AT82,"")</f>
        <v/>
      </c>
      <c r="W109" s="20" t="str">
        <f>IF(Calculations!$BQ82='Macro References'!W$86,Calculations!$AT82,"")</f>
        <v/>
      </c>
      <c r="X109" s="20" t="str">
        <f>IF(Calculations!$BQ82='Macro References'!X$86,Calculations!$AT82,"")</f>
        <v/>
      </c>
      <c r="Y109" s="20" t="str">
        <f>IF(Calculations!$BQ82='Macro References'!Y$86,Calculations!$AT82,"")</f>
        <v/>
      </c>
      <c r="Z109" s="20" t="str">
        <f>IF(Calculations!$BQ82='Macro References'!Z$86,Calculations!$AT82,"")</f>
        <v/>
      </c>
      <c r="AA109" s="20" t="str">
        <f>IF(Calculations!$BQ82='Macro References'!AA$86,Calculations!$AT82,"")</f>
        <v/>
      </c>
      <c r="AB109" s="20" t="str">
        <f>IF(Calculations!$BQ82='Macro References'!AB$86,Calculations!$AT82,"")</f>
        <v/>
      </c>
      <c r="AC109" s="20" t="str">
        <f>IF(Calculations!$BQ82='Macro References'!AC$86,Calculations!$AT82,"")</f>
        <v/>
      </c>
      <c r="AD109" s="20" t="str">
        <f>IF(Calculations!$BQ82='Macro References'!AD$86,Calculations!$AT82,"")</f>
        <v/>
      </c>
      <c r="AE109" s="20" t="str">
        <f>IF(Calculations!$BQ82='Macro References'!AE$86,Calculations!$AT82,"")</f>
        <v/>
      </c>
    </row>
    <row r="110" spans="1:55" x14ac:dyDescent="0.2">
      <c r="A110" s="1">
        <v>5</v>
      </c>
      <c r="B110" s="20" t="str">
        <f>IF(Calculations!$BQ83='Macro References'!B$86,Calculations!$AT83,"")</f>
        <v/>
      </c>
      <c r="C110" s="20" t="str">
        <f>IF(Calculations!$BQ83='Macro References'!C$86,Calculations!$AT83,"")</f>
        <v/>
      </c>
      <c r="D110" s="20" t="str">
        <f>IF(Calculations!$BQ83='Macro References'!D$86,Calculations!$AT83,"")</f>
        <v/>
      </c>
      <c r="E110" s="20" t="str">
        <f>IF(Calculations!$BQ83='Macro References'!E$86,Calculations!$AT83,"")</f>
        <v/>
      </c>
      <c r="F110" s="20" t="str">
        <f>IF(Calculations!$BQ83='Macro References'!F$86,Calculations!$AT83,"")</f>
        <v/>
      </c>
      <c r="G110" s="20" t="str">
        <f>IF(Calculations!$BQ83='Macro References'!G$86,Calculations!$AT83,"")</f>
        <v/>
      </c>
      <c r="H110" s="20" t="str">
        <f>IF(Calculations!$BQ83='Macro References'!H$86,Calculations!$AT83,"")</f>
        <v/>
      </c>
      <c r="I110" s="20" t="str">
        <f>IF(Calculations!$BQ83='Macro References'!I$86,Calculations!$AT83,"")</f>
        <v/>
      </c>
      <c r="J110" s="20" t="str">
        <f>IF(Calculations!$BQ83='Macro References'!J$86,Calculations!$AT83,"")</f>
        <v/>
      </c>
      <c r="K110" s="20" t="str">
        <f>IF(Calculations!$BQ83='Macro References'!K$86,Calculations!$AT83,"")</f>
        <v/>
      </c>
      <c r="L110" s="20" t="str">
        <f>IF(Calculations!$BQ83='Macro References'!L$86,Calculations!$AT83,"")</f>
        <v/>
      </c>
      <c r="M110" s="20" t="str">
        <f>IF(Calculations!$BQ83='Macro References'!M$86,Calculations!$AT83,"")</f>
        <v/>
      </c>
      <c r="N110" s="20" t="str">
        <f>IF(Calculations!$BQ83='Macro References'!N$86,Calculations!$AT83,"")</f>
        <v/>
      </c>
      <c r="O110" s="20" t="str">
        <f>IF(Calculations!$BQ83='Macro References'!O$86,Calculations!$AT83,"")</f>
        <v/>
      </c>
      <c r="P110" s="20" t="str">
        <f>IF(Calculations!$BQ83='Macro References'!P$86,Calculations!$AT83,"")</f>
        <v/>
      </c>
      <c r="Q110" s="20" t="str">
        <f>IF(Calculations!$BQ83='Macro References'!Q$86,Calculations!$AT83,"")</f>
        <v/>
      </c>
      <c r="R110" s="20" t="str">
        <f>IF(Calculations!$BQ83='Macro References'!R$86,Calculations!$AT83,"")</f>
        <v/>
      </c>
      <c r="S110" s="20" t="str">
        <f>IF(Calculations!$BQ83='Macro References'!S$86,Calculations!$AT83,"")</f>
        <v/>
      </c>
      <c r="T110" s="20" t="str">
        <f>IF(Calculations!$BQ83='Macro References'!T$86,Calculations!$AT83,"")</f>
        <v/>
      </c>
      <c r="U110" s="20" t="str">
        <f>IF(Calculations!$BQ83='Macro References'!U$86,Calculations!$AT83,"")</f>
        <v/>
      </c>
      <c r="V110" s="20" t="str">
        <f>IF(Calculations!$BQ83='Macro References'!V$86,Calculations!$AT83,"")</f>
        <v/>
      </c>
      <c r="W110" s="20" t="str">
        <f>IF(Calculations!$BQ83='Macro References'!W$86,Calculations!$AT83,"")</f>
        <v/>
      </c>
      <c r="X110" s="20" t="str">
        <f>IF(Calculations!$BQ83='Macro References'!X$86,Calculations!$AT83,"")</f>
        <v/>
      </c>
      <c r="Y110" s="20" t="str">
        <f>IF(Calculations!$BQ83='Macro References'!Y$86,Calculations!$AT83,"")</f>
        <v/>
      </c>
      <c r="Z110" s="20" t="str">
        <f>IF(Calculations!$BQ83='Macro References'!Z$86,Calculations!$AT83,"")</f>
        <v/>
      </c>
      <c r="AA110" s="20" t="str">
        <f>IF(Calculations!$BQ83='Macro References'!AA$86,Calculations!$AT83,"")</f>
        <v/>
      </c>
      <c r="AB110" s="20" t="str">
        <f>IF(Calculations!$BQ83='Macro References'!AB$86,Calculations!$AT83,"")</f>
        <v/>
      </c>
      <c r="AC110" s="20" t="str">
        <f>IF(Calculations!$BQ83='Macro References'!AC$86,Calculations!$AT83,"")</f>
        <v/>
      </c>
      <c r="AD110" s="20" t="str">
        <f>IF(Calculations!$BQ83='Macro References'!AD$86,Calculations!$AT83,"")</f>
        <v/>
      </c>
      <c r="AE110" s="20" t="str">
        <f>IF(Calculations!$BQ83='Macro References'!AE$86,Calculations!$AT83,"")</f>
        <v/>
      </c>
    </row>
    <row r="111" spans="1:55" x14ac:dyDescent="0.2">
      <c r="A111" s="1">
        <v>6</v>
      </c>
      <c r="B111" s="20" t="str">
        <f>IF(Calculations!$BQ84='Macro References'!B$86,Calculations!$AT84,"")</f>
        <v/>
      </c>
      <c r="C111" s="20" t="str">
        <f>IF(Calculations!$BQ84='Macro References'!C$86,Calculations!$AT84,"")</f>
        <v/>
      </c>
      <c r="D111" s="20" t="str">
        <f>IF(Calculations!$BQ84='Macro References'!D$86,Calculations!$AT84,"")</f>
        <v/>
      </c>
      <c r="E111" s="20" t="str">
        <f>IF(Calculations!$BQ84='Macro References'!E$86,Calculations!$AT84,"")</f>
        <v/>
      </c>
      <c r="F111" s="20" t="str">
        <f>IF(Calculations!$BQ84='Macro References'!F$86,Calculations!$AT84,"")</f>
        <v/>
      </c>
      <c r="G111" s="20" t="str">
        <f>IF(Calculations!$BQ84='Macro References'!G$86,Calculations!$AT84,"")</f>
        <v/>
      </c>
      <c r="H111" s="20" t="str">
        <f>IF(Calculations!$BQ84='Macro References'!H$86,Calculations!$AT84,"")</f>
        <v/>
      </c>
      <c r="I111" s="20" t="str">
        <f>IF(Calculations!$BQ84='Macro References'!I$86,Calculations!$AT84,"")</f>
        <v/>
      </c>
      <c r="J111" s="20" t="str">
        <f>IF(Calculations!$BQ84='Macro References'!J$86,Calculations!$AT84,"")</f>
        <v/>
      </c>
      <c r="K111" s="20" t="str">
        <f>IF(Calculations!$BQ84='Macro References'!K$86,Calculations!$AT84,"")</f>
        <v/>
      </c>
      <c r="L111" s="20" t="str">
        <f>IF(Calculations!$BQ84='Macro References'!L$86,Calculations!$AT84,"")</f>
        <v/>
      </c>
      <c r="M111" s="20" t="str">
        <f>IF(Calculations!$BQ84='Macro References'!M$86,Calculations!$AT84,"")</f>
        <v/>
      </c>
      <c r="N111" s="20" t="str">
        <f>IF(Calculations!$BQ84='Macro References'!N$86,Calculations!$AT84,"")</f>
        <v/>
      </c>
      <c r="O111" s="20" t="str">
        <f>IF(Calculations!$BQ84='Macro References'!O$86,Calculations!$AT84,"")</f>
        <v/>
      </c>
      <c r="P111" s="20" t="str">
        <f>IF(Calculations!$BQ84='Macro References'!P$86,Calculations!$AT84,"")</f>
        <v/>
      </c>
      <c r="Q111" s="20" t="str">
        <f>IF(Calculations!$BQ84='Macro References'!Q$86,Calculations!$AT84,"")</f>
        <v/>
      </c>
      <c r="R111" s="20" t="str">
        <f>IF(Calculations!$BQ84='Macro References'!R$86,Calculations!$AT84,"")</f>
        <v/>
      </c>
      <c r="S111" s="20" t="str">
        <f>IF(Calculations!$BQ84='Macro References'!S$86,Calculations!$AT84,"")</f>
        <v/>
      </c>
      <c r="T111" s="20" t="str">
        <f>IF(Calculations!$BQ84='Macro References'!T$86,Calculations!$AT84,"")</f>
        <v/>
      </c>
      <c r="U111" s="20" t="str">
        <f>IF(Calculations!$BQ84='Macro References'!U$86,Calculations!$AT84,"")</f>
        <v/>
      </c>
      <c r="V111" s="20" t="str">
        <f>IF(Calculations!$BQ84='Macro References'!V$86,Calculations!$AT84,"")</f>
        <v/>
      </c>
      <c r="W111" s="20" t="str">
        <f>IF(Calculations!$BQ84='Macro References'!W$86,Calculations!$AT84,"")</f>
        <v/>
      </c>
      <c r="X111" s="20" t="str">
        <f>IF(Calculations!$BQ84='Macro References'!X$86,Calculations!$AT84,"")</f>
        <v/>
      </c>
      <c r="Y111" s="20" t="str">
        <f>IF(Calculations!$BQ84='Macro References'!Y$86,Calculations!$AT84,"")</f>
        <v/>
      </c>
      <c r="Z111" s="20" t="str">
        <f>IF(Calculations!$BQ84='Macro References'!Z$86,Calculations!$AT84,"")</f>
        <v/>
      </c>
      <c r="AA111" s="20" t="str">
        <f>IF(Calculations!$BQ84='Macro References'!AA$86,Calculations!$AT84,"")</f>
        <v/>
      </c>
      <c r="AB111" s="20" t="str">
        <f>IF(Calculations!$BQ84='Macro References'!AB$86,Calculations!$AT84,"")</f>
        <v/>
      </c>
      <c r="AC111" s="20" t="str">
        <f>IF(Calculations!$BQ84='Macro References'!AC$86,Calculations!$AT84,"")</f>
        <v/>
      </c>
      <c r="AD111" s="20" t="str">
        <f>IF(Calculations!$BQ84='Macro References'!AD$86,Calculations!$AT84,"")</f>
        <v/>
      </c>
      <c r="AE111" s="20" t="str">
        <f>IF(Calculations!$BQ84='Macro References'!AE$86,Calculations!$AT84,"")</f>
        <v/>
      </c>
    </row>
    <row r="112" spans="1:55" x14ac:dyDescent="0.2">
      <c r="A112" s="1">
        <v>7</v>
      </c>
      <c r="B112" s="20" t="str">
        <f>IF(Calculations!$BQ85='Macro References'!B$86,Calculations!$AT85,"")</f>
        <v/>
      </c>
      <c r="C112" s="20" t="str">
        <f>IF(Calculations!$BQ85='Macro References'!C$86,Calculations!$AT85,"")</f>
        <v/>
      </c>
      <c r="D112" s="20" t="str">
        <f>IF(Calculations!$BQ85='Macro References'!D$86,Calculations!$AT85,"")</f>
        <v/>
      </c>
      <c r="E112" s="20" t="str">
        <f>IF(Calculations!$BQ85='Macro References'!E$86,Calculations!$AT85,"")</f>
        <v/>
      </c>
      <c r="F112" s="20" t="str">
        <f>IF(Calculations!$BQ85='Macro References'!F$86,Calculations!$AT85,"")</f>
        <v/>
      </c>
      <c r="G112" s="20" t="str">
        <f>IF(Calculations!$BQ85='Macro References'!G$86,Calculations!$AT85,"")</f>
        <v/>
      </c>
      <c r="H112" s="20" t="str">
        <f>IF(Calculations!$BQ85='Macro References'!H$86,Calculations!$AT85,"")</f>
        <v/>
      </c>
      <c r="I112" s="20" t="str">
        <f>IF(Calculations!$BQ85='Macro References'!I$86,Calculations!$AT85,"")</f>
        <v/>
      </c>
      <c r="J112" s="20" t="str">
        <f>IF(Calculations!$BQ85='Macro References'!J$86,Calculations!$AT85,"")</f>
        <v/>
      </c>
      <c r="K112" s="20" t="str">
        <f>IF(Calculations!$BQ85='Macro References'!K$86,Calculations!$AT85,"")</f>
        <v/>
      </c>
      <c r="L112" s="20" t="str">
        <f>IF(Calculations!$BQ85='Macro References'!L$86,Calculations!$AT85,"")</f>
        <v/>
      </c>
      <c r="M112" s="20" t="str">
        <f>IF(Calculations!$BQ85='Macro References'!M$86,Calculations!$AT85,"")</f>
        <v/>
      </c>
      <c r="N112" s="20" t="str">
        <f>IF(Calculations!$BQ85='Macro References'!N$86,Calculations!$AT85,"")</f>
        <v/>
      </c>
      <c r="O112" s="20" t="str">
        <f>IF(Calculations!$BQ85='Macro References'!O$86,Calculations!$AT85,"")</f>
        <v/>
      </c>
      <c r="P112" s="20" t="str">
        <f>IF(Calculations!$BQ85='Macro References'!P$86,Calculations!$AT85,"")</f>
        <v/>
      </c>
      <c r="Q112" s="20" t="str">
        <f>IF(Calculations!$BQ85='Macro References'!Q$86,Calculations!$AT85,"")</f>
        <v/>
      </c>
      <c r="R112" s="20" t="str">
        <f>IF(Calculations!$BQ85='Macro References'!R$86,Calculations!$AT85,"")</f>
        <v/>
      </c>
      <c r="S112" s="20" t="str">
        <f>IF(Calculations!$BQ85='Macro References'!S$86,Calculations!$AT85,"")</f>
        <v/>
      </c>
      <c r="T112" s="20" t="str">
        <f>IF(Calculations!$BQ85='Macro References'!T$86,Calculations!$AT85,"")</f>
        <v/>
      </c>
      <c r="U112" s="20" t="str">
        <f>IF(Calculations!$BQ85='Macro References'!U$86,Calculations!$AT85,"")</f>
        <v/>
      </c>
      <c r="V112" s="20" t="str">
        <f>IF(Calculations!$BQ85='Macro References'!V$86,Calculations!$AT85,"")</f>
        <v/>
      </c>
      <c r="W112" s="20" t="str">
        <f>IF(Calculations!$BQ85='Macro References'!W$86,Calculations!$AT85,"")</f>
        <v/>
      </c>
      <c r="X112" s="20" t="str">
        <f>IF(Calculations!$BQ85='Macro References'!X$86,Calculations!$AT85,"")</f>
        <v/>
      </c>
      <c r="Y112" s="20" t="str">
        <f>IF(Calculations!$BQ85='Macro References'!Y$86,Calculations!$AT85,"")</f>
        <v/>
      </c>
      <c r="Z112" s="20" t="str">
        <f>IF(Calculations!$BQ85='Macro References'!Z$86,Calculations!$AT85,"")</f>
        <v/>
      </c>
      <c r="AA112" s="20" t="str">
        <f>IF(Calculations!$BQ85='Macro References'!AA$86,Calculations!$AT85,"")</f>
        <v/>
      </c>
      <c r="AB112" s="20" t="str">
        <f>IF(Calculations!$BQ85='Macro References'!AB$86,Calculations!$AT85,"")</f>
        <v/>
      </c>
      <c r="AC112" s="20" t="str">
        <f>IF(Calculations!$BQ85='Macro References'!AC$86,Calculations!$AT85,"")</f>
        <v/>
      </c>
      <c r="AD112" s="20" t="str">
        <f>IF(Calculations!$BQ85='Macro References'!AD$86,Calculations!$AT85,"")</f>
        <v/>
      </c>
      <c r="AE112" s="20" t="str">
        <f>IF(Calculations!$BQ85='Macro References'!AE$86,Calculations!$AT85,"")</f>
        <v/>
      </c>
    </row>
    <row r="113" spans="1:31" x14ac:dyDescent="0.2">
      <c r="A113" s="1">
        <v>8</v>
      </c>
      <c r="B113" s="20" t="str">
        <f>IF(Calculations!$BQ86='Macro References'!B$86,Calculations!$AT86,"")</f>
        <v/>
      </c>
      <c r="C113" s="20" t="str">
        <f>IF(Calculations!$BQ86='Macro References'!C$86,Calculations!$AT86,"")</f>
        <v/>
      </c>
      <c r="D113" s="20" t="str">
        <f>IF(Calculations!$BQ86='Macro References'!D$86,Calculations!$AT86,"")</f>
        <v/>
      </c>
      <c r="E113" s="20" t="str">
        <f>IF(Calculations!$BQ86='Macro References'!E$86,Calculations!$AT86,"")</f>
        <v/>
      </c>
      <c r="F113" s="20" t="str">
        <f>IF(Calculations!$BQ86='Macro References'!F$86,Calculations!$AT86,"")</f>
        <v/>
      </c>
      <c r="G113" s="20" t="str">
        <f>IF(Calculations!$BQ86='Macro References'!G$86,Calculations!$AT86,"")</f>
        <v/>
      </c>
      <c r="H113" s="20" t="str">
        <f>IF(Calculations!$BQ86='Macro References'!H$86,Calculations!$AT86,"")</f>
        <v/>
      </c>
      <c r="I113" s="20" t="str">
        <f>IF(Calculations!$BQ86='Macro References'!I$86,Calculations!$AT86,"")</f>
        <v/>
      </c>
      <c r="J113" s="20" t="str">
        <f>IF(Calculations!$BQ86='Macro References'!J$86,Calculations!$AT86,"")</f>
        <v/>
      </c>
      <c r="K113" s="20" t="str">
        <f>IF(Calculations!$BQ86='Macro References'!K$86,Calculations!$AT86,"")</f>
        <v/>
      </c>
      <c r="L113" s="20" t="str">
        <f>IF(Calculations!$BQ86='Macro References'!L$86,Calculations!$AT86,"")</f>
        <v/>
      </c>
      <c r="M113" s="20" t="str">
        <f>IF(Calculations!$BQ86='Macro References'!M$86,Calculations!$AT86,"")</f>
        <v/>
      </c>
      <c r="N113" s="20" t="str">
        <f>IF(Calculations!$BQ86='Macro References'!N$86,Calculations!$AT86,"")</f>
        <v/>
      </c>
      <c r="O113" s="20" t="str">
        <f>IF(Calculations!$BQ86='Macro References'!O$86,Calculations!$AT86,"")</f>
        <v/>
      </c>
      <c r="P113" s="20" t="str">
        <f>IF(Calculations!$BQ86='Macro References'!P$86,Calculations!$AT86,"")</f>
        <v/>
      </c>
      <c r="Q113" s="20" t="str">
        <f>IF(Calculations!$BQ86='Macro References'!Q$86,Calculations!$AT86,"")</f>
        <v/>
      </c>
      <c r="R113" s="20" t="str">
        <f>IF(Calculations!$BQ86='Macro References'!R$86,Calculations!$AT86,"")</f>
        <v/>
      </c>
      <c r="S113" s="20" t="str">
        <f>IF(Calculations!$BQ86='Macro References'!S$86,Calculations!$AT86,"")</f>
        <v/>
      </c>
      <c r="T113" s="20" t="str">
        <f>IF(Calculations!$BQ86='Macro References'!T$86,Calculations!$AT86,"")</f>
        <v/>
      </c>
      <c r="U113" s="20" t="str">
        <f>IF(Calculations!$BQ86='Macro References'!U$86,Calculations!$AT86,"")</f>
        <v/>
      </c>
      <c r="V113" s="20" t="str">
        <f>IF(Calculations!$BQ86='Macro References'!V$86,Calculations!$AT86,"")</f>
        <v/>
      </c>
      <c r="W113" s="20" t="str">
        <f>IF(Calculations!$BQ86='Macro References'!W$86,Calculations!$AT86,"")</f>
        <v/>
      </c>
      <c r="X113" s="20" t="str">
        <f>IF(Calculations!$BQ86='Macro References'!X$86,Calculations!$AT86,"")</f>
        <v/>
      </c>
      <c r="Y113" s="20" t="str">
        <f>IF(Calculations!$BQ86='Macro References'!Y$86,Calculations!$AT86,"")</f>
        <v/>
      </c>
      <c r="Z113" s="20" t="str">
        <f>IF(Calculations!$BQ86='Macro References'!Z$86,Calculations!$AT86,"")</f>
        <v/>
      </c>
      <c r="AA113" s="20" t="str">
        <f>IF(Calculations!$BQ86='Macro References'!AA$86,Calculations!$AT86,"")</f>
        <v/>
      </c>
      <c r="AB113" s="20" t="str">
        <f>IF(Calculations!$BQ86='Macro References'!AB$86,Calculations!$AT86,"")</f>
        <v/>
      </c>
      <c r="AC113" s="20" t="str">
        <f>IF(Calculations!$BQ86='Macro References'!AC$86,Calculations!$AT86,"")</f>
        <v/>
      </c>
      <c r="AD113" s="20" t="str">
        <f>IF(Calculations!$BQ86='Macro References'!AD$86,Calculations!$AT86,"")</f>
        <v/>
      </c>
      <c r="AE113" s="20" t="str">
        <f>IF(Calculations!$BQ86='Macro References'!AE$86,Calculations!$AT86,"")</f>
        <v/>
      </c>
    </row>
    <row r="114" spans="1:31" x14ac:dyDescent="0.2">
      <c r="A114" s="1">
        <v>9</v>
      </c>
      <c r="B114" s="20" t="str">
        <f>IF(Calculations!$BQ87='Macro References'!B$86,Calculations!$AT87,"")</f>
        <v/>
      </c>
      <c r="C114" s="20" t="str">
        <f>IF(Calculations!$BQ87='Macro References'!C$86,Calculations!$AT87,"")</f>
        <v/>
      </c>
      <c r="D114" s="20" t="str">
        <f>IF(Calculations!$BQ87='Macro References'!D$86,Calculations!$AT87,"")</f>
        <v/>
      </c>
      <c r="E114" s="20" t="str">
        <f>IF(Calculations!$BQ87='Macro References'!E$86,Calculations!$AT87,"")</f>
        <v/>
      </c>
      <c r="F114" s="20" t="str">
        <f>IF(Calculations!$BQ87='Macro References'!F$86,Calculations!$AT87,"")</f>
        <v/>
      </c>
      <c r="G114" s="20" t="str">
        <f>IF(Calculations!$BQ87='Macro References'!G$86,Calculations!$AT87,"")</f>
        <v/>
      </c>
      <c r="H114" s="20" t="str">
        <f>IF(Calculations!$BQ87='Macro References'!H$86,Calculations!$AT87,"")</f>
        <v/>
      </c>
      <c r="I114" s="20" t="str">
        <f>IF(Calculations!$BQ87='Macro References'!I$86,Calculations!$AT87,"")</f>
        <v/>
      </c>
      <c r="J114" s="20" t="str">
        <f>IF(Calculations!$BQ87='Macro References'!J$86,Calculations!$AT87,"")</f>
        <v/>
      </c>
      <c r="K114" s="20" t="str">
        <f>IF(Calculations!$BQ87='Macro References'!K$86,Calculations!$AT87,"")</f>
        <v/>
      </c>
      <c r="L114" s="20" t="str">
        <f>IF(Calculations!$BQ87='Macro References'!L$86,Calculations!$AT87,"")</f>
        <v/>
      </c>
      <c r="M114" s="20" t="str">
        <f>IF(Calculations!$BQ87='Macro References'!M$86,Calculations!$AT87,"")</f>
        <v/>
      </c>
      <c r="N114" s="20" t="str">
        <f>IF(Calculations!$BQ87='Macro References'!N$86,Calculations!$AT87,"")</f>
        <v/>
      </c>
      <c r="O114" s="20" t="str">
        <f>IF(Calculations!$BQ87='Macro References'!O$86,Calculations!$AT87,"")</f>
        <v/>
      </c>
      <c r="P114" s="20" t="str">
        <f>IF(Calculations!$BQ87='Macro References'!P$86,Calculations!$AT87,"")</f>
        <v/>
      </c>
      <c r="Q114" s="20" t="str">
        <f>IF(Calculations!$BQ87='Macro References'!Q$86,Calculations!$AT87,"")</f>
        <v/>
      </c>
      <c r="R114" s="20" t="str">
        <f>IF(Calculations!$BQ87='Macro References'!R$86,Calculations!$AT87,"")</f>
        <v/>
      </c>
      <c r="S114" s="20" t="str">
        <f>IF(Calculations!$BQ87='Macro References'!S$86,Calculations!$AT87,"")</f>
        <v/>
      </c>
      <c r="T114" s="20" t="str">
        <f>IF(Calculations!$BQ87='Macro References'!T$86,Calculations!$AT87,"")</f>
        <v/>
      </c>
      <c r="U114" s="20" t="str">
        <f>IF(Calculations!$BQ87='Macro References'!U$86,Calculations!$AT87,"")</f>
        <v/>
      </c>
      <c r="V114" s="20" t="str">
        <f>IF(Calculations!$BQ87='Macro References'!V$86,Calculations!$AT87,"")</f>
        <v/>
      </c>
      <c r="W114" s="20" t="str">
        <f>IF(Calculations!$BQ87='Macro References'!W$86,Calculations!$AT87,"")</f>
        <v/>
      </c>
      <c r="X114" s="20" t="str">
        <f>IF(Calculations!$BQ87='Macro References'!X$86,Calculations!$AT87,"")</f>
        <v/>
      </c>
      <c r="Y114" s="20" t="str">
        <f>IF(Calculations!$BQ87='Macro References'!Y$86,Calculations!$AT87,"")</f>
        <v/>
      </c>
      <c r="Z114" s="20" t="str">
        <f>IF(Calculations!$BQ87='Macro References'!Z$86,Calculations!$AT87,"")</f>
        <v/>
      </c>
      <c r="AA114" s="20" t="str">
        <f>IF(Calculations!$BQ87='Macro References'!AA$86,Calculations!$AT87,"")</f>
        <v/>
      </c>
      <c r="AB114" s="20" t="str">
        <f>IF(Calculations!$BQ87='Macro References'!AB$86,Calculations!$AT87,"")</f>
        <v/>
      </c>
      <c r="AC114" s="20" t="str">
        <f>IF(Calculations!$BQ87='Macro References'!AC$86,Calculations!$AT87,"")</f>
        <v/>
      </c>
      <c r="AD114" s="20" t="str">
        <f>IF(Calculations!$BQ87='Macro References'!AD$86,Calculations!$AT87,"")</f>
        <v/>
      </c>
      <c r="AE114" s="20" t="str">
        <f>IF(Calculations!$BQ87='Macro References'!AE$86,Calculations!$AT87,"")</f>
        <v/>
      </c>
    </row>
    <row r="115" spans="1:31" x14ac:dyDescent="0.2">
      <c r="A115" s="1">
        <v>10</v>
      </c>
      <c r="B115" s="20" t="str">
        <f>IF(Calculations!$BQ88='Macro References'!B$86,Calculations!$AT88,"")</f>
        <v/>
      </c>
      <c r="C115" s="20" t="str">
        <f>IF(Calculations!$BQ88='Macro References'!C$86,Calculations!$AT88,"")</f>
        <v/>
      </c>
      <c r="D115" s="20" t="str">
        <f>IF(Calculations!$BQ88='Macro References'!D$86,Calculations!$AT88,"")</f>
        <v/>
      </c>
      <c r="E115" s="20" t="str">
        <f>IF(Calculations!$BQ88='Macro References'!E$86,Calculations!$AT88,"")</f>
        <v/>
      </c>
      <c r="F115" s="20" t="str">
        <f>IF(Calculations!$BQ88='Macro References'!F$86,Calculations!$AT88,"")</f>
        <v/>
      </c>
      <c r="G115" s="20" t="str">
        <f>IF(Calculations!$BQ88='Macro References'!G$86,Calculations!$AT88,"")</f>
        <v/>
      </c>
      <c r="H115" s="20" t="str">
        <f>IF(Calculations!$BQ88='Macro References'!H$86,Calculations!$AT88,"")</f>
        <v/>
      </c>
      <c r="I115" s="20" t="str">
        <f>IF(Calculations!$BQ88='Macro References'!I$86,Calculations!$AT88,"")</f>
        <v/>
      </c>
      <c r="J115" s="20" t="str">
        <f>IF(Calculations!$BQ88='Macro References'!J$86,Calculations!$AT88,"")</f>
        <v/>
      </c>
      <c r="K115" s="20" t="str">
        <f>IF(Calculations!$BQ88='Macro References'!K$86,Calculations!$AT88,"")</f>
        <v/>
      </c>
      <c r="L115" s="20" t="str">
        <f>IF(Calculations!$BQ88='Macro References'!L$86,Calculations!$AT88,"")</f>
        <v/>
      </c>
      <c r="M115" s="20" t="str">
        <f>IF(Calculations!$BQ88='Macro References'!M$86,Calculations!$AT88,"")</f>
        <v/>
      </c>
      <c r="N115" s="20" t="str">
        <f>IF(Calculations!$BQ88='Macro References'!N$86,Calculations!$AT88,"")</f>
        <v/>
      </c>
      <c r="O115" s="20" t="str">
        <f>IF(Calculations!$BQ88='Macro References'!O$86,Calculations!$AT88,"")</f>
        <v/>
      </c>
      <c r="P115" s="20" t="str">
        <f>IF(Calculations!$BQ88='Macro References'!P$86,Calculations!$AT88,"")</f>
        <v/>
      </c>
      <c r="Q115" s="20" t="str">
        <f>IF(Calculations!$BQ88='Macro References'!Q$86,Calculations!$AT88,"")</f>
        <v/>
      </c>
      <c r="R115" s="20" t="str">
        <f>IF(Calculations!$BQ88='Macro References'!R$86,Calculations!$AT88,"")</f>
        <v/>
      </c>
      <c r="S115" s="20" t="str">
        <f>IF(Calculations!$BQ88='Macro References'!S$86,Calculations!$AT88,"")</f>
        <v/>
      </c>
      <c r="T115" s="20" t="str">
        <f>IF(Calculations!$BQ88='Macro References'!T$86,Calculations!$AT88,"")</f>
        <v/>
      </c>
      <c r="U115" s="20" t="str">
        <f>IF(Calculations!$BQ88='Macro References'!U$86,Calculations!$AT88,"")</f>
        <v/>
      </c>
      <c r="V115" s="20" t="str">
        <f>IF(Calculations!$BQ88='Macro References'!V$86,Calculations!$AT88,"")</f>
        <v/>
      </c>
      <c r="W115" s="20" t="str">
        <f>IF(Calculations!$BQ88='Macro References'!W$86,Calculations!$AT88,"")</f>
        <v/>
      </c>
      <c r="X115" s="20" t="str">
        <f>IF(Calculations!$BQ88='Macro References'!X$86,Calculations!$AT88,"")</f>
        <v/>
      </c>
      <c r="Y115" s="20" t="str">
        <f>IF(Calculations!$BQ88='Macro References'!Y$86,Calculations!$AT88,"")</f>
        <v/>
      </c>
      <c r="Z115" s="20" t="str">
        <f>IF(Calculations!$BQ88='Macro References'!Z$86,Calculations!$AT88,"")</f>
        <v/>
      </c>
      <c r="AA115" s="20" t="str">
        <f>IF(Calculations!$BQ88='Macro References'!AA$86,Calculations!$AT88,"")</f>
        <v/>
      </c>
      <c r="AB115" s="20" t="str">
        <f>IF(Calculations!$BQ88='Macro References'!AB$86,Calculations!$AT88,"")</f>
        <v/>
      </c>
      <c r="AC115" s="20" t="str">
        <f>IF(Calculations!$BQ88='Macro References'!AC$86,Calculations!$AT88,"")</f>
        <v/>
      </c>
      <c r="AD115" s="20" t="str">
        <f>IF(Calculations!$BQ88='Macro References'!AD$86,Calculations!$AT88,"")</f>
        <v/>
      </c>
      <c r="AE115" s="20" t="str">
        <f>IF(Calculations!$BQ88='Macro References'!AE$86,Calculations!$AT88,"")</f>
        <v/>
      </c>
    </row>
    <row r="116" spans="1:31" x14ac:dyDescent="0.2">
      <c r="A116" s="1">
        <v>11</v>
      </c>
      <c r="B116" s="20" t="str">
        <f>IF(Calculations!$BQ89='Macro References'!B$86,Calculations!$AT89,"")</f>
        <v/>
      </c>
      <c r="C116" s="20" t="str">
        <f>IF(Calculations!$BQ89='Macro References'!C$86,Calculations!$AT89,"")</f>
        <v/>
      </c>
      <c r="D116" s="20" t="str">
        <f>IF(Calculations!$BQ89='Macro References'!D$86,Calculations!$AT89,"")</f>
        <v/>
      </c>
      <c r="E116" s="20" t="str">
        <f>IF(Calculations!$BQ89='Macro References'!E$86,Calculations!$AT89,"")</f>
        <v/>
      </c>
      <c r="F116" s="20" t="str">
        <f>IF(Calculations!$BQ89='Macro References'!F$86,Calculations!$AT89,"")</f>
        <v/>
      </c>
      <c r="G116" s="20" t="str">
        <f>IF(Calculations!$BQ89='Macro References'!G$86,Calculations!$AT89,"")</f>
        <v/>
      </c>
      <c r="H116" s="20" t="str">
        <f>IF(Calculations!$BQ89='Macro References'!H$86,Calculations!$AT89,"")</f>
        <v/>
      </c>
      <c r="I116" s="20" t="str">
        <f>IF(Calculations!$BQ89='Macro References'!I$86,Calculations!$AT89,"")</f>
        <v/>
      </c>
      <c r="J116" s="20" t="str">
        <f>IF(Calculations!$BQ89='Macro References'!J$86,Calculations!$AT89,"")</f>
        <v/>
      </c>
      <c r="K116" s="20" t="str">
        <f>IF(Calculations!$BQ89='Macro References'!K$86,Calculations!$AT89,"")</f>
        <v/>
      </c>
      <c r="L116" s="20" t="str">
        <f>IF(Calculations!$BQ89='Macro References'!L$86,Calculations!$AT89,"")</f>
        <v/>
      </c>
      <c r="M116" s="20" t="str">
        <f>IF(Calculations!$BQ89='Macro References'!M$86,Calculations!$AT89,"")</f>
        <v/>
      </c>
      <c r="N116" s="20" t="str">
        <f>IF(Calculations!$BQ89='Macro References'!N$86,Calculations!$AT89,"")</f>
        <v/>
      </c>
      <c r="O116" s="20" t="str">
        <f>IF(Calculations!$BQ89='Macro References'!O$86,Calculations!$AT89,"")</f>
        <v/>
      </c>
      <c r="P116" s="20" t="str">
        <f>IF(Calculations!$BQ89='Macro References'!P$86,Calculations!$AT89,"")</f>
        <v/>
      </c>
      <c r="Q116" s="20" t="str">
        <f>IF(Calculations!$BQ89='Macro References'!Q$86,Calculations!$AT89,"")</f>
        <v/>
      </c>
      <c r="R116" s="20" t="str">
        <f>IF(Calculations!$BQ89='Macro References'!R$86,Calculations!$AT89,"")</f>
        <v/>
      </c>
      <c r="S116" s="20" t="str">
        <f>IF(Calculations!$BQ89='Macro References'!S$86,Calculations!$AT89,"")</f>
        <v/>
      </c>
      <c r="T116" s="20" t="str">
        <f>IF(Calculations!$BQ89='Macro References'!T$86,Calculations!$AT89,"")</f>
        <v/>
      </c>
      <c r="U116" s="20" t="str">
        <f>IF(Calculations!$BQ89='Macro References'!U$86,Calculations!$AT89,"")</f>
        <v/>
      </c>
      <c r="V116" s="20" t="str">
        <f>IF(Calculations!$BQ89='Macro References'!V$86,Calculations!$AT89,"")</f>
        <v/>
      </c>
      <c r="W116" s="20" t="str">
        <f>IF(Calculations!$BQ89='Macro References'!W$86,Calculations!$AT89,"")</f>
        <v/>
      </c>
      <c r="X116" s="20" t="str">
        <f>IF(Calculations!$BQ89='Macro References'!X$86,Calculations!$AT89,"")</f>
        <v/>
      </c>
      <c r="Y116" s="20" t="str">
        <f>IF(Calculations!$BQ89='Macro References'!Y$86,Calculations!$AT89,"")</f>
        <v/>
      </c>
      <c r="Z116" s="20" t="str">
        <f>IF(Calculations!$BQ89='Macro References'!Z$86,Calculations!$AT89,"")</f>
        <v/>
      </c>
      <c r="AA116" s="20" t="str">
        <f>IF(Calculations!$BQ89='Macro References'!AA$86,Calculations!$AT89,"")</f>
        <v/>
      </c>
      <c r="AB116" s="20" t="str">
        <f>IF(Calculations!$BQ89='Macro References'!AB$86,Calculations!$AT89,"")</f>
        <v/>
      </c>
      <c r="AC116" s="20" t="str">
        <f>IF(Calculations!$BQ89='Macro References'!AC$86,Calculations!$AT89,"")</f>
        <v/>
      </c>
      <c r="AD116" s="20" t="str">
        <f>IF(Calculations!$BQ89='Macro References'!AD$86,Calculations!$AT89,"")</f>
        <v/>
      </c>
      <c r="AE116" s="20" t="str">
        <f>IF(Calculations!$BQ89='Macro References'!AE$86,Calculations!$AT89,"")</f>
        <v/>
      </c>
    </row>
    <row r="117" spans="1:31" x14ac:dyDescent="0.2">
      <c r="A117" s="1">
        <v>12</v>
      </c>
      <c r="B117" s="20" t="str">
        <f>IF(Calculations!$BQ90='Macro References'!B$86,Calculations!$AT90,"")</f>
        <v/>
      </c>
      <c r="C117" s="20" t="str">
        <f>IF(Calculations!$BQ90='Macro References'!C$86,Calculations!$AT90,"")</f>
        <v/>
      </c>
      <c r="D117" s="20" t="str">
        <f>IF(Calculations!$BQ90='Macro References'!D$86,Calculations!$AT90,"")</f>
        <v/>
      </c>
      <c r="E117" s="20" t="str">
        <f>IF(Calculations!$BQ90='Macro References'!E$86,Calculations!$AT90,"")</f>
        <v/>
      </c>
      <c r="F117" s="20" t="str">
        <f>IF(Calculations!$BQ90='Macro References'!F$86,Calculations!$AT90,"")</f>
        <v/>
      </c>
      <c r="G117" s="20" t="str">
        <f>IF(Calculations!$BQ90='Macro References'!G$86,Calculations!$AT90,"")</f>
        <v/>
      </c>
      <c r="H117" s="20" t="str">
        <f>IF(Calculations!$BQ90='Macro References'!H$86,Calculations!$AT90,"")</f>
        <v/>
      </c>
      <c r="I117" s="20" t="str">
        <f>IF(Calculations!$BQ90='Macro References'!I$86,Calculations!$AT90,"")</f>
        <v/>
      </c>
      <c r="J117" s="20" t="str">
        <f>IF(Calculations!$BQ90='Macro References'!J$86,Calculations!$AT90,"")</f>
        <v/>
      </c>
      <c r="K117" s="20" t="str">
        <f>IF(Calculations!$BQ90='Macro References'!K$86,Calculations!$AT90,"")</f>
        <v/>
      </c>
      <c r="L117" s="20" t="str">
        <f>IF(Calculations!$BQ90='Macro References'!L$86,Calculations!$AT90,"")</f>
        <v/>
      </c>
      <c r="M117" s="20" t="str">
        <f>IF(Calculations!$BQ90='Macro References'!M$86,Calculations!$AT90,"")</f>
        <v/>
      </c>
      <c r="N117" s="20" t="str">
        <f>IF(Calculations!$BQ90='Macro References'!N$86,Calculations!$AT90,"")</f>
        <v/>
      </c>
      <c r="O117" s="20" t="str">
        <f>IF(Calculations!$BQ90='Macro References'!O$86,Calculations!$AT90,"")</f>
        <v/>
      </c>
      <c r="P117" s="20" t="str">
        <f>IF(Calculations!$BQ90='Macro References'!P$86,Calculations!$AT90,"")</f>
        <v/>
      </c>
      <c r="Q117" s="20" t="str">
        <f>IF(Calculations!$BQ90='Macro References'!Q$86,Calculations!$AT90,"")</f>
        <v/>
      </c>
      <c r="R117" s="20" t="str">
        <f>IF(Calculations!$BQ90='Macro References'!R$86,Calculations!$AT90,"")</f>
        <v/>
      </c>
      <c r="S117" s="20" t="str">
        <f>IF(Calculations!$BQ90='Macro References'!S$86,Calculations!$AT90,"")</f>
        <v/>
      </c>
      <c r="T117" s="20" t="str">
        <f>IF(Calculations!$BQ90='Macro References'!T$86,Calculations!$AT90,"")</f>
        <v/>
      </c>
      <c r="U117" s="20" t="str">
        <f>IF(Calculations!$BQ90='Macro References'!U$86,Calculations!$AT90,"")</f>
        <v/>
      </c>
      <c r="V117" s="20" t="str">
        <f>IF(Calculations!$BQ90='Macro References'!V$86,Calculations!$AT90,"")</f>
        <v/>
      </c>
      <c r="W117" s="20" t="str">
        <f>IF(Calculations!$BQ90='Macro References'!W$86,Calculations!$AT90,"")</f>
        <v/>
      </c>
      <c r="X117" s="20" t="str">
        <f>IF(Calculations!$BQ90='Macro References'!X$86,Calculations!$AT90,"")</f>
        <v/>
      </c>
      <c r="Y117" s="20" t="str">
        <f>IF(Calculations!$BQ90='Macro References'!Y$86,Calculations!$AT90,"")</f>
        <v/>
      </c>
      <c r="Z117" s="20" t="str">
        <f>IF(Calculations!$BQ90='Macro References'!Z$86,Calculations!$AT90,"")</f>
        <v/>
      </c>
      <c r="AA117" s="20" t="str">
        <f>IF(Calculations!$BQ90='Macro References'!AA$86,Calculations!$AT90,"")</f>
        <v/>
      </c>
      <c r="AB117" s="20" t="str">
        <f>IF(Calculations!$BQ90='Macro References'!AB$86,Calculations!$AT90,"")</f>
        <v/>
      </c>
      <c r="AC117" s="20" t="str">
        <f>IF(Calculations!$BQ90='Macro References'!AC$86,Calculations!$AT90,"")</f>
        <v/>
      </c>
      <c r="AD117" s="20" t="str">
        <f>IF(Calculations!$BQ90='Macro References'!AD$86,Calculations!$AT90,"")</f>
        <v/>
      </c>
      <c r="AE117" s="20" t="str">
        <f>IF(Calculations!$BQ90='Macro References'!AE$86,Calculations!$AT90,"")</f>
        <v/>
      </c>
    </row>
    <row r="118" spans="1:31" x14ac:dyDescent="0.2">
      <c r="A118" s="1">
        <v>13</v>
      </c>
      <c r="B118" s="20" t="str">
        <f>IF(Calculations!$BQ91='Macro References'!B$86,Calculations!$AT91,"")</f>
        <v/>
      </c>
      <c r="C118" s="20" t="str">
        <f>IF(Calculations!$BQ91='Macro References'!C$86,Calculations!$AT91,"")</f>
        <v/>
      </c>
      <c r="D118" s="20" t="str">
        <f>IF(Calculations!$BQ91='Macro References'!D$86,Calculations!$AT91,"")</f>
        <v/>
      </c>
      <c r="E118" s="20" t="str">
        <f>IF(Calculations!$BQ91='Macro References'!E$86,Calculations!$AT91,"")</f>
        <v/>
      </c>
      <c r="F118" s="20" t="str">
        <f>IF(Calculations!$BQ91='Macro References'!F$86,Calculations!$AT91,"")</f>
        <v/>
      </c>
      <c r="G118" s="20" t="str">
        <f>IF(Calculations!$BQ91='Macro References'!G$86,Calculations!$AT91,"")</f>
        <v/>
      </c>
      <c r="H118" s="20" t="str">
        <f>IF(Calculations!$BQ91='Macro References'!H$86,Calculations!$AT91,"")</f>
        <v/>
      </c>
      <c r="I118" s="20" t="str">
        <f>IF(Calculations!$BQ91='Macro References'!I$86,Calculations!$AT91,"")</f>
        <v/>
      </c>
      <c r="J118" s="20" t="str">
        <f>IF(Calculations!$BQ91='Macro References'!J$86,Calculations!$AT91,"")</f>
        <v/>
      </c>
      <c r="K118" s="20" t="str">
        <f>IF(Calculations!$BQ91='Macro References'!K$86,Calculations!$AT91,"")</f>
        <v/>
      </c>
      <c r="L118" s="20" t="str">
        <f>IF(Calculations!$BQ91='Macro References'!L$86,Calculations!$AT91,"")</f>
        <v/>
      </c>
      <c r="M118" s="20" t="str">
        <f>IF(Calculations!$BQ91='Macro References'!M$86,Calculations!$AT91,"")</f>
        <v/>
      </c>
      <c r="N118" s="20" t="str">
        <f>IF(Calculations!$BQ91='Macro References'!N$86,Calculations!$AT91,"")</f>
        <v/>
      </c>
      <c r="O118" s="20" t="str">
        <f>IF(Calculations!$BQ91='Macro References'!O$86,Calculations!$AT91,"")</f>
        <v/>
      </c>
      <c r="P118" s="20" t="str">
        <f>IF(Calculations!$BQ91='Macro References'!P$86,Calculations!$AT91,"")</f>
        <v/>
      </c>
      <c r="Q118" s="20" t="str">
        <f>IF(Calculations!$BQ91='Macro References'!Q$86,Calculations!$AT91,"")</f>
        <v/>
      </c>
      <c r="R118" s="20" t="str">
        <f>IF(Calculations!$BQ91='Macro References'!R$86,Calculations!$AT91,"")</f>
        <v/>
      </c>
      <c r="S118" s="20" t="str">
        <f>IF(Calculations!$BQ91='Macro References'!S$86,Calculations!$AT91,"")</f>
        <v/>
      </c>
      <c r="T118" s="20" t="str">
        <f>IF(Calculations!$BQ91='Macro References'!T$86,Calculations!$AT91,"")</f>
        <v/>
      </c>
      <c r="U118" s="20" t="str">
        <f>IF(Calculations!$BQ91='Macro References'!U$86,Calculations!$AT91,"")</f>
        <v/>
      </c>
      <c r="V118" s="20" t="str">
        <f>IF(Calculations!$BQ91='Macro References'!V$86,Calculations!$AT91,"")</f>
        <v/>
      </c>
      <c r="W118" s="20" t="str">
        <f>IF(Calculations!$BQ91='Macro References'!W$86,Calculations!$AT91,"")</f>
        <v/>
      </c>
      <c r="X118" s="20" t="str">
        <f>IF(Calculations!$BQ91='Macro References'!X$86,Calculations!$AT91,"")</f>
        <v/>
      </c>
      <c r="Y118" s="20" t="str">
        <f>IF(Calculations!$BQ91='Macro References'!Y$86,Calculations!$AT91,"")</f>
        <v/>
      </c>
      <c r="Z118" s="20" t="str">
        <f>IF(Calculations!$BQ91='Macro References'!Z$86,Calculations!$AT91,"")</f>
        <v/>
      </c>
      <c r="AA118" s="20" t="str">
        <f>IF(Calculations!$BQ91='Macro References'!AA$86,Calculations!$AT91,"")</f>
        <v/>
      </c>
      <c r="AB118" s="20" t="str">
        <f>IF(Calculations!$BQ91='Macro References'!AB$86,Calculations!$AT91,"")</f>
        <v/>
      </c>
      <c r="AC118" s="20" t="str">
        <f>IF(Calculations!$BQ91='Macro References'!AC$86,Calculations!$AT91,"")</f>
        <v/>
      </c>
      <c r="AD118" s="20" t="str">
        <f>IF(Calculations!$BQ91='Macro References'!AD$86,Calculations!$AT91,"")</f>
        <v/>
      </c>
      <c r="AE118" s="20" t="str">
        <f>IF(Calculations!$BQ91='Macro References'!AE$86,Calculations!$AT91,"")</f>
        <v/>
      </c>
    </row>
    <row r="119" spans="1:31" x14ac:dyDescent="0.2">
      <c r="A119" s="1">
        <v>14</v>
      </c>
      <c r="B119" s="20" t="str">
        <f>IF(Calculations!$BQ92='Macro References'!B$86,Calculations!$AT92,"")</f>
        <v/>
      </c>
      <c r="C119" s="20" t="str">
        <f>IF(Calculations!$BQ92='Macro References'!C$86,Calculations!$AT92,"")</f>
        <v/>
      </c>
      <c r="D119" s="20" t="str">
        <f>IF(Calculations!$BQ92='Macro References'!D$86,Calculations!$AT92,"")</f>
        <v/>
      </c>
      <c r="E119" s="20" t="str">
        <f>IF(Calculations!$BQ92='Macro References'!E$86,Calculations!$AT92,"")</f>
        <v/>
      </c>
      <c r="F119" s="20" t="str">
        <f>IF(Calculations!$BQ92='Macro References'!F$86,Calculations!$AT92,"")</f>
        <v/>
      </c>
      <c r="G119" s="20" t="str">
        <f>IF(Calculations!$BQ92='Macro References'!G$86,Calculations!$AT92,"")</f>
        <v/>
      </c>
      <c r="H119" s="20" t="str">
        <f>IF(Calculations!$BQ92='Macro References'!H$86,Calculations!$AT92,"")</f>
        <v/>
      </c>
      <c r="I119" s="20" t="str">
        <f>IF(Calculations!$BQ92='Macro References'!I$86,Calculations!$AT92,"")</f>
        <v/>
      </c>
      <c r="J119" s="20" t="str">
        <f>IF(Calculations!$BQ92='Macro References'!J$86,Calculations!$AT92,"")</f>
        <v/>
      </c>
      <c r="K119" s="20" t="str">
        <f>IF(Calculations!$BQ92='Macro References'!K$86,Calculations!$AT92,"")</f>
        <v/>
      </c>
      <c r="L119" s="20" t="str">
        <f>IF(Calculations!$BQ92='Macro References'!L$86,Calculations!$AT92,"")</f>
        <v/>
      </c>
      <c r="M119" s="20" t="str">
        <f>IF(Calculations!$BQ92='Macro References'!M$86,Calculations!$AT92,"")</f>
        <v/>
      </c>
      <c r="N119" s="20" t="str">
        <f>IF(Calculations!$BQ92='Macro References'!N$86,Calculations!$AT92,"")</f>
        <v/>
      </c>
      <c r="O119" s="20" t="str">
        <f>IF(Calculations!$BQ92='Macro References'!O$86,Calculations!$AT92,"")</f>
        <v/>
      </c>
      <c r="P119" s="20" t="str">
        <f>IF(Calculations!$BQ92='Macro References'!P$86,Calculations!$AT92,"")</f>
        <v/>
      </c>
      <c r="Q119" s="20" t="str">
        <f>IF(Calculations!$BQ92='Macro References'!Q$86,Calculations!$AT92,"")</f>
        <v/>
      </c>
      <c r="R119" s="20" t="str">
        <f>IF(Calculations!$BQ92='Macro References'!R$86,Calculations!$AT92,"")</f>
        <v/>
      </c>
      <c r="S119" s="20" t="str">
        <f>IF(Calculations!$BQ92='Macro References'!S$86,Calculations!$AT92,"")</f>
        <v/>
      </c>
      <c r="T119" s="20" t="str">
        <f>IF(Calculations!$BQ92='Macro References'!T$86,Calculations!$AT92,"")</f>
        <v/>
      </c>
      <c r="U119" s="20" t="str">
        <f>IF(Calculations!$BQ92='Macro References'!U$86,Calculations!$AT92,"")</f>
        <v/>
      </c>
      <c r="V119" s="20" t="str">
        <f>IF(Calculations!$BQ92='Macro References'!V$86,Calculations!$AT92,"")</f>
        <v/>
      </c>
      <c r="W119" s="20" t="str">
        <f>IF(Calculations!$BQ92='Macro References'!W$86,Calculations!$AT92,"")</f>
        <v/>
      </c>
      <c r="X119" s="20" t="str">
        <f>IF(Calculations!$BQ92='Macro References'!X$86,Calculations!$AT92,"")</f>
        <v/>
      </c>
      <c r="Y119" s="20" t="str">
        <f>IF(Calculations!$BQ92='Macro References'!Y$86,Calculations!$AT92,"")</f>
        <v/>
      </c>
      <c r="Z119" s="20" t="str">
        <f>IF(Calculations!$BQ92='Macro References'!Z$86,Calculations!$AT92,"")</f>
        <v/>
      </c>
      <c r="AA119" s="20" t="str">
        <f>IF(Calculations!$BQ92='Macro References'!AA$86,Calculations!$AT92,"")</f>
        <v/>
      </c>
      <c r="AB119" s="20" t="str">
        <f>IF(Calculations!$BQ92='Macro References'!AB$86,Calculations!$AT92,"")</f>
        <v/>
      </c>
      <c r="AC119" s="20" t="str">
        <f>IF(Calculations!$BQ92='Macro References'!AC$86,Calculations!$AT92,"")</f>
        <v/>
      </c>
      <c r="AD119" s="20" t="str">
        <f>IF(Calculations!$BQ92='Macro References'!AD$86,Calculations!$AT92,"")</f>
        <v/>
      </c>
      <c r="AE119" s="20" t="str">
        <f>IF(Calculations!$BQ92='Macro References'!AE$86,Calculations!$AT92,"")</f>
        <v/>
      </c>
    </row>
    <row r="120" spans="1:31" x14ac:dyDescent="0.2">
      <c r="A120" s="1">
        <v>15</v>
      </c>
      <c r="B120" s="20" t="str">
        <f>IF(Calculations!$BQ93='Macro References'!B$86,Calculations!$AT93,"")</f>
        <v/>
      </c>
      <c r="C120" s="20" t="str">
        <f>IF(Calculations!$BQ93='Macro References'!C$86,Calculations!$AT93,"")</f>
        <v/>
      </c>
      <c r="D120" s="20" t="str">
        <f>IF(Calculations!$BQ93='Macro References'!D$86,Calculations!$AT93,"")</f>
        <v/>
      </c>
      <c r="E120" s="20" t="str">
        <f>IF(Calculations!$BQ93='Macro References'!E$86,Calculations!$AT93,"")</f>
        <v/>
      </c>
      <c r="F120" s="20" t="str">
        <f>IF(Calculations!$BQ93='Macro References'!F$86,Calculations!$AT93,"")</f>
        <v/>
      </c>
      <c r="G120" s="20" t="str">
        <f>IF(Calculations!$BQ93='Macro References'!G$86,Calculations!$AT93,"")</f>
        <v/>
      </c>
      <c r="H120" s="20" t="str">
        <f>IF(Calculations!$BQ93='Macro References'!H$86,Calculations!$AT93,"")</f>
        <v/>
      </c>
      <c r="I120" s="20" t="str">
        <f>IF(Calculations!$BQ93='Macro References'!I$86,Calculations!$AT93,"")</f>
        <v/>
      </c>
      <c r="J120" s="20" t="str">
        <f>IF(Calculations!$BQ93='Macro References'!J$86,Calculations!$AT93,"")</f>
        <v/>
      </c>
      <c r="K120" s="20" t="str">
        <f>IF(Calculations!$BQ93='Macro References'!K$86,Calculations!$AT93,"")</f>
        <v/>
      </c>
      <c r="L120" s="20" t="str">
        <f>IF(Calculations!$BQ93='Macro References'!L$86,Calculations!$AT93,"")</f>
        <v/>
      </c>
      <c r="M120" s="20" t="str">
        <f>IF(Calculations!$BQ93='Macro References'!M$86,Calculations!$AT93,"")</f>
        <v/>
      </c>
      <c r="N120" s="20" t="str">
        <f>IF(Calculations!$BQ93='Macro References'!N$86,Calculations!$AT93,"")</f>
        <v/>
      </c>
      <c r="O120" s="20" t="str">
        <f>IF(Calculations!$BQ93='Macro References'!O$86,Calculations!$AT93,"")</f>
        <v/>
      </c>
      <c r="P120" s="20" t="str">
        <f>IF(Calculations!$BQ93='Macro References'!P$86,Calculations!$AT93,"")</f>
        <v/>
      </c>
      <c r="Q120" s="20" t="str">
        <f>IF(Calculations!$BQ93='Macro References'!Q$86,Calculations!$AT93,"")</f>
        <v/>
      </c>
      <c r="R120" s="20" t="str">
        <f>IF(Calculations!$BQ93='Macro References'!R$86,Calculations!$AT93,"")</f>
        <v/>
      </c>
      <c r="S120" s="20" t="str">
        <f>IF(Calculations!$BQ93='Macro References'!S$86,Calculations!$AT93,"")</f>
        <v/>
      </c>
      <c r="T120" s="20" t="str">
        <f>IF(Calculations!$BQ93='Macro References'!T$86,Calculations!$AT93,"")</f>
        <v/>
      </c>
      <c r="U120" s="20" t="str">
        <f>IF(Calculations!$BQ93='Macro References'!U$86,Calculations!$AT93,"")</f>
        <v/>
      </c>
      <c r="V120" s="20" t="str">
        <f>IF(Calculations!$BQ93='Macro References'!V$86,Calculations!$AT93,"")</f>
        <v/>
      </c>
      <c r="W120" s="20" t="str">
        <f>IF(Calculations!$BQ93='Macro References'!W$86,Calculations!$AT93,"")</f>
        <v/>
      </c>
      <c r="X120" s="20" t="str">
        <f>IF(Calculations!$BQ93='Macro References'!X$86,Calculations!$AT93,"")</f>
        <v/>
      </c>
      <c r="Y120" s="20" t="str">
        <f>IF(Calculations!$BQ93='Macro References'!Y$86,Calculations!$AT93,"")</f>
        <v/>
      </c>
      <c r="Z120" s="20" t="str">
        <f>IF(Calculations!$BQ93='Macro References'!Z$86,Calculations!$AT93,"")</f>
        <v/>
      </c>
      <c r="AA120" s="20" t="str">
        <f>IF(Calculations!$BQ93='Macro References'!AA$86,Calculations!$AT93,"")</f>
        <v/>
      </c>
      <c r="AB120" s="20" t="str">
        <f>IF(Calculations!$BQ93='Macro References'!AB$86,Calculations!$AT93,"")</f>
        <v/>
      </c>
      <c r="AC120" s="20" t="str">
        <f>IF(Calculations!$BQ93='Macro References'!AC$86,Calculations!$AT93,"")</f>
        <v/>
      </c>
      <c r="AD120" s="20" t="str">
        <f>IF(Calculations!$BQ93='Macro References'!AD$86,Calculations!$AT93,"")</f>
        <v/>
      </c>
      <c r="AE120" s="20" t="str">
        <f>IF(Calculations!$BQ93='Macro References'!AE$86,Calculations!$AT93,"")</f>
        <v/>
      </c>
    </row>
    <row r="121" spans="1:31" x14ac:dyDescent="0.2">
      <c r="A121" s="1">
        <v>16</v>
      </c>
      <c r="B121" s="20" t="str">
        <f>IF(Calculations!$BQ94='Macro References'!B$86,Calculations!$AT94,"")</f>
        <v/>
      </c>
      <c r="C121" s="20" t="str">
        <f>IF(Calculations!$BQ94='Macro References'!C$86,Calculations!$AT94,"")</f>
        <v/>
      </c>
      <c r="D121" s="20" t="str">
        <f>IF(Calculations!$BQ94='Macro References'!D$86,Calculations!$AT94,"")</f>
        <v/>
      </c>
      <c r="E121" s="20" t="str">
        <f>IF(Calculations!$BQ94='Macro References'!E$86,Calculations!$AT94,"")</f>
        <v/>
      </c>
      <c r="F121" s="20" t="str">
        <f>IF(Calculations!$BQ94='Macro References'!F$86,Calculations!$AT94,"")</f>
        <v/>
      </c>
      <c r="G121" s="20" t="str">
        <f>IF(Calculations!$BQ94='Macro References'!G$86,Calculations!$AT94,"")</f>
        <v/>
      </c>
      <c r="H121" s="20" t="str">
        <f>IF(Calculations!$BQ94='Macro References'!H$86,Calculations!$AT94,"")</f>
        <v/>
      </c>
      <c r="I121" s="20" t="str">
        <f>IF(Calculations!$BQ94='Macro References'!I$86,Calculations!$AT94,"")</f>
        <v/>
      </c>
      <c r="J121" s="20" t="str">
        <f>IF(Calculations!$BQ94='Macro References'!J$86,Calculations!$AT94,"")</f>
        <v/>
      </c>
      <c r="K121" s="20" t="str">
        <f>IF(Calculations!$BQ94='Macro References'!K$86,Calculations!$AT94,"")</f>
        <v/>
      </c>
      <c r="L121" s="20" t="str">
        <f>IF(Calculations!$BQ94='Macro References'!L$86,Calculations!$AT94,"")</f>
        <v/>
      </c>
      <c r="M121" s="20" t="str">
        <f>IF(Calculations!$BQ94='Macro References'!M$86,Calculations!$AT94,"")</f>
        <v/>
      </c>
      <c r="N121" s="20" t="str">
        <f>IF(Calculations!$BQ94='Macro References'!N$86,Calculations!$AT94,"")</f>
        <v/>
      </c>
      <c r="O121" s="20" t="str">
        <f>IF(Calculations!$BQ94='Macro References'!O$86,Calculations!$AT94,"")</f>
        <v/>
      </c>
      <c r="P121" s="20" t="str">
        <f>IF(Calculations!$BQ94='Macro References'!P$86,Calculations!$AT94,"")</f>
        <v/>
      </c>
      <c r="Q121" s="20" t="str">
        <f>IF(Calculations!$BQ94='Macro References'!Q$86,Calculations!$AT94,"")</f>
        <v/>
      </c>
      <c r="R121" s="20" t="str">
        <f>IF(Calculations!$BQ94='Macro References'!R$86,Calculations!$AT94,"")</f>
        <v/>
      </c>
      <c r="S121" s="20" t="str">
        <f>IF(Calculations!$BQ94='Macro References'!S$86,Calculations!$AT94,"")</f>
        <v/>
      </c>
      <c r="T121" s="20" t="str">
        <f>IF(Calculations!$BQ94='Macro References'!T$86,Calculations!$AT94,"")</f>
        <v/>
      </c>
      <c r="U121" s="20" t="str">
        <f>IF(Calculations!$BQ94='Macro References'!U$86,Calculations!$AT94,"")</f>
        <v/>
      </c>
      <c r="V121" s="20" t="str">
        <f>IF(Calculations!$BQ94='Macro References'!V$86,Calculations!$AT94,"")</f>
        <v/>
      </c>
      <c r="W121" s="20" t="str">
        <f>IF(Calculations!$BQ94='Macro References'!W$86,Calculations!$AT94,"")</f>
        <v/>
      </c>
      <c r="X121" s="20" t="str">
        <f>IF(Calculations!$BQ94='Macro References'!X$86,Calculations!$AT94,"")</f>
        <v/>
      </c>
      <c r="Y121" s="20" t="str">
        <f>IF(Calculations!$BQ94='Macro References'!Y$86,Calculations!$AT94,"")</f>
        <v/>
      </c>
      <c r="Z121" s="20" t="str">
        <f>IF(Calculations!$BQ94='Macro References'!Z$86,Calculations!$AT94,"")</f>
        <v/>
      </c>
      <c r="AA121" s="20" t="str">
        <f>IF(Calculations!$BQ94='Macro References'!AA$86,Calculations!$AT94,"")</f>
        <v/>
      </c>
      <c r="AB121" s="20" t="str">
        <f>IF(Calculations!$BQ94='Macro References'!AB$86,Calculations!$AT94,"")</f>
        <v/>
      </c>
      <c r="AC121" s="20" t="str">
        <f>IF(Calculations!$BQ94='Macro References'!AC$86,Calculations!$AT94,"")</f>
        <v/>
      </c>
      <c r="AD121" s="20" t="str">
        <f>IF(Calculations!$BQ94='Macro References'!AD$86,Calculations!$AT94,"")</f>
        <v/>
      </c>
      <c r="AE121" s="20" t="str">
        <f>IF(Calculations!$BQ94='Macro References'!AE$86,Calculations!$AT94,"")</f>
        <v/>
      </c>
    </row>
    <row r="122" spans="1:31" x14ac:dyDescent="0.2">
      <c r="A122" s="1">
        <v>17</v>
      </c>
      <c r="B122" s="20" t="str">
        <f>IF(Calculations!$BQ95='Macro References'!B$86,Calculations!$AT95,"")</f>
        <v/>
      </c>
      <c r="C122" s="20" t="str">
        <f>IF(Calculations!$BQ95='Macro References'!C$86,Calculations!$AT95,"")</f>
        <v/>
      </c>
      <c r="D122" s="20" t="str">
        <f>IF(Calculations!$BQ95='Macro References'!D$86,Calculations!$AT95,"")</f>
        <v/>
      </c>
      <c r="E122" s="20" t="str">
        <f>IF(Calculations!$BQ95='Macro References'!E$86,Calculations!$AT95,"")</f>
        <v/>
      </c>
      <c r="F122" s="20" t="str">
        <f>IF(Calculations!$BQ95='Macro References'!F$86,Calculations!$AT95,"")</f>
        <v/>
      </c>
      <c r="G122" s="20" t="str">
        <f>IF(Calculations!$BQ95='Macro References'!G$86,Calculations!$AT95,"")</f>
        <v/>
      </c>
      <c r="H122" s="20" t="str">
        <f>IF(Calculations!$BQ95='Macro References'!H$86,Calculations!$AT95,"")</f>
        <v/>
      </c>
      <c r="I122" s="20" t="str">
        <f>IF(Calculations!$BQ95='Macro References'!I$86,Calculations!$AT95,"")</f>
        <v/>
      </c>
      <c r="J122" s="20" t="str">
        <f>IF(Calculations!$BQ95='Macro References'!J$86,Calculations!$AT95,"")</f>
        <v/>
      </c>
      <c r="K122" s="20" t="str">
        <f>IF(Calculations!$BQ95='Macro References'!K$86,Calculations!$AT95,"")</f>
        <v/>
      </c>
      <c r="L122" s="20" t="str">
        <f>IF(Calculations!$BQ95='Macro References'!L$86,Calculations!$AT95,"")</f>
        <v/>
      </c>
      <c r="M122" s="20" t="str">
        <f>IF(Calculations!$BQ95='Macro References'!M$86,Calculations!$AT95,"")</f>
        <v/>
      </c>
      <c r="N122" s="20" t="str">
        <f>IF(Calculations!$BQ95='Macro References'!N$86,Calculations!$AT95,"")</f>
        <v/>
      </c>
      <c r="O122" s="20" t="str">
        <f>IF(Calculations!$BQ95='Macro References'!O$86,Calculations!$AT95,"")</f>
        <v/>
      </c>
      <c r="P122" s="20" t="str">
        <f>IF(Calculations!$BQ95='Macro References'!P$86,Calculations!$AT95,"")</f>
        <v/>
      </c>
      <c r="Q122" s="20" t="str">
        <f>IF(Calculations!$BQ95='Macro References'!Q$86,Calculations!$AT95,"")</f>
        <v/>
      </c>
      <c r="R122" s="20" t="str">
        <f>IF(Calculations!$BQ95='Macro References'!R$86,Calculations!$AT95,"")</f>
        <v/>
      </c>
      <c r="S122" s="20" t="str">
        <f>IF(Calculations!$BQ95='Macro References'!S$86,Calculations!$AT95,"")</f>
        <v/>
      </c>
      <c r="T122" s="20" t="str">
        <f>IF(Calculations!$BQ95='Macro References'!T$86,Calculations!$AT95,"")</f>
        <v/>
      </c>
      <c r="U122" s="20" t="str">
        <f>IF(Calculations!$BQ95='Macro References'!U$86,Calculations!$AT95,"")</f>
        <v/>
      </c>
      <c r="V122" s="20" t="str">
        <f>IF(Calculations!$BQ95='Macro References'!V$86,Calculations!$AT95,"")</f>
        <v/>
      </c>
      <c r="W122" s="20" t="str">
        <f>IF(Calculations!$BQ95='Macro References'!W$86,Calculations!$AT95,"")</f>
        <v/>
      </c>
      <c r="X122" s="20" t="str">
        <f>IF(Calculations!$BQ95='Macro References'!X$86,Calculations!$AT95,"")</f>
        <v/>
      </c>
      <c r="Y122" s="20" t="str">
        <f>IF(Calculations!$BQ95='Macro References'!Y$86,Calculations!$AT95,"")</f>
        <v/>
      </c>
      <c r="Z122" s="20" t="str">
        <f>IF(Calculations!$BQ95='Macro References'!Z$86,Calculations!$AT95,"")</f>
        <v/>
      </c>
      <c r="AA122" s="20" t="str">
        <f>IF(Calculations!$BQ95='Macro References'!AA$86,Calculations!$AT95,"")</f>
        <v/>
      </c>
      <c r="AB122" s="20" t="str">
        <f>IF(Calculations!$BQ95='Macro References'!AB$86,Calculations!$AT95,"")</f>
        <v/>
      </c>
      <c r="AC122" s="20" t="str">
        <f>IF(Calculations!$BQ95='Macro References'!AC$86,Calculations!$AT95,"")</f>
        <v/>
      </c>
      <c r="AD122" s="20" t="str">
        <f>IF(Calculations!$BQ95='Macro References'!AD$86,Calculations!$AT95,"")</f>
        <v/>
      </c>
      <c r="AE122" s="20" t="str">
        <f>IF(Calculations!$BQ95='Macro References'!AE$86,Calculations!$AT95,"")</f>
        <v/>
      </c>
    </row>
    <row r="123" spans="1:31" x14ac:dyDescent="0.2">
      <c r="A123" s="1">
        <v>18</v>
      </c>
      <c r="B123" s="20" t="str">
        <f>IF(Calculations!$BQ96='Macro References'!B$86,Calculations!$AT96,"")</f>
        <v/>
      </c>
      <c r="C123" s="20" t="str">
        <f>IF(Calculations!$BQ96='Macro References'!C$86,Calculations!$AT96,"")</f>
        <v/>
      </c>
      <c r="D123" s="20" t="str">
        <f>IF(Calculations!$BQ96='Macro References'!D$86,Calculations!$AT96,"")</f>
        <v/>
      </c>
      <c r="E123" s="20" t="str">
        <f>IF(Calculations!$BQ96='Macro References'!E$86,Calculations!$AT96,"")</f>
        <v/>
      </c>
      <c r="F123" s="20" t="str">
        <f>IF(Calculations!$BQ96='Macro References'!F$86,Calculations!$AT96,"")</f>
        <v/>
      </c>
      <c r="G123" s="20" t="str">
        <f>IF(Calculations!$BQ96='Macro References'!G$86,Calculations!$AT96,"")</f>
        <v/>
      </c>
      <c r="H123" s="20" t="str">
        <f>IF(Calculations!$BQ96='Macro References'!H$86,Calculations!$AT96,"")</f>
        <v/>
      </c>
      <c r="I123" s="20" t="str">
        <f>IF(Calculations!$BQ96='Macro References'!I$86,Calculations!$AT96,"")</f>
        <v/>
      </c>
      <c r="J123" s="20" t="str">
        <f>IF(Calculations!$BQ96='Macro References'!J$86,Calculations!$AT96,"")</f>
        <v/>
      </c>
      <c r="K123" s="20" t="str">
        <f>IF(Calculations!$BQ96='Macro References'!K$86,Calculations!$AT96,"")</f>
        <v/>
      </c>
      <c r="L123" s="20" t="str">
        <f>IF(Calculations!$BQ96='Macro References'!L$86,Calculations!$AT96,"")</f>
        <v/>
      </c>
      <c r="M123" s="20" t="str">
        <f>IF(Calculations!$BQ96='Macro References'!M$86,Calculations!$AT96,"")</f>
        <v/>
      </c>
      <c r="N123" s="20" t="str">
        <f>IF(Calculations!$BQ96='Macro References'!N$86,Calculations!$AT96,"")</f>
        <v/>
      </c>
      <c r="O123" s="20" t="str">
        <f>IF(Calculations!$BQ96='Macro References'!O$86,Calculations!$AT96,"")</f>
        <v/>
      </c>
      <c r="P123" s="20" t="str">
        <f>IF(Calculations!$BQ96='Macro References'!P$86,Calculations!$AT96,"")</f>
        <v/>
      </c>
      <c r="Q123" s="20" t="str">
        <f>IF(Calculations!$BQ96='Macro References'!Q$86,Calculations!$AT96,"")</f>
        <v/>
      </c>
      <c r="R123" s="20" t="str">
        <f>IF(Calculations!$BQ96='Macro References'!R$86,Calculations!$AT96,"")</f>
        <v/>
      </c>
      <c r="S123" s="20" t="str">
        <f>IF(Calculations!$BQ96='Macro References'!S$86,Calculations!$AT96,"")</f>
        <v/>
      </c>
      <c r="T123" s="20" t="str">
        <f>IF(Calculations!$BQ96='Macro References'!T$86,Calculations!$AT96,"")</f>
        <v/>
      </c>
      <c r="U123" s="20" t="str">
        <f>IF(Calculations!$BQ96='Macro References'!U$86,Calculations!$AT96,"")</f>
        <v/>
      </c>
      <c r="V123" s="20" t="str">
        <f>IF(Calculations!$BQ96='Macro References'!V$86,Calculations!$AT96,"")</f>
        <v/>
      </c>
      <c r="W123" s="20" t="str">
        <f>IF(Calculations!$BQ96='Macro References'!W$86,Calculations!$AT96,"")</f>
        <v/>
      </c>
      <c r="X123" s="20" t="str">
        <f>IF(Calculations!$BQ96='Macro References'!X$86,Calculations!$AT96,"")</f>
        <v/>
      </c>
      <c r="Y123" s="20" t="str">
        <f>IF(Calculations!$BQ96='Macro References'!Y$86,Calculations!$AT96,"")</f>
        <v/>
      </c>
      <c r="Z123" s="20" t="str">
        <f>IF(Calculations!$BQ96='Macro References'!Z$86,Calculations!$AT96,"")</f>
        <v/>
      </c>
      <c r="AA123" s="20" t="str">
        <f>IF(Calculations!$BQ96='Macro References'!AA$86,Calculations!$AT96,"")</f>
        <v/>
      </c>
      <c r="AB123" s="20" t="str">
        <f>IF(Calculations!$BQ96='Macro References'!AB$86,Calculations!$AT96,"")</f>
        <v/>
      </c>
      <c r="AC123" s="20" t="str">
        <f>IF(Calculations!$BQ96='Macro References'!AC$86,Calculations!$AT96,"")</f>
        <v/>
      </c>
      <c r="AD123" s="20" t="str">
        <f>IF(Calculations!$BQ96='Macro References'!AD$86,Calculations!$AT96,"")</f>
        <v/>
      </c>
      <c r="AE123" s="20" t="str">
        <f>IF(Calculations!$BQ96='Macro References'!AE$86,Calculations!$AT96,"")</f>
        <v/>
      </c>
    </row>
    <row r="125" spans="1:31" ht="15" x14ac:dyDescent="0.25">
      <c r="A125" s="171" t="s">
        <v>551</v>
      </c>
      <c r="B125" s="1">
        <f>MAX(B87:B104,B106:B123)</f>
        <v>0</v>
      </c>
      <c r="C125" s="65">
        <f t="shared" ref="C125:AE125" si="4">MAX(C87:C104,C106:C123)</f>
        <v>0</v>
      </c>
      <c r="D125" s="65">
        <f t="shared" si="4"/>
        <v>0</v>
      </c>
      <c r="E125" s="65">
        <f t="shared" si="4"/>
        <v>0</v>
      </c>
      <c r="F125" s="65">
        <f t="shared" si="4"/>
        <v>0</v>
      </c>
      <c r="G125" s="65">
        <f t="shared" si="4"/>
        <v>0</v>
      </c>
      <c r="H125" s="65">
        <f t="shared" si="4"/>
        <v>0</v>
      </c>
      <c r="I125" s="65">
        <f t="shared" si="4"/>
        <v>0</v>
      </c>
      <c r="J125" s="65">
        <f t="shared" si="4"/>
        <v>0</v>
      </c>
      <c r="K125" s="65">
        <f t="shared" si="4"/>
        <v>0</v>
      </c>
      <c r="L125" s="65">
        <f t="shared" si="4"/>
        <v>0</v>
      </c>
      <c r="M125" s="65">
        <f t="shared" si="4"/>
        <v>0</v>
      </c>
      <c r="N125" s="65">
        <f t="shared" si="4"/>
        <v>0</v>
      </c>
      <c r="O125" s="65">
        <f t="shared" si="4"/>
        <v>0</v>
      </c>
      <c r="P125" s="65">
        <f t="shared" si="4"/>
        <v>0</v>
      </c>
      <c r="Q125" s="65">
        <f t="shared" si="4"/>
        <v>0</v>
      </c>
      <c r="R125" s="65">
        <f t="shared" si="4"/>
        <v>0</v>
      </c>
      <c r="S125" s="65">
        <f t="shared" si="4"/>
        <v>0</v>
      </c>
      <c r="T125" s="65">
        <f t="shared" si="4"/>
        <v>0</v>
      </c>
      <c r="U125" s="65">
        <f t="shared" si="4"/>
        <v>0</v>
      </c>
      <c r="V125" s="65">
        <f t="shared" si="4"/>
        <v>0</v>
      </c>
      <c r="W125" s="65">
        <f t="shared" si="4"/>
        <v>0</v>
      </c>
      <c r="X125" s="65">
        <f t="shared" si="4"/>
        <v>0</v>
      </c>
      <c r="Y125" s="65">
        <f t="shared" si="4"/>
        <v>0</v>
      </c>
      <c r="Z125" s="65">
        <f t="shared" si="4"/>
        <v>0</v>
      </c>
      <c r="AA125" s="65">
        <f t="shared" si="4"/>
        <v>0</v>
      </c>
      <c r="AB125" s="65">
        <f t="shared" si="4"/>
        <v>0</v>
      </c>
      <c r="AC125" s="65">
        <f t="shared" si="4"/>
        <v>0</v>
      </c>
      <c r="AD125" s="65">
        <f t="shared" si="4"/>
        <v>0</v>
      </c>
      <c r="AE125" s="65">
        <f t="shared" si="4"/>
        <v>0</v>
      </c>
    </row>
    <row r="126" spans="1:31" ht="15" x14ac:dyDescent="0.25">
      <c r="A126" s="171" t="s">
        <v>1229</v>
      </c>
      <c r="B126" s="65" t="str">
        <f>IFERROR(INDEX(Calculations!$AQ$60:$AT$96,MATCH(MAX(B87:B104,B106:B123),(B87:B123),0),1),"")</f>
        <v/>
      </c>
      <c r="C126" s="65" t="str">
        <f>IFERROR(INDEX(Calculations!$AQ$60:$AT$96,MATCH(MAX(C87:C104,C106:C123),(C87:C123),0),1),"")</f>
        <v/>
      </c>
      <c r="D126" s="65" t="str">
        <f>IFERROR(INDEX(Calculations!$AQ$60:$AT$96,MATCH(MAX(D87:D104,D106:D123),(D87:D123),0),1),"")</f>
        <v/>
      </c>
      <c r="E126" s="65" t="str">
        <f>IFERROR(INDEX(Calculations!$AQ$60:$AT$96,MATCH(MAX(E87:E104,E106:E123),(E87:E123),0),1),"")</f>
        <v/>
      </c>
      <c r="F126" s="65" t="str">
        <f>IFERROR(INDEX(Calculations!$AQ$60:$AT$96,MATCH(MAX(F87:F104,F106:F123),(F87:F123),0),1),"")</f>
        <v/>
      </c>
      <c r="G126" s="65" t="str">
        <f>IFERROR(INDEX(Calculations!$AQ$60:$AT$96,MATCH(MAX(G87:G104,G106:G123),(G87:G123),0),1),"")</f>
        <v/>
      </c>
      <c r="H126" s="65" t="str">
        <f>IFERROR(INDEX(Calculations!$AQ$60:$AT$96,MATCH(MAX(H87:H104,H106:H123),(H87:H123),0),1),"")</f>
        <v/>
      </c>
      <c r="I126" s="65" t="str">
        <f>IFERROR(INDEX(Calculations!$AQ$60:$AT$96,MATCH(MAX(I87:I104,I106:I123),(I87:I123),0),1),"")</f>
        <v/>
      </c>
      <c r="J126" s="65" t="str">
        <f>IFERROR(INDEX(Calculations!$AQ$60:$AT$96,MATCH(MAX(J87:J104,J106:J123),(J87:J123),0),1),"")</f>
        <v/>
      </c>
      <c r="K126" s="65" t="str">
        <f>IFERROR(INDEX(Calculations!$AQ$60:$AT$96,MATCH(MAX(K87:K104,K106:K123),(K87:K123),0),1),"")</f>
        <v/>
      </c>
      <c r="L126" s="65" t="str">
        <f>IFERROR(INDEX(Calculations!$AQ$60:$AT$96,MATCH(MAX(L87:L104,L106:L123),(L87:L123),0),1),"")</f>
        <v/>
      </c>
      <c r="M126" s="65" t="str">
        <f>IFERROR(INDEX(Calculations!$AQ$60:$AT$96,MATCH(MAX(M87:M104,M106:M123),(M87:M123),0),1),"")</f>
        <v/>
      </c>
      <c r="N126" s="65" t="str">
        <f>IFERROR(INDEX(Calculations!$AQ$60:$AT$96,MATCH(MAX(N87:N104,N106:N123),(N87:N123),0),1),"")</f>
        <v/>
      </c>
      <c r="O126" s="65" t="str">
        <f>IFERROR(INDEX(Calculations!$AQ$60:$AT$96,MATCH(MAX(O87:O104,O106:O123),(O87:O123),0),1),"")</f>
        <v/>
      </c>
      <c r="P126" s="65" t="str">
        <f>IFERROR(INDEX(Calculations!$AQ$60:$AT$96,MATCH(MAX(P87:P104,P106:P123),(P87:P123),0),1),"")</f>
        <v/>
      </c>
      <c r="Q126" s="65" t="str">
        <f>IFERROR(INDEX(Calculations!$AQ$60:$AT$96,MATCH(MAX(Q87:Q104,Q106:Q123),(Q87:Q123),0),1),"")</f>
        <v/>
      </c>
      <c r="R126" s="65" t="str">
        <f>IFERROR(INDEX(Calculations!$AQ$60:$AT$96,MATCH(MAX(R87:R104,R106:R123),(R87:R123),0),1),"")</f>
        <v/>
      </c>
      <c r="S126" s="65" t="str">
        <f>IFERROR(INDEX(Calculations!$AQ$60:$AT$96,MATCH(MAX(S87:S104,S106:S123),(S87:S123),0),1),"")</f>
        <v/>
      </c>
      <c r="T126" s="65" t="str">
        <f>IFERROR(INDEX(Calculations!$AQ$60:$AT$96,MATCH(MAX(T87:T104,T106:T123),(T87:T123),0),1),"")</f>
        <v/>
      </c>
      <c r="U126" s="65" t="str">
        <f>IFERROR(INDEX(Calculations!$AQ$60:$AT$96,MATCH(MAX(U87:U104,U106:U123),(U87:U123),0),1),"")</f>
        <v/>
      </c>
      <c r="V126" s="65" t="str">
        <f>IFERROR(INDEX(Calculations!$AQ$60:$AT$96,MATCH(MAX(V87:V104,V106:V123),(V87:V123),0),1),"")</f>
        <v/>
      </c>
      <c r="W126" s="65" t="str">
        <f>IFERROR(INDEX(Calculations!$AQ$60:$AT$96,MATCH(MAX(W87:W104,W106:W123),(W87:W123),0),1),"")</f>
        <v/>
      </c>
      <c r="X126" s="65" t="str">
        <f>IFERROR(INDEX(Calculations!$AQ$60:$AT$96,MATCH(MAX(X87:X104,X106:X123),(X87:X123),0),1),"")</f>
        <v/>
      </c>
      <c r="Y126" s="65" t="str">
        <f>IFERROR(INDEX(Calculations!$AQ$60:$AT$96,MATCH(MAX(Y87:Y104,Y106:Y123),(Y87:Y123),0),1),"")</f>
        <v/>
      </c>
      <c r="Z126" s="65" t="str">
        <f>IFERROR(INDEX(Calculations!$AQ$60:$AT$96,MATCH(MAX(Z87:Z104,Z106:Z123),(Z87:Z123),0),1),"")</f>
        <v/>
      </c>
      <c r="AA126" s="65" t="str">
        <f>IFERROR(INDEX(Calculations!$AQ$60:$AT$96,MATCH(MAX(AA87:AA104,AA106:AA123),(AA87:AA123),0),1),"")</f>
        <v/>
      </c>
      <c r="AB126" s="65" t="str">
        <f>IFERROR(INDEX(Calculations!$AQ$60:$AT$96,MATCH(MAX(AB87:AB104,AB106:AB123),(AB87:AB123),0),1),"")</f>
        <v/>
      </c>
      <c r="AC126" s="65" t="str">
        <f>IFERROR(INDEX(Calculations!$AQ$60:$AT$96,MATCH(MAX(AC87:AC104,AC106:AC123),(AC87:AC123),0),1),"")</f>
        <v/>
      </c>
      <c r="AD126" s="65" t="str">
        <f>IFERROR(INDEX(Calculations!$AQ$60:$AT$96,MATCH(MAX(AD87:AD104,AD106:AD123),(AD87:AD123),0),1),"")</f>
        <v/>
      </c>
      <c r="AE126" s="65" t="str">
        <f>IFERROR(INDEX(Calculations!$AQ$60:$AT$96,MATCH(MAX(AE87:AE104,AE106:AE123),(AE87:AE123),0),1),"")</f>
        <v/>
      </c>
    </row>
    <row r="127" spans="1:31" ht="15" x14ac:dyDescent="0.25">
      <c r="A127" s="1" t="e">
        <f>MATCH("Yes",Calculations!CP60:CP96,0)</f>
        <v>#N/A</v>
      </c>
      <c r="B127" s="177" t="s">
        <v>580</v>
      </c>
    </row>
    <row r="128" spans="1:31" ht="15" x14ac:dyDescent="0.25">
      <c r="B128" s="223" t="s">
        <v>658</v>
      </c>
    </row>
    <row r="129" spans="1:2" ht="15" x14ac:dyDescent="0.25">
      <c r="A129" s="1" t="b">
        <v>1</v>
      </c>
      <c r="B129" s="220" t="s">
        <v>654</v>
      </c>
    </row>
    <row r="130" spans="1:2" ht="15" x14ac:dyDescent="0.25">
      <c r="A130" s="1" t="b">
        <v>0</v>
      </c>
      <c r="B130" s="513" t="s">
        <v>851</v>
      </c>
    </row>
    <row r="131" spans="1:2" ht="15" x14ac:dyDescent="0.25">
      <c r="B131" s="557" t="s">
        <v>974</v>
      </c>
    </row>
    <row r="132" spans="1:2" ht="15" x14ac:dyDescent="0.25">
      <c r="A132" s="1" t="b">
        <v>1</v>
      </c>
      <c r="B132" s="556" t="s">
        <v>972</v>
      </c>
    </row>
    <row r="133" spans="1:2" ht="15" x14ac:dyDescent="0.25">
      <c r="B133" s="562" t="s">
        <v>980</v>
      </c>
    </row>
    <row r="134" spans="1:2" ht="15" x14ac:dyDescent="0.25">
      <c r="A134" s="66" t="b">
        <v>0</v>
      </c>
      <c r="B134" s="604" t="s">
        <v>1224</v>
      </c>
    </row>
    <row r="135" spans="1:2" ht="15" x14ac:dyDescent="0.25">
      <c r="B135" s="610" t="s">
        <v>1234</v>
      </c>
    </row>
    <row r="136" spans="1:2" ht="15" x14ac:dyDescent="0.25">
      <c r="A136" s="1" t="b">
        <v>0</v>
      </c>
      <c r="B136" s="623" t="s">
        <v>1295</v>
      </c>
    </row>
  </sheetData>
  <mergeCells count="1">
    <mergeCell ref="A42:A44"/>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dimension ref="A1:AT14"/>
  <sheetViews>
    <sheetView workbookViewId="0">
      <selection activeCell="AA5" sqref="AA5:AD5"/>
    </sheetView>
  </sheetViews>
  <sheetFormatPr defaultColWidth="3.7109375" defaultRowHeight="12.75" x14ac:dyDescent="0.2"/>
  <cols>
    <col min="1" max="34" width="3.7109375" customWidth="1"/>
    <col min="35" max="35" width="12.7109375" customWidth="1"/>
    <col min="36" max="36" width="11.85546875" customWidth="1"/>
    <col min="37" max="38" width="13" customWidth="1"/>
    <col min="39" max="39" width="17.42578125" customWidth="1"/>
    <col min="40" max="41" width="17.42578125" style="65" customWidth="1"/>
    <col min="42" max="42" width="16.7109375" customWidth="1"/>
    <col min="43" max="43" width="15.140625" customWidth="1"/>
    <col min="44" max="44" width="14.85546875" customWidth="1"/>
    <col min="45" max="45" width="14.5703125" customWidth="1"/>
    <col min="46" max="46" width="13.42578125" customWidth="1"/>
  </cols>
  <sheetData>
    <row r="1" spans="1:46" x14ac:dyDescent="0.2">
      <c r="E1">
        <v>1</v>
      </c>
      <c r="F1">
        <v>2</v>
      </c>
      <c r="G1" s="65">
        <v>3</v>
      </c>
      <c r="H1" s="65">
        <v>4</v>
      </c>
      <c r="I1" s="65">
        <v>5</v>
      </c>
      <c r="J1" s="65">
        <v>6</v>
      </c>
      <c r="K1" s="65">
        <v>7</v>
      </c>
      <c r="L1" s="65">
        <v>8</v>
      </c>
      <c r="M1" s="65">
        <v>9</v>
      </c>
      <c r="N1" s="65">
        <v>10</v>
      </c>
      <c r="O1" s="65">
        <v>11</v>
      </c>
      <c r="P1" s="65">
        <v>12</v>
      </c>
      <c r="Q1" s="65">
        <v>13</v>
      </c>
      <c r="R1" s="65">
        <v>14</v>
      </c>
      <c r="S1" s="65">
        <v>15</v>
      </c>
      <c r="T1" s="65">
        <v>16</v>
      </c>
      <c r="U1" s="65">
        <v>17</v>
      </c>
      <c r="V1" s="65">
        <v>18</v>
      </c>
      <c r="W1" s="65">
        <v>19</v>
      </c>
      <c r="X1" s="65">
        <v>20</v>
      </c>
      <c r="Y1" s="65">
        <v>21</v>
      </c>
      <c r="Z1" s="65">
        <v>22</v>
      </c>
      <c r="AA1" s="65">
        <v>23</v>
      </c>
      <c r="AB1" s="65">
        <v>24</v>
      </c>
      <c r="AC1" s="65">
        <v>25</v>
      </c>
      <c r="AD1" s="65">
        <v>26</v>
      </c>
      <c r="AE1" s="65">
        <v>27</v>
      </c>
      <c r="AF1" s="65">
        <v>28</v>
      </c>
      <c r="AG1" s="65">
        <v>29</v>
      </c>
      <c r="AH1" s="65">
        <v>30</v>
      </c>
      <c r="AI1" s="65">
        <v>31</v>
      </c>
      <c r="AJ1" s="65">
        <v>32</v>
      </c>
      <c r="AK1" s="65">
        <v>33</v>
      </c>
      <c r="AL1" s="65">
        <v>34</v>
      </c>
      <c r="AM1" s="65">
        <v>35</v>
      </c>
    </row>
    <row r="2" spans="1:46" x14ac:dyDescent="0.2">
      <c r="B2">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34</v>
      </c>
      <c r="AF2">
        <v>35</v>
      </c>
      <c r="AG2">
        <v>36</v>
      </c>
      <c r="AH2">
        <v>37</v>
      </c>
      <c r="AI2">
        <v>38</v>
      </c>
      <c r="AJ2">
        <v>39</v>
      </c>
      <c r="AK2">
        <v>40</v>
      </c>
      <c r="AL2">
        <v>41</v>
      </c>
      <c r="AM2">
        <v>42</v>
      </c>
    </row>
    <row r="3" spans="1:46" ht="39" customHeight="1" x14ac:dyDescent="0.2">
      <c r="B3" s="3"/>
      <c r="C3" s="751" t="s">
        <v>0</v>
      </c>
      <c r="D3" s="751"/>
      <c r="E3" s="751"/>
      <c r="F3" s="751"/>
      <c r="G3" s="751" t="s">
        <v>1</v>
      </c>
      <c r="H3" s="751"/>
      <c r="I3" s="751"/>
      <c r="J3" s="751"/>
      <c r="K3" s="751" t="s">
        <v>11</v>
      </c>
      <c r="L3" s="751"/>
      <c r="M3" s="751"/>
      <c r="N3" s="751"/>
      <c r="O3" s="751" t="s">
        <v>2</v>
      </c>
      <c r="P3" s="751"/>
      <c r="Q3" s="751"/>
      <c r="R3" s="751"/>
      <c r="S3" s="751" t="s">
        <v>3</v>
      </c>
      <c r="T3" s="751"/>
      <c r="U3" s="751"/>
      <c r="V3" s="751"/>
      <c r="W3" s="751" t="s">
        <v>4</v>
      </c>
      <c r="X3" s="751"/>
      <c r="Y3" s="751"/>
      <c r="Z3" s="751"/>
      <c r="AA3" s="751" t="s">
        <v>5</v>
      </c>
      <c r="AB3" s="751"/>
      <c r="AC3" s="751"/>
      <c r="AD3" s="751"/>
      <c r="AE3" s="751" t="s">
        <v>10</v>
      </c>
      <c r="AF3" s="751"/>
      <c r="AG3" s="751"/>
      <c r="AH3" s="751"/>
      <c r="AI3" s="16" t="s">
        <v>64</v>
      </c>
      <c r="AJ3" s="16" t="s">
        <v>67</v>
      </c>
      <c r="AK3" s="916" t="s">
        <v>207</v>
      </c>
      <c r="AL3" s="916"/>
      <c r="AM3" s="491" t="s">
        <v>692</v>
      </c>
      <c r="AN3" s="492" t="s">
        <v>786</v>
      </c>
      <c r="AO3" s="492" t="s">
        <v>785</v>
      </c>
      <c r="AP3" s="492" t="s">
        <v>782</v>
      </c>
      <c r="AQ3" s="492" t="s">
        <v>783</v>
      </c>
      <c r="AR3" s="493" t="s">
        <v>787</v>
      </c>
      <c r="AS3" s="492" t="s">
        <v>788</v>
      </c>
      <c r="AT3" s="492" t="s">
        <v>784</v>
      </c>
    </row>
    <row r="4" spans="1:46" ht="16.5" customHeight="1" x14ac:dyDescent="0.2">
      <c r="B4" s="3"/>
      <c r="C4" s="718" t="str">
        <f>IF(OR(C5=0,C5=""),"",IFERROR(VLOOKUP($B4,Input!$B$8:$AL$17,C$2,FALSE),0))</f>
        <v/>
      </c>
      <c r="D4" s="917"/>
      <c r="E4" s="918" t="str">
        <f>IF(G4="","",C4-G4)</f>
        <v/>
      </c>
      <c r="F4" s="919"/>
      <c r="G4" s="754"/>
      <c r="H4" s="755"/>
      <c r="I4" s="755"/>
      <c r="J4" s="756"/>
      <c r="K4" s="754"/>
      <c r="L4" s="755"/>
      <c r="M4" s="755"/>
      <c r="N4" s="756"/>
      <c r="O4" s="717" t="str">
        <f>IF(C4=0,O5,IFERROR(VLOOKUP($B4,Input!$B$8:$AL$17,O$2,FALSE),""))</f>
        <v/>
      </c>
      <c r="P4" s="717"/>
      <c r="Q4" s="717"/>
      <c r="R4" s="717"/>
      <c r="S4" s="754"/>
      <c r="T4" s="755"/>
      <c r="U4" s="755"/>
      <c r="V4" s="756"/>
      <c r="W4" s="754"/>
      <c r="X4" s="755"/>
      <c r="Y4" s="755"/>
      <c r="Z4" s="756"/>
      <c r="AA4" s="717" t="str">
        <f>IF(C4=0,AA5,IFERROR(VLOOKUP($B4,Input!$B$8:$AL$17,AA$2,FALSE),""))</f>
        <v/>
      </c>
      <c r="AB4" s="717"/>
      <c r="AC4" s="717"/>
      <c r="AD4" s="717"/>
      <c r="AE4" s="717" t="str">
        <f>IF(C4=0,AE5,IFERROR(VLOOKUP($B4,Input!$B$8:$AL$17,AE$2,FALSE),""))</f>
        <v/>
      </c>
      <c r="AF4" s="717"/>
      <c r="AG4" s="717"/>
      <c r="AH4" s="717"/>
      <c r="AI4" s="16"/>
      <c r="AJ4" t="str">
        <f>AA5</f>
        <v/>
      </c>
      <c r="AK4" t="s">
        <v>208</v>
      </c>
      <c r="AL4" t="s">
        <v>209</v>
      </c>
      <c r="AM4" s="494"/>
      <c r="AN4" s="494"/>
      <c r="AO4" s="494"/>
      <c r="AP4" s="494"/>
      <c r="AQ4" s="494"/>
      <c r="AR4" s="494"/>
      <c r="AS4" s="494"/>
      <c r="AT4" s="451"/>
    </row>
    <row r="5" spans="1:46" x14ac:dyDescent="0.2">
      <c r="B5" s="4">
        <v>10</v>
      </c>
      <c r="C5" s="718" t="str">
        <f>IF(OR(C6=0,C6=""),"",IFERROR(VLOOKUP($B5,Input!$B$8:$AL$17,C$2,FALSE),0))</f>
        <v/>
      </c>
      <c r="D5" s="917"/>
      <c r="E5" s="918" t="str">
        <f t="shared" ref="E5:E14" si="0">IF(G5="","",C5-G5)</f>
        <v/>
      </c>
      <c r="F5" s="919"/>
      <c r="G5" s="717" t="str">
        <f>IFERROR(VLOOKUP($B5,Input!$B$8:$AL$17,G$2,FALSE),"")</f>
        <v/>
      </c>
      <c r="H5" s="717"/>
      <c r="I5" s="717"/>
      <c r="J5" s="717"/>
      <c r="K5" s="717" t="str">
        <f>IFERROR(VLOOKUP($B5,Input!$B$8:$AL$17,K$2,FALSE),"")</f>
        <v/>
      </c>
      <c r="L5" s="717"/>
      <c r="M5" s="717"/>
      <c r="N5" s="717"/>
      <c r="O5" s="717" t="str">
        <f>IF(C5=0,O6,IFERROR(VLOOKUP($B5,Input!$B$8:$AL$17,O$2,FALSE),""))</f>
        <v/>
      </c>
      <c r="P5" s="717"/>
      <c r="Q5" s="717"/>
      <c r="R5" s="717"/>
      <c r="S5" s="717" t="str">
        <f>IFERROR(VLOOKUP($B5,Input!$B$8:$AL$17,S$2,FALSE),"")</f>
        <v/>
      </c>
      <c r="T5" s="717"/>
      <c r="U5" s="717"/>
      <c r="V5" s="717"/>
      <c r="W5" s="717" t="str">
        <f>IFERROR(VLOOKUP($B5,Input!$B$8:$AL$17,W$2,FALSE),"")</f>
        <v/>
      </c>
      <c r="X5" s="717"/>
      <c r="Y5" s="717"/>
      <c r="Z5" s="717"/>
      <c r="AA5" s="717" t="str">
        <f>IF(C5=0,AA6,IFERROR(VLOOKUP($B5,Input!$B$8:$AL$17,AA$2,FALSE),""))</f>
        <v/>
      </c>
      <c r="AB5" s="717"/>
      <c r="AC5" s="717"/>
      <c r="AD5" s="717"/>
      <c r="AE5" s="717" t="str">
        <f>IF(C5=0,AE6,IFERROR(VLOOKUP($B5,Input!$B$8:$AL$17,AE$2,FALSE),""))</f>
        <v/>
      </c>
      <c r="AF5" s="717"/>
      <c r="AG5" s="717"/>
      <c r="AH5" s="717"/>
      <c r="AI5" t="str">
        <f t="shared" ref="AI5:AI14" si="1">IF(OR(K6="",C5=""),"n/a",C5-K6)</f>
        <v>n/a</v>
      </c>
      <c r="AJ5" s="18" t="str">
        <f>IF(Sh_10="","",(Bd_10-Td_10)/(Sh_10*12))</f>
        <v/>
      </c>
      <c r="AK5" s="18">
        <f>IF(AI5="n/a",0,AI5)</f>
        <v>0</v>
      </c>
      <c r="AL5">
        <f>IF(AK5&gt;0,C5,0)</f>
        <v>0</v>
      </c>
      <c r="AM5" s="494" t="str">
        <f>IF(AND(Input!AE17="Auto",Rev="H"),1.5*St_10,IF(AND(Input!$AE$17="Auto",OR(Rev="F",Rev="G")),4*St_10,Input!$AE$17))</f>
        <v/>
      </c>
      <c r="AN5" s="494" t="e">
        <f t="shared" ref="AN5:AN13" si="2">W5-(2*AA5)</f>
        <v>#VALUE!</v>
      </c>
      <c r="AO5" s="494" t="e">
        <f t="shared" ref="AO5:AO13" si="3">K5*12</f>
        <v>#VALUE!</v>
      </c>
      <c r="AP5" s="494" t="e">
        <f t="shared" ref="AP5:AP13" si="4">1.5*AN5</f>
        <v>#VALUE!</v>
      </c>
      <c r="AQ5" s="494" t="e">
        <f t="shared" ref="AQ5:AQ13" si="5">IF(K5&lt;&gt;0,IF(AP5&gt;AO5,"Yes","No"),"N/A")</f>
        <v>#VALUE!</v>
      </c>
      <c r="AR5" s="494" t="e">
        <f t="shared" ref="AR5:AR13" si="6">IF(K5=0,"N/A",AO5/AN5)</f>
        <v>#VALUE!</v>
      </c>
      <c r="AS5" s="494" t="e">
        <f t="shared" ref="AS5:AS13" si="7">IF(AR5&gt;=1.5,1,IF(AR5=1,0.67,IF(AR5&lt;1,"Insufficient",(((AR5-1)*(1-0.67))/(1.5-1))+0.67)))</f>
        <v>#VALUE!</v>
      </c>
      <c r="AT5" s="494" t="e">
        <f>IF(AS5="Insufficient","Insufficient",AS5*VLOOKUP(AE5,Materials[],2,FALSE))</f>
        <v>#VALUE!</v>
      </c>
    </row>
    <row r="6" spans="1:46" x14ac:dyDescent="0.2">
      <c r="B6" s="4">
        <v>9</v>
      </c>
      <c r="C6" s="718" t="str">
        <f>IF(OR(C7=0,C7=""),"",IFERROR(VLOOKUP($B6,Input!$B$8:$AL$17,C$2,FALSE),0))</f>
        <v/>
      </c>
      <c r="D6" s="917"/>
      <c r="E6" s="918" t="str">
        <f t="shared" si="0"/>
        <v/>
      </c>
      <c r="F6" s="919"/>
      <c r="G6" s="717" t="str">
        <f>IFERROR(VLOOKUP($B6,Input!$B$8:$AL$17,G$2,FALSE),"")</f>
        <v/>
      </c>
      <c r="H6" s="717"/>
      <c r="I6" s="717"/>
      <c r="J6" s="717"/>
      <c r="K6" s="717" t="str">
        <f>IFERROR(VLOOKUP($B6,Input!$B$8:$AL$17,K$2,FALSE),"")</f>
        <v/>
      </c>
      <c r="L6" s="717"/>
      <c r="M6" s="717"/>
      <c r="N6" s="717"/>
      <c r="O6" s="717" t="str">
        <f>IF(C6=0,O7,IFERROR(VLOOKUP($B6,Input!$B$8:$AL$17,O$2,FALSE),""))</f>
        <v/>
      </c>
      <c r="P6" s="717"/>
      <c r="Q6" s="717"/>
      <c r="R6" s="717"/>
      <c r="S6" s="717" t="str">
        <f>IFERROR(VLOOKUP($B6,Input!$B$8:$AL$17,S$2,FALSE),"")</f>
        <v/>
      </c>
      <c r="T6" s="717"/>
      <c r="U6" s="717"/>
      <c r="V6" s="717"/>
      <c r="W6" s="717" t="str">
        <f>IFERROR(VLOOKUP($B6,Input!$B$8:$AL$17,W$2,FALSE),"")</f>
        <v/>
      </c>
      <c r="X6" s="717"/>
      <c r="Y6" s="717"/>
      <c r="Z6" s="717"/>
      <c r="AA6" s="717" t="str">
        <f>IF(C6=0,AA7,IFERROR(VLOOKUP($B6,Input!$B$8:$AL$17,AA$2,FALSE),""))</f>
        <v/>
      </c>
      <c r="AB6" s="717"/>
      <c r="AC6" s="717"/>
      <c r="AD6" s="717"/>
      <c r="AE6" s="717" t="str">
        <f>IF(C6=0,AE7,IFERROR(VLOOKUP($B6,Input!$B$8:$AL$17,AE$2,FALSE),""))</f>
        <v/>
      </c>
      <c r="AF6" s="717"/>
      <c r="AG6" s="717"/>
      <c r="AH6" s="717"/>
      <c r="AI6" t="str">
        <f t="shared" si="1"/>
        <v>n/a</v>
      </c>
      <c r="AJ6" s="18" t="str">
        <f>IF(Sh_9="","",(Bd_9-Td_9)/(Sh_9*12))</f>
        <v/>
      </c>
      <c r="AK6" s="18">
        <f t="shared" ref="AK6:AK14" si="8">IF(AI6="n/a",0,AI6)</f>
        <v>0</v>
      </c>
      <c r="AL6" s="38">
        <f t="shared" ref="AL6:AL14" si="9">IF(AK6&gt;0,C6,0)</f>
        <v>0</v>
      </c>
      <c r="AM6" s="494" t="str">
        <f>IF(AND(Input!AE16="Auto",Rev="H"),1.5*St_9,IF(AND(Input!$AE$16="Auto",OR(Rev="F",Rev="G")),4*St_9,Input!$AE$16))</f>
        <v/>
      </c>
      <c r="AN6" s="494" t="e">
        <f t="shared" si="2"/>
        <v>#VALUE!</v>
      </c>
      <c r="AO6" s="494" t="e">
        <f t="shared" si="3"/>
        <v>#VALUE!</v>
      </c>
      <c r="AP6" s="494" t="e">
        <f t="shared" si="4"/>
        <v>#VALUE!</v>
      </c>
      <c r="AQ6" s="494" t="e">
        <f t="shared" si="5"/>
        <v>#VALUE!</v>
      </c>
      <c r="AR6" s="494" t="e">
        <f t="shared" si="6"/>
        <v>#VALUE!</v>
      </c>
      <c r="AS6" s="494" t="e">
        <f t="shared" si="7"/>
        <v>#VALUE!</v>
      </c>
      <c r="AT6" s="494" t="e">
        <f>IF(AS6="Insufficient","Insufficient",AS6*VLOOKUP(AE6,Materials[],2,FALSE))</f>
        <v>#VALUE!</v>
      </c>
    </row>
    <row r="7" spans="1:46" x14ac:dyDescent="0.2">
      <c r="B7" s="4">
        <v>8</v>
      </c>
      <c r="C7" s="718" t="str">
        <f>IF(OR(C8=0,C8=""),"",IFERROR(VLOOKUP($B7,Input!$B$8:$AL$17,C$2,FALSE),0))</f>
        <v/>
      </c>
      <c r="D7" s="917"/>
      <c r="E7" s="918" t="str">
        <f t="shared" si="0"/>
        <v/>
      </c>
      <c r="F7" s="919"/>
      <c r="G7" s="717" t="str">
        <f>IFERROR(VLOOKUP($B7,Input!$B$8:$AL$17,G$2,FALSE),"")</f>
        <v/>
      </c>
      <c r="H7" s="717"/>
      <c r="I7" s="717"/>
      <c r="J7" s="717"/>
      <c r="K7" s="717" t="str">
        <f>IFERROR(VLOOKUP($B7,Input!$B$8:$AL$17,K$2,FALSE),"")</f>
        <v/>
      </c>
      <c r="L7" s="717"/>
      <c r="M7" s="717"/>
      <c r="N7" s="717"/>
      <c r="O7" s="717" t="str">
        <f>IF(C7=0,O8,IFERROR(VLOOKUP($B7,Input!$B$8:$AL$17,O$2,FALSE),""))</f>
        <v/>
      </c>
      <c r="P7" s="717"/>
      <c r="Q7" s="717"/>
      <c r="R7" s="717"/>
      <c r="S7" s="717" t="str">
        <f>IFERROR(VLOOKUP($B7,Input!$B$8:$AL$17,S$2,FALSE),"")</f>
        <v/>
      </c>
      <c r="T7" s="717"/>
      <c r="U7" s="717"/>
      <c r="V7" s="717"/>
      <c r="W7" s="717" t="str">
        <f>IFERROR(VLOOKUP($B7,Input!$B$8:$AL$17,W$2,FALSE),"")</f>
        <v/>
      </c>
      <c r="X7" s="717"/>
      <c r="Y7" s="717"/>
      <c r="Z7" s="717"/>
      <c r="AA7" s="717" t="str">
        <f>IF(C7=0,AA8,IFERROR(VLOOKUP($B7,Input!$B$8:$AL$17,AA$2,FALSE),""))</f>
        <v/>
      </c>
      <c r="AB7" s="717"/>
      <c r="AC7" s="717"/>
      <c r="AD7" s="717"/>
      <c r="AE7" s="717" t="str">
        <f>IF(C7=0,AE8,IFERROR(VLOOKUP($B7,Input!$B$8:$AL$17,AE$2,FALSE),""))</f>
        <v/>
      </c>
      <c r="AF7" s="717"/>
      <c r="AG7" s="717"/>
      <c r="AH7" s="717"/>
      <c r="AI7" t="str">
        <f t="shared" si="1"/>
        <v>n/a</v>
      </c>
      <c r="AJ7" s="18" t="str">
        <f>IF(Sh_8="","",(Bd_8-Td_8)/(Sh_8*12))</f>
        <v/>
      </c>
      <c r="AK7" s="18">
        <f t="shared" si="8"/>
        <v>0</v>
      </c>
      <c r="AL7" s="38">
        <f t="shared" si="9"/>
        <v>0</v>
      </c>
      <c r="AM7" s="494" t="str">
        <f>IF(AND(Input!AE15="Auto",Rev="H"),1.5*St_8,IF(AND(Input!$AE$15="Auto",OR(Rev="F",Rev="G")),4*St_8,Input!$AE$15))</f>
        <v/>
      </c>
      <c r="AN7" s="494" t="e">
        <f t="shared" si="2"/>
        <v>#VALUE!</v>
      </c>
      <c r="AO7" s="494" t="e">
        <f t="shared" si="3"/>
        <v>#VALUE!</v>
      </c>
      <c r="AP7" s="494" t="e">
        <f t="shared" si="4"/>
        <v>#VALUE!</v>
      </c>
      <c r="AQ7" s="494" t="e">
        <f t="shared" si="5"/>
        <v>#VALUE!</v>
      </c>
      <c r="AR7" s="494" t="e">
        <f t="shared" si="6"/>
        <v>#VALUE!</v>
      </c>
      <c r="AS7" s="494" t="e">
        <f t="shared" si="7"/>
        <v>#VALUE!</v>
      </c>
      <c r="AT7" s="494" t="e">
        <f>IF(AS7="Insufficient","Insufficient",AS7*VLOOKUP(AE7,Materials[],2,FALSE))</f>
        <v>#VALUE!</v>
      </c>
    </row>
    <row r="8" spans="1:46" x14ac:dyDescent="0.2">
      <c r="B8" s="4">
        <v>7</v>
      </c>
      <c r="C8" s="718" t="str">
        <f>IF(OR(C9=0,C9=""),"",IFERROR(VLOOKUP($B8,Input!$B$8:$AL$17,C$2,FALSE),0))</f>
        <v/>
      </c>
      <c r="D8" s="917"/>
      <c r="E8" s="918" t="str">
        <f t="shared" si="0"/>
        <v/>
      </c>
      <c r="F8" s="919"/>
      <c r="G8" s="717" t="str">
        <f>IFERROR(VLOOKUP($B8,Input!$B$8:$AL$17,G$2,FALSE),"")</f>
        <v/>
      </c>
      <c r="H8" s="717"/>
      <c r="I8" s="717"/>
      <c r="J8" s="717"/>
      <c r="K8" s="717" t="str">
        <f>IFERROR(VLOOKUP($B8,Input!$B$8:$AL$17,K$2,FALSE),"")</f>
        <v/>
      </c>
      <c r="L8" s="717"/>
      <c r="M8" s="717"/>
      <c r="N8" s="717"/>
      <c r="O8" s="717" t="str">
        <f>IF(C8=0,O9,IFERROR(VLOOKUP($B8,Input!$B$8:$AL$17,O$2,FALSE),""))</f>
        <v/>
      </c>
      <c r="P8" s="717"/>
      <c r="Q8" s="717"/>
      <c r="R8" s="717"/>
      <c r="S8" s="717" t="str">
        <f>IFERROR(VLOOKUP($B8,Input!$B$8:$AL$17,S$2,FALSE),"")</f>
        <v/>
      </c>
      <c r="T8" s="717"/>
      <c r="U8" s="717"/>
      <c r="V8" s="717"/>
      <c r="W8" s="717" t="str">
        <f>IFERROR(VLOOKUP($B8,Input!$B$8:$AL$17,W$2,FALSE),"")</f>
        <v/>
      </c>
      <c r="X8" s="717"/>
      <c r="Y8" s="717"/>
      <c r="Z8" s="717"/>
      <c r="AA8" s="717" t="str">
        <f>IF(C8=0,AA9,IFERROR(VLOOKUP($B8,Input!$B$8:$AL$17,AA$2,FALSE),""))</f>
        <v/>
      </c>
      <c r="AB8" s="717"/>
      <c r="AC8" s="717"/>
      <c r="AD8" s="717"/>
      <c r="AE8" s="717" t="str">
        <f>IF(C8=0,AE9,IFERROR(VLOOKUP($B8,Input!$B$8:$AL$17,AE$2,FALSE),""))</f>
        <v/>
      </c>
      <c r="AF8" s="717"/>
      <c r="AG8" s="717"/>
      <c r="AH8" s="717"/>
      <c r="AI8" t="str">
        <f t="shared" si="1"/>
        <v>n/a</v>
      </c>
      <c r="AJ8" s="18" t="str">
        <f>IF(Sh_7="","",(Bd_7-Td_7)/(Sh_7*12))</f>
        <v/>
      </c>
      <c r="AK8" s="18">
        <f t="shared" si="8"/>
        <v>0</v>
      </c>
      <c r="AL8" s="38">
        <f t="shared" si="9"/>
        <v>0</v>
      </c>
      <c r="AM8" s="494" t="str">
        <f>IF(AND(Input!AE14="Auto",Rev="H"),1.5*St_7,IF(AND(Input!$AE$14="Auto",OR(Rev="F",Rev="G")),4*St_7,Input!$AE$14))</f>
        <v/>
      </c>
      <c r="AN8" s="494" t="e">
        <f t="shared" si="2"/>
        <v>#VALUE!</v>
      </c>
      <c r="AO8" s="494" t="e">
        <f t="shared" si="3"/>
        <v>#VALUE!</v>
      </c>
      <c r="AP8" s="494" t="e">
        <f t="shared" si="4"/>
        <v>#VALUE!</v>
      </c>
      <c r="AQ8" s="494" t="e">
        <f t="shared" si="5"/>
        <v>#VALUE!</v>
      </c>
      <c r="AR8" s="494" t="e">
        <f t="shared" si="6"/>
        <v>#VALUE!</v>
      </c>
      <c r="AS8" s="494" t="e">
        <f t="shared" si="7"/>
        <v>#VALUE!</v>
      </c>
      <c r="AT8" s="494" t="e">
        <f>IF(AS8="Insufficient","Insufficient",AS8*VLOOKUP(AE8,Materials[],2,FALSE))</f>
        <v>#VALUE!</v>
      </c>
    </row>
    <row r="9" spans="1:46" x14ac:dyDescent="0.2">
      <c r="B9" s="4">
        <v>6</v>
      </c>
      <c r="C9" s="718" t="str">
        <f>IF(OR(C10=0,C10=""),"",IFERROR(VLOOKUP($B9,Input!$B$8:$AL$17,C$2,FALSE),0))</f>
        <v/>
      </c>
      <c r="D9" s="917"/>
      <c r="E9" s="918" t="str">
        <f t="shared" si="0"/>
        <v/>
      </c>
      <c r="F9" s="919"/>
      <c r="G9" s="717" t="str">
        <f>IFERROR(VLOOKUP($B9,Input!$B$8:$AL$17,G$2,FALSE),"")</f>
        <v/>
      </c>
      <c r="H9" s="717"/>
      <c r="I9" s="717"/>
      <c r="J9" s="717"/>
      <c r="K9" s="717" t="str">
        <f>IFERROR(VLOOKUP($B9,Input!$B$8:$AL$17,K$2,FALSE),"")</f>
        <v/>
      </c>
      <c r="L9" s="717"/>
      <c r="M9" s="717"/>
      <c r="N9" s="717"/>
      <c r="O9" s="717" t="str">
        <f>IF(C9=0,O10,IFERROR(VLOOKUP($B9,Input!$B$8:$AL$17,O$2,FALSE),""))</f>
        <v/>
      </c>
      <c r="P9" s="717"/>
      <c r="Q9" s="717"/>
      <c r="R9" s="717"/>
      <c r="S9" s="717" t="str">
        <f>IFERROR(VLOOKUP($B9,Input!$B$8:$AL$17,S$2,FALSE),"")</f>
        <v/>
      </c>
      <c r="T9" s="717"/>
      <c r="U9" s="717"/>
      <c r="V9" s="717"/>
      <c r="W9" s="717" t="str">
        <f>IFERROR(VLOOKUP($B9,Input!$B$8:$AL$17,W$2,FALSE),"")</f>
        <v/>
      </c>
      <c r="X9" s="717"/>
      <c r="Y9" s="717"/>
      <c r="Z9" s="717"/>
      <c r="AA9" s="717" t="str">
        <f>IF(C9=0,AA10,IFERROR(VLOOKUP($B9,Input!$B$8:$AL$17,AA$2,FALSE),""))</f>
        <v/>
      </c>
      <c r="AB9" s="717"/>
      <c r="AC9" s="717"/>
      <c r="AD9" s="717"/>
      <c r="AE9" s="717" t="str">
        <f>IF(C9=0,AE10,IFERROR(VLOOKUP($B9,Input!$B$8:$AL$17,AE$2,FALSE),""))</f>
        <v/>
      </c>
      <c r="AF9" s="717"/>
      <c r="AG9" s="717"/>
      <c r="AH9" s="717"/>
      <c r="AI9" t="str">
        <f t="shared" si="1"/>
        <v>n/a</v>
      </c>
      <c r="AJ9" s="18" t="str">
        <f>IF(Sh_6="","",(Bd_6-Td_6)/(Sh_6*12))</f>
        <v/>
      </c>
      <c r="AK9" s="18">
        <f t="shared" si="8"/>
        <v>0</v>
      </c>
      <c r="AL9" s="38">
        <f t="shared" si="9"/>
        <v>0</v>
      </c>
      <c r="AM9" s="494" t="str">
        <f>IF(AND(Input!AE13="Auto",Rev="H"),1.5*St_6,IF(AND(Input!$AE$13="Auto",OR(Rev="F",Rev="G")),4*St_6,Input!$AE$13))</f>
        <v/>
      </c>
      <c r="AN9" s="494" t="e">
        <f t="shared" si="2"/>
        <v>#VALUE!</v>
      </c>
      <c r="AO9" s="494" t="e">
        <f t="shared" si="3"/>
        <v>#VALUE!</v>
      </c>
      <c r="AP9" s="494" t="e">
        <f t="shared" si="4"/>
        <v>#VALUE!</v>
      </c>
      <c r="AQ9" s="494" t="e">
        <f t="shared" si="5"/>
        <v>#VALUE!</v>
      </c>
      <c r="AR9" s="494" t="e">
        <f t="shared" si="6"/>
        <v>#VALUE!</v>
      </c>
      <c r="AS9" s="494" t="e">
        <f t="shared" si="7"/>
        <v>#VALUE!</v>
      </c>
      <c r="AT9" s="494" t="e">
        <f>IF(AS9="Insufficient","Insufficient",AS9*VLOOKUP(AE9,Materials[],2,FALSE))</f>
        <v>#VALUE!</v>
      </c>
    </row>
    <row r="10" spans="1:46" x14ac:dyDescent="0.2">
      <c r="B10" s="4">
        <v>5</v>
      </c>
      <c r="C10" s="718" t="str">
        <f>IF(OR(C11=0,C11=""),"",IFERROR(VLOOKUP($B10,Input!$B$8:$AL$17,C$2,FALSE),0))</f>
        <v/>
      </c>
      <c r="D10" s="917"/>
      <c r="E10" s="918" t="str">
        <f t="shared" si="0"/>
        <v/>
      </c>
      <c r="F10" s="919"/>
      <c r="G10" s="717" t="str">
        <f>IFERROR(VLOOKUP($B10,Input!$B$8:$AL$17,G$2,FALSE),"")</f>
        <v/>
      </c>
      <c r="H10" s="717"/>
      <c r="I10" s="717"/>
      <c r="J10" s="717"/>
      <c r="K10" s="717" t="str">
        <f>IFERROR(VLOOKUP($B10,Input!$B$8:$AL$17,K$2,FALSE),"")</f>
        <v/>
      </c>
      <c r="L10" s="717"/>
      <c r="M10" s="717"/>
      <c r="N10" s="717"/>
      <c r="O10" s="717" t="str">
        <f>IF(C10=0,O11,IFERROR(VLOOKUP($B10,Input!$B$8:$AL$17,O$2,FALSE),""))</f>
        <v/>
      </c>
      <c r="P10" s="717"/>
      <c r="Q10" s="717"/>
      <c r="R10" s="717"/>
      <c r="S10" s="717" t="str">
        <f>IFERROR(VLOOKUP($B10,Input!$B$8:$AL$17,S$2,FALSE),"")</f>
        <v/>
      </c>
      <c r="T10" s="717"/>
      <c r="U10" s="717"/>
      <c r="V10" s="717"/>
      <c r="W10" s="717" t="str">
        <f>IFERROR(VLOOKUP($B10,Input!$B$8:$AL$17,W$2,FALSE),"")</f>
        <v/>
      </c>
      <c r="X10" s="717"/>
      <c r="Y10" s="717"/>
      <c r="Z10" s="717"/>
      <c r="AA10" s="717" t="str">
        <f>IF(C10=0,AA11,IFERROR(VLOOKUP($B10,Input!$B$8:$AL$17,AA$2,FALSE),""))</f>
        <v/>
      </c>
      <c r="AB10" s="717"/>
      <c r="AC10" s="717"/>
      <c r="AD10" s="717"/>
      <c r="AE10" s="717" t="str">
        <f>IF(C10=0,AE11,IFERROR(VLOOKUP($B10,Input!$B$8:$AL$17,AE$2,FALSE),""))</f>
        <v/>
      </c>
      <c r="AF10" s="717"/>
      <c r="AG10" s="717"/>
      <c r="AH10" s="717"/>
      <c r="AI10" t="str">
        <f t="shared" si="1"/>
        <v>n/a</v>
      </c>
      <c r="AJ10" s="18" t="str">
        <f>IF(Sh_5="","",(Bd_5-Td_5)/(Sh_5*12))</f>
        <v/>
      </c>
      <c r="AK10" s="18">
        <f t="shared" si="8"/>
        <v>0</v>
      </c>
      <c r="AL10" s="38">
        <f t="shared" si="9"/>
        <v>0</v>
      </c>
      <c r="AM10" s="494" t="str">
        <f>IF(AND(Input!AE12="Auto",Rev="H"),1.5*St_5,IF(AND(Input!$AE$12="Auto",OR(Rev="F",Rev="G")),4*St_5,Input!$AE$12))</f>
        <v/>
      </c>
      <c r="AN10" s="494" t="e">
        <f t="shared" si="2"/>
        <v>#VALUE!</v>
      </c>
      <c r="AO10" s="494" t="e">
        <f t="shared" si="3"/>
        <v>#VALUE!</v>
      </c>
      <c r="AP10" s="494" t="e">
        <f t="shared" si="4"/>
        <v>#VALUE!</v>
      </c>
      <c r="AQ10" s="494" t="e">
        <f t="shared" si="5"/>
        <v>#VALUE!</v>
      </c>
      <c r="AR10" s="494" t="e">
        <f t="shared" si="6"/>
        <v>#VALUE!</v>
      </c>
      <c r="AS10" s="494" t="e">
        <f t="shared" si="7"/>
        <v>#VALUE!</v>
      </c>
      <c r="AT10" s="494" t="e">
        <f>IF(AS10="Insufficient","Insufficient",AS10*VLOOKUP(AE10,Materials[],2,FALSE))</f>
        <v>#VALUE!</v>
      </c>
    </row>
    <row r="11" spans="1:46" x14ac:dyDescent="0.2">
      <c r="A11" t="s">
        <v>798</v>
      </c>
      <c r="B11" s="4">
        <v>4</v>
      </c>
      <c r="C11" s="718" t="str">
        <f>IF(OR(C12=0,C12=""),"",IFERROR(VLOOKUP($B11,Input!$B$8:$AL$17,C$2,FALSE),0))</f>
        <v/>
      </c>
      <c r="D11" s="917"/>
      <c r="E11" s="918" t="str">
        <f t="shared" si="0"/>
        <v/>
      </c>
      <c r="F11" s="919"/>
      <c r="G11" s="717" t="str">
        <f>IFERROR(VLOOKUP($B11,Input!$B$8:$AL$17,G$2,FALSE),"")</f>
        <v/>
      </c>
      <c r="H11" s="717"/>
      <c r="I11" s="717"/>
      <c r="J11" s="717"/>
      <c r="K11" s="717" t="str">
        <f>IFERROR(VLOOKUP($B11,Input!$B$8:$AL$17,K$2,FALSE),"")</f>
        <v/>
      </c>
      <c r="L11" s="717"/>
      <c r="M11" s="717"/>
      <c r="N11" s="717"/>
      <c r="O11" s="717" t="str">
        <f>IF(C11=0,O12,IFERROR(VLOOKUP($B11,Input!$B$8:$AL$17,O$2,FALSE),""))</f>
        <v/>
      </c>
      <c r="P11" s="717"/>
      <c r="Q11" s="717"/>
      <c r="R11" s="717"/>
      <c r="S11" s="717" t="str">
        <f>IFERROR(VLOOKUP($B11,Input!$B$8:$AL$17,S$2,FALSE),"")</f>
        <v/>
      </c>
      <c r="T11" s="717"/>
      <c r="U11" s="717"/>
      <c r="V11" s="717"/>
      <c r="W11" s="717" t="str">
        <f>IFERROR(VLOOKUP($B11,Input!$B$8:$AL$17,W$2,FALSE),"")</f>
        <v/>
      </c>
      <c r="X11" s="717"/>
      <c r="Y11" s="717"/>
      <c r="Z11" s="717"/>
      <c r="AA11" s="717" t="str">
        <f>IF(C11=0,AA12,IFERROR(VLOOKUP($B11,Input!$B$8:$AL$17,AA$2,FALSE),""))</f>
        <v/>
      </c>
      <c r="AB11" s="717"/>
      <c r="AC11" s="717"/>
      <c r="AD11" s="717"/>
      <c r="AE11" s="717" t="str">
        <f>IF(C11=0,AE12,IFERROR(VLOOKUP($B11,Input!$B$8:$AL$17,AE$2,FALSE),""))</f>
        <v/>
      </c>
      <c r="AF11" s="717"/>
      <c r="AG11" s="717"/>
      <c r="AH11" s="717"/>
      <c r="AI11" t="str">
        <f>IF(OR(K12="",C11=""),"n/a",C11-K12)</f>
        <v>n/a</v>
      </c>
      <c r="AJ11" s="18" t="str">
        <f>IF(Sh_4="","",(Bd_4-Td_4)/(Sh_4*12))</f>
        <v/>
      </c>
      <c r="AK11" s="18">
        <f t="shared" si="8"/>
        <v>0</v>
      </c>
      <c r="AL11" s="38">
        <f t="shared" si="9"/>
        <v>0</v>
      </c>
      <c r="AM11" s="494" t="str">
        <f>IF(AND(Input!AE11="Auto",Rev="H"),1.5*St_4,IF(AND(Input!$AE$11="Auto",OR(Rev="F",Rev="G")),4*St_4,Input!$AE$11))</f>
        <v/>
      </c>
      <c r="AN11" s="494" t="e">
        <f>W11-(2*AA11)</f>
        <v>#VALUE!</v>
      </c>
      <c r="AO11" s="494" t="e">
        <f t="shared" si="3"/>
        <v>#VALUE!</v>
      </c>
      <c r="AP11" s="494" t="e">
        <f t="shared" si="4"/>
        <v>#VALUE!</v>
      </c>
      <c r="AQ11" s="494" t="e">
        <f t="shared" si="5"/>
        <v>#VALUE!</v>
      </c>
      <c r="AR11" s="494" t="e">
        <f t="shared" si="6"/>
        <v>#VALUE!</v>
      </c>
      <c r="AS11" s="494" t="e">
        <f t="shared" si="7"/>
        <v>#VALUE!</v>
      </c>
      <c r="AT11" s="494" t="e">
        <f>IF(AS11="Insufficient","Insufficient",AS11*VLOOKUP(AE11,Materials[],2,FALSE))</f>
        <v>#VALUE!</v>
      </c>
    </row>
    <row r="12" spans="1:46" x14ac:dyDescent="0.2">
      <c r="B12" s="4">
        <v>3</v>
      </c>
      <c r="C12" s="718" t="str">
        <f>IF(OR(C13=0,C13=""),"",IFERROR(VLOOKUP($B12,Input!$B$8:$AL$17,C$2,FALSE),0))</f>
        <v/>
      </c>
      <c r="D12" s="917"/>
      <c r="E12" s="918" t="str">
        <f t="shared" si="0"/>
        <v/>
      </c>
      <c r="F12" s="919"/>
      <c r="G12" s="717" t="str">
        <f>IFERROR(VLOOKUP($B12,Input!$B$8:$AL$17,G$2,FALSE),"")</f>
        <v/>
      </c>
      <c r="H12" s="717"/>
      <c r="I12" s="717"/>
      <c r="J12" s="717"/>
      <c r="K12" s="717" t="str">
        <f>IFERROR(VLOOKUP($B12,Input!$B$8:$AL$17,K$2,FALSE),"")</f>
        <v/>
      </c>
      <c r="L12" s="717"/>
      <c r="M12" s="717"/>
      <c r="N12" s="717"/>
      <c r="O12" s="717" t="str">
        <f>IF(C12=0,O13,IFERROR(VLOOKUP($B12,Input!$B$8:$AL$17,O$2,FALSE),""))</f>
        <v/>
      </c>
      <c r="P12" s="717"/>
      <c r="Q12" s="717"/>
      <c r="R12" s="717"/>
      <c r="S12" s="717" t="str">
        <f>IFERROR(VLOOKUP($B12,Input!$B$8:$AL$17,S$2,FALSE),"")</f>
        <v/>
      </c>
      <c r="T12" s="717"/>
      <c r="U12" s="717"/>
      <c r="V12" s="717"/>
      <c r="W12" s="717" t="str">
        <f>IFERROR(VLOOKUP($B12,Input!$B$8:$AL$17,W$2,FALSE),"")</f>
        <v/>
      </c>
      <c r="X12" s="717"/>
      <c r="Y12" s="717"/>
      <c r="Z12" s="717"/>
      <c r="AA12" s="717" t="str">
        <f>IF(C12=0,AA13,IFERROR(VLOOKUP($B12,Input!$B$8:$AL$17,AA$2,FALSE),""))</f>
        <v/>
      </c>
      <c r="AB12" s="717"/>
      <c r="AC12" s="717"/>
      <c r="AD12" s="717"/>
      <c r="AE12" s="717" t="str">
        <f>IF(C12=0,AE13,IFERROR(VLOOKUP($B12,Input!$B$8:$AL$17,AE$2,FALSE),""))</f>
        <v/>
      </c>
      <c r="AF12" s="717"/>
      <c r="AG12" s="717"/>
      <c r="AH12" s="717"/>
      <c r="AI12" t="str">
        <f t="shared" si="1"/>
        <v>n/a</v>
      </c>
      <c r="AJ12" s="18" t="str">
        <f>IF(Sh_3="","",(Bd_3-Td_3)/(Sh_3*12))</f>
        <v/>
      </c>
      <c r="AK12" s="18">
        <f t="shared" si="8"/>
        <v>0</v>
      </c>
      <c r="AL12" s="38">
        <f t="shared" si="9"/>
        <v>0</v>
      </c>
      <c r="AM12" s="494" t="str">
        <f>IF(AND(Input!AE10="Auto",Rev="H"),1.5*St_3,IF(AND(Input!$AE$10="Auto",OR(Rev="F",Rev="G")),4*St_3,Input!$AE$10))</f>
        <v/>
      </c>
      <c r="AN12" s="494" t="e">
        <f t="shared" si="2"/>
        <v>#VALUE!</v>
      </c>
      <c r="AO12" s="494" t="e">
        <f t="shared" si="3"/>
        <v>#VALUE!</v>
      </c>
      <c r="AP12" s="494" t="e">
        <f t="shared" si="4"/>
        <v>#VALUE!</v>
      </c>
      <c r="AQ12" s="494" t="e">
        <f t="shared" si="5"/>
        <v>#VALUE!</v>
      </c>
      <c r="AR12" s="494" t="e">
        <f t="shared" si="6"/>
        <v>#VALUE!</v>
      </c>
      <c r="AS12" s="494" t="e">
        <f t="shared" si="7"/>
        <v>#VALUE!</v>
      </c>
      <c r="AT12" s="494" t="e">
        <f>IF(AS12="Insufficient","Insufficient",AS12*VLOOKUP(AE12,Materials[],2,FALSE))</f>
        <v>#VALUE!</v>
      </c>
    </row>
    <row r="13" spans="1:46" x14ac:dyDescent="0.2">
      <c r="B13" s="4">
        <v>2</v>
      </c>
      <c r="C13" s="718" t="str">
        <f>IF(OR(C14=0,C14=""),"",IFERROR(VLOOKUP($B13,Input!$B$8:$AL$17,C$2,FALSE),0))</f>
        <v/>
      </c>
      <c r="D13" s="917"/>
      <c r="E13" s="918" t="str">
        <f t="shared" si="0"/>
        <v/>
      </c>
      <c r="F13" s="919"/>
      <c r="G13" s="717" t="str">
        <f>IFERROR(VLOOKUP($B13,Input!$B$8:$AL$17,G$2,FALSE),"")</f>
        <v/>
      </c>
      <c r="H13" s="717"/>
      <c r="I13" s="717"/>
      <c r="J13" s="717"/>
      <c r="K13" s="717" t="str">
        <f>IFERROR(VLOOKUP($B13,Input!$B$8:$AL$17,K$2,FALSE),"")</f>
        <v/>
      </c>
      <c r="L13" s="717"/>
      <c r="M13" s="717"/>
      <c r="N13" s="717"/>
      <c r="O13" s="717" t="str">
        <f>IF(C13=0,O14,IFERROR(VLOOKUP($B13,Input!$B$8:$AL$17,O$2,FALSE),""))</f>
        <v/>
      </c>
      <c r="P13" s="717"/>
      <c r="Q13" s="717"/>
      <c r="R13" s="717"/>
      <c r="S13" s="717" t="str">
        <f>IFERROR(VLOOKUP($B13,Input!$B$8:$AL$17,S$2,FALSE),"")</f>
        <v/>
      </c>
      <c r="T13" s="717"/>
      <c r="U13" s="717"/>
      <c r="V13" s="717"/>
      <c r="W13" s="717" t="str">
        <f>IFERROR(VLOOKUP($B13,Input!$B$8:$AL$17,W$2,FALSE),"")</f>
        <v/>
      </c>
      <c r="X13" s="717"/>
      <c r="Y13" s="717"/>
      <c r="Z13" s="717"/>
      <c r="AA13" s="717" t="str">
        <f>IF(C13=0,AA14,IFERROR(VLOOKUP($B13,Input!$B$8:$AL$17,AA$2,FALSE),""))</f>
        <v/>
      </c>
      <c r="AB13" s="717"/>
      <c r="AC13" s="717"/>
      <c r="AD13" s="717"/>
      <c r="AE13" s="717" t="str">
        <f>IF(C13=0,AE14,IFERROR(VLOOKUP($B13,Input!$B$8:$AL$17,AE$2,FALSE),""))</f>
        <v/>
      </c>
      <c r="AF13" s="717"/>
      <c r="AG13" s="717"/>
      <c r="AH13" s="717"/>
      <c r="AI13" t="str">
        <f t="shared" si="1"/>
        <v>n/a</v>
      </c>
      <c r="AJ13" s="18" t="str">
        <f>IF(Sh_2="","",(Bd_2-Td_2)/(Sh_2*12))</f>
        <v/>
      </c>
      <c r="AK13" s="18">
        <f t="shared" si="8"/>
        <v>0</v>
      </c>
      <c r="AL13" s="38">
        <f t="shared" si="9"/>
        <v>0</v>
      </c>
      <c r="AM13" s="494" t="str">
        <f>IF(AND(Input!AE9="Auto",Rev="H"),1.5*St_2,IF(AND(Input!$AE$9="Auto",OR(Rev="F",Rev="G")),4*St_2,Input!$AE$9))</f>
        <v/>
      </c>
      <c r="AN13" s="494" t="e">
        <f t="shared" si="2"/>
        <v>#VALUE!</v>
      </c>
      <c r="AO13" s="494" t="e">
        <f t="shared" si="3"/>
        <v>#VALUE!</v>
      </c>
      <c r="AP13" s="494" t="e">
        <f t="shared" si="4"/>
        <v>#VALUE!</v>
      </c>
      <c r="AQ13" s="494" t="e">
        <f t="shared" si="5"/>
        <v>#VALUE!</v>
      </c>
      <c r="AR13" s="494" t="e">
        <f t="shared" si="6"/>
        <v>#VALUE!</v>
      </c>
      <c r="AS13" s="494" t="e">
        <f t="shared" si="7"/>
        <v>#VALUE!</v>
      </c>
      <c r="AT13" s="494" t="e">
        <f>IF(AS13="Insufficient","Insufficient",AS13*VLOOKUP(AE13,Materials[],2,FALSE))</f>
        <v>#VALUE!</v>
      </c>
    </row>
    <row r="14" spans="1:46" x14ac:dyDescent="0.2">
      <c r="B14" s="4">
        <v>1</v>
      </c>
      <c r="C14" s="718" t="str">
        <f>IFERROR(VLOOKUP($B14,Input!$B$8:$AL$17,C$2,FALSE),"")</f>
        <v/>
      </c>
      <c r="D14" s="917"/>
      <c r="E14" s="918" t="str">
        <f t="shared" si="0"/>
        <v/>
      </c>
      <c r="F14" s="919"/>
      <c r="G14" s="717" t="str">
        <f>IFERROR(VLOOKUP($B14,Input!$B$8:$AL$17,G$2,FALSE),"")</f>
        <v/>
      </c>
      <c r="H14" s="717"/>
      <c r="I14" s="717"/>
      <c r="J14" s="717"/>
      <c r="K14" s="717" t="str">
        <f>IFERROR(VLOOKUP($B14,Input!$B$8:$AL$17,K$2,FALSE),"")</f>
        <v/>
      </c>
      <c r="L14" s="717"/>
      <c r="M14" s="717"/>
      <c r="N14" s="717"/>
      <c r="O14" s="717" t="str">
        <f>IFERROR(VLOOKUP($B14,Input!$B$8:$AL$17,O$2,FALSE),"")</f>
        <v/>
      </c>
      <c r="P14" s="717"/>
      <c r="Q14" s="717"/>
      <c r="R14" s="717"/>
      <c r="S14" s="717" t="str">
        <f>IFERROR(VLOOKUP($B14,Input!$B$8:$AL$17,S$2,FALSE),"")</f>
        <v/>
      </c>
      <c r="T14" s="717"/>
      <c r="U14" s="717"/>
      <c r="V14" s="717"/>
      <c r="W14" s="717" t="str">
        <f>IFERROR(VLOOKUP($B14,Input!$B$8:$AL$17,W$2,FALSE),"")</f>
        <v/>
      </c>
      <c r="X14" s="717"/>
      <c r="Y14" s="717"/>
      <c r="Z14" s="717"/>
      <c r="AA14" s="717" t="str">
        <f>IFERROR(VLOOKUP($B14,Input!$B$8:$AL$17,AA$2,FALSE),"")</f>
        <v/>
      </c>
      <c r="AB14" s="717"/>
      <c r="AC14" s="717"/>
      <c r="AD14" s="717"/>
      <c r="AE14" s="717" t="str">
        <f>IFERROR(VLOOKUP($B14,Input!$B$8:$AL$17,AE$2,FALSE),"")</f>
        <v/>
      </c>
      <c r="AF14" s="717"/>
      <c r="AG14" s="717"/>
      <c r="AH14" s="717"/>
      <c r="AI14" t="str">
        <f t="shared" si="1"/>
        <v>n/a</v>
      </c>
      <c r="AJ14" s="18" t="str">
        <f>IF(Sh_1="","",(Bd_1-Td_1)/(Sh_1*12))</f>
        <v/>
      </c>
      <c r="AK14" s="18">
        <f t="shared" si="8"/>
        <v>0</v>
      </c>
      <c r="AL14" s="38">
        <f t="shared" si="9"/>
        <v>0</v>
      </c>
      <c r="AM14" s="494" t="str">
        <f>IF(AND(Input!AE8="Auto",Rev="H"),1.5*St_1,IF(AND(Input!$AE$8="Auto",OR(Rev="F",Rev="G")),4*St_1,Input!$AE$8))</f>
        <v/>
      </c>
      <c r="AN14" s="494" t="e">
        <f>W14-(2*AA14)</f>
        <v>#VALUE!</v>
      </c>
      <c r="AO14" s="494" t="e">
        <f>K14*12</f>
        <v>#VALUE!</v>
      </c>
      <c r="AP14" s="494" t="e">
        <f>1.5*AN14</f>
        <v>#VALUE!</v>
      </c>
      <c r="AQ14" s="494" t="e">
        <f>IF(K14&lt;&gt;0,IF(AP14&gt;AO14,"Yes","No"),"N/A")</f>
        <v>#VALUE!</v>
      </c>
      <c r="AR14" s="494" t="e">
        <f>IF(K14=0,"N/A",AO14/AN14)</f>
        <v>#VALUE!</v>
      </c>
      <c r="AS14" s="494" t="e">
        <f>IF(AR14&gt;=1.5,1,IF(AR14=1,0.67,IF(AR14&lt;1,"Insufficient",(((AR14-1)*(1-0.67))/(1.5-1))+0.67)))</f>
        <v>#VALUE!</v>
      </c>
      <c r="AT14" s="494" t="e">
        <f>IF(AS14="Insufficient","Insufficient",AS14*VLOOKUP(AE14,Materials[],2,FALSE))</f>
        <v>#VALUE!</v>
      </c>
    </row>
  </sheetData>
  <mergeCells count="108">
    <mergeCell ref="C6:D6"/>
    <mergeCell ref="K14:N14"/>
    <mergeCell ref="O14:R14"/>
    <mergeCell ref="S14:V14"/>
    <mergeCell ref="W14:Z14"/>
    <mergeCell ref="C14:D14"/>
    <mergeCell ref="G14:J14"/>
    <mergeCell ref="C13:D13"/>
    <mergeCell ref="C12:D12"/>
    <mergeCell ref="E9:F9"/>
    <mergeCell ref="K6:N6"/>
    <mergeCell ref="O6:R6"/>
    <mergeCell ref="S6:V6"/>
    <mergeCell ref="W6:Z6"/>
    <mergeCell ref="E8:F8"/>
    <mergeCell ref="E6:F6"/>
    <mergeCell ref="E7:F7"/>
    <mergeCell ref="C11:D11"/>
    <mergeCell ref="C10:D10"/>
    <mergeCell ref="C9:D9"/>
    <mergeCell ref="C7:D7"/>
    <mergeCell ref="E10:F10"/>
    <mergeCell ref="E11:F11"/>
    <mergeCell ref="S10:V10"/>
    <mergeCell ref="O12:R12"/>
    <mergeCell ref="S12:V12"/>
    <mergeCell ref="AA14:AD14"/>
    <mergeCell ref="E12:F12"/>
    <mergeCell ref="E13:F13"/>
    <mergeCell ref="E14:F14"/>
    <mergeCell ref="K13:N13"/>
    <mergeCell ref="O13:R13"/>
    <mergeCell ref="S13:V13"/>
    <mergeCell ref="W13:Z13"/>
    <mergeCell ref="AA13:AD13"/>
    <mergeCell ref="AA7:AD7"/>
    <mergeCell ref="AE7:AH7"/>
    <mergeCell ref="C8:D8"/>
    <mergeCell ref="AE14:AH14"/>
    <mergeCell ref="AE9:AH9"/>
    <mergeCell ref="AA10:AD10"/>
    <mergeCell ref="AE10:AH10"/>
    <mergeCell ref="G11:J11"/>
    <mergeCell ref="K11:N11"/>
    <mergeCell ref="O11:R11"/>
    <mergeCell ref="S11:V11"/>
    <mergeCell ref="W11:Z11"/>
    <mergeCell ref="AA11:AD11"/>
    <mergeCell ref="AE11:AH11"/>
    <mergeCell ref="G10:J10"/>
    <mergeCell ref="G9:J9"/>
    <mergeCell ref="K9:N9"/>
    <mergeCell ref="O9:R9"/>
    <mergeCell ref="S9:V9"/>
    <mergeCell ref="W9:Z9"/>
    <mergeCell ref="AA9:AD9"/>
    <mergeCell ref="K10:N10"/>
    <mergeCell ref="O10:R10"/>
    <mergeCell ref="AA12:AD12"/>
    <mergeCell ref="E5:F5"/>
    <mergeCell ref="C5:D5"/>
    <mergeCell ref="W10:Z10"/>
    <mergeCell ref="AE12:AH12"/>
    <mergeCell ref="G13:J13"/>
    <mergeCell ref="G6:J6"/>
    <mergeCell ref="G8:J8"/>
    <mergeCell ref="K8:N8"/>
    <mergeCell ref="O8:R8"/>
    <mergeCell ref="S8:V8"/>
    <mergeCell ref="W8:Z8"/>
    <mergeCell ref="AE8:AH8"/>
    <mergeCell ref="G7:J7"/>
    <mergeCell ref="K7:N7"/>
    <mergeCell ref="AA8:AD8"/>
    <mergeCell ref="AE13:AH13"/>
    <mergeCell ref="G12:J12"/>
    <mergeCell ref="K12:N12"/>
    <mergeCell ref="W12:Z12"/>
    <mergeCell ref="AA6:AD6"/>
    <mergeCell ref="AE6:AH6"/>
    <mergeCell ref="O7:R7"/>
    <mergeCell ref="S7:V7"/>
    <mergeCell ref="W7:Z7"/>
    <mergeCell ref="AA5:AD5"/>
    <mergeCell ref="AA3:AD3"/>
    <mergeCell ref="AE3:AH3"/>
    <mergeCell ref="AE5:AH5"/>
    <mergeCell ref="AE4:AH4"/>
    <mergeCell ref="G5:J5"/>
    <mergeCell ref="K5:N5"/>
    <mergeCell ref="O5:R5"/>
    <mergeCell ref="S5:V5"/>
    <mergeCell ref="W5:Z5"/>
    <mergeCell ref="G4:J4"/>
    <mergeCell ref="K4:N4"/>
    <mergeCell ref="O4:R4"/>
    <mergeCell ref="S4:V4"/>
    <mergeCell ref="W4:Z4"/>
    <mergeCell ref="AA4:AD4"/>
    <mergeCell ref="AK3:AL3"/>
    <mergeCell ref="C3:F3"/>
    <mergeCell ref="G3:J3"/>
    <mergeCell ref="K3:N3"/>
    <mergeCell ref="O3:R3"/>
    <mergeCell ref="S3:V3"/>
    <mergeCell ref="W3:Z3"/>
    <mergeCell ref="C4:D4"/>
    <mergeCell ref="E4:F4"/>
  </mergeCells>
  <pageMargins left="0.7" right="0.7" top="0.75" bottom="0.75" header="0.3" footer="0.3"/>
  <pageSetup orientation="portrait" horizontalDpi="1200" verticalDpi="12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rgb="FFFFFF00"/>
  </sheetPr>
  <dimension ref="A1:A4527"/>
  <sheetViews>
    <sheetView workbookViewId="0"/>
  </sheetViews>
  <sheetFormatPr defaultRowHeight="12.75" x14ac:dyDescent="0.2"/>
  <cols>
    <col min="1" max="1" width="81.140625" bestFit="1" customWidth="1"/>
  </cols>
  <sheetData>
    <row r="1" spans="1:1" x14ac:dyDescent="0.2">
      <c r="A1" t="s">
        <v>1307</v>
      </c>
    </row>
    <row r="2" spans="1:1" x14ac:dyDescent="0.2">
      <c r="A2" t="s">
        <v>2710</v>
      </c>
    </row>
    <row r="3" spans="1:1" x14ac:dyDescent="0.2">
      <c r="A3" t="s">
        <v>1308</v>
      </c>
    </row>
    <row r="4" spans="1:1" x14ac:dyDescent="0.2">
      <c r="A4" t="s">
        <v>1309</v>
      </c>
    </row>
    <row r="5" spans="1:1" x14ac:dyDescent="0.2">
      <c r="A5" t="s">
        <v>1310</v>
      </c>
    </row>
    <row r="6" spans="1:1" x14ac:dyDescent="0.2">
      <c r="A6" t="s">
        <v>1311</v>
      </c>
    </row>
    <row r="7" spans="1:1" x14ac:dyDescent="0.2">
      <c r="A7" t="s">
        <v>1312</v>
      </c>
    </row>
    <row r="8" spans="1:1" x14ac:dyDescent="0.2">
      <c r="A8" t="s">
        <v>1313</v>
      </c>
    </row>
    <row r="9" spans="1:1" x14ac:dyDescent="0.2">
      <c r="A9" t="s">
        <v>1314</v>
      </c>
    </row>
    <row r="10" spans="1:1" x14ac:dyDescent="0.2">
      <c r="A10" t="s">
        <v>1315</v>
      </c>
    </row>
    <row r="11" spans="1:1" x14ac:dyDescent="0.2">
      <c r="A11" t="s">
        <v>2711</v>
      </c>
    </row>
    <row r="12" spans="1:1" x14ac:dyDescent="0.2">
      <c r="A12" t="s">
        <v>2712</v>
      </c>
    </row>
    <row r="13" spans="1:1" x14ac:dyDescent="0.2">
      <c r="A13" t="s">
        <v>2713</v>
      </c>
    </row>
    <row r="14" spans="1:1" x14ac:dyDescent="0.2">
      <c r="A14" t="s">
        <v>1316</v>
      </c>
    </row>
    <row r="15" spans="1:1" x14ac:dyDescent="0.2">
      <c r="A15" t="s">
        <v>1317</v>
      </c>
    </row>
    <row r="16" spans="1:1" x14ac:dyDescent="0.2">
      <c r="A16" t="s">
        <v>1318</v>
      </c>
    </row>
    <row r="17" spans="1:1" x14ac:dyDescent="0.2">
      <c r="A17" t="s">
        <v>1319</v>
      </c>
    </row>
    <row r="18" spans="1:1" x14ac:dyDescent="0.2">
      <c r="A18" t="s">
        <v>1320</v>
      </c>
    </row>
    <row r="19" spans="1:1" x14ac:dyDescent="0.2">
      <c r="A19" t="s">
        <v>1321</v>
      </c>
    </row>
    <row r="20" spans="1:1" x14ac:dyDescent="0.2">
      <c r="A20" t="s">
        <v>1322</v>
      </c>
    </row>
    <row r="21" spans="1:1" x14ac:dyDescent="0.2">
      <c r="A21" t="s">
        <v>1323</v>
      </c>
    </row>
    <row r="22" spans="1:1" x14ac:dyDescent="0.2">
      <c r="A22" t="s">
        <v>1324</v>
      </c>
    </row>
    <row r="23" spans="1:1" x14ac:dyDescent="0.2">
      <c r="A23" t="s">
        <v>1325</v>
      </c>
    </row>
    <row r="24" spans="1:1" x14ac:dyDescent="0.2">
      <c r="A24" t="s">
        <v>1326</v>
      </c>
    </row>
    <row r="25" spans="1:1" x14ac:dyDescent="0.2">
      <c r="A25" t="s">
        <v>1327</v>
      </c>
    </row>
    <row r="26" spans="1:1" x14ac:dyDescent="0.2">
      <c r="A26" t="s">
        <v>1328</v>
      </c>
    </row>
    <row r="27" spans="1:1" x14ac:dyDescent="0.2">
      <c r="A27" t="s">
        <v>1329</v>
      </c>
    </row>
    <row r="28" spans="1:1" x14ac:dyDescent="0.2">
      <c r="A28" t="s">
        <v>1330</v>
      </c>
    </row>
    <row r="29" spans="1:1" x14ac:dyDescent="0.2">
      <c r="A29" t="s">
        <v>1331</v>
      </c>
    </row>
    <row r="30" spans="1:1" x14ac:dyDescent="0.2">
      <c r="A30" t="s">
        <v>1332</v>
      </c>
    </row>
    <row r="31" spans="1:1" x14ac:dyDescent="0.2">
      <c r="A31" t="s">
        <v>1333</v>
      </c>
    </row>
    <row r="32" spans="1:1" x14ac:dyDescent="0.2">
      <c r="A32" t="s">
        <v>1334</v>
      </c>
    </row>
    <row r="33" spans="1:1" x14ac:dyDescent="0.2">
      <c r="A33" t="s">
        <v>1335</v>
      </c>
    </row>
    <row r="34" spans="1:1" x14ac:dyDescent="0.2">
      <c r="A34" t="s">
        <v>1336</v>
      </c>
    </row>
    <row r="35" spans="1:1" x14ac:dyDescent="0.2">
      <c r="A35" t="s">
        <v>1337</v>
      </c>
    </row>
    <row r="36" spans="1:1" x14ac:dyDescent="0.2">
      <c r="A36" t="s">
        <v>1338</v>
      </c>
    </row>
    <row r="37" spans="1:1" x14ac:dyDescent="0.2">
      <c r="A37" t="s">
        <v>1339</v>
      </c>
    </row>
    <row r="38" spans="1:1" x14ac:dyDescent="0.2">
      <c r="A38" t="s">
        <v>1340</v>
      </c>
    </row>
    <row r="39" spans="1:1" x14ac:dyDescent="0.2">
      <c r="A39" t="s">
        <v>1341</v>
      </c>
    </row>
    <row r="40" spans="1:1" x14ac:dyDescent="0.2">
      <c r="A40" t="s">
        <v>1342</v>
      </c>
    </row>
    <row r="41" spans="1:1" x14ac:dyDescent="0.2">
      <c r="A41" t="s">
        <v>1343</v>
      </c>
    </row>
    <row r="42" spans="1:1" x14ac:dyDescent="0.2">
      <c r="A42" t="s">
        <v>1344</v>
      </c>
    </row>
    <row r="43" spans="1:1" x14ac:dyDescent="0.2">
      <c r="A43" t="s">
        <v>1345</v>
      </c>
    </row>
    <row r="44" spans="1:1" x14ac:dyDescent="0.2">
      <c r="A44" t="s">
        <v>1346</v>
      </c>
    </row>
    <row r="45" spans="1:1" x14ac:dyDescent="0.2">
      <c r="A45" t="s">
        <v>1347</v>
      </c>
    </row>
    <row r="46" spans="1:1" x14ac:dyDescent="0.2">
      <c r="A46" t="s">
        <v>1348</v>
      </c>
    </row>
    <row r="47" spans="1:1" x14ac:dyDescent="0.2">
      <c r="A47" t="s">
        <v>1349</v>
      </c>
    </row>
    <row r="48" spans="1:1" x14ac:dyDescent="0.2">
      <c r="A48" t="s">
        <v>1350</v>
      </c>
    </row>
    <row r="49" spans="1:1" x14ac:dyDescent="0.2">
      <c r="A49" t="s">
        <v>1351</v>
      </c>
    </row>
    <row r="50" spans="1:1" x14ac:dyDescent="0.2">
      <c r="A50" t="s">
        <v>1352</v>
      </c>
    </row>
    <row r="51" spans="1:1" x14ac:dyDescent="0.2">
      <c r="A51" t="s">
        <v>1353</v>
      </c>
    </row>
    <row r="52" spans="1:1" x14ac:dyDescent="0.2">
      <c r="A52" t="s">
        <v>1354</v>
      </c>
    </row>
    <row r="53" spans="1:1" x14ac:dyDescent="0.2">
      <c r="A53" t="s">
        <v>1355</v>
      </c>
    </row>
    <row r="54" spans="1:1" x14ac:dyDescent="0.2">
      <c r="A54" t="s">
        <v>1356</v>
      </c>
    </row>
    <row r="55" spans="1:1" x14ac:dyDescent="0.2">
      <c r="A55" t="s">
        <v>1357</v>
      </c>
    </row>
    <row r="56" spans="1:1" x14ac:dyDescent="0.2">
      <c r="A56" t="s">
        <v>1358</v>
      </c>
    </row>
    <row r="57" spans="1:1" x14ac:dyDescent="0.2">
      <c r="A57" t="s">
        <v>1359</v>
      </c>
    </row>
    <row r="58" spans="1:1" x14ac:dyDescent="0.2">
      <c r="A58" t="s">
        <v>1360</v>
      </c>
    </row>
    <row r="59" spans="1:1" x14ac:dyDescent="0.2">
      <c r="A59" t="s">
        <v>1361</v>
      </c>
    </row>
    <row r="60" spans="1:1" x14ac:dyDescent="0.2">
      <c r="A60" t="s">
        <v>1362</v>
      </c>
    </row>
    <row r="61" spans="1:1" x14ac:dyDescent="0.2">
      <c r="A61" t="s">
        <v>1363</v>
      </c>
    </row>
    <row r="62" spans="1:1" x14ac:dyDescent="0.2">
      <c r="A62" t="s">
        <v>1364</v>
      </c>
    </row>
    <row r="63" spans="1:1" x14ac:dyDescent="0.2">
      <c r="A63" t="s">
        <v>1365</v>
      </c>
    </row>
    <row r="64" spans="1:1" x14ac:dyDescent="0.2">
      <c r="A64" t="s">
        <v>1366</v>
      </c>
    </row>
    <row r="65" spans="1:1" x14ac:dyDescent="0.2">
      <c r="A65" t="s">
        <v>1367</v>
      </c>
    </row>
    <row r="66" spans="1:1" x14ac:dyDescent="0.2">
      <c r="A66" t="s">
        <v>1368</v>
      </c>
    </row>
    <row r="67" spans="1:1" x14ac:dyDescent="0.2">
      <c r="A67" t="s">
        <v>1369</v>
      </c>
    </row>
    <row r="68" spans="1:1" x14ac:dyDescent="0.2">
      <c r="A68" t="s">
        <v>1370</v>
      </c>
    </row>
    <row r="69" spans="1:1" x14ac:dyDescent="0.2">
      <c r="A69" t="s">
        <v>1371</v>
      </c>
    </row>
    <row r="70" spans="1:1" x14ac:dyDescent="0.2">
      <c r="A70" t="s">
        <v>1372</v>
      </c>
    </row>
    <row r="71" spans="1:1" x14ac:dyDescent="0.2">
      <c r="A71" t="s">
        <v>1332</v>
      </c>
    </row>
    <row r="72" spans="1:1" x14ac:dyDescent="0.2">
      <c r="A72" t="s">
        <v>1373</v>
      </c>
    </row>
    <row r="73" spans="1:1" x14ac:dyDescent="0.2">
      <c r="A73" t="s">
        <v>1374</v>
      </c>
    </row>
    <row r="74" spans="1:1" x14ac:dyDescent="0.2">
      <c r="A74" t="s">
        <v>1375</v>
      </c>
    </row>
    <row r="75" spans="1:1" x14ac:dyDescent="0.2">
      <c r="A75" t="s">
        <v>1376</v>
      </c>
    </row>
    <row r="76" spans="1:1" x14ac:dyDescent="0.2">
      <c r="A76" t="s">
        <v>1337</v>
      </c>
    </row>
    <row r="77" spans="1:1" x14ac:dyDescent="0.2">
      <c r="A77" t="s">
        <v>1377</v>
      </c>
    </row>
    <row r="78" spans="1:1" x14ac:dyDescent="0.2">
      <c r="A78" t="s">
        <v>1378</v>
      </c>
    </row>
    <row r="79" spans="1:1" x14ac:dyDescent="0.2">
      <c r="A79" t="s">
        <v>1379</v>
      </c>
    </row>
    <row r="80" spans="1:1" x14ac:dyDescent="0.2">
      <c r="A80" t="s">
        <v>1380</v>
      </c>
    </row>
    <row r="81" spans="1:1" x14ac:dyDescent="0.2">
      <c r="A81" t="s">
        <v>1381</v>
      </c>
    </row>
    <row r="82" spans="1:1" x14ac:dyDescent="0.2">
      <c r="A82" t="s">
        <v>1382</v>
      </c>
    </row>
    <row r="83" spans="1:1" x14ac:dyDescent="0.2">
      <c r="A83" t="s">
        <v>1383</v>
      </c>
    </row>
    <row r="84" spans="1:1" x14ac:dyDescent="0.2">
      <c r="A84" t="s">
        <v>1384</v>
      </c>
    </row>
    <row r="85" spans="1:1" x14ac:dyDescent="0.2">
      <c r="A85" t="s">
        <v>1385</v>
      </c>
    </row>
    <row r="86" spans="1:1" x14ac:dyDescent="0.2">
      <c r="A86" t="s">
        <v>1386</v>
      </c>
    </row>
    <row r="87" spans="1:1" x14ac:dyDescent="0.2">
      <c r="A87" t="s">
        <v>1387</v>
      </c>
    </row>
    <row r="88" spans="1:1" x14ac:dyDescent="0.2">
      <c r="A88" t="s">
        <v>1388</v>
      </c>
    </row>
    <row r="89" spans="1:1" x14ac:dyDescent="0.2">
      <c r="A89" t="s">
        <v>1389</v>
      </c>
    </row>
    <row r="90" spans="1:1" x14ac:dyDescent="0.2">
      <c r="A90" t="s">
        <v>1390</v>
      </c>
    </row>
    <row r="91" spans="1:1" x14ac:dyDescent="0.2">
      <c r="A91" t="s">
        <v>1391</v>
      </c>
    </row>
    <row r="92" spans="1:1" x14ac:dyDescent="0.2">
      <c r="A92" t="s">
        <v>1353</v>
      </c>
    </row>
    <row r="93" spans="1:1" x14ac:dyDescent="0.2">
      <c r="A93" t="s">
        <v>1392</v>
      </c>
    </row>
    <row r="94" spans="1:1" x14ac:dyDescent="0.2">
      <c r="A94" t="s">
        <v>1393</v>
      </c>
    </row>
    <row r="95" spans="1:1" x14ac:dyDescent="0.2">
      <c r="A95" t="s">
        <v>1394</v>
      </c>
    </row>
    <row r="96" spans="1:1" x14ac:dyDescent="0.2">
      <c r="A96" t="s">
        <v>1395</v>
      </c>
    </row>
    <row r="97" spans="1:1" x14ac:dyDescent="0.2">
      <c r="A97" t="s">
        <v>1396</v>
      </c>
    </row>
    <row r="98" spans="1:1" x14ac:dyDescent="0.2">
      <c r="A98" t="s">
        <v>1397</v>
      </c>
    </row>
    <row r="99" spans="1:1" x14ac:dyDescent="0.2">
      <c r="A99" t="s">
        <v>1398</v>
      </c>
    </row>
    <row r="100" spans="1:1" x14ac:dyDescent="0.2">
      <c r="A100" t="s">
        <v>1399</v>
      </c>
    </row>
    <row r="101" spans="1:1" x14ac:dyDescent="0.2">
      <c r="A101" t="s">
        <v>1400</v>
      </c>
    </row>
    <row r="102" spans="1:1" x14ac:dyDescent="0.2">
      <c r="A102" t="s">
        <v>1401</v>
      </c>
    </row>
    <row r="103" spans="1:1" x14ac:dyDescent="0.2">
      <c r="A103" t="s">
        <v>1402</v>
      </c>
    </row>
    <row r="104" spans="1:1" x14ac:dyDescent="0.2">
      <c r="A104" t="s">
        <v>1403</v>
      </c>
    </row>
    <row r="105" spans="1:1" x14ac:dyDescent="0.2">
      <c r="A105" t="s">
        <v>1404</v>
      </c>
    </row>
    <row r="106" spans="1:1" x14ac:dyDescent="0.2">
      <c r="A106" t="s">
        <v>1405</v>
      </c>
    </row>
    <row r="107" spans="1:1" x14ac:dyDescent="0.2">
      <c r="A107" t="s">
        <v>1406</v>
      </c>
    </row>
    <row r="108" spans="1:1" x14ac:dyDescent="0.2">
      <c r="A108" t="s">
        <v>1407</v>
      </c>
    </row>
    <row r="109" spans="1:1" x14ac:dyDescent="0.2">
      <c r="A109" t="s">
        <v>1408</v>
      </c>
    </row>
    <row r="110" spans="1:1" x14ac:dyDescent="0.2">
      <c r="A110" t="s">
        <v>1409</v>
      </c>
    </row>
    <row r="111" spans="1:1" x14ac:dyDescent="0.2">
      <c r="A111" t="s">
        <v>1410</v>
      </c>
    </row>
    <row r="112" spans="1:1" x14ac:dyDescent="0.2">
      <c r="A112" t="s">
        <v>1411</v>
      </c>
    </row>
    <row r="113" spans="1:1" x14ac:dyDescent="0.2">
      <c r="A113" t="s">
        <v>1412</v>
      </c>
    </row>
    <row r="114" spans="1:1" x14ac:dyDescent="0.2">
      <c r="A114" t="s">
        <v>1413</v>
      </c>
    </row>
    <row r="115" spans="1:1" x14ac:dyDescent="0.2">
      <c r="A115" t="s">
        <v>1414</v>
      </c>
    </row>
    <row r="116" spans="1:1" x14ac:dyDescent="0.2">
      <c r="A116" t="s">
        <v>1415</v>
      </c>
    </row>
    <row r="117" spans="1:1" x14ac:dyDescent="0.2">
      <c r="A117" t="s">
        <v>1416</v>
      </c>
    </row>
    <row r="118" spans="1:1" x14ac:dyDescent="0.2">
      <c r="A118" t="s">
        <v>1417</v>
      </c>
    </row>
    <row r="119" spans="1:1" x14ac:dyDescent="0.2">
      <c r="A119" t="s">
        <v>1418</v>
      </c>
    </row>
    <row r="120" spans="1:1" x14ac:dyDescent="0.2">
      <c r="A120" t="s">
        <v>1419</v>
      </c>
    </row>
    <row r="121" spans="1:1" x14ac:dyDescent="0.2">
      <c r="A121" t="s">
        <v>1420</v>
      </c>
    </row>
    <row r="122" spans="1:1" x14ac:dyDescent="0.2">
      <c r="A122" t="s">
        <v>1421</v>
      </c>
    </row>
    <row r="123" spans="1:1" x14ac:dyDescent="0.2">
      <c r="A123" t="s">
        <v>1422</v>
      </c>
    </row>
    <row r="124" spans="1:1" x14ac:dyDescent="0.2">
      <c r="A124" t="s">
        <v>1423</v>
      </c>
    </row>
    <row r="125" spans="1:1" x14ac:dyDescent="0.2">
      <c r="A125" t="s">
        <v>1424</v>
      </c>
    </row>
    <row r="126" spans="1:1" x14ac:dyDescent="0.2">
      <c r="A126" t="s">
        <v>1425</v>
      </c>
    </row>
    <row r="127" spans="1:1" x14ac:dyDescent="0.2">
      <c r="A127" t="s">
        <v>1426</v>
      </c>
    </row>
    <row r="128" spans="1:1" x14ac:dyDescent="0.2">
      <c r="A128" t="s">
        <v>1427</v>
      </c>
    </row>
    <row r="129" spans="1:1" x14ac:dyDescent="0.2">
      <c r="A129" t="s">
        <v>1428</v>
      </c>
    </row>
    <row r="130" spans="1:1" x14ac:dyDescent="0.2">
      <c r="A130" t="s">
        <v>1429</v>
      </c>
    </row>
    <row r="131" spans="1:1" x14ac:dyDescent="0.2">
      <c r="A131" t="s">
        <v>1430</v>
      </c>
    </row>
    <row r="132" spans="1:1" x14ac:dyDescent="0.2">
      <c r="A132" t="s">
        <v>1431</v>
      </c>
    </row>
    <row r="133" spans="1:1" x14ac:dyDescent="0.2">
      <c r="A133" t="s">
        <v>1432</v>
      </c>
    </row>
    <row r="134" spans="1:1" x14ac:dyDescent="0.2">
      <c r="A134" t="s">
        <v>1433</v>
      </c>
    </row>
    <row r="135" spans="1:1" x14ac:dyDescent="0.2">
      <c r="A135" t="s">
        <v>1434</v>
      </c>
    </row>
    <row r="136" spans="1:1" x14ac:dyDescent="0.2">
      <c r="A136" t="s">
        <v>1435</v>
      </c>
    </row>
    <row r="137" spans="1:1" x14ac:dyDescent="0.2">
      <c r="A137" t="s">
        <v>1436</v>
      </c>
    </row>
    <row r="138" spans="1:1" x14ac:dyDescent="0.2">
      <c r="A138" t="s">
        <v>1437</v>
      </c>
    </row>
    <row r="139" spans="1:1" x14ac:dyDescent="0.2">
      <c r="A139" t="s">
        <v>1438</v>
      </c>
    </row>
    <row r="140" spans="1:1" x14ac:dyDescent="0.2">
      <c r="A140" t="s">
        <v>1439</v>
      </c>
    </row>
    <row r="141" spans="1:1" x14ac:dyDescent="0.2">
      <c r="A141" t="s">
        <v>1440</v>
      </c>
    </row>
    <row r="142" spans="1:1" x14ac:dyDescent="0.2">
      <c r="A142" t="s">
        <v>1441</v>
      </c>
    </row>
    <row r="143" spans="1:1" x14ac:dyDescent="0.2">
      <c r="A143" t="s">
        <v>1442</v>
      </c>
    </row>
    <row r="144" spans="1:1" x14ac:dyDescent="0.2">
      <c r="A144" t="s">
        <v>1443</v>
      </c>
    </row>
    <row r="145" spans="1:1" x14ac:dyDescent="0.2">
      <c r="A145" t="s">
        <v>1444</v>
      </c>
    </row>
    <row r="146" spans="1:1" x14ac:dyDescent="0.2">
      <c r="A146" t="s">
        <v>1445</v>
      </c>
    </row>
    <row r="147" spans="1:1" x14ac:dyDescent="0.2">
      <c r="A147" t="s">
        <v>1446</v>
      </c>
    </row>
    <row r="148" spans="1:1" x14ac:dyDescent="0.2">
      <c r="A148" t="s">
        <v>1447</v>
      </c>
    </row>
    <row r="149" spans="1:1" x14ac:dyDescent="0.2">
      <c r="A149" t="s">
        <v>1448</v>
      </c>
    </row>
    <row r="150" spans="1:1" x14ac:dyDescent="0.2">
      <c r="A150" t="s">
        <v>1449</v>
      </c>
    </row>
    <row r="151" spans="1:1" x14ac:dyDescent="0.2">
      <c r="A151" t="s">
        <v>1450</v>
      </c>
    </row>
    <row r="152" spans="1:1" x14ac:dyDescent="0.2">
      <c r="A152" t="s">
        <v>1451</v>
      </c>
    </row>
    <row r="153" spans="1:1" x14ac:dyDescent="0.2">
      <c r="A153" t="s">
        <v>1452</v>
      </c>
    </row>
    <row r="154" spans="1:1" x14ac:dyDescent="0.2">
      <c r="A154" t="s">
        <v>1453</v>
      </c>
    </row>
    <row r="155" spans="1:1" x14ac:dyDescent="0.2">
      <c r="A155" t="s">
        <v>1454</v>
      </c>
    </row>
    <row r="156" spans="1:1" x14ac:dyDescent="0.2">
      <c r="A156" t="s">
        <v>1455</v>
      </c>
    </row>
    <row r="157" spans="1:1" x14ac:dyDescent="0.2">
      <c r="A157" t="s">
        <v>1456</v>
      </c>
    </row>
    <row r="158" spans="1:1" x14ac:dyDescent="0.2">
      <c r="A158" t="s">
        <v>1457</v>
      </c>
    </row>
    <row r="159" spans="1:1" x14ac:dyDescent="0.2">
      <c r="A159" t="s">
        <v>1458</v>
      </c>
    </row>
    <row r="160" spans="1:1" x14ac:dyDescent="0.2">
      <c r="A160" t="s">
        <v>1459</v>
      </c>
    </row>
    <row r="161" spans="1:1" x14ac:dyDescent="0.2">
      <c r="A161" t="s">
        <v>1460</v>
      </c>
    </row>
    <row r="162" spans="1:1" x14ac:dyDescent="0.2">
      <c r="A162" t="s">
        <v>1461</v>
      </c>
    </row>
    <row r="163" spans="1:1" x14ac:dyDescent="0.2">
      <c r="A163" t="s">
        <v>1462</v>
      </c>
    </row>
    <row r="164" spans="1:1" x14ac:dyDescent="0.2">
      <c r="A164" t="s">
        <v>193</v>
      </c>
    </row>
    <row r="165" spans="1:1" x14ac:dyDescent="0.2">
      <c r="A165" t="s">
        <v>1463</v>
      </c>
    </row>
    <row r="166" spans="1:1" x14ac:dyDescent="0.2">
      <c r="A166" t="s">
        <v>1464</v>
      </c>
    </row>
    <row r="167" spans="1:1" x14ac:dyDescent="0.2">
      <c r="A167" t="s">
        <v>1465</v>
      </c>
    </row>
    <row r="168" spans="1:1" x14ac:dyDescent="0.2">
      <c r="A168" t="s">
        <v>1463</v>
      </c>
    </row>
    <row r="169" spans="1:1" x14ac:dyDescent="0.2">
      <c r="A169" t="s">
        <v>1466</v>
      </c>
    </row>
    <row r="170" spans="1:1" x14ac:dyDescent="0.2">
      <c r="A170" t="s">
        <v>1467</v>
      </c>
    </row>
    <row r="171" spans="1:1" x14ac:dyDescent="0.2">
      <c r="A171" t="s">
        <v>1463</v>
      </c>
    </row>
    <row r="172" spans="1:1" x14ac:dyDescent="0.2">
      <c r="A172" t="s">
        <v>1468</v>
      </c>
    </row>
    <row r="173" spans="1:1" x14ac:dyDescent="0.2">
      <c r="A173" t="s">
        <v>1469</v>
      </c>
    </row>
    <row r="174" spans="1:1" x14ac:dyDescent="0.2">
      <c r="A174" t="s">
        <v>1470</v>
      </c>
    </row>
    <row r="175" spans="1:1" x14ac:dyDescent="0.2">
      <c r="A175" t="s">
        <v>1471</v>
      </c>
    </row>
    <row r="176" spans="1:1" x14ac:dyDescent="0.2">
      <c r="A176" t="s">
        <v>1472</v>
      </c>
    </row>
    <row r="177" spans="1:1" x14ac:dyDescent="0.2">
      <c r="A177" t="s">
        <v>1473</v>
      </c>
    </row>
    <row r="178" spans="1:1" x14ac:dyDescent="0.2">
      <c r="A178" t="s">
        <v>2714</v>
      </c>
    </row>
    <row r="179" spans="1:1" x14ac:dyDescent="0.2">
      <c r="A179" t="s">
        <v>1474</v>
      </c>
    </row>
    <row r="180" spans="1:1" x14ac:dyDescent="0.2">
      <c r="A180" t="s">
        <v>1475</v>
      </c>
    </row>
    <row r="181" spans="1:1" x14ac:dyDescent="0.2">
      <c r="A181" t="s">
        <v>2715</v>
      </c>
    </row>
    <row r="182" spans="1:1" x14ac:dyDescent="0.2">
      <c r="A182" t="s">
        <v>1476</v>
      </c>
    </row>
    <row r="183" spans="1:1" x14ac:dyDescent="0.2">
      <c r="A183" t="s">
        <v>2716</v>
      </c>
    </row>
    <row r="184" spans="1:1" x14ac:dyDescent="0.2">
      <c r="A184" t="s">
        <v>2717</v>
      </c>
    </row>
    <row r="185" spans="1:1" x14ac:dyDescent="0.2">
      <c r="A185" t="s">
        <v>1477</v>
      </c>
    </row>
    <row r="186" spans="1:1" x14ac:dyDescent="0.2">
      <c r="A186" t="s">
        <v>1477</v>
      </c>
    </row>
    <row r="187" spans="1:1" x14ac:dyDescent="0.2">
      <c r="A187" t="s">
        <v>1478</v>
      </c>
    </row>
    <row r="188" spans="1:1" x14ac:dyDescent="0.2">
      <c r="A188" t="s">
        <v>1479</v>
      </c>
    </row>
    <row r="189" spans="1:1" x14ac:dyDescent="0.2">
      <c r="A189" t="s">
        <v>1480</v>
      </c>
    </row>
    <row r="190" spans="1:1" x14ac:dyDescent="0.2">
      <c r="A190" t="s">
        <v>1481</v>
      </c>
    </row>
    <row r="191" spans="1:1" x14ac:dyDescent="0.2">
      <c r="A191" t="s">
        <v>1482</v>
      </c>
    </row>
    <row r="192" spans="1:1" x14ac:dyDescent="0.2">
      <c r="A192" t="s">
        <v>1483</v>
      </c>
    </row>
    <row r="193" spans="1:1" x14ac:dyDescent="0.2">
      <c r="A193" t="s">
        <v>1484</v>
      </c>
    </row>
    <row r="194" spans="1:1" x14ac:dyDescent="0.2">
      <c r="A194" t="s">
        <v>1485</v>
      </c>
    </row>
    <row r="195" spans="1:1" x14ac:dyDescent="0.2">
      <c r="A195" t="s">
        <v>1486</v>
      </c>
    </row>
    <row r="196" spans="1:1" x14ac:dyDescent="0.2">
      <c r="A196" t="s">
        <v>1487</v>
      </c>
    </row>
    <row r="197" spans="1:1" x14ac:dyDescent="0.2">
      <c r="A197" t="s">
        <v>1488</v>
      </c>
    </row>
    <row r="198" spans="1:1" x14ac:dyDescent="0.2">
      <c r="A198" t="s">
        <v>1489</v>
      </c>
    </row>
    <row r="199" spans="1:1" x14ac:dyDescent="0.2">
      <c r="A199" t="s">
        <v>1490</v>
      </c>
    </row>
    <row r="200" spans="1:1" x14ac:dyDescent="0.2">
      <c r="A200" t="s">
        <v>1491</v>
      </c>
    </row>
    <row r="201" spans="1:1" x14ac:dyDescent="0.2">
      <c r="A201" t="s">
        <v>2718</v>
      </c>
    </row>
    <row r="202" spans="1:1" x14ac:dyDescent="0.2">
      <c r="A202" t="s">
        <v>1492</v>
      </c>
    </row>
    <row r="203" spans="1:1" x14ac:dyDescent="0.2">
      <c r="A203" t="s">
        <v>1493</v>
      </c>
    </row>
    <row r="204" spans="1:1" x14ac:dyDescent="0.2">
      <c r="A204" t="s">
        <v>1494</v>
      </c>
    </row>
    <row r="205" spans="1:1" x14ac:dyDescent="0.2">
      <c r="A205" t="s">
        <v>1495</v>
      </c>
    </row>
    <row r="206" spans="1:1" x14ac:dyDescent="0.2">
      <c r="A206" t="s">
        <v>1496</v>
      </c>
    </row>
    <row r="207" spans="1:1" x14ac:dyDescent="0.2">
      <c r="A207" t="s">
        <v>1497</v>
      </c>
    </row>
    <row r="208" spans="1:1" x14ac:dyDescent="0.2">
      <c r="A208" t="s">
        <v>1498</v>
      </c>
    </row>
    <row r="209" spans="1:1" x14ac:dyDescent="0.2">
      <c r="A209" t="s">
        <v>1499</v>
      </c>
    </row>
    <row r="210" spans="1:1" x14ac:dyDescent="0.2">
      <c r="A210" t="s">
        <v>1500</v>
      </c>
    </row>
    <row r="211" spans="1:1" x14ac:dyDescent="0.2">
      <c r="A211" t="s">
        <v>1501</v>
      </c>
    </row>
    <row r="212" spans="1:1" x14ac:dyDescent="0.2">
      <c r="A212" t="s">
        <v>1502</v>
      </c>
    </row>
    <row r="213" spans="1:1" x14ac:dyDescent="0.2">
      <c r="A213" t="s">
        <v>1503</v>
      </c>
    </row>
    <row r="214" spans="1:1" x14ac:dyDescent="0.2">
      <c r="A214" t="s">
        <v>1504</v>
      </c>
    </row>
    <row r="215" spans="1:1" x14ac:dyDescent="0.2">
      <c r="A215" t="s">
        <v>1505</v>
      </c>
    </row>
    <row r="216" spans="1:1" x14ac:dyDescent="0.2">
      <c r="A216" t="s">
        <v>1506</v>
      </c>
    </row>
    <row r="217" spans="1:1" x14ac:dyDescent="0.2">
      <c r="A217" t="s">
        <v>1507</v>
      </c>
    </row>
    <row r="218" spans="1:1" x14ac:dyDescent="0.2">
      <c r="A218" t="s">
        <v>1508</v>
      </c>
    </row>
    <row r="219" spans="1:1" x14ac:dyDescent="0.2">
      <c r="A219" t="s">
        <v>1509</v>
      </c>
    </row>
    <row r="220" spans="1:1" x14ac:dyDescent="0.2">
      <c r="A220" t="s">
        <v>1510</v>
      </c>
    </row>
    <row r="221" spans="1:1" x14ac:dyDescent="0.2">
      <c r="A221" t="s">
        <v>1511</v>
      </c>
    </row>
    <row r="222" spans="1:1" x14ac:dyDescent="0.2">
      <c r="A222" t="s">
        <v>1512</v>
      </c>
    </row>
    <row r="223" spans="1:1" x14ac:dyDescent="0.2">
      <c r="A223" t="s">
        <v>1513</v>
      </c>
    </row>
    <row r="224" spans="1:1" x14ac:dyDescent="0.2">
      <c r="A224" t="s">
        <v>1514</v>
      </c>
    </row>
    <row r="225" spans="1:1" x14ac:dyDescent="0.2">
      <c r="A225" t="s">
        <v>1515</v>
      </c>
    </row>
    <row r="226" spans="1:1" x14ac:dyDescent="0.2">
      <c r="A226" t="s">
        <v>1516</v>
      </c>
    </row>
    <row r="227" spans="1:1" x14ac:dyDescent="0.2">
      <c r="A227" t="s">
        <v>1517</v>
      </c>
    </row>
    <row r="228" spans="1:1" x14ac:dyDescent="0.2">
      <c r="A228" t="s">
        <v>1518</v>
      </c>
    </row>
    <row r="229" spans="1:1" x14ac:dyDescent="0.2">
      <c r="A229" t="s">
        <v>1519</v>
      </c>
    </row>
    <row r="230" spans="1:1" x14ac:dyDescent="0.2">
      <c r="A230" t="s">
        <v>1520</v>
      </c>
    </row>
    <row r="231" spans="1:1" x14ac:dyDescent="0.2">
      <c r="A231" t="s">
        <v>1521</v>
      </c>
    </row>
    <row r="232" spans="1:1" x14ac:dyDescent="0.2">
      <c r="A232" t="s">
        <v>1522</v>
      </c>
    </row>
    <row r="233" spans="1:1" x14ac:dyDescent="0.2">
      <c r="A233" t="s">
        <v>1523</v>
      </c>
    </row>
    <row r="234" spans="1:1" x14ac:dyDescent="0.2">
      <c r="A234" t="s">
        <v>1523</v>
      </c>
    </row>
    <row r="235" spans="1:1" x14ac:dyDescent="0.2">
      <c r="A235" t="s">
        <v>1524</v>
      </c>
    </row>
    <row r="236" spans="1:1" x14ac:dyDescent="0.2">
      <c r="A236" t="s">
        <v>1524</v>
      </c>
    </row>
    <row r="237" spans="1:1" x14ac:dyDescent="0.2">
      <c r="A237" t="s">
        <v>1524</v>
      </c>
    </row>
    <row r="238" spans="1:1" x14ac:dyDescent="0.2">
      <c r="A238" t="s">
        <v>1525</v>
      </c>
    </row>
    <row r="239" spans="1:1" x14ac:dyDescent="0.2">
      <c r="A239" t="s">
        <v>1525</v>
      </c>
    </row>
    <row r="240" spans="1:1" x14ac:dyDescent="0.2">
      <c r="A240" t="s">
        <v>1525</v>
      </c>
    </row>
    <row r="241" spans="1:1" x14ac:dyDescent="0.2">
      <c r="A241" t="s">
        <v>1526</v>
      </c>
    </row>
    <row r="242" spans="1:1" x14ac:dyDescent="0.2">
      <c r="A242" t="s">
        <v>1527</v>
      </c>
    </row>
    <row r="243" spans="1:1" x14ac:dyDescent="0.2">
      <c r="A243" t="s">
        <v>1528</v>
      </c>
    </row>
    <row r="244" spans="1:1" x14ac:dyDescent="0.2">
      <c r="A244" t="s">
        <v>1529</v>
      </c>
    </row>
    <row r="245" spans="1:1" x14ac:dyDescent="0.2">
      <c r="A245" t="s">
        <v>1530</v>
      </c>
    </row>
    <row r="246" spans="1:1" x14ac:dyDescent="0.2">
      <c r="A246" t="s">
        <v>1531</v>
      </c>
    </row>
    <row r="247" spans="1:1" x14ac:dyDescent="0.2">
      <c r="A247" t="s">
        <v>1532</v>
      </c>
    </row>
    <row r="248" spans="1:1" x14ac:dyDescent="0.2">
      <c r="A248" t="s">
        <v>1533</v>
      </c>
    </row>
    <row r="249" spans="1:1" x14ac:dyDescent="0.2">
      <c r="A249" t="s">
        <v>1534</v>
      </c>
    </row>
    <row r="250" spans="1:1" x14ac:dyDescent="0.2">
      <c r="A250" t="s">
        <v>1535</v>
      </c>
    </row>
    <row r="251" spans="1:1" x14ac:dyDescent="0.2">
      <c r="A251" t="s">
        <v>1536</v>
      </c>
    </row>
    <row r="252" spans="1:1" x14ac:dyDescent="0.2">
      <c r="A252" t="s">
        <v>1537</v>
      </c>
    </row>
    <row r="253" spans="1:1" x14ac:dyDescent="0.2">
      <c r="A253" t="s">
        <v>1538</v>
      </c>
    </row>
    <row r="254" spans="1:1" x14ac:dyDescent="0.2">
      <c r="A254" t="s">
        <v>1539</v>
      </c>
    </row>
    <row r="255" spans="1:1" x14ac:dyDescent="0.2">
      <c r="A255" t="s">
        <v>1540</v>
      </c>
    </row>
    <row r="256" spans="1:1" x14ac:dyDescent="0.2">
      <c r="A256" t="s">
        <v>1541</v>
      </c>
    </row>
    <row r="257" spans="1:1" x14ac:dyDescent="0.2">
      <c r="A257" t="s">
        <v>1542</v>
      </c>
    </row>
    <row r="258" spans="1:1" x14ac:dyDescent="0.2">
      <c r="A258" t="s">
        <v>1543</v>
      </c>
    </row>
    <row r="259" spans="1:1" x14ac:dyDescent="0.2">
      <c r="A259" t="s">
        <v>1544</v>
      </c>
    </row>
    <row r="260" spans="1:1" x14ac:dyDescent="0.2">
      <c r="A260" t="s">
        <v>1545</v>
      </c>
    </row>
    <row r="261" spans="1:1" x14ac:dyDescent="0.2">
      <c r="A261" t="s">
        <v>1546</v>
      </c>
    </row>
    <row r="262" spans="1:1" x14ac:dyDescent="0.2">
      <c r="A262" t="s">
        <v>1547</v>
      </c>
    </row>
    <row r="263" spans="1:1" x14ac:dyDescent="0.2">
      <c r="A263" t="s">
        <v>1548</v>
      </c>
    </row>
    <row r="264" spans="1:1" x14ac:dyDescent="0.2">
      <c r="A264" t="s">
        <v>1549</v>
      </c>
    </row>
    <row r="265" spans="1:1" x14ac:dyDescent="0.2">
      <c r="A265" t="s">
        <v>1550</v>
      </c>
    </row>
    <row r="266" spans="1:1" x14ac:dyDescent="0.2">
      <c r="A266" t="s">
        <v>1551</v>
      </c>
    </row>
    <row r="267" spans="1:1" x14ac:dyDescent="0.2">
      <c r="A267" t="s">
        <v>1552</v>
      </c>
    </row>
    <row r="268" spans="1:1" x14ac:dyDescent="0.2">
      <c r="A268" t="s">
        <v>1553</v>
      </c>
    </row>
    <row r="269" spans="1:1" x14ac:dyDescent="0.2">
      <c r="A269" t="s">
        <v>1554</v>
      </c>
    </row>
    <row r="270" spans="1:1" x14ac:dyDescent="0.2">
      <c r="A270" t="s">
        <v>1555</v>
      </c>
    </row>
    <row r="271" spans="1:1" x14ac:dyDescent="0.2">
      <c r="A271" t="s">
        <v>1556</v>
      </c>
    </row>
    <row r="272" spans="1:1" x14ac:dyDescent="0.2">
      <c r="A272" t="s">
        <v>1557</v>
      </c>
    </row>
    <row r="273" spans="1:1" x14ac:dyDescent="0.2">
      <c r="A273" t="s">
        <v>1558</v>
      </c>
    </row>
    <row r="274" spans="1:1" x14ac:dyDescent="0.2">
      <c r="A274" t="s">
        <v>1559</v>
      </c>
    </row>
    <row r="275" spans="1:1" x14ac:dyDescent="0.2">
      <c r="A275" t="s">
        <v>1560</v>
      </c>
    </row>
    <row r="276" spans="1:1" x14ac:dyDescent="0.2">
      <c r="A276" t="s">
        <v>1561</v>
      </c>
    </row>
    <row r="277" spans="1:1" x14ac:dyDescent="0.2">
      <c r="A277" t="s">
        <v>1562</v>
      </c>
    </row>
    <row r="278" spans="1:1" x14ac:dyDescent="0.2">
      <c r="A278" t="s">
        <v>1563</v>
      </c>
    </row>
    <row r="279" spans="1:1" x14ac:dyDescent="0.2">
      <c r="A279" t="s">
        <v>1564</v>
      </c>
    </row>
    <row r="280" spans="1:1" x14ac:dyDescent="0.2">
      <c r="A280" t="s">
        <v>1565</v>
      </c>
    </row>
    <row r="281" spans="1:1" x14ac:dyDescent="0.2">
      <c r="A281" t="s">
        <v>2719</v>
      </c>
    </row>
    <row r="282" spans="1:1" x14ac:dyDescent="0.2">
      <c r="A282" t="s">
        <v>1566</v>
      </c>
    </row>
    <row r="283" spans="1:1" x14ac:dyDescent="0.2">
      <c r="A283" t="s">
        <v>1567</v>
      </c>
    </row>
    <row r="284" spans="1:1" x14ac:dyDescent="0.2">
      <c r="A284" t="s">
        <v>1568</v>
      </c>
    </row>
    <row r="285" spans="1:1" x14ac:dyDescent="0.2">
      <c r="A285" t="s">
        <v>1569</v>
      </c>
    </row>
    <row r="286" spans="1:1" x14ac:dyDescent="0.2">
      <c r="A286" t="s">
        <v>1570</v>
      </c>
    </row>
    <row r="287" spans="1:1" x14ac:dyDescent="0.2">
      <c r="A287" t="s">
        <v>1571</v>
      </c>
    </row>
    <row r="288" spans="1:1" x14ac:dyDescent="0.2">
      <c r="A288" t="s">
        <v>1572</v>
      </c>
    </row>
    <row r="289" spans="1:1" x14ac:dyDescent="0.2">
      <c r="A289" t="s">
        <v>1573</v>
      </c>
    </row>
    <row r="290" spans="1:1" x14ac:dyDescent="0.2">
      <c r="A290" t="s">
        <v>1574</v>
      </c>
    </row>
    <row r="291" spans="1:1" x14ac:dyDescent="0.2">
      <c r="A291" t="s">
        <v>1575</v>
      </c>
    </row>
    <row r="292" spans="1:1" x14ac:dyDescent="0.2">
      <c r="A292" t="s">
        <v>1576</v>
      </c>
    </row>
    <row r="293" spans="1:1" x14ac:dyDescent="0.2">
      <c r="A293" t="s">
        <v>1577</v>
      </c>
    </row>
    <row r="294" spans="1:1" x14ac:dyDescent="0.2">
      <c r="A294" t="s">
        <v>1578</v>
      </c>
    </row>
    <row r="295" spans="1:1" x14ac:dyDescent="0.2">
      <c r="A295" t="s">
        <v>1579</v>
      </c>
    </row>
    <row r="296" spans="1:1" x14ac:dyDescent="0.2">
      <c r="A296" t="s">
        <v>1580</v>
      </c>
    </row>
    <row r="297" spans="1:1" x14ac:dyDescent="0.2">
      <c r="A297" t="s">
        <v>1581</v>
      </c>
    </row>
    <row r="298" spans="1:1" x14ac:dyDescent="0.2">
      <c r="A298" t="s">
        <v>1582</v>
      </c>
    </row>
    <row r="299" spans="1:1" x14ac:dyDescent="0.2">
      <c r="A299" t="s">
        <v>1583</v>
      </c>
    </row>
    <row r="300" spans="1:1" x14ac:dyDescent="0.2">
      <c r="A300" t="s">
        <v>1584</v>
      </c>
    </row>
    <row r="301" spans="1:1" x14ac:dyDescent="0.2">
      <c r="A301" t="s">
        <v>1585</v>
      </c>
    </row>
    <row r="302" spans="1:1" x14ac:dyDescent="0.2">
      <c r="A302" t="s">
        <v>1586</v>
      </c>
    </row>
    <row r="303" spans="1:1" x14ac:dyDescent="0.2">
      <c r="A303" t="s">
        <v>1587</v>
      </c>
    </row>
    <row r="304" spans="1:1" x14ac:dyDescent="0.2">
      <c r="A304" t="s">
        <v>1588</v>
      </c>
    </row>
    <row r="305" spans="1:1" x14ac:dyDescent="0.2">
      <c r="A305" t="s">
        <v>1589</v>
      </c>
    </row>
    <row r="306" spans="1:1" x14ac:dyDescent="0.2">
      <c r="A306" t="s">
        <v>1590</v>
      </c>
    </row>
    <row r="307" spans="1:1" x14ac:dyDescent="0.2">
      <c r="A307" t="s">
        <v>1591</v>
      </c>
    </row>
    <row r="308" spans="1:1" x14ac:dyDescent="0.2">
      <c r="A308" t="s">
        <v>1592</v>
      </c>
    </row>
    <row r="309" spans="1:1" x14ac:dyDescent="0.2">
      <c r="A309" t="s">
        <v>1593</v>
      </c>
    </row>
    <row r="310" spans="1:1" x14ac:dyDescent="0.2">
      <c r="A310" t="s">
        <v>1594</v>
      </c>
    </row>
    <row r="311" spans="1:1" x14ac:dyDescent="0.2">
      <c r="A311" t="s">
        <v>1595</v>
      </c>
    </row>
    <row r="312" spans="1:1" x14ac:dyDescent="0.2">
      <c r="A312" t="s">
        <v>1596</v>
      </c>
    </row>
    <row r="313" spans="1:1" x14ac:dyDescent="0.2">
      <c r="A313" t="s">
        <v>1597</v>
      </c>
    </row>
    <row r="314" spans="1:1" x14ac:dyDescent="0.2">
      <c r="A314" t="s">
        <v>1598</v>
      </c>
    </row>
    <row r="315" spans="1:1" x14ac:dyDescent="0.2">
      <c r="A315" t="s">
        <v>1599</v>
      </c>
    </row>
    <row r="316" spans="1:1" x14ac:dyDescent="0.2">
      <c r="A316" t="s">
        <v>1600</v>
      </c>
    </row>
    <row r="317" spans="1:1" x14ac:dyDescent="0.2">
      <c r="A317" t="s">
        <v>1601</v>
      </c>
    </row>
    <row r="318" spans="1:1" x14ac:dyDescent="0.2">
      <c r="A318" t="s">
        <v>1602</v>
      </c>
    </row>
    <row r="319" spans="1:1" x14ac:dyDescent="0.2">
      <c r="A319" t="s">
        <v>1603</v>
      </c>
    </row>
    <row r="320" spans="1:1" x14ac:dyDescent="0.2">
      <c r="A320" t="s">
        <v>1604</v>
      </c>
    </row>
    <row r="321" spans="1:1" x14ac:dyDescent="0.2">
      <c r="A321" t="s">
        <v>1605</v>
      </c>
    </row>
    <row r="322" spans="1:1" x14ac:dyDescent="0.2">
      <c r="A322" t="s">
        <v>1606</v>
      </c>
    </row>
    <row r="323" spans="1:1" x14ac:dyDescent="0.2">
      <c r="A323" t="s">
        <v>1607</v>
      </c>
    </row>
    <row r="324" spans="1:1" x14ac:dyDescent="0.2">
      <c r="A324" t="s">
        <v>1608</v>
      </c>
    </row>
    <row r="325" spans="1:1" x14ac:dyDescent="0.2">
      <c r="A325" t="s">
        <v>1609</v>
      </c>
    </row>
    <row r="326" spans="1:1" x14ac:dyDescent="0.2">
      <c r="A326" t="s">
        <v>1610</v>
      </c>
    </row>
    <row r="327" spans="1:1" x14ac:dyDescent="0.2">
      <c r="A327" t="s">
        <v>1611</v>
      </c>
    </row>
    <row r="328" spans="1:1" x14ac:dyDescent="0.2">
      <c r="A328" t="s">
        <v>1612</v>
      </c>
    </row>
    <row r="329" spans="1:1" x14ac:dyDescent="0.2">
      <c r="A329" t="s">
        <v>1613</v>
      </c>
    </row>
    <row r="330" spans="1:1" x14ac:dyDescent="0.2">
      <c r="A330" t="s">
        <v>1614</v>
      </c>
    </row>
    <row r="331" spans="1:1" x14ac:dyDescent="0.2">
      <c r="A331" t="s">
        <v>1615</v>
      </c>
    </row>
    <row r="332" spans="1:1" x14ac:dyDescent="0.2">
      <c r="A332" t="s">
        <v>1616</v>
      </c>
    </row>
    <row r="333" spans="1:1" x14ac:dyDescent="0.2">
      <c r="A333" t="s">
        <v>1617</v>
      </c>
    </row>
    <row r="334" spans="1:1" x14ac:dyDescent="0.2">
      <c r="A334" t="s">
        <v>1618</v>
      </c>
    </row>
    <row r="335" spans="1:1" x14ac:dyDescent="0.2">
      <c r="A335" t="s">
        <v>1619</v>
      </c>
    </row>
    <row r="336" spans="1:1" x14ac:dyDescent="0.2">
      <c r="A336" t="s">
        <v>1620</v>
      </c>
    </row>
    <row r="337" spans="1:1" x14ac:dyDescent="0.2">
      <c r="A337" t="s">
        <v>1621</v>
      </c>
    </row>
    <row r="338" spans="1:1" x14ac:dyDescent="0.2">
      <c r="A338" t="s">
        <v>1622</v>
      </c>
    </row>
    <row r="339" spans="1:1" x14ac:dyDescent="0.2">
      <c r="A339" t="s">
        <v>1623</v>
      </c>
    </row>
    <row r="340" spans="1:1" x14ac:dyDescent="0.2">
      <c r="A340" t="s">
        <v>1624</v>
      </c>
    </row>
    <row r="341" spans="1:1" x14ac:dyDescent="0.2">
      <c r="A341" t="s">
        <v>1625</v>
      </c>
    </row>
    <row r="342" spans="1:1" x14ac:dyDescent="0.2">
      <c r="A342" t="s">
        <v>1626</v>
      </c>
    </row>
    <row r="343" spans="1:1" x14ac:dyDescent="0.2">
      <c r="A343" t="s">
        <v>1627</v>
      </c>
    </row>
    <row r="344" spans="1:1" x14ac:dyDescent="0.2">
      <c r="A344" t="s">
        <v>1628</v>
      </c>
    </row>
    <row r="345" spans="1:1" x14ac:dyDescent="0.2">
      <c r="A345" t="s">
        <v>1629</v>
      </c>
    </row>
    <row r="346" spans="1:1" x14ac:dyDescent="0.2">
      <c r="A346" t="s">
        <v>1630</v>
      </c>
    </row>
    <row r="347" spans="1:1" x14ac:dyDescent="0.2">
      <c r="A347" t="s">
        <v>1631</v>
      </c>
    </row>
    <row r="348" spans="1:1" x14ac:dyDescent="0.2">
      <c r="A348" t="s">
        <v>1632</v>
      </c>
    </row>
    <row r="349" spans="1:1" x14ac:dyDescent="0.2">
      <c r="A349" t="s">
        <v>1633</v>
      </c>
    </row>
    <row r="350" spans="1:1" x14ac:dyDescent="0.2">
      <c r="A350" t="s">
        <v>1634</v>
      </c>
    </row>
    <row r="351" spans="1:1" x14ac:dyDescent="0.2">
      <c r="A351" t="s">
        <v>1635</v>
      </c>
    </row>
    <row r="352" spans="1:1" x14ac:dyDescent="0.2">
      <c r="A352" t="s">
        <v>1636</v>
      </c>
    </row>
    <row r="353" spans="1:1" x14ac:dyDescent="0.2">
      <c r="A353" t="s">
        <v>1637</v>
      </c>
    </row>
    <row r="354" spans="1:1" x14ac:dyDescent="0.2">
      <c r="A354" t="s">
        <v>1638</v>
      </c>
    </row>
    <row r="355" spans="1:1" x14ac:dyDescent="0.2">
      <c r="A355" t="s">
        <v>1639</v>
      </c>
    </row>
    <row r="356" spans="1:1" x14ac:dyDescent="0.2">
      <c r="A356" t="s">
        <v>1640</v>
      </c>
    </row>
    <row r="357" spans="1:1" x14ac:dyDescent="0.2">
      <c r="A357" t="s">
        <v>1641</v>
      </c>
    </row>
    <row r="358" spans="1:1" x14ac:dyDescent="0.2">
      <c r="A358" t="s">
        <v>1642</v>
      </c>
    </row>
    <row r="359" spans="1:1" x14ac:dyDescent="0.2">
      <c r="A359" t="s">
        <v>1643</v>
      </c>
    </row>
    <row r="360" spans="1:1" x14ac:dyDescent="0.2">
      <c r="A360" t="s">
        <v>1644</v>
      </c>
    </row>
    <row r="361" spans="1:1" x14ac:dyDescent="0.2">
      <c r="A361" t="s">
        <v>1645</v>
      </c>
    </row>
    <row r="362" spans="1:1" x14ac:dyDescent="0.2">
      <c r="A362" t="s">
        <v>1646</v>
      </c>
    </row>
    <row r="363" spans="1:1" x14ac:dyDescent="0.2">
      <c r="A363" t="s">
        <v>1647</v>
      </c>
    </row>
    <row r="364" spans="1:1" x14ac:dyDescent="0.2">
      <c r="A364" t="s">
        <v>1648</v>
      </c>
    </row>
    <row r="365" spans="1:1" x14ac:dyDescent="0.2">
      <c r="A365" t="s">
        <v>1649</v>
      </c>
    </row>
    <row r="366" spans="1:1" x14ac:dyDescent="0.2">
      <c r="A366" t="s">
        <v>1650</v>
      </c>
    </row>
    <row r="367" spans="1:1" x14ac:dyDescent="0.2">
      <c r="A367" t="s">
        <v>1651</v>
      </c>
    </row>
    <row r="368" spans="1:1" x14ac:dyDescent="0.2">
      <c r="A368" t="s">
        <v>1652</v>
      </c>
    </row>
    <row r="369" spans="1:1" x14ac:dyDescent="0.2">
      <c r="A369" t="s">
        <v>1653</v>
      </c>
    </row>
    <row r="370" spans="1:1" x14ac:dyDescent="0.2">
      <c r="A370" t="s">
        <v>1654</v>
      </c>
    </row>
    <row r="371" spans="1:1" x14ac:dyDescent="0.2">
      <c r="A371" t="s">
        <v>1655</v>
      </c>
    </row>
    <row r="372" spans="1:1" x14ac:dyDescent="0.2">
      <c r="A372" t="s">
        <v>1656</v>
      </c>
    </row>
    <row r="373" spans="1:1" x14ac:dyDescent="0.2">
      <c r="A373" t="s">
        <v>1657</v>
      </c>
    </row>
    <row r="374" spans="1:1" x14ac:dyDescent="0.2">
      <c r="A374" t="s">
        <v>1658</v>
      </c>
    </row>
    <row r="375" spans="1:1" x14ac:dyDescent="0.2">
      <c r="A375" t="s">
        <v>1659</v>
      </c>
    </row>
    <row r="376" spans="1:1" x14ac:dyDescent="0.2">
      <c r="A376" t="s">
        <v>1660</v>
      </c>
    </row>
    <row r="377" spans="1:1" x14ac:dyDescent="0.2">
      <c r="A377" t="s">
        <v>1661</v>
      </c>
    </row>
    <row r="378" spans="1:1" x14ac:dyDescent="0.2">
      <c r="A378" t="s">
        <v>1662</v>
      </c>
    </row>
    <row r="379" spans="1:1" x14ac:dyDescent="0.2">
      <c r="A379" t="s">
        <v>1663</v>
      </c>
    </row>
    <row r="380" spans="1:1" x14ac:dyDescent="0.2">
      <c r="A380" t="s">
        <v>1664</v>
      </c>
    </row>
    <row r="381" spans="1:1" x14ac:dyDescent="0.2">
      <c r="A381" t="s">
        <v>1665</v>
      </c>
    </row>
    <row r="382" spans="1:1" x14ac:dyDescent="0.2">
      <c r="A382" t="s">
        <v>1666</v>
      </c>
    </row>
    <row r="383" spans="1:1" x14ac:dyDescent="0.2">
      <c r="A383" t="s">
        <v>1667</v>
      </c>
    </row>
    <row r="384" spans="1:1" x14ac:dyDescent="0.2">
      <c r="A384" t="s">
        <v>1668</v>
      </c>
    </row>
    <row r="385" spans="1:1" x14ac:dyDescent="0.2">
      <c r="A385" t="s">
        <v>1669</v>
      </c>
    </row>
    <row r="386" spans="1:1" x14ac:dyDescent="0.2">
      <c r="A386" t="s">
        <v>1670</v>
      </c>
    </row>
    <row r="387" spans="1:1" x14ac:dyDescent="0.2">
      <c r="A387" t="s">
        <v>1671</v>
      </c>
    </row>
    <row r="388" spans="1:1" x14ac:dyDescent="0.2">
      <c r="A388" t="s">
        <v>1672</v>
      </c>
    </row>
    <row r="389" spans="1:1" x14ac:dyDescent="0.2">
      <c r="A389" t="s">
        <v>1673</v>
      </c>
    </row>
    <row r="390" spans="1:1" x14ac:dyDescent="0.2">
      <c r="A390" t="s">
        <v>1674</v>
      </c>
    </row>
    <row r="391" spans="1:1" x14ac:dyDescent="0.2">
      <c r="A391" t="s">
        <v>1675</v>
      </c>
    </row>
    <row r="392" spans="1:1" x14ac:dyDescent="0.2">
      <c r="A392" t="s">
        <v>1676</v>
      </c>
    </row>
    <row r="393" spans="1:1" x14ac:dyDescent="0.2">
      <c r="A393" t="s">
        <v>1677</v>
      </c>
    </row>
    <row r="394" spans="1:1" x14ac:dyDescent="0.2">
      <c r="A394" t="s">
        <v>2720</v>
      </c>
    </row>
    <row r="395" spans="1:1" x14ac:dyDescent="0.2">
      <c r="A395" t="s">
        <v>1678</v>
      </c>
    </row>
    <row r="396" spans="1:1" x14ac:dyDescent="0.2">
      <c r="A396" t="s">
        <v>1679</v>
      </c>
    </row>
    <row r="397" spans="1:1" x14ac:dyDescent="0.2">
      <c r="A397" t="s">
        <v>1680</v>
      </c>
    </row>
    <row r="398" spans="1:1" x14ac:dyDescent="0.2">
      <c r="A398" t="s">
        <v>1681</v>
      </c>
    </row>
    <row r="399" spans="1:1" x14ac:dyDescent="0.2">
      <c r="A399" t="s">
        <v>1682</v>
      </c>
    </row>
    <row r="400" spans="1:1" x14ac:dyDescent="0.2">
      <c r="A400" t="s">
        <v>2721</v>
      </c>
    </row>
    <row r="401" spans="1:1" x14ac:dyDescent="0.2">
      <c r="A401" t="s">
        <v>1683</v>
      </c>
    </row>
    <row r="402" spans="1:1" x14ac:dyDescent="0.2">
      <c r="A402" t="s">
        <v>2722</v>
      </c>
    </row>
    <row r="403" spans="1:1" x14ac:dyDescent="0.2">
      <c r="A403" t="s">
        <v>2723</v>
      </c>
    </row>
    <row r="404" spans="1:1" x14ac:dyDescent="0.2">
      <c r="A404" t="s">
        <v>2724</v>
      </c>
    </row>
    <row r="405" spans="1:1" x14ac:dyDescent="0.2">
      <c r="A405" t="s">
        <v>2725</v>
      </c>
    </row>
    <row r="406" spans="1:1" x14ac:dyDescent="0.2">
      <c r="A406" t="s">
        <v>2726</v>
      </c>
    </row>
    <row r="407" spans="1:1" x14ac:dyDescent="0.2">
      <c r="A407" t="s">
        <v>1684</v>
      </c>
    </row>
    <row r="408" spans="1:1" x14ac:dyDescent="0.2">
      <c r="A408" t="s">
        <v>2727</v>
      </c>
    </row>
    <row r="409" spans="1:1" x14ac:dyDescent="0.2">
      <c r="A409" t="s">
        <v>2728</v>
      </c>
    </row>
    <row r="410" spans="1:1" x14ac:dyDescent="0.2">
      <c r="A410" t="s">
        <v>2729</v>
      </c>
    </row>
    <row r="411" spans="1:1" x14ac:dyDescent="0.2">
      <c r="A411" t="s">
        <v>2730</v>
      </c>
    </row>
    <row r="412" spans="1:1" x14ac:dyDescent="0.2">
      <c r="A412" t="s">
        <v>2731</v>
      </c>
    </row>
    <row r="413" spans="1:1" x14ac:dyDescent="0.2">
      <c r="A413" t="s">
        <v>2732</v>
      </c>
    </row>
    <row r="414" spans="1:1" x14ac:dyDescent="0.2">
      <c r="A414" t="s">
        <v>2733</v>
      </c>
    </row>
    <row r="415" spans="1:1" x14ac:dyDescent="0.2">
      <c r="A415" t="s">
        <v>2734</v>
      </c>
    </row>
    <row r="416" spans="1:1" x14ac:dyDescent="0.2">
      <c r="A416" t="s">
        <v>2735</v>
      </c>
    </row>
    <row r="417" spans="1:1" x14ac:dyDescent="0.2">
      <c r="A417" t="s">
        <v>2736</v>
      </c>
    </row>
    <row r="418" spans="1:1" x14ac:dyDescent="0.2">
      <c r="A418" t="s">
        <v>2737</v>
      </c>
    </row>
    <row r="419" spans="1:1" x14ac:dyDescent="0.2">
      <c r="A419" t="s">
        <v>2738</v>
      </c>
    </row>
    <row r="420" spans="1:1" x14ac:dyDescent="0.2">
      <c r="A420" t="s">
        <v>2739</v>
      </c>
    </row>
    <row r="421" spans="1:1" x14ac:dyDescent="0.2">
      <c r="A421" t="s">
        <v>2740</v>
      </c>
    </row>
    <row r="422" spans="1:1" x14ac:dyDescent="0.2">
      <c r="A422" t="s">
        <v>2741</v>
      </c>
    </row>
    <row r="423" spans="1:1" x14ac:dyDescent="0.2">
      <c r="A423" t="s">
        <v>2742</v>
      </c>
    </row>
    <row r="424" spans="1:1" x14ac:dyDescent="0.2">
      <c r="A424" t="s">
        <v>2743</v>
      </c>
    </row>
    <row r="425" spans="1:1" x14ac:dyDescent="0.2">
      <c r="A425" t="s">
        <v>2744</v>
      </c>
    </row>
    <row r="426" spans="1:1" x14ac:dyDescent="0.2">
      <c r="A426" t="s">
        <v>2745</v>
      </c>
    </row>
    <row r="427" spans="1:1" x14ac:dyDescent="0.2">
      <c r="A427" t="s">
        <v>2746</v>
      </c>
    </row>
    <row r="428" spans="1:1" x14ac:dyDescent="0.2">
      <c r="A428" t="s">
        <v>2747</v>
      </c>
    </row>
    <row r="429" spans="1:1" x14ac:dyDescent="0.2">
      <c r="A429" t="s">
        <v>2748</v>
      </c>
    </row>
    <row r="430" spans="1:1" x14ac:dyDescent="0.2">
      <c r="A430" t="s">
        <v>2749</v>
      </c>
    </row>
    <row r="431" spans="1:1" x14ac:dyDescent="0.2">
      <c r="A431" t="s">
        <v>2750</v>
      </c>
    </row>
    <row r="432" spans="1:1" x14ac:dyDescent="0.2">
      <c r="A432" t="s">
        <v>2751</v>
      </c>
    </row>
    <row r="433" spans="1:1" x14ac:dyDescent="0.2">
      <c r="A433" t="s">
        <v>2752</v>
      </c>
    </row>
    <row r="434" spans="1:1" x14ac:dyDescent="0.2">
      <c r="A434" t="s">
        <v>2753</v>
      </c>
    </row>
    <row r="435" spans="1:1" x14ac:dyDescent="0.2">
      <c r="A435" t="s">
        <v>2754</v>
      </c>
    </row>
    <row r="436" spans="1:1" x14ac:dyDescent="0.2">
      <c r="A436" t="s">
        <v>2755</v>
      </c>
    </row>
    <row r="437" spans="1:1" x14ac:dyDescent="0.2">
      <c r="A437" t="s">
        <v>2756</v>
      </c>
    </row>
    <row r="438" spans="1:1" x14ac:dyDescent="0.2">
      <c r="A438" t="s">
        <v>2757</v>
      </c>
    </row>
    <row r="439" spans="1:1" x14ac:dyDescent="0.2">
      <c r="A439" t="s">
        <v>2758</v>
      </c>
    </row>
    <row r="440" spans="1:1" x14ac:dyDescent="0.2">
      <c r="A440" t="s">
        <v>2759</v>
      </c>
    </row>
    <row r="441" spans="1:1" x14ac:dyDescent="0.2">
      <c r="A441" t="s">
        <v>2760</v>
      </c>
    </row>
    <row r="442" spans="1:1" x14ac:dyDescent="0.2">
      <c r="A442" t="s">
        <v>2761</v>
      </c>
    </row>
    <row r="443" spans="1:1" x14ac:dyDescent="0.2">
      <c r="A443" t="s">
        <v>2762</v>
      </c>
    </row>
    <row r="444" spans="1:1" x14ac:dyDescent="0.2">
      <c r="A444" t="s">
        <v>2763</v>
      </c>
    </row>
    <row r="445" spans="1:1" x14ac:dyDescent="0.2">
      <c r="A445" t="s">
        <v>2764</v>
      </c>
    </row>
    <row r="446" spans="1:1" x14ac:dyDescent="0.2">
      <c r="A446" t="s">
        <v>2765</v>
      </c>
    </row>
    <row r="447" spans="1:1" x14ac:dyDescent="0.2">
      <c r="A447" t="s">
        <v>2766</v>
      </c>
    </row>
    <row r="448" spans="1:1" x14ac:dyDescent="0.2">
      <c r="A448" t="s">
        <v>2767</v>
      </c>
    </row>
    <row r="449" spans="1:1" x14ac:dyDescent="0.2">
      <c r="A449" t="s">
        <v>2768</v>
      </c>
    </row>
    <row r="450" spans="1:1" x14ac:dyDescent="0.2">
      <c r="A450" t="s">
        <v>2769</v>
      </c>
    </row>
    <row r="451" spans="1:1" x14ac:dyDescent="0.2">
      <c r="A451" t="s">
        <v>2770</v>
      </c>
    </row>
    <row r="452" spans="1:1" x14ac:dyDescent="0.2">
      <c r="A452" t="s">
        <v>2771</v>
      </c>
    </row>
    <row r="453" spans="1:1" x14ac:dyDescent="0.2">
      <c r="A453" t="s">
        <v>2772</v>
      </c>
    </row>
    <row r="454" spans="1:1" x14ac:dyDescent="0.2">
      <c r="A454" t="s">
        <v>2773</v>
      </c>
    </row>
    <row r="455" spans="1:1" x14ac:dyDescent="0.2">
      <c r="A455" t="s">
        <v>2774</v>
      </c>
    </row>
    <row r="456" spans="1:1" x14ac:dyDescent="0.2">
      <c r="A456" t="s">
        <v>2775</v>
      </c>
    </row>
    <row r="457" spans="1:1" x14ac:dyDescent="0.2">
      <c r="A457" t="s">
        <v>2776</v>
      </c>
    </row>
    <row r="458" spans="1:1" x14ac:dyDescent="0.2">
      <c r="A458" t="s">
        <v>2777</v>
      </c>
    </row>
    <row r="459" spans="1:1" x14ac:dyDescent="0.2">
      <c r="A459" t="s">
        <v>2778</v>
      </c>
    </row>
    <row r="460" spans="1:1" x14ac:dyDescent="0.2">
      <c r="A460" t="s">
        <v>2779</v>
      </c>
    </row>
    <row r="461" spans="1:1" x14ac:dyDescent="0.2">
      <c r="A461" t="s">
        <v>2780</v>
      </c>
    </row>
    <row r="462" spans="1:1" x14ac:dyDescent="0.2">
      <c r="A462" t="s">
        <v>2781</v>
      </c>
    </row>
    <row r="463" spans="1:1" x14ac:dyDescent="0.2">
      <c r="A463" t="s">
        <v>2782</v>
      </c>
    </row>
    <row r="464" spans="1:1" x14ac:dyDescent="0.2">
      <c r="A464" t="s">
        <v>2783</v>
      </c>
    </row>
    <row r="465" spans="1:1" x14ac:dyDescent="0.2">
      <c r="A465" t="s">
        <v>2784</v>
      </c>
    </row>
    <row r="466" spans="1:1" x14ac:dyDescent="0.2">
      <c r="A466" t="s">
        <v>2785</v>
      </c>
    </row>
    <row r="467" spans="1:1" x14ac:dyDescent="0.2">
      <c r="A467" t="s">
        <v>2786</v>
      </c>
    </row>
    <row r="468" spans="1:1" x14ac:dyDescent="0.2">
      <c r="A468" t="s">
        <v>2787</v>
      </c>
    </row>
    <row r="469" spans="1:1" x14ac:dyDescent="0.2">
      <c r="A469" t="s">
        <v>2788</v>
      </c>
    </row>
    <row r="470" spans="1:1" x14ac:dyDescent="0.2">
      <c r="A470" t="s">
        <v>2789</v>
      </c>
    </row>
    <row r="471" spans="1:1" x14ac:dyDescent="0.2">
      <c r="A471" t="s">
        <v>2790</v>
      </c>
    </row>
    <row r="472" spans="1:1" x14ac:dyDescent="0.2">
      <c r="A472" t="s">
        <v>2791</v>
      </c>
    </row>
    <row r="473" spans="1:1" x14ac:dyDescent="0.2">
      <c r="A473" t="s">
        <v>2792</v>
      </c>
    </row>
    <row r="474" spans="1:1" x14ac:dyDescent="0.2">
      <c r="A474" t="s">
        <v>2793</v>
      </c>
    </row>
    <row r="475" spans="1:1" x14ac:dyDescent="0.2">
      <c r="A475" t="s">
        <v>2794</v>
      </c>
    </row>
    <row r="476" spans="1:1" x14ac:dyDescent="0.2">
      <c r="A476" t="s">
        <v>2795</v>
      </c>
    </row>
    <row r="477" spans="1:1" x14ac:dyDescent="0.2">
      <c r="A477" t="s">
        <v>2796</v>
      </c>
    </row>
    <row r="478" spans="1:1" x14ac:dyDescent="0.2">
      <c r="A478" t="s">
        <v>2797</v>
      </c>
    </row>
    <row r="479" spans="1:1" x14ac:dyDescent="0.2">
      <c r="A479" t="s">
        <v>2798</v>
      </c>
    </row>
    <row r="480" spans="1:1" x14ac:dyDescent="0.2">
      <c r="A480" t="s">
        <v>2799</v>
      </c>
    </row>
    <row r="481" spans="1:1" x14ac:dyDescent="0.2">
      <c r="A481" t="s">
        <v>2800</v>
      </c>
    </row>
    <row r="482" spans="1:1" x14ac:dyDescent="0.2">
      <c r="A482" t="s">
        <v>2801</v>
      </c>
    </row>
    <row r="483" spans="1:1" x14ac:dyDescent="0.2">
      <c r="A483" t="s">
        <v>2802</v>
      </c>
    </row>
    <row r="484" spans="1:1" x14ac:dyDescent="0.2">
      <c r="A484" t="s">
        <v>2803</v>
      </c>
    </row>
    <row r="485" spans="1:1" x14ac:dyDescent="0.2">
      <c r="A485" t="s">
        <v>2804</v>
      </c>
    </row>
    <row r="486" spans="1:1" x14ac:dyDescent="0.2">
      <c r="A486" t="s">
        <v>1685</v>
      </c>
    </row>
    <row r="487" spans="1:1" x14ac:dyDescent="0.2">
      <c r="A487" t="s">
        <v>2805</v>
      </c>
    </row>
    <row r="488" spans="1:1" x14ac:dyDescent="0.2">
      <c r="A488" t="s">
        <v>2806</v>
      </c>
    </row>
    <row r="489" spans="1:1" x14ac:dyDescent="0.2">
      <c r="A489" t="s">
        <v>2807</v>
      </c>
    </row>
    <row r="490" spans="1:1" x14ac:dyDescent="0.2">
      <c r="A490" t="s">
        <v>2808</v>
      </c>
    </row>
    <row r="491" spans="1:1" x14ac:dyDescent="0.2">
      <c r="A491" t="s">
        <v>2809</v>
      </c>
    </row>
    <row r="492" spans="1:1" x14ac:dyDescent="0.2">
      <c r="A492" t="s">
        <v>2810</v>
      </c>
    </row>
    <row r="493" spans="1:1" x14ac:dyDescent="0.2">
      <c r="A493" t="s">
        <v>2811</v>
      </c>
    </row>
    <row r="494" spans="1:1" x14ac:dyDescent="0.2">
      <c r="A494" t="s">
        <v>2812</v>
      </c>
    </row>
    <row r="495" spans="1:1" x14ac:dyDescent="0.2">
      <c r="A495" t="s">
        <v>2813</v>
      </c>
    </row>
    <row r="496" spans="1:1" x14ac:dyDescent="0.2">
      <c r="A496" t="s">
        <v>2814</v>
      </c>
    </row>
    <row r="497" spans="1:1" x14ac:dyDescent="0.2">
      <c r="A497" t="s">
        <v>2815</v>
      </c>
    </row>
    <row r="498" spans="1:1" x14ac:dyDescent="0.2">
      <c r="A498" t="s">
        <v>2816</v>
      </c>
    </row>
    <row r="499" spans="1:1" x14ac:dyDescent="0.2">
      <c r="A499" t="s">
        <v>2817</v>
      </c>
    </row>
    <row r="500" spans="1:1" x14ac:dyDescent="0.2">
      <c r="A500" t="s">
        <v>2818</v>
      </c>
    </row>
    <row r="501" spans="1:1" x14ac:dyDescent="0.2">
      <c r="A501" t="s">
        <v>2819</v>
      </c>
    </row>
    <row r="502" spans="1:1" x14ac:dyDescent="0.2">
      <c r="A502" t="s">
        <v>2820</v>
      </c>
    </row>
    <row r="503" spans="1:1" x14ac:dyDescent="0.2">
      <c r="A503" t="s">
        <v>2821</v>
      </c>
    </row>
    <row r="504" spans="1:1" x14ac:dyDescent="0.2">
      <c r="A504" t="s">
        <v>2822</v>
      </c>
    </row>
    <row r="505" spans="1:1" x14ac:dyDescent="0.2">
      <c r="A505" t="s">
        <v>2823</v>
      </c>
    </row>
    <row r="506" spans="1:1" x14ac:dyDescent="0.2">
      <c r="A506" t="s">
        <v>2824</v>
      </c>
    </row>
    <row r="507" spans="1:1" x14ac:dyDescent="0.2">
      <c r="A507" t="s">
        <v>2825</v>
      </c>
    </row>
    <row r="508" spans="1:1" x14ac:dyDescent="0.2">
      <c r="A508" t="s">
        <v>2826</v>
      </c>
    </row>
    <row r="509" spans="1:1" x14ac:dyDescent="0.2">
      <c r="A509" t="s">
        <v>2827</v>
      </c>
    </row>
    <row r="510" spans="1:1" x14ac:dyDescent="0.2">
      <c r="A510" t="s">
        <v>2828</v>
      </c>
    </row>
    <row r="511" spans="1:1" x14ac:dyDescent="0.2">
      <c r="A511" t="s">
        <v>2829</v>
      </c>
    </row>
    <row r="512" spans="1:1" x14ac:dyDescent="0.2">
      <c r="A512" t="s">
        <v>2830</v>
      </c>
    </row>
    <row r="513" spans="1:1" x14ac:dyDescent="0.2">
      <c r="A513" t="s">
        <v>2831</v>
      </c>
    </row>
    <row r="514" spans="1:1" x14ac:dyDescent="0.2">
      <c r="A514" t="s">
        <v>2832</v>
      </c>
    </row>
    <row r="515" spans="1:1" x14ac:dyDescent="0.2">
      <c r="A515" t="s">
        <v>2833</v>
      </c>
    </row>
    <row r="516" spans="1:1" x14ac:dyDescent="0.2">
      <c r="A516" t="s">
        <v>2834</v>
      </c>
    </row>
    <row r="517" spans="1:1" x14ac:dyDescent="0.2">
      <c r="A517" t="s">
        <v>2835</v>
      </c>
    </row>
    <row r="518" spans="1:1" x14ac:dyDescent="0.2">
      <c r="A518" t="s">
        <v>2836</v>
      </c>
    </row>
    <row r="519" spans="1:1" x14ac:dyDescent="0.2">
      <c r="A519" t="s">
        <v>2837</v>
      </c>
    </row>
    <row r="520" spans="1:1" x14ac:dyDescent="0.2">
      <c r="A520" t="s">
        <v>2838</v>
      </c>
    </row>
    <row r="521" spans="1:1" x14ac:dyDescent="0.2">
      <c r="A521" t="s">
        <v>2839</v>
      </c>
    </row>
    <row r="522" spans="1:1" x14ac:dyDescent="0.2">
      <c r="A522" t="s">
        <v>2840</v>
      </c>
    </row>
    <row r="523" spans="1:1" x14ac:dyDescent="0.2">
      <c r="A523" t="s">
        <v>2841</v>
      </c>
    </row>
    <row r="524" spans="1:1" x14ac:dyDescent="0.2">
      <c r="A524" t="s">
        <v>2842</v>
      </c>
    </row>
    <row r="525" spans="1:1" x14ac:dyDescent="0.2">
      <c r="A525" t="s">
        <v>2843</v>
      </c>
    </row>
    <row r="526" spans="1:1" x14ac:dyDescent="0.2">
      <c r="A526" t="s">
        <v>2844</v>
      </c>
    </row>
    <row r="527" spans="1:1" x14ac:dyDescent="0.2">
      <c r="A527" t="s">
        <v>2845</v>
      </c>
    </row>
    <row r="528" spans="1:1" x14ac:dyDescent="0.2">
      <c r="A528" t="s">
        <v>2846</v>
      </c>
    </row>
    <row r="529" spans="1:1" x14ac:dyDescent="0.2">
      <c r="A529" t="s">
        <v>2847</v>
      </c>
    </row>
    <row r="530" spans="1:1" x14ac:dyDescent="0.2">
      <c r="A530" t="s">
        <v>2848</v>
      </c>
    </row>
    <row r="531" spans="1:1" x14ac:dyDescent="0.2">
      <c r="A531" t="s">
        <v>2849</v>
      </c>
    </row>
    <row r="532" spans="1:1" x14ac:dyDescent="0.2">
      <c r="A532" t="s">
        <v>2850</v>
      </c>
    </row>
    <row r="533" spans="1:1" x14ac:dyDescent="0.2">
      <c r="A533" t="s">
        <v>2851</v>
      </c>
    </row>
    <row r="534" spans="1:1" x14ac:dyDescent="0.2">
      <c r="A534" t="s">
        <v>2852</v>
      </c>
    </row>
    <row r="535" spans="1:1" x14ac:dyDescent="0.2">
      <c r="A535" t="s">
        <v>2853</v>
      </c>
    </row>
    <row r="536" spans="1:1" x14ac:dyDescent="0.2">
      <c r="A536" t="s">
        <v>2854</v>
      </c>
    </row>
    <row r="537" spans="1:1" x14ac:dyDescent="0.2">
      <c r="A537" t="s">
        <v>2855</v>
      </c>
    </row>
    <row r="538" spans="1:1" x14ac:dyDescent="0.2">
      <c r="A538" t="s">
        <v>2856</v>
      </c>
    </row>
    <row r="539" spans="1:1" x14ac:dyDescent="0.2">
      <c r="A539" t="s">
        <v>2857</v>
      </c>
    </row>
    <row r="540" spans="1:1" x14ac:dyDescent="0.2">
      <c r="A540" t="s">
        <v>2858</v>
      </c>
    </row>
    <row r="541" spans="1:1" x14ac:dyDescent="0.2">
      <c r="A541" t="s">
        <v>2859</v>
      </c>
    </row>
    <row r="542" spans="1:1" x14ac:dyDescent="0.2">
      <c r="A542" t="s">
        <v>2860</v>
      </c>
    </row>
    <row r="543" spans="1:1" x14ac:dyDescent="0.2">
      <c r="A543" t="s">
        <v>2861</v>
      </c>
    </row>
    <row r="544" spans="1:1" x14ac:dyDescent="0.2">
      <c r="A544" t="s">
        <v>2862</v>
      </c>
    </row>
    <row r="545" spans="1:1" x14ac:dyDescent="0.2">
      <c r="A545" t="s">
        <v>2863</v>
      </c>
    </row>
    <row r="546" spans="1:1" x14ac:dyDescent="0.2">
      <c r="A546" t="s">
        <v>2864</v>
      </c>
    </row>
    <row r="547" spans="1:1" x14ac:dyDescent="0.2">
      <c r="A547" t="s">
        <v>2865</v>
      </c>
    </row>
    <row r="548" spans="1:1" x14ac:dyDescent="0.2">
      <c r="A548" t="s">
        <v>2866</v>
      </c>
    </row>
    <row r="549" spans="1:1" x14ac:dyDescent="0.2">
      <c r="A549" t="s">
        <v>2867</v>
      </c>
    </row>
    <row r="550" spans="1:1" x14ac:dyDescent="0.2">
      <c r="A550" t="s">
        <v>2868</v>
      </c>
    </row>
    <row r="551" spans="1:1" x14ac:dyDescent="0.2">
      <c r="A551" t="s">
        <v>2869</v>
      </c>
    </row>
    <row r="552" spans="1:1" x14ac:dyDescent="0.2">
      <c r="A552" t="s">
        <v>2870</v>
      </c>
    </row>
    <row r="553" spans="1:1" x14ac:dyDescent="0.2">
      <c r="A553" t="s">
        <v>2871</v>
      </c>
    </row>
    <row r="554" spans="1:1" x14ac:dyDescent="0.2">
      <c r="A554" t="s">
        <v>2872</v>
      </c>
    </row>
    <row r="555" spans="1:1" x14ac:dyDescent="0.2">
      <c r="A555" t="s">
        <v>2873</v>
      </c>
    </row>
    <row r="556" spans="1:1" x14ac:dyDescent="0.2">
      <c r="A556" t="s">
        <v>2874</v>
      </c>
    </row>
    <row r="557" spans="1:1" x14ac:dyDescent="0.2">
      <c r="A557" t="s">
        <v>2875</v>
      </c>
    </row>
    <row r="558" spans="1:1" x14ac:dyDescent="0.2">
      <c r="A558" t="s">
        <v>2876</v>
      </c>
    </row>
    <row r="559" spans="1:1" x14ac:dyDescent="0.2">
      <c r="A559" t="s">
        <v>2877</v>
      </c>
    </row>
    <row r="560" spans="1:1" x14ac:dyDescent="0.2">
      <c r="A560" t="s">
        <v>2878</v>
      </c>
    </row>
    <row r="561" spans="1:1" x14ac:dyDescent="0.2">
      <c r="A561" t="s">
        <v>2879</v>
      </c>
    </row>
    <row r="562" spans="1:1" x14ac:dyDescent="0.2">
      <c r="A562" t="s">
        <v>2880</v>
      </c>
    </row>
    <row r="563" spans="1:1" x14ac:dyDescent="0.2">
      <c r="A563" t="s">
        <v>2881</v>
      </c>
    </row>
    <row r="564" spans="1:1" x14ac:dyDescent="0.2">
      <c r="A564" t="s">
        <v>2882</v>
      </c>
    </row>
    <row r="565" spans="1:1" x14ac:dyDescent="0.2">
      <c r="A565" t="s">
        <v>2883</v>
      </c>
    </row>
    <row r="566" spans="1:1" x14ac:dyDescent="0.2">
      <c r="A566" t="s">
        <v>2884</v>
      </c>
    </row>
    <row r="567" spans="1:1" x14ac:dyDescent="0.2">
      <c r="A567" t="s">
        <v>2885</v>
      </c>
    </row>
    <row r="568" spans="1:1" x14ac:dyDescent="0.2">
      <c r="A568" t="s">
        <v>2886</v>
      </c>
    </row>
    <row r="569" spans="1:1" x14ac:dyDescent="0.2">
      <c r="A569" t="s">
        <v>2887</v>
      </c>
    </row>
    <row r="570" spans="1:1" x14ac:dyDescent="0.2">
      <c r="A570" t="s">
        <v>2888</v>
      </c>
    </row>
    <row r="571" spans="1:1" x14ac:dyDescent="0.2">
      <c r="A571" t="s">
        <v>2889</v>
      </c>
    </row>
    <row r="572" spans="1:1" x14ac:dyDescent="0.2">
      <c r="A572" t="s">
        <v>2890</v>
      </c>
    </row>
    <row r="573" spans="1:1" x14ac:dyDescent="0.2">
      <c r="A573" t="s">
        <v>2891</v>
      </c>
    </row>
    <row r="574" spans="1:1" x14ac:dyDescent="0.2">
      <c r="A574" t="s">
        <v>2892</v>
      </c>
    </row>
    <row r="575" spans="1:1" x14ac:dyDescent="0.2">
      <c r="A575" t="s">
        <v>2893</v>
      </c>
    </row>
    <row r="576" spans="1:1" x14ac:dyDescent="0.2">
      <c r="A576" t="s">
        <v>2894</v>
      </c>
    </row>
    <row r="577" spans="1:1" x14ac:dyDescent="0.2">
      <c r="A577" t="s">
        <v>2895</v>
      </c>
    </row>
    <row r="578" spans="1:1" x14ac:dyDescent="0.2">
      <c r="A578" t="s">
        <v>2896</v>
      </c>
    </row>
    <row r="579" spans="1:1" x14ac:dyDescent="0.2">
      <c r="A579" t="s">
        <v>2897</v>
      </c>
    </row>
    <row r="580" spans="1:1" x14ac:dyDescent="0.2">
      <c r="A580" t="s">
        <v>2898</v>
      </c>
    </row>
    <row r="581" spans="1:1" x14ac:dyDescent="0.2">
      <c r="A581" t="s">
        <v>2899</v>
      </c>
    </row>
    <row r="582" spans="1:1" x14ac:dyDescent="0.2">
      <c r="A582" t="s">
        <v>2900</v>
      </c>
    </row>
    <row r="583" spans="1:1" x14ac:dyDescent="0.2">
      <c r="A583" t="s">
        <v>2901</v>
      </c>
    </row>
    <row r="584" spans="1:1" x14ac:dyDescent="0.2">
      <c r="A584" t="s">
        <v>2902</v>
      </c>
    </row>
    <row r="585" spans="1:1" x14ac:dyDescent="0.2">
      <c r="A585" t="s">
        <v>2903</v>
      </c>
    </row>
    <row r="586" spans="1:1" x14ac:dyDescent="0.2">
      <c r="A586" t="s">
        <v>2904</v>
      </c>
    </row>
    <row r="587" spans="1:1" x14ac:dyDescent="0.2">
      <c r="A587" t="s">
        <v>2905</v>
      </c>
    </row>
    <row r="588" spans="1:1" x14ac:dyDescent="0.2">
      <c r="A588" t="s">
        <v>2906</v>
      </c>
    </row>
    <row r="589" spans="1:1" x14ac:dyDescent="0.2">
      <c r="A589" t="s">
        <v>2907</v>
      </c>
    </row>
    <row r="590" spans="1:1" x14ac:dyDescent="0.2">
      <c r="A590" t="s">
        <v>2908</v>
      </c>
    </row>
    <row r="591" spans="1:1" x14ac:dyDescent="0.2">
      <c r="A591" t="s">
        <v>2909</v>
      </c>
    </row>
    <row r="592" spans="1:1" x14ac:dyDescent="0.2">
      <c r="A592" t="s">
        <v>2910</v>
      </c>
    </row>
    <row r="593" spans="1:1" x14ac:dyDescent="0.2">
      <c r="A593" t="s">
        <v>2911</v>
      </c>
    </row>
    <row r="594" spans="1:1" x14ac:dyDescent="0.2">
      <c r="A594" t="s">
        <v>2912</v>
      </c>
    </row>
    <row r="595" spans="1:1" x14ac:dyDescent="0.2">
      <c r="A595" t="s">
        <v>2913</v>
      </c>
    </row>
    <row r="596" spans="1:1" x14ac:dyDescent="0.2">
      <c r="A596" t="s">
        <v>2914</v>
      </c>
    </row>
    <row r="597" spans="1:1" x14ac:dyDescent="0.2">
      <c r="A597" t="s">
        <v>2915</v>
      </c>
    </row>
    <row r="598" spans="1:1" x14ac:dyDescent="0.2">
      <c r="A598" t="s">
        <v>2916</v>
      </c>
    </row>
    <row r="599" spans="1:1" x14ac:dyDescent="0.2">
      <c r="A599" t="s">
        <v>2917</v>
      </c>
    </row>
    <row r="600" spans="1:1" x14ac:dyDescent="0.2">
      <c r="A600" t="s">
        <v>2918</v>
      </c>
    </row>
    <row r="601" spans="1:1" x14ac:dyDescent="0.2">
      <c r="A601" t="s">
        <v>2919</v>
      </c>
    </row>
    <row r="602" spans="1:1" x14ac:dyDescent="0.2">
      <c r="A602" t="s">
        <v>2920</v>
      </c>
    </row>
    <row r="603" spans="1:1" x14ac:dyDescent="0.2">
      <c r="A603" t="s">
        <v>2921</v>
      </c>
    </row>
    <row r="604" spans="1:1" x14ac:dyDescent="0.2">
      <c r="A604" t="s">
        <v>2922</v>
      </c>
    </row>
    <row r="605" spans="1:1" x14ac:dyDescent="0.2">
      <c r="A605" t="s">
        <v>2923</v>
      </c>
    </row>
    <row r="606" spans="1:1" x14ac:dyDescent="0.2">
      <c r="A606" t="s">
        <v>2924</v>
      </c>
    </row>
    <row r="607" spans="1:1" x14ac:dyDescent="0.2">
      <c r="A607" t="s">
        <v>2925</v>
      </c>
    </row>
    <row r="608" spans="1:1" x14ac:dyDescent="0.2">
      <c r="A608" t="s">
        <v>2926</v>
      </c>
    </row>
    <row r="609" spans="1:1" x14ac:dyDescent="0.2">
      <c r="A609" t="s">
        <v>2927</v>
      </c>
    </row>
    <row r="610" spans="1:1" x14ac:dyDescent="0.2">
      <c r="A610" t="s">
        <v>2928</v>
      </c>
    </row>
    <row r="611" spans="1:1" x14ac:dyDescent="0.2">
      <c r="A611" t="s">
        <v>2929</v>
      </c>
    </row>
    <row r="612" spans="1:1" x14ac:dyDescent="0.2">
      <c r="A612" t="s">
        <v>2930</v>
      </c>
    </row>
    <row r="613" spans="1:1" x14ac:dyDescent="0.2">
      <c r="A613" t="s">
        <v>2931</v>
      </c>
    </row>
    <row r="614" spans="1:1" x14ac:dyDescent="0.2">
      <c r="A614" t="s">
        <v>2932</v>
      </c>
    </row>
    <row r="615" spans="1:1" x14ac:dyDescent="0.2">
      <c r="A615" t="s">
        <v>2933</v>
      </c>
    </row>
    <row r="616" spans="1:1" x14ac:dyDescent="0.2">
      <c r="A616" t="s">
        <v>2934</v>
      </c>
    </row>
    <row r="617" spans="1:1" x14ac:dyDescent="0.2">
      <c r="A617" t="s">
        <v>2935</v>
      </c>
    </row>
    <row r="618" spans="1:1" x14ac:dyDescent="0.2">
      <c r="A618" t="s">
        <v>2936</v>
      </c>
    </row>
    <row r="619" spans="1:1" x14ac:dyDescent="0.2">
      <c r="A619" t="s">
        <v>2937</v>
      </c>
    </row>
    <row r="620" spans="1:1" x14ac:dyDescent="0.2">
      <c r="A620" t="s">
        <v>2938</v>
      </c>
    </row>
    <row r="621" spans="1:1" x14ac:dyDescent="0.2">
      <c r="A621" t="s">
        <v>2939</v>
      </c>
    </row>
    <row r="622" spans="1:1" x14ac:dyDescent="0.2">
      <c r="A622" t="s">
        <v>2940</v>
      </c>
    </row>
    <row r="623" spans="1:1" x14ac:dyDescent="0.2">
      <c r="A623" t="s">
        <v>2941</v>
      </c>
    </row>
    <row r="624" spans="1:1" x14ac:dyDescent="0.2">
      <c r="A624" t="s">
        <v>2942</v>
      </c>
    </row>
    <row r="625" spans="1:1" x14ac:dyDescent="0.2">
      <c r="A625" t="s">
        <v>2943</v>
      </c>
    </row>
    <row r="626" spans="1:1" x14ac:dyDescent="0.2">
      <c r="A626" t="s">
        <v>2944</v>
      </c>
    </row>
    <row r="627" spans="1:1" x14ac:dyDescent="0.2">
      <c r="A627" t="s">
        <v>2945</v>
      </c>
    </row>
    <row r="628" spans="1:1" x14ac:dyDescent="0.2">
      <c r="A628" t="s">
        <v>2946</v>
      </c>
    </row>
    <row r="629" spans="1:1" x14ac:dyDescent="0.2">
      <c r="A629" t="s">
        <v>2947</v>
      </c>
    </row>
    <row r="630" spans="1:1" x14ac:dyDescent="0.2">
      <c r="A630" t="s">
        <v>2948</v>
      </c>
    </row>
    <row r="631" spans="1:1" x14ac:dyDescent="0.2">
      <c r="A631" t="s">
        <v>2949</v>
      </c>
    </row>
    <row r="632" spans="1:1" x14ac:dyDescent="0.2">
      <c r="A632" t="s">
        <v>2950</v>
      </c>
    </row>
    <row r="633" spans="1:1" x14ac:dyDescent="0.2">
      <c r="A633" t="s">
        <v>2951</v>
      </c>
    </row>
    <row r="634" spans="1:1" x14ac:dyDescent="0.2">
      <c r="A634" t="s">
        <v>2952</v>
      </c>
    </row>
    <row r="635" spans="1:1" x14ac:dyDescent="0.2">
      <c r="A635" t="s">
        <v>2953</v>
      </c>
    </row>
    <row r="636" spans="1:1" x14ac:dyDescent="0.2">
      <c r="A636" t="s">
        <v>2954</v>
      </c>
    </row>
    <row r="637" spans="1:1" x14ac:dyDescent="0.2">
      <c r="A637" t="s">
        <v>2955</v>
      </c>
    </row>
    <row r="638" spans="1:1" x14ac:dyDescent="0.2">
      <c r="A638" t="s">
        <v>2956</v>
      </c>
    </row>
    <row r="639" spans="1:1" x14ac:dyDescent="0.2">
      <c r="A639" t="s">
        <v>2957</v>
      </c>
    </row>
    <row r="640" spans="1:1" x14ac:dyDescent="0.2">
      <c r="A640" t="s">
        <v>2958</v>
      </c>
    </row>
    <row r="641" spans="1:1" x14ac:dyDescent="0.2">
      <c r="A641" t="s">
        <v>2959</v>
      </c>
    </row>
    <row r="642" spans="1:1" x14ac:dyDescent="0.2">
      <c r="A642" t="s">
        <v>2960</v>
      </c>
    </row>
    <row r="643" spans="1:1" x14ac:dyDescent="0.2">
      <c r="A643" t="s">
        <v>2961</v>
      </c>
    </row>
    <row r="644" spans="1:1" x14ac:dyDescent="0.2">
      <c r="A644" t="s">
        <v>2962</v>
      </c>
    </row>
    <row r="645" spans="1:1" x14ac:dyDescent="0.2">
      <c r="A645" t="s">
        <v>2963</v>
      </c>
    </row>
    <row r="646" spans="1:1" x14ac:dyDescent="0.2">
      <c r="A646" t="s">
        <v>2964</v>
      </c>
    </row>
    <row r="647" spans="1:1" x14ac:dyDescent="0.2">
      <c r="A647" t="s">
        <v>2965</v>
      </c>
    </row>
    <row r="648" spans="1:1" x14ac:dyDescent="0.2">
      <c r="A648" t="s">
        <v>2966</v>
      </c>
    </row>
    <row r="649" spans="1:1" x14ac:dyDescent="0.2">
      <c r="A649" t="s">
        <v>2967</v>
      </c>
    </row>
    <row r="650" spans="1:1" x14ac:dyDescent="0.2">
      <c r="A650" t="s">
        <v>2968</v>
      </c>
    </row>
    <row r="651" spans="1:1" x14ac:dyDescent="0.2">
      <c r="A651" t="s">
        <v>2969</v>
      </c>
    </row>
    <row r="652" spans="1:1" x14ac:dyDescent="0.2">
      <c r="A652" t="s">
        <v>2970</v>
      </c>
    </row>
    <row r="653" spans="1:1" x14ac:dyDescent="0.2">
      <c r="A653" t="s">
        <v>1686</v>
      </c>
    </row>
    <row r="654" spans="1:1" x14ac:dyDescent="0.2">
      <c r="A654" t="s">
        <v>2722</v>
      </c>
    </row>
    <row r="655" spans="1:1" x14ac:dyDescent="0.2">
      <c r="A655" t="s">
        <v>2971</v>
      </c>
    </row>
    <row r="656" spans="1:1" x14ac:dyDescent="0.2">
      <c r="A656" t="s">
        <v>2724</v>
      </c>
    </row>
    <row r="657" spans="1:1" x14ac:dyDescent="0.2">
      <c r="A657" t="s">
        <v>2725</v>
      </c>
    </row>
    <row r="658" spans="1:1" x14ac:dyDescent="0.2">
      <c r="A658" t="s">
        <v>2726</v>
      </c>
    </row>
    <row r="659" spans="1:1" x14ac:dyDescent="0.2">
      <c r="A659" t="s">
        <v>1684</v>
      </c>
    </row>
    <row r="660" spans="1:1" x14ac:dyDescent="0.2">
      <c r="A660" t="s">
        <v>2972</v>
      </c>
    </row>
    <row r="661" spans="1:1" x14ac:dyDescent="0.2">
      <c r="A661" t="s">
        <v>2728</v>
      </c>
    </row>
    <row r="662" spans="1:1" x14ac:dyDescent="0.2">
      <c r="A662" t="s">
        <v>2729</v>
      </c>
    </row>
    <row r="663" spans="1:1" x14ac:dyDescent="0.2">
      <c r="A663" t="s">
        <v>2730</v>
      </c>
    </row>
    <row r="664" spans="1:1" x14ac:dyDescent="0.2">
      <c r="A664" t="s">
        <v>2731</v>
      </c>
    </row>
    <row r="665" spans="1:1" x14ac:dyDescent="0.2">
      <c r="A665" t="s">
        <v>2732</v>
      </c>
    </row>
    <row r="666" spans="1:1" x14ac:dyDescent="0.2">
      <c r="A666" t="s">
        <v>2733</v>
      </c>
    </row>
    <row r="667" spans="1:1" x14ac:dyDescent="0.2">
      <c r="A667" t="s">
        <v>2734</v>
      </c>
    </row>
    <row r="668" spans="1:1" x14ac:dyDescent="0.2">
      <c r="A668" t="s">
        <v>2735</v>
      </c>
    </row>
    <row r="669" spans="1:1" x14ac:dyDescent="0.2">
      <c r="A669" t="s">
        <v>2736</v>
      </c>
    </row>
    <row r="670" spans="1:1" x14ac:dyDescent="0.2">
      <c r="A670" t="s">
        <v>2737</v>
      </c>
    </row>
    <row r="671" spans="1:1" x14ac:dyDescent="0.2">
      <c r="A671" t="s">
        <v>2738</v>
      </c>
    </row>
    <row r="672" spans="1:1" x14ac:dyDescent="0.2">
      <c r="A672" t="s">
        <v>2739</v>
      </c>
    </row>
    <row r="673" spans="1:1" x14ac:dyDescent="0.2">
      <c r="A673" t="s">
        <v>2740</v>
      </c>
    </row>
    <row r="674" spans="1:1" x14ac:dyDescent="0.2">
      <c r="A674" t="s">
        <v>2741</v>
      </c>
    </row>
    <row r="675" spans="1:1" x14ac:dyDescent="0.2">
      <c r="A675" t="s">
        <v>2742</v>
      </c>
    </row>
    <row r="676" spans="1:1" x14ac:dyDescent="0.2">
      <c r="A676" t="s">
        <v>2743</v>
      </c>
    </row>
    <row r="677" spans="1:1" x14ac:dyDescent="0.2">
      <c r="A677" t="s">
        <v>2744</v>
      </c>
    </row>
    <row r="678" spans="1:1" x14ac:dyDescent="0.2">
      <c r="A678" t="s">
        <v>2745</v>
      </c>
    </row>
    <row r="679" spans="1:1" x14ac:dyDescent="0.2">
      <c r="A679" t="s">
        <v>2746</v>
      </c>
    </row>
    <row r="680" spans="1:1" x14ac:dyDescent="0.2">
      <c r="A680" t="s">
        <v>2747</v>
      </c>
    </row>
    <row r="681" spans="1:1" x14ac:dyDescent="0.2">
      <c r="A681" t="s">
        <v>2748</v>
      </c>
    </row>
    <row r="682" spans="1:1" x14ac:dyDescent="0.2">
      <c r="A682" t="s">
        <v>2749</v>
      </c>
    </row>
    <row r="683" spans="1:1" x14ac:dyDescent="0.2">
      <c r="A683" t="s">
        <v>2750</v>
      </c>
    </row>
    <row r="684" spans="1:1" x14ac:dyDescent="0.2">
      <c r="A684" t="s">
        <v>2751</v>
      </c>
    </row>
    <row r="685" spans="1:1" x14ac:dyDescent="0.2">
      <c r="A685" t="s">
        <v>2752</v>
      </c>
    </row>
    <row r="686" spans="1:1" x14ac:dyDescent="0.2">
      <c r="A686" t="s">
        <v>2753</v>
      </c>
    </row>
    <row r="687" spans="1:1" x14ac:dyDescent="0.2">
      <c r="A687" t="s">
        <v>2754</v>
      </c>
    </row>
    <row r="688" spans="1:1" x14ac:dyDescent="0.2">
      <c r="A688" t="s">
        <v>2755</v>
      </c>
    </row>
    <row r="689" spans="1:1" x14ac:dyDescent="0.2">
      <c r="A689" t="s">
        <v>2756</v>
      </c>
    </row>
    <row r="690" spans="1:1" x14ac:dyDescent="0.2">
      <c r="A690" t="s">
        <v>2757</v>
      </c>
    </row>
    <row r="691" spans="1:1" x14ac:dyDescent="0.2">
      <c r="A691" t="s">
        <v>2758</v>
      </c>
    </row>
    <row r="692" spans="1:1" x14ac:dyDescent="0.2">
      <c r="A692" t="s">
        <v>2759</v>
      </c>
    </row>
    <row r="693" spans="1:1" x14ac:dyDescent="0.2">
      <c r="A693" t="s">
        <v>2760</v>
      </c>
    </row>
    <row r="694" spans="1:1" x14ac:dyDescent="0.2">
      <c r="A694" t="s">
        <v>2761</v>
      </c>
    </row>
    <row r="695" spans="1:1" x14ac:dyDescent="0.2">
      <c r="A695" t="s">
        <v>2762</v>
      </c>
    </row>
    <row r="696" spans="1:1" x14ac:dyDescent="0.2">
      <c r="A696" t="s">
        <v>2763</v>
      </c>
    </row>
    <row r="697" spans="1:1" x14ac:dyDescent="0.2">
      <c r="A697" t="s">
        <v>2764</v>
      </c>
    </row>
    <row r="698" spans="1:1" x14ac:dyDescent="0.2">
      <c r="A698" t="s">
        <v>2765</v>
      </c>
    </row>
    <row r="699" spans="1:1" x14ac:dyDescent="0.2">
      <c r="A699" t="s">
        <v>2766</v>
      </c>
    </row>
    <row r="700" spans="1:1" x14ac:dyDescent="0.2">
      <c r="A700" t="s">
        <v>2767</v>
      </c>
    </row>
    <row r="701" spans="1:1" x14ac:dyDescent="0.2">
      <c r="A701" t="s">
        <v>2768</v>
      </c>
    </row>
    <row r="702" spans="1:1" x14ac:dyDescent="0.2">
      <c r="A702" t="s">
        <v>2769</v>
      </c>
    </row>
    <row r="703" spans="1:1" x14ac:dyDescent="0.2">
      <c r="A703" t="s">
        <v>2770</v>
      </c>
    </row>
    <row r="704" spans="1:1" x14ac:dyDescent="0.2">
      <c r="A704" t="s">
        <v>2771</v>
      </c>
    </row>
    <row r="705" spans="1:1" x14ac:dyDescent="0.2">
      <c r="A705" t="s">
        <v>2772</v>
      </c>
    </row>
    <row r="706" spans="1:1" x14ac:dyDescent="0.2">
      <c r="A706" t="s">
        <v>2773</v>
      </c>
    </row>
    <row r="707" spans="1:1" x14ac:dyDescent="0.2">
      <c r="A707" t="s">
        <v>2774</v>
      </c>
    </row>
    <row r="708" spans="1:1" x14ac:dyDescent="0.2">
      <c r="A708" t="s">
        <v>2775</v>
      </c>
    </row>
    <row r="709" spans="1:1" x14ac:dyDescent="0.2">
      <c r="A709" t="s">
        <v>2776</v>
      </c>
    </row>
    <row r="710" spans="1:1" x14ac:dyDescent="0.2">
      <c r="A710" t="s">
        <v>2777</v>
      </c>
    </row>
    <row r="711" spans="1:1" x14ac:dyDescent="0.2">
      <c r="A711" t="s">
        <v>2778</v>
      </c>
    </row>
    <row r="712" spans="1:1" x14ac:dyDescent="0.2">
      <c r="A712" t="s">
        <v>2779</v>
      </c>
    </row>
    <row r="713" spans="1:1" x14ac:dyDescent="0.2">
      <c r="A713" t="s">
        <v>2780</v>
      </c>
    </row>
    <row r="714" spans="1:1" x14ac:dyDescent="0.2">
      <c r="A714" t="s">
        <v>2781</v>
      </c>
    </row>
    <row r="715" spans="1:1" x14ac:dyDescent="0.2">
      <c r="A715" t="s">
        <v>2782</v>
      </c>
    </row>
    <row r="716" spans="1:1" x14ac:dyDescent="0.2">
      <c r="A716" t="s">
        <v>2783</v>
      </c>
    </row>
    <row r="717" spans="1:1" x14ac:dyDescent="0.2">
      <c r="A717" t="s">
        <v>2784</v>
      </c>
    </row>
    <row r="718" spans="1:1" x14ac:dyDescent="0.2">
      <c r="A718" t="s">
        <v>2785</v>
      </c>
    </row>
    <row r="719" spans="1:1" x14ac:dyDescent="0.2">
      <c r="A719" t="s">
        <v>2786</v>
      </c>
    </row>
    <row r="720" spans="1:1" x14ac:dyDescent="0.2">
      <c r="A720" t="s">
        <v>2787</v>
      </c>
    </row>
    <row r="721" spans="1:1" x14ac:dyDescent="0.2">
      <c r="A721" t="s">
        <v>2788</v>
      </c>
    </row>
    <row r="722" spans="1:1" x14ac:dyDescent="0.2">
      <c r="A722" t="s">
        <v>2789</v>
      </c>
    </row>
    <row r="723" spans="1:1" x14ac:dyDescent="0.2">
      <c r="A723" t="s">
        <v>2790</v>
      </c>
    </row>
    <row r="724" spans="1:1" x14ac:dyDescent="0.2">
      <c r="A724" t="s">
        <v>2791</v>
      </c>
    </row>
    <row r="725" spans="1:1" x14ac:dyDescent="0.2">
      <c r="A725" t="s">
        <v>2792</v>
      </c>
    </row>
    <row r="726" spans="1:1" x14ac:dyDescent="0.2">
      <c r="A726" t="s">
        <v>2793</v>
      </c>
    </row>
    <row r="727" spans="1:1" x14ac:dyDescent="0.2">
      <c r="A727" t="s">
        <v>2794</v>
      </c>
    </row>
    <row r="728" spans="1:1" x14ac:dyDescent="0.2">
      <c r="A728" t="s">
        <v>2795</v>
      </c>
    </row>
    <row r="729" spans="1:1" x14ac:dyDescent="0.2">
      <c r="A729" t="s">
        <v>2796</v>
      </c>
    </row>
    <row r="730" spans="1:1" x14ac:dyDescent="0.2">
      <c r="A730" t="s">
        <v>2797</v>
      </c>
    </row>
    <row r="731" spans="1:1" x14ac:dyDescent="0.2">
      <c r="A731" t="s">
        <v>2973</v>
      </c>
    </row>
    <row r="732" spans="1:1" x14ac:dyDescent="0.2">
      <c r="A732" t="s">
        <v>1688</v>
      </c>
    </row>
    <row r="733" spans="1:1" x14ac:dyDescent="0.2">
      <c r="A733" t="s">
        <v>2800</v>
      </c>
    </row>
    <row r="734" spans="1:1" x14ac:dyDescent="0.2">
      <c r="A734" t="s">
        <v>2974</v>
      </c>
    </row>
    <row r="735" spans="1:1" x14ac:dyDescent="0.2">
      <c r="A735" t="s">
        <v>2975</v>
      </c>
    </row>
    <row r="736" spans="1:1" x14ac:dyDescent="0.2">
      <c r="A736" t="s">
        <v>2976</v>
      </c>
    </row>
    <row r="737" spans="1:1" x14ac:dyDescent="0.2">
      <c r="A737" t="s">
        <v>2977</v>
      </c>
    </row>
    <row r="738" spans="1:1" x14ac:dyDescent="0.2">
      <c r="A738" t="s">
        <v>1689</v>
      </c>
    </row>
    <row r="739" spans="1:1" x14ac:dyDescent="0.2">
      <c r="A739" t="s">
        <v>2805</v>
      </c>
    </row>
    <row r="740" spans="1:1" x14ac:dyDescent="0.2">
      <c r="A740" t="s">
        <v>2806</v>
      </c>
    </row>
    <row r="741" spans="1:1" x14ac:dyDescent="0.2">
      <c r="A741" t="s">
        <v>2807</v>
      </c>
    </row>
    <row r="742" spans="1:1" x14ac:dyDescent="0.2">
      <c r="A742" t="s">
        <v>2808</v>
      </c>
    </row>
    <row r="743" spans="1:1" x14ac:dyDescent="0.2">
      <c r="A743" t="s">
        <v>2809</v>
      </c>
    </row>
    <row r="744" spans="1:1" x14ac:dyDescent="0.2">
      <c r="A744" t="s">
        <v>2810</v>
      </c>
    </row>
    <row r="745" spans="1:1" x14ac:dyDescent="0.2">
      <c r="A745" t="s">
        <v>2811</v>
      </c>
    </row>
    <row r="746" spans="1:1" x14ac:dyDescent="0.2">
      <c r="A746" t="s">
        <v>2812</v>
      </c>
    </row>
    <row r="747" spans="1:1" x14ac:dyDescent="0.2">
      <c r="A747" t="s">
        <v>2813</v>
      </c>
    </row>
    <row r="748" spans="1:1" x14ac:dyDescent="0.2">
      <c r="A748" t="s">
        <v>2814</v>
      </c>
    </row>
    <row r="749" spans="1:1" x14ac:dyDescent="0.2">
      <c r="A749" t="s">
        <v>2815</v>
      </c>
    </row>
    <row r="750" spans="1:1" x14ac:dyDescent="0.2">
      <c r="A750" t="s">
        <v>2816</v>
      </c>
    </row>
    <row r="751" spans="1:1" x14ac:dyDescent="0.2">
      <c r="A751" t="s">
        <v>2817</v>
      </c>
    </row>
    <row r="752" spans="1:1" x14ac:dyDescent="0.2">
      <c r="A752" t="s">
        <v>2818</v>
      </c>
    </row>
    <row r="753" spans="1:1" x14ac:dyDescent="0.2">
      <c r="A753" t="s">
        <v>2819</v>
      </c>
    </row>
    <row r="754" spans="1:1" x14ac:dyDescent="0.2">
      <c r="A754" t="s">
        <v>2820</v>
      </c>
    </row>
    <row r="755" spans="1:1" x14ac:dyDescent="0.2">
      <c r="A755" t="s">
        <v>2821</v>
      </c>
    </row>
    <row r="756" spans="1:1" x14ac:dyDescent="0.2">
      <c r="A756" t="s">
        <v>2822</v>
      </c>
    </row>
    <row r="757" spans="1:1" x14ac:dyDescent="0.2">
      <c r="A757" t="s">
        <v>2823</v>
      </c>
    </row>
    <row r="758" spans="1:1" x14ac:dyDescent="0.2">
      <c r="A758" t="s">
        <v>2824</v>
      </c>
    </row>
    <row r="759" spans="1:1" x14ac:dyDescent="0.2">
      <c r="A759" t="s">
        <v>2825</v>
      </c>
    </row>
    <row r="760" spans="1:1" x14ac:dyDescent="0.2">
      <c r="A760" t="s">
        <v>2826</v>
      </c>
    </row>
    <row r="761" spans="1:1" x14ac:dyDescent="0.2">
      <c r="A761" t="s">
        <v>2827</v>
      </c>
    </row>
    <row r="762" spans="1:1" x14ac:dyDescent="0.2">
      <c r="A762" t="s">
        <v>2828</v>
      </c>
    </row>
    <row r="763" spans="1:1" x14ac:dyDescent="0.2">
      <c r="A763" t="s">
        <v>2829</v>
      </c>
    </row>
    <row r="764" spans="1:1" x14ac:dyDescent="0.2">
      <c r="A764" t="s">
        <v>2830</v>
      </c>
    </row>
    <row r="765" spans="1:1" x14ac:dyDescent="0.2">
      <c r="A765" t="s">
        <v>2831</v>
      </c>
    </row>
    <row r="766" spans="1:1" x14ac:dyDescent="0.2">
      <c r="A766" t="s">
        <v>2832</v>
      </c>
    </row>
    <row r="767" spans="1:1" x14ac:dyDescent="0.2">
      <c r="A767" t="s">
        <v>2833</v>
      </c>
    </row>
    <row r="768" spans="1:1" x14ac:dyDescent="0.2">
      <c r="A768" t="s">
        <v>2834</v>
      </c>
    </row>
    <row r="769" spans="1:1" x14ac:dyDescent="0.2">
      <c r="A769" t="s">
        <v>2835</v>
      </c>
    </row>
    <row r="770" spans="1:1" x14ac:dyDescent="0.2">
      <c r="A770" t="s">
        <v>2836</v>
      </c>
    </row>
    <row r="771" spans="1:1" x14ac:dyDescent="0.2">
      <c r="A771" t="s">
        <v>2837</v>
      </c>
    </row>
    <row r="772" spans="1:1" x14ac:dyDescent="0.2">
      <c r="A772" t="s">
        <v>2838</v>
      </c>
    </row>
    <row r="773" spans="1:1" x14ac:dyDescent="0.2">
      <c r="A773" t="s">
        <v>2839</v>
      </c>
    </row>
    <row r="774" spans="1:1" x14ac:dyDescent="0.2">
      <c r="A774" t="s">
        <v>2840</v>
      </c>
    </row>
    <row r="775" spans="1:1" x14ac:dyDescent="0.2">
      <c r="A775" t="s">
        <v>2841</v>
      </c>
    </row>
    <row r="776" spans="1:1" x14ac:dyDescent="0.2">
      <c r="A776" t="s">
        <v>2842</v>
      </c>
    </row>
    <row r="777" spans="1:1" x14ac:dyDescent="0.2">
      <c r="A777" t="s">
        <v>2843</v>
      </c>
    </row>
    <row r="778" spans="1:1" x14ac:dyDescent="0.2">
      <c r="A778" t="s">
        <v>2844</v>
      </c>
    </row>
    <row r="779" spans="1:1" x14ac:dyDescent="0.2">
      <c r="A779" t="s">
        <v>2845</v>
      </c>
    </row>
    <row r="780" spans="1:1" x14ac:dyDescent="0.2">
      <c r="A780" t="s">
        <v>2846</v>
      </c>
    </row>
    <row r="781" spans="1:1" x14ac:dyDescent="0.2">
      <c r="A781" t="s">
        <v>2847</v>
      </c>
    </row>
    <row r="782" spans="1:1" x14ac:dyDescent="0.2">
      <c r="A782" t="s">
        <v>2848</v>
      </c>
    </row>
    <row r="783" spans="1:1" x14ac:dyDescent="0.2">
      <c r="A783" t="s">
        <v>2849</v>
      </c>
    </row>
    <row r="784" spans="1:1" x14ac:dyDescent="0.2">
      <c r="A784" t="s">
        <v>2850</v>
      </c>
    </row>
    <row r="785" spans="1:1" x14ac:dyDescent="0.2">
      <c r="A785" t="s">
        <v>2851</v>
      </c>
    </row>
    <row r="786" spans="1:1" x14ac:dyDescent="0.2">
      <c r="A786" t="s">
        <v>2852</v>
      </c>
    </row>
    <row r="787" spans="1:1" x14ac:dyDescent="0.2">
      <c r="A787" t="s">
        <v>2853</v>
      </c>
    </row>
    <row r="788" spans="1:1" x14ac:dyDescent="0.2">
      <c r="A788" t="s">
        <v>2854</v>
      </c>
    </row>
    <row r="789" spans="1:1" x14ac:dyDescent="0.2">
      <c r="A789" t="s">
        <v>2855</v>
      </c>
    </row>
    <row r="790" spans="1:1" x14ac:dyDescent="0.2">
      <c r="A790" t="s">
        <v>2856</v>
      </c>
    </row>
    <row r="791" spans="1:1" x14ac:dyDescent="0.2">
      <c r="A791" t="s">
        <v>2857</v>
      </c>
    </row>
    <row r="792" spans="1:1" x14ac:dyDescent="0.2">
      <c r="A792" t="s">
        <v>2858</v>
      </c>
    </row>
    <row r="793" spans="1:1" x14ac:dyDescent="0.2">
      <c r="A793" t="s">
        <v>2859</v>
      </c>
    </row>
    <row r="794" spans="1:1" x14ac:dyDescent="0.2">
      <c r="A794" t="s">
        <v>2860</v>
      </c>
    </row>
    <row r="795" spans="1:1" x14ac:dyDescent="0.2">
      <c r="A795" t="s">
        <v>2861</v>
      </c>
    </row>
    <row r="796" spans="1:1" x14ac:dyDescent="0.2">
      <c r="A796" t="s">
        <v>2862</v>
      </c>
    </row>
    <row r="797" spans="1:1" x14ac:dyDescent="0.2">
      <c r="A797" t="s">
        <v>2863</v>
      </c>
    </row>
    <row r="798" spans="1:1" x14ac:dyDescent="0.2">
      <c r="A798" t="s">
        <v>2864</v>
      </c>
    </row>
    <row r="799" spans="1:1" x14ac:dyDescent="0.2">
      <c r="A799" t="s">
        <v>2865</v>
      </c>
    </row>
    <row r="800" spans="1:1" x14ac:dyDescent="0.2">
      <c r="A800" t="s">
        <v>2866</v>
      </c>
    </row>
    <row r="801" spans="1:1" x14ac:dyDescent="0.2">
      <c r="A801" t="s">
        <v>2867</v>
      </c>
    </row>
    <row r="802" spans="1:1" x14ac:dyDescent="0.2">
      <c r="A802" t="s">
        <v>2868</v>
      </c>
    </row>
    <row r="803" spans="1:1" x14ac:dyDescent="0.2">
      <c r="A803" t="s">
        <v>2869</v>
      </c>
    </row>
    <row r="804" spans="1:1" x14ac:dyDescent="0.2">
      <c r="A804" t="s">
        <v>2870</v>
      </c>
    </row>
    <row r="805" spans="1:1" x14ac:dyDescent="0.2">
      <c r="A805" t="s">
        <v>2871</v>
      </c>
    </row>
    <row r="806" spans="1:1" x14ac:dyDescent="0.2">
      <c r="A806" t="s">
        <v>2872</v>
      </c>
    </row>
    <row r="807" spans="1:1" x14ac:dyDescent="0.2">
      <c r="A807" t="s">
        <v>2873</v>
      </c>
    </row>
    <row r="808" spans="1:1" x14ac:dyDescent="0.2">
      <c r="A808" t="s">
        <v>2874</v>
      </c>
    </row>
    <row r="809" spans="1:1" x14ac:dyDescent="0.2">
      <c r="A809" t="s">
        <v>2875</v>
      </c>
    </row>
    <row r="810" spans="1:1" x14ac:dyDescent="0.2">
      <c r="A810" t="s">
        <v>2876</v>
      </c>
    </row>
    <row r="811" spans="1:1" x14ac:dyDescent="0.2">
      <c r="A811" t="s">
        <v>2877</v>
      </c>
    </row>
    <row r="812" spans="1:1" x14ac:dyDescent="0.2">
      <c r="A812" t="s">
        <v>2878</v>
      </c>
    </row>
    <row r="813" spans="1:1" x14ac:dyDescent="0.2">
      <c r="A813" t="s">
        <v>2879</v>
      </c>
    </row>
    <row r="814" spans="1:1" x14ac:dyDescent="0.2">
      <c r="A814" t="s">
        <v>2880</v>
      </c>
    </row>
    <row r="815" spans="1:1" x14ac:dyDescent="0.2">
      <c r="A815" t="s">
        <v>2881</v>
      </c>
    </row>
    <row r="816" spans="1:1" x14ac:dyDescent="0.2">
      <c r="A816" t="s">
        <v>2882</v>
      </c>
    </row>
    <row r="817" spans="1:1" x14ac:dyDescent="0.2">
      <c r="A817" t="s">
        <v>2883</v>
      </c>
    </row>
    <row r="818" spans="1:1" x14ac:dyDescent="0.2">
      <c r="A818" t="s">
        <v>2884</v>
      </c>
    </row>
    <row r="819" spans="1:1" x14ac:dyDescent="0.2">
      <c r="A819" t="s">
        <v>2885</v>
      </c>
    </row>
    <row r="820" spans="1:1" x14ac:dyDescent="0.2">
      <c r="A820" t="s">
        <v>2886</v>
      </c>
    </row>
    <row r="821" spans="1:1" x14ac:dyDescent="0.2">
      <c r="A821" t="s">
        <v>2887</v>
      </c>
    </row>
    <row r="822" spans="1:1" x14ac:dyDescent="0.2">
      <c r="A822" t="s">
        <v>2888</v>
      </c>
    </row>
    <row r="823" spans="1:1" x14ac:dyDescent="0.2">
      <c r="A823" t="s">
        <v>2889</v>
      </c>
    </row>
    <row r="824" spans="1:1" x14ac:dyDescent="0.2">
      <c r="A824" t="s">
        <v>2890</v>
      </c>
    </row>
    <row r="825" spans="1:1" x14ac:dyDescent="0.2">
      <c r="A825" t="s">
        <v>2891</v>
      </c>
    </row>
    <row r="826" spans="1:1" x14ac:dyDescent="0.2">
      <c r="A826" t="s">
        <v>2892</v>
      </c>
    </row>
    <row r="827" spans="1:1" x14ac:dyDescent="0.2">
      <c r="A827" t="s">
        <v>2893</v>
      </c>
    </row>
    <row r="828" spans="1:1" x14ac:dyDescent="0.2">
      <c r="A828" t="s">
        <v>2894</v>
      </c>
    </row>
    <row r="829" spans="1:1" x14ac:dyDescent="0.2">
      <c r="A829" t="s">
        <v>2895</v>
      </c>
    </row>
    <row r="830" spans="1:1" x14ac:dyDescent="0.2">
      <c r="A830" t="s">
        <v>2896</v>
      </c>
    </row>
    <row r="831" spans="1:1" x14ac:dyDescent="0.2">
      <c r="A831" t="s">
        <v>2897</v>
      </c>
    </row>
    <row r="832" spans="1:1" x14ac:dyDescent="0.2">
      <c r="A832" t="s">
        <v>2898</v>
      </c>
    </row>
    <row r="833" spans="1:1" x14ac:dyDescent="0.2">
      <c r="A833" t="s">
        <v>2899</v>
      </c>
    </row>
    <row r="834" spans="1:1" x14ac:dyDescent="0.2">
      <c r="A834" t="s">
        <v>2900</v>
      </c>
    </row>
    <row r="835" spans="1:1" x14ac:dyDescent="0.2">
      <c r="A835" t="s">
        <v>2901</v>
      </c>
    </row>
    <row r="836" spans="1:1" x14ac:dyDescent="0.2">
      <c r="A836" t="s">
        <v>2902</v>
      </c>
    </row>
    <row r="837" spans="1:1" x14ac:dyDescent="0.2">
      <c r="A837" t="s">
        <v>2903</v>
      </c>
    </row>
    <row r="838" spans="1:1" x14ac:dyDescent="0.2">
      <c r="A838" t="s">
        <v>2904</v>
      </c>
    </row>
    <row r="839" spans="1:1" x14ac:dyDescent="0.2">
      <c r="A839" t="s">
        <v>2905</v>
      </c>
    </row>
    <row r="840" spans="1:1" x14ac:dyDescent="0.2">
      <c r="A840" t="s">
        <v>2906</v>
      </c>
    </row>
    <row r="841" spans="1:1" x14ac:dyDescent="0.2">
      <c r="A841" t="s">
        <v>2907</v>
      </c>
    </row>
    <row r="842" spans="1:1" x14ac:dyDescent="0.2">
      <c r="A842" t="s">
        <v>2908</v>
      </c>
    </row>
    <row r="843" spans="1:1" x14ac:dyDescent="0.2">
      <c r="A843" t="s">
        <v>2909</v>
      </c>
    </row>
    <row r="844" spans="1:1" x14ac:dyDescent="0.2">
      <c r="A844" t="s">
        <v>2910</v>
      </c>
    </row>
    <row r="845" spans="1:1" x14ac:dyDescent="0.2">
      <c r="A845" t="s">
        <v>2911</v>
      </c>
    </row>
    <row r="846" spans="1:1" x14ac:dyDescent="0.2">
      <c r="A846" t="s">
        <v>2912</v>
      </c>
    </row>
    <row r="847" spans="1:1" x14ac:dyDescent="0.2">
      <c r="A847" t="s">
        <v>2913</v>
      </c>
    </row>
    <row r="848" spans="1:1" x14ac:dyDescent="0.2">
      <c r="A848" t="s">
        <v>2914</v>
      </c>
    </row>
    <row r="849" spans="1:1" x14ac:dyDescent="0.2">
      <c r="A849" t="s">
        <v>2915</v>
      </c>
    </row>
    <row r="850" spans="1:1" x14ac:dyDescent="0.2">
      <c r="A850" t="s">
        <v>2916</v>
      </c>
    </row>
    <row r="851" spans="1:1" x14ac:dyDescent="0.2">
      <c r="A851" t="s">
        <v>2917</v>
      </c>
    </row>
    <row r="852" spans="1:1" x14ac:dyDescent="0.2">
      <c r="A852" t="s">
        <v>2918</v>
      </c>
    </row>
    <row r="853" spans="1:1" x14ac:dyDescent="0.2">
      <c r="A853" t="s">
        <v>2919</v>
      </c>
    </row>
    <row r="854" spans="1:1" x14ac:dyDescent="0.2">
      <c r="A854" t="s">
        <v>2920</v>
      </c>
    </row>
    <row r="855" spans="1:1" x14ac:dyDescent="0.2">
      <c r="A855" t="s">
        <v>2921</v>
      </c>
    </row>
    <row r="856" spans="1:1" x14ac:dyDescent="0.2">
      <c r="A856" t="s">
        <v>2922</v>
      </c>
    </row>
    <row r="857" spans="1:1" x14ac:dyDescent="0.2">
      <c r="A857" t="s">
        <v>2923</v>
      </c>
    </row>
    <row r="858" spans="1:1" x14ac:dyDescent="0.2">
      <c r="A858" t="s">
        <v>2924</v>
      </c>
    </row>
    <row r="859" spans="1:1" x14ac:dyDescent="0.2">
      <c r="A859" t="s">
        <v>2925</v>
      </c>
    </row>
    <row r="860" spans="1:1" x14ac:dyDescent="0.2">
      <c r="A860" t="s">
        <v>2926</v>
      </c>
    </row>
    <row r="861" spans="1:1" x14ac:dyDescent="0.2">
      <c r="A861" t="s">
        <v>2927</v>
      </c>
    </row>
    <row r="862" spans="1:1" x14ac:dyDescent="0.2">
      <c r="A862" t="s">
        <v>2928</v>
      </c>
    </row>
    <row r="863" spans="1:1" x14ac:dyDescent="0.2">
      <c r="A863" t="s">
        <v>2929</v>
      </c>
    </row>
    <row r="864" spans="1:1" x14ac:dyDescent="0.2">
      <c r="A864" t="s">
        <v>2930</v>
      </c>
    </row>
    <row r="865" spans="1:1" x14ac:dyDescent="0.2">
      <c r="A865" t="s">
        <v>2931</v>
      </c>
    </row>
    <row r="866" spans="1:1" x14ac:dyDescent="0.2">
      <c r="A866" t="s">
        <v>2932</v>
      </c>
    </row>
    <row r="867" spans="1:1" x14ac:dyDescent="0.2">
      <c r="A867" t="s">
        <v>2933</v>
      </c>
    </row>
    <row r="868" spans="1:1" x14ac:dyDescent="0.2">
      <c r="A868" t="s">
        <v>2934</v>
      </c>
    </row>
    <row r="869" spans="1:1" x14ac:dyDescent="0.2">
      <c r="A869" t="s">
        <v>2935</v>
      </c>
    </row>
    <row r="870" spans="1:1" x14ac:dyDescent="0.2">
      <c r="A870" t="s">
        <v>2936</v>
      </c>
    </row>
    <row r="871" spans="1:1" x14ac:dyDescent="0.2">
      <c r="A871" t="s">
        <v>2937</v>
      </c>
    </row>
    <row r="872" spans="1:1" x14ac:dyDescent="0.2">
      <c r="A872" t="s">
        <v>2938</v>
      </c>
    </row>
    <row r="873" spans="1:1" x14ac:dyDescent="0.2">
      <c r="A873" t="s">
        <v>2939</v>
      </c>
    </row>
    <row r="874" spans="1:1" x14ac:dyDescent="0.2">
      <c r="A874" t="s">
        <v>2940</v>
      </c>
    </row>
    <row r="875" spans="1:1" x14ac:dyDescent="0.2">
      <c r="A875" t="s">
        <v>2941</v>
      </c>
    </row>
    <row r="876" spans="1:1" x14ac:dyDescent="0.2">
      <c r="A876" t="s">
        <v>2942</v>
      </c>
    </row>
    <row r="877" spans="1:1" x14ac:dyDescent="0.2">
      <c r="A877" t="s">
        <v>2943</v>
      </c>
    </row>
    <row r="878" spans="1:1" x14ac:dyDescent="0.2">
      <c r="A878" t="s">
        <v>2944</v>
      </c>
    </row>
    <row r="879" spans="1:1" x14ac:dyDescent="0.2">
      <c r="A879" t="s">
        <v>2945</v>
      </c>
    </row>
    <row r="880" spans="1:1" x14ac:dyDescent="0.2">
      <c r="A880" t="s">
        <v>2946</v>
      </c>
    </row>
    <row r="881" spans="1:1" x14ac:dyDescent="0.2">
      <c r="A881" t="s">
        <v>2947</v>
      </c>
    </row>
    <row r="882" spans="1:1" x14ac:dyDescent="0.2">
      <c r="A882" t="s">
        <v>2948</v>
      </c>
    </row>
    <row r="883" spans="1:1" x14ac:dyDescent="0.2">
      <c r="A883" t="s">
        <v>2949</v>
      </c>
    </row>
    <row r="884" spans="1:1" x14ac:dyDescent="0.2">
      <c r="A884" t="s">
        <v>2950</v>
      </c>
    </row>
    <row r="885" spans="1:1" x14ac:dyDescent="0.2">
      <c r="A885" t="s">
        <v>2951</v>
      </c>
    </row>
    <row r="886" spans="1:1" x14ac:dyDescent="0.2">
      <c r="A886" t="s">
        <v>2952</v>
      </c>
    </row>
    <row r="887" spans="1:1" x14ac:dyDescent="0.2">
      <c r="A887" t="s">
        <v>2953</v>
      </c>
    </row>
    <row r="888" spans="1:1" x14ac:dyDescent="0.2">
      <c r="A888" t="s">
        <v>2954</v>
      </c>
    </row>
    <row r="889" spans="1:1" x14ac:dyDescent="0.2">
      <c r="A889" t="s">
        <v>2955</v>
      </c>
    </row>
    <row r="890" spans="1:1" x14ac:dyDescent="0.2">
      <c r="A890" t="s">
        <v>2956</v>
      </c>
    </row>
    <row r="891" spans="1:1" x14ac:dyDescent="0.2">
      <c r="A891" t="s">
        <v>2957</v>
      </c>
    </row>
    <row r="892" spans="1:1" x14ac:dyDescent="0.2">
      <c r="A892" t="s">
        <v>2958</v>
      </c>
    </row>
    <row r="893" spans="1:1" x14ac:dyDescent="0.2">
      <c r="A893" t="s">
        <v>2959</v>
      </c>
    </row>
    <row r="894" spans="1:1" x14ac:dyDescent="0.2">
      <c r="A894" t="s">
        <v>2960</v>
      </c>
    </row>
    <row r="895" spans="1:1" x14ac:dyDescent="0.2">
      <c r="A895" t="s">
        <v>2961</v>
      </c>
    </row>
    <row r="896" spans="1:1" x14ac:dyDescent="0.2">
      <c r="A896" t="s">
        <v>2962</v>
      </c>
    </row>
    <row r="897" spans="1:1" x14ac:dyDescent="0.2">
      <c r="A897" t="s">
        <v>2963</v>
      </c>
    </row>
    <row r="898" spans="1:1" x14ac:dyDescent="0.2">
      <c r="A898" t="s">
        <v>2964</v>
      </c>
    </row>
    <row r="899" spans="1:1" x14ac:dyDescent="0.2">
      <c r="A899" t="s">
        <v>2965</v>
      </c>
    </row>
    <row r="900" spans="1:1" x14ac:dyDescent="0.2">
      <c r="A900" t="s">
        <v>2966</v>
      </c>
    </row>
    <row r="901" spans="1:1" x14ac:dyDescent="0.2">
      <c r="A901" t="s">
        <v>2967</v>
      </c>
    </row>
    <row r="902" spans="1:1" x14ac:dyDescent="0.2">
      <c r="A902" t="s">
        <v>2968</v>
      </c>
    </row>
    <row r="903" spans="1:1" x14ac:dyDescent="0.2">
      <c r="A903" t="s">
        <v>2969</v>
      </c>
    </row>
    <row r="904" spans="1:1" x14ac:dyDescent="0.2">
      <c r="A904" t="s">
        <v>2970</v>
      </c>
    </row>
    <row r="905" spans="1:1" x14ac:dyDescent="0.2">
      <c r="A905" t="s">
        <v>1687</v>
      </c>
    </row>
    <row r="906" spans="1:1" x14ac:dyDescent="0.2">
      <c r="A906" t="s">
        <v>2722</v>
      </c>
    </row>
    <row r="907" spans="1:1" x14ac:dyDescent="0.2">
      <c r="A907" t="s">
        <v>2978</v>
      </c>
    </row>
    <row r="908" spans="1:1" x14ac:dyDescent="0.2">
      <c r="A908" t="s">
        <v>2724</v>
      </c>
    </row>
    <row r="909" spans="1:1" x14ac:dyDescent="0.2">
      <c r="A909" t="s">
        <v>2725</v>
      </c>
    </row>
    <row r="910" spans="1:1" x14ac:dyDescent="0.2">
      <c r="A910" t="s">
        <v>2726</v>
      </c>
    </row>
    <row r="911" spans="1:1" x14ac:dyDescent="0.2">
      <c r="A911" t="s">
        <v>1684</v>
      </c>
    </row>
    <row r="912" spans="1:1" x14ac:dyDescent="0.2">
      <c r="A912" t="s">
        <v>2979</v>
      </c>
    </row>
    <row r="913" spans="1:1" x14ac:dyDescent="0.2">
      <c r="A913" t="s">
        <v>2728</v>
      </c>
    </row>
    <row r="914" spans="1:1" x14ac:dyDescent="0.2">
      <c r="A914" t="s">
        <v>2729</v>
      </c>
    </row>
    <row r="915" spans="1:1" x14ac:dyDescent="0.2">
      <c r="A915" t="s">
        <v>2730</v>
      </c>
    </row>
    <row r="916" spans="1:1" x14ac:dyDescent="0.2">
      <c r="A916" t="s">
        <v>2731</v>
      </c>
    </row>
    <row r="917" spans="1:1" x14ac:dyDescent="0.2">
      <c r="A917" t="s">
        <v>2732</v>
      </c>
    </row>
    <row r="918" spans="1:1" x14ac:dyDescent="0.2">
      <c r="A918" t="s">
        <v>2733</v>
      </c>
    </row>
    <row r="919" spans="1:1" x14ac:dyDescent="0.2">
      <c r="A919" t="s">
        <v>2734</v>
      </c>
    </row>
    <row r="920" spans="1:1" x14ac:dyDescent="0.2">
      <c r="A920" t="s">
        <v>2735</v>
      </c>
    </row>
    <row r="921" spans="1:1" x14ac:dyDescent="0.2">
      <c r="A921" t="s">
        <v>2736</v>
      </c>
    </row>
    <row r="922" spans="1:1" x14ac:dyDescent="0.2">
      <c r="A922" t="s">
        <v>2737</v>
      </c>
    </row>
    <row r="923" spans="1:1" x14ac:dyDescent="0.2">
      <c r="A923" t="s">
        <v>2738</v>
      </c>
    </row>
    <row r="924" spans="1:1" x14ac:dyDescent="0.2">
      <c r="A924" t="s">
        <v>2739</v>
      </c>
    </row>
    <row r="925" spans="1:1" x14ac:dyDescent="0.2">
      <c r="A925" t="s">
        <v>2740</v>
      </c>
    </row>
    <row r="926" spans="1:1" x14ac:dyDescent="0.2">
      <c r="A926" t="s">
        <v>2741</v>
      </c>
    </row>
    <row r="927" spans="1:1" x14ac:dyDescent="0.2">
      <c r="A927" t="s">
        <v>2742</v>
      </c>
    </row>
    <row r="928" spans="1:1" x14ac:dyDescent="0.2">
      <c r="A928" t="s">
        <v>2743</v>
      </c>
    </row>
    <row r="929" spans="1:1" x14ac:dyDescent="0.2">
      <c r="A929" t="s">
        <v>2744</v>
      </c>
    </row>
    <row r="930" spans="1:1" x14ac:dyDescent="0.2">
      <c r="A930" t="s">
        <v>2745</v>
      </c>
    </row>
    <row r="931" spans="1:1" x14ac:dyDescent="0.2">
      <c r="A931" t="s">
        <v>2746</v>
      </c>
    </row>
    <row r="932" spans="1:1" x14ac:dyDescent="0.2">
      <c r="A932" t="s">
        <v>2747</v>
      </c>
    </row>
    <row r="933" spans="1:1" x14ac:dyDescent="0.2">
      <c r="A933" t="s">
        <v>2748</v>
      </c>
    </row>
    <row r="934" spans="1:1" x14ac:dyDescent="0.2">
      <c r="A934" t="s">
        <v>2749</v>
      </c>
    </row>
    <row r="935" spans="1:1" x14ac:dyDescent="0.2">
      <c r="A935" t="s">
        <v>2750</v>
      </c>
    </row>
    <row r="936" spans="1:1" x14ac:dyDescent="0.2">
      <c r="A936" t="s">
        <v>2751</v>
      </c>
    </row>
    <row r="937" spans="1:1" x14ac:dyDescent="0.2">
      <c r="A937" t="s">
        <v>2752</v>
      </c>
    </row>
    <row r="938" spans="1:1" x14ac:dyDescent="0.2">
      <c r="A938" t="s">
        <v>2753</v>
      </c>
    </row>
    <row r="939" spans="1:1" x14ac:dyDescent="0.2">
      <c r="A939" t="s">
        <v>2754</v>
      </c>
    </row>
    <row r="940" spans="1:1" x14ac:dyDescent="0.2">
      <c r="A940" t="s">
        <v>2755</v>
      </c>
    </row>
    <row r="941" spans="1:1" x14ac:dyDescent="0.2">
      <c r="A941" t="s">
        <v>2756</v>
      </c>
    </row>
    <row r="942" spans="1:1" x14ac:dyDescent="0.2">
      <c r="A942" t="s">
        <v>2757</v>
      </c>
    </row>
    <row r="943" spans="1:1" x14ac:dyDescent="0.2">
      <c r="A943" t="s">
        <v>2758</v>
      </c>
    </row>
    <row r="944" spans="1:1" x14ac:dyDescent="0.2">
      <c r="A944" t="s">
        <v>2759</v>
      </c>
    </row>
    <row r="945" spans="1:1" x14ac:dyDescent="0.2">
      <c r="A945" t="s">
        <v>2760</v>
      </c>
    </row>
    <row r="946" spans="1:1" x14ac:dyDescent="0.2">
      <c r="A946" t="s">
        <v>2761</v>
      </c>
    </row>
    <row r="947" spans="1:1" x14ac:dyDescent="0.2">
      <c r="A947" t="s">
        <v>2762</v>
      </c>
    </row>
    <row r="948" spans="1:1" x14ac:dyDescent="0.2">
      <c r="A948" t="s">
        <v>2763</v>
      </c>
    </row>
    <row r="949" spans="1:1" x14ac:dyDescent="0.2">
      <c r="A949" t="s">
        <v>2764</v>
      </c>
    </row>
    <row r="950" spans="1:1" x14ac:dyDescent="0.2">
      <c r="A950" t="s">
        <v>2765</v>
      </c>
    </row>
    <row r="951" spans="1:1" x14ac:dyDescent="0.2">
      <c r="A951" t="s">
        <v>2766</v>
      </c>
    </row>
    <row r="952" spans="1:1" x14ac:dyDescent="0.2">
      <c r="A952" t="s">
        <v>2767</v>
      </c>
    </row>
    <row r="953" spans="1:1" x14ac:dyDescent="0.2">
      <c r="A953" t="s">
        <v>2768</v>
      </c>
    </row>
    <row r="954" spans="1:1" x14ac:dyDescent="0.2">
      <c r="A954" t="s">
        <v>2769</v>
      </c>
    </row>
    <row r="955" spans="1:1" x14ac:dyDescent="0.2">
      <c r="A955" t="s">
        <v>2770</v>
      </c>
    </row>
    <row r="956" spans="1:1" x14ac:dyDescent="0.2">
      <c r="A956" t="s">
        <v>2771</v>
      </c>
    </row>
    <row r="957" spans="1:1" x14ac:dyDescent="0.2">
      <c r="A957" t="s">
        <v>2772</v>
      </c>
    </row>
    <row r="958" spans="1:1" x14ac:dyDescent="0.2">
      <c r="A958" t="s">
        <v>2773</v>
      </c>
    </row>
    <row r="959" spans="1:1" x14ac:dyDescent="0.2">
      <c r="A959" t="s">
        <v>2774</v>
      </c>
    </row>
    <row r="960" spans="1:1" x14ac:dyDescent="0.2">
      <c r="A960" t="s">
        <v>2775</v>
      </c>
    </row>
    <row r="961" spans="1:1" x14ac:dyDescent="0.2">
      <c r="A961" t="s">
        <v>2776</v>
      </c>
    </row>
    <row r="962" spans="1:1" x14ac:dyDescent="0.2">
      <c r="A962" t="s">
        <v>2777</v>
      </c>
    </row>
    <row r="963" spans="1:1" x14ac:dyDescent="0.2">
      <c r="A963" t="s">
        <v>2778</v>
      </c>
    </row>
    <row r="964" spans="1:1" x14ac:dyDescent="0.2">
      <c r="A964" t="s">
        <v>2779</v>
      </c>
    </row>
    <row r="965" spans="1:1" x14ac:dyDescent="0.2">
      <c r="A965" t="s">
        <v>2780</v>
      </c>
    </row>
    <row r="966" spans="1:1" x14ac:dyDescent="0.2">
      <c r="A966" t="s">
        <v>2781</v>
      </c>
    </row>
    <row r="967" spans="1:1" x14ac:dyDescent="0.2">
      <c r="A967" t="s">
        <v>2782</v>
      </c>
    </row>
    <row r="968" spans="1:1" x14ac:dyDescent="0.2">
      <c r="A968" t="s">
        <v>2783</v>
      </c>
    </row>
    <row r="969" spans="1:1" x14ac:dyDescent="0.2">
      <c r="A969" t="s">
        <v>2784</v>
      </c>
    </row>
    <row r="970" spans="1:1" x14ac:dyDescent="0.2">
      <c r="A970" t="s">
        <v>2785</v>
      </c>
    </row>
    <row r="971" spans="1:1" x14ac:dyDescent="0.2">
      <c r="A971" t="s">
        <v>2786</v>
      </c>
    </row>
    <row r="972" spans="1:1" x14ac:dyDescent="0.2">
      <c r="A972" t="s">
        <v>2787</v>
      </c>
    </row>
    <row r="973" spans="1:1" x14ac:dyDescent="0.2">
      <c r="A973" t="s">
        <v>2788</v>
      </c>
    </row>
    <row r="974" spans="1:1" x14ac:dyDescent="0.2">
      <c r="A974" t="s">
        <v>2789</v>
      </c>
    </row>
    <row r="975" spans="1:1" x14ac:dyDescent="0.2">
      <c r="A975" t="s">
        <v>2790</v>
      </c>
    </row>
    <row r="976" spans="1:1" x14ac:dyDescent="0.2">
      <c r="A976" t="s">
        <v>2791</v>
      </c>
    </row>
    <row r="977" spans="1:1" x14ac:dyDescent="0.2">
      <c r="A977" t="s">
        <v>2792</v>
      </c>
    </row>
    <row r="978" spans="1:1" x14ac:dyDescent="0.2">
      <c r="A978" t="s">
        <v>2793</v>
      </c>
    </row>
    <row r="979" spans="1:1" x14ac:dyDescent="0.2">
      <c r="A979" t="s">
        <v>2794</v>
      </c>
    </row>
    <row r="980" spans="1:1" x14ac:dyDescent="0.2">
      <c r="A980" t="s">
        <v>2795</v>
      </c>
    </row>
    <row r="981" spans="1:1" x14ac:dyDescent="0.2">
      <c r="A981" t="s">
        <v>2796</v>
      </c>
    </row>
    <row r="982" spans="1:1" x14ac:dyDescent="0.2">
      <c r="A982" t="s">
        <v>2797</v>
      </c>
    </row>
    <row r="983" spans="1:1" x14ac:dyDescent="0.2">
      <c r="A983" t="s">
        <v>2798</v>
      </c>
    </row>
    <row r="984" spans="1:1" x14ac:dyDescent="0.2">
      <c r="A984" t="s">
        <v>1690</v>
      </c>
    </row>
    <row r="985" spans="1:1" x14ac:dyDescent="0.2">
      <c r="A985" t="s">
        <v>2980</v>
      </c>
    </row>
    <row r="986" spans="1:1" x14ac:dyDescent="0.2">
      <c r="A986" t="s">
        <v>2981</v>
      </c>
    </row>
    <row r="987" spans="1:1" x14ac:dyDescent="0.2">
      <c r="A987" t="s">
        <v>2975</v>
      </c>
    </row>
    <row r="988" spans="1:1" x14ac:dyDescent="0.2">
      <c r="A988" t="s">
        <v>2976</v>
      </c>
    </row>
    <row r="989" spans="1:1" x14ac:dyDescent="0.2">
      <c r="A989" t="s">
        <v>2977</v>
      </c>
    </row>
    <row r="990" spans="1:1" x14ac:dyDescent="0.2">
      <c r="A990" t="s">
        <v>1689</v>
      </c>
    </row>
    <row r="991" spans="1:1" x14ac:dyDescent="0.2">
      <c r="A991" t="s">
        <v>2805</v>
      </c>
    </row>
    <row r="992" spans="1:1" x14ac:dyDescent="0.2">
      <c r="A992" t="s">
        <v>2806</v>
      </c>
    </row>
    <row r="993" spans="1:1" x14ac:dyDescent="0.2">
      <c r="A993" t="s">
        <v>2807</v>
      </c>
    </row>
    <row r="994" spans="1:1" x14ac:dyDescent="0.2">
      <c r="A994" t="s">
        <v>2808</v>
      </c>
    </row>
    <row r="995" spans="1:1" x14ac:dyDescent="0.2">
      <c r="A995" t="s">
        <v>2809</v>
      </c>
    </row>
    <row r="996" spans="1:1" x14ac:dyDescent="0.2">
      <c r="A996" t="s">
        <v>2810</v>
      </c>
    </row>
    <row r="997" spans="1:1" x14ac:dyDescent="0.2">
      <c r="A997" t="s">
        <v>2811</v>
      </c>
    </row>
    <row r="998" spans="1:1" x14ac:dyDescent="0.2">
      <c r="A998" t="s">
        <v>2812</v>
      </c>
    </row>
    <row r="999" spans="1:1" x14ac:dyDescent="0.2">
      <c r="A999" t="s">
        <v>2813</v>
      </c>
    </row>
    <row r="1000" spans="1:1" x14ac:dyDescent="0.2">
      <c r="A1000" t="s">
        <v>2814</v>
      </c>
    </row>
    <row r="1001" spans="1:1" x14ac:dyDescent="0.2">
      <c r="A1001" t="s">
        <v>2815</v>
      </c>
    </row>
    <row r="1002" spans="1:1" x14ac:dyDescent="0.2">
      <c r="A1002" t="s">
        <v>2816</v>
      </c>
    </row>
    <row r="1003" spans="1:1" x14ac:dyDescent="0.2">
      <c r="A1003" t="s">
        <v>2817</v>
      </c>
    </row>
    <row r="1004" spans="1:1" x14ac:dyDescent="0.2">
      <c r="A1004" t="s">
        <v>2818</v>
      </c>
    </row>
    <row r="1005" spans="1:1" x14ac:dyDescent="0.2">
      <c r="A1005" t="s">
        <v>2819</v>
      </c>
    </row>
    <row r="1006" spans="1:1" x14ac:dyDescent="0.2">
      <c r="A1006" t="s">
        <v>2820</v>
      </c>
    </row>
    <row r="1007" spans="1:1" x14ac:dyDescent="0.2">
      <c r="A1007" t="s">
        <v>2821</v>
      </c>
    </row>
    <row r="1008" spans="1:1" x14ac:dyDescent="0.2">
      <c r="A1008" t="s">
        <v>2822</v>
      </c>
    </row>
    <row r="1009" spans="1:1" x14ac:dyDescent="0.2">
      <c r="A1009" t="s">
        <v>2823</v>
      </c>
    </row>
    <row r="1010" spans="1:1" x14ac:dyDescent="0.2">
      <c r="A1010" t="s">
        <v>2824</v>
      </c>
    </row>
    <row r="1011" spans="1:1" x14ac:dyDescent="0.2">
      <c r="A1011" t="s">
        <v>2825</v>
      </c>
    </row>
    <row r="1012" spans="1:1" x14ac:dyDescent="0.2">
      <c r="A1012" t="s">
        <v>2826</v>
      </c>
    </row>
    <row r="1013" spans="1:1" x14ac:dyDescent="0.2">
      <c r="A1013" t="s">
        <v>2827</v>
      </c>
    </row>
    <row r="1014" spans="1:1" x14ac:dyDescent="0.2">
      <c r="A1014" t="s">
        <v>2828</v>
      </c>
    </row>
    <row r="1015" spans="1:1" x14ac:dyDescent="0.2">
      <c r="A1015" t="s">
        <v>2829</v>
      </c>
    </row>
    <row r="1016" spans="1:1" x14ac:dyDescent="0.2">
      <c r="A1016" t="s">
        <v>2830</v>
      </c>
    </row>
    <row r="1017" spans="1:1" x14ac:dyDescent="0.2">
      <c r="A1017" t="s">
        <v>2831</v>
      </c>
    </row>
    <row r="1018" spans="1:1" x14ac:dyDescent="0.2">
      <c r="A1018" t="s">
        <v>2832</v>
      </c>
    </row>
    <row r="1019" spans="1:1" x14ac:dyDescent="0.2">
      <c r="A1019" t="s">
        <v>2833</v>
      </c>
    </row>
    <row r="1020" spans="1:1" x14ac:dyDescent="0.2">
      <c r="A1020" t="s">
        <v>2834</v>
      </c>
    </row>
    <row r="1021" spans="1:1" x14ac:dyDescent="0.2">
      <c r="A1021" t="s">
        <v>2835</v>
      </c>
    </row>
    <row r="1022" spans="1:1" x14ac:dyDescent="0.2">
      <c r="A1022" t="s">
        <v>2836</v>
      </c>
    </row>
    <row r="1023" spans="1:1" x14ac:dyDescent="0.2">
      <c r="A1023" t="s">
        <v>2837</v>
      </c>
    </row>
    <row r="1024" spans="1:1" x14ac:dyDescent="0.2">
      <c r="A1024" t="s">
        <v>2838</v>
      </c>
    </row>
    <row r="1025" spans="1:1" x14ac:dyDescent="0.2">
      <c r="A1025" t="s">
        <v>2839</v>
      </c>
    </row>
    <row r="1026" spans="1:1" x14ac:dyDescent="0.2">
      <c r="A1026" t="s">
        <v>2840</v>
      </c>
    </row>
    <row r="1027" spans="1:1" x14ac:dyDescent="0.2">
      <c r="A1027" t="s">
        <v>2841</v>
      </c>
    </row>
    <row r="1028" spans="1:1" x14ac:dyDescent="0.2">
      <c r="A1028" t="s">
        <v>2842</v>
      </c>
    </row>
    <row r="1029" spans="1:1" x14ac:dyDescent="0.2">
      <c r="A1029" t="s">
        <v>2843</v>
      </c>
    </row>
    <row r="1030" spans="1:1" x14ac:dyDescent="0.2">
      <c r="A1030" t="s">
        <v>2844</v>
      </c>
    </row>
    <row r="1031" spans="1:1" x14ac:dyDescent="0.2">
      <c r="A1031" t="s">
        <v>2845</v>
      </c>
    </row>
    <row r="1032" spans="1:1" x14ac:dyDescent="0.2">
      <c r="A1032" t="s">
        <v>2846</v>
      </c>
    </row>
    <row r="1033" spans="1:1" x14ac:dyDescent="0.2">
      <c r="A1033" t="s">
        <v>2847</v>
      </c>
    </row>
    <row r="1034" spans="1:1" x14ac:dyDescent="0.2">
      <c r="A1034" t="s">
        <v>2848</v>
      </c>
    </row>
    <row r="1035" spans="1:1" x14ac:dyDescent="0.2">
      <c r="A1035" t="s">
        <v>2849</v>
      </c>
    </row>
    <row r="1036" spans="1:1" x14ac:dyDescent="0.2">
      <c r="A1036" t="s">
        <v>2850</v>
      </c>
    </row>
    <row r="1037" spans="1:1" x14ac:dyDescent="0.2">
      <c r="A1037" t="s">
        <v>2851</v>
      </c>
    </row>
    <row r="1038" spans="1:1" x14ac:dyDescent="0.2">
      <c r="A1038" t="s">
        <v>2852</v>
      </c>
    </row>
    <row r="1039" spans="1:1" x14ac:dyDescent="0.2">
      <c r="A1039" t="s">
        <v>2853</v>
      </c>
    </row>
    <row r="1040" spans="1:1" x14ac:dyDescent="0.2">
      <c r="A1040" t="s">
        <v>2854</v>
      </c>
    </row>
    <row r="1041" spans="1:1" x14ac:dyDescent="0.2">
      <c r="A1041" t="s">
        <v>2855</v>
      </c>
    </row>
    <row r="1042" spans="1:1" x14ac:dyDescent="0.2">
      <c r="A1042" t="s">
        <v>2856</v>
      </c>
    </row>
    <row r="1043" spans="1:1" x14ac:dyDescent="0.2">
      <c r="A1043" t="s">
        <v>2857</v>
      </c>
    </row>
    <row r="1044" spans="1:1" x14ac:dyDescent="0.2">
      <c r="A1044" t="s">
        <v>2858</v>
      </c>
    </row>
    <row r="1045" spans="1:1" x14ac:dyDescent="0.2">
      <c r="A1045" t="s">
        <v>2859</v>
      </c>
    </row>
    <row r="1046" spans="1:1" x14ac:dyDescent="0.2">
      <c r="A1046" t="s">
        <v>2860</v>
      </c>
    </row>
    <row r="1047" spans="1:1" x14ac:dyDescent="0.2">
      <c r="A1047" t="s">
        <v>2861</v>
      </c>
    </row>
    <row r="1048" spans="1:1" x14ac:dyDescent="0.2">
      <c r="A1048" t="s">
        <v>2862</v>
      </c>
    </row>
    <row r="1049" spans="1:1" x14ac:dyDescent="0.2">
      <c r="A1049" t="s">
        <v>2863</v>
      </c>
    </row>
    <row r="1050" spans="1:1" x14ac:dyDescent="0.2">
      <c r="A1050" t="s">
        <v>2864</v>
      </c>
    </row>
    <row r="1051" spans="1:1" x14ac:dyDescent="0.2">
      <c r="A1051" t="s">
        <v>2865</v>
      </c>
    </row>
    <row r="1052" spans="1:1" x14ac:dyDescent="0.2">
      <c r="A1052" t="s">
        <v>2866</v>
      </c>
    </row>
    <row r="1053" spans="1:1" x14ac:dyDescent="0.2">
      <c r="A1053" t="s">
        <v>2867</v>
      </c>
    </row>
    <row r="1054" spans="1:1" x14ac:dyDescent="0.2">
      <c r="A1054" t="s">
        <v>2868</v>
      </c>
    </row>
    <row r="1055" spans="1:1" x14ac:dyDescent="0.2">
      <c r="A1055" t="s">
        <v>2869</v>
      </c>
    </row>
    <row r="1056" spans="1:1" x14ac:dyDescent="0.2">
      <c r="A1056" t="s">
        <v>2870</v>
      </c>
    </row>
    <row r="1057" spans="1:1" x14ac:dyDescent="0.2">
      <c r="A1057" t="s">
        <v>2871</v>
      </c>
    </row>
    <row r="1058" spans="1:1" x14ac:dyDescent="0.2">
      <c r="A1058" t="s">
        <v>2872</v>
      </c>
    </row>
    <row r="1059" spans="1:1" x14ac:dyDescent="0.2">
      <c r="A1059" t="s">
        <v>2873</v>
      </c>
    </row>
    <row r="1060" spans="1:1" x14ac:dyDescent="0.2">
      <c r="A1060" t="s">
        <v>2874</v>
      </c>
    </row>
    <row r="1061" spans="1:1" x14ac:dyDescent="0.2">
      <c r="A1061" t="s">
        <v>2875</v>
      </c>
    </row>
    <row r="1062" spans="1:1" x14ac:dyDescent="0.2">
      <c r="A1062" t="s">
        <v>2876</v>
      </c>
    </row>
    <row r="1063" spans="1:1" x14ac:dyDescent="0.2">
      <c r="A1063" t="s">
        <v>2877</v>
      </c>
    </row>
    <row r="1064" spans="1:1" x14ac:dyDescent="0.2">
      <c r="A1064" t="s">
        <v>2878</v>
      </c>
    </row>
    <row r="1065" spans="1:1" x14ac:dyDescent="0.2">
      <c r="A1065" t="s">
        <v>2879</v>
      </c>
    </row>
    <row r="1066" spans="1:1" x14ac:dyDescent="0.2">
      <c r="A1066" t="s">
        <v>2880</v>
      </c>
    </row>
    <row r="1067" spans="1:1" x14ac:dyDescent="0.2">
      <c r="A1067" t="s">
        <v>2881</v>
      </c>
    </row>
    <row r="1068" spans="1:1" x14ac:dyDescent="0.2">
      <c r="A1068" t="s">
        <v>2882</v>
      </c>
    </row>
    <row r="1069" spans="1:1" x14ac:dyDescent="0.2">
      <c r="A1069" t="s">
        <v>2883</v>
      </c>
    </row>
    <row r="1070" spans="1:1" x14ac:dyDescent="0.2">
      <c r="A1070" t="s">
        <v>2884</v>
      </c>
    </row>
    <row r="1071" spans="1:1" x14ac:dyDescent="0.2">
      <c r="A1071" t="s">
        <v>2885</v>
      </c>
    </row>
    <row r="1072" spans="1:1" x14ac:dyDescent="0.2">
      <c r="A1072" t="s">
        <v>2886</v>
      </c>
    </row>
    <row r="1073" spans="1:1" x14ac:dyDescent="0.2">
      <c r="A1073" t="s">
        <v>2887</v>
      </c>
    </row>
    <row r="1074" spans="1:1" x14ac:dyDescent="0.2">
      <c r="A1074" t="s">
        <v>2888</v>
      </c>
    </row>
    <row r="1075" spans="1:1" x14ac:dyDescent="0.2">
      <c r="A1075" t="s">
        <v>2889</v>
      </c>
    </row>
    <row r="1076" spans="1:1" x14ac:dyDescent="0.2">
      <c r="A1076" t="s">
        <v>2890</v>
      </c>
    </row>
    <row r="1077" spans="1:1" x14ac:dyDescent="0.2">
      <c r="A1077" t="s">
        <v>2891</v>
      </c>
    </row>
    <row r="1078" spans="1:1" x14ac:dyDescent="0.2">
      <c r="A1078" t="s">
        <v>2892</v>
      </c>
    </row>
    <row r="1079" spans="1:1" x14ac:dyDescent="0.2">
      <c r="A1079" t="s">
        <v>2893</v>
      </c>
    </row>
    <row r="1080" spans="1:1" x14ac:dyDescent="0.2">
      <c r="A1080" t="s">
        <v>2894</v>
      </c>
    </row>
    <row r="1081" spans="1:1" x14ac:dyDescent="0.2">
      <c r="A1081" t="s">
        <v>2895</v>
      </c>
    </row>
    <row r="1082" spans="1:1" x14ac:dyDescent="0.2">
      <c r="A1082" t="s">
        <v>2896</v>
      </c>
    </row>
    <row r="1083" spans="1:1" x14ac:dyDescent="0.2">
      <c r="A1083" t="s">
        <v>2897</v>
      </c>
    </row>
    <row r="1084" spans="1:1" x14ac:dyDescent="0.2">
      <c r="A1084" t="s">
        <v>2898</v>
      </c>
    </row>
    <row r="1085" spans="1:1" x14ac:dyDescent="0.2">
      <c r="A1085" t="s">
        <v>2899</v>
      </c>
    </row>
    <row r="1086" spans="1:1" x14ac:dyDescent="0.2">
      <c r="A1086" t="s">
        <v>2900</v>
      </c>
    </row>
    <row r="1087" spans="1:1" x14ac:dyDescent="0.2">
      <c r="A1087" t="s">
        <v>2901</v>
      </c>
    </row>
    <row r="1088" spans="1:1" x14ac:dyDescent="0.2">
      <c r="A1088" t="s">
        <v>2902</v>
      </c>
    </row>
    <row r="1089" spans="1:1" x14ac:dyDescent="0.2">
      <c r="A1089" t="s">
        <v>2903</v>
      </c>
    </row>
    <row r="1090" spans="1:1" x14ac:dyDescent="0.2">
      <c r="A1090" t="s">
        <v>2904</v>
      </c>
    </row>
    <row r="1091" spans="1:1" x14ac:dyDescent="0.2">
      <c r="A1091" t="s">
        <v>2905</v>
      </c>
    </row>
    <row r="1092" spans="1:1" x14ac:dyDescent="0.2">
      <c r="A1092" t="s">
        <v>2906</v>
      </c>
    </row>
    <row r="1093" spans="1:1" x14ac:dyDescent="0.2">
      <c r="A1093" t="s">
        <v>2907</v>
      </c>
    </row>
    <row r="1094" spans="1:1" x14ac:dyDescent="0.2">
      <c r="A1094" t="s">
        <v>2908</v>
      </c>
    </row>
    <row r="1095" spans="1:1" x14ac:dyDescent="0.2">
      <c r="A1095" t="s">
        <v>2909</v>
      </c>
    </row>
    <row r="1096" spans="1:1" x14ac:dyDescent="0.2">
      <c r="A1096" t="s">
        <v>2910</v>
      </c>
    </row>
    <row r="1097" spans="1:1" x14ac:dyDescent="0.2">
      <c r="A1097" t="s">
        <v>2911</v>
      </c>
    </row>
    <row r="1098" spans="1:1" x14ac:dyDescent="0.2">
      <c r="A1098" t="s">
        <v>2912</v>
      </c>
    </row>
    <row r="1099" spans="1:1" x14ac:dyDescent="0.2">
      <c r="A1099" t="s">
        <v>2913</v>
      </c>
    </row>
    <row r="1100" spans="1:1" x14ac:dyDescent="0.2">
      <c r="A1100" t="s">
        <v>2914</v>
      </c>
    </row>
    <row r="1101" spans="1:1" x14ac:dyDescent="0.2">
      <c r="A1101" t="s">
        <v>2915</v>
      </c>
    </row>
    <row r="1102" spans="1:1" x14ac:dyDescent="0.2">
      <c r="A1102" t="s">
        <v>2916</v>
      </c>
    </row>
    <row r="1103" spans="1:1" x14ac:dyDescent="0.2">
      <c r="A1103" t="s">
        <v>2917</v>
      </c>
    </row>
    <row r="1104" spans="1:1" x14ac:dyDescent="0.2">
      <c r="A1104" t="s">
        <v>2918</v>
      </c>
    </row>
    <row r="1105" spans="1:1" x14ac:dyDescent="0.2">
      <c r="A1105" t="s">
        <v>2919</v>
      </c>
    </row>
    <row r="1106" spans="1:1" x14ac:dyDescent="0.2">
      <c r="A1106" t="s">
        <v>2920</v>
      </c>
    </row>
    <row r="1107" spans="1:1" x14ac:dyDescent="0.2">
      <c r="A1107" t="s">
        <v>2921</v>
      </c>
    </row>
    <row r="1108" spans="1:1" x14ac:dyDescent="0.2">
      <c r="A1108" t="s">
        <v>2922</v>
      </c>
    </row>
    <row r="1109" spans="1:1" x14ac:dyDescent="0.2">
      <c r="A1109" t="s">
        <v>2923</v>
      </c>
    </row>
    <row r="1110" spans="1:1" x14ac:dyDescent="0.2">
      <c r="A1110" t="s">
        <v>2924</v>
      </c>
    </row>
    <row r="1111" spans="1:1" x14ac:dyDescent="0.2">
      <c r="A1111" t="s">
        <v>2925</v>
      </c>
    </row>
    <row r="1112" spans="1:1" x14ac:dyDescent="0.2">
      <c r="A1112" t="s">
        <v>2926</v>
      </c>
    </row>
    <row r="1113" spans="1:1" x14ac:dyDescent="0.2">
      <c r="A1113" t="s">
        <v>2927</v>
      </c>
    </row>
    <row r="1114" spans="1:1" x14ac:dyDescent="0.2">
      <c r="A1114" t="s">
        <v>2928</v>
      </c>
    </row>
    <row r="1115" spans="1:1" x14ac:dyDescent="0.2">
      <c r="A1115" t="s">
        <v>2929</v>
      </c>
    </row>
    <row r="1116" spans="1:1" x14ac:dyDescent="0.2">
      <c r="A1116" t="s">
        <v>2930</v>
      </c>
    </row>
    <row r="1117" spans="1:1" x14ac:dyDescent="0.2">
      <c r="A1117" t="s">
        <v>2931</v>
      </c>
    </row>
    <row r="1118" spans="1:1" x14ac:dyDescent="0.2">
      <c r="A1118" t="s">
        <v>2932</v>
      </c>
    </row>
    <row r="1119" spans="1:1" x14ac:dyDescent="0.2">
      <c r="A1119" t="s">
        <v>2933</v>
      </c>
    </row>
    <row r="1120" spans="1:1" x14ac:dyDescent="0.2">
      <c r="A1120" t="s">
        <v>2934</v>
      </c>
    </row>
    <row r="1121" spans="1:1" x14ac:dyDescent="0.2">
      <c r="A1121" t="s">
        <v>2935</v>
      </c>
    </row>
    <row r="1122" spans="1:1" x14ac:dyDescent="0.2">
      <c r="A1122" t="s">
        <v>2936</v>
      </c>
    </row>
    <row r="1123" spans="1:1" x14ac:dyDescent="0.2">
      <c r="A1123" t="s">
        <v>2937</v>
      </c>
    </row>
    <row r="1124" spans="1:1" x14ac:dyDescent="0.2">
      <c r="A1124" t="s">
        <v>2938</v>
      </c>
    </row>
    <row r="1125" spans="1:1" x14ac:dyDescent="0.2">
      <c r="A1125" t="s">
        <v>2939</v>
      </c>
    </row>
    <row r="1126" spans="1:1" x14ac:dyDescent="0.2">
      <c r="A1126" t="s">
        <v>2940</v>
      </c>
    </row>
    <row r="1127" spans="1:1" x14ac:dyDescent="0.2">
      <c r="A1127" t="s">
        <v>2941</v>
      </c>
    </row>
    <row r="1128" spans="1:1" x14ac:dyDescent="0.2">
      <c r="A1128" t="s">
        <v>2942</v>
      </c>
    </row>
    <row r="1129" spans="1:1" x14ac:dyDescent="0.2">
      <c r="A1129" t="s">
        <v>2943</v>
      </c>
    </row>
    <row r="1130" spans="1:1" x14ac:dyDescent="0.2">
      <c r="A1130" t="s">
        <v>2944</v>
      </c>
    </row>
    <row r="1131" spans="1:1" x14ac:dyDescent="0.2">
      <c r="A1131" t="s">
        <v>2945</v>
      </c>
    </row>
    <row r="1132" spans="1:1" x14ac:dyDescent="0.2">
      <c r="A1132" t="s">
        <v>2946</v>
      </c>
    </row>
    <row r="1133" spans="1:1" x14ac:dyDescent="0.2">
      <c r="A1133" t="s">
        <v>2947</v>
      </c>
    </row>
    <row r="1134" spans="1:1" x14ac:dyDescent="0.2">
      <c r="A1134" t="s">
        <v>2948</v>
      </c>
    </row>
    <row r="1135" spans="1:1" x14ac:dyDescent="0.2">
      <c r="A1135" t="s">
        <v>2949</v>
      </c>
    </row>
    <row r="1136" spans="1:1" x14ac:dyDescent="0.2">
      <c r="A1136" t="s">
        <v>2950</v>
      </c>
    </row>
    <row r="1137" spans="1:1" x14ac:dyDescent="0.2">
      <c r="A1137" t="s">
        <v>2951</v>
      </c>
    </row>
    <row r="1138" spans="1:1" x14ac:dyDescent="0.2">
      <c r="A1138" t="s">
        <v>2952</v>
      </c>
    </row>
    <row r="1139" spans="1:1" x14ac:dyDescent="0.2">
      <c r="A1139" t="s">
        <v>2953</v>
      </c>
    </row>
    <row r="1140" spans="1:1" x14ac:dyDescent="0.2">
      <c r="A1140" t="s">
        <v>2954</v>
      </c>
    </row>
    <row r="1141" spans="1:1" x14ac:dyDescent="0.2">
      <c r="A1141" t="s">
        <v>2955</v>
      </c>
    </row>
    <row r="1142" spans="1:1" x14ac:dyDescent="0.2">
      <c r="A1142" t="s">
        <v>2956</v>
      </c>
    </row>
    <row r="1143" spans="1:1" x14ac:dyDescent="0.2">
      <c r="A1143" t="s">
        <v>2957</v>
      </c>
    </row>
    <row r="1144" spans="1:1" x14ac:dyDescent="0.2">
      <c r="A1144" t="s">
        <v>2958</v>
      </c>
    </row>
    <row r="1145" spans="1:1" x14ac:dyDescent="0.2">
      <c r="A1145" t="s">
        <v>2959</v>
      </c>
    </row>
    <row r="1146" spans="1:1" x14ac:dyDescent="0.2">
      <c r="A1146" t="s">
        <v>2960</v>
      </c>
    </row>
    <row r="1147" spans="1:1" x14ac:dyDescent="0.2">
      <c r="A1147" t="s">
        <v>2961</v>
      </c>
    </row>
    <row r="1148" spans="1:1" x14ac:dyDescent="0.2">
      <c r="A1148" t="s">
        <v>2962</v>
      </c>
    </row>
    <row r="1149" spans="1:1" x14ac:dyDescent="0.2">
      <c r="A1149" t="s">
        <v>2963</v>
      </c>
    </row>
    <row r="1150" spans="1:1" x14ac:dyDescent="0.2">
      <c r="A1150" t="s">
        <v>2964</v>
      </c>
    </row>
    <row r="1151" spans="1:1" x14ac:dyDescent="0.2">
      <c r="A1151" t="s">
        <v>2965</v>
      </c>
    </row>
    <row r="1152" spans="1:1" x14ac:dyDescent="0.2">
      <c r="A1152" t="s">
        <v>2966</v>
      </c>
    </row>
    <row r="1153" spans="1:1" x14ac:dyDescent="0.2">
      <c r="A1153" t="s">
        <v>2967</v>
      </c>
    </row>
    <row r="1154" spans="1:1" x14ac:dyDescent="0.2">
      <c r="A1154" t="s">
        <v>2968</v>
      </c>
    </row>
    <row r="1155" spans="1:1" x14ac:dyDescent="0.2">
      <c r="A1155" t="s">
        <v>2969</v>
      </c>
    </row>
    <row r="1156" spans="1:1" x14ac:dyDescent="0.2">
      <c r="A1156" t="s">
        <v>2970</v>
      </c>
    </row>
    <row r="1157" spans="1:1" x14ac:dyDescent="0.2">
      <c r="A1157" t="s">
        <v>1691</v>
      </c>
    </row>
    <row r="1158" spans="1:1" x14ac:dyDescent="0.2">
      <c r="A1158" t="s">
        <v>1692</v>
      </c>
    </row>
    <row r="1159" spans="1:1" x14ac:dyDescent="0.2">
      <c r="A1159" t="s">
        <v>1693</v>
      </c>
    </row>
    <row r="1160" spans="1:1" x14ac:dyDescent="0.2">
      <c r="A1160" t="s">
        <v>1694</v>
      </c>
    </row>
    <row r="1161" spans="1:1" x14ac:dyDescent="0.2">
      <c r="A1161" t="s">
        <v>1695</v>
      </c>
    </row>
    <row r="1162" spans="1:1" x14ac:dyDescent="0.2">
      <c r="A1162" t="s">
        <v>1696</v>
      </c>
    </row>
    <row r="1163" spans="1:1" x14ac:dyDescent="0.2">
      <c r="A1163" t="s">
        <v>1697</v>
      </c>
    </row>
    <row r="1164" spans="1:1" x14ac:dyDescent="0.2">
      <c r="A1164" t="s">
        <v>1698</v>
      </c>
    </row>
    <row r="1165" spans="1:1" x14ac:dyDescent="0.2">
      <c r="A1165" t="s">
        <v>1699</v>
      </c>
    </row>
    <row r="1166" spans="1:1" x14ac:dyDescent="0.2">
      <c r="A1166" t="s">
        <v>1700</v>
      </c>
    </row>
    <row r="1167" spans="1:1" x14ac:dyDescent="0.2">
      <c r="A1167" t="s">
        <v>1701</v>
      </c>
    </row>
    <row r="1168" spans="1:1" x14ac:dyDescent="0.2">
      <c r="A1168" t="s">
        <v>1702</v>
      </c>
    </row>
    <row r="1169" spans="1:1" x14ac:dyDescent="0.2">
      <c r="A1169" t="s">
        <v>1703</v>
      </c>
    </row>
    <row r="1170" spans="1:1" x14ac:dyDescent="0.2">
      <c r="A1170" t="s">
        <v>1704</v>
      </c>
    </row>
    <row r="1171" spans="1:1" x14ac:dyDescent="0.2">
      <c r="A1171" t="s">
        <v>1705</v>
      </c>
    </row>
    <row r="1172" spans="1:1" x14ac:dyDescent="0.2">
      <c r="A1172" t="s">
        <v>1706</v>
      </c>
    </row>
    <row r="1173" spans="1:1" x14ac:dyDescent="0.2">
      <c r="A1173" t="s">
        <v>1707</v>
      </c>
    </row>
    <row r="1174" spans="1:1" x14ac:dyDescent="0.2">
      <c r="A1174" t="s">
        <v>1708</v>
      </c>
    </row>
    <row r="1175" spans="1:1" x14ac:dyDescent="0.2">
      <c r="A1175" t="s">
        <v>1709</v>
      </c>
    </row>
    <row r="1176" spans="1:1" x14ac:dyDescent="0.2">
      <c r="A1176" t="s">
        <v>1710</v>
      </c>
    </row>
    <row r="1177" spans="1:1" x14ac:dyDescent="0.2">
      <c r="A1177" t="s">
        <v>1711</v>
      </c>
    </row>
    <row r="1178" spans="1:1" x14ac:dyDescent="0.2">
      <c r="A1178" t="s">
        <v>1712</v>
      </c>
    </row>
    <row r="1179" spans="1:1" x14ac:dyDescent="0.2">
      <c r="A1179" t="s">
        <v>1713</v>
      </c>
    </row>
    <row r="1180" spans="1:1" x14ac:dyDescent="0.2">
      <c r="A1180" t="s">
        <v>1714</v>
      </c>
    </row>
    <row r="1181" spans="1:1" x14ac:dyDescent="0.2">
      <c r="A1181" t="s">
        <v>1715</v>
      </c>
    </row>
    <row r="1182" spans="1:1" x14ac:dyDescent="0.2">
      <c r="A1182" t="s">
        <v>1716</v>
      </c>
    </row>
    <row r="1183" spans="1:1" x14ac:dyDescent="0.2">
      <c r="A1183" t="s">
        <v>1717</v>
      </c>
    </row>
    <row r="1184" spans="1:1" x14ac:dyDescent="0.2">
      <c r="A1184" t="s">
        <v>1718</v>
      </c>
    </row>
    <row r="1185" spans="1:1" x14ac:dyDescent="0.2">
      <c r="A1185" t="s">
        <v>1719</v>
      </c>
    </row>
    <row r="1186" spans="1:1" x14ac:dyDescent="0.2">
      <c r="A1186" t="s">
        <v>1720</v>
      </c>
    </row>
    <row r="1187" spans="1:1" x14ac:dyDescent="0.2">
      <c r="A1187" t="s">
        <v>1721</v>
      </c>
    </row>
    <row r="1188" spans="1:1" x14ac:dyDescent="0.2">
      <c r="A1188" t="s">
        <v>1722</v>
      </c>
    </row>
    <row r="1189" spans="1:1" x14ac:dyDescent="0.2">
      <c r="A1189" t="s">
        <v>1723</v>
      </c>
    </row>
    <row r="1190" spans="1:1" x14ac:dyDescent="0.2">
      <c r="A1190" t="s">
        <v>1724</v>
      </c>
    </row>
    <row r="1191" spans="1:1" x14ac:dyDescent="0.2">
      <c r="A1191" t="s">
        <v>1725</v>
      </c>
    </row>
    <row r="1192" spans="1:1" x14ac:dyDescent="0.2">
      <c r="A1192" t="s">
        <v>1726</v>
      </c>
    </row>
    <row r="1193" spans="1:1" x14ac:dyDescent="0.2">
      <c r="A1193" t="s">
        <v>1727</v>
      </c>
    </row>
    <row r="1194" spans="1:1" x14ac:dyDescent="0.2">
      <c r="A1194" t="s">
        <v>1728</v>
      </c>
    </row>
    <row r="1195" spans="1:1" x14ac:dyDescent="0.2">
      <c r="A1195" t="s">
        <v>1729</v>
      </c>
    </row>
    <row r="1196" spans="1:1" x14ac:dyDescent="0.2">
      <c r="A1196" t="s">
        <v>1730</v>
      </c>
    </row>
    <row r="1197" spans="1:1" x14ac:dyDescent="0.2">
      <c r="A1197" t="s">
        <v>1731</v>
      </c>
    </row>
    <row r="1198" spans="1:1" x14ac:dyDescent="0.2">
      <c r="A1198" t="s">
        <v>1732</v>
      </c>
    </row>
    <row r="1199" spans="1:1" x14ac:dyDescent="0.2">
      <c r="A1199" t="s">
        <v>1733</v>
      </c>
    </row>
    <row r="1200" spans="1:1" x14ac:dyDescent="0.2">
      <c r="A1200" t="s">
        <v>1734</v>
      </c>
    </row>
    <row r="1201" spans="1:1" x14ac:dyDescent="0.2">
      <c r="A1201" t="s">
        <v>1735</v>
      </c>
    </row>
    <row r="1202" spans="1:1" x14ac:dyDescent="0.2">
      <c r="A1202" t="s">
        <v>1736</v>
      </c>
    </row>
    <row r="1203" spans="1:1" x14ac:dyDescent="0.2">
      <c r="A1203" t="s">
        <v>1737</v>
      </c>
    </row>
    <row r="1204" spans="1:1" x14ac:dyDescent="0.2">
      <c r="A1204" t="s">
        <v>1738</v>
      </c>
    </row>
    <row r="1205" spans="1:1" x14ac:dyDescent="0.2">
      <c r="A1205" t="s">
        <v>1739</v>
      </c>
    </row>
    <row r="1206" spans="1:1" x14ac:dyDescent="0.2">
      <c r="A1206" t="s">
        <v>1740</v>
      </c>
    </row>
    <row r="1207" spans="1:1" x14ac:dyDescent="0.2">
      <c r="A1207" t="s">
        <v>1741</v>
      </c>
    </row>
    <row r="1208" spans="1:1" x14ac:dyDescent="0.2">
      <c r="A1208" t="s">
        <v>1742</v>
      </c>
    </row>
    <row r="1209" spans="1:1" x14ac:dyDescent="0.2">
      <c r="A1209" t="s">
        <v>1743</v>
      </c>
    </row>
    <row r="1210" spans="1:1" x14ac:dyDescent="0.2">
      <c r="A1210" t="s">
        <v>1744</v>
      </c>
    </row>
    <row r="1211" spans="1:1" x14ac:dyDescent="0.2">
      <c r="A1211" t="s">
        <v>1745</v>
      </c>
    </row>
    <row r="1212" spans="1:1" x14ac:dyDescent="0.2">
      <c r="A1212" t="s">
        <v>1746</v>
      </c>
    </row>
    <row r="1213" spans="1:1" x14ac:dyDescent="0.2">
      <c r="A1213" t="s">
        <v>1747</v>
      </c>
    </row>
    <row r="1214" spans="1:1" x14ac:dyDescent="0.2">
      <c r="A1214" t="s">
        <v>1748</v>
      </c>
    </row>
    <row r="1215" spans="1:1" x14ac:dyDescent="0.2">
      <c r="A1215" t="s">
        <v>1749</v>
      </c>
    </row>
    <row r="1216" spans="1:1" x14ac:dyDescent="0.2">
      <c r="A1216" t="s">
        <v>1750</v>
      </c>
    </row>
    <row r="1217" spans="1:1" x14ac:dyDescent="0.2">
      <c r="A1217" t="s">
        <v>1751</v>
      </c>
    </row>
    <row r="1218" spans="1:1" x14ac:dyDescent="0.2">
      <c r="A1218" t="s">
        <v>1752</v>
      </c>
    </row>
    <row r="1219" spans="1:1" x14ac:dyDescent="0.2">
      <c r="A1219" t="s">
        <v>1753</v>
      </c>
    </row>
    <row r="1220" spans="1:1" x14ac:dyDescent="0.2">
      <c r="A1220" t="s">
        <v>1754</v>
      </c>
    </row>
    <row r="1221" spans="1:1" x14ac:dyDescent="0.2">
      <c r="A1221" t="s">
        <v>1755</v>
      </c>
    </row>
    <row r="1222" spans="1:1" x14ac:dyDescent="0.2">
      <c r="A1222" t="s">
        <v>1756</v>
      </c>
    </row>
    <row r="1223" spans="1:1" x14ac:dyDescent="0.2">
      <c r="A1223" t="s">
        <v>1757</v>
      </c>
    </row>
    <row r="1224" spans="1:1" x14ac:dyDescent="0.2">
      <c r="A1224" t="s">
        <v>1758</v>
      </c>
    </row>
    <row r="1225" spans="1:1" x14ac:dyDescent="0.2">
      <c r="A1225" t="s">
        <v>1759</v>
      </c>
    </row>
    <row r="1226" spans="1:1" x14ac:dyDescent="0.2">
      <c r="A1226" t="s">
        <v>1760</v>
      </c>
    </row>
    <row r="1227" spans="1:1" x14ac:dyDescent="0.2">
      <c r="A1227" t="s">
        <v>1761</v>
      </c>
    </row>
    <row r="1228" spans="1:1" x14ac:dyDescent="0.2">
      <c r="A1228" t="s">
        <v>1762</v>
      </c>
    </row>
    <row r="1229" spans="1:1" x14ac:dyDescent="0.2">
      <c r="A1229" t="s">
        <v>1763</v>
      </c>
    </row>
    <row r="1230" spans="1:1" x14ac:dyDescent="0.2">
      <c r="A1230" t="s">
        <v>1764</v>
      </c>
    </row>
    <row r="1231" spans="1:1" x14ac:dyDescent="0.2">
      <c r="A1231" t="s">
        <v>1765</v>
      </c>
    </row>
    <row r="1232" spans="1:1" x14ac:dyDescent="0.2">
      <c r="A1232" t="s">
        <v>1766</v>
      </c>
    </row>
    <row r="1233" spans="1:1" x14ac:dyDescent="0.2">
      <c r="A1233" t="s">
        <v>1767</v>
      </c>
    </row>
    <row r="1234" spans="1:1" x14ac:dyDescent="0.2">
      <c r="A1234" t="s">
        <v>1768</v>
      </c>
    </row>
    <row r="1235" spans="1:1" x14ac:dyDescent="0.2">
      <c r="A1235" t="s">
        <v>1769</v>
      </c>
    </row>
    <row r="1236" spans="1:1" x14ac:dyDescent="0.2">
      <c r="A1236" t="s">
        <v>1770</v>
      </c>
    </row>
    <row r="1237" spans="1:1" x14ac:dyDescent="0.2">
      <c r="A1237" t="s">
        <v>1771</v>
      </c>
    </row>
    <row r="1238" spans="1:1" x14ac:dyDescent="0.2">
      <c r="A1238" t="s">
        <v>1772</v>
      </c>
    </row>
    <row r="1239" spans="1:1" x14ac:dyDescent="0.2">
      <c r="A1239" t="s">
        <v>1773</v>
      </c>
    </row>
    <row r="1240" spans="1:1" x14ac:dyDescent="0.2">
      <c r="A1240" t="s">
        <v>1774</v>
      </c>
    </row>
    <row r="1241" spans="1:1" x14ac:dyDescent="0.2">
      <c r="A1241" t="s">
        <v>1775</v>
      </c>
    </row>
    <row r="1242" spans="1:1" x14ac:dyDescent="0.2">
      <c r="A1242" t="s">
        <v>1776</v>
      </c>
    </row>
    <row r="1243" spans="1:1" x14ac:dyDescent="0.2">
      <c r="A1243" t="s">
        <v>1777</v>
      </c>
    </row>
    <row r="1244" spans="1:1" x14ac:dyDescent="0.2">
      <c r="A1244" t="s">
        <v>1778</v>
      </c>
    </row>
    <row r="1245" spans="1:1" x14ac:dyDescent="0.2">
      <c r="A1245" t="s">
        <v>1779</v>
      </c>
    </row>
    <row r="1246" spans="1:1" x14ac:dyDescent="0.2">
      <c r="A1246" t="s">
        <v>1780</v>
      </c>
    </row>
    <row r="1247" spans="1:1" x14ac:dyDescent="0.2">
      <c r="A1247" t="s">
        <v>1781</v>
      </c>
    </row>
    <row r="1248" spans="1:1" x14ac:dyDescent="0.2">
      <c r="A1248" t="s">
        <v>1782</v>
      </c>
    </row>
    <row r="1249" spans="1:1" x14ac:dyDescent="0.2">
      <c r="A1249" t="s">
        <v>1783</v>
      </c>
    </row>
    <row r="1250" spans="1:1" x14ac:dyDescent="0.2">
      <c r="A1250" t="s">
        <v>1784</v>
      </c>
    </row>
    <row r="1251" spans="1:1" x14ac:dyDescent="0.2">
      <c r="A1251" t="s">
        <v>1785</v>
      </c>
    </row>
    <row r="1252" spans="1:1" x14ac:dyDescent="0.2">
      <c r="A1252" t="s">
        <v>1786</v>
      </c>
    </row>
    <row r="1253" spans="1:1" x14ac:dyDescent="0.2">
      <c r="A1253" t="s">
        <v>1787</v>
      </c>
    </row>
    <row r="1254" spans="1:1" x14ac:dyDescent="0.2">
      <c r="A1254" t="s">
        <v>1788</v>
      </c>
    </row>
    <row r="1255" spans="1:1" x14ac:dyDescent="0.2">
      <c r="A1255" t="s">
        <v>1789</v>
      </c>
    </row>
    <row r="1256" spans="1:1" x14ac:dyDescent="0.2">
      <c r="A1256" t="s">
        <v>1790</v>
      </c>
    </row>
    <row r="1257" spans="1:1" x14ac:dyDescent="0.2">
      <c r="A1257" t="s">
        <v>1791</v>
      </c>
    </row>
    <row r="1258" spans="1:1" x14ac:dyDescent="0.2">
      <c r="A1258" t="s">
        <v>1792</v>
      </c>
    </row>
    <row r="1259" spans="1:1" x14ac:dyDescent="0.2">
      <c r="A1259" t="s">
        <v>1793</v>
      </c>
    </row>
    <row r="1260" spans="1:1" x14ac:dyDescent="0.2">
      <c r="A1260" t="s">
        <v>1794</v>
      </c>
    </row>
    <row r="1261" spans="1:1" x14ac:dyDescent="0.2">
      <c r="A1261" t="s">
        <v>1795</v>
      </c>
    </row>
    <row r="1262" spans="1:1" x14ac:dyDescent="0.2">
      <c r="A1262" t="s">
        <v>1796</v>
      </c>
    </row>
    <row r="1263" spans="1:1" x14ac:dyDescent="0.2">
      <c r="A1263" t="s">
        <v>1797</v>
      </c>
    </row>
    <row r="1264" spans="1:1" x14ac:dyDescent="0.2">
      <c r="A1264" t="s">
        <v>1798</v>
      </c>
    </row>
    <row r="1265" spans="1:1" x14ac:dyDescent="0.2">
      <c r="A1265" t="s">
        <v>1799</v>
      </c>
    </row>
    <row r="1266" spans="1:1" x14ac:dyDescent="0.2">
      <c r="A1266" t="s">
        <v>1800</v>
      </c>
    </row>
    <row r="1267" spans="1:1" x14ac:dyDescent="0.2">
      <c r="A1267" t="s">
        <v>1801</v>
      </c>
    </row>
    <row r="1268" spans="1:1" x14ac:dyDescent="0.2">
      <c r="A1268" t="s">
        <v>1802</v>
      </c>
    </row>
    <row r="1269" spans="1:1" x14ac:dyDescent="0.2">
      <c r="A1269" t="s">
        <v>1803</v>
      </c>
    </row>
    <row r="1270" spans="1:1" x14ac:dyDescent="0.2">
      <c r="A1270" t="s">
        <v>1804</v>
      </c>
    </row>
    <row r="1271" spans="1:1" x14ac:dyDescent="0.2">
      <c r="A1271" t="s">
        <v>1805</v>
      </c>
    </row>
    <row r="1272" spans="1:1" x14ac:dyDescent="0.2">
      <c r="A1272" t="s">
        <v>1806</v>
      </c>
    </row>
    <row r="1273" spans="1:1" x14ac:dyDescent="0.2">
      <c r="A1273" t="s">
        <v>1807</v>
      </c>
    </row>
    <row r="1274" spans="1:1" x14ac:dyDescent="0.2">
      <c r="A1274" t="s">
        <v>1808</v>
      </c>
    </row>
    <row r="1275" spans="1:1" x14ac:dyDescent="0.2">
      <c r="A1275" t="s">
        <v>1809</v>
      </c>
    </row>
    <row r="1276" spans="1:1" x14ac:dyDescent="0.2">
      <c r="A1276" t="s">
        <v>1810</v>
      </c>
    </row>
    <row r="1277" spans="1:1" x14ac:dyDescent="0.2">
      <c r="A1277" t="s">
        <v>1811</v>
      </c>
    </row>
    <row r="1278" spans="1:1" x14ac:dyDescent="0.2">
      <c r="A1278" t="s">
        <v>1812</v>
      </c>
    </row>
    <row r="1279" spans="1:1" x14ac:dyDescent="0.2">
      <c r="A1279" t="s">
        <v>1813</v>
      </c>
    </row>
    <row r="1280" spans="1:1" x14ac:dyDescent="0.2">
      <c r="A1280" t="s">
        <v>1814</v>
      </c>
    </row>
    <row r="1281" spans="1:1" x14ac:dyDescent="0.2">
      <c r="A1281" t="s">
        <v>1815</v>
      </c>
    </row>
    <row r="1282" spans="1:1" x14ac:dyDescent="0.2">
      <c r="A1282" t="s">
        <v>1816</v>
      </c>
    </row>
    <row r="1283" spans="1:1" x14ac:dyDescent="0.2">
      <c r="A1283" t="s">
        <v>1817</v>
      </c>
    </row>
    <row r="1284" spans="1:1" x14ac:dyDescent="0.2">
      <c r="A1284" t="s">
        <v>1818</v>
      </c>
    </row>
    <row r="1285" spans="1:1" x14ac:dyDescent="0.2">
      <c r="A1285" t="s">
        <v>1819</v>
      </c>
    </row>
    <row r="1286" spans="1:1" x14ac:dyDescent="0.2">
      <c r="A1286" t="s">
        <v>1820</v>
      </c>
    </row>
    <row r="1287" spans="1:1" x14ac:dyDescent="0.2">
      <c r="A1287" t="s">
        <v>1821</v>
      </c>
    </row>
    <row r="1288" spans="1:1" x14ac:dyDescent="0.2">
      <c r="A1288" t="s">
        <v>1822</v>
      </c>
    </row>
    <row r="1289" spans="1:1" x14ac:dyDescent="0.2">
      <c r="A1289" t="s">
        <v>1823</v>
      </c>
    </row>
    <row r="1290" spans="1:1" x14ac:dyDescent="0.2">
      <c r="A1290" t="s">
        <v>1824</v>
      </c>
    </row>
    <row r="1291" spans="1:1" x14ac:dyDescent="0.2">
      <c r="A1291" t="s">
        <v>1825</v>
      </c>
    </row>
    <row r="1292" spans="1:1" x14ac:dyDescent="0.2">
      <c r="A1292" t="s">
        <v>1826</v>
      </c>
    </row>
    <row r="1293" spans="1:1" x14ac:dyDescent="0.2">
      <c r="A1293" t="s">
        <v>1827</v>
      </c>
    </row>
    <row r="1294" spans="1:1" x14ac:dyDescent="0.2">
      <c r="A1294" t="s">
        <v>1828</v>
      </c>
    </row>
    <row r="1295" spans="1:1" x14ac:dyDescent="0.2">
      <c r="A1295" t="s">
        <v>1829</v>
      </c>
    </row>
    <row r="1296" spans="1:1" x14ac:dyDescent="0.2">
      <c r="A1296" t="s">
        <v>1830</v>
      </c>
    </row>
    <row r="1297" spans="1:1" x14ac:dyDescent="0.2">
      <c r="A1297" t="s">
        <v>1831</v>
      </c>
    </row>
    <row r="1298" spans="1:1" x14ac:dyDescent="0.2">
      <c r="A1298" t="s">
        <v>1832</v>
      </c>
    </row>
    <row r="1299" spans="1:1" x14ac:dyDescent="0.2">
      <c r="A1299" t="s">
        <v>1833</v>
      </c>
    </row>
    <row r="1300" spans="1:1" x14ac:dyDescent="0.2">
      <c r="A1300" t="s">
        <v>1834</v>
      </c>
    </row>
    <row r="1301" spans="1:1" x14ac:dyDescent="0.2">
      <c r="A1301" t="s">
        <v>1835</v>
      </c>
    </row>
    <row r="1302" spans="1:1" x14ac:dyDescent="0.2">
      <c r="A1302" t="s">
        <v>1836</v>
      </c>
    </row>
    <row r="1303" spans="1:1" x14ac:dyDescent="0.2">
      <c r="A1303" t="s">
        <v>1837</v>
      </c>
    </row>
    <row r="1304" spans="1:1" x14ac:dyDescent="0.2">
      <c r="A1304" t="s">
        <v>1838</v>
      </c>
    </row>
    <row r="1305" spans="1:1" x14ac:dyDescent="0.2">
      <c r="A1305" t="s">
        <v>1839</v>
      </c>
    </row>
    <row r="1306" spans="1:1" x14ac:dyDescent="0.2">
      <c r="A1306" t="s">
        <v>1840</v>
      </c>
    </row>
    <row r="1307" spans="1:1" x14ac:dyDescent="0.2">
      <c r="A1307" t="s">
        <v>1841</v>
      </c>
    </row>
    <row r="1308" spans="1:1" x14ac:dyDescent="0.2">
      <c r="A1308" t="s">
        <v>1842</v>
      </c>
    </row>
    <row r="1309" spans="1:1" x14ac:dyDescent="0.2">
      <c r="A1309" t="s">
        <v>1843</v>
      </c>
    </row>
    <row r="1310" spans="1:1" x14ac:dyDescent="0.2">
      <c r="A1310" t="s">
        <v>1844</v>
      </c>
    </row>
    <row r="1311" spans="1:1" x14ac:dyDescent="0.2">
      <c r="A1311" t="s">
        <v>1845</v>
      </c>
    </row>
    <row r="1312" spans="1:1" x14ac:dyDescent="0.2">
      <c r="A1312" t="s">
        <v>1846</v>
      </c>
    </row>
    <row r="1313" spans="1:1" x14ac:dyDescent="0.2">
      <c r="A1313" t="s">
        <v>1847</v>
      </c>
    </row>
    <row r="1314" spans="1:1" x14ac:dyDescent="0.2">
      <c r="A1314" t="s">
        <v>1848</v>
      </c>
    </row>
    <row r="1315" spans="1:1" x14ac:dyDescent="0.2">
      <c r="A1315" t="s">
        <v>1849</v>
      </c>
    </row>
    <row r="1316" spans="1:1" x14ac:dyDescent="0.2">
      <c r="A1316" t="s">
        <v>1850</v>
      </c>
    </row>
    <row r="1317" spans="1:1" x14ac:dyDescent="0.2">
      <c r="A1317" t="s">
        <v>1851</v>
      </c>
    </row>
    <row r="1318" spans="1:1" x14ac:dyDescent="0.2">
      <c r="A1318" t="s">
        <v>1852</v>
      </c>
    </row>
    <row r="1319" spans="1:1" x14ac:dyDescent="0.2">
      <c r="A1319" t="s">
        <v>1853</v>
      </c>
    </row>
    <row r="1320" spans="1:1" x14ac:dyDescent="0.2">
      <c r="A1320" t="s">
        <v>1854</v>
      </c>
    </row>
    <row r="1321" spans="1:1" x14ac:dyDescent="0.2">
      <c r="A1321" t="s">
        <v>1855</v>
      </c>
    </row>
    <row r="1322" spans="1:1" x14ac:dyDescent="0.2">
      <c r="A1322" t="s">
        <v>1856</v>
      </c>
    </row>
    <row r="1323" spans="1:1" x14ac:dyDescent="0.2">
      <c r="A1323" t="s">
        <v>1857</v>
      </c>
    </row>
    <row r="1324" spans="1:1" x14ac:dyDescent="0.2">
      <c r="A1324" t="s">
        <v>1858</v>
      </c>
    </row>
    <row r="1325" spans="1:1" x14ac:dyDescent="0.2">
      <c r="A1325" t="s">
        <v>1859</v>
      </c>
    </row>
    <row r="1326" spans="1:1" x14ac:dyDescent="0.2">
      <c r="A1326" t="s">
        <v>1860</v>
      </c>
    </row>
    <row r="1327" spans="1:1" x14ac:dyDescent="0.2">
      <c r="A1327" t="s">
        <v>1861</v>
      </c>
    </row>
    <row r="1328" spans="1:1" x14ac:dyDescent="0.2">
      <c r="A1328" t="s">
        <v>1862</v>
      </c>
    </row>
    <row r="1329" spans="1:1" x14ac:dyDescent="0.2">
      <c r="A1329" t="s">
        <v>1863</v>
      </c>
    </row>
    <row r="1330" spans="1:1" x14ac:dyDescent="0.2">
      <c r="A1330" t="s">
        <v>1864</v>
      </c>
    </row>
    <row r="1331" spans="1:1" x14ac:dyDescent="0.2">
      <c r="A1331" t="s">
        <v>1865</v>
      </c>
    </row>
    <row r="1332" spans="1:1" x14ac:dyDescent="0.2">
      <c r="A1332" t="s">
        <v>1866</v>
      </c>
    </row>
    <row r="1333" spans="1:1" x14ac:dyDescent="0.2">
      <c r="A1333" t="s">
        <v>1867</v>
      </c>
    </row>
    <row r="1334" spans="1:1" x14ac:dyDescent="0.2">
      <c r="A1334" t="s">
        <v>1868</v>
      </c>
    </row>
    <row r="1335" spans="1:1" x14ac:dyDescent="0.2">
      <c r="A1335" t="s">
        <v>1869</v>
      </c>
    </row>
    <row r="1336" spans="1:1" x14ac:dyDescent="0.2">
      <c r="A1336" t="s">
        <v>1870</v>
      </c>
    </row>
    <row r="1337" spans="1:1" x14ac:dyDescent="0.2">
      <c r="A1337" t="s">
        <v>1871</v>
      </c>
    </row>
    <row r="1338" spans="1:1" x14ac:dyDescent="0.2">
      <c r="A1338" t="s">
        <v>1872</v>
      </c>
    </row>
    <row r="1339" spans="1:1" x14ac:dyDescent="0.2">
      <c r="A1339" t="s">
        <v>1873</v>
      </c>
    </row>
    <row r="1340" spans="1:1" x14ac:dyDescent="0.2">
      <c r="A1340" t="s">
        <v>1874</v>
      </c>
    </row>
    <row r="1341" spans="1:1" x14ac:dyDescent="0.2">
      <c r="A1341" t="s">
        <v>1875</v>
      </c>
    </row>
    <row r="1342" spans="1:1" x14ac:dyDescent="0.2">
      <c r="A1342" t="s">
        <v>1876</v>
      </c>
    </row>
    <row r="1343" spans="1:1" x14ac:dyDescent="0.2">
      <c r="A1343" t="s">
        <v>1877</v>
      </c>
    </row>
    <row r="1344" spans="1:1" x14ac:dyDescent="0.2">
      <c r="A1344" t="s">
        <v>1878</v>
      </c>
    </row>
    <row r="1345" spans="1:1" x14ac:dyDescent="0.2">
      <c r="A1345" t="s">
        <v>1879</v>
      </c>
    </row>
    <row r="1346" spans="1:1" x14ac:dyDescent="0.2">
      <c r="A1346" t="s">
        <v>1880</v>
      </c>
    </row>
    <row r="1347" spans="1:1" x14ac:dyDescent="0.2">
      <c r="A1347" t="s">
        <v>1881</v>
      </c>
    </row>
    <row r="1348" spans="1:1" x14ac:dyDescent="0.2">
      <c r="A1348" t="s">
        <v>1882</v>
      </c>
    </row>
    <row r="1349" spans="1:1" x14ac:dyDescent="0.2">
      <c r="A1349" t="s">
        <v>1883</v>
      </c>
    </row>
    <row r="1350" spans="1:1" x14ac:dyDescent="0.2">
      <c r="A1350" t="s">
        <v>1884</v>
      </c>
    </row>
    <row r="1351" spans="1:1" x14ac:dyDescent="0.2">
      <c r="A1351" t="s">
        <v>1885</v>
      </c>
    </row>
    <row r="1352" spans="1:1" x14ac:dyDescent="0.2">
      <c r="A1352" t="s">
        <v>1886</v>
      </c>
    </row>
    <row r="1353" spans="1:1" x14ac:dyDescent="0.2">
      <c r="A1353" t="s">
        <v>1887</v>
      </c>
    </row>
    <row r="1354" spans="1:1" x14ac:dyDescent="0.2">
      <c r="A1354" t="s">
        <v>1888</v>
      </c>
    </row>
    <row r="1355" spans="1:1" x14ac:dyDescent="0.2">
      <c r="A1355" t="s">
        <v>1889</v>
      </c>
    </row>
    <row r="1356" spans="1:1" x14ac:dyDescent="0.2">
      <c r="A1356" t="s">
        <v>1890</v>
      </c>
    </row>
    <row r="1357" spans="1:1" x14ac:dyDescent="0.2">
      <c r="A1357" t="s">
        <v>1891</v>
      </c>
    </row>
    <row r="1358" spans="1:1" x14ac:dyDescent="0.2">
      <c r="A1358" t="s">
        <v>1892</v>
      </c>
    </row>
    <row r="1359" spans="1:1" x14ac:dyDescent="0.2">
      <c r="A1359" t="s">
        <v>1893</v>
      </c>
    </row>
    <row r="1360" spans="1:1" x14ac:dyDescent="0.2">
      <c r="A1360" t="s">
        <v>1894</v>
      </c>
    </row>
    <row r="1361" spans="1:1" x14ac:dyDescent="0.2">
      <c r="A1361" t="s">
        <v>1895</v>
      </c>
    </row>
    <row r="1362" spans="1:1" x14ac:dyDescent="0.2">
      <c r="A1362" t="s">
        <v>1896</v>
      </c>
    </row>
    <row r="1363" spans="1:1" x14ac:dyDescent="0.2">
      <c r="A1363" t="s">
        <v>1897</v>
      </c>
    </row>
    <row r="1364" spans="1:1" x14ac:dyDescent="0.2">
      <c r="A1364" t="s">
        <v>1898</v>
      </c>
    </row>
    <row r="1365" spans="1:1" x14ac:dyDescent="0.2">
      <c r="A1365" t="s">
        <v>1899</v>
      </c>
    </row>
    <row r="1366" spans="1:1" x14ac:dyDescent="0.2">
      <c r="A1366" t="s">
        <v>1900</v>
      </c>
    </row>
    <row r="1367" spans="1:1" x14ac:dyDescent="0.2">
      <c r="A1367" t="s">
        <v>1901</v>
      </c>
    </row>
    <row r="1368" spans="1:1" x14ac:dyDescent="0.2">
      <c r="A1368" t="s">
        <v>1902</v>
      </c>
    </row>
    <row r="1369" spans="1:1" x14ac:dyDescent="0.2">
      <c r="A1369" t="s">
        <v>1903</v>
      </c>
    </row>
    <row r="1370" spans="1:1" x14ac:dyDescent="0.2">
      <c r="A1370" t="s">
        <v>1904</v>
      </c>
    </row>
    <row r="1371" spans="1:1" x14ac:dyDescent="0.2">
      <c r="A1371" t="s">
        <v>1905</v>
      </c>
    </row>
    <row r="1372" spans="1:1" x14ac:dyDescent="0.2">
      <c r="A1372" t="s">
        <v>1906</v>
      </c>
    </row>
    <row r="1373" spans="1:1" x14ac:dyDescent="0.2">
      <c r="A1373" t="s">
        <v>1907</v>
      </c>
    </row>
    <row r="1374" spans="1:1" x14ac:dyDescent="0.2">
      <c r="A1374" t="s">
        <v>1908</v>
      </c>
    </row>
    <row r="1375" spans="1:1" x14ac:dyDescent="0.2">
      <c r="A1375" t="s">
        <v>1909</v>
      </c>
    </row>
    <row r="1376" spans="1:1" x14ac:dyDescent="0.2">
      <c r="A1376" t="s">
        <v>1910</v>
      </c>
    </row>
    <row r="1377" spans="1:1" x14ac:dyDescent="0.2">
      <c r="A1377" t="s">
        <v>1911</v>
      </c>
    </row>
    <row r="1378" spans="1:1" x14ac:dyDescent="0.2">
      <c r="A1378" t="s">
        <v>1912</v>
      </c>
    </row>
    <row r="1379" spans="1:1" x14ac:dyDescent="0.2">
      <c r="A1379" t="s">
        <v>1913</v>
      </c>
    </row>
    <row r="1380" spans="1:1" x14ac:dyDescent="0.2">
      <c r="A1380" t="s">
        <v>1914</v>
      </c>
    </row>
    <row r="1381" spans="1:1" x14ac:dyDescent="0.2">
      <c r="A1381" t="s">
        <v>1915</v>
      </c>
    </row>
    <row r="1382" spans="1:1" x14ac:dyDescent="0.2">
      <c r="A1382" t="s">
        <v>1916</v>
      </c>
    </row>
    <row r="1383" spans="1:1" x14ac:dyDescent="0.2">
      <c r="A1383" t="s">
        <v>1917</v>
      </c>
    </row>
    <row r="1384" spans="1:1" x14ac:dyDescent="0.2">
      <c r="A1384" t="s">
        <v>1918</v>
      </c>
    </row>
    <row r="1385" spans="1:1" x14ac:dyDescent="0.2">
      <c r="A1385" t="s">
        <v>1919</v>
      </c>
    </row>
    <row r="1386" spans="1:1" x14ac:dyDescent="0.2">
      <c r="A1386" t="s">
        <v>1920</v>
      </c>
    </row>
    <row r="1387" spans="1:1" x14ac:dyDescent="0.2">
      <c r="A1387" t="s">
        <v>1921</v>
      </c>
    </row>
    <row r="1388" spans="1:1" x14ac:dyDescent="0.2">
      <c r="A1388" t="s">
        <v>1922</v>
      </c>
    </row>
    <row r="1389" spans="1:1" x14ac:dyDescent="0.2">
      <c r="A1389" t="s">
        <v>1923</v>
      </c>
    </row>
    <row r="1390" spans="1:1" x14ac:dyDescent="0.2">
      <c r="A1390" t="s">
        <v>1924</v>
      </c>
    </row>
    <row r="1391" spans="1:1" x14ac:dyDescent="0.2">
      <c r="A1391" t="s">
        <v>1925</v>
      </c>
    </row>
    <row r="1392" spans="1:1" x14ac:dyDescent="0.2">
      <c r="A1392" t="s">
        <v>1926</v>
      </c>
    </row>
    <row r="1393" spans="1:1" x14ac:dyDescent="0.2">
      <c r="A1393" t="s">
        <v>1927</v>
      </c>
    </row>
    <row r="1394" spans="1:1" x14ac:dyDescent="0.2">
      <c r="A1394" t="s">
        <v>1928</v>
      </c>
    </row>
    <row r="1395" spans="1:1" x14ac:dyDescent="0.2">
      <c r="A1395" t="s">
        <v>1929</v>
      </c>
    </row>
    <row r="1396" spans="1:1" x14ac:dyDescent="0.2">
      <c r="A1396" t="s">
        <v>1930</v>
      </c>
    </row>
    <row r="1397" spans="1:1" x14ac:dyDescent="0.2">
      <c r="A1397" t="s">
        <v>1931</v>
      </c>
    </row>
    <row r="1398" spans="1:1" x14ac:dyDescent="0.2">
      <c r="A1398" t="s">
        <v>1932</v>
      </c>
    </row>
    <row r="1399" spans="1:1" x14ac:dyDescent="0.2">
      <c r="A1399" t="s">
        <v>1933</v>
      </c>
    </row>
    <row r="1400" spans="1:1" x14ac:dyDescent="0.2">
      <c r="A1400" t="s">
        <v>1934</v>
      </c>
    </row>
    <row r="1401" spans="1:1" x14ac:dyDescent="0.2">
      <c r="A1401" t="s">
        <v>1935</v>
      </c>
    </row>
    <row r="1402" spans="1:1" x14ac:dyDescent="0.2">
      <c r="A1402" t="s">
        <v>1936</v>
      </c>
    </row>
    <row r="1403" spans="1:1" x14ac:dyDescent="0.2">
      <c r="A1403" t="s">
        <v>1937</v>
      </c>
    </row>
    <row r="1404" spans="1:1" x14ac:dyDescent="0.2">
      <c r="A1404" t="s">
        <v>1938</v>
      </c>
    </row>
    <row r="1405" spans="1:1" x14ac:dyDescent="0.2">
      <c r="A1405" t="s">
        <v>1939</v>
      </c>
    </row>
    <row r="1406" spans="1:1" x14ac:dyDescent="0.2">
      <c r="A1406" t="s">
        <v>1940</v>
      </c>
    </row>
    <row r="1407" spans="1:1" x14ac:dyDescent="0.2">
      <c r="A1407" t="s">
        <v>1941</v>
      </c>
    </row>
    <row r="1408" spans="1:1" x14ac:dyDescent="0.2">
      <c r="A1408" t="s">
        <v>1942</v>
      </c>
    </row>
    <row r="1409" spans="1:1" x14ac:dyDescent="0.2">
      <c r="A1409" t="s">
        <v>1904</v>
      </c>
    </row>
    <row r="1410" spans="1:1" x14ac:dyDescent="0.2">
      <c r="A1410" t="s">
        <v>1905</v>
      </c>
    </row>
    <row r="1411" spans="1:1" x14ac:dyDescent="0.2">
      <c r="A1411" t="s">
        <v>1906</v>
      </c>
    </row>
    <row r="1412" spans="1:1" x14ac:dyDescent="0.2">
      <c r="A1412" t="s">
        <v>1907</v>
      </c>
    </row>
    <row r="1413" spans="1:1" x14ac:dyDescent="0.2">
      <c r="A1413" t="s">
        <v>1908</v>
      </c>
    </row>
    <row r="1414" spans="1:1" x14ac:dyDescent="0.2">
      <c r="A1414" t="s">
        <v>1909</v>
      </c>
    </row>
    <row r="1415" spans="1:1" x14ac:dyDescent="0.2">
      <c r="A1415" t="s">
        <v>1910</v>
      </c>
    </row>
    <row r="1416" spans="1:1" x14ac:dyDescent="0.2">
      <c r="A1416" t="s">
        <v>1911</v>
      </c>
    </row>
    <row r="1417" spans="1:1" x14ac:dyDescent="0.2">
      <c r="A1417" t="s">
        <v>1912</v>
      </c>
    </row>
    <row r="1418" spans="1:1" x14ac:dyDescent="0.2">
      <c r="A1418" t="s">
        <v>1913</v>
      </c>
    </row>
    <row r="1419" spans="1:1" x14ac:dyDescent="0.2">
      <c r="A1419" t="s">
        <v>1914</v>
      </c>
    </row>
    <row r="1420" spans="1:1" x14ac:dyDescent="0.2">
      <c r="A1420" t="s">
        <v>1915</v>
      </c>
    </row>
    <row r="1421" spans="1:1" x14ac:dyDescent="0.2">
      <c r="A1421" t="s">
        <v>1916</v>
      </c>
    </row>
    <row r="1422" spans="1:1" x14ac:dyDescent="0.2">
      <c r="A1422" t="s">
        <v>1917</v>
      </c>
    </row>
    <row r="1423" spans="1:1" x14ac:dyDescent="0.2">
      <c r="A1423" t="s">
        <v>1918</v>
      </c>
    </row>
    <row r="1424" spans="1:1" x14ac:dyDescent="0.2">
      <c r="A1424" t="s">
        <v>1919</v>
      </c>
    </row>
    <row r="1425" spans="1:1" x14ac:dyDescent="0.2">
      <c r="A1425" t="s">
        <v>1920</v>
      </c>
    </row>
    <row r="1426" spans="1:1" x14ac:dyDescent="0.2">
      <c r="A1426" t="s">
        <v>1921</v>
      </c>
    </row>
    <row r="1427" spans="1:1" x14ac:dyDescent="0.2">
      <c r="A1427" t="s">
        <v>1922</v>
      </c>
    </row>
    <row r="1428" spans="1:1" x14ac:dyDescent="0.2">
      <c r="A1428" t="s">
        <v>1923</v>
      </c>
    </row>
    <row r="1429" spans="1:1" x14ac:dyDescent="0.2">
      <c r="A1429" t="s">
        <v>1924</v>
      </c>
    </row>
    <row r="1430" spans="1:1" x14ac:dyDescent="0.2">
      <c r="A1430" t="s">
        <v>1925</v>
      </c>
    </row>
    <row r="1431" spans="1:1" x14ac:dyDescent="0.2">
      <c r="A1431" t="s">
        <v>1926</v>
      </c>
    </row>
    <row r="1432" spans="1:1" x14ac:dyDescent="0.2">
      <c r="A1432" t="s">
        <v>1927</v>
      </c>
    </row>
    <row r="1433" spans="1:1" x14ac:dyDescent="0.2">
      <c r="A1433" t="s">
        <v>1928</v>
      </c>
    </row>
    <row r="1434" spans="1:1" x14ac:dyDescent="0.2">
      <c r="A1434" t="s">
        <v>1929</v>
      </c>
    </row>
    <row r="1435" spans="1:1" x14ac:dyDescent="0.2">
      <c r="A1435" t="s">
        <v>1930</v>
      </c>
    </row>
    <row r="1436" spans="1:1" x14ac:dyDescent="0.2">
      <c r="A1436" t="s">
        <v>1931</v>
      </c>
    </row>
    <row r="1437" spans="1:1" x14ac:dyDescent="0.2">
      <c r="A1437" t="s">
        <v>1932</v>
      </c>
    </row>
    <row r="1438" spans="1:1" x14ac:dyDescent="0.2">
      <c r="A1438" t="s">
        <v>1933</v>
      </c>
    </row>
    <row r="1439" spans="1:1" x14ac:dyDescent="0.2">
      <c r="A1439" t="s">
        <v>1934</v>
      </c>
    </row>
    <row r="1440" spans="1:1" x14ac:dyDescent="0.2">
      <c r="A1440" t="s">
        <v>1935</v>
      </c>
    </row>
    <row r="1441" spans="1:1" x14ac:dyDescent="0.2">
      <c r="A1441" t="s">
        <v>1936</v>
      </c>
    </row>
    <row r="1442" spans="1:1" x14ac:dyDescent="0.2">
      <c r="A1442" t="s">
        <v>1937</v>
      </c>
    </row>
    <row r="1443" spans="1:1" x14ac:dyDescent="0.2">
      <c r="A1443" t="s">
        <v>1938</v>
      </c>
    </row>
    <row r="1444" spans="1:1" x14ac:dyDescent="0.2">
      <c r="A1444" t="s">
        <v>1939</v>
      </c>
    </row>
    <row r="1445" spans="1:1" x14ac:dyDescent="0.2">
      <c r="A1445" t="s">
        <v>1940</v>
      </c>
    </row>
    <row r="1446" spans="1:1" x14ac:dyDescent="0.2">
      <c r="A1446" t="s">
        <v>1941</v>
      </c>
    </row>
    <row r="1447" spans="1:1" x14ac:dyDescent="0.2">
      <c r="A1447" t="s">
        <v>1943</v>
      </c>
    </row>
    <row r="1448" spans="1:1" x14ac:dyDescent="0.2">
      <c r="A1448" t="s">
        <v>1904</v>
      </c>
    </row>
    <row r="1449" spans="1:1" x14ac:dyDescent="0.2">
      <c r="A1449" t="s">
        <v>1905</v>
      </c>
    </row>
    <row r="1450" spans="1:1" x14ac:dyDescent="0.2">
      <c r="A1450" t="s">
        <v>1944</v>
      </c>
    </row>
    <row r="1451" spans="1:1" x14ac:dyDescent="0.2">
      <c r="A1451" t="s">
        <v>1907</v>
      </c>
    </row>
    <row r="1452" spans="1:1" x14ac:dyDescent="0.2">
      <c r="A1452" t="s">
        <v>1945</v>
      </c>
    </row>
    <row r="1453" spans="1:1" x14ac:dyDescent="0.2">
      <c r="A1453" t="s">
        <v>1909</v>
      </c>
    </row>
    <row r="1454" spans="1:1" x14ac:dyDescent="0.2">
      <c r="A1454" t="s">
        <v>1910</v>
      </c>
    </row>
    <row r="1455" spans="1:1" x14ac:dyDescent="0.2">
      <c r="A1455" t="s">
        <v>1911</v>
      </c>
    </row>
    <row r="1456" spans="1:1" x14ac:dyDescent="0.2">
      <c r="A1456" t="s">
        <v>1912</v>
      </c>
    </row>
    <row r="1457" spans="1:1" x14ac:dyDescent="0.2">
      <c r="A1457" t="s">
        <v>1946</v>
      </c>
    </row>
    <row r="1458" spans="1:1" x14ac:dyDescent="0.2">
      <c r="A1458" t="s">
        <v>1947</v>
      </c>
    </row>
    <row r="1459" spans="1:1" x14ac:dyDescent="0.2">
      <c r="A1459" t="s">
        <v>1948</v>
      </c>
    </row>
    <row r="1460" spans="1:1" x14ac:dyDescent="0.2">
      <c r="A1460" t="s">
        <v>1916</v>
      </c>
    </row>
    <row r="1461" spans="1:1" x14ac:dyDescent="0.2">
      <c r="A1461" t="s">
        <v>1949</v>
      </c>
    </row>
    <row r="1462" spans="1:1" x14ac:dyDescent="0.2">
      <c r="A1462" t="s">
        <v>1950</v>
      </c>
    </row>
    <row r="1463" spans="1:1" x14ac:dyDescent="0.2">
      <c r="A1463" t="s">
        <v>1919</v>
      </c>
    </row>
    <row r="1464" spans="1:1" x14ac:dyDescent="0.2">
      <c r="A1464" t="s">
        <v>1951</v>
      </c>
    </row>
    <row r="1465" spans="1:1" x14ac:dyDescent="0.2">
      <c r="A1465" t="s">
        <v>1921</v>
      </c>
    </row>
    <row r="1466" spans="1:1" x14ac:dyDescent="0.2">
      <c r="A1466" t="s">
        <v>1922</v>
      </c>
    </row>
    <row r="1467" spans="1:1" x14ac:dyDescent="0.2">
      <c r="A1467" t="s">
        <v>1923</v>
      </c>
    </row>
    <row r="1468" spans="1:1" x14ac:dyDescent="0.2">
      <c r="A1468" t="s">
        <v>1924</v>
      </c>
    </row>
    <row r="1469" spans="1:1" x14ac:dyDescent="0.2">
      <c r="A1469" t="s">
        <v>1925</v>
      </c>
    </row>
    <row r="1470" spans="1:1" x14ac:dyDescent="0.2">
      <c r="A1470" t="s">
        <v>1926</v>
      </c>
    </row>
    <row r="1471" spans="1:1" x14ac:dyDescent="0.2">
      <c r="A1471" t="s">
        <v>1927</v>
      </c>
    </row>
    <row r="1472" spans="1:1" x14ac:dyDescent="0.2">
      <c r="A1472" t="s">
        <v>1928</v>
      </c>
    </row>
    <row r="1473" spans="1:1" x14ac:dyDescent="0.2">
      <c r="A1473" t="s">
        <v>1929</v>
      </c>
    </row>
    <row r="1474" spans="1:1" x14ac:dyDescent="0.2">
      <c r="A1474" t="s">
        <v>1930</v>
      </c>
    </row>
    <row r="1475" spans="1:1" x14ac:dyDescent="0.2">
      <c r="A1475" t="s">
        <v>1931</v>
      </c>
    </row>
    <row r="1476" spans="1:1" x14ac:dyDescent="0.2">
      <c r="A1476" t="s">
        <v>1932</v>
      </c>
    </row>
    <row r="1477" spans="1:1" x14ac:dyDescent="0.2">
      <c r="A1477" t="s">
        <v>1933</v>
      </c>
    </row>
    <row r="1478" spans="1:1" x14ac:dyDescent="0.2">
      <c r="A1478" t="s">
        <v>1934</v>
      </c>
    </row>
    <row r="1479" spans="1:1" x14ac:dyDescent="0.2">
      <c r="A1479" t="s">
        <v>1935</v>
      </c>
    </row>
    <row r="1480" spans="1:1" x14ac:dyDescent="0.2">
      <c r="A1480" t="s">
        <v>1952</v>
      </c>
    </row>
    <row r="1481" spans="1:1" x14ac:dyDescent="0.2">
      <c r="A1481" t="s">
        <v>1953</v>
      </c>
    </row>
    <row r="1482" spans="1:1" x14ac:dyDescent="0.2">
      <c r="A1482" t="s">
        <v>1938</v>
      </c>
    </row>
    <row r="1483" spans="1:1" x14ac:dyDescent="0.2">
      <c r="A1483" t="s">
        <v>1954</v>
      </c>
    </row>
    <row r="1484" spans="1:1" x14ac:dyDescent="0.2">
      <c r="A1484" t="s">
        <v>1940</v>
      </c>
    </row>
    <row r="1485" spans="1:1" x14ac:dyDescent="0.2">
      <c r="A1485" t="s">
        <v>1941</v>
      </c>
    </row>
    <row r="1486" spans="1:1" x14ac:dyDescent="0.2">
      <c r="A1486" t="s">
        <v>1955</v>
      </c>
    </row>
    <row r="1487" spans="1:1" x14ac:dyDescent="0.2">
      <c r="A1487" t="s">
        <v>1904</v>
      </c>
    </row>
    <row r="1488" spans="1:1" x14ac:dyDescent="0.2">
      <c r="A1488" t="s">
        <v>1905</v>
      </c>
    </row>
    <row r="1489" spans="1:1" x14ac:dyDescent="0.2">
      <c r="A1489" t="s">
        <v>1944</v>
      </c>
    </row>
    <row r="1490" spans="1:1" x14ac:dyDescent="0.2">
      <c r="A1490" t="s">
        <v>1907</v>
      </c>
    </row>
    <row r="1491" spans="1:1" x14ac:dyDescent="0.2">
      <c r="A1491" t="s">
        <v>1945</v>
      </c>
    </row>
    <row r="1492" spans="1:1" x14ac:dyDescent="0.2">
      <c r="A1492" t="s">
        <v>1909</v>
      </c>
    </row>
    <row r="1493" spans="1:1" x14ac:dyDescent="0.2">
      <c r="A1493" t="s">
        <v>1910</v>
      </c>
    </row>
    <row r="1494" spans="1:1" x14ac:dyDescent="0.2">
      <c r="A1494" t="s">
        <v>1911</v>
      </c>
    </row>
    <row r="1495" spans="1:1" x14ac:dyDescent="0.2">
      <c r="A1495" t="s">
        <v>1912</v>
      </c>
    </row>
    <row r="1496" spans="1:1" x14ac:dyDescent="0.2">
      <c r="A1496" t="s">
        <v>1956</v>
      </c>
    </row>
    <row r="1497" spans="1:1" x14ac:dyDescent="0.2">
      <c r="A1497" t="s">
        <v>1947</v>
      </c>
    </row>
    <row r="1498" spans="1:1" x14ac:dyDescent="0.2">
      <c r="A1498" t="s">
        <v>1948</v>
      </c>
    </row>
    <row r="1499" spans="1:1" x14ac:dyDescent="0.2">
      <c r="A1499" t="s">
        <v>1916</v>
      </c>
    </row>
    <row r="1500" spans="1:1" x14ac:dyDescent="0.2">
      <c r="A1500" t="s">
        <v>1949</v>
      </c>
    </row>
    <row r="1501" spans="1:1" x14ac:dyDescent="0.2">
      <c r="A1501" t="s">
        <v>1950</v>
      </c>
    </row>
    <row r="1502" spans="1:1" x14ac:dyDescent="0.2">
      <c r="A1502" t="s">
        <v>1919</v>
      </c>
    </row>
    <row r="1503" spans="1:1" x14ac:dyDescent="0.2">
      <c r="A1503" t="s">
        <v>1951</v>
      </c>
    </row>
    <row r="1504" spans="1:1" x14ac:dyDescent="0.2">
      <c r="A1504" t="s">
        <v>1921</v>
      </c>
    </row>
    <row r="1505" spans="1:1" x14ac:dyDescent="0.2">
      <c r="A1505" t="s">
        <v>1922</v>
      </c>
    </row>
    <row r="1506" spans="1:1" x14ac:dyDescent="0.2">
      <c r="A1506" t="s">
        <v>1923</v>
      </c>
    </row>
    <row r="1507" spans="1:1" x14ac:dyDescent="0.2">
      <c r="A1507" t="s">
        <v>1924</v>
      </c>
    </row>
    <row r="1508" spans="1:1" x14ac:dyDescent="0.2">
      <c r="A1508" t="s">
        <v>1925</v>
      </c>
    </row>
    <row r="1509" spans="1:1" x14ac:dyDescent="0.2">
      <c r="A1509" t="s">
        <v>1926</v>
      </c>
    </row>
    <row r="1510" spans="1:1" x14ac:dyDescent="0.2">
      <c r="A1510" t="s">
        <v>1927</v>
      </c>
    </row>
    <row r="1511" spans="1:1" x14ac:dyDescent="0.2">
      <c r="A1511" t="s">
        <v>1928</v>
      </c>
    </row>
    <row r="1512" spans="1:1" x14ac:dyDescent="0.2">
      <c r="A1512" t="s">
        <v>1929</v>
      </c>
    </row>
    <row r="1513" spans="1:1" x14ac:dyDescent="0.2">
      <c r="A1513" t="s">
        <v>1930</v>
      </c>
    </row>
    <row r="1514" spans="1:1" x14ac:dyDescent="0.2">
      <c r="A1514" t="s">
        <v>1931</v>
      </c>
    </row>
    <row r="1515" spans="1:1" x14ac:dyDescent="0.2">
      <c r="A1515" t="s">
        <v>1932</v>
      </c>
    </row>
    <row r="1516" spans="1:1" x14ac:dyDescent="0.2">
      <c r="A1516" t="s">
        <v>1933</v>
      </c>
    </row>
    <row r="1517" spans="1:1" x14ac:dyDescent="0.2">
      <c r="A1517" t="s">
        <v>1934</v>
      </c>
    </row>
    <row r="1518" spans="1:1" x14ac:dyDescent="0.2">
      <c r="A1518" t="s">
        <v>1935</v>
      </c>
    </row>
    <row r="1519" spans="1:1" x14ac:dyDescent="0.2">
      <c r="A1519" t="s">
        <v>1952</v>
      </c>
    </row>
    <row r="1520" spans="1:1" x14ac:dyDescent="0.2">
      <c r="A1520" t="s">
        <v>1953</v>
      </c>
    </row>
    <row r="1521" spans="1:1" x14ac:dyDescent="0.2">
      <c r="A1521" t="s">
        <v>1938</v>
      </c>
    </row>
    <row r="1522" spans="1:1" x14ac:dyDescent="0.2">
      <c r="A1522" t="s">
        <v>1954</v>
      </c>
    </row>
    <row r="1523" spans="1:1" x14ac:dyDescent="0.2">
      <c r="A1523" t="s">
        <v>1940</v>
      </c>
    </row>
    <row r="1524" spans="1:1" x14ac:dyDescent="0.2">
      <c r="A1524" t="s">
        <v>1941</v>
      </c>
    </row>
    <row r="1525" spans="1:1" x14ac:dyDescent="0.2">
      <c r="A1525" t="s">
        <v>1957</v>
      </c>
    </row>
    <row r="1526" spans="1:1" x14ac:dyDescent="0.2">
      <c r="A1526" t="s">
        <v>1904</v>
      </c>
    </row>
    <row r="1527" spans="1:1" x14ac:dyDescent="0.2">
      <c r="A1527" t="s">
        <v>1905</v>
      </c>
    </row>
    <row r="1528" spans="1:1" x14ac:dyDescent="0.2">
      <c r="A1528" t="s">
        <v>1944</v>
      </c>
    </row>
    <row r="1529" spans="1:1" x14ac:dyDescent="0.2">
      <c r="A1529" t="s">
        <v>1907</v>
      </c>
    </row>
    <row r="1530" spans="1:1" x14ac:dyDescent="0.2">
      <c r="A1530" t="s">
        <v>1945</v>
      </c>
    </row>
    <row r="1531" spans="1:1" x14ac:dyDescent="0.2">
      <c r="A1531" t="s">
        <v>1909</v>
      </c>
    </row>
    <row r="1532" spans="1:1" x14ac:dyDescent="0.2">
      <c r="A1532" t="s">
        <v>1910</v>
      </c>
    </row>
    <row r="1533" spans="1:1" x14ac:dyDescent="0.2">
      <c r="A1533" t="s">
        <v>1911</v>
      </c>
    </row>
    <row r="1534" spans="1:1" x14ac:dyDescent="0.2">
      <c r="A1534" t="s">
        <v>1912</v>
      </c>
    </row>
    <row r="1535" spans="1:1" x14ac:dyDescent="0.2">
      <c r="A1535" t="s">
        <v>1913</v>
      </c>
    </row>
    <row r="1536" spans="1:1" x14ac:dyDescent="0.2">
      <c r="A1536" t="s">
        <v>1947</v>
      </c>
    </row>
    <row r="1537" spans="1:1" x14ac:dyDescent="0.2">
      <c r="A1537" t="s">
        <v>1948</v>
      </c>
    </row>
    <row r="1538" spans="1:1" x14ac:dyDescent="0.2">
      <c r="A1538" t="s">
        <v>1916</v>
      </c>
    </row>
    <row r="1539" spans="1:1" x14ac:dyDescent="0.2">
      <c r="A1539" t="s">
        <v>1949</v>
      </c>
    </row>
    <row r="1540" spans="1:1" x14ac:dyDescent="0.2">
      <c r="A1540" t="s">
        <v>1950</v>
      </c>
    </row>
    <row r="1541" spans="1:1" x14ac:dyDescent="0.2">
      <c r="A1541" t="s">
        <v>1919</v>
      </c>
    </row>
    <row r="1542" spans="1:1" x14ac:dyDescent="0.2">
      <c r="A1542" t="s">
        <v>1951</v>
      </c>
    </row>
    <row r="1543" spans="1:1" x14ac:dyDescent="0.2">
      <c r="A1543" t="s">
        <v>1921</v>
      </c>
    </row>
    <row r="1544" spans="1:1" x14ac:dyDescent="0.2">
      <c r="A1544" t="s">
        <v>1922</v>
      </c>
    </row>
    <row r="1545" spans="1:1" x14ac:dyDescent="0.2">
      <c r="A1545" t="s">
        <v>1923</v>
      </c>
    </row>
    <row r="1546" spans="1:1" x14ac:dyDescent="0.2">
      <c r="A1546" t="s">
        <v>1924</v>
      </c>
    </row>
    <row r="1547" spans="1:1" x14ac:dyDescent="0.2">
      <c r="A1547" t="s">
        <v>1925</v>
      </c>
    </row>
    <row r="1548" spans="1:1" x14ac:dyDescent="0.2">
      <c r="A1548" t="s">
        <v>1926</v>
      </c>
    </row>
    <row r="1549" spans="1:1" x14ac:dyDescent="0.2">
      <c r="A1549" t="s">
        <v>1927</v>
      </c>
    </row>
    <row r="1550" spans="1:1" x14ac:dyDescent="0.2">
      <c r="A1550" t="s">
        <v>1928</v>
      </c>
    </row>
    <row r="1551" spans="1:1" x14ac:dyDescent="0.2">
      <c r="A1551" t="s">
        <v>1929</v>
      </c>
    </row>
    <row r="1552" spans="1:1" x14ac:dyDescent="0.2">
      <c r="A1552" t="s">
        <v>1930</v>
      </c>
    </row>
    <row r="1553" spans="1:1" x14ac:dyDescent="0.2">
      <c r="A1553" t="s">
        <v>1931</v>
      </c>
    </row>
    <row r="1554" spans="1:1" x14ac:dyDescent="0.2">
      <c r="A1554" t="s">
        <v>1932</v>
      </c>
    </row>
    <row r="1555" spans="1:1" x14ac:dyDescent="0.2">
      <c r="A1555" t="s">
        <v>1933</v>
      </c>
    </row>
    <row r="1556" spans="1:1" x14ac:dyDescent="0.2">
      <c r="A1556" t="s">
        <v>1934</v>
      </c>
    </row>
    <row r="1557" spans="1:1" x14ac:dyDescent="0.2">
      <c r="A1557" t="s">
        <v>1935</v>
      </c>
    </row>
    <row r="1558" spans="1:1" x14ac:dyDescent="0.2">
      <c r="A1558" t="s">
        <v>1952</v>
      </c>
    </row>
    <row r="1559" spans="1:1" x14ac:dyDescent="0.2">
      <c r="A1559" t="s">
        <v>1953</v>
      </c>
    </row>
    <row r="1560" spans="1:1" x14ac:dyDescent="0.2">
      <c r="A1560" t="s">
        <v>1938</v>
      </c>
    </row>
    <row r="1561" spans="1:1" x14ac:dyDescent="0.2">
      <c r="A1561" t="s">
        <v>1954</v>
      </c>
    </row>
    <row r="1562" spans="1:1" x14ac:dyDescent="0.2">
      <c r="A1562" t="s">
        <v>1940</v>
      </c>
    </row>
    <row r="1563" spans="1:1" x14ac:dyDescent="0.2">
      <c r="A1563" t="s">
        <v>1941</v>
      </c>
    </row>
    <row r="1564" spans="1:1" x14ac:dyDescent="0.2">
      <c r="A1564" t="s">
        <v>1958</v>
      </c>
    </row>
    <row r="1565" spans="1:1" x14ac:dyDescent="0.2">
      <c r="A1565" t="s">
        <v>1904</v>
      </c>
    </row>
    <row r="1566" spans="1:1" x14ac:dyDescent="0.2">
      <c r="A1566" t="s">
        <v>1905</v>
      </c>
    </row>
    <row r="1567" spans="1:1" x14ac:dyDescent="0.2">
      <c r="A1567" t="s">
        <v>1906</v>
      </c>
    </row>
    <row r="1568" spans="1:1" x14ac:dyDescent="0.2">
      <c r="A1568" t="s">
        <v>1907</v>
      </c>
    </row>
    <row r="1569" spans="1:1" x14ac:dyDescent="0.2">
      <c r="A1569" t="s">
        <v>1908</v>
      </c>
    </row>
    <row r="1570" spans="1:1" x14ac:dyDescent="0.2">
      <c r="A1570" t="s">
        <v>1909</v>
      </c>
    </row>
    <row r="1571" spans="1:1" x14ac:dyDescent="0.2">
      <c r="A1571" t="s">
        <v>1910</v>
      </c>
    </row>
    <row r="1572" spans="1:1" x14ac:dyDescent="0.2">
      <c r="A1572" t="s">
        <v>1911</v>
      </c>
    </row>
    <row r="1573" spans="1:1" x14ac:dyDescent="0.2">
      <c r="A1573" t="s">
        <v>1912</v>
      </c>
    </row>
    <row r="1574" spans="1:1" x14ac:dyDescent="0.2">
      <c r="A1574" t="s">
        <v>1913</v>
      </c>
    </row>
    <row r="1575" spans="1:1" x14ac:dyDescent="0.2">
      <c r="A1575" t="s">
        <v>1914</v>
      </c>
    </row>
    <row r="1576" spans="1:1" x14ac:dyDescent="0.2">
      <c r="A1576" t="s">
        <v>1915</v>
      </c>
    </row>
    <row r="1577" spans="1:1" x14ac:dyDescent="0.2">
      <c r="A1577" t="s">
        <v>1916</v>
      </c>
    </row>
    <row r="1578" spans="1:1" x14ac:dyDescent="0.2">
      <c r="A1578" t="s">
        <v>1917</v>
      </c>
    </row>
    <row r="1579" spans="1:1" x14ac:dyDescent="0.2">
      <c r="A1579" t="s">
        <v>1918</v>
      </c>
    </row>
    <row r="1580" spans="1:1" x14ac:dyDescent="0.2">
      <c r="A1580" t="s">
        <v>1919</v>
      </c>
    </row>
    <row r="1581" spans="1:1" x14ac:dyDescent="0.2">
      <c r="A1581" t="s">
        <v>1920</v>
      </c>
    </row>
    <row r="1582" spans="1:1" x14ac:dyDescent="0.2">
      <c r="A1582" t="s">
        <v>1921</v>
      </c>
    </row>
    <row r="1583" spans="1:1" x14ac:dyDescent="0.2">
      <c r="A1583" t="s">
        <v>1922</v>
      </c>
    </row>
    <row r="1584" spans="1:1" x14ac:dyDescent="0.2">
      <c r="A1584" t="s">
        <v>1923</v>
      </c>
    </row>
    <row r="1585" spans="1:1" x14ac:dyDescent="0.2">
      <c r="A1585" t="s">
        <v>1924</v>
      </c>
    </row>
    <row r="1586" spans="1:1" x14ac:dyDescent="0.2">
      <c r="A1586" t="s">
        <v>1925</v>
      </c>
    </row>
    <row r="1587" spans="1:1" x14ac:dyDescent="0.2">
      <c r="A1587" t="s">
        <v>1926</v>
      </c>
    </row>
    <row r="1588" spans="1:1" x14ac:dyDescent="0.2">
      <c r="A1588" t="s">
        <v>1927</v>
      </c>
    </row>
    <row r="1589" spans="1:1" x14ac:dyDescent="0.2">
      <c r="A1589" t="s">
        <v>1928</v>
      </c>
    </row>
    <row r="1590" spans="1:1" x14ac:dyDescent="0.2">
      <c r="A1590" t="s">
        <v>1929</v>
      </c>
    </row>
    <row r="1591" spans="1:1" x14ac:dyDescent="0.2">
      <c r="A1591" t="s">
        <v>1930</v>
      </c>
    </row>
    <row r="1592" spans="1:1" x14ac:dyDescent="0.2">
      <c r="A1592" t="s">
        <v>1931</v>
      </c>
    </row>
    <row r="1593" spans="1:1" x14ac:dyDescent="0.2">
      <c r="A1593" t="s">
        <v>1932</v>
      </c>
    </row>
    <row r="1594" spans="1:1" x14ac:dyDescent="0.2">
      <c r="A1594" t="s">
        <v>1933</v>
      </c>
    </row>
    <row r="1595" spans="1:1" x14ac:dyDescent="0.2">
      <c r="A1595" t="s">
        <v>1934</v>
      </c>
    </row>
    <row r="1596" spans="1:1" x14ac:dyDescent="0.2">
      <c r="A1596" t="s">
        <v>1935</v>
      </c>
    </row>
    <row r="1597" spans="1:1" x14ac:dyDescent="0.2">
      <c r="A1597" t="s">
        <v>1936</v>
      </c>
    </row>
    <row r="1598" spans="1:1" x14ac:dyDescent="0.2">
      <c r="A1598" t="s">
        <v>1937</v>
      </c>
    </row>
    <row r="1599" spans="1:1" x14ac:dyDescent="0.2">
      <c r="A1599" t="s">
        <v>1938</v>
      </c>
    </row>
    <row r="1600" spans="1:1" x14ac:dyDescent="0.2">
      <c r="A1600" t="s">
        <v>1939</v>
      </c>
    </row>
    <row r="1601" spans="1:1" x14ac:dyDescent="0.2">
      <c r="A1601" t="s">
        <v>1940</v>
      </c>
    </row>
    <row r="1602" spans="1:1" x14ac:dyDescent="0.2">
      <c r="A1602" t="s">
        <v>1941</v>
      </c>
    </row>
    <row r="1603" spans="1:1" x14ac:dyDescent="0.2">
      <c r="A1603" t="s">
        <v>1959</v>
      </c>
    </row>
    <row r="1604" spans="1:1" x14ac:dyDescent="0.2">
      <c r="A1604" t="s">
        <v>1960</v>
      </c>
    </row>
    <row r="1605" spans="1:1" x14ac:dyDescent="0.2">
      <c r="A1605" t="s">
        <v>1961</v>
      </c>
    </row>
    <row r="1606" spans="1:1" x14ac:dyDescent="0.2">
      <c r="A1606" t="s">
        <v>1962</v>
      </c>
    </row>
    <row r="1607" spans="1:1" x14ac:dyDescent="0.2">
      <c r="A1607" t="s">
        <v>1907</v>
      </c>
    </row>
    <row r="1608" spans="1:1" x14ac:dyDescent="0.2">
      <c r="A1608" t="s">
        <v>1963</v>
      </c>
    </row>
    <row r="1609" spans="1:1" x14ac:dyDescent="0.2">
      <c r="A1609" t="s">
        <v>1909</v>
      </c>
    </row>
    <row r="1610" spans="1:1" x14ac:dyDescent="0.2">
      <c r="A1610" t="s">
        <v>1910</v>
      </c>
    </row>
    <row r="1611" spans="1:1" x14ac:dyDescent="0.2">
      <c r="A1611" t="s">
        <v>1911</v>
      </c>
    </row>
    <row r="1612" spans="1:1" x14ac:dyDescent="0.2">
      <c r="A1612" t="s">
        <v>1912</v>
      </c>
    </row>
    <row r="1613" spans="1:1" x14ac:dyDescent="0.2">
      <c r="A1613" t="s">
        <v>1946</v>
      </c>
    </row>
    <row r="1614" spans="1:1" x14ac:dyDescent="0.2">
      <c r="A1614" t="s">
        <v>1947</v>
      </c>
    </row>
    <row r="1615" spans="1:1" x14ac:dyDescent="0.2">
      <c r="A1615" t="s">
        <v>1948</v>
      </c>
    </row>
    <row r="1616" spans="1:1" x14ac:dyDescent="0.2">
      <c r="A1616" t="s">
        <v>1916</v>
      </c>
    </row>
    <row r="1617" spans="1:1" x14ac:dyDescent="0.2">
      <c r="A1617" t="s">
        <v>1964</v>
      </c>
    </row>
    <row r="1618" spans="1:1" x14ac:dyDescent="0.2">
      <c r="A1618" t="s">
        <v>1965</v>
      </c>
    </row>
    <row r="1619" spans="1:1" x14ac:dyDescent="0.2">
      <c r="A1619" t="s">
        <v>1919</v>
      </c>
    </row>
    <row r="1620" spans="1:1" x14ac:dyDescent="0.2">
      <c r="A1620" t="s">
        <v>1951</v>
      </c>
    </row>
    <row r="1621" spans="1:1" x14ac:dyDescent="0.2">
      <c r="A1621" t="s">
        <v>1921</v>
      </c>
    </row>
    <row r="1622" spans="1:1" x14ac:dyDescent="0.2">
      <c r="A1622" t="s">
        <v>1922</v>
      </c>
    </row>
    <row r="1623" spans="1:1" x14ac:dyDescent="0.2">
      <c r="A1623" t="s">
        <v>1923</v>
      </c>
    </row>
    <row r="1624" spans="1:1" x14ac:dyDescent="0.2">
      <c r="A1624" t="s">
        <v>1966</v>
      </c>
    </row>
    <row r="1625" spans="1:1" x14ac:dyDescent="0.2">
      <c r="A1625" t="s">
        <v>1967</v>
      </c>
    </row>
    <row r="1626" spans="1:1" x14ac:dyDescent="0.2">
      <c r="A1626" t="s">
        <v>1968</v>
      </c>
    </row>
    <row r="1627" spans="1:1" x14ac:dyDescent="0.2">
      <c r="A1627" t="s">
        <v>1969</v>
      </c>
    </row>
    <row r="1628" spans="1:1" x14ac:dyDescent="0.2">
      <c r="A1628" t="s">
        <v>1970</v>
      </c>
    </row>
    <row r="1629" spans="1:1" x14ac:dyDescent="0.2">
      <c r="A1629" t="s">
        <v>1929</v>
      </c>
    </row>
    <row r="1630" spans="1:1" x14ac:dyDescent="0.2">
      <c r="A1630" t="s">
        <v>1930</v>
      </c>
    </row>
    <row r="1631" spans="1:1" x14ac:dyDescent="0.2">
      <c r="A1631" t="s">
        <v>1931</v>
      </c>
    </row>
    <row r="1632" spans="1:1" x14ac:dyDescent="0.2">
      <c r="A1632" t="s">
        <v>1932</v>
      </c>
    </row>
    <row r="1633" spans="1:1" x14ac:dyDescent="0.2">
      <c r="A1633" t="s">
        <v>1933</v>
      </c>
    </row>
    <row r="1634" spans="1:1" x14ac:dyDescent="0.2">
      <c r="A1634" t="s">
        <v>1934</v>
      </c>
    </row>
    <row r="1635" spans="1:1" x14ac:dyDescent="0.2">
      <c r="A1635" t="s">
        <v>1935</v>
      </c>
    </row>
    <row r="1636" spans="1:1" x14ac:dyDescent="0.2">
      <c r="A1636" t="s">
        <v>1936</v>
      </c>
    </row>
    <row r="1637" spans="1:1" x14ac:dyDescent="0.2">
      <c r="A1637" t="s">
        <v>1971</v>
      </c>
    </row>
    <row r="1638" spans="1:1" x14ac:dyDescent="0.2">
      <c r="A1638" t="s">
        <v>1972</v>
      </c>
    </row>
    <row r="1639" spans="1:1" x14ac:dyDescent="0.2">
      <c r="A1639" t="s">
        <v>1973</v>
      </c>
    </row>
    <row r="1640" spans="1:1" x14ac:dyDescent="0.2">
      <c r="A1640" t="s">
        <v>1940</v>
      </c>
    </row>
    <row r="1641" spans="1:1" x14ac:dyDescent="0.2">
      <c r="A1641" t="s">
        <v>1941</v>
      </c>
    </row>
    <row r="1642" spans="1:1" x14ac:dyDescent="0.2">
      <c r="A1642" t="s">
        <v>1974</v>
      </c>
    </row>
    <row r="1643" spans="1:1" x14ac:dyDescent="0.2">
      <c r="A1643" t="s">
        <v>1960</v>
      </c>
    </row>
    <row r="1644" spans="1:1" x14ac:dyDescent="0.2">
      <c r="A1644" t="s">
        <v>1961</v>
      </c>
    </row>
    <row r="1645" spans="1:1" x14ac:dyDescent="0.2">
      <c r="A1645" t="s">
        <v>1962</v>
      </c>
    </row>
    <row r="1646" spans="1:1" x14ac:dyDescent="0.2">
      <c r="A1646" t="s">
        <v>1907</v>
      </c>
    </row>
    <row r="1647" spans="1:1" x14ac:dyDescent="0.2">
      <c r="A1647" t="s">
        <v>1963</v>
      </c>
    </row>
    <row r="1648" spans="1:1" x14ac:dyDescent="0.2">
      <c r="A1648" t="s">
        <v>1909</v>
      </c>
    </row>
    <row r="1649" spans="1:1" x14ac:dyDescent="0.2">
      <c r="A1649" t="s">
        <v>1910</v>
      </c>
    </row>
    <row r="1650" spans="1:1" x14ac:dyDescent="0.2">
      <c r="A1650" t="s">
        <v>1911</v>
      </c>
    </row>
    <row r="1651" spans="1:1" x14ac:dyDescent="0.2">
      <c r="A1651" t="s">
        <v>1912</v>
      </c>
    </row>
    <row r="1652" spans="1:1" x14ac:dyDescent="0.2">
      <c r="A1652" t="s">
        <v>1956</v>
      </c>
    </row>
    <row r="1653" spans="1:1" x14ac:dyDescent="0.2">
      <c r="A1653" t="s">
        <v>1947</v>
      </c>
    </row>
    <row r="1654" spans="1:1" x14ac:dyDescent="0.2">
      <c r="A1654" t="s">
        <v>1948</v>
      </c>
    </row>
    <row r="1655" spans="1:1" x14ac:dyDescent="0.2">
      <c r="A1655" t="s">
        <v>1916</v>
      </c>
    </row>
    <row r="1656" spans="1:1" x14ac:dyDescent="0.2">
      <c r="A1656" t="s">
        <v>1964</v>
      </c>
    </row>
    <row r="1657" spans="1:1" x14ac:dyDescent="0.2">
      <c r="A1657" t="s">
        <v>1965</v>
      </c>
    </row>
    <row r="1658" spans="1:1" x14ac:dyDescent="0.2">
      <c r="A1658" t="s">
        <v>1919</v>
      </c>
    </row>
    <row r="1659" spans="1:1" x14ac:dyDescent="0.2">
      <c r="A1659" t="s">
        <v>1951</v>
      </c>
    </row>
    <row r="1660" spans="1:1" x14ac:dyDescent="0.2">
      <c r="A1660" t="s">
        <v>1921</v>
      </c>
    </row>
    <row r="1661" spans="1:1" x14ac:dyDescent="0.2">
      <c r="A1661" t="s">
        <v>1922</v>
      </c>
    </row>
    <row r="1662" spans="1:1" x14ac:dyDescent="0.2">
      <c r="A1662" t="s">
        <v>1923</v>
      </c>
    </row>
    <row r="1663" spans="1:1" x14ac:dyDescent="0.2">
      <c r="A1663" t="s">
        <v>1966</v>
      </c>
    </row>
    <row r="1664" spans="1:1" x14ac:dyDescent="0.2">
      <c r="A1664" t="s">
        <v>1967</v>
      </c>
    </row>
    <row r="1665" spans="1:1" x14ac:dyDescent="0.2">
      <c r="A1665" t="s">
        <v>1968</v>
      </c>
    </row>
    <row r="1666" spans="1:1" x14ac:dyDescent="0.2">
      <c r="A1666" t="s">
        <v>1969</v>
      </c>
    </row>
    <row r="1667" spans="1:1" x14ac:dyDescent="0.2">
      <c r="A1667" t="s">
        <v>1970</v>
      </c>
    </row>
    <row r="1668" spans="1:1" x14ac:dyDescent="0.2">
      <c r="A1668" t="s">
        <v>1929</v>
      </c>
    </row>
    <row r="1669" spans="1:1" x14ac:dyDescent="0.2">
      <c r="A1669" t="s">
        <v>1930</v>
      </c>
    </row>
    <row r="1670" spans="1:1" x14ac:dyDescent="0.2">
      <c r="A1670" t="s">
        <v>1931</v>
      </c>
    </row>
    <row r="1671" spans="1:1" x14ac:dyDescent="0.2">
      <c r="A1671" t="s">
        <v>1932</v>
      </c>
    </row>
    <row r="1672" spans="1:1" x14ac:dyDescent="0.2">
      <c r="A1672" t="s">
        <v>1933</v>
      </c>
    </row>
    <row r="1673" spans="1:1" x14ac:dyDescent="0.2">
      <c r="A1673" t="s">
        <v>1934</v>
      </c>
    </row>
    <row r="1674" spans="1:1" x14ac:dyDescent="0.2">
      <c r="A1674" t="s">
        <v>1935</v>
      </c>
    </row>
    <row r="1675" spans="1:1" x14ac:dyDescent="0.2">
      <c r="A1675" t="s">
        <v>1936</v>
      </c>
    </row>
    <row r="1676" spans="1:1" x14ac:dyDescent="0.2">
      <c r="A1676" t="s">
        <v>1971</v>
      </c>
    </row>
    <row r="1677" spans="1:1" x14ac:dyDescent="0.2">
      <c r="A1677" t="s">
        <v>1972</v>
      </c>
    </row>
    <row r="1678" spans="1:1" x14ac:dyDescent="0.2">
      <c r="A1678" t="s">
        <v>1973</v>
      </c>
    </row>
    <row r="1679" spans="1:1" x14ac:dyDescent="0.2">
      <c r="A1679" t="s">
        <v>1940</v>
      </c>
    </row>
    <row r="1680" spans="1:1" x14ac:dyDescent="0.2">
      <c r="A1680" t="s">
        <v>1941</v>
      </c>
    </row>
    <row r="1681" spans="1:1" x14ac:dyDescent="0.2">
      <c r="A1681" t="s">
        <v>1975</v>
      </c>
    </row>
    <row r="1682" spans="1:1" x14ac:dyDescent="0.2">
      <c r="A1682" t="s">
        <v>1960</v>
      </c>
    </row>
    <row r="1683" spans="1:1" x14ac:dyDescent="0.2">
      <c r="A1683" t="s">
        <v>1961</v>
      </c>
    </row>
    <row r="1684" spans="1:1" x14ac:dyDescent="0.2">
      <c r="A1684" t="s">
        <v>1962</v>
      </c>
    </row>
    <row r="1685" spans="1:1" x14ac:dyDescent="0.2">
      <c r="A1685" t="s">
        <v>1907</v>
      </c>
    </row>
    <row r="1686" spans="1:1" x14ac:dyDescent="0.2">
      <c r="A1686" t="s">
        <v>1963</v>
      </c>
    </row>
    <row r="1687" spans="1:1" x14ac:dyDescent="0.2">
      <c r="A1687" t="s">
        <v>1909</v>
      </c>
    </row>
    <row r="1688" spans="1:1" x14ac:dyDescent="0.2">
      <c r="A1688" t="s">
        <v>1910</v>
      </c>
    </row>
    <row r="1689" spans="1:1" x14ac:dyDescent="0.2">
      <c r="A1689" t="s">
        <v>1911</v>
      </c>
    </row>
    <row r="1690" spans="1:1" x14ac:dyDescent="0.2">
      <c r="A1690" t="s">
        <v>1912</v>
      </c>
    </row>
    <row r="1691" spans="1:1" x14ac:dyDescent="0.2">
      <c r="A1691" t="s">
        <v>1913</v>
      </c>
    </row>
    <row r="1692" spans="1:1" x14ac:dyDescent="0.2">
      <c r="A1692" t="s">
        <v>1947</v>
      </c>
    </row>
    <row r="1693" spans="1:1" x14ac:dyDescent="0.2">
      <c r="A1693" t="s">
        <v>1948</v>
      </c>
    </row>
    <row r="1694" spans="1:1" x14ac:dyDescent="0.2">
      <c r="A1694" t="s">
        <v>1916</v>
      </c>
    </row>
    <row r="1695" spans="1:1" x14ac:dyDescent="0.2">
      <c r="A1695" t="s">
        <v>1964</v>
      </c>
    </row>
    <row r="1696" spans="1:1" x14ac:dyDescent="0.2">
      <c r="A1696" t="s">
        <v>1965</v>
      </c>
    </row>
    <row r="1697" spans="1:1" x14ac:dyDescent="0.2">
      <c r="A1697" t="s">
        <v>1919</v>
      </c>
    </row>
    <row r="1698" spans="1:1" x14ac:dyDescent="0.2">
      <c r="A1698" t="s">
        <v>1951</v>
      </c>
    </row>
    <row r="1699" spans="1:1" x14ac:dyDescent="0.2">
      <c r="A1699" t="s">
        <v>1921</v>
      </c>
    </row>
    <row r="1700" spans="1:1" x14ac:dyDescent="0.2">
      <c r="A1700" t="s">
        <v>1922</v>
      </c>
    </row>
    <row r="1701" spans="1:1" x14ac:dyDescent="0.2">
      <c r="A1701" t="s">
        <v>1923</v>
      </c>
    </row>
    <row r="1702" spans="1:1" x14ac:dyDescent="0.2">
      <c r="A1702" t="s">
        <v>1966</v>
      </c>
    </row>
    <row r="1703" spans="1:1" x14ac:dyDescent="0.2">
      <c r="A1703" t="s">
        <v>1967</v>
      </c>
    </row>
    <row r="1704" spans="1:1" x14ac:dyDescent="0.2">
      <c r="A1704" t="s">
        <v>1968</v>
      </c>
    </row>
    <row r="1705" spans="1:1" x14ac:dyDescent="0.2">
      <c r="A1705" t="s">
        <v>1969</v>
      </c>
    </row>
    <row r="1706" spans="1:1" x14ac:dyDescent="0.2">
      <c r="A1706" t="s">
        <v>1970</v>
      </c>
    </row>
    <row r="1707" spans="1:1" x14ac:dyDescent="0.2">
      <c r="A1707" t="s">
        <v>1929</v>
      </c>
    </row>
    <row r="1708" spans="1:1" x14ac:dyDescent="0.2">
      <c r="A1708" t="s">
        <v>1930</v>
      </c>
    </row>
    <row r="1709" spans="1:1" x14ac:dyDescent="0.2">
      <c r="A1709" t="s">
        <v>1931</v>
      </c>
    </row>
    <row r="1710" spans="1:1" x14ac:dyDescent="0.2">
      <c r="A1710" t="s">
        <v>1932</v>
      </c>
    </row>
    <row r="1711" spans="1:1" x14ac:dyDescent="0.2">
      <c r="A1711" t="s">
        <v>1933</v>
      </c>
    </row>
    <row r="1712" spans="1:1" x14ac:dyDescent="0.2">
      <c r="A1712" t="s">
        <v>1934</v>
      </c>
    </row>
    <row r="1713" spans="1:1" x14ac:dyDescent="0.2">
      <c r="A1713" t="s">
        <v>1935</v>
      </c>
    </row>
    <row r="1714" spans="1:1" x14ac:dyDescent="0.2">
      <c r="A1714" t="s">
        <v>1936</v>
      </c>
    </row>
    <row r="1715" spans="1:1" x14ac:dyDescent="0.2">
      <c r="A1715" t="s">
        <v>1971</v>
      </c>
    </row>
    <row r="1716" spans="1:1" x14ac:dyDescent="0.2">
      <c r="A1716" t="s">
        <v>1972</v>
      </c>
    </row>
    <row r="1717" spans="1:1" x14ac:dyDescent="0.2">
      <c r="A1717" t="s">
        <v>1973</v>
      </c>
    </row>
    <row r="1718" spans="1:1" x14ac:dyDescent="0.2">
      <c r="A1718" t="s">
        <v>1940</v>
      </c>
    </row>
    <row r="1719" spans="1:1" x14ac:dyDescent="0.2">
      <c r="A1719" t="s">
        <v>1941</v>
      </c>
    </row>
    <row r="1720" spans="1:1" x14ac:dyDescent="0.2">
      <c r="A1720" t="s">
        <v>1976</v>
      </c>
    </row>
    <row r="1721" spans="1:1" x14ac:dyDescent="0.2">
      <c r="A1721" t="s">
        <v>1904</v>
      </c>
    </row>
    <row r="1722" spans="1:1" x14ac:dyDescent="0.2">
      <c r="A1722" t="s">
        <v>1905</v>
      </c>
    </row>
    <row r="1723" spans="1:1" x14ac:dyDescent="0.2">
      <c r="A1723" t="s">
        <v>1906</v>
      </c>
    </row>
    <row r="1724" spans="1:1" x14ac:dyDescent="0.2">
      <c r="A1724" t="s">
        <v>1907</v>
      </c>
    </row>
    <row r="1725" spans="1:1" x14ac:dyDescent="0.2">
      <c r="A1725" t="s">
        <v>1908</v>
      </c>
    </row>
    <row r="1726" spans="1:1" x14ac:dyDescent="0.2">
      <c r="A1726" t="s">
        <v>1909</v>
      </c>
    </row>
    <row r="1727" spans="1:1" x14ac:dyDescent="0.2">
      <c r="A1727" t="s">
        <v>1910</v>
      </c>
    </row>
    <row r="1728" spans="1:1" x14ac:dyDescent="0.2">
      <c r="A1728" t="s">
        <v>1911</v>
      </c>
    </row>
    <row r="1729" spans="1:1" x14ac:dyDescent="0.2">
      <c r="A1729" t="s">
        <v>1912</v>
      </c>
    </row>
    <row r="1730" spans="1:1" x14ac:dyDescent="0.2">
      <c r="A1730" t="s">
        <v>1913</v>
      </c>
    </row>
    <row r="1731" spans="1:1" x14ac:dyDescent="0.2">
      <c r="A1731" t="s">
        <v>1914</v>
      </c>
    </row>
    <row r="1732" spans="1:1" x14ac:dyDescent="0.2">
      <c r="A1732" t="s">
        <v>1915</v>
      </c>
    </row>
    <row r="1733" spans="1:1" x14ac:dyDescent="0.2">
      <c r="A1733" t="s">
        <v>1916</v>
      </c>
    </row>
    <row r="1734" spans="1:1" x14ac:dyDescent="0.2">
      <c r="A1734" t="s">
        <v>1917</v>
      </c>
    </row>
    <row r="1735" spans="1:1" x14ac:dyDescent="0.2">
      <c r="A1735" t="s">
        <v>1918</v>
      </c>
    </row>
    <row r="1736" spans="1:1" x14ac:dyDescent="0.2">
      <c r="A1736" t="s">
        <v>1919</v>
      </c>
    </row>
    <row r="1737" spans="1:1" x14ac:dyDescent="0.2">
      <c r="A1737" t="s">
        <v>1920</v>
      </c>
    </row>
    <row r="1738" spans="1:1" x14ac:dyDescent="0.2">
      <c r="A1738" t="s">
        <v>1921</v>
      </c>
    </row>
    <row r="1739" spans="1:1" x14ac:dyDescent="0.2">
      <c r="A1739" t="s">
        <v>1922</v>
      </c>
    </row>
    <row r="1740" spans="1:1" x14ac:dyDescent="0.2">
      <c r="A1740" t="s">
        <v>1923</v>
      </c>
    </row>
    <row r="1741" spans="1:1" x14ac:dyDescent="0.2">
      <c r="A1741" t="s">
        <v>1924</v>
      </c>
    </row>
    <row r="1742" spans="1:1" x14ac:dyDescent="0.2">
      <c r="A1742" t="s">
        <v>1925</v>
      </c>
    </row>
    <row r="1743" spans="1:1" x14ac:dyDescent="0.2">
      <c r="A1743" t="s">
        <v>1926</v>
      </c>
    </row>
    <row r="1744" spans="1:1" x14ac:dyDescent="0.2">
      <c r="A1744" t="s">
        <v>1927</v>
      </c>
    </row>
    <row r="1745" spans="1:1" x14ac:dyDescent="0.2">
      <c r="A1745" t="s">
        <v>1928</v>
      </c>
    </row>
    <row r="1746" spans="1:1" x14ac:dyDescent="0.2">
      <c r="A1746" t="s">
        <v>1929</v>
      </c>
    </row>
    <row r="1747" spans="1:1" x14ac:dyDescent="0.2">
      <c r="A1747" t="s">
        <v>1930</v>
      </c>
    </row>
    <row r="1748" spans="1:1" x14ac:dyDescent="0.2">
      <c r="A1748" t="s">
        <v>1931</v>
      </c>
    </row>
    <row r="1749" spans="1:1" x14ac:dyDescent="0.2">
      <c r="A1749" t="s">
        <v>1932</v>
      </c>
    </row>
    <row r="1750" spans="1:1" x14ac:dyDescent="0.2">
      <c r="A1750" t="s">
        <v>1933</v>
      </c>
    </row>
    <row r="1751" spans="1:1" x14ac:dyDescent="0.2">
      <c r="A1751" t="s">
        <v>1934</v>
      </c>
    </row>
    <row r="1752" spans="1:1" x14ac:dyDescent="0.2">
      <c r="A1752" t="s">
        <v>1935</v>
      </c>
    </row>
    <row r="1753" spans="1:1" x14ac:dyDescent="0.2">
      <c r="A1753" t="s">
        <v>1936</v>
      </c>
    </row>
    <row r="1754" spans="1:1" x14ac:dyDescent="0.2">
      <c r="A1754" t="s">
        <v>1937</v>
      </c>
    </row>
    <row r="1755" spans="1:1" x14ac:dyDescent="0.2">
      <c r="A1755" t="s">
        <v>1938</v>
      </c>
    </row>
    <row r="1756" spans="1:1" x14ac:dyDescent="0.2">
      <c r="A1756" t="s">
        <v>1939</v>
      </c>
    </row>
    <row r="1757" spans="1:1" x14ac:dyDescent="0.2">
      <c r="A1757" t="s">
        <v>1940</v>
      </c>
    </row>
    <row r="1758" spans="1:1" x14ac:dyDescent="0.2">
      <c r="A1758" t="s">
        <v>1941</v>
      </c>
    </row>
    <row r="1759" spans="1:1" x14ac:dyDescent="0.2">
      <c r="A1759" t="s">
        <v>1977</v>
      </c>
    </row>
    <row r="1760" spans="1:1" x14ac:dyDescent="0.2">
      <c r="A1760" t="s">
        <v>1904</v>
      </c>
    </row>
    <row r="1761" spans="1:1" x14ac:dyDescent="0.2">
      <c r="A1761" t="s">
        <v>1905</v>
      </c>
    </row>
    <row r="1762" spans="1:1" x14ac:dyDescent="0.2">
      <c r="A1762" t="s">
        <v>1906</v>
      </c>
    </row>
    <row r="1763" spans="1:1" x14ac:dyDescent="0.2">
      <c r="A1763" t="s">
        <v>1907</v>
      </c>
    </row>
    <row r="1764" spans="1:1" x14ac:dyDescent="0.2">
      <c r="A1764" t="s">
        <v>1908</v>
      </c>
    </row>
    <row r="1765" spans="1:1" x14ac:dyDescent="0.2">
      <c r="A1765" t="s">
        <v>1909</v>
      </c>
    </row>
    <row r="1766" spans="1:1" x14ac:dyDescent="0.2">
      <c r="A1766" t="s">
        <v>1910</v>
      </c>
    </row>
    <row r="1767" spans="1:1" x14ac:dyDescent="0.2">
      <c r="A1767" t="s">
        <v>1911</v>
      </c>
    </row>
    <row r="1768" spans="1:1" x14ac:dyDescent="0.2">
      <c r="A1768" t="s">
        <v>1912</v>
      </c>
    </row>
    <row r="1769" spans="1:1" x14ac:dyDescent="0.2">
      <c r="A1769" t="s">
        <v>1913</v>
      </c>
    </row>
    <row r="1770" spans="1:1" x14ac:dyDescent="0.2">
      <c r="A1770" t="s">
        <v>1914</v>
      </c>
    </row>
    <row r="1771" spans="1:1" x14ac:dyDescent="0.2">
      <c r="A1771" t="s">
        <v>1915</v>
      </c>
    </row>
    <row r="1772" spans="1:1" x14ac:dyDescent="0.2">
      <c r="A1772" t="s">
        <v>1916</v>
      </c>
    </row>
    <row r="1773" spans="1:1" x14ac:dyDescent="0.2">
      <c r="A1773" t="s">
        <v>1917</v>
      </c>
    </row>
    <row r="1774" spans="1:1" x14ac:dyDescent="0.2">
      <c r="A1774" t="s">
        <v>1918</v>
      </c>
    </row>
    <row r="1775" spans="1:1" x14ac:dyDescent="0.2">
      <c r="A1775" t="s">
        <v>1919</v>
      </c>
    </row>
    <row r="1776" spans="1:1" x14ac:dyDescent="0.2">
      <c r="A1776" t="s">
        <v>1920</v>
      </c>
    </row>
    <row r="1777" spans="1:1" x14ac:dyDescent="0.2">
      <c r="A1777" t="s">
        <v>1921</v>
      </c>
    </row>
    <row r="1778" spans="1:1" x14ac:dyDescent="0.2">
      <c r="A1778" t="s">
        <v>1922</v>
      </c>
    </row>
    <row r="1779" spans="1:1" x14ac:dyDescent="0.2">
      <c r="A1779" t="s">
        <v>1923</v>
      </c>
    </row>
    <row r="1780" spans="1:1" x14ac:dyDescent="0.2">
      <c r="A1780" t="s">
        <v>1924</v>
      </c>
    </row>
    <row r="1781" spans="1:1" x14ac:dyDescent="0.2">
      <c r="A1781" t="s">
        <v>1925</v>
      </c>
    </row>
    <row r="1782" spans="1:1" x14ac:dyDescent="0.2">
      <c r="A1782" t="s">
        <v>1926</v>
      </c>
    </row>
    <row r="1783" spans="1:1" x14ac:dyDescent="0.2">
      <c r="A1783" t="s">
        <v>1927</v>
      </c>
    </row>
    <row r="1784" spans="1:1" x14ac:dyDescent="0.2">
      <c r="A1784" t="s">
        <v>1928</v>
      </c>
    </row>
    <row r="1785" spans="1:1" x14ac:dyDescent="0.2">
      <c r="A1785" t="s">
        <v>1929</v>
      </c>
    </row>
    <row r="1786" spans="1:1" x14ac:dyDescent="0.2">
      <c r="A1786" t="s">
        <v>1930</v>
      </c>
    </row>
    <row r="1787" spans="1:1" x14ac:dyDescent="0.2">
      <c r="A1787" t="s">
        <v>1931</v>
      </c>
    </row>
    <row r="1788" spans="1:1" x14ac:dyDescent="0.2">
      <c r="A1788" t="s">
        <v>1932</v>
      </c>
    </row>
    <row r="1789" spans="1:1" x14ac:dyDescent="0.2">
      <c r="A1789" t="s">
        <v>1933</v>
      </c>
    </row>
    <row r="1790" spans="1:1" x14ac:dyDescent="0.2">
      <c r="A1790" t="s">
        <v>1934</v>
      </c>
    </row>
    <row r="1791" spans="1:1" x14ac:dyDescent="0.2">
      <c r="A1791" t="s">
        <v>1935</v>
      </c>
    </row>
    <row r="1792" spans="1:1" x14ac:dyDescent="0.2">
      <c r="A1792" t="s">
        <v>1936</v>
      </c>
    </row>
    <row r="1793" spans="1:1" x14ac:dyDescent="0.2">
      <c r="A1793" t="s">
        <v>1937</v>
      </c>
    </row>
    <row r="1794" spans="1:1" x14ac:dyDescent="0.2">
      <c r="A1794" t="s">
        <v>1938</v>
      </c>
    </row>
    <row r="1795" spans="1:1" x14ac:dyDescent="0.2">
      <c r="A1795" t="s">
        <v>1939</v>
      </c>
    </row>
    <row r="1796" spans="1:1" x14ac:dyDescent="0.2">
      <c r="A1796" t="s">
        <v>1940</v>
      </c>
    </row>
    <row r="1797" spans="1:1" x14ac:dyDescent="0.2">
      <c r="A1797" t="s">
        <v>1941</v>
      </c>
    </row>
    <row r="1798" spans="1:1" x14ac:dyDescent="0.2">
      <c r="A1798" t="s">
        <v>1978</v>
      </c>
    </row>
    <row r="1799" spans="1:1" x14ac:dyDescent="0.2">
      <c r="A1799" t="s">
        <v>1904</v>
      </c>
    </row>
    <row r="1800" spans="1:1" x14ac:dyDescent="0.2">
      <c r="A1800" t="s">
        <v>1979</v>
      </c>
    </row>
    <row r="1801" spans="1:1" x14ac:dyDescent="0.2">
      <c r="A1801" t="s">
        <v>1980</v>
      </c>
    </row>
    <row r="1802" spans="1:1" x14ac:dyDescent="0.2">
      <c r="A1802" t="s">
        <v>1981</v>
      </c>
    </row>
    <row r="1803" spans="1:1" x14ac:dyDescent="0.2">
      <c r="A1803" t="s">
        <v>1982</v>
      </c>
    </row>
    <row r="1804" spans="1:1" x14ac:dyDescent="0.2">
      <c r="A1804" t="s">
        <v>1983</v>
      </c>
    </row>
    <row r="1805" spans="1:1" x14ac:dyDescent="0.2">
      <c r="A1805" t="s">
        <v>1910</v>
      </c>
    </row>
    <row r="1806" spans="1:1" x14ac:dyDescent="0.2">
      <c r="A1806" t="s">
        <v>1911</v>
      </c>
    </row>
    <row r="1807" spans="1:1" x14ac:dyDescent="0.2">
      <c r="A1807" t="s">
        <v>1984</v>
      </c>
    </row>
    <row r="1808" spans="1:1" x14ac:dyDescent="0.2">
      <c r="A1808" t="s">
        <v>1913</v>
      </c>
    </row>
    <row r="1809" spans="1:1" x14ac:dyDescent="0.2">
      <c r="A1809" t="s">
        <v>1985</v>
      </c>
    </row>
    <row r="1810" spans="1:1" x14ac:dyDescent="0.2">
      <c r="A1810" t="s">
        <v>1915</v>
      </c>
    </row>
    <row r="1811" spans="1:1" x14ac:dyDescent="0.2">
      <c r="A1811" t="s">
        <v>1916</v>
      </c>
    </row>
    <row r="1812" spans="1:1" x14ac:dyDescent="0.2">
      <c r="A1812" t="s">
        <v>1986</v>
      </c>
    </row>
    <row r="1813" spans="1:1" x14ac:dyDescent="0.2">
      <c r="A1813" t="s">
        <v>1987</v>
      </c>
    </row>
    <row r="1814" spans="1:1" x14ac:dyDescent="0.2">
      <c r="A1814" t="s">
        <v>1919</v>
      </c>
    </row>
    <row r="1815" spans="1:1" x14ac:dyDescent="0.2">
      <c r="A1815" t="s">
        <v>1920</v>
      </c>
    </row>
    <row r="1816" spans="1:1" x14ac:dyDescent="0.2">
      <c r="A1816" t="s">
        <v>1921</v>
      </c>
    </row>
    <row r="1817" spans="1:1" x14ac:dyDescent="0.2">
      <c r="A1817" t="s">
        <v>1922</v>
      </c>
    </row>
    <row r="1818" spans="1:1" x14ac:dyDescent="0.2">
      <c r="A1818" t="s">
        <v>1923</v>
      </c>
    </row>
    <row r="1819" spans="1:1" x14ac:dyDescent="0.2">
      <c r="A1819" t="s">
        <v>2982</v>
      </c>
    </row>
    <row r="1820" spans="1:1" x14ac:dyDescent="0.2">
      <c r="A1820" t="s">
        <v>2983</v>
      </c>
    </row>
    <row r="1821" spans="1:1" x14ac:dyDescent="0.2">
      <c r="A1821" t="s">
        <v>2984</v>
      </c>
    </row>
    <row r="1822" spans="1:1" x14ac:dyDescent="0.2">
      <c r="A1822" t="s">
        <v>2985</v>
      </c>
    </row>
    <row r="1823" spans="1:1" x14ac:dyDescent="0.2">
      <c r="A1823" t="s">
        <v>2986</v>
      </c>
    </row>
    <row r="1824" spans="1:1" x14ac:dyDescent="0.2">
      <c r="A1824" t="s">
        <v>1988</v>
      </c>
    </row>
    <row r="1825" spans="1:1" x14ac:dyDescent="0.2">
      <c r="A1825" t="s">
        <v>2987</v>
      </c>
    </row>
    <row r="1826" spans="1:1" x14ac:dyDescent="0.2">
      <c r="A1826" t="s">
        <v>2988</v>
      </c>
    </row>
    <row r="1827" spans="1:1" x14ac:dyDescent="0.2">
      <c r="A1827" t="s">
        <v>2989</v>
      </c>
    </row>
    <row r="1828" spans="1:1" x14ac:dyDescent="0.2">
      <c r="A1828" t="s">
        <v>2990</v>
      </c>
    </row>
    <row r="1829" spans="1:1" x14ac:dyDescent="0.2">
      <c r="A1829" t="s">
        <v>1934</v>
      </c>
    </row>
    <row r="1830" spans="1:1" x14ac:dyDescent="0.2">
      <c r="A1830" t="s">
        <v>1935</v>
      </c>
    </row>
    <row r="1831" spans="1:1" x14ac:dyDescent="0.2">
      <c r="A1831" t="s">
        <v>1936</v>
      </c>
    </row>
    <row r="1832" spans="1:1" x14ac:dyDescent="0.2">
      <c r="A1832" t="s">
        <v>1937</v>
      </c>
    </row>
    <row r="1833" spans="1:1" x14ac:dyDescent="0.2">
      <c r="A1833" t="s">
        <v>1938</v>
      </c>
    </row>
    <row r="1834" spans="1:1" x14ac:dyDescent="0.2">
      <c r="A1834" t="s">
        <v>1989</v>
      </c>
    </row>
    <row r="1835" spans="1:1" x14ac:dyDescent="0.2">
      <c r="A1835" t="s">
        <v>1990</v>
      </c>
    </row>
    <row r="1836" spans="1:1" x14ac:dyDescent="0.2">
      <c r="A1836" t="s">
        <v>1991</v>
      </c>
    </row>
    <row r="1837" spans="1:1" x14ac:dyDescent="0.2">
      <c r="A1837" t="s">
        <v>1992</v>
      </c>
    </row>
    <row r="1838" spans="1:1" x14ac:dyDescent="0.2">
      <c r="A1838" t="s">
        <v>1904</v>
      </c>
    </row>
    <row r="1839" spans="1:1" x14ac:dyDescent="0.2">
      <c r="A1839" t="s">
        <v>1905</v>
      </c>
    </row>
    <row r="1840" spans="1:1" x14ac:dyDescent="0.2">
      <c r="A1840" t="s">
        <v>1906</v>
      </c>
    </row>
    <row r="1841" spans="1:1" x14ac:dyDescent="0.2">
      <c r="A1841" t="s">
        <v>1907</v>
      </c>
    </row>
    <row r="1842" spans="1:1" x14ac:dyDescent="0.2">
      <c r="A1842" t="s">
        <v>1908</v>
      </c>
    </row>
    <row r="1843" spans="1:1" x14ac:dyDescent="0.2">
      <c r="A1843" t="s">
        <v>1909</v>
      </c>
    </row>
    <row r="1844" spans="1:1" x14ac:dyDescent="0.2">
      <c r="A1844" t="s">
        <v>1910</v>
      </c>
    </row>
    <row r="1845" spans="1:1" x14ac:dyDescent="0.2">
      <c r="A1845" t="s">
        <v>1911</v>
      </c>
    </row>
    <row r="1846" spans="1:1" x14ac:dyDescent="0.2">
      <c r="A1846" t="s">
        <v>1912</v>
      </c>
    </row>
    <row r="1847" spans="1:1" x14ac:dyDescent="0.2">
      <c r="A1847" t="s">
        <v>1913</v>
      </c>
    </row>
    <row r="1848" spans="1:1" x14ac:dyDescent="0.2">
      <c r="A1848" t="s">
        <v>1914</v>
      </c>
    </row>
    <row r="1849" spans="1:1" x14ac:dyDescent="0.2">
      <c r="A1849" t="s">
        <v>1915</v>
      </c>
    </row>
    <row r="1850" spans="1:1" x14ac:dyDescent="0.2">
      <c r="A1850" t="s">
        <v>1916</v>
      </c>
    </row>
    <row r="1851" spans="1:1" x14ac:dyDescent="0.2">
      <c r="A1851" t="s">
        <v>1917</v>
      </c>
    </row>
    <row r="1852" spans="1:1" x14ac:dyDescent="0.2">
      <c r="A1852" t="s">
        <v>1918</v>
      </c>
    </row>
    <row r="1853" spans="1:1" x14ac:dyDescent="0.2">
      <c r="A1853" t="s">
        <v>1919</v>
      </c>
    </row>
    <row r="1854" spans="1:1" x14ac:dyDescent="0.2">
      <c r="A1854" t="s">
        <v>1920</v>
      </c>
    </row>
    <row r="1855" spans="1:1" x14ac:dyDescent="0.2">
      <c r="A1855" t="s">
        <v>1921</v>
      </c>
    </row>
    <row r="1856" spans="1:1" x14ac:dyDescent="0.2">
      <c r="A1856" t="s">
        <v>1922</v>
      </c>
    </row>
    <row r="1857" spans="1:1" x14ac:dyDescent="0.2">
      <c r="A1857" t="s">
        <v>1923</v>
      </c>
    </row>
    <row r="1858" spans="1:1" x14ac:dyDescent="0.2">
      <c r="A1858" t="s">
        <v>1924</v>
      </c>
    </row>
    <row r="1859" spans="1:1" x14ac:dyDescent="0.2">
      <c r="A1859" t="s">
        <v>1925</v>
      </c>
    </row>
    <row r="1860" spans="1:1" x14ac:dyDescent="0.2">
      <c r="A1860" t="s">
        <v>1926</v>
      </c>
    </row>
    <row r="1861" spans="1:1" x14ac:dyDescent="0.2">
      <c r="A1861" t="s">
        <v>1927</v>
      </c>
    </row>
    <row r="1862" spans="1:1" x14ac:dyDescent="0.2">
      <c r="A1862" t="s">
        <v>1928</v>
      </c>
    </row>
    <row r="1863" spans="1:1" x14ac:dyDescent="0.2">
      <c r="A1863" t="s">
        <v>1929</v>
      </c>
    </row>
    <row r="1864" spans="1:1" x14ac:dyDescent="0.2">
      <c r="A1864" t="s">
        <v>1930</v>
      </c>
    </row>
    <row r="1865" spans="1:1" x14ac:dyDescent="0.2">
      <c r="A1865" t="s">
        <v>1931</v>
      </c>
    </row>
    <row r="1866" spans="1:1" x14ac:dyDescent="0.2">
      <c r="A1866" t="s">
        <v>1932</v>
      </c>
    </row>
    <row r="1867" spans="1:1" x14ac:dyDescent="0.2">
      <c r="A1867" t="s">
        <v>1933</v>
      </c>
    </row>
    <row r="1868" spans="1:1" x14ac:dyDescent="0.2">
      <c r="A1868" t="s">
        <v>1934</v>
      </c>
    </row>
    <row r="1869" spans="1:1" x14ac:dyDescent="0.2">
      <c r="A1869" t="s">
        <v>1935</v>
      </c>
    </row>
    <row r="1870" spans="1:1" x14ac:dyDescent="0.2">
      <c r="A1870" t="s">
        <v>1936</v>
      </c>
    </row>
    <row r="1871" spans="1:1" x14ac:dyDescent="0.2">
      <c r="A1871" t="s">
        <v>1937</v>
      </c>
    </row>
    <row r="1872" spans="1:1" x14ac:dyDescent="0.2">
      <c r="A1872" t="s">
        <v>1938</v>
      </c>
    </row>
    <row r="1873" spans="1:1" x14ac:dyDescent="0.2">
      <c r="A1873" t="s">
        <v>1939</v>
      </c>
    </row>
    <row r="1874" spans="1:1" x14ac:dyDescent="0.2">
      <c r="A1874" t="s">
        <v>1940</v>
      </c>
    </row>
    <row r="1875" spans="1:1" x14ac:dyDescent="0.2">
      <c r="A1875" t="s">
        <v>1941</v>
      </c>
    </row>
    <row r="1876" spans="1:1" x14ac:dyDescent="0.2">
      <c r="A1876" t="s">
        <v>1993</v>
      </c>
    </row>
    <row r="1877" spans="1:1" x14ac:dyDescent="0.2">
      <c r="A1877" t="s">
        <v>1904</v>
      </c>
    </row>
    <row r="1878" spans="1:1" x14ac:dyDescent="0.2">
      <c r="A1878" t="s">
        <v>1994</v>
      </c>
    </row>
    <row r="1879" spans="1:1" x14ac:dyDescent="0.2">
      <c r="A1879" t="s">
        <v>1995</v>
      </c>
    </row>
    <row r="1880" spans="1:1" x14ac:dyDescent="0.2">
      <c r="A1880" t="s">
        <v>1996</v>
      </c>
    </row>
    <row r="1881" spans="1:1" x14ac:dyDescent="0.2">
      <c r="A1881" t="s">
        <v>1997</v>
      </c>
    </row>
    <row r="1882" spans="1:1" x14ac:dyDescent="0.2">
      <c r="A1882" t="s">
        <v>1998</v>
      </c>
    </row>
    <row r="1883" spans="1:1" x14ac:dyDescent="0.2">
      <c r="A1883" t="s">
        <v>1910</v>
      </c>
    </row>
    <row r="1884" spans="1:1" x14ac:dyDescent="0.2">
      <c r="A1884" t="s">
        <v>1911</v>
      </c>
    </row>
    <row r="1885" spans="1:1" x14ac:dyDescent="0.2">
      <c r="A1885" t="s">
        <v>1999</v>
      </c>
    </row>
    <row r="1886" spans="1:1" x14ac:dyDescent="0.2">
      <c r="A1886" t="s">
        <v>1946</v>
      </c>
    </row>
    <row r="1887" spans="1:1" x14ac:dyDescent="0.2">
      <c r="A1887" t="s">
        <v>1985</v>
      </c>
    </row>
    <row r="1888" spans="1:1" x14ac:dyDescent="0.2">
      <c r="A1888" t="s">
        <v>1915</v>
      </c>
    </row>
    <row r="1889" spans="1:1" x14ac:dyDescent="0.2">
      <c r="A1889" t="s">
        <v>1916</v>
      </c>
    </row>
    <row r="1890" spans="1:1" x14ac:dyDescent="0.2">
      <c r="A1890" t="s">
        <v>2000</v>
      </c>
    </row>
    <row r="1891" spans="1:1" x14ac:dyDescent="0.2">
      <c r="A1891" t="s">
        <v>2001</v>
      </c>
    </row>
    <row r="1892" spans="1:1" x14ac:dyDescent="0.2">
      <c r="A1892" t="s">
        <v>1919</v>
      </c>
    </row>
    <row r="1893" spans="1:1" x14ac:dyDescent="0.2">
      <c r="A1893" t="s">
        <v>1920</v>
      </c>
    </row>
    <row r="1894" spans="1:1" x14ac:dyDescent="0.2">
      <c r="A1894" t="s">
        <v>1921</v>
      </c>
    </row>
    <row r="1895" spans="1:1" x14ac:dyDescent="0.2">
      <c r="A1895" t="s">
        <v>1922</v>
      </c>
    </row>
    <row r="1896" spans="1:1" x14ac:dyDescent="0.2">
      <c r="A1896" t="s">
        <v>1923</v>
      </c>
    </row>
    <row r="1897" spans="1:1" x14ac:dyDescent="0.2">
      <c r="A1897" t="s">
        <v>2991</v>
      </c>
    </row>
    <row r="1898" spans="1:1" x14ac:dyDescent="0.2">
      <c r="A1898" t="s">
        <v>2992</v>
      </c>
    </row>
    <row r="1899" spans="1:1" x14ac:dyDescent="0.2">
      <c r="A1899" t="s">
        <v>2993</v>
      </c>
    </row>
    <row r="1900" spans="1:1" x14ac:dyDescent="0.2">
      <c r="A1900" t="s">
        <v>2994</v>
      </c>
    </row>
    <row r="1901" spans="1:1" x14ac:dyDescent="0.2">
      <c r="A1901" t="s">
        <v>2995</v>
      </c>
    </row>
    <row r="1902" spans="1:1" x14ac:dyDescent="0.2">
      <c r="A1902" t="s">
        <v>2002</v>
      </c>
    </row>
    <row r="1903" spans="1:1" x14ac:dyDescent="0.2">
      <c r="A1903" t="s">
        <v>2996</v>
      </c>
    </row>
    <row r="1904" spans="1:1" x14ac:dyDescent="0.2">
      <c r="A1904" t="s">
        <v>2997</v>
      </c>
    </row>
    <row r="1905" spans="1:1" x14ac:dyDescent="0.2">
      <c r="A1905" t="s">
        <v>2998</v>
      </c>
    </row>
    <row r="1906" spans="1:1" x14ac:dyDescent="0.2">
      <c r="A1906" t="s">
        <v>2999</v>
      </c>
    </row>
    <row r="1907" spans="1:1" x14ac:dyDescent="0.2">
      <c r="A1907" t="s">
        <v>1934</v>
      </c>
    </row>
    <row r="1908" spans="1:1" x14ac:dyDescent="0.2">
      <c r="A1908" t="s">
        <v>1935</v>
      </c>
    </row>
    <row r="1909" spans="1:1" x14ac:dyDescent="0.2">
      <c r="A1909" t="s">
        <v>1936</v>
      </c>
    </row>
    <row r="1910" spans="1:1" x14ac:dyDescent="0.2">
      <c r="A1910" t="s">
        <v>1937</v>
      </c>
    </row>
    <row r="1911" spans="1:1" x14ac:dyDescent="0.2">
      <c r="A1911" t="s">
        <v>1938</v>
      </c>
    </row>
    <row r="1912" spans="1:1" x14ac:dyDescent="0.2">
      <c r="A1912" t="s">
        <v>2003</v>
      </c>
    </row>
    <row r="1913" spans="1:1" x14ac:dyDescent="0.2">
      <c r="A1913" t="s">
        <v>2004</v>
      </c>
    </row>
    <row r="1914" spans="1:1" x14ac:dyDescent="0.2">
      <c r="A1914" t="s">
        <v>2005</v>
      </c>
    </row>
    <row r="1915" spans="1:1" x14ac:dyDescent="0.2">
      <c r="A1915" t="s">
        <v>2006</v>
      </c>
    </row>
    <row r="1916" spans="1:1" x14ac:dyDescent="0.2">
      <c r="A1916" t="s">
        <v>1904</v>
      </c>
    </row>
    <row r="1917" spans="1:1" x14ac:dyDescent="0.2">
      <c r="A1917" t="s">
        <v>2007</v>
      </c>
    </row>
    <row r="1918" spans="1:1" x14ac:dyDescent="0.2">
      <c r="A1918" t="s">
        <v>2008</v>
      </c>
    </row>
    <row r="1919" spans="1:1" x14ac:dyDescent="0.2">
      <c r="A1919" t="s">
        <v>1996</v>
      </c>
    </row>
    <row r="1920" spans="1:1" x14ac:dyDescent="0.2">
      <c r="A1920" t="s">
        <v>1997</v>
      </c>
    </row>
    <row r="1921" spans="1:1" x14ac:dyDescent="0.2">
      <c r="A1921" t="s">
        <v>1909</v>
      </c>
    </row>
    <row r="1922" spans="1:1" x14ac:dyDescent="0.2">
      <c r="A1922" t="s">
        <v>1910</v>
      </c>
    </row>
    <row r="1923" spans="1:1" x14ac:dyDescent="0.2">
      <c r="A1923" t="s">
        <v>1911</v>
      </c>
    </row>
    <row r="1924" spans="1:1" x14ac:dyDescent="0.2">
      <c r="A1924" t="s">
        <v>1912</v>
      </c>
    </row>
    <row r="1925" spans="1:1" x14ac:dyDescent="0.2">
      <c r="A1925" t="s">
        <v>1946</v>
      </c>
    </row>
    <row r="1926" spans="1:1" x14ac:dyDescent="0.2">
      <c r="A1926" t="s">
        <v>1985</v>
      </c>
    </row>
    <row r="1927" spans="1:1" x14ac:dyDescent="0.2">
      <c r="A1927" t="s">
        <v>1915</v>
      </c>
    </row>
    <row r="1928" spans="1:1" x14ac:dyDescent="0.2">
      <c r="A1928" t="s">
        <v>1916</v>
      </c>
    </row>
    <row r="1929" spans="1:1" x14ac:dyDescent="0.2">
      <c r="A1929" t="s">
        <v>2009</v>
      </c>
    </row>
    <row r="1930" spans="1:1" x14ac:dyDescent="0.2">
      <c r="A1930" t="s">
        <v>2010</v>
      </c>
    </row>
    <row r="1931" spans="1:1" x14ac:dyDescent="0.2">
      <c r="A1931" t="s">
        <v>1919</v>
      </c>
    </row>
    <row r="1932" spans="1:1" x14ac:dyDescent="0.2">
      <c r="A1932" t="s">
        <v>1920</v>
      </c>
    </row>
    <row r="1933" spans="1:1" x14ac:dyDescent="0.2">
      <c r="A1933" t="s">
        <v>1921</v>
      </c>
    </row>
    <row r="1934" spans="1:1" x14ac:dyDescent="0.2">
      <c r="A1934" t="s">
        <v>1922</v>
      </c>
    </row>
    <row r="1935" spans="1:1" x14ac:dyDescent="0.2">
      <c r="A1935" t="s">
        <v>1923</v>
      </c>
    </row>
    <row r="1936" spans="1:1" x14ac:dyDescent="0.2">
      <c r="A1936" t="s">
        <v>3000</v>
      </c>
    </row>
    <row r="1937" spans="1:1" x14ac:dyDescent="0.2">
      <c r="A1937" t="s">
        <v>3001</v>
      </c>
    </row>
    <row r="1938" spans="1:1" x14ac:dyDescent="0.2">
      <c r="A1938" t="s">
        <v>3002</v>
      </c>
    </row>
    <row r="1939" spans="1:1" x14ac:dyDescent="0.2">
      <c r="A1939" t="s">
        <v>3003</v>
      </c>
    </row>
    <row r="1940" spans="1:1" x14ac:dyDescent="0.2">
      <c r="A1940" t="s">
        <v>3004</v>
      </c>
    </row>
    <row r="1941" spans="1:1" x14ac:dyDescent="0.2">
      <c r="A1941" t="s">
        <v>2011</v>
      </c>
    </row>
    <row r="1942" spans="1:1" x14ac:dyDescent="0.2">
      <c r="A1942" t="s">
        <v>3005</v>
      </c>
    </row>
    <row r="1943" spans="1:1" x14ac:dyDescent="0.2">
      <c r="A1943" t="s">
        <v>3006</v>
      </c>
    </row>
    <row r="1944" spans="1:1" x14ac:dyDescent="0.2">
      <c r="A1944" t="s">
        <v>3007</v>
      </c>
    </row>
    <row r="1945" spans="1:1" x14ac:dyDescent="0.2">
      <c r="A1945" t="s">
        <v>3008</v>
      </c>
    </row>
    <row r="1946" spans="1:1" x14ac:dyDescent="0.2">
      <c r="A1946" t="s">
        <v>1934</v>
      </c>
    </row>
    <row r="1947" spans="1:1" x14ac:dyDescent="0.2">
      <c r="A1947" t="s">
        <v>1935</v>
      </c>
    </row>
    <row r="1948" spans="1:1" x14ac:dyDescent="0.2">
      <c r="A1948" t="s">
        <v>1936</v>
      </c>
    </row>
    <row r="1949" spans="1:1" x14ac:dyDescent="0.2">
      <c r="A1949" t="s">
        <v>1937</v>
      </c>
    </row>
    <row r="1950" spans="1:1" x14ac:dyDescent="0.2">
      <c r="A1950" t="s">
        <v>1938</v>
      </c>
    </row>
    <row r="1951" spans="1:1" x14ac:dyDescent="0.2">
      <c r="A1951" t="s">
        <v>2003</v>
      </c>
    </row>
    <row r="1952" spans="1:1" x14ac:dyDescent="0.2">
      <c r="A1952" t="s">
        <v>2012</v>
      </c>
    </row>
    <row r="1953" spans="1:1" x14ac:dyDescent="0.2">
      <c r="A1953" t="s">
        <v>2013</v>
      </c>
    </row>
    <row r="1954" spans="1:1" x14ac:dyDescent="0.2">
      <c r="A1954" t="s">
        <v>2014</v>
      </c>
    </row>
    <row r="1955" spans="1:1" x14ac:dyDescent="0.2">
      <c r="A1955" t="s">
        <v>1904</v>
      </c>
    </row>
    <row r="1956" spans="1:1" x14ac:dyDescent="0.2">
      <c r="A1956" t="s">
        <v>1905</v>
      </c>
    </row>
    <row r="1957" spans="1:1" x14ac:dyDescent="0.2">
      <c r="A1957" t="s">
        <v>1906</v>
      </c>
    </row>
    <row r="1958" spans="1:1" x14ac:dyDescent="0.2">
      <c r="A1958" t="s">
        <v>1907</v>
      </c>
    </row>
    <row r="1959" spans="1:1" x14ac:dyDescent="0.2">
      <c r="A1959" t="s">
        <v>1908</v>
      </c>
    </row>
    <row r="1960" spans="1:1" x14ac:dyDescent="0.2">
      <c r="A1960" t="s">
        <v>1909</v>
      </c>
    </row>
    <row r="1961" spans="1:1" x14ac:dyDescent="0.2">
      <c r="A1961" t="s">
        <v>1910</v>
      </c>
    </row>
    <row r="1962" spans="1:1" x14ac:dyDescent="0.2">
      <c r="A1962" t="s">
        <v>1911</v>
      </c>
    </row>
    <row r="1963" spans="1:1" x14ac:dyDescent="0.2">
      <c r="A1963" t="s">
        <v>1912</v>
      </c>
    </row>
    <row r="1964" spans="1:1" x14ac:dyDescent="0.2">
      <c r="A1964" t="s">
        <v>1913</v>
      </c>
    </row>
    <row r="1965" spans="1:1" x14ac:dyDescent="0.2">
      <c r="A1965" t="s">
        <v>1914</v>
      </c>
    </row>
    <row r="1966" spans="1:1" x14ac:dyDescent="0.2">
      <c r="A1966" t="s">
        <v>1915</v>
      </c>
    </row>
    <row r="1967" spans="1:1" x14ac:dyDescent="0.2">
      <c r="A1967" t="s">
        <v>1916</v>
      </c>
    </row>
    <row r="1968" spans="1:1" x14ac:dyDescent="0.2">
      <c r="A1968" t="s">
        <v>1917</v>
      </c>
    </row>
    <row r="1969" spans="1:1" x14ac:dyDescent="0.2">
      <c r="A1969" t="s">
        <v>1918</v>
      </c>
    </row>
    <row r="1970" spans="1:1" x14ac:dyDescent="0.2">
      <c r="A1970" t="s">
        <v>1919</v>
      </c>
    </row>
    <row r="1971" spans="1:1" x14ac:dyDescent="0.2">
      <c r="A1971" t="s">
        <v>1920</v>
      </c>
    </row>
    <row r="1972" spans="1:1" x14ac:dyDescent="0.2">
      <c r="A1972" t="s">
        <v>1921</v>
      </c>
    </row>
    <row r="1973" spans="1:1" x14ac:dyDescent="0.2">
      <c r="A1973" t="s">
        <v>1922</v>
      </c>
    </row>
    <row r="1974" spans="1:1" x14ac:dyDescent="0.2">
      <c r="A1974" t="s">
        <v>1923</v>
      </c>
    </row>
    <row r="1975" spans="1:1" x14ac:dyDescent="0.2">
      <c r="A1975" t="s">
        <v>1924</v>
      </c>
    </row>
    <row r="1976" spans="1:1" x14ac:dyDescent="0.2">
      <c r="A1976" t="s">
        <v>1925</v>
      </c>
    </row>
    <row r="1977" spans="1:1" x14ac:dyDescent="0.2">
      <c r="A1977" t="s">
        <v>1926</v>
      </c>
    </row>
    <row r="1978" spans="1:1" x14ac:dyDescent="0.2">
      <c r="A1978" t="s">
        <v>1927</v>
      </c>
    </row>
    <row r="1979" spans="1:1" x14ac:dyDescent="0.2">
      <c r="A1979" t="s">
        <v>1928</v>
      </c>
    </row>
    <row r="1980" spans="1:1" x14ac:dyDescent="0.2">
      <c r="A1980" t="s">
        <v>1929</v>
      </c>
    </row>
    <row r="1981" spans="1:1" x14ac:dyDescent="0.2">
      <c r="A1981" t="s">
        <v>1930</v>
      </c>
    </row>
    <row r="1982" spans="1:1" x14ac:dyDescent="0.2">
      <c r="A1982" t="s">
        <v>1931</v>
      </c>
    </row>
    <row r="1983" spans="1:1" x14ac:dyDescent="0.2">
      <c r="A1983" t="s">
        <v>1932</v>
      </c>
    </row>
    <row r="1984" spans="1:1" x14ac:dyDescent="0.2">
      <c r="A1984" t="s">
        <v>1933</v>
      </c>
    </row>
    <row r="1985" spans="1:1" x14ac:dyDescent="0.2">
      <c r="A1985" t="s">
        <v>1934</v>
      </c>
    </row>
    <row r="1986" spans="1:1" x14ac:dyDescent="0.2">
      <c r="A1986" t="s">
        <v>1935</v>
      </c>
    </row>
    <row r="1987" spans="1:1" x14ac:dyDescent="0.2">
      <c r="A1987" t="s">
        <v>1936</v>
      </c>
    </row>
    <row r="1988" spans="1:1" x14ac:dyDescent="0.2">
      <c r="A1988" t="s">
        <v>1937</v>
      </c>
    </row>
    <row r="1989" spans="1:1" x14ac:dyDescent="0.2">
      <c r="A1989" t="s">
        <v>1938</v>
      </c>
    </row>
    <row r="1990" spans="1:1" x14ac:dyDescent="0.2">
      <c r="A1990" t="s">
        <v>1939</v>
      </c>
    </row>
    <row r="1991" spans="1:1" x14ac:dyDescent="0.2">
      <c r="A1991" t="s">
        <v>1940</v>
      </c>
    </row>
    <row r="1992" spans="1:1" x14ac:dyDescent="0.2">
      <c r="A1992" t="s">
        <v>1941</v>
      </c>
    </row>
    <row r="1993" spans="1:1" x14ac:dyDescent="0.2">
      <c r="A1993" t="s">
        <v>2015</v>
      </c>
    </row>
    <row r="1994" spans="1:1" x14ac:dyDescent="0.2">
      <c r="A1994" t="s">
        <v>1904</v>
      </c>
    </row>
    <row r="1995" spans="1:1" x14ac:dyDescent="0.2">
      <c r="A1995" t="s">
        <v>1905</v>
      </c>
    </row>
    <row r="1996" spans="1:1" x14ac:dyDescent="0.2">
      <c r="A1996" t="s">
        <v>1906</v>
      </c>
    </row>
    <row r="1997" spans="1:1" x14ac:dyDescent="0.2">
      <c r="A1997" t="s">
        <v>1907</v>
      </c>
    </row>
    <row r="1998" spans="1:1" x14ac:dyDescent="0.2">
      <c r="A1998" t="s">
        <v>1908</v>
      </c>
    </row>
    <row r="1999" spans="1:1" x14ac:dyDescent="0.2">
      <c r="A1999" t="s">
        <v>1909</v>
      </c>
    </row>
    <row r="2000" spans="1:1" x14ac:dyDescent="0.2">
      <c r="A2000" t="s">
        <v>1910</v>
      </c>
    </row>
    <row r="2001" spans="1:1" x14ac:dyDescent="0.2">
      <c r="A2001" t="s">
        <v>1911</v>
      </c>
    </row>
    <row r="2002" spans="1:1" x14ac:dyDescent="0.2">
      <c r="A2002" t="s">
        <v>1912</v>
      </c>
    </row>
    <row r="2003" spans="1:1" x14ac:dyDescent="0.2">
      <c r="A2003" t="s">
        <v>1913</v>
      </c>
    </row>
    <row r="2004" spans="1:1" x14ac:dyDescent="0.2">
      <c r="A2004" t="s">
        <v>1914</v>
      </c>
    </row>
    <row r="2005" spans="1:1" x14ac:dyDescent="0.2">
      <c r="A2005" t="s">
        <v>1915</v>
      </c>
    </row>
    <row r="2006" spans="1:1" x14ac:dyDescent="0.2">
      <c r="A2006" t="s">
        <v>1916</v>
      </c>
    </row>
    <row r="2007" spans="1:1" x14ac:dyDescent="0.2">
      <c r="A2007" t="s">
        <v>1917</v>
      </c>
    </row>
    <row r="2008" spans="1:1" x14ac:dyDescent="0.2">
      <c r="A2008" t="s">
        <v>1918</v>
      </c>
    </row>
    <row r="2009" spans="1:1" x14ac:dyDescent="0.2">
      <c r="A2009" t="s">
        <v>1919</v>
      </c>
    </row>
    <row r="2010" spans="1:1" x14ac:dyDescent="0.2">
      <c r="A2010" t="s">
        <v>1920</v>
      </c>
    </row>
    <row r="2011" spans="1:1" x14ac:dyDescent="0.2">
      <c r="A2011" t="s">
        <v>1921</v>
      </c>
    </row>
    <row r="2012" spans="1:1" x14ac:dyDescent="0.2">
      <c r="A2012" t="s">
        <v>1922</v>
      </c>
    </row>
    <row r="2013" spans="1:1" x14ac:dyDescent="0.2">
      <c r="A2013" t="s">
        <v>1923</v>
      </c>
    </row>
    <row r="2014" spans="1:1" x14ac:dyDescent="0.2">
      <c r="A2014" t="s">
        <v>1924</v>
      </c>
    </row>
    <row r="2015" spans="1:1" x14ac:dyDescent="0.2">
      <c r="A2015" t="s">
        <v>1925</v>
      </c>
    </row>
    <row r="2016" spans="1:1" x14ac:dyDescent="0.2">
      <c r="A2016" t="s">
        <v>1926</v>
      </c>
    </row>
    <row r="2017" spans="1:1" x14ac:dyDescent="0.2">
      <c r="A2017" t="s">
        <v>1927</v>
      </c>
    </row>
    <row r="2018" spans="1:1" x14ac:dyDescent="0.2">
      <c r="A2018" t="s">
        <v>1928</v>
      </c>
    </row>
    <row r="2019" spans="1:1" x14ac:dyDescent="0.2">
      <c r="A2019" t="s">
        <v>1929</v>
      </c>
    </row>
    <row r="2020" spans="1:1" x14ac:dyDescent="0.2">
      <c r="A2020" t="s">
        <v>1930</v>
      </c>
    </row>
    <row r="2021" spans="1:1" x14ac:dyDescent="0.2">
      <c r="A2021" t="s">
        <v>1931</v>
      </c>
    </row>
    <row r="2022" spans="1:1" x14ac:dyDescent="0.2">
      <c r="A2022" t="s">
        <v>1932</v>
      </c>
    </row>
    <row r="2023" spans="1:1" x14ac:dyDescent="0.2">
      <c r="A2023" t="s">
        <v>1933</v>
      </c>
    </row>
    <row r="2024" spans="1:1" x14ac:dyDescent="0.2">
      <c r="A2024" t="s">
        <v>1934</v>
      </c>
    </row>
    <row r="2025" spans="1:1" x14ac:dyDescent="0.2">
      <c r="A2025" t="s">
        <v>1935</v>
      </c>
    </row>
    <row r="2026" spans="1:1" x14ac:dyDescent="0.2">
      <c r="A2026" t="s">
        <v>1936</v>
      </c>
    </row>
    <row r="2027" spans="1:1" x14ac:dyDescent="0.2">
      <c r="A2027" t="s">
        <v>1937</v>
      </c>
    </row>
    <row r="2028" spans="1:1" x14ac:dyDescent="0.2">
      <c r="A2028" t="s">
        <v>1938</v>
      </c>
    </row>
    <row r="2029" spans="1:1" x14ac:dyDescent="0.2">
      <c r="A2029" t="s">
        <v>1939</v>
      </c>
    </row>
    <row r="2030" spans="1:1" x14ac:dyDescent="0.2">
      <c r="A2030" t="s">
        <v>1940</v>
      </c>
    </row>
    <row r="2031" spans="1:1" x14ac:dyDescent="0.2">
      <c r="A2031" t="s">
        <v>1941</v>
      </c>
    </row>
    <row r="2032" spans="1:1" x14ac:dyDescent="0.2">
      <c r="A2032" t="s">
        <v>2016</v>
      </c>
    </row>
    <row r="2033" spans="1:1" x14ac:dyDescent="0.2">
      <c r="A2033" t="s">
        <v>1904</v>
      </c>
    </row>
    <row r="2034" spans="1:1" x14ac:dyDescent="0.2">
      <c r="A2034" t="s">
        <v>1961</v>
      </c>
    </row>
    <row r="2035" spans="1:1" x14ac:dyDescent="0.2">
      <c r="A2035" t="s">
        <v>2017</v>
      </c>
    </row>
    <row r="2036" spans="1:1" x14ac:dyDescent="0.2">
      <c r="A2036" t="s">
        <v>1907</v>
      </c>
    </row>
    <row r="2037" spans="1:1" x14ac:dyDescent="0.2">
      <c r="A2037" t="s">
        <v>1908</v>
      </c>
    </row>
    <row r="2038" spans="1:1" x14ac:dyDescent="0.2">
      <c r="A2038" t="s">
        <v>1909</v>
      </c>
    </row>
    <row r="2039" spans="1:1" x14ac:dyDescent="0.2">
      <c r="A2039" t="s">
        <v>1910</v>
      </c>
    </row>
    <row r="2040" spans="1:1" x14ac:dyDescent="0.2">
      <c r="A2040" t="s">
        <v>1911</v>
      </c>
    </row>
    <row r="2041" spans="1:1" x14ac:dyDescent="0.2">
      <c r="A2041" t="s">
        <v>1912</v>
      </c>
    </row>
    <row r="2042" spans="1:1" x14ac:dyDescent="0.2">
      <c r="A2042" t="s">
        <v>1946</v>
      </c>
    </row>
    <row r="2043" spans="1:1" x14ac:dyDescent="0.2">
      <c r="A2043" t="s">
        <v>1947</v>
      </c>
    </row>
    <row r="2044" spans="1:1" x14ac:dyDescent="0.2">
      <c r="A2044" t="s">
        <v>1948</v>
      </c>
    </row>
    <row r="2045" spans="1:1" x14ac:dyDescent="0.2">
      <c r="A2045" t="s">
        <v>1916</v>
      </c>
    </row>
    <row r="2046" spans="1:1" x14ac:dyDescent="0.2">
      <c r="A2046" t="s">
        <v>2018</v>
      </c>
    </row>
    <row r="2047" spans="1:1" x14ac:dyDescent="0.2">
      <c r="A2047" t="s">
        <v>2019</v>
      </c>
    </row>
    <row r="2048" spans="1:1" x14ac:dyDescent="0.2">
      <c r="A2048" t="s">
        <v>1919</v>
      </c>
    </row>
    <row r="2049" spans="1:1" x14ac:dyDescent="0.2">
      <c r="A2049" t="s">
        <v>1951</v>
      </c>
    </row>
    <row r="2050" spans="1:1" x14ac:dyDescent="0.2">
      <c r="A2050" t="s">
        <v>1921</v>
      </c>
    </row>
    <row r="2051" spans="1:1" x14ac:dyDescent="0.2">
      <c r="A2051" t="s">
        <v>1922</v>
      </c>
    </row>
    <row r="2052" spans="1:1" x14ac:dyDescent="0.2">
      <c r="A2052" t="s">
        <v>1923</v>
      </c>
    </row>
    <row r="2053" spans="1:1" x14ac:dyDescent="0.2">
      <c r="A2053" t="s">
        <v>2020</v>
      </c>
    </row>
    <row r="2054" spans="1:1" x14ac:dyDescent="0.2">
      <c r="A2054" t="s">
        <v>2021</v>
      </c>
    </row>
    <row r="2055" spans="1:1" x14ac:dyDescent="0.2">
      <c r="A2055" t="s">
        <v>2022</v>
      </c>
    </row>
    <row r="2056" spans="1:1" x14ac:dyDescent="0.2">
      <c r="A2056" t="s">
        <v>2023</v>
      </c>
    </row>
    <row r="2057" spans="1:1" x14ac:dyDescent="0.2">
      <c r="A2057" t="s">
        <v>2024</v>
      </c>
    </row>
    <row r="2058" spans="1:1" x14ac:dyDescent="0.2">
      <c r="A2058" t="s">
        <v>1929</v>
      </c>
    </row>
    <row r="2059" spans="1:1" x14ac:dyDescent="0.2">
      <c r="A2059" t="s">
        <v>1930</v>
      </c>
    </row>
    <row r="2060" spans="1:1" x14ac:dyDescent="0.2">
      <c r="A2060" t="s">
        <v>1931</v>
      </c>
    </row>
    <row r="2061" spans="1:1" x14ac:dyDescent="0.2">
      <c r="A2061" t="s">
        <v>1932</v>
      </c>
    </row>
    <row r="2062" spans="1:1" x14ac:dyDescent="0.2">
      <c r="A2062" t="s">
        <v>1933</v>
      </c>
    </row>
    <row r="2063" spans="1:1" x14ac:dyDescent="0.2">
      <c r="A2063" t="s">
        <v>1934</v>
      </c>
    </row>
    <row r="2064" spans="1:1" x14ac:dyDescent="0.2">
      <c r="A2064" t="s">
        <v>1935</v>
      </c>
    </row>
    <row r="2065" spans="1:1" x14ac:dyDescent="0.2">
      <c r="A2065" t="s">
        <v>1936</v>
      </c>
    </row>
    <row r="2066" spans="1:1" x14ac:dyDescent="0.2">
      <c r="A2066" t="s">
        <v>1971</v>
      </c>
    </row>
    <row r="2067" spans="1:1" x14ac:dyDescent="0.2">
      <c r="A2067" t="s">
        <v>2025</v>
      </c>
    </row>
    <row r="2068" spans="1:1" x14ac:dyDescent="0.2">
      <c r="A2068" t="s">
        <v>2026</v>
      </c>
    </row>
    <row r="2069" spans="1:1" x14ac:dyDescent="0.2">
      <c r="A2069" t="s">
        <v>1940</v>
      </c>
    </row>
    <row r="2070" spans="1:1" x14ac:dyDescent="0.2">
      <c r="A2070" t="s">
        <v>2027</v>
      </c>
    </row>
    <row r="2071" spans="1:1" x14ac:dyDescent="0.2">
      <c r="A2071" t="s">
        <v>2028</v>
      </c>
    </row>
    <row r="2072" spans="1:1" x14ac:dyDescent="0.2">
      <c r="A2072" t="s">
        <v>1904</v>
      </c>
    </row>
    <row r="2073" spans="1:1" x14ac:dyDescent="0.2">
      <c r="A2073" t="s">
        <v>1961</v>
      </c>
    </row>
    <row r="2074" spans="1:1" x14ac:dyDescent="0.2">
      <c r="A2074" t="s">
        <v>2017</v>
      </c>
    </row>
    <row r="2075" spans="1:1" x14ac:dyDescent="0.2">
      <c r="A2075" t="s">
        <v>1907</v>
      </c>
    </row>
    <row r="2076" spans="1:1" x14ac:dyDescent="0.2">
      <c r="A2076" t="s">
        <v>1908</v>
      </c>
    </row>
    <row r="2077" spans="1:1" x14ac:dyDescent="0.2">
      <c r="A2077" t="s">
        <v>1909</v>
      </c>
    </row>
    <row r="2078" spans="1:1" x14ac:dyDescent="0.2">
      <c r="A2078" t="s">
        <v>1910</v>
      </c>
    </row>
    <row r="2079" spans="1:1" x14ac:dyDescent="0.2">
      <c r="A2079" t="s">
        <v>1911</v>
      </c>
    </row>
    <row r="2080" spans="1:1" x14ac:dyDescent="0.2">
      <c r="A2080" t="s">
        <v>1912</v>
      </c>
    </row>
    <row r="2081" spans="1:1" x14ac:dyDescent="0.2">
      <c r="A2081" t="s">
        <v>1956</v>
      </c>
    </row>
    <row r="2082" spans="1:1" x14ac:dyDescent="0.2">
      <c r="A2082" t="s">
        <v>1947</v>
      </c>
    </row>
    <row r="2083" spans="1:1" x14ac:dyDescent="0.2">
      <c r="A2083" t="s">
        <v>1948</v>
      </c>
    </row>
    <row r="2084" spans="1:1" x14ac:dyDescent="0.2">
      <c r="A2084" t="s">
        <v>1916</v>
      </c>
    </row>
    <row r="2085" spans="1:1" x14ac:dyDescent="0.2">
      <c r="A2085" t="s">
        <v>2018</v>
      </c>
    </row>
    <row r="2086" spans="1:1" x14ac:dyDescent="0.2">
      <c r="A2086" t="s">
        <v>2019</v>
      </c>
    </row>
    <row r="2087" spans="1:1" x14ac:dyDescent="0.2">
      <c r="A2087" t="s">
        <v>1919</v>
      </c>
    </row>
    <row r="2088" spans="1:1" x14ac:dyDescent="0.2">
      <c r="A2088" t="s">
        <v>1951</v>
      </c>
    </row>
    <row r="2089" spans="1:1" x14ac:dyDescent="0.2">
      <c r="A2089" t="s">
        <v>1921</v>
      </c>
    </row>
    <row r="2090" spans="1:1" x14ac:dyDescent="0.2">
      <c r="A2090" t="s">
        <v>1922</v>
      </c>
    </row>
    <row r="2091" spans="1:1" x14ac:dyDescent="0.2">
      <c r="A2091" t="s">
        <v>1923</v>
      </c>
    </row>
    <row r="2092" spans="1:1" x14ac:dyDescent="0.2">
      <c r="A2092" t="s">
        <v>2020</v>
      </c>
    </row>
    <row r="2093" spans="1:1" x14ac:dyDescent="0.2">
      <c r="A2093" t="s">
        <v>2021</v>
      </c>
    </row>
    <row r="2094" spans="1:1" x14ac:dyDescent="0.2">
      <c r="A2094" t="s">
        <v>2022</v>
      </c>
    </row>
    <row r="2095" spans="1:1" x14ac:dyDescent="0.2">
      <c r="A2095" t="s">
        <v>2023</v>
      </c>
    </row>
    <row r="2096" spans="1:1" x14ac:dyDescent="0.2">
      <c r="A2096" t="s">
        <v>2024</v>
      </c>
    </row>
    <row r="2097" spans="1:1" x14ac:dyDescent="0.2">
      <c r="A2097" t="s">
        <v>1929</v>
      </c>
    </row>
    <row r="2098" spans="1:1" x14ac:dyDescent="0.2">
      <c r="A2098" t="s">
        <v>1930</v>
      </c>
    </row>
    <row r="2099" spans="1:1" x14ac:dyDescent="0.2">
      <c r="A2099" t="s">
        <v>1931</v>
      </c>
    </row>
    <row r="2100" spans="1:1" x14ac:dyDescent="0.2">
      <c r="A2100" t="s">
        <v>1932</v>
      </c>
    </row>
    <row r="2101" spans="1:1" x14ac:dyDescent="0.2">
      <c r="A2101" t="s">
        <v>1933</v>
      </c>
    </row>
    <row r="2102" spans="1:1" x14ac:dyDescent="0.2">
      <c r="A2102" t="s">
        <v>1934</v>
      </c>
    </row>
    <row r="2103" spans="1:1" x14ac:dyDescent="0.2">
      <c r="A2103" t="s">
        <v>1935</v>
      </c>
    </row>
    <row r="2104" spans="1:1" x14ac:dyDescent="0.2">
      <c r="A2104" t="s">
        <v>1936</v>
      </c>
    </row>
    <row r="2105" spans="1:1" x14ac:dyDescent="0.2">
      <c r="A2105" t="s">
        <v>1971</v>
      </c>
    </row>
    <row r="2106" spans="1:1" x14ac:dyDescent="0.2">
      <c r="A2106" t="s">
        <v>2025</v>
      </c>
    </row>
    <row r="2107" spans="1:1" x14ac:dyDescent="0.2">
      <c r="A2107" t="s">
        <v>2026</v>
      </c>
    </row>
    <row r="2108" spans="1:1" x14ac:dyDescent="0.2">
      <c r="A2108" t="s">
        <v>1940</v>
      </c>
    </row>
    <row r="2109" spans="1:1" x14ac:dyDescent="0.2">
      <c r="A2109" t="s">
        <v>2027</v>
      </c>
    </row>
    <row r="2110" spans="1:1" x14ac:dyDescent="0.2">
      <c r="A2110" t="s">
        <v>2029</v>
      </c>
    </row>
    <row r="2111" spans="1:1" x14ac:dyDescent="0.2">
      <c r="A2111" t="s">
        <v>1904</v>
      </c>
    </row>
    <row r="2112" spans="1:1" x14ac:dyDescent="0.2">
      <c r="A2112" t="s">
        <v>1961</v>
      </c>
    </row>
    <row r="2113" spans="1:1" x14ac:dyDescent="0.2">
      <c r="A2113" t="s">
        <v>2017</v>
      </c>
    </row>
    <row r="2114" spans="1:1" x14ac:dyDescent="0.2">
      <c r="A2114" t="s">
        <v>1907</v>
      </c>
    </row>
    <row r="2115" spans="1:1" x14ac:dyDescent="0.2">
      <c r="A2115" t="s">
        <v>1908</v>
      </c>
    </row>
    <row r="2116" spans="1:1" x14ac:dyDescent="0.2">
      <c r="A2116" t="s">
        <v>1909</v>
      </c>
    </row>
    <row r="2117" spans="1:1" x14ac:dyDescent="0.2">
      <c r="A2117" t="s">
        <v>1910</v>
      </c>
    </row>
    <row r="2118" spans="1:1" x14ac:dyDescent="0.2">
      <c r="A2118" t="s">
        <v>1911</v>
      </c>
    </row>
    <row r="2119" spans="1:1" x14ac:dyDescent="0.2">
      <c r="A2119" t="s">
        <v>1912</v>
      </c>
    </row>
    <row r="2120" spans="1:1" x14ac:dyDescent="0.2">
      <c r="A2120" t="s">
        <v>1913</v>
      </c>
    </row>
    <row r="2121" spans="1:1" x14ac:dyDescent="0.2">
      <c r="A2121" t="s">
        <v>1947</v>
      </c>
    </row>
    <row r="2122" spans="1:1" x14ac:dyDescent="0.2">
      <c r="A2122" t="s">
        <v>1948</v>
      </c>
    </row>
    <row r="2123" spans="1:1" x14ac:dyDescent="0.2">
      <c r="A2123" t="s">
        <v>1916</v>
      </c>
    </row>
    <row r="2124" spans="1:1" x14ac:dyDescent="0.2">
      <c r="A2124" t="s">
        <v>2018</v>
      </c>
    </row>
    <row r="2125" spans="1:1" x14ac:dyDescent="0.2">
      <c r="A2125" t="s">
        <v>2019</v>
      </c>
    </row>
    <row r="2126" spans="1:1" x14ac:dyDescent="0.2">
      <c r="A2126" t="s">
        <v>1919</v>
      </c>
    </row>
    <row r="2127" spans="1:1" x14ac:dyDescent="0.2">
      <c r="A2127" t="s">
        <v>1951</v>
      </c>
    </row>
    <row r="2128" spans="1:1" x14ac:dyDescent="0.2">
      <c r="A2128" t="s">
        <v>1921</v>
      </c>
    </row>
    <row r="2129" spans="1:1" x14ac:dyDescent="0.2">
      <c r="A2129" t="s">
        <v>1922</v>
      </c>
    </row>
    <row r="2130" spans="1:1" x14ac:dyDescent="0.2">
      <c r="A2130" t="s">
        <v>1923</v>
      </c>
    </row>
    <row r="2131" spans="1:1" x14ac:dyDescent="0.2">
      <c r="A2131" t="s">
        <v>2020</v>
      </c>
    </row>
    <row r="2132" spans="1:1" x14ac:dyDescent="0.2">
      <c r="A2132" t="s">
        <v>2021</v>
      </c>
    </row>
    <row r="2133" spans="1:1" x14ac:dyDescent="0.2">
      <c r="A2133" t="s">
        <v>2022</v>
      </c>
    </row>
    <row r="2134" spans="1:1" x14ac:dyDescent="0.2">
      <c r="A2134" t="s">
        <v>2023</v>
      </c>
    </row>
    <row r="2135" spans="1:1" x14ac:dyDescent="0.2">
      <c r="A2135" t="s">
        <v>2024</v>
      </c>
    </row>
    <row r="2136" spans="1:1" x14ac:dyDescent="0.2">
      <c r="A2136" t="s">
        <v>1929</v>
      </c>
    </row>
    <row r="2137" spans="1:1" x14ac:dyDescent="0.2">
      <c r="A2137" t="s">
        <v>1930</v>
      </c>
    </row>
    <row r="2138" spans="1:1" x14ac:dyDescent="0.2">
      <c r="A2138" t="s">
        <v>1931</v>
      </c>
    </row>
    <row r="2139" spans="1:1" x14ac:dyDescent="0.2">
      <c r="A2139" t="s">
        <v>1932</v>
      </c>
    </row>
    <row r="2140" spans="1:1" x14ac:dyDescent="0.2">
      <c r="A2140" t="s">
        <v>1933</v>
      </c>
    </row>
    <row r="2141" spans="1:1" x14ac:dyDescent="0.2">
      <c r="A2141" t="s">
        <v>1934</v>
      </c>
    </row>
    <row r="2142" spans="1:1" x14ac:dyDescent="0.2">
      <c r="A2142" t="s">
        <v>1935</v>
      </c>
    </row>
    <row r="2143" spans="1:1" x14ac:dyDescent="0.2">
      <c r="A2143" t="s">
        <v>1936</v>
      </c>
    </row>
    <row r="2144" spans="1:1" x14ac:dyDescent="0.2">
      <c r="A2144" t="s">
        <v>1971</v>
      </c>
    </row>
    <row r="2145" spans="1:1" x14ac:dyDescent="0.2">
      <c r="A2145" t="s">
        <v>2025</v>
      </c>
    </row>
    <row r="2146" spans="1:1" x14ac:dyDescent="0.2">
      <c r="A2146" t="s">
        <v>2026</v>
      </c>
    </row>
    <row r="2147" spans="1:1" x14ac:dyDescent="0.2">
      <c r="A2147" t="s">
        <v>1940</v>
      </c>
    </row>
    <row r="2148" spans="1:1" x14ac:dyDescent="0.2">
      <c r="A2148" t="s">
        <v>2027</v>
      </c>
    </row>
    <row r="2149" spans="1:1" x14ac:dyDescent="0.2">
      <c r="A2149" t="s">
        <v>2030</v>
      </c>
    </row>
    <row r="2150" spans="1:1" x14ac:dyDescent="0.2">
      <c r="A2150" t="s">
        <v>1904</v>
      </c>
    </row>
    <row r="2151" spans="1:1" x14ac:dyDescent="0.2">
      <c r="A2151" t="s">
        <v>1905</v>
      </c>
    </row>
    <row r="2152" spans="1:1" x14ac:dyDescent="0.2">
      <c r="A2152" t="s">
        <v>2031</v>
      </c>
    </row>
    <row r="2153" spans="1:1" x14ac:dyDescent="0.2">
      <c r="A2153" t="s">
        <v>1907</v>
      </c>
    </row>
    <row r="2154" spans="1:1" x14ac:dyDescent="0.2">
      <c r="A2154" t="s">
        <v>1908</v>
      </c>
    </row>
    <row r="2155" spans="1:1" x14ac:dyDescent="0.2">
      <c r="A2155" t="s">
        <v>1909</v>
      </c>
    </row>
    <row r="2156" spans="1:1" x14ac:dyDescent="0.2">
      <c r="A2156" t="s">
        <v>1910</v>
      </c>
    </row>
    <row r="2157" spans="1:1" x14ac:dyDescent="0.2">
      <c r="A2157" t="s">
        <v>1911</v>
      </c>
    </row>
    <row r="2158" spans="1:1" x14ac:dyDescent="0.2">
      <c r="A2158" t="s">
        <v>1912</v>
      </c>
    </row>
    <row r="2159" spans="1:1" x14ac:dyDescent="0.2">
      <c r="A2159" t="s">
        <v>1913</v>
      </c>
    </row>
    <row r="2160" spans="1:1" x14ac:dyDescent="0.2">
      <c r="A2160" t="s">
        <v>1914</v>
      </c>
    </row>
    <row r="2161" spans="1:1" x14ac:dyDescent="0.2">
      <c r="A2161" t="s">
        <v>1915</v>
      </c>
    </row>
    <row r="2162" spans="1:1" x14ac:dyDescent="0.2">
      <c r="A2162" t="s">
        <v>1916</v>
      </c>
    </row>
    <row r="2163" spans="1:1" x14ac:dyDescent="0.2">
      <c r="A2163" t="s">
        <v>1917</v>
      </c>
    </row>
    <row r="2164" spans="1:1" x14ac:dyDescent="0.2">
      <c r="A2164" t="s">
        <v>1918</v>
      </c>
    </row>
    <row r="2165" spans="1:1" x14ac:dyDescent="0.2">
      <c r="A2165" t="s">
        <v>1919</v>
      </c>
    </row>
    <row r="2166" spans="1:1" x14ac:dyDescent="0.2">
      <c r="A2166" t="s">
        <v>1920</v>
      </c>
    </row>
    <row r="2167" spans="1:1" x14ac:dyDescent="0.2">
      <c r="A2167" t="s">
        <v>1921</v>
      </c>
    </row>
    <row r="2168" spans="1:1" x14ac:dyDescent="0.2">
      <c r="A2168" t="s">
        <v>1922</v>
      </c>
    </row>
    <row r="2169" spans="1:1" x14ac:dyDescent="0.2">
      <c r="A2169" t="s">
        <v>1923</v>
      </c>
    </row>
    <row r="2170" spans="1:1" x14ac:dyDescent="0.2">
      <c r="A2170" t="s">
        <v>1924</v>
      </c>
    </row>
    <row r="2171" spans="1:1" x14ac:dyDescent="0.2">
      <c r="A2171" t="s">
        <v>1925</v>
      </c>
    </row>
    <row r="2172" spans="1:1" x14ac:dyDescent="0.2">
      <c r="A2172" t="s">
        <v>1926</v>
      </c>
    </row>
    <row r="2173" spans="1:1" x14ac:dyDescent="0.2">
      <c r="A2173" t="s">
        <v>1927</v>
      </c>
    </row>
    <row r="2174" spans="1:1" x14ac:dyDescent="0.2">
      <c r="A2174" t="s">
        <v>1928</v>
      </c>
    </row>
    <row r="2175" spans="1:1" x14ac:dyDescent="0.2">
      <c r="A2175" t="s">
        <v>1929</v>
      </c>
    </row>
    <row r="2176" spans="1:1" x14ac:dyDescent="0.2">
      <c r="A2176" t="s">
        <v>1930</v>
      </c>
    </row>
    <row r="2177" spans="1:1" x14ac:dyDescent="0.2">
      <c r="A2177" t="s">
        <v>1931</v>
      </c>
    </row>
    <row r="2178" spans="1:1" x14ac:dyDescent="0.2">
      <c r="A2178" t="s">
        <v>1932</v>
      </c>
    </row>
    <row r="2179" spans="1:1" x14ac:dyDescent="0.2">
      <c r="A2179" t="s">
        <v>1933</v>
      </c>
    </row>
    <row r="2180" spans="1:1" x14ac:dyDescent="0.2">
      <c r="A2180" t="s">
        <v>1934</v>
      </c>
    </row>
    <row r="2181" spans="1:1" x14ac:dyDescent="0.2">
      <c r="A2181" t="s">
        <v>1935</v>
      </c>
    </row>
    <row r="2182" spans="1:1" x14ac:dyDescent="0.2">
      <c r="A2182" t="s">
        <v>1936</v>
      </c>
    </row>
    <row r="2183" spans="1:1" x14ac:dyDescent="0.2">
      <c r="A2183" t="s">
        <v>1937</v>
      </c>
    </row>
    <row r="2184" spans="1:1" x14ac:dyDescent="0.2">
      <c r="A2184" t="s">
        <v>1938</v>
      </c>
    </row>
    <row r="2185" spans="1:1" x14ac:dyDescent="0.2">
      <c r="A2185" t="s">
        <v>1939</v>
      </c>
    </row>
    <row r="2186" spans="1:1" x14ac:dyDescent="0.2">
      <c r="A2186" t="s">
        <v>1940</v>
      </c>
    </row>
    <row r="2187" spans="1:1" x14ac:dyDescent="0.2">
      <c r="A2187" t="s">
        <v>1941</v>
      </c>
    </row>
    <row r="2188" spans="1:1" x14ac:dyDescent="0.2">
      <c r="A2188" t="s">
        <v>2032</v>
      </c>
    </row>
    <row r="2189" spans="1:1" x14ac:dyDescent="0.2">
      <c r="A2189" t="s">
        <v>1904</v>
      </c>
    </row>
    <row r="2190" spans="1:1" x14ac:dyDescent="0.2">
      <c r="A2190" t="s">
        <v>1961</v>
      </c>
    </row>
    <row r="2191" spans="1:1" x14ac:dyDescent="0.2">
      <c r="A2191" t="s">
        <v>2017</v>
      </c>
    </row>
    <row r="2192" spans="1:1" x14ac:dyDescent="0.2">
      <c r="A2192" t="s">
        <v>1907</v>
      </c>
    </row>
    <row r="2193" spans="1:1" x14ac:dyDescent="0.2">
      <c r="A2193" t="s">
        <v>1908</v>
      </c>
    </row>
    <row r="2194" spans="1:1" x14ac:dyDescent="0.2">
      <c r="A2194" t="s">
        <v>1909</v>
      </c>
    </row>
    <row r="2195" spans="1:1" x14ac:dyDescent="0.2">
      <c r="A2195" t="s">
        <v>1910</v>
      </c>
    </row>
    <row r="2196" spans="1:1" x14ac:dyDescent="0.2">
      <c r="A2196" t="s">
        <v>1911</v>
      </c>
    </row>
    <row r="2197" spans="1:1" x14ac:dyDescent="0.2">
      <c r="A2197" t="s">
        <v>1912</v>
      </c>
    </row>
    <row r="2198" spans="1:1" x14ac:dyDescent="0.2">
      <c r="A2198" t="s">
        <v>1946</v>
      </c>
    </row>
    <row r="2199" spans="1:1" x14ac:dyDescent="0.2">
      <c r="A2199" t="s">
        <v>1947</v>
      </c>
    </row>
    <row r="2200" spans="1:1" x14ac:dyDescent="0.2">
      <c r="A2200" t="s">
        <v>1948</v>
      </c>
    </row>
    <row r="2201" spans="1:1" x14ac:dyDescent="0.2">
      <c r="A2201" t="s">
        <v>1916</v>
      </c>
    </row>
    <row r="2202" spans="1:1" x14ac:dyDescent="0.2">
      <c r="A2202" t="s">
        <v>2018</v>
      </c>
    </row>
    <row r="2203" spans="1:1" x14ac:dyDescent="0.2">
      <c r="A2203" t="s">
        <v>2019</v>
      </c>
    </row>
    <row r="2204" spans="1:1" x14ac:dyDescent="0.2">
      <c r="A2204" t="s">
        <v>1919</v>
      </c>
    </row>
    <row r="2205" spans="1:1" x14ac:dyDescent="0.2">
      <c r="A2205" t="s">
        <v>1951</v>
      </c>
    </row>
    <row r="2206" spans="1:1" x14ac:dyDescent="0.2">
      <c r="A2206" t="s">
        <v>1921</v>
      </c>
    </row>
    <row r="2207" spans="1:1" x14ac:dyDescent="0.2">
      <c r="A2207" t="s">
        <v>1922</v>
      </c>
    </row>
    <row r="2208" spans="1:1" x14ac:dyDescent="0.2">
      <c r="A2208" t="s">
        <v>1923</v>
      </c>
    </row>
    <row r="2209" spans="1:1" x14ac:dyDescent="0.2">
      <c r="A2209" t="s">
        <v>2020</v>
      </c>
    </row>
    <row r="2210" spans="1:1" x14ac:dyDescent="0.2">
      <c r="A2210" t="s">
        <v>2021</v>
      </c>
    </row>
    <row r="2211" spans="1:1" x14ac:dyDescent="0.2">
      <c r="A2211" t="s">
        <v>2022</v>
      </c>
    </row>
    <row r="2212" spans="1:1" x14ac:dyDescent="0.2">
      <c r="A2212" t="s">
        <v>2023</v>
      </c>
    </row>
    <row r="2213" spans="1:1" x14ac:dyDescent="0.2">
      <c r="A2213" t="s">
        <v>2024</v>
      </c>
    </row>
    <row r="2214" spans="1:1" x14ac:dyDescent="0.2">
      <c r="A2214" t="s">
        <v>1929</v>
      </c>
    </row>
    <row r="2215" spans="1:1" x14ac:dyDescent="0.2">
      <c r="A2215" t="s">
        <v>1930</v>
      </c>
    </row>
    <row r="2216" spans="1:1" x14ac:dyDescent="0.2">
      <c r="A2216" t="s">
        <v>1931</v>
      </c>
    </row>
    <row r="2217" spans="1:1" x14ac:dyDescent="0.2">
      <c r="A2217" t="s">
        <v>1932</v>
      </c>
    </row>
    <row r="2218" spans="1:1" x14ac:dyDescent="0.2">
      <c r="A2218" t="s">
        <v>1933</v>
      </c>
    </row>
    <row r="2219" spans="1:1" x14ac:dyDescent="0.2">
      <c r="A2219" t="s">
        <v>1934</v>
      </c>
    </row>
    <row r="2220" spans="1:1" x14ac:dyDescent="0.2">
      <c r="A2220" t="s">
        <v>1935</v>
      </c>
    </row>
    <row r="2221" spans="1:1" x14ac:dyDescent="0.2">
      <c r="A2221" t="s">
        <v>1936</v>
      </c>
    </row>
    <row r="2222" spans="1:1" x14ac:dyDescent="0.2">
      <c r="A2222" t="s">
        <v>1971</v>
      </c>
    </row>
    <row r="2223" spans="1:1" x14ac:dyDescent="0.2">
      <c r="A2223" t="s">
        <v>2033</v>
      </c>
    </row>
    <row r="2224" spans="1:1" x14ac:dyDescent="0.2">
      <c r="A2224" t="s">
        <v>2034</v>
      </c>
    </row>
    <row r="2225" spans="1:1" x14ac:dyDescent="0.2">
      <c r="A2225" t="s">
        <v>1940</v>
      </c>
    </row>
    <row r="2226" spans="1:1" x14ac:dyDescent="0.2">
      <c r="A2226" t="s">
        <v>2027</v>
      </c>
    </row>
    <row r="2227" spans="1:1" x14ac:dyDescent="0.2">
      <c r="A2227" t="s">
        <v>2035</v>
      </c>
    </row>
    <row r="2228" spans="1:1" x14ac:dyDescent="0.2">
      <c r="A2228" t="s">
        <v>1904</v>
      </c>
    </row>
    <row r="2229" spans="1:1" x14ac:dyDescent="0.2">
      <c r="A2229" t="s">
        <v>1961</v>
      </c>
    </row>
    <row r="2230" spans="1:1" x14ac:dyDescent="0.2">
      <c r="A2230" t="s">
        <v>2017</v>
      </c>
    </row>
    <row r="2231" spans="1:1" x14ac:dyDescent="0.2">
      <c r="A2231" t="s">
        <v>1907</v>
      </c>
    </row>
    <row r="2232" spans="1:1" x14ac:dyDescent="0.2">
      <c r="A2232" t="s">
        <v>1908</v>
      </c>
    </row>
    <row r="2233" spans="1:1" x14ac:dyDescent="0.2">
      <c r="A2233" t="s">
        <v>1909</v>
      </c>
    </row>
    <row r="2234" spans="1:1" x14ac:dyDescent="0.2">
      <c r="A2234" t="s">
        <v>1910</v>
      </c>
    </row>
    <row r="2235" spans="1:1" x14ac:dyDescent="0.2">
      <c r="A2235" t="s">
        <v>1911</v>
      </c>
    </row>
    <row r="2236" spans="1:1" x14ac:dyDescent="0.2">
      <c r="A2236" t="s">
        <v>1912</v>
      </c>
    </row>
    <row r="2237" spans="1:1" x14ac:dyDescent="0.2">
      <c r="A2237" t="s">
        <v>1956</v>
      </c>
    </row>
    <row r="2238" spans="1:1" x14ac:dyDescent="0.2">
      <c r="A2238" t="s">
        <v>1947</v>
      </c>
    </row>
    <row r="2239" spans="1:1" x14ac:dyDescent="0.2">
      <c r="A2239" t="s">
        <v>1948</v>
      </c>
    </row>
    <row r="2240" spans="1:1" x14ac:dyDescent="0.2">
      <c r="A2240" t="s">
        <v>1916</v>
      </c>
    </row>
    <row r="2241" spans="1:1" x14ac:dyDescent="0.2">
      <c r="A2241" t="s">
        <v>2018</v>
      </c>
    </row>
    <row r="2242" spans="1:1" x14ac:dyDescent="0.2">
      <c r="A2242" t="s">
        <v>2019</v>
      </c>
    </row>
    <row r="2243" spans="1:1" x14ac:dyDescent="0.2">
      <c r="A2243" t="s">
        <v>1919</v>
      </c>
    </row>
    <row r="2244" spans="1:1" x14ac:dyDescent="0.2">
      <c r="A2244" t="s">
        <v>1951</v>
      </c>
    </row>
    <row r="2245" spans="1:1" x14ac:dyDescent="0.2">
      <c r="A2245" t="s">
        <v>1921</v>
      </c>
    </row>
    <row r="2246" spans="1:1" x14ac:dyDescent="0.2">
      <c r="A2246" t="s">
        <v>1922</v>
      </c>
    </row>
    <row r="2247" spans="1:1" x14ac:dyDescent="0.2">
      <c r="A2247" t="s">
        <v>1923</v>
      </c>
    </row>
    <row r="2248" spans="1:1" x14ac:dyDescent="0.2">
      <c r="A2248" t="s">
        <v>2020</v>
      </c>
    </row>
    <row r="2249" spans="1:1" x14ac:dyDescent="0.2">
      <c r="A2249" t="s">
        <v>2021</v>
      </c>
    </row>
    <row r="2250" spans="1:1" x14ac:dyDescent="0.2">
      <c r="A2250" t="s">
        <v>2022</v>
      </c>
    </row>
    <row r="2251" spans="1:1" x14ac:dyDescent="0.2">
      <c r="A2251" t="s">
        <v>2023</v>
      </c>
    </row>
    <row r="2252" spans="1:1" x14ac:dyDescent="0.2">
      <c r="A2252" t="s">
        <v>2024</v>
      </c>
    </row>
    <row r="2253" spans="1:1" x14ac:dyDescent="0.2">
      <c r="A2253" t="s">
        <v>1929</v>
      </c>
    </row>
    <row r="2254" spans="1:1" x14ac:dyDescent="0.2">
      <c r="A2254" t="s">
        <v>1930</v>
      </c>
    </row>
    <row r="2255" spans="1:1" x14ac:dyDescent="0.2">
      <c r="A2255" t="s">
        <v>1931</v>
      </c>
    </row>
    <row r="2256" spans="1:1" x14ac:dyDescent="0.2">
      <c r="A2256" t="s">
        <v>1932</v>
      </c>
    </row>
    <row r="2257" spans="1:1" x14ac:dyDescent="0.2">
      <c r="A2257" t="s">
        <v>1933</v>
      </c>
    </row>
    <row r="2258" spans="1:1" x14ac:dyDescent="0.2">
      <c r="A2258" t="s">
        <v>1934</v>
      </c>
    </row>
    <row r="2259" spans="1:1" x14ac:dyDescent="0.2">
      <c r="A2259" t="s">
        <v>1935</v>
      </c>
    </row>
    <row r="2260" spans="1:1" x14ac:dyDescent="0.2">
      <c r="A2260" t="s">
        <v>1936</v>
      </c>
    </row>
    <row r="2261" spans="1:1" x14ac:dyDescent="0.2">
      <c r="A2261" t="s">
        <v>1971</v>
      </c>
    </row>
    <row r="2262" spans="1:1" x14ac:dyDescent="0.2">
      <c r="A2262" t="s">
        <v>2033</v>
      </c>
    </row>
    <row r="2263" spans="1:1" x14ac:dyDescent="0.2">
      <c r="A2263" t="s">
        <v>2034</v>
      </c>
    </row>
    <row r="2264" spans="1:1" x14ac:dyDescent="0.2">
      <c r="A2264" t="s">
        <v>1940</v>
      </c>
    </row>
    <row r="2265" spans="1:1" x14ac:dyDescent="0.2">
      <c r="A2265" t="s">
        <v>2027</v>
      </c>
    </row>
    <row r="2266" spans="1:1" x14ac:dyDescent="0.2">
      <c r="A2266" t="s">
        <v>2036</v>
      </c>
    </row>
    <row r="2267" spans="1:1" x14ac:dyDescent="0.2">
      <c r="A2267" t="s">
        <v>1904</v>
      </c>
    </row>
    <row r="2268" spans="1:1" x14ac:dyDescent="0.2">
      <c r="A2268" t="s">
        <v>1961</v>
      </c>
    </row>
    <row r="2269" spans="1:1" x14ac:dyDescent="0.2">
      <c r="A2269" t="s">
        <v>2017</v>
      </c>
    </row>
    <row r="2270" spans="1:1" x14ac:dyDescent="0.2">
      <c r="A2270" t="s">
        <v>1907</v>
      </c>
    </row>
    <row r="2271" spans="1:1" x14ac:dyDescent="0.2">
      <c r="A2271" t="s">
        <v>1908</v>
      </c>
    </row>
    <row r="2272" spans="1:1" x14ac:dyDescent="0.2">
      <c r="A2272" t="s">
        <v>1909</v>
      </c>
    </row>
    <row r="2273" spans="1:1" x14ac:dyDescent="0.2">
      <c r="A2273" t="s">
        <v>1910</v>
      </c>
    </row>
    <row r="2274" spans="1:1" x14ac:dyDescent="0.2">
      <c r="A2274" t="s">
        <v>1911</v>
      </c>
    </row>
    <row r="2275" spans="1:1" x14ac:dyDescent="0.2">
      <c r="A2275" t="s">
        <v>1912</v>
      </c>
    </row>
    <row r="2276" spans="1:1" x14ac:dyDescent="0.2">
      <c r="A2276" t="s">
        <v>1913</v>
      </c>
    </row>
    <row r="2277" spans="1:1" x14ac:dyDescent="0.2">
      <c r="A2277" t="s">
        <v>1947</v>
      </c>
    </row>
    <row r="2278" spans="1:1" x14ac:dyDescent="0.2">
      <c r="A2278" t="s">
        <v>1948</v>
      </c>
    </row>
    <row r="2279" spans="1:1" x14ac:dyDescent="0.2">
      <c r="A2279" t="s">
        <v>1916</v>
      </c>
    </row>
    <row r="2280" spans="1:1" x14ac:dyDescent="0.2">
      <c r="A2280" t="s">
        <v>2018</v>
      </c>
    </row>
    <row r="2281" spans="1:1" x14ac:dyDescent="0.2">
      <c r="A2281" t="s">
        <v>2019</v>
      </c>
    </row>
    <row r="2282" spans="1:1" x14ac:dyDescent="0.2">
      <c r="A2282" t="s">
        <v>1919</v>
      </c>
    </row>
    <row r="2283" spans="1:1" x14ac:dyDescent="0.2">
      <c r="A2283" t="s">
        <v>1951</v>
      </c>
    </row>
    <row r="2284" spans="1:1" x14ac:dyDescent="0.2">
      <c r="A2284" t="s">
        <v>1921</v>
      </c>
    </row>
    <row r="2285" spans="1:1" x14ac:dyDescent="0.2">
      <c r="A2285" t="s">
        <v>1922</v>
      </c>
    </row>
    <row r="2286" spans="1:1" x14ac:dyDescent="0.2">
      <c r="A2286" t="s">
        <v>1923</v>
      </c>
    </row>
    <row r="2287" spans="1:1" x14ac:dyDescent="0.2">
      <c r="A2287" t="s">
        <v>2020</v>
      </c>
    </row>
    <row r="2288" spans="1:1" x14ac:dyDescent="0.2">
      <c r="A2288" t="s">
        <v>2021</v>
      </c>
    </row>
    <row r="2289" spans="1:1" x14ac:dyDescent="0.2">
      <c r="A2289" t="s">
        <v>2022</v>
      </c>
    </row>
    <row r="2290" spans="1:1" x14ac:dyDescent="0.2">
      <c r="A2290" t="s">
        <v>2023</v>
      </c>
    </row>
    <row r="2291" spans="1:1" x14ac:dyDescent="0.2">
      <c r="A2291" t="s">
        <v>2024</v>
      </c>
    </row>
    <row r="2292" spans="1:1" x14ac:dyDescent="0.2">
      <c r="A2292" t="s">
        <v>1929</v>
      </c>
    </row>
    <row r="2293" spans="1:1" x14ac:dyDescent="0.2">
      <c r="A2293" t="s">
        <v>1930</v>
      </c>
    </row>
    <row r="2294" spans="1:1" x14ac:dyDescent="0.2">
      <c r="A2294" t="s">
        <v>1931</v>
      </c>
    </row>
    <row r="2295" spans="1:1" x14ac:dyDescent="0.2">
      <c r="A2295" t="s">
        <v>1932</v>
      </c>
    </row>
    <row r="2296" spans="1:1" x14ac:dyDescent="0.2">
      <c r="A2296" t="s">
        <v>1933</v>
      </c>
    </row>
    <row r="2297" spans="1:1" x14ac:dyDescent="0.2">
      <c r="A2297" t="s">
        <v>1934</v>
      </c>
    </row>
    <row r="2298" spans="1:1" x14ac:dyDescent="0.2">
      <c r="A2298" t="s">
        <v>1935</v>
      </c>
    </row>
    <row r="2299" spans="1:1" x14ac:dyDescent="0.2">
      <c r="A2299" t="s">
        <v>1936</v>
      </c>
    </row>
    <row r="2300" spans="1:1" x14ac:dyDescent="0.2">
      <c r="A2300" t="s">
        <v>1971</v>
      </c>
    </row>
    <row r="2301" spans="1:1" x14ac:dyDescent="0.2">
      <c r="A2301" t="s">
        <v>2033</v>
      </c>
    </row>
    <row r="2302" spans="1:1" x14ac:dyDescent="0.2">
      <c r="A2302" t="s">
        <v>2034</v>
      </c>
    </row>
    <row r="2303" spans="1:1" x14ac:dyDescent="0.2">
      <c r="A2303" t="s">
        <v>1940</v>
      </c>
    </row>
    <row r="2304" spans="1:1" x14ac:dyDescent="0.2">
      <c r="A2304" t="s">
        <v>2027</v>
      </c>
    </row>
    <row r="2305" spans="1:1" x14ac:dyDescent="0.2">
      <c r="A2305" t="s">
        <v>2037</v>
      </c>
    </row>
    <row r="2306" spans="1:1" x14ac:dyDescent="0.2">
      <c r="A2306" t="s">
        <v>1904</v>
      </c>
    </row>
    <row r="2307" spans="1:1" x14ac:dyDescent="0.2">
      <c r="A2307" t="s">
        <v>1905</v>
      </c>
    </row>
    <row r="2308" spans="1:1" x14ac:dyDescent="0.2">
      <c r="A2308" t="s">
        <v>2031</v>
      </c>
    </row>
    <row r="2309" spans="1:1" x14ac:dyDescent="0.2">
      <c r="A2309" t="s">
        <v>1907</v>
      </c>
    </row>
    <row r="2310" spans="1:1" x14ac:dyDescent="0.2">
      <c r="A2310" t="s">
        <v>1908</v>
      </c>
    </row>
    <row r="2311" spans="1:1" x14ac:dyDescent="0.2">
      <c r="A2311" t="s">
        <v>1909</v>
      </c>
    </row>
    <row r="2312" spans="1:1" x14ac:dyDescent="0.2">
      <c r="A2312" t="s">
        <v>1910</v>
      </c>
    </row>
    <row r="2313" spans="1:1" x14ac:dyDescent="0.2">
      <c r="A2313" t="s">
        <v>1911</v>
      </c>
    </row>
    <row r="2314" spans="1:1" x14ac:dyDescent="0.2">
      <c r="A2314" t="s">
        <v>1912</v>
      </c>
    </row>
    <row r="2315" spans="1:1" x14ac:dyDescent="0.2">
      <c r="A2315" t="s">
        <v>1913</v>
      </c>
    </row>
    <row r="2316" spans="1:1" x14ac:dyDescent="0.2">
      <c r="A2316" t="s">
        <v>1914</v>
      </c>
    </row>
    <row r="2317" spans="1:1" x14ac:dyDescent="0.2">
      <c r="A2317" t="s">
        <v>1915</v>
      </c>
    </row>
    <row r="2318" spans="1:1" x14ac:dyDescent="0.2">
      <c r="A2318" t="s">
        <v>1916</v>
      </c>
    </row>
    <row r="2319" spans="1:1" x14ac:dyDescent="0.2">
      <c r="A2319" t="s">
        <v>1917</v>
      </c>
    </row>
    <row r="2320" spans="1:1" x14ac:dyDescent="0.2">
      <c r="A2320" t="s">
        <v>1918</v>
      </c>
    </row>
    <row r="2321" spans="1:1" x14ac:dyDescent="0.2">
      <c r="A2321" t="s">
        <v>1919</v>
      </c>
    </row>
    <row r="2322" spans="1:1" x14ac:dyDescent="0.2">
      <c r="A2322" t="s">
        <v>1920</v>
      </c>
    </row>
    <row r="2323" spans="1:1" x14ac:dyDescent="0.2">
      <c r="A2323" t="s">
        <v>1921</v>
      </c>
    </row>
    <row r="2324" spans="1:1" x14ac:dyDescent="0.2">
      <c r="A2324" t="s">
        <v>1922</v>
      </c>
    </row>
    <row r="2325" spans="1:1" x14ac:dyDescent="0.2">
      <c r="A2325" t="s">
        <v>1923</v>
      </c>
    </row>
    <row r="2326" spans="1:1" x14ac:dyDescent="0.2">
      <c r="A2326" t="s">
        <v>1924</v>
      </c>
    </row>
    <row r="2327" spans="1:1" x14ac:dyDescent="0.2">
      <c r="A2327" t="s">
        <v>1925</v>
      </c>
    </row>
    <row r="2328" spans="1:1" x14ac:dyDescent="0.2">
      <c r="A2328" t="s">
        <v>1926</v>
      </c>
    </row>
    <row r="2329" spans="1:1" x14ac:dyDescent="0.2">
      <c r="A2329" t="s">
        <v>1927</v>
      </c>
    </row>
    <row r="2330" spans="1:1" x14ac:dyDescent="0.2">
      <c r="A2330" t="s">
        <v>1928</v>
      </c>
    </row>
    <row r="2331" spans="1:1" x14ac:dyDescent="0.2">
      <c r="A2331" t="s">
        <v>1929</v>
      </c>
    </row>
    <row r="2332" spans="1:1" x14ac:dyDescent="0.2">
      <c r="A2332" t="s">
        <v>1930</v>
      </c>
    </row>
    <row r="2333" spans="1:1" x14ac:dyDescent="0.2">
      <c r="A2333" t="s">
        <v>1931</v>
      </c>
    </row>
    <row r="2334" spans="1:1" x14ac:dyDescent="0.2">
      <c r="A2334" t="s">
        <v>1932</v>
      </c>
    </row>
    <row r="2335" spans="1:1" x14ac:dyDescent="0.2">
      <c r="A2335" t="s">
        <v>1933</v>
      </c>
    </row>
    <row r="2336" spans="1:1" x14ac:dyDescent="0.2">
      <c r="A2336" t="s">
        <v>1934</v>
      </c>
    </row>
    <row r="2337" spans="1:1" x14ac:dyDescent="0.2">
      <c r="A2337" t="s">
        <v>1935</v>
      </c>
    </row>
    <row r="2338" spans="1:1" x14ac:dyDescent="0.2">
      <c r="A2338" t="s">
        <v>1936</v>
      </c>
    </row>
    <row r="2339" spans="1:1" x14ac:dyDescent="0.2">
      <c r="A2339" t="s">
        <v>1937</v>
      </c>
    </row>
    <row r="2340" spans="1:1" x14ac:dyDescent="0.2">
      <c r="A2340" t="s">
        <v>1938</v>
      </c>
    </row>
    <row r="2341" spans="1:1" x14ac:dyDescent="0.2">
      <c r="A2341" t="s">
        <v>1939</v>
      </c>
    </row>
    <row r="2342" spans="1:1" x14ac:dyDescent="0.2">
      <c r="A2342" t="s">
        <v>1940</v>
      </c>
    </row>
    <row r="2343" spans="1:1" x14ac:dyDescent="0.2">
      <c r="A2343" t="s">
        <v>1941</v>
      </c>
    </row>
    <row r="2344" spans="1:1" x14ac:dyDescent="0.2">
      <c r="A2344" t="s">
        <v>2038</v>
      </c>
    </row>
    <row r="2345" spans="1:1" x14ac:dyDescent="0.2">
      <c r="A2345" t="s">
        <v>1904</v>
      </c>
    </row>
    <row r="2346" spans="1:1" x14ac:dyDescent="0.2">
      <c r="A2346" t="s">
        <v>1961</v>
      </c>
    </row>
    <row r="2347" spans="1:1" x14ac:dyDescent="0.2">
      <c r="A2347" t="s">
        <v>2039</v>
      </c>
    </row>
    <row r="2348" spans="1:1" x14ac:dyDescent="0.2">
      <c r="A2348" t="s">
        <v>1907</v>
      </c>
    </row>
    <row r="2349" spans="1:1" x14ac:dyDescent="0.2">
      <c r="A2349" t="s">
        <v>1908</v>
      </c>
    </row>
    <row r="2350" spans="1:1" x14ac:dyDescent="0.2">
      <c r="A2350" t="s">
        <v>1909</v>
      </c>
    </row>
    <row r="2351" spans="1:1" x14ac:dyDescent="0.2">
      <c r="A2351" t="s">
        <v>1910</v>
      </c>
    </row>
    <row r="2352" spans="1:1" x14ac:dyDescent="0.2">
      <c r="A2352" t="s">
        <v>1911</v>
      </c>
    </row>
    <row r="2353" spans="1:1" x14ac:dyDescent="0.2">
      <c r="A2353" t="s">
        <v>1912</v>
      </c>
    </row>
    <row r="2354" spans="1:1" x14ac:dyDescent="0.2">
      <c r="A2354" t="s">
        <v>1946</v>
      </c>
    </row>
    <row r="2355" spans="1:1" x14ac:dyDescent="0.2">
      <c r="A2355" t="s">
        <v>1947</v>
      </c>
    </row>
    <row r="2356" spans="1:1" x14ac:dyDescent="0.2">
      <c r="A2356" t="s">
        <v>1948</v>
      </c>
    </row>
    <row r="2357" spans="1:1" x14ac:dyDescent="0.2">
      <c r="A2357" t="s">
        <v>1916</v>
      </c>
    </row>
    <row r="2358" spans="1:1" x14ac:dyDescent="0.2">
      <c r="A2358" t="s">
        <v>2040</v>
      </c>
    </row>
    <row r="2359" spans="1:1" x14ac:dyDescent="0.2">
      <c r="A2359" t="s">
        <v>2041</v>
      </c>
    </row>
    <row r="2360" spans="1:1" x14ac:dyDescent="0.2">
      <c r="A2360" t="s">
        <v>1919</v>
      </c>
    </row>
    <row r="2361" spans="1:1" x14ac:dyDescent="0.2">
      <c r="A2361" t="s">
        <v>1951</v>
      </c>
    </row>
    <row r="2362" spans="1:1" x14ac:dyDescent="0.2">
      <c r="A2362" t="s">
        <v>1921</v>
      </c>
    </row>
    <row r="2363" spans="1:1" x14ac:dyDescent="0.2">
      <c r="A2363" t="s">
        <v>1922</v>
      </c>
    </row>
    <row r="2364" spans="1:1" x14ac:dyDescent="0.2">
      <c r="A2364" t="s">
        <v>1923</v>
      </c>
    </row>
    <row r="2365" spans="1:1" x14ac:dyDescent="0.2">
      <c r="A2365" t="s">
        <v>2020</v>
      </c>
    </row>
    <row r="2366" spans="1:1" x14ac:dyDescent="0.2">
      <c r="A2366" t="s">
        <v>2021</v>
      </c>
    </row>
    <row r="2367" spans="1:1" x14ac:dyDescent="0.2">
      <c r="A2367" t="s">
        <v>2022</v>
      </c>
    </row>
    <row r="2368" spans="1:1" x14ac:dyDescent="0.2">
      <c r="A2368" t="s">
        <v>2042</v>
      </c>
    </row>
    <row r="2369" spans="1:1" x14ac:dyDescent="0.2">
      <c r="A2369" t="s">
        <v>2024</v>
      </c>
    </row>
    <row r="2370" spans="1:1" x14ac:dyDescent="0.2">
      <c r="A2370" t="s">
        <v>1929</v>
      </c>
    </row>
    <row r="2371" spans="1:1" x14ac:dyDescent="0.2">
      <c r="A2371" t="s">
        <v>1930</v>
      </c>
    </row>
    <row r="2372" spans="1:1" x14ac:dyDescent="0.2">
      <c r="A2372" t="s">
        <v>1931</v>
      </c>
    </row>
    <row r="2373" spans="1:1" x14ac:dyDescent="0.2">
      <c r="A2373" t="s">
        <v>1932</v>
      </c>
    </row>
    <row r="2374" spans="1:1" x14ac:dyDescent="0.2">
      <c r="A2374" t="s">
        <v>1933</v>
      </c>
    </row>
    <row r="2375" spans="1:1" x14ac:dyDescent="0.2">
      <c r="A2375" t="s">
        <v>1934</v>
      </c>
    </row>
    <row r="2376" spans="1:1" x14ac:dyDescent="0.2">
      <c r="A2376" t="s">
        <v>1935</v>
      </c>
    </row>
    <row r="2377" spans="1:1" x14ac:dyDescent="0.2">
      <c r="A2377" t="s">
        <v>1936</v>
      </c>
    </row>
    <row r="2378" spans="1:1" x14ac:dyDescent="0.2">
      <c r="A2378" t="s">
        <v>1971</v>
      </c>
    </row>
    <row r="2379" spans="1:1" x14ac:dyDescent="0.2">
      <c r="A2379" t="s">
        <v>1972</v>
      </c>
    </row>
    <row r="2380" spans="1:1" x14ac:dyDescent="0.2">
      <c r="A2380" t="s">
        <v>2043</v>
      </c>
    </row>
    <row r="2381" spans="1:1" x14ac:dyDescent="0.2">
      <c r="A2381" t="s">
        <v>1940</v>
      </c>
    </row>
    <row r="2382" spans="1:1" x14ac:dyDescent="0.2">
      <c r="A2382" t="s">
        <v>2044</v>
      </c>
    </row>
    <row r="2383" spans="1:1" x14ac:dyDescent="0.2">
      <c r="A2383" t="s">
        <v>2045</v>
      </c>
    </row>
    <row r="2384" spans="1:1" x14ac:dyDescent="0.2">
      <c r="A2384" t="s">
        <v>1904</v>
      </c>
    </row>
    <row r="2385" spans="1:1" x14ac:dyDescent="0.2">
      <c r="A2385" t="s">
        <v>1961</v>
      </c>
    </row>
    <row r="2386" spans="1:1" x14ac:dyDescent="0.2">
      <c r="A2386" t="s">
        <v>2039</v>
      </c>
    </row>
    <row r="2387" spans="1:1" x14ac:dyDescent="0.2">
      <c r="A2387" t="s">
        <v>1907</v>
      </c>
    </row>
    <row r="2388" spans="1:1" x14ac:dyDescent="0.2">
      <c r="A2388" t="s">
        <v>1908</v>
      </c>
    </row>
    <row r="2389" spans="1:1" x14ac:dyDescent="0.2">
      <c r="A2389" t="s">
        <v>1909</v>
      </c>
    </row>
    <row r="2390" spans="1:1" x14ac:dyDescent="0.2">
      <c r="A2390" t="s">
        <v>1910</v>
      </c>
    </row>
    <row r="2391" spans="1:1" x14ac:dyDescent="0.2">
      <c r="A2391" t="s">
        <v>1911</v>
      </c>
    </row>
    <row r="2392" spans="1:1" x14ac:dyDescent="0.2">
      <c r="A2392" t="s">
        <v>1912</v>
      </c>
    </row>
    <row r="2393" spans="1:1" x14ac:dyDescent="0.2">
      <c r="A2393" t="s">
        <v>1956</v>
      </c>
    </row>
    <row r="2394" spans="1:1" x14ac:dyDescent="0.2">
      <c r="A2394" t="s">
        <v>1947</v>
      </c>
    </row>
    <row r="2395" spans="1:1" x14ac:dyDescent="0.2">
      <c r="A2395" t="s">
        <v>1948</v>
      </c>
    </row>
    <row r="2396" spans="1:1" x14ac:dyDescent="0.2">
      <c r="A2396" t="s">
        <v>1916</v>
      </c>
    </row>
    <row r="2397" spans="1:1" x14ac:dyDescent="0.2">
      <c r="A2397" t="s">
        <v>2040</v>
      </c>
    </row>
    <row r="2398" spans="1:1" x14ac:dyDescent="0.2">
      <c r="A2398" t="s">
        <v>2041</v>
      </c>
    </row>
    <row r="2399" spans="1:1" x14ac:dyDescent="0.2">
      <c r="A2399" t="s">
        <v>1919</v>
      </c>
    </row>
    <row r="2400" spans="1:1" x14ac:dyDescent="0.2">
      <c r="A2400" t="s">
        <v>1951</v>
      </c>
    </row>
    <row r="2401" spans="1:1" x14ac:dyDescent="0.2">
      <c r="A2401" t="s">
        <v>1921</v>
      </c>
    </row>
    <row r="2402" spans="1:1" x14ac:dyDescent="0.2">
      <c r="A2402" t="s">
        <v>1922</v>
      </c>
    </row>
    <row r="2403" spans="1:1" x14ac:dyDescent="0.2">
      <c r="A2403" t="s">
        <v>1923</v>
      </c>
    </row>
    <row r="2404" spans="1:1" x14ac:dyDescent="0.2">
      <c r="A2404" t="s">
        <v>2020</v>
      </c>
    </row>
    <row r="2405" spans="1:1" x14ac:dyDescent="0.2">
      <c r="A2405" t="s">
        <v>2021</v>
      </c>
    </row>
    <row r="2406" spans="1:1" x14ac:dyDescent="0.2">
      <c r="A2406" t="s">
        <v>2022</v>
      </c>
    </row>
    <row r="2407" spans="1:1" x14ac:dyDescent="0.2">
      <c r="A2407" t="s">
        <v>2042</v>
      </c>
    </row>
    <row r="2408" spans="1:1" x14ac:dyDescent="0.2">
      <c r="A2408" t="s">
        <v>2024</v>
      </c>
    </row>
    <row r="2409" spans="1:1" x14ac:dyDescent="0.2">
      <c r="A2409" t="s">
        <v>1929</v>
      </c>
    </row>
    <row r="2410" spans="1:1" x14ac:dyDescent="0.2">
      <c r="A2410" t="s">
        <v>1930</v>
      </c>
    </row>
    <row r="2411" spans="1:1" x14ac:dyDescent="0.2">
      <c r="A2411" t="s">
        <v>1931</v>
      </c>
    </row>
    <row r="2412" spans="1:1" x14ac:dyDescent="0.2">
      <c r="A2412" t="s">
        <v>1932</v>
      </c>
    </row>
    <row r="2413" spans="1:1" x14ac:dyDescent="0.2">
      <c r="A2413" t="s">
        <v>1933</v>
      </c>
    </row>
    <row r="2414" spans="1:1" x14ac:dyDescent="0.2">
      <c r="A2414" t="s">
        <v>1934</v>
      </c>
    </row>
    <row r="2415" spans="1:1" x14ac:dyDescent="0.2">
      <c r="A2415" t="s">
        <v>1935</v>
      </c>
    </row>
    <row r="2416" spans="1:1" x14ac:dyDescent="0.2">
      <c r="A2416" t="s">
        <v>1936</v>
      </c>
    </row>
    <row r="2417" spans="1:1" x14ac:dyDescent="0.2">
      <c r="A2417" t="s">
        <v>1971</v>
      </c>
    </row>
    <row r="2418" spans="1:1" x14ac:dyDescent="0.2">
      <c r="A2418" t="s">
        <v>1972</v>
      </c>
    </row>
    <row r="2419" spans="1:1" x14ac:dyDescent="0.2">
      <c r="A2419" t="s">
        <v>2043</v>
      </c>
    </row>
    <row r="2420" spans="1:1" x14ac:dyDescent="0.2">
      <c r="A2420" t="s">
        <v>1940</v>
      </c>
    </row>
    <row r="2421" spans="1:1" x14ac:dyDescent="0.2">
      <c r="A2421" t="s">
        <v>2044</v>
      </c>
    </row>
    <row r="2422" spans="1:1" x14ac:dyDescent="0.2">
      <c r="A2422" t="s">
        <v>2046</v>
      </c>
    </row>
    <row r="2423" spans="1:1" x14ac:dyDescent="0.2">
      <c r="A2423" t="s">
        <v>1904</v>
      </c>
    </row>
    <row r="2424" spans="1:1" x14ac:dyDescent="0.2">
      <c r="A2424" t="s">
        <v>1961</v>
      </c>
    </row>
    <row r="2425" spans="1:1" x14ac:dyDescent="0.2">
      <c r="A2425" t="s">
        <v>2039</v>
      </c>
    </row>
    <row r="2426" spans="1:1" x14ac:dyDescent="0.2">
      <c r="A2426" t="s">
        <v>1907</v>
      </c>
    </row>
    <row r="2427" spans="1:1" x14ac:dyDescent="0.2">
      <c r="A2427" t="s">
        <v>1908</v>
      </c>
    </row>
    <row r="2428" spans="1:1" x14ac:dyDescent="0.2">
      <c r="A2428" t="s">
        <v>1909</v>
      </c>
    </row>
    <row r="2429" spans="1:1" x14ac:dyDescent="0.2">
      <c r="A2429" t="s">
        <v>1910</v>
      </c>
    </row>
    <row r="2430" spans="1:1" x14ac:dyDescent="0.2">
      <c r="A2430" t="s">
        <v>1911</v>
      </c>
    </row>
    <row r="2431" spans="1:1" x14ac:dyDescent="0.2">
      <c r="A2431" t="s">
        <v>1912</v>
      </c>
    </row>
    <row r="2432" spans="1:1" x14ac:dyDescent="0.2">
      <c r="A2432" t="s">
        <v>1913</v>
      </c>
    </row>
    <row r="2433" spans="1:1" x14ac:dyDescent="0.2">
      <c r="A2433" t="s">
        <v>1947</v>
      </c>
    </row>
    <row r="2434" spans="1:1" x14ac:dyDescent="0.2">
      <c r="A2434" t="s">
        <v>1948</v>
      </c>
    </row>
    <row r="2435" spans="1:1" x14ac:dyDescent="0.2">
      <c r="A2435" t="s">
        <v>1916</v>
      </c>
    </row>
    <row r="2436" spans="1:1" x14ac:dyDescent="0.2">
      <c r="A2436" t="s">
        <v>2040</v>
      </c>
    </row>
    <row r="2437" spans="1:1" x14ac:dyDescent="0.2">
      <c r="A2437" t="s">
        <v>2041</v>
      </c>
    </row>
    <row r="2438" spans="1:1" x14ac:dyDescent="0.2">
      <c r="A2438" t="s">
        <v>1919</v>
      </c>
    </row>
    <row r="2439" spans="1:1" x14ac:dyDescent="0.2">
      <c r="A2439" t="s">
        <v>1951</v>
      </c>
    </row>
    <row r="2440" spans="1:1" x14ac:dyDescent="0.2">
      <c r="A2440" t="s">
        <v>1921</v>
      </c>
    </row>
    <row r="2441" spans="1:1" x14ac:dyDescent="0.2">
      <c r="A2441" t="s">
        <v>1922</v>
      </c>
    </row>
    <row r="2442" spans="1:1" x14ac:dyDescent="0.2">
      <c r="A2442" t="s">
        <v>1923</v>
      </c>
    </row>
    <row r="2443" spans="1:1" x14ac:dyDescent="0.2">
      <c r="A2443" t="s">
        <v>2020</v>
      </c>
    </row>
    <row r="2444" spans="1:1" x14ac:dyDescent="0.2">
      <c r="A2444" t="s">
        <v>2021</v>
      </c>
    </row>
    <row r="2445" spans="1:1" x14ac:dyDescent="0.2">
      <c r="A2445" t="s">
        <v>2022</v>
      </c>
    </row>
    <row r="2446" spans="1:1" x14ac:dyDescent="0.2">
      <c r="A2446" t="s">
        <v>2042</v>
      </c>
    </row>
    <row r="2447" spans="1:1" x14ac:dyDescent="0.2">
      <c r="A2447" t="s">
        <v>2024</v>
      </c>
    </row>
    <row r="2448" spans="1:1" x14ac:dyDescent="0.2">
      <c r="A2448" t="s">
        <v>1929</v>
      </c>
    </row>
    <row r="2449" spans="1:1" x14ac:dyDescent="0.2">
      <c r="A2449" t="s">
        <v>1930</v>
      </c>
    </row>
    <row r="2450" spans="1:1" x14ac:dyDescent="0.2">
      <c r="A2450" t="s">
        <v>1931</v>
      </c>
    </row>
    <row r="2451" spans="1:1" x14ac:dyDescent="0.2">
      <c r="A2451" t="s">
        <v>1932</v>
      </c>
    </row>
    <row r="2452" spans="1:1" x14ac:dyDescent="0.2">
      <c r="A2452" t="s">
        <v>1933</v>
      </c>
    </row>
    <row r="2453" spans="1:1" x14ac:dyDescent="0.2">
      <c r="A2453" t="s">
        <v>1934</v>
      </c>
    </row>
    <row r="2454" spans="1:1" x14ac:dyDescent="0.2">
      <c r="A2454" t="s">
        <v>1935</v>
      </c>
    </row>
    <row r="2455" spans="1:1" x14ac:dyDescent="0.2">
      <c r="A2455" t="s">
        <v>1936</v>
      </c>
    </row>
    <row r="2456" spans="1:1" x14ac:dyDescent="0.2">
      <c r="A2456" t="s">
        <v>1971</v>
      </c>
    </row>
    <row r="2457" spans="1:1" x14ac:dyDescent="0.2">
      <c r="A2457" t="s">
        <v>1972</v>
      </c>
    </row>
    <row r="2458" spans="1:1" x14ac:dyDescent="0.2">
      <c r="A2458" t="s">
        <v>2043</v>
      </c>
    </row>
    <row r="2459" spans="1:1" x14ac:dyDescent="0.2">
      <c r="A2459" t="s">
        <v>1940</v>
      </c>
    </row>
    <row r="2460" spans="1:1" x14ac:dyDescent="0.2">
      <c r="A2460" t="s">
        <v>2044</v>
      </c>
    </row>
    <row r="2461" spans="1:1" x14ac:dyDescent="0.2">
      <c r="A2461" t="s">
        <v>2047</v>
      </c>
    </row>
    <row r="2462" spans="1:1" x14ac:dyDescent="0.2">
      <c r="A2462" t="s">
        <v>2048</v>
      </c>
    </row>
    <row r="2463" spans="1:1" x14ac:dyDescent="0.2">
      <c r="A2463" t="s">
        <v>2049</v>
      </c>
    </row>
    <row r="2464" spans="1:1" x14ac:dyDescent="0.2">
      <c r="A2464" t="s">
        <v>2050</v>
      </c>
    </row>
    <row r="2465" spans="1:1" x14ac:dyDescent="0.2">
      <c r="A2465" t="s">
        <v>2051</v>
      </c>
    </row>
    <row r="2466" spans="1:1" x14ac:dyDescent="0.2">
      <c r="A2466" t="s">
        <v>2052</v>
      </c>
    </row>
    <row r="2467" spans="1:1" x14ac:dyDescent="0.2">
      <c r="A2467" t="s">
        <v>2053</v>
      </c>
    </row>
    <row r="2468" spans="1:1" x14ac:dyDescent="0.2">
      <c r="A2468" t="s">
        <v>2054</v>
      </c>
    </row>
    <row r="2469" spans="1:1" x14ac:dyDescent="0.2">
      <c r="A2469" t="s">
        <v>2055</v>
      </c>
    </row>
    <row r="2470" spans="1:1" x14ac:dyDescent="0.2">
      <c r="A2470" t="s">
        <v>2056</v>
      </c>
    </row>
    <row r="2471" spans="1:1" x14ac:dyDescent="0.2">
      <c r="A2471" t="s">
        <v>2057</v>
      </c>
    </row>
    <row r="2472" spans="1:1" x14ac:dyDescent="0.2">
      <c r="A2472" t="s">
        <v>2058</v>
      </c>
    </row>
    <row r="2473" spans="1:1" x14ac:dyDescent="0.2">
      <c r="A2473" t="s">
        <v>2059</v>
      </c>
    </row>
    <row r="2474" spans="1:1" x14ac:dyDescent="0.2">
      <c r="A2474" t="s">
        <v>2060</v>
      </c>
    </row>
    <row r="2475" spans="1:1" x14ac:dyDescent="0.2">
      <c r="A2475" t="s">
        <v>2061</v>
      </c>
    </row>
    <row r="2476" spans="1:1" x14ac:dyDescent="0.2">
      <c r="A2476" t="s">
        <v>2062</v>
      </c>
    </row>
    <row r="2477" spans="1:1" x14ac:dyDescent="0.2">
      <c r="A2477" t="s">
        <v>2063</v>
      </c>
    </row>
    <row r="2478" spans="1:1" x14ac:dyDescent="0.2">
      <c r="A2478" t="s">
        <v>2064</v>
      </c>
    </row>
    <row r="2479" spans="1:1" x14ac:dyDescent="0.2">
      <c r="A2479" t="s">
        <v>2065</v>
      </c>
    </row>
    <row r="2480" spans="1:1" x14ac:dyDescent="0.2">
      <c r="A2480" t="s">
        <v>2066</v>
      </c>
    </row>
    <row r="2481" spans="1:1" x14ac:dyDescent="0.2">
      <c r="A2481" t="s">
        <v>2067</v>
      </c>
    </row>
    <row r="2482" spans="1:1" x14ac:dyDescent="0.2">
      <c r="A2482" t="s">
        <v>2068</v>
      </c>
    </row>
    <row r="2483" spans="1:1" x14ac:dyDescent="0.2">
      <c r="A2483" t="s">
        <v>2069</v>
      </c>
    </row>
    <row r="2484" spans="1:1" x14ac:dyDescent="0.2">
      <c r="A2484" t="s">
        <v>2070</v>
      </c>
    </row>
    <row r="2485" spans="1:1" x14ac:dyDescent="0.2">
      <c r="A2485" t="s">
        <v>2071</v>
      </c>
    </row>
    <row r="2486" spans="1:1" x14ac:dyDescent="0.2">
      <c r="A2486" t="s">
        <v>2072</v>
      </c>
    </row>
    <row r="2487" spans="1:1" x14ac:dyDescent="0.2">
      <c r="A2487" t="s">
        <v>2073</v>
      </c>
    </row>
    <row r="2488" spans="1:1" x14ac:dyDescent="0.2">
      <c r="A2488" t="s">
        <v>2074</v>
      </c>
    </row>
    <row r="2489" spans="1:1" x14ac:dyDescent="0.2">
      <c r="A2489" t="s">
        <v>2075</v>
      </c>
    </row>
    <row r="2490" spans="1:1" x14ac:dyDescent="0.2">
      <c r="A2490" t="s">
        <v>2076</v>
      </c>
    </row>
    <row r="2491" spans="1:1" x14ac:dyDescent="0.2">
      <c r="A2491" t="s">
        <v>2077</v>
      </c>
    </row>
    <row r="2492" spans="1:1" x14ac:dyDescent="0.2">
      <c r="A2492" t="s">
        <v>2078</v>
      </c>
    </row>
    <row r="2493" spans="1:1" x14ac:dyDescent="0.2">
      <c r="A2493" t="s">
        <v>2079</v>
      </c>
    </row>
    <row r="2494" spans="1:1" x14ac:dyDescent="0.2">
      <c r="A2494" t="s">
        <v>2080</v>
      </c>
    </row>
    <row r="2495" spans="1:1" x14ac:dyDescent="0.2">
      <c r="A2495" t="s">
        <v>2081</v>
      </c>
    </row>
    <row r="2496" spans="1:1" x14ac:dyDescent="0.2">
      <c r="A2496" t="s">
        <v>2082</v>
      </c>
    </row>
    <row r="2497" spans="1:1" x14ac:dyDescent="0.2">
      <c r="A2497" t="s">
        <v>2083</v>
      </c>
    </row>
    <row r="2498" spans="1:1" x14ac:dyDescent="0.2">
      <c r="A2498" t="s">
        <v>2084</v>
      </c>
    </row>
    <row r="2499" spans="1:1" x14ac:dyDescent="0.2">
      <c r="A2499" t="s">
        <v>2085</v>
      </c>
    </row>
    <row r="2500" spans="1:1" x14ac:dyDescent="0.2">
      <c r="A2500" t="s">
        <v>2086</v>
      </c>
    </row>
    <row r="2501" spans="1:1" x14ac:dyDescent="0.2">
      <c r="A2501" t="s">
        <v>2087</v>
      </c>
    </row>
    <row r="2502" spans="1:1" x14ac:dyDescent="0.2">
      <c r="A2502" t="s">
        <v>2088</v>
      </c>
    </row>
    <row r="2503" spans="1:1" x14ac:dyDescent="0.2">
      <c r="A2503" t="s">
        <v>2089</v>
      </c>
    </row>
    <row r="2504" spans="1:1" x14ac:dyDescent="0.2">
      <c r="A2504" t="s">
        <v>2090</v>
      </c>
    </row>
    <row r="2505" spans="1:1" x14ac:dyDescent="0.2">
      <c r="A2505" t="s">
        <v>2091</v>
      </c>
    </row>
    <row r="2506" spans="1:1" x14ac:dyDescent="0.2">
      <c r="A2506" t="s">
        <v>2092</v>
      </c>
    </row>
    <row r="2507" spans="1:1" x14ac:dyDescent="0.2">
      <c r="A2507" t="s">
        <v>2093</v>
      </c>
    </row>
    <row r="2508" spans="1:1" x14ac:dyDescent="0.2">
      <c r="A2508" t="s">
        <v>2094</v>
      </c>
    </row>
    <row r="2509" spans="1:1" x14ac:dyDescent="0.2">
      <c r="A2509" t="s">
        <v>2095</v>
      </c>
    </row>
    <row r="2510" spans="1:1" x14ac:dyDescent="0.2">
      <c r="A2510" t="s">
        <v>2096</v>
      </c>
    </row>
    <row r="2511" spans="1:1" x14ac:dyDescent="0.2">
      <c r="A2511" t="s">
        <v>2062</v>
      </c>
    </row>
    <row r="2512" spans="1:1" x14ac:dyDescent="0.2">
      <c r="A2512" t="s">
        <v>2063</v>
      </c>
    </row>
    <row r="2513" spans="1:1" x14ac:dyDescent="0.2">
      <c r="A2513" t="s">
        <v>2064</v>
      </c>
    </row>
    <row r="2514" spans="1:1" x14ac:dyDescent="0.2">
      <c r="A2514" t="s">
        <v>2065</v>
      </c>
    </row>
    <row r="2515" spans="1:1" x14ac:dyDescent="0.2">
      <c r="A2515" t="s">
        <v>2066</v>
      </c>
    </row>
    <row r="2516" spans="1:1" x14ac:dyDescent="0.2">
      <c r="A2516" t="s">
        <v>2067</v>
      </c>
    </row>
    <row r="2517" spans="1:1" x14ac:dyDescent="0.2">
      <c r="A2517" t="s">
        <v>2068</v>
      </c>
    </row>
    <row r="2518" spans="1:1" x14ac:dyDescent="0.2">
      <c r="A2518" t="s">
        <v>2069</v>
      </c>
    </row>
    <row r="2519" spans="1:1" x14ac:dyDescent="0.2">
      <c r="A2519" t="s">
        <v>2070</v>
      </c>
    </row>
    <row r="2520" spans="1:1" x14ac:dyDescent="0.2">
      <c r="A2520" t="s">
        <v>2071</v>
      </c>
    </row>
    <row r="2521" spans="1:1" x14ac:dyDescent="0.2">
      <c r="A2521" t="s">
        <v>2072</v>
      </c>
    </row>
    <row r="2522" spans="1:1" x14ac:dyDescent="0.2">
      <c r="A2522" t="s">
        <v>2073</v>
      </c>
    </row>
    <row r="2523" spans="1:1" x14ac:dyDescent="0.2">
      <c r="A2523" t="s">
        <v>2074</v>
      </c>
    </row>
    <row r="2524" spans="1:1" x14ac:dyDescent="0.2">
      <c r="A2524" t="s">
        <v>2075</v>
      </c>
    </row>
    <row r="2525" spans="1:1" x14ac:dyDescent="0.2">
      <c r="A2525" t="s">
        <v>2076</v>
      </c>
    </row>
    <row r="2526" spans="1:1" x14ac:dyDescent="0.2">
      <c r="A2526" t="s">
        <v>2077</v>
      </c>
    </row>
    <row r="2527" spans="1:1" x14ac:dyDescent="0.2">
      <c r="A2527" t="s">
        <v>2078</v>
      </c>
    </row>
    <row r="2528" spans="1:1" x14ac:dyDescent="0.2">
      <c r="A2528" t="s">
        <v>2079</v>
      </c>
    </row>
    <row r="2529" spans="1:1" x14ac:dyDescent="0.2">
      <c r="A2529" t="s">
        <v>2080</v>
      </c>
    </row>
    <row r="2530" spans="1:1" x14ac:dyDescent="0.2">
      <c r="A2530" t="s">
        <v>2081</v>
      </c>
    </row>
    <row r="2531" spans="1:1" x14ac:dyDescent="0.2">
      <c r="A2531" t="s">
        <v>2082</v>
      </c>
    </row>
    <row r="2532" spans="1:1" x14ac:dyDescent="0.2">
      <c r="A2532" t="s">
        <v>2083</v>
      </c>
    </row>
    <row r="2533" spans="1:1" x14ac:dyDescent="0.2">
      <c r="A2533" t="s">
        <v>2084</v>
      </c>
    </row>
    <row r="2534" spans="1:1" x14ac:dyDescent="0.2">
      <c r="A2534" t="s">
        <v>2085</v>
      </c>
    </row>
    <row r="2535" spans="1:1" x14ac:dyDescent="0.2">
      <c r="A2535" t="s">
        <v>2086</v>
      </c>
    </row>
    <row r="2536" spans="1:1" x14ac:dyDescent="0.2">
      <c r="A2536" t="s">
        <v>2087</v>
      </c>
    </row>
    <row r="2537" spans="1:1" x14ac:dyDescent="0.2">
      <c r="A2537" t="s">
        <v>2088</v>
      </c>
    </row>
    <row r="2538" spans="1:1" x14ac:dyDescent="0.2">
      <c r="A2538" t="s">
        <v>2089</v>
      </c>
    </row>
    <row r="2539" spans="1:1" x14ac:dyDescent="0.2">
      <c r="A2539" t="s">
        <v>2090</v>
      </c>
    </row>
    <row r="2540" spans="1:1" x14ac:dyDescent="0.2">
      <c r="A2540" t="s">
        <v>2091</v>
      </c>
    </row>
    <row r="2541" spans="1:1" x14ac:dyDescent="0.2">
      <c r="A2541" t="s">
        <v>2092</v>
      </c>
    </row>
    <row r="2542" spans="1:1" x14ac:dyDescent="0.2">
      <c r="A2542" t="s">
        <v>2093</v>
      </c>
    </row>
    <row r="2543" spans="1:1" x14ac:dyDescent="0.2">
      <c r="A2543" t="s">
        <v>2094</v>
      </c>
    </row>
    <row r="2544" spans="1:1" x14ac:dyDescent="0.2">
      <c r="A2544" t="s">
        <v>2095</v>
      </c>
    </row>
    <row r="2545" spans="1:1" x14ac:dyDescent="0.2">
      <c r="A2545" t="s">
        <v>2097</v>
      </c>
    </row>
    <row r="2546" spans="1:1" x14ac:dyDescent="0.2">
      <c r="A2546" t="s">
        <v>2062</v>
      </c>
    </row>
    <row r="2547" spans="1:1" x14ac:dyDescent="0.2">
      <c r="A2547" t="s">
        <v>2098</v>
      </c>
    </row>
    <row r="2548" spans="1:1" x14ac:dyDescent="0.2">
      <c r="A2548" t="s">
        <v>2099</v>
      </c>
    </row>
    <row r="2549" spans="1:1" x14ac:dyDescent="0.2">
      <c r="A2549" t="s">
        <v>2100</v>
      </c>
    </row>
    <row r="2550" spans="1:1" x14ac:dyDescent="0.2">
      <c r="A2550" t="s">
        <v>2101</v>
      </c>
    </row>
    <row r="2551" spans="1:1" x14ac:dyDescent="0.2">
      <c r="A2551" t="s">
        <v>2102</v>
      </c>
    </row>
    <row r="2552" spans="1:1" x14ac:dyDescent="0.2">
      <c r="A2552" t="s">
        <v>2068</v>
      </c>
    </row>
    <row r="2553" spans="1:1" x14ac:dyDescent="0.2">
      <c r="A2553" t="s">
        <v>2103</v>
      </c>
    </row>
    <row r="2554" spans="1:1" x14ac:dyDescent="0.2">
      <c r="A2554" t="s">
        <v>2104</v>
      </c>
    </row>
    <row r="2555" spans="1:1" x14ac:dyDescent="0.2">
      <c r="A2555" t="s">
        <v>2105</v>
      </c>
    </row>
    <row r="2556" spans="1:1" x14ac:dyDescent="0.2">
      <c r="A2556" t="s">
        <v>2072</v>
      </c>
    </row>
    <row r="2557" spans="1:1" x14ac:dyDescent="0.2">
      <c r="A2557" t="s">
        <v>2073</v>
      </c>
    </row>
    <row r="2558" spans="1:1" x14ac:dyDescent="0.2">
      <c r="A2558" t="s">
        <v>2074</v>
      </c>
    </row>
    <row r="2559" spans="1:1" x14ac:dyDescent="0.2">
      <c r="A2559" t="s">
        <v>2106</v>
      </c>
    </row>
    <row r="2560" spans="1:1" x14ac:dyDescent="0.2">
      <c r="A2560" t="s">
        <v>2107</v>
      </c>
    </row>
    <row r="2561" spans="1:1" x14ac:dyDescent="0.2">
      <c r="A2561" t="s">
        <v>2108</v>
      </c>
    </row>
    <row r="2562" spans="1:1" x14ac:dyDescent="0.2">
      <c r="A2562" t="s">
        <v>2078</v>
      </c>
    </row>
    <row r="2563" spans="1:1" x14ac:dyDescent="0.2">
      <c r="A2563" t="s">
        <v>3009</v>
      </c>
    </row>
    <row r="2564" spans="1:1" x14ac:dyDescent="0.2">
      <c r="A2564" t="s">
        <v>3010</v>
      </c>
    </row>
    <row r="2565" spans="1:1" x14ac:dyDescent="0.2">
      <c r="A2565" t="s">
        <v>3011</v>
      </c>
    </row>
    <row r="2566" spans="1:1" x14ac:dyDescent="0.2">
      <c r="A2566" t="s">
        <v>3012</v>
      </c>
    </row>
    <row r="2567" spans="1:1" x14ac:dyDescent="0.2">
      <c r="A2567" t="s">
        <v>3013</v>
      </c>
    </row>
    <row r="2568" spans="1:1" x14ac:dyDescent="0.2">
      <c r="A2568" t="s">
        <v>3014</v>
      </c>
    </row>
    <row r="2569" spans="1:1" x14ac:dyDescent="0.2">
      <c r="A2569" t="s">
        <v>3015</v>
      </c>
    </row>
    <row r="2570" spans="1:1" x14ac:dyDescent="0.2">
      <c r="A2570" t="s">
        <v>3016</v>
      </c>
    </row>
    <row r="2571" spans="1:1" x14ac:dyDescent="0.2">
      <c r="A2571" t="s">
        <v>3017</v>
      </c>
    </row>
    <row r="2572" spans="1:1" x14ac:dyDescent="0.2">
      <c r="A2572" t="s">
        <v>3018</v>
      </c>
    </row>
    <row r="2573" spans="1:1" x14ac:dyDescent="0.2">
      <c r="A2573" t="s">
        <v>3019</v>
      </c>
    </row>
    <row r="2574" spans="1:1" x14ac:dyDescent="0.2">
      <c r="A2574" t="s">
        <v>3020</v>
      </c>
    </row>
    <row r="2575" spans="1:1" x14ac:dyDescent="0.2">
      <c r="A2575" t="s">
        <v>2109</v>
      </c>
    </row>
    <row r="2576" spans="1:1" x14ac:dyDescent="0.2">
      <c r="A2576" t="s">
        <v>3021</v>
      </c>
    </row>
    <row r="2577" spans="1:1" x14ac:dyDescent="0.2">
      <c r="A2577" t="s">
        <v>3022</v>
      </c>
    </row>
    <row r="2578" spans="1:1" x14ac:dyDescent="0.2">
      <c r="A2578" t="s">
        <v>2110</v>
      </c>
    </row>
    <row r="2579" spans="1:1" x14ac:dyDescent="0.2">
      <c r="A2579" t="s">
        <v>2111</v>
      </c>
    </row>
    <row r="2580" spans="1:1" x14ac:dyDescent="0.2">
      <c r="A2580" t="s">
        <v>2112</v>
      </c>
    </row>
    <row r="2581" spans="1:1" x14ac:dyDescent="0.2">
      <c r="A2581" t="s">
        <v>2062</v>
      </c>
    </row>
    <row r="2582" spans="1:1" x14ac:dyDescent="0.2">
      <c r="A2582" t="s">
        <v>2098</v>
      </c>
    </row>
    <row r="2583" spans="1:1" x14ac:dyDescent="0.2">
      <c r="A2583" t="s">
        <v>2099</v>
      </c>
    </row>
    <row r="2584" spans="1:1" x14ac:dyDescent="0.2">
      <c r="A2584" t="s">
        <v>2100</v>
      </c>
    </row>
    <row r="2585" spans="1:1" x14ac:dyDescent="0.2">
      <c r="A2585" t="s">
        <v>2101</v>
      </c>
    </row>
    <row r="2586" spans="1:1" x14ac:dyDescent="0.2">
      <c r="A2586" t="s">
        <v>2102</v>
      </c>
    </row>
    <row r="2587" spans="1:1" x14ac:dyDescent="0.2">
      <c r="A2587" t="s">
        <v>2068</v>
      </c>
    </row>
    <row r="2588" spans="1:1" x14ac:dyDescent="0.2">
      <c r="A2588" t="s">
        <v>2113</v>
      </c>
    </row>
    <row r="2589" spans="1:1" x14ac:dyDescent="0.2">
      <c r="A2589" t="s">
        <v>2104</v>
      </c>
    </row>
    <row r="2590" spans="1:1" x14ac:dyDescent="0.2">
      <c r="A2590" t="s">
        <v>2105</v>
      </c>
    </row>
    <row r="2591" spans="1:1" x14ac:dyDescent="0.2">
      <c r="A2591" t="s">
        <v>2072</v>
      </c>
    </row>
    <row r="2592" spans="1:1" x14ac:dyDescent="0.2">
      <c r="A2592" t="s">
        <v>2073</v>
      </c>
    </row>
    <row r="2593" spans="1:1" x14ac:dyDescent="0.2">
      <c r="A2593" t="s">
        <v>2074</v>
      </c>
    </row>
    <row r="2594" spans="1:1" x14ac:dyDescent="0.2">
      <c r="A2594" t="s">
        <v>2106</v>
      </c>
    </row>
    <row r="2595" spans="1:1" x14ac:dyDescent="0.2">
      <c r="A2595" t="s">
        <v>2107</v>
      </c>
    </row>
    <row r="2596" spans="1:1" x14ac:dyDescent="0.2">
      <c r="A2596" t="s">
        <v>2108</v>
      </c>
    </row>
    <row r="2597" spans="1:1" x14ac:dyDescent="0.2">
      <c r="A2597" t="s">
        <v>2078</v>
      </c>
    </row>
    <row r="2598" spans="1:1" x14ac:dyDescent="0.2">
      <c r="A2598" t="s">
        <v>3009</v>
      </c>
    </row>
    <row r="2599" spans="1:1" x14ac:dyDescent="0.2">
      <c r="A2599" t="s">
        <v>3010</v>
      </c>
    </row>
    <row r="2600" spans="1:1" x14ac:dyDescent="0.2">
      <c r="A2600" t="s">
        <v>3011</v>
      </c>
    </row>
    <row r="2601" spans="1:1" x14ac:dyDescent="0.2">
      <c r="A2601" t="s">
        <v>3012</v>
      </c>
    </row>
    <row r="2602" spans="1:1" x14ac:dyDescent="0.2">
      <c r="A2602" t="s">
        <v>3013</v>
      </c>
    </row>
    <row r="2603" spans="1:1" x14ac:dyDescent="0.2">
      <c r="A2603" t="s">
        <v>3014</v>
      </c>
    </row>
    <row r="2604" spans="1:1" x14ac:dyDescent="0.2">
      <c r="A2604" t="s">
        <v>3015</v>
      </c>
    </row>
    <row r="2605" spans="1:1" x14ac:dyDescent="0.2">
      <c r="A2605" t="s">
        <v>3016</v>
      </c>
    </row>
    <row r="2606" spans="1:1" x14ac:dyDescent="0.2">
      <c r="A2606" t="s">
        <v>3017</v>
      </c>
    </row>
    <row r="2607" spans="1:1" x14ac:dyDescent="0.2">
      <c r="A2607" t="s">
        <v>3018</v>
      </c>
    </row>
    <row r="2608" spans="1:1" x14ac:dyDescent="0.2">
      <c r="A2608" t="s">
        <v>3019</v>
      </c>
    </row>
    <row r="2609" spans="1:1" x14ac:dyDescent="0.2">
      <c r="A2609" t="s">
        <v>3020</v>
      </c>
    </row>
    <row r="2610" spans="1:1" x14ac:dyDescent="0.2">
      <c r="A2610" t="s">
        <v>2109</v>
      </c>
    </row>
    <row r="2611" spans="1:1" x14ac:dyDescent="0.2">
      <c r="A2611" t="s">
        <v>3021</v>
      </c>
    </row>
    <row r="2612" spans="1:1" x14ac:dyDescent="0.2">
      <c r="A2612" t="s">
        <v>3022</v>
      </c>
    </row>
    <row r="2613" spans="1:1" x14ac:dyDescent="0.2">
      <c r="A2613" t="s">
        <v>2110</v>
      </c>
    </row>
    <row r="2614" spans="1:1" x14ac:dyDescent="0.2">
      <c r="A2614" t="s">
        <v>2111</v>
      </c>
    </row>
    <row r="2615" spans="1:1" x14ac:dyDescent="0.2">
      <c r="A2615" t="s">
        <v>2114</v>
      </c>
    </row>
    <row r="2616" spans="1:1" x14ac:dyDescent="0.2">
      <c r="A2616" t="s">
        <v>2062</v>
      </c>
    </row>
    <row r="2617" spans="1:1" x14ac:dyDescent="0.2">
      <c r="A2617" t="s">
        <v>2098</v>
      </c>
    </row>
    <row r="2618" spans="1:1" x14ac:dyDescent="0.2">
      <c r="A2618" t="s">
        <v>2099</v>
      </c>
    </row>
    <row r="2619" spans="1:1" x14ac:dyDescent="0.2">
      <c r="A2619" t="s">
        <v>2100</v>
      </c>
    </row>
    <row r="2620" spans="1:1" x14ac:dyDescent="0.2">
      <c r="A2620" t="s">
        <v>2101</v>
      </c>
    </row>
    <row r="2621" spans="1:1" x14ac:dyDescent="0.2">
      <c r="A2621" t="s">
        <v>2102</v>
      </c>
    </row>
    <row r="2622" spans="1:1" x14ac:dyDescent="0.2">
      <c r="A2622" t="s">
        <v>2068</v>
      </c>
    </row>
    <row r="2623" spans="1:1" x14ac:dyDescent="0.2">
      <c r="A2623" t="s">
        <v>2069</v>
      </c>
    </row>
    <row r="2624" spans="1:1" x14ac:dyDescent="0.2">
      <c r="A2624" t="s">
        <v>2104</v>
      </c>
    </row>
    <row r="2625" spans="1:1" x14ac:dyDescent="0.2">
      <c r="A2625" t="s">
        <v>2105</v>
      </c>
    </row>
    <row r="2626" spans="1:1" x14ac:dyDescent="0.2">
      <c r="A2626" t="s">
        <v>2072</v>
      </c>
    </row>
    <row r="2627" spans="1:1" x14ac:dyDescent="0.2">
      <c r="A2627" t="s">
        <v>2073</v>
      </c>
    </row>
    <row r="2628" spans="1:1" x14ac:dyDescent="0.2">
      <c r="A2628" t="s">
        <v>2074</v>
      </c>
    </row>
    <row r="2629" spans="1:1" x14ac:dyDescent="0.2">
      <c r="A2629" t="s">
        <v>2106</v>
      </c>
    </row>
    <row r="2630" spans="1:1" x14ac:dyDescent="0.2">
      <c r="A2630" t="s">
        <v>2107</v>
      </c>
    </row>
    <row r="2631" spans="1:1" x14ac:dyDescent="0.2">
      <c r="A2631" t="s">
        <v>2108</v>
      </c>
    </row>
    <row r="2632" spans="1:1" x14ac:dyDescent="0.2">
      <c r="A2632" t="s">
        <v>2078</v>
      </c>
    </row>
    <row r="2633" spans="1:1" x14ac:dyDescent="0.2">
      <c r="A2633" t="s">
        <v>3009</v>
      </c>
    </row>
    <row r="2634" spans="1:1" x14ac:dyDescent="0.2">
      <c r="A2634" t="s">
        <v>3010</v>
      </c>
    </row>
    <row r="2635" spans="1:1" x14ac:dyDescent="0.2">
      <c r="A2635" t="s">
        <v>3011</v>
      </c>
    </row>
    <row r="2636" spans="1:1" x14ac:dyDescent="0.2">
      <c r="A2636" t="s">
        <v>3012</v>
      </c>
    </row>
    <row r="2637" spans="1:1" x14ac:dyDescent="0.2">
      <c r="A2637" t="s">
        <v>3013</v>
      </c>
    </row>
    <row r="2638" spans="1:1" x14ac:dyDescent="0.2">
      <c r="A2638" t="s">
        <v>3014</v>
      </c>
    </row>
    <row r="2639" spans="1:1" x14ac:dyDescent="0.2">
      <c r="A2639" t="s">
        <v>3015</v>
      </c>
    </row>
    <row r="2640" spans="1:1" x14ac:dyDescent="0.2">
      <c r="A2640" t="s">
        <v>3016</v>
      </c>
    </row>
    <row r="2641" spans="1:1" x14ac:dyDescent="0.2">
      <c r="A2641" t="s">
        <v>3017</v>
      </c>
    </row>
    <row r="2642" spans="1:1" x14ac:dyDescent="0.2">
      <c r="A2642" t="s">
        <v>3018</v>
      </c>
    </row>
    <row r="2643" spans="1:1" x14ac:dyDescent="0.2">
      <c r="A2643" t="s">
        <v>3019</v>
      </c>
    </row>
    <row r="2644" spans="1:1" x14ac:dyDescent="0.2">
      <c r="A2644" t="s">
        <v>3020</v>
      </c>
    </row>
    <row r="2645" spans="1:1" x14ac:dyDescent="0.2">
      <c r="A2645" t="s">
        <v>2109</v>
      </c>
    </row>
    <row r="2646" spans="1:1" x14ac:dyDescent="0.2">
      <c r="A2646" t="s">
        <v>3021</v>
      </c>
    </row>
    <row r="2647" spans="1:1" x14ac:dyDescent="0.2">
      <c r="A2647" t="s">
        <v>3022</v>
      </c>
    </row>
    <row r="2648" spans="1:1" x14ac:dyDescent="0.2">
      <c r="A2648" t="s">
        <v>2110</v>
      </c>
    </row>
    <row r="2649" spans="1:1" x14ac:dyDescent="0.2">
      <c r="A2649" t="s">
        <v>2111</v>
      </c>
    </row>
    <row r="2650" spans="1:1" x14ac:dyDescent="0.2">
      <c r="A2650" t="s">
        <v>2115</v>
      </c>
    </row>
    <row r="2651" spans="1:1" x14ac:dyDescent="0.2">
      <c r="A2651" t="s">
        <v>2062</v>
      </c>
    </row>
    <row r="2652" spans="1:1" x14ac:dyDescent="0.2">
      <c r="A2652" t="s">
        <v>2116</v>
      </c>
    </row>
    <row r="2653" spans="1:1" x14ac:dyDescent="0.2">
      <c r="A2653" t="s">
        <v>2117</v>
      </c>
    </row>
    <row r="2654" spans="1:1" x14ac:dyDescent="0.2">
      <c r="A2654" t="s">
        <v>2100</v>
      </c>
    </row>
    <row r="2655" spans="1:1" x14ac:dyDescent="0.2">
      <c r="A2655" t="s">
        <v>2101</v>
      </c>
    </row>
    <row r="2656" spans="1:1" x14ac:dyDescent="0.2">
      <c r="A2656" t="s">
        <v>2102</v>
      </c>
    </row>
    <row r="2657" spans="1:1" x14ac:dyDescent="0.2">
      <c r="A2657" t="s">
        <v>2068</v>
      </c>
    </row>
    <row r="2658" spans="1:1" x14ac:dyDescent="0.2">
      <c r="A2658" t="s">
        <v>2103</v>
      </c>
    </row>
    <row r="2659" spans="1:1" x14ac:dyDescent="0.2">
      <c r="A2659" t="s">
        <v>2104</v>
      </c>
    </row>
    <row r="2660" spans="1:1" x14ac:dyDescent="0.2">
      <c r="A2660" t="s">
        <v>2105</v>
      </c>
    </row>
    <row r="2661" spans="1:1" x14ac:dyDescent="0.2">
      <c r="A2661" t="s">
        <v>2072</v>
      </c>
    </row>
    <row r="2662" spans="1:1" x14ac:dyDescent="0.2">
      <c r="A2662" t="s">
        <v>2073</v>
      </c>
    </row>
    <row r="2663" spans="1:1" x14ac:dyDescent="0.2">
      <c r="A2663" t="s">
        <v>2074</v>
      </c>
    </row>
    <row r="2664" spans="1:1" x14ac:dyDescent="0.2">
      <c r="A2664" t="s">
        <v>2075</v>
      </c>
    </row>
    <row r="2665" spans="1:1" x14ac:dyDescent="0.2">
      <c r="A2665" t="s">
        <v>2107</v>
      </c>
    </row>
    <row r="2666" spans="1:1" x14ac:dyDescent="0.2">
      <c r="A2666" t="s">
        <v>2108</v>
      </c>
    </row>
    <row r="2667" spans="1:1" x14ac:dyDescent="0.2">
      <c r="A2667" t="s">
        <v>2078</v>
      </c>
    </row>
    <row r="2668" spans="1:1" x14ac:dyDescent="0.2">
      <c r="A2668" t="s">
        <v>3023</v>
      </c>
    </row>
    <row r="2669" spans="1:1" x14ac:dyDescent="0.2">
      <c r="A2669" t="s">
        <v>3024</v>
      </c>
    </row>
    <row r="2670" spans="1:1" x14ac:dyDescent="0.2">
      <c r="A2670" t="s">
        <v>3025</v>
      </c>
    </row>
    <row r="2671" spans="1:1" x14ac:dyDescent="0.2">
      <c r="A2671" t="s">
        <v>3026</v>
      </c>
    </row>
    <row r="2672" spans="1:1" x14ac:dyDescent="0.2">
      <c r="A2672" t="s">
        <v>3027</v>
      </c>
    </row>
    <row r="2673" spans="1:1" x14ac:dyDescent="0.2">
      <c r="A2673" t="s">
        <v>3028</v>
      </c>
    </row>
    <row r="2674" spans="1:1" x14ac:dyDescent="0.2">
      <c r="A2674" t="s">
        <v>3029</v>
      </c>
    </row>
    <row r="2675" spans="1:1" x14ac:dyDescent="0.2">
      <c r="A2675" t="s">
        <v>3030</v>
      </c>
    </row>
    <row r="2676" spans="1:1" x14ac:dyDescent="0.2">
      <c r="A2676" t="s">
        <v>3031</v>
      </c>
    </row>
    <row r="2677" spans="1:1" x14ac:dyDescent="0.2">
      <c r="A2677" t="s">
        <v>3032</v>
      </c>
    </row>
    <row r="2678" spans="1:1" x14ac:dyDescent="0.2">
      <c r="A2678" t="s">
        <v>3033</v>
      </c>
    </row>
    <row r="2679" spans="1:1" x14ac:dyDescent="0.2">
      <c r="A2679" t="s">
        <v>3034</v>
      </c>
    </row>
    <row r="2680" spans="1:1" x14ac:dyDescent="0.2">
      <c r="A2680" t="s">
        <v>3035</v>
      </c>
    </row>
    <row r="2681" spans="1:1" x14ac:dyDescent="0.2">
      <c r="A2681" t="s">
        <v>3036</v>
      </c>
    </row>
    <row r="2682" spans="1:1" x14ac:dyDescent="0.2">
      <c r="A2682" t="s">
        <v>3037</v>
      </c>
    </row>
    <row r="2683" spans="1:1" x14ac:dyDescent="0.2">
      <c r="A2683" t="s">
        <v>2110</v>
      </c>
    </row>
    <row r="2684" spans="1:1" x14ac:dyDescent="0.2">
      <c r="A2684" t="s">
        <v>2111</v>
      </c>
    </row>
    <row r="2685" spans="1:1" x14ac:dyDescent="0.2">
      <c r="A2685" t="s">
        <v>2118</v>
      </c>
    </row>
    <row r="2686" spans="1:1" x14ac:dyDescent="0.2">
      <c r="A2686" t="s">
        <v>2062</v>
      </c>
    </row>
    <row r="2687" spans="1:1" x14ac:dyDescent="0.2">
      <c r="A2687" t="s">
        <v>2116</v>
      </c>
    </row>
    <row r="2688" spans="1:1" x14ac:dyDescent="0.2">
      <c r="A2688" t="s">
        <v>2117</v>
      </c>
    </row>
    <row r="2689" spans="1:1" x14ac:dyDescent="0.2">
      <c r="A2689" t="s">
        <v>2100</v>
      </c>
    </row>
    <row r="2690" spans="1:1" x14ac:dyDescent="0.2">
      <c r="A2690" t="s">
        <v>2101</v>
      </c>
    </row>
    <row r="2691" spans="1:1" x14ac:dyDescent="0.2">
      <c r="A2691" t="s">
        <v>2102</v>
      </c>
    </row>
    <row r="2692" spans="1:1" x14ac:dyDescent="0.2">
      <c r="A2692" t="s">
        <v>2068</v>
      </c>
    </row>
    <row r="2693" spans="1:1" x14ac:dyDescent="0.2">
      <c r="A2693" t="s">
        <v>2113</v>
      </c>
    </row>
    <row r="2694" spans="1:1" x14ac:dyDescent="0.2">
      <c r="A2694" t="s">
        <v>2104</v>
      </c>
    </row>
    <row r="2695" spans="1:1" x14ac:dyDescent="0.2">
      <c r="A2695" t="s">
        <v>2105</v>
      </c>
    </row>
    <row r="2696" spans="1:1" x14ac:dyDescent="0.2">
      <c r="A2696" t="s">
        <v>2072</v>
      </c>
    </row>
    <row r="2697" spans="1:1" x14ac:dyDescent="0.2">
      <c r="A2697" t="s">
        <v>2073</v>
      </c>
    </row>
    <row r="2698" spans="1:1" x14ac:dyDescent="0.2">
      <c r="A2698" t="s">
        <v>2074</v>
      </c>
    </row>
    <row r="2699" spans="1:1" x14ac:dyDescent="0.2">
      <c r="A2699" t="s">
        <v>2075</v>
      </c>
    </row>
    <row r="2700" spans="1:1" x14ac:dyDescent="0.2">
      <c r="A2700" t="s">
        <v>2107</v>
      </c>
    </row>
    <row r="2701" spans="1:1" x14ac:dyDescent="0.2">
      <c r="A2701" t="s">
        <v>2108</v>
      </c>
    </row>
    <row r="2702" spans="1:1" x14ac:dyDescent="0.2">
      <c r="A2702" t="s">
        <v>2078</v>
      </c>
    </row>
    <row r="2703" spans="1:1" x14ac:dyDescent="0.2">
      <c r="A2703" t="s">
        <v>3023</v>
      </c>
    </row>
    <row r="2704" spans="1:1" x14ac:dyDescent="0.2">
      <c r="A2704" t="s">
        <v>3024</v>
      </c>
    </row>
    <row r="2705" spans="1:1" x14ac:dyDescent="0.2">
      <c r="A2705" t="s">
        <v>3025</v>
      </c>
    </row>
    <row r="2706" spans="1:1" x14ac:dyDescent="0.2">
      <c r="A2706" t="s">
        <v>3026</v>
      </c>
    </row>
    <row r="2707" spans="1:1" x14ac:dyDescent="0.2">
      <c r="A2707" t="s">
        <v>3027</v>
      </c>
    </row>
    <row r="2708" spans="1:1" x14ac:dyDescent="0.2">
      <c r="A2708" t="s">
        <v>3028</v>
      </c>
    </row>
    <row r="2709" spans="1:1" x14ac:dyDescent="0.2">
      <c r="A2709" t="s">
        <v>3029</v>
      </c>
    </row>
    <row r="2710" spans="1:1" x14ac:dyDescent="0.2">
      <c r="A2710" t="s">
        <v>3030</v>
      </c>
    </row>
    <row r="2711" spans="1:1" x14ac:dyDescent="0.2">
      <c r="A2711" t="s">
        <v>3031</v>
      </c>
    </row>
    <row r="2712" spans="1:1" x14ac:dyDescent="0.2">
      <c r="A2712" t="s">
        <v>3032</v>
      </c>
    </row>
    <row r="2713" spans="1:1" x14ac:dyDescent="0.2">
      <c r="A2713" t="s">
        <v>3033</v>
      </c>
    </row>
    <row r="2714" spans="1:1" x14ac:dyDescent="0.2">
      <c r="A2714" t="s">
        <v>3034</v>
      </c>
    </row>
    <row r="2715" spans="1:1" x14ac:dyDescent="0.2">
      <c r="A2715" t="s">
        <v>3035</v>
      </c>
    </row>
    <row r="2716" spans="1:1" x14ac:dyDescent="0.2">
      <c r="A2716" t="s">
        <v>3036</v>
      </c>
    </row>
    <row r="2717" spans="1:1" x14ac:dyDescent="0.2">
      <c r="A2717" t="s">
        <v>3037</v>
      </c>
    </row>
    <row r="2718" spans="1:1" x14ac:dyDescent="0.2">
      <c r="A2718" t="s">
        <v>2110</v>
      </c>
    </row>
    <row r="2719" spans="1:1" x14ac:dyDescent="0.2">
      <c r="A2719" t="s">
        <v>2111</v>
      </c>
    </row>
    <row r="2720" spans="1:1" x14ac:dyDescent="0.2">
      <c r="A2720" t="s">
        <v>2119</v>
      </c>
    </row>
    <row r="2721" spans="1:1" x14ac:dyDescent="0.2">
      <c r="A2721" t="s">
        <v>2062</v>
      </c>
    </row>
    <row r="2722" spans="1:1" x14ac:dyDescent="0.2">
      <c r="A2722" t="s">
        <v>2116</v>
      </c>
    </row>
    <row r="2723" spans="1:1" x14ac:dyDescent="0.2">
      <c r="A2723" t="s">
        <v>2117</v>
      </c>
    </row>
    <row r="2724" spans="1:1" x14ac:dyDescent="0.2">
      <c r="A2724" t="s">
        <v>2100</v>
      </c>
    </row>
    <row r="2725" spans="1:1" x14ac:dyDescent="0.2">
      <c r="A2725" t="s">
        <v>2101</v>
      </c>
    </row>
    <row r="2726" spans="1:1" x14ac:dyDescent="0.2">
      <c r="A2726" t="s">
        <v>2102</v>
      </c>
    </row>
    <row r="2727" spans="1:1" x14ac:dyDescent="0.2">
      <c r="A2727" t="s">
        <v>2068</v>
      </c>
    </row>
    <row r="2728" spans="1:1" x14ac:dyDescent="0.2">
      <c r="A2728" t="s">
        <v>2069</v>
      </c>
    </row>
    <row r="2729" spans="1:1" x14ac:dyDescent="0.2">
      <c r="A2729" t="s">
        <v>2104</v>
      </c>
    </row>
    <row r="2730" spans="1:1" x14ac:dyDescent="0.2">
      <c r="A2730" t="s">
        <v>2105</v>
      </c>
    </row>
    <row r="2731" spans="1:1" x14ac:dyDescent="0.2">
      <c r="A2731" t="s">
        <v>2072</v>
      </c>
    </row>
    <row r="2732" spans="1:1" x14ac:dyDescent="0.2">
      <c r="A2732" t="s">
        <v>2073</v>
      </c>
    </row>
    <row r="2733" spans="1:1" x14ac:dyDescent="0.2">
      <c r="A2733" t="s">
        <v>2074</v>
      </c>
    </row>
    <row r="2734" spans="1:1" x14ac:dyDescent="0.2">
      <c r="A2734" t="s">
        <v>2075</v>
      </c>
    </row>
    <row r="2735" spans="1:1" x14ac:dyDescent="0.2">
      <c r="A2735" t="s">
        <v>2107</v>
      </c>
    </row>
    <row r="2736" spans="1:1" x14ac:dyDescent="0.2">
      <c r="A2736" t="s">
        <v>2108</v>
      </c>
    </row>
    <row r="2737" spans="1:1" x14ac:dyDescent="0.2">
      <c r="A2737" t="s">
        <v>2078</v>
      </c>
    </row>
    <row r="2738" spans="1:1" x14ac:dyDescent="0.2">
      <c r="A2738" t="s">
        <v>3023</v>
      </c>
    </row>
    <row r="2739" spans="1:1" x14ac:dyDescent="0.2">
      <c r="A2739" t="s">
        <v>3024</v>
      </c>
    </row>
    <row r="2740" spans="1:1" x14ac:dyDescent="0.2">
      <c r="A2740" t="s">
        <v>3025</v>
      </c>
    </row>
    <row r="2741" spans="1:1" x14ac:dyDescent="0.2">
      <c r="A2741" t="s">
        <v>3026</v>
      </c>
    </row>
    <row r="2742" spans="1:1" x14ac:dyDescent="0.2">
      <c r="A2742" t="s">
        <v>3027</v>
      </c>
    </row>
    <row r="2743" spans="1:1" x14ac:dyDescent="0.2">
      <c r="A2743" t="s">
        <v>3028</v>
      </c>
    </row>
    <row r="2744" spans="1:1" x14ac:dyDescent="0.2">
      <c r="A2744" t="s">
        <v>3029</v>
      </c>
    </row>
    <row r="2745" spans="1:1" x14ac:dyDescent="0.2">
      <c r="A2745" t="s">
        <v>3030</v>
      </c>
    </row>
    <row r="2746" spans="1:1" x14ac:dyDescent="0.2">
      <c r="A2746" t="s">
        <v>3031</v>
      </c>
    </row>
    <row r="2747" spans="1:1" x14ac:dyDescent="0.2">
      <c r="A2747" t="s">
        <v>3032</v>
      </c>
    </row>
    <row r="2748" spans="1:1" x14ac:dyDescent="0.2">
      <c r="A2748" t="s">
        <v>3033</v>
      </c>
    </row>
    <row r="2749" spans="1:1" x14ac:dyDescent="0.2">
      <c r="A2749" t="s">
        <v>3034</v>
      </c>
    </row>
    <row r="2750" spans="1:1" x14ac:dyDescent="0.2">
      <c r="A2750" t="s">
        <v>3035</v>
      </c>
    </row>
    <row r="2751" spans="1:1" x14ac:dyDescent="0.2">
      <c r="A2751" t="s">
        <v>3036</v>
      </c>
    </row>
    <row r="2752" spans="1:1" x14ac:dyDescent="0.2">
      <c r="A2752" t="s">
        <v>3037</v>
      </c>
    </row>
    <row r="2753" spans="1:1" x14ac:dyDescent="0.2">
      <c r="A2753" t="s">
        <v>2110</v>
      </c>
    </row>
    <row r="2754" spans="1:1" x14ac:dyDescent="0.2">
      <c r="A2754" t="s">
        <v>2111</v>
      </c>
    </row>
    <row r="2755" spans="1:1" x14ac:dyDescent="0.2">
      <c r="A2755" t="s">
        <v>2120</v>
      </c>
    </row>
    <row r="2756" spans="1:1" x14ac:dyDescent="0.2">
      <c r="A2756" t="s">
        <v>2062</v>
      </c>
    </row>
    <row r="2757" spans="1:1" x14ac:dyDescent="0.2">
      <c r="A2757" t="s">
        <v>2121</v>
      </c>
    </row>
    <row r="2758" spans="1:1" x14ac:dyDescent="0.2">
      <c r="A2758" t="s">
        <v>2122</v>
      </c>
    </row>
    <row r="2759" spans="1:1" x14ac:dyDescent="0.2">
      <c r="A2759" t="s">
        <v>2100</v>
      </c>
    </row>
    <row r="2760" spans="1:1" x14ac:dyDescent="0.2">
      <c r="A2760" t="s">
        <v>2101</v>
      </c>
    </row>
    <row r="2761" spans="1:1" x14ac:dyDescent="0.2">
      <c r="A2761" t="s">
        <v>2102</v>
      </c>
    </row>
    <row r="2762" spans="1:1" x14ac:dyDescent="0.2">
      <c r="A2762" t="s">
        <v>2068</v>
      </c>
    </row>
    <row r="2763" spans="1:1" x14ac:dyDescent="0.2">
      <c r="A2763" t="s">
        <v>2103</v>
      </c>
    </row>
    <row r="2764" spans="1:1" x14ac:dyDescent="0.2">
      <c r="A2764" t="s">
        <v>2104</v>
      </c>
    </row>
    <row r="2765" spans="1:1" x14ac:dyDescent="0.2">
      <c r="A2765" t="s">
        <v>2105</v>
      </c>
    </row>
    <row r="2766" spans="1:1" x14ac:dyDescent="0.2">
      <c r="A2766" t="s">
        <v>2072</v>
      </c>
    </row>
    <row r="2767" spans="1:1" x14ac:dyDescent="0.2">
      <c r="A2767" t="s">
        <v>2073</v>
      </c>
    </row>
    <row r="2768" spans="1:1" x14ac:dyDescent="0.2">
      <c r="A2768" t="s">
        <v>2074</v>
      </c>
    </row>
    <row r="2769" spans="1:1" x14ac:dyDescent="0.2">
      <c r="A2769" t="s">
        <v>2075</v>
      </c>
    </row>
    <row r="2770" spans="1:1" x14ac:dyDescent="0.2">
      <c r="A2770" t="s">
        <v>2107</v>
      </c>
    </row>
    <row r="2771" spans="1:1" x14ac:dyDescent="0.2">
      <c r="A2771" t="s">
        <v>2108</v>
      </c>
    </row>
    <row r="2772" spans="1:1" x14ac:dyDescent="0.2">
      <c r="A2772" t="s">
        <v>2078</v>
      </c>
    </row>
    <row r="2773" spans="1:1" x14ac:dyDescent="0.2">
      <c r="A2773" t="s">
        <v>3038</v>
      </c>
    </row>
    <row r="2774" spans="1:1" x14ac:dyDescent="0.2">
      <c r="A2774" t="s">
        <v>3039</v>
      </c>
    </row>
    <row r="2775" spans="1:1" x14ac:dyDescent="0.2">
      <c r="A2775" t="s">
        <v>3040</v>
      </c>
    </row>
    <row r="2776" spans="1:1" x14ac:dyDescent="0.2">
      <c r="A2776" t="s">
        <v>3041</v>
      </c>
    </row>
    <row r="2777" spans="1:1" x14ac:dyDescent="0.2">
      <c r="A2777" t="s">
        <v>3042</v>
      </c>
    </row>
    <row r="2778" spans="1:1" x14ac:dyDescent="0.2">
      <c r="A2778" t="s">
        <v>3043</v>
      </c>
    </row>
    <row r="2779" spans="1:1" x14ac:dyDescent="0.2">
      <c r="A2779" t="s">
        <v>3044</v>
      </c>
    </row>
    <row r="2780" spans="1:1" x14ac:dyDescent="0.2">
      <c r="A2780" t="s">
        <v>3045</v>
      </c>
    </row>
    <row r="2781" spans="1:1" x14ac:dyDescent="0.2">
      <c r="A2781" t="s">
        <v>3046</v>
      </c>
    </row>
    <row r="2782" spans="1:1" x14ac:dyDescent="0.2">
      <c r="A2782" t="s">
        <v>3047</v>
      </c>
    </row>
    <row r="2783" spans="1:1" x14ac:dyDescent="0.2">
      <c r="A2783" t="s">
        <v>3048</v>
      </c>
    </row>
    <row r="2784" spans="1:1" x14ac:dyDescent="0.2">
      <c r="A2784" t="s">
        <v>3049</v>
      </c>
    </row>
    <row r="2785" spans="1:1" x14ac:dyDescent="0.2">
      <c r="A2785" t="s">
        <v>3050</v>
      </c>
    </row>
    <row r="2786" spans="1:1" x14ac:dyDescent="0.2">
      <c r="A2786" t="s">
        <v>3051</v>
      </c>
    </row>
    <row r="2787" spans="1:1" x14ac:dyDescent="0.2">
      <c r="A2787" t="s">
        <v>3052</v>
      </c>
    </row>
    <row r="2788" spans="1:1" x14ac:dyDescent="0.2">
      <c r="A2788" t="s">
        <v>2110</v>
      </c>
    </row>
    <row r="2789" spans="1:1" x14ac:dyDescent="0.2">
      <c r="A2789" t="s">
        <v>2111</v>
      </c>
    </row>
    <row r="2790" spans="1:1" x14ac:dyDescent="0.2">
      <c r="A2790" t="s">
        <v>2123</v>
      </c>
    </row>
    <row r="2791" spans="1:1" x14ac:dyDescent="0.2">
      <c r="A2791" t="s">
        <v>2062</v>
      </c>
    </row>
    <row r="2792" spans="1:1" x14ac:dyDescent="0.2">
      <c r="A2792" t="s">
        <v>2121</v>
      </c>
    </row>
    <row r="2793" spans="1:1" x14ac:dyDescent="0.2">
      <c r="A2793" t="s">
        <v>2122</v>
      </c>
    </row>
    <row r="2794" spans="1:1" x14ac:dyDescent="0.2">
      <c r="A2794" t="s">
        <v>2100</v>
      </c>
    </row>
    <row r="2795" spans="1:1" x14ac:dyDescent="0.2">
      <c r="A2795" t="s">
        <v>2101</v>
      </c>
    </row>
    <row r="2796" spans="1:1" x14ac:dyDescent="0.2">
      <c r="A2796" t="s">
        <v>2102</v>
      </c>
    </row>
    <row r="2797" spans="1:1" x14ac:dyDescent="0.2">
      <c r="A2797" t="s">
        <v>2068</v>
      </c>
    </row>
    <row r="2798" spans="1:1" x14ac:dyDescent="0.2">
      <c r="A2798" t="s">
        <v>2113</v>
      </c>
    </row>
    <row r="2799" spans="1:1" x14ac:dyDescent="0.2">
      <c r="A2799" t="s">
        <v>2104</v>
      </c>
    </row>
    <row r="2800" spans="1:1" x14ac:dyDescent="0.2">
      <c r="A2800" t="s">
        <v>2105</v>
      </c>
    </row>
    <row r="2801" spans="1:1" x14ac:dyDescent="0.2">
      <c r="A2801" t="s">
        <v>2072</v>
      </c>
    </row>
    <row r="2802" spans="1:1" x14ac:dyDescent="0.2">
      <c r="A2802" t="s">
        <v>2073</v>
      </c>
    </row>
    <row r="2803" spans="1:1" x14ac:dyDescent="0.2">
      <c r="A2803" t="s">
        <v>2074</v>
      </c>
    </row>
    <row r="2804" spans="1:1" x14ac:dyDescent="0.2">
      <c r="A2804" t="s">
        <v>2075</v>
      </c>
    </row>
    <row r="2805" spans="1:1" x14ac:dyDescent="0.2">
      <c r="A2805" t="s">
        <v>2107</v>
      </c>
    </row>
    <row r="2806" spans="1:1" x14ac:dyDescent="0.2">
      <c r="A2806" t="s">
        <v>2108</v>
      </c>
    </row>
    <row r="2807" spans="1:1" x14ac:dyDescent="0.2">
      <c r="A2807" t="s">
        <v>2078</v>
      </c>
    </row>
    <row r="2808" spans="1:1" x14ac:dyDescent="0.2">
      <c r="A2808" t="s">
        <v>3038</v>
      </c>
    </row>
    <row r="2809" spans="1:1" x14ac:dyDescent="0.2">
      <c r="A2809" t="s">
        <v>3039</v>
      </c>
    </row>
    <row r="2810" spans="1:1" x14ac:dyDescent="0.2">
      <c r="A2810" t="s">
        <v>3040</v>
      </c>
    </row>
    <row r="2811" spans="1:1" x14ac:dyDescent="0.2">
      <c r="A2811" t="s">
        <v>3041</v>
      </c>
    </row>
    <row r="2812" spans="1:1" x14ac:dyDescent="0.2">
      <c r="A2812" t="s">
        <v>3042</v>
      </c>
    </row>
    <row r="2813" spans="1:1" x14ac:dyDescent="0.2">
      <c r="A2813" t="s">
        <v>3043</v>
      </c>
    </row>
    <row r="2814" spans="1:1" x14ac:dyDescent="0.2">
      <c r="A2814" t="s">
        <v>3044</v>
      </c>
    </row>
    <row r="2815" spans="1:1" x14ac:dyDescent="0.2">
      <c r="A2815" t="s">
        <v>3045</v>
      </c>
    </row>
    <row r="2816" spans="1:1" x14ac:dyDescent="0.2">
      <c r="A2816" t="s">
        <v>3046</v>
      </c>
    </row>
    <row r="2817" spans="1:1" x14ac:dyDescent="0.2">
      <c r="A2817" t="s">
        <v>3047</v>
      </c>
    </row>
    <row r="2818" spans="1:1" x14ac:dyDescent="0.2">
      <c r="A2818" t="s">
        <v>3048</v>
      </c>
    </row>
    <row r="2819" spans="1:1" x14ac:dyDescent="0.2">
      <c r="A2819" t="s">
        <v>3049</v>
      </c>
    </row>
    <row r="2820" spans="1:1" x14ac:dyDescent="0.2">
      <c r="A2820" t="s">
        <v>3050</v>
      </c>
    </row>
    <row r="2821" spans="1:1" x14ac:dyDescent="0.2">
      <c r="A2821" t="s">
        <v>3051</v>
      </c>
    </row>
    <row r="2822" spans="1:1" x14ac:dyDescent="0.2">
      <c r="A2822" t="s">
        <v>3052</v>
      </c>
    </row>
    <row r="2823" spans="1:1" x14ac:dyDescent="0.2">
      <c r="A2823" t="s">
        <v>2110</v>
      </c>
    </row>
    <row r="2824" spans="1:1" x14ac:dyDescent="0.2">
      <c r="A2824" t="s">
        <v>2111</v>
      </c>
    </row>
    <row r="2825" spans="1:1" x14ac:dyDescent="0.2">
      <c r="A2825" t="s">
        <v>2124</v>
      </c>
    </row>
    <row r="2826" spans="1:1" x14ac:dyDescent="0.2">
      <c r="A2826" t="s">
        <v>2062</v>
      </c>
    </row>
    <row r="2827" spans="1:1" x14ac:dyDescent="0.2">
      <c r="A2827" t="s">
        <v>2121</v>
      </c>
    </row>
    <row r="2828" spans="1:1" x14ac:dyDescent="0.2">
      <c r="A2828" t="s">
        <v>2122</v>
      </c>
    </row>
    <row r="2829" spans="1:1" x14ac:dyDescent="0.2">
      <c r="A2829" t="s">
        <v>2100</v>
      </c>
    </row>
    <row r="2830" spans="1:1" x14ac:dyDescent="0.2">
      <c r="A2830" t="s">
        <v>2101</v>
      </c>
    </row>
    <row r="2831" spans="1:1" x14ac:dyDescent="0.2">
      <c r="A2831" t="s">
        <v>2102</v>
      </c>
    </row>
    <row r="2832" spans="1:1" x14ac:dyDescent="0.2">
      <c r="A2832" t="s">
        <v>2068</v>
      </c>
    </row>
    <row r="2833" spans="1:1" x14ac:dyDescent="0.2">
      <c r="A2833" t="s">
        <v>2069</v>
      </c>
    </row>
    <row r="2834" spans="1:1" x14ac:dyDescent="0.2">
      <c r="A2834" t="s">
        <v>2104</v>
      </c>
    </row>
    <row r="2835" spans="1:1" x14ac:dyDescent="0.2">
      <c r="A2835" t="s">
        <v>2105</v>
      </c>
    </row>
    <row r="2836" spans="1:1" x14ac:dyDescent="0.2">
      <c r="A2836" t="s">
        <v>2072</v>
      </c>
    </row>
    <row r="2837" spans="1:1" x14ac:dyDescent="0.2">
      <c r="A2837" t="s">
        <v>2073</v>
      </c>
    </row>
    <row r="2838" spans="1:1" x14ac:dyDescent="0.2">
      <c r="A2838" t="s">
        <v>2074</v>
      </c>
    </row>
    <row r="2839" spans="1:1" x14ac:dyDescent="0.2">
      <c r="A2839" t="s">
        <v>2075</v>
      </c>
    </row>
    <row r="2840" spans="1:1" x14ac:dyDescent="0.2">
      <c r="A2840" t="s">
        <v>2107</v>
      </c>
    </row>
    <row r="2841" spans="1:1" x14ac:dyDescent="0.2">
      <c r="A2841" t="s">
        <v>2108</v>
      </c>
    </row>
    <row r="2842" spans="1:1" x14ac:dyDescent="0.2">
      <c r="A2842" t="s">
        <v>2078</v>
      </c>
    </row>
    <row r="2843" spans="1:1" x14ac:dyDescent="0.2">
      <c r="A2843" t="s">
        <v>3038</v>
      </c>
    </row>
    <row r="2844" spans="1:1" x14ac:dyDescent="0.2">
      <c r="A2844" t="s">
        <v>3039</v>
      </c>
    </row>
    <row r="2845" spans="1:1" x14ac:dyDescent="0.2">
      <c r="A2845" t="s">
        <v>3040</v>
      </c>
    </row>
    <row r="2846" spans="1:1" x14ac:dyDescent="0.2">
      <c r="A2846" t="s">
        <v>3041</v>
      </c>
    </row>
    <row r="2847" spans="1:1" x14ac:dyDescent="0.2">
      <c r="A2847" t="s">
        <v>3042</v>
      </c>
    </row>
    <row r="2848" spans="1:1" x14ac:dyDescent="0.2">
      <c r="A2848" t="s">
        <v>3043</v>
      </c>
    </row>
    <row r="2849" spans="1:1" x14ac:dyDescent="0.2">
      <c r="A2849" t="s">
        <v>3044</v>
      </c>
    </row>
    <row r="2850" spans="1:1" x14ac:dyDescent="0.2">
      <c r="A2850" t="s">
        <v>3045</v>
      </c>
    </row>
    <row r="2851" spans="1:1" x14ac:dyDescent="0.2">
      <c r="A2851" t="s">
        <v>3046</v>
      </c>
    </row>
    <row r="2852" spans="1:1" x14ac:dyDescent="0.2">
      <c r="A2852" t="s">
        <v>3047</v>
      </c>
    </row>
    <row r="2853" spans="1:1" x14ac:dyDescent="0.2">
      <c r="A2853" t="s">
        <v>3048</v>
      </c>
    </row>
    <row r="2854" spans="1:1" x14ac:dyDescent="0.2">
      <c r="A2854" t="s">
        <v>3049</v>
      </c>
    </row>
    <row r="2855" spans="1:1" x14ac:dyDescent="0.2">
      <c r="A2855" t="s">
        <v>3050</v>
      </c>
    </row>
    <row r="2856" spans="1:1" x14ac:dyDescent="0.2">
      <c r="A2856" t="s">
        <v>3051</v>
      </c>
    </row>
    <row r="2857" spans="1:1" x14ac:dyDescent="0.2">
      <c r="A2857" t="s">
        <v>3052</v>
      </c>
    </row>
    <row r="2858" spans="1:1" x14ac:dyDescent="0.2">
      <c r="A2858" t="s">
        <v>2110</v>
      </c>
    </row>
    <row r="2859" spans="1:1" x14ac:dyDescent="0.2">
      <c r="A2859" t="s">
        <v>2111</v>
      </c>
    </row>
    <row r="2860" spans="1:1" x14ac:dyDescent="0.2">
      <c r="A2860" t="s">
        <v>2125</v>
      </c>
    </row>
    <row r="2861" spans="1:1" x14ac:dyDescent="0.2">
      <c r="A2861" t="s">
        <v>2062</v>
      </c>
    </row>
    <row r="2862" spans="1:1" x14ac:dyDescent="0.2">
      <c r="A2862" t="s">
        <v>2116</v>
      </c>
    </row>
    <row r="2863" spans="1:1" x14ac:dyDescent="0.2">
      <c r="A2863" t="s">
        <v>2126</v>
      </c>
    </row>
    <row r="2864" spans="1:1" x14ac:dyDescent="0.2">
      <c r="A2864" t="s">
        <v>2127</v>
      </c>
    </row>
    <row r="2865" spans="1:1" x14ac:dyDescent="0.2">
      <c r="A2865" t="s">
        <v>2101</v>
      </c>
    </row>
    <row r="2866" spans="1:1" x14ac:dyDescent="0.2">
      <c r="A2866" t="s">
        <v>2102</v>
      </c>
    </row>
    <row r="2867" spans="1:1" x14ac:dyDescent="0.2">
      <c r="A2867" t="s">
        <v>2068</v>
      </c>
    </row>
    <row r="2868" spans="1:1" x14ac:dyDescent="0.2">
      <c r="A2868" t="s">
        <v>2103</v>
      </c>
    </row>
    <row r="2869" spans="1:1" x14ac:dyDescent="0.2">
      <c r="A2869" t="s">
        <v>2104</v>
      </c>
    </row>
    <row r="2870" spans="1:1" x14ac:dyDescent="0.2">
      <c r="A2870" t="s">
        <v>2105</v>
      </c>
    </row>
    <row r="2871" spans="1:1" x14ac:dyDescent="0.2">
      <c r="A2871" t="s">
        <v>2072</v>
      </c>
    </row>
    <row r="2872" spans="1:1" x14ac:dyDescent="0.2">
      <c r="A2872" t="s">
        <v>2073</v>
      </c>
    </row>
    <row r="2873" spans="1:1" x14ac:dyDescent="0.2">
      <c r="A2873" t="s">
        <v>2074</v>
      </c>
    </row>
    <row r="2874" spans="1:1" x14ac:dyDescent="0.2">
      <c r="A2874" t="s">
        <v>2075</v>
      </c>
    </row>
    <row r="2875" spans="1:1" x14ac:dyDescent="0.2">
      <c r="A2875" t="s">
        <v>2107</v>
      </c>
    </row>
    <row r="2876" spans="1:1" x14ac:dyDescent="0.2">
      <c r="A2876" t="s">
        <v>2108</v>
      </c>
    </row>
    <row r="2877" spans="1:1" x14ac:dyDescent="0.2">
      <c r="A2877" t="s">
        <v>2078</v>
      </c>
    </row>
    <row r="2878" spans="1:1" x14ac:dyDescent="0.2">
      <c r="A2878" t="s">
        <v>3053</v>
      </c>
    </row>
    <row r="2879" spans="1:1" x14ac:dyDescent="0.2">
      <c r="A2879" t="s">
        <v>3054</v>
      </c>
    </row>
    <row r="2880" spans="1:1" x14ac:dyDescent="0.2">
      <c r="A2880" t="s">
        <v>3055</v>
      </c>
    </row>
    <row r="2881" spans="1:1" x14ac:dyDescent="0.2">
      <c r="A2881" t="s">
        <v>3056</v>
      </c>
    </row>
    <row r="2882" spans="1:1" x14ac:dyDescent="0.2">
      <c r="A2882" t="s">
        <v>3057</v>
      </c>
    </row>
    <row r="2883" spans="1:1" x14ac:dyDescent="0.2">
      <c r="A2883" t="s">
        <v>3058</v>
      </c>
    </row>
    <row r="2884" spans="1:1" x14ac:dyDescent="0.2">
      <c r="A2884" t="s">
        <v>3059</v>
      </c>
    </row>
    <row r="2885" spans="1:1" x14ac:dyDescent="0.2">
      <c r="A2885" t="s">
        <v>3060</v>
      </c>
    </row>
    <row r="2886" spans="1:1" x14ac:dyDescent="0.2">
      <c r="A2886" t="s">
        <v>3061</v>
      </c>
    </row>
    <row r="2887" spans="1:1" x14ac:dyDescent="0.2">
      <c r="A2887" t="s">
        <v>3062</v>
      </c>
    </row>
    <row r="2888" spans="1:1" x14ac:dyDescent="0.2">
      <c r="A2888" t="s">
        <v>2128</v>
      </c>
    </row>
    <row r="2889" spans="1:1" x14ac:dyDescent="0.2">
      <c r="A2889" t="s">
        <v>2129</v>
      </c>
    </row>
    <row r="2890" spans="1:1" x14ac:dyDescent="0.2">
      <c r="A2890" t="s">
        <v>2130</v>
      </c>
    </row>
    <row r="2891" spans="1:1" x14ac:dyDescent="0.2">
      <c r="A2891" t="s">
        <v>2131</v>
      </c>
    </row>
    <row r="2892" spans="1:1" x14ac:dyDescent="0.2">
      <c r="A2892" t="s">
        <v>2132</v>
      </c>
    </row>
    <row r="2893" spans="1:1" x14ac:dyDescent="0.2">
      <c r="A2893" t="s">
        <v>2110</v>
      </c>
    </row>
    <row r="2894" spans="1:1" x14ac:dyDescent="0.2">
      <c r="A2894" t="s">
        <v>2111</v>
      </c>
    </row>
    <row r="2895" spans="1:1" x14ac:dyDescent="0.2">
      <c r="A2895" t="s">
        <v>2133</v>
      </c>
    </row>
    <row r="2896" spans="1:1" x14ac:dyDescent="0.2">
      <c r="A2896" t="s">
        <v>2062</v>
      </c>
    </row>
    <row r="2897" spans="1:1" x14ac:dyDescent="0.2">
      <c r="A2897" t="s">
        <v>2116</v>
      </c>
    </row>
    <row r="2898" spans="1:1" x14ac:dyDescent="0.2">
      <c r="A2898" t="s">
        <v>2126</v>
      </c>
    </row>
    <row r="2899" spans="1:1" x14ac:dyDescent="0.2">
      <c r="A2899" t="s">
        <v>2127</v>
      </c>
    </row>
    <row r="2900" spans="1:1" x14ac:dyDescent="0.2">
      <c r="A2900" t="s">
        <v>2101</v>
      </c>
    </row>
    <row r="2901" spans="1:1" x14ac:dyDescent="0.2">
      <c r="A2901" t="s">
        <v>2102</v>
      </c>
    </row>
    <row r="2902" spans="1:1" x14ac:dyDescent="0.2">
      <c r="A2902" t="s">
        <v>2068</v>
      </c>
    </row>
    <row r="2903" spans="1:1" x14ac:dyDescent="0.2">
      <c r="A2903" t="s">
        <v>2113</v>
      </c>
    </row>
    <row r="2904" spans="1:1" x14ac:dyDescent="0.2">
      <c r="A2904" t="s">
        <v>2104</v>
      </c>
    </row>
    <row r="2905" spans="1:1" x14ac:dyDescent="0.2">
      <c r="A2905" t="s">
        <v>2105</v>
      </c>
    </row>
    <row r="2906" spans="1:1" x14ac:dyDescent="0.2">
      <c r="A2906" t="s">
        <v>2072</v>
      </c>
    </row>
    <row r="2907" spans="1:1" x14ac:dyDescent="0.2">
      <c r="A2907" t="s">
        <v>2073</v>
      </c>
    </row>
    <row r="2908" spans="1:1" x14ac:dyDescent="0.2">
      <c r="A2908" t="s">
        <v>2074</v>
      </c>
    </row>
    <row r="2909" spans="1:1" x14ac:dyDescent="0.2">
      <c r="A2909" t="s">
        <v>2075</v>
      </c>
    </row>
    <row r="2910" spans="1:1" x14ac:dyDescent="0.2">
      <c r="A2910" t="s">
        <v>2107</v>
      </c>
    </row>
    <row r="2911" spans="1:1" x14ac:dyDescent="0.2">
      <c r="A2911" t="s">
        <v>2108</v>
      </c>
    </row>
    <row r="2912" spans="1:1" x14ac:dyDescent="0.2">
      <c r="A2912" t="s">
        <v>2078</v>
      </c>
    </row>
    <row r="2913" spans="1:1" x14ac:dyDescent="0.2">
      <c r="A2913" t="s">
        <v>3053</v>
      </c>
    </row>
    <row r="2914" spans="1:1" x14ac:dyDescent="0.2">
      <c r="A2914" t="s">
        <v>3054</v>
      </c>
    </row>
    <row r="2915" spans="1:1" x14ac:dyDescent="0.2">
      <c r="A2915" t="s">
        <v>3055</v>
      </c>
    </row>
    <row r="2916" spans="1:1" x14ac:dyDescent="0.2">
      <c r="A2916" t="s">
        <v>3056</v>
      </c>
    </row>
    <row r="2917" spans="1:1" x14ac:dyDescent="0.2">
      <c r="A2917" t="s">
        <v>3057</v>
      </c>
    </row>
    <row r="2918" spans="1:1" x14ac:dyDescent="0.2">
      <c r="A2918" t="s">
        <v>3058</v>
      </c>
    </row>
    <row r="2919" spans="1:1" x14ac:dyDescent="0.2">
      <c r="A2919" t="s">
        <v>3059</v>
      </c>
    </row>
    <row r="2920" spans="1:1" x14ac:dyDescent="0.2">
      <c r="A2920" t="s">
        <v>3060</v>
      </c>
    </row>
    <row r="2921" spans="1:1" x14ac:dyDescent="0.2">
      <c r="A2921" t="s">
        <v>3061</v>
      </c>
    </row>
    <row r="2922" spans="1:1" x14ac:dyDescent="0.2">
      <c r="A2922" t="s">
        <v>3062</v>
      </c>
    </row>
    <row r="2923" spans="1:1" x14ac:dyDescent="0.2">
      <c r="A2923" t="s">
        <v>2128</v>
      </c>
    </row>
    <row r="2924" spans="1:1" x14ac:dyDescent="0.2">
      <c r="A2924" t="s">
        <v>2129</v>
      </c>
    </row>
    <row r="2925" spans="1:1" x14ac:dyDescent="0.2">
      <c r="A2925" t="s">
        <v>2130</v>
      </c>
    </row>
    <row r="2926" spans="1:1" x14ac:dyDescent="0.2">
      <c r="A2926" t="s">
        <v>2131</v>
      </c>
    </row>
    <row r="2927" spans="1:1" x14ac:dyDescent="0.2">
      <c r="A2927" t="s">
        <v>2132</v>
      </c>
    </row>
    <row r="2928" spans="1:1" x14ac:dyDescent="0.2">
      <c r="A2928" t="s">
        <v>2110</v>
      </c>
    </row>
    <row r="2929" spans="1:1" x14ac:dyDescent="0.2">
      <c r="A2929" t="s">
        <v>2111</v>
      </c>
    </row>
    <row r="2930" spans="1:1" x14ac:dyDescent="0.2">
      <c r="A2930" t="s">
        <v>2134</v>
      </c>
    </row>
    <row r="2931" spans="1:1" x14ac:dyDescent="0.2">
      <c r="A2931" t="s">
        <v>2062</v>
      </c>
    </row>
    <row r="2932" spans="1:1" x14ac:dyDescent="0.2">
      <c r="A2932" t="s">
        <v>2116</v>
      </c>
    </row>
    <row r="2933" spans="1:1" x14ac:dyDescent="0.2">
      <c r="A2933" t="s">
        <v>2126</v>
      </c>
    </row>
    <row r="2934" spans="1:1" x14ac:dyDescent="0.2">
      <c r="A2934" t="s">
        <v>2127</v>
      </c>
    </row>
    <row r="2935" spans="1:1" x14ac:dyDescent="0.2">
      <c r="A2935" t="s">
        <v>2101</v>
      </c>
    </row>
    <row r="2936" spans="1:1" x14ac:dyDescent="0.2">
      <c r="A2936" t="s">
        <v>2102</v>
      </c>
    </row>
    <row r="2937" spans="1:1" x14ac:dyDescent="0.2">
      <c r="A2937" t="s">
        <v>2068</v>
      </c>
    </row>
    <row r="2938" spans="1:1" x14ac:dyDescent="0.2">
      <c r="A2938" t="s">
        <v>2069</v>
      </c>
    </row>
    <row r="2939" spans="1:1" x14ac:dyDescent="0.2">
      <c r="A2939" t="s">
        <v>2104</v>
      </c>
    </row>
    <row r="2940" spans="1:1" x14ac:dyDescent="0.2">
      <c r="A2940" t="s">
        <v>2105</v>
      </c>
    </row>
    <row r="2941" spans="1:1" x14ac:dyDescent="0.2">
      <c r="A2941" t="s">
        <v>2072</v>
      </c>
    </row>
    <row r="2942" spans="1:1" x14ac:dyDescent="0.2">
      <c r="A2942" t="s">
        <v>2073</v>
      </c>
    </row>
    <row r="2943" spans="1:1" x14ac:dyDescent="0.2">
      <c r="A2943" t="s">
        <v>2074</v>
      </c>
    </row>
    <row r="2944" spans="1:1" x14ac:dyDescent="0.2">
      <c r="A2944" t="s">
        <v>2075</v>
      </c>
    </row>
    <row r="2945" spans="1:1" x14ac:dyDescent="0.2">
      <c r="A2945" t="s">
        <v>2107</v>
      </c>
    </row>
    <row r="2946" spans="1:1" x14ac:dyDescent="0.2">
      <c r="A2946" t="s">
        <v>2108</v>
      </c>
    </row>
    <row r="2947" spans="1:1" x14ac:dyDescent="0.2">
      <c r="A2947" t="s">
        <v>2078</v>
      </c>
    </row>
    <row r="2948" spans="1:1" x14ac:dyDescent="0.2">
      <c r="A2948" t="s">
        <v>3053</v>
      </c>
    </row>
    <row r="2949" spans="1:1" x14ac:dyDescent="0.2">
      <c r="A2949" t="s">
        <v>3054</v>
      </c>
    </row>
    <row r="2950" spans="1:1" x14ac:dyDescent="0.2">
      <c r="A2950" t="s">
        <v>3055</v>
      </c>
    </row>
    <row r="2951" spans="1:1" x14ac:dyDescent="0.2">
      <c r="A2951" t="s">
        <v>3056</v>
      </c>
    </row>
    <row r="2952" spans="1:1" x14ac:dyDescent="0.2">
      <c r="A2952" t="s">
        <v>3057</v>
      </c>
    </row>
    <row r="2953" spans="1:1" x14ac:dyDescent="0.2">
      <c r="A2953" t="s">
        <v>3058</v>
      </c>
    </row>
    <row r="2954" spans="1:1" x14ac:dyDescent="0.2">
      <c r="A2954" t="s">
        <v>3059</v>
      </c>
    </row>
    <row r="2955" spans="1:1" x14ac:dyDescent="0.2">
      <c r="A2955" t="s">
        <v>3060</v>
      </c>
    </row>
    <row r="2956" spans="1:1" x14ac:dyDescent="0.2">
      <c r="A2956" t="s">
        <v>3061</v>
      </c>
    </row>
    <row r="2957" spans="1:1" x14ac:dyDescent="0.2">
      <c r="A2957" t="s">
        <v>3062</v>
      </c>
    </row>
    <row r="2958" spans="1:1" x14ac:dyDescent="0.2">
      <c r="A2958" t="s">
        <v>2128</v>
      </c>
    </row>
    <row r="2959" spans="1:1" x14ac:dyDescent="0.2">
      <c r="A2959" t="s">
        <v>2129</v>
      </c>
    </row>
    <row r="2960" spans="1:1" x14ac:dyDescent="0.2">
      <c r="A2960" t="s">
        <v>2130</v>
      </c>
    </row>
    <row r="2961" spans="1:1" x14ac:dyDescent="0.2">
      <c r="A2961" t="s">
        <v>2131</v>
      </c>
    </row>
    <row r="2962" spans="1:1" x14ac:dyDescent="0.2">
      <c r="A2962" t="s">
        <v>2132</v>
      </c>
    </row>
    <row r="2963" spans="1:1" x14ac:dyDescent="0.2">
      <c r="A2963" t="s">
        <v>2110</v>
      </c>
    </row>
    <row r="2964" spans="1:1" x14ac:dyDescent="0.2">
      <c r="A2964" t="s">
        <v>2111</v>
      </c>
    </row>
    <row r="2965" spans="1:1" x14ac:dyDescent="0.2">
      <c r="A2965" t="s">
        <v>2135</v>
      </c>
    </row>
    <row r="2966" spans="1:1" x14ac:dyDescent="0.2">
      <c r="A2966" t="s">
        <v>2062</v>
      </c>
    </row>
    <row r="2967" spans="1:1" x14ac:dyDescent="0.2">
      <c r="A2967" t="s">
        <v>2116</v>
      </c>
    </row>
    <row r="2968" spans="1:1" x14ac:dyDescent="0.2">
      <c r="A2968" t="s">
        <v>2136</v>
      </c>
    </row>
    <row r="2969" spans="1:1" x14ac:dyDescent="0.2">
      <c r="A2969" t="s">
        <v>2127</v>
      </c>
    </row>
    <row r="2970" spans="1:1" x14ac:dyDescent="0.2">
      <c r="A2970" t="s">
        <v>2101</v>
      </c>
    </row>
    <row r="2971" spans="1:1" x14ac:dyDescent="0.2">
      <c r="A2971" t="s">
        <v>2102</v>
      </c>
    </row>
    <row r="2972" spans="1:1" x14ac:dyDescent="0.2">
      <c r="A2972" t="s">
        <v>2068</v>
      </c>
    </row>
    <row r="2973" spans="1:1" x14ac:dyDescent="0.2">
      <c r="A2973" t="s">
        <v>2103</v>
      </c>
    </row>
    <row r="2974" spans="1:1" x14ac:dyDescent="0.2">
      <c r="A2974" t="s">
        <v>2104</v>
      </c>
    </row>
    <row r="2975" spans="1:1" x14ac:dyDescent="0.2">
      <c r="A2975" t="s">
        <v>2105</v>
      </c>
    </row>
    <row r="2976" spans="1:1" x14ac:dyDescent="0.2">
      <c r="A2976" t="s">
        <v>2072</v>
      </c>
    </row>
    <row r="2977" spans="1:1" x14ac:dyDescent="0.2">
      <c r="A2977" t="s">
        <v>2073</v>
      </c>
    </row>
    <row r="2978" spans="1:1" x14ac:dyDescent="0.2">
      <c r="A2978" t="s">
        <v>2074</v>
      </c>
    </row>
    <row r="2979" spans="1:1" x14ac:dyDescent="0.2">
      <c r="A2979" t="s">
        <v>2075</v>
      </c>
    </row>
    <row r="2980" spans="1:1" x14ac:dyDescent="0.2">
      <c r="A2980" t="s">
        <v>2107</v>
      </c>
    </row>
    <row r="2981" spans="1:1" x14ac:dyDescent="0.2">
      <c r="A2981" t="s">
        <v>2108</v>
      </c>
    </row>
    <row r="2982" spans="1:1" x14ac:dyDescent="0.2">
      <c r="A2982" t="s">
        <v>2078</v>
      </c>
    </row>
    <row r="2983" spans="1:1" x14ac:dyDescent="0.2">
      <c r="A2983" t="s">
        <v>3063</v>
      </c>
    </row>
    <row r="2984" spans="1:1" x14ac:dyDescent="0.2">
      <c r="A2984" t="s">
        <v>3064</v>
      </c>
    </row>
    <row r="2985" spans="1:1" x14ac:dyDescent="0.2">
      <c r="A2985" t="s">
        <v>3065</v>
      </c>
    </row>
    <row r="2986" spans="1:1" x14ac:dyDescent="0.2">
      <c r="A2986" t="s">
        <v>3066</v>
      </c>
    </row>
    <row r="2987" spans="1:1" x14ac:dyDescent="0.2">
      <c r="A2987" t="s">
        <v>3067</v>
      </c>
    </row>
    <row r="2988" spans="1:1" x14ac:dyDescent="0.2">
      <c r="A2988" t="s">
        <v>3068</v>
      </c>
    </row>
    <row r="2989" spans="1:1" x14ac:dyDescent="0.2">
      <c r="A2989" t="s">
        <v>3069</v>
      </c>
    </row>
    <row r="2990" spans="1:1" x14ac:dyDescent="0.2">
      <c r="A2990" t="s">
        <v>3070</v>
      </c>
    </row>
    <row r="2991" spans="1:1" x14ac:dyDescent="0.2">
      <c r="A2991" t="s">
        <v>3071</v>
      </c>
    </row>
    <row r="2992" spans="1:1" x14ac:dyDescent="0.2">
      <c r="A2992" t="s">
        <v>3072</v>
      </c>
    </row>
    <row r="2993" spans="1:1" x14ac:dyDescent="0.2">
      <c r="A2993" t="s">
        <v>2137</v>
      </c>
    </row>
    <row r="2994" spans="1:1" x14ac:dyDescent="0.2">
      <c r="A2994" t="s">
        <v>2138</v>
      </c>
    </row>
    <row r="2995" spans="1:1" x14ac:dyDescent="0.2">
      <c r="A2995" t="s">
        <v>2139</v>
      </c>
    </row>
    <row r="2996" spans="1:1" x14ac:dyDescent="0.2">
      <c r="A2996" t="s">
        <v>2140</v>
      </c>
    </row>
    <row r="2997" spans="1:1" x14ac:dyDescent="0.2">
      <c r="A2997" t="s">
        <v>2141</v>
      </c>
    </row>
    <row r="2998" spans="1:1" x14ac:dyDescent="0.2">
      <c r="A2998" t="s">
        <v>2110</v>
      </c>
    </row>
    <row r="2999" spans="1:1" x14ac:dyDescent="0.2">
      <c r="A2999" t="s">
        <v>2111</v>
      </c>
    </row>
    <row r="3000" spans="1:1" x14ac:dyDescent="0.2">
      <c r="A3000" t="s">
        <v>2142</v>
      </c>
    </row>
    <row r="3001" spans="1:1" x14ac:dyDescent="0.2">
      <c r="A3001" t="s">
        <v>2062</v>
      </c>
    </row>
    <row r="3002" spans="1:1" x14ac:dyDescent="0.2">
      <c r="A3002" t="s">
        <v>2116</v>
      </c>
    </row>
    <row r="3003" spans="1:1" x14ac:dyDescent="0.2">
      <c r="A3003" t="s">
        <v>2136</v>
      </c>
    </row>
    <row r="3004" spans="1:1" x14ac:dyDescent="0.2">
      <c r="A3004" t="s">
        <v>2127</v>
      </c>
    </row>
    <row r="3005" spans="1:1" x14ac:dyDescent="0.2">
      <c r="A3005" t="s">
        <v>2101</v>
      </c>
    </row>
    <row r="3006" spans="1:1" x14ac:dyDescent="0.2">
      <c r="A3006" t="s">
        <v>2102</v>
      </c>
    </row>
    <row r="3007" spans="1:1" x14ac:dyDescent="0.2">
      <c r="A3007" t="s">
        <v>2068</v>
      </c>
    </row>
    <row r="3008" spans="1:1" x14ac:dyDescent="0.2">
      <c r="A3008" t="s">
        <v>2113</v>
      </c>
    </row>
    <row r="3009" spans="1:1" x14ac:dyDescent="0.2">
      <c r="A3009" t="s">
        <v>2104</v>
      </c>
    </row>
    <row r="3010" spans="1:1" x14ac:dyDescent="0.2">
      <c r="A3010" t="s">
        <v>2105</v>
      </c>
    </row>
    <row r="3011" spans="1:1" x14ac:dyDescent="0.2">
      <c r="A3011" t="s">
        <v>2072</v>
      </c>
    </row>
    <row r="3012" spans="1:1" x14ac:dyDescent="0.2">
      <c r="A3012" t="s">
        <v>2073</v>
      </c>
    </row>
    <row r="3013" spans="1:1" x14ac:dyDescent="0.2">
      <c r="A3013" t="s">
        <v>2074</v>
      </c>
    </row>
    <row r="3014" spans="1:1" x14ac:dyDescent="0.2">
      <c r="A3014" t="s">
        <v>2075</v>
      </c>
    </row>
    <row r="3015" spans="1:1" x14ac:dyDescent="0.2">
      <c r="A3015" t="s">
        <v>2107</v>
      </c>
    </row>
    <row r="3016" spans="1:1" x14ac:dyDescent="0.2">
      <c r="A3016" t="s">
        <v>2108</v>
      </c>
    </row>
    <row r="3017" spans="1:1" x14ac:dyDescent="0.2">
      <c r="A3017" t="s">
        <v>2078</v>
      </c>
    </row>
    <row r="3018" spans="1:1" x14ac:dyDescent="0.2">
      <c r="A3018" t="s">
        <v>3063</v>
      </c>
    </row>
    <row r="3019" spans="1:1" x14ac:dyDescent="0.2">
      <c r="A3019" t="s">
        <v>3064</v>
      </c>
    </row>
    <row r="3020" spans="1:1" x14ac:dyDescent="0.2">
      <c r="A3020" t="s">
        <v>3065</v>
      </c>
    </row>
    <row r="3021" spans="1:1" x14ac:dyDescent="0.2">
      <c r="A3021" t="s">
        <v>3066</v>
      </c>
    </row>
    <row r="3022" spans="1:1" x14ac:dyDescent="0.2">
      <c r="A3022" t="s">
        <v>3067</v>
      </c>
    </row>
    <row r="3023" spans="1:1" x14ac:dyDescent="0.2">
      <c r="A3023" t="s">
        <v>3068</v>
      </c>
    </row>
    <row r="3024" spans="1:1" x14ac:dyDescent="0.2">
      <c r="A3024" t="s">
        <v>3069</v>
      </c>
    </row>
    <row r="3025" spans="1:1" x14ac:dyDescent="0.2">
      <c r="A3025" t="s">
        <v>3070</v>
      </c>
    </row>
    <row r="3026" spans="1:1" x14ac:dyDescent="0.2">
      <c r="A3026" t="s">
        <v>3071</v>
      </c>
    </row>
    <row r="3027" spans="1:1" x14ac:dyDescent="0.2">
      <c r="A3027" t="s">
        <v>3072</v>
      </c>
    </row>
    <row r="3028" spans="1:1" x14ac:dyDescent="0.2">
      <c r="A3028" t="s">
        <v>2137</v>
      </c>
    </row>
    <row r="3029" spans="1:1" x14ac:dyDescent="0.2">
      <c r="A3029" t="s">
        <v>2138</v>
      </c>
    </row>
    <row r="3030" spans="1:1" x14ac:dyDescent="0.2">
      <c r="A3030" t="s">
        <v>2139</v>
      </c>
    </row>
    <row r="3031" spans="1:1" x14ac:dyDescent="0.2">
      <c r="A3031" t="s">
        <v>2140</v>
      </c>
    </row>
    <row r="3032" spans="1:1" x14ac:dyDescent="0.2">
      <c r="A3032" t="s">
        <v>2141</v>
      </c>
    </row>
    <row r="3033" spans="1:1" x14ac:dyDescent="0.2">
      <c r="A3033" t="s">
        <v>2110</v>
      </c>
    </row>
    <row r="3034" spans="1:1" x14ac:dyDescent="0.2">
      <c r="A3034" t="s">
        <v>2111</v>
      </c>
    </row>
    <row r="3035" spans="1:1" x14ac:dyDescent="0.2">
      <c r="A3035" t="s">
        <v>2143</v>
      </c>
    </row>
    <row r="3036" spans="1:1" x14ac:dyDescent="0.2">
      <c r="A3036" t="s">
        <v>2062</v>
      </c>
    </row>
    <row r="3037" spans="1:1" x14ac:dyDescent="0.2">
      <c r="A3037" t="s">
        <v>2116</v>
      </c>
    </row>
    <row r="3038" spans="1:1" x14ac:dyDescent="0.2">
      <c r="A3038" t="s">
        <v>2136</v>
      </c>
    </row>
    <row r="3039" spans="1:1" x14ac:dyDescent="0.2">
      <c r="A3039" t="s">
        <v>2127</v>
      </c>
    </row>
    <row r="3040" spans="1:1" x14ac:dyDescent="0.2">
      <c r="A3040" t="s">
        <v>2101</v>
      </c>
    </row>
    <row r="3041" spans="1:1" x14ac:dyDescent="0.2">
      <c r="A3041" t="s">
        <v>2102</v>
      </c>
    </row>
    <row r="3042" spans="1:1" x14ac:dyDescent="0.2">
      <c r="A3042" t="s">
        <v>2068</v>
      </c>
    </row>
    <row r="3043" spans="1:1" x14ac:dyDescent="0.2">
      <c r="A3043" t="s">
        <v>2069</v>
      </c>
    </row>
    <row r="3044" spans="1:1" x14ac:dyDescent="0.2">
      <c r="A3044" t="s">
        <v>2104</v>
      </c>
    </row>
    <row r="3045" spans="1:1" x14ac:dyDescent="0.2">
      <c r="A3045" t="s">
        <v>2105</v>
      </c>
    </row>
    <row r="3046" spans="1:1" x14ac:dyDescent="0.2">
      <c r="A3046" t="s">
        <v>2072</v>
      </c>
    </row>
    <row r="3047" spans="1:1" x14ac:dyDescent="0.2">
      <c r="A3047" t="s">
        <v>2073</v>
      </c>
    </row>
    <row r="3048" spans="1:1" x14ac:dyDescent="0.2">
      <c r="A3048" t="s">
        <v>2074</v>
      </c>
    </row>
    <row r="3049" spans="1:1" x14ac:dyDescent="0.2">
      <c r="A3049" t="s">
        <v>2075</v>
      </c>
    </row>
    <row r="3050" spans="1:1" x14ac:dyDescent="0.2">
      <c r="A3050" t="s">
        <v>2107</v>
      </c>
    </row>
    <row r="3051" spans="1:1" x14ac:dyDescent="0.2">
      <c r="A3051" t="s">
        <v>2108</v>
      </c>
    </row>
    <row r="3052" spans="1:1" x14ac:dyDescent="0.2">
      <c r="A3052" t="s">
        <v>2078</v>
      </c>
    </row>
    <row r="3053" spans="1:1" x14ac:dyDescent="0.2">
      <c r="A3053" t="s">
        <v>3063</v>
      </c>
    </row>
    <row r="3054" spans="1:1" x14ac:dyDescent="0.2">
      <c r="A3054" t="s">
        <v>3064</v>
      </c>
    </row>
    <row r="3055" spans="1:1" x14ac:dyDescent="0.2">
      <c r="A3055" t="s">
        <v>3065</v>
      </c>
    </row>
    <row r="3056" spans="1:1" x14ac:dyDescent="0.2">
      <c r="A3056" t="s">
        <v>3066</v>
      </c>
    </row>
    <row r="3057" spans="1:1" x14ac:dyDescent="0.2">
      <c r="A3057" t="s">
        <v>3067</v>
      </c>
    </row>
    <row r="3058" spans="1:1" x14ac:dyDescent="0.2">
      <c r="A3058" t="s">
        <v>3068</v>
      </c>
    </row>
    <row r="3059" spans="1:1" x14ac:dyDescent="0.2">
      <c r="A3059" t="s">
        <v>3069</v>
      </c>
    </row>
    <row r="3060" spans="1:1" x14ac:dyDescent="0.2">
      <c r="A3060" t="s">
        <v>3070</v>
      </c>
    </row>
    <row r="3061" spans="1:1" x14ac:dyDescent="0.2">
      <c r="A3061" t="s">
        <v>3071</v>
      </c>
    </row>
    <row r="3062" spans="1:1" x14ac:dyDescent="0.2">
      <c r="A3062" t="s">
        <v>3072</v>
      </c>
    </row>
    <row r="3063" spans="1:1" x14ac:dyDescent="0.2">
      <c r="A3063" t="s">
        <v>2137</v>
      </c>
    </row>
    <row r="3064" spans="1:1" x14ac:dyDescent="0.2">
      <c r="A3064" t="s">
        <v>2138</v>
      </c>
    </row>
    <row r="3065" spans="1:1" x14ac:dyDescent="0.2">
      <c r="A3065" t="s">
        <v>2139</v>
      </c>
    </row>
    <row r="3066" spans="1:1" x14ac:dyDescent="0.2">
      <c r="A3066" t="s">
        <v>2140</v>
      </c>
    </row>
    <row r="3067" spans="1:1" x14ac:dyDescent="0.2">
      <c r="A3067" t="s">
        <v>2141</v>
      </c>
    </row>
    <row r="3068" spans="1:1" x14ac:dyDescent="0.2">
      <c r="A3068" t="s">
        <v>2110</v>
      </c>
    </row>
    <row r="3069" spans="1:1" x14ac:dyDescent="0.2">
      <c r="A3069" t="s">
        <v>2111</v>
      </c>
    </row>
    <row r="3070" spans="1:1" x14ac:dyDescent="0.2">
      <c r="A3070" t="s">
        <v>2144</v>
      </c>
    </row>
    <row r="3071" spans="1:1" x14ac:dyDescent="0.2">
      <c r="A3071" t="s">
        <v>2062</v>
      </c>
    </row>
    <row r="3072" spans="1:1" x14ac:dyDescent="0.2">
      <c r="A3072" t="s">
        <v>2116</v>
      </c>
    </row>
    <row r="3073" spans="1:1" x14ac:dyDescent="0.2">
      <c r="A3073" t="s">
        <v>2145</v>
      </c>
    </row>
    <row r="3074" spans="1:1" x14ac:dyDescent="0.2">
      <c r="A3074" t="s">
        <v>2127</v>
      </c>
    </row>
    <row r="3075" spans="1:1" x14ac:dyDescent="0.2">
      <c r="A3075" t="s">
        <v>2101</v>
      </c>
    </row>
    <row r="3076" spans="1:1" x14ac:dyDescent="0.2">
      <c r="A3076" t="s">
        <v>2102</v>
      </c>
    </row>
    <row r="3077" spans="1:1" x14ac:dyDescent="0.2">
      <c r="A3077" t="s">
        <v>2068</v>
      </c>
    </row>
    <row r="3078" spans="1:1" x14ac:dyDescent="0.2">
      <c r="A3078" t="s">
        <v>2103</v>
      </c>
    </row>
    <row r="3079" spans="1:1" x14ac:dyDescent="0.2">
      <c r="A3079" t="s">
        <v>2104</v>
      </c>
    </row>
    <row r="3080" spans="1:1" x14ac:dyDescent="0.2">
      <c r="A3080" t="s">
        <v>2105</v>
      </c>
    </row>
    <row r="3081" spans="1:1" x14ac:dyDescent="0.2">
      <c r="A3081" t="s">
        <v>2072</v>
      </c>
    </row>
    <row r="3082" spans="1:1" x14ac:dyDescent="0.2">
      <c r="A3082" t="s">
        <v>2073</v>
      </c>
    </row>
    <row r="3083" spans="1:1" x14ac:dyDescent="0.2">
      <c r="A3083" t="s">
        <v>2074</v>
      </c>
    </row>
    <row r="3084" spans="1:1" x14ac:dyDescent="0.2">
      <c r="A3084" t="s">
        <v>2075</v>
      </c>
    </row>
    <row r="3085" spans="1:1" x14ac:dyDescent="0.2">
      <c r="A3085" t="s">
        <v>2107</v>
      </c>
    </row>
    <row r="3086" spans="1:1" x14ac:dyDescent="0.2">
      <c r="A3086" t="s">
        <v>2108</v>
      </c>
    </row>
    <row r="3087" spans="1:1" x14ac:dyDescent="0.2">
      <c r="A3087" t="s">
        <v>2078</v>
      </c>
    </row>
    <row r="3088" spans="1:1" x14ac:dyDescent="0.2">
      <c r="A3088" t="s">
        <v>3073</v>
      </c>
    </row>
    <row r="3089" spans="1:1" x14ac:dyDescent="0.2">
      <c r="A3089" t="s">
        <v>3074</v>
      </c>
    </row>
    <row r="3090" spans="1:1" x14ac:dyDescent="0.2">
      <c r="A3090" t="s">
        <v>3075</v>
      </c>
    </row>
    <row r="3091" spans="1:1" x14ac:dyDescent="0.2">
      <c r="A3091" t="s">
        <v>3076</v>
      </c>
    </row>
    <row r="3092" spans="1:1" x14ac:dyDescent="0.2">
      <c r="A3092" t="s">
        <v>3077</v>
      </c>
    </row>
    <row r="3093" spans="1:1" x14ac:dyDescent="0.2">
      <c r="A3093" t="s">
        <v>3078</v>
      </c>
    </row>
    <row r="3094" spans="1:1" x14ac:dyDescent="0.2">
      <c r="A3094" t="s">
        <v>3079</v>
      </c>
    </row>
    <row r="3095" spans="1:1" x14ac:dyDescent="0.2">
      <c r="A3095" t="s">
        <v>3080</v>
      </c>
    </row>
    <row r="3096" spans="1:1" x14ac:dyDescent="0.2">
      <c r="A3096" t="s">
        <v>3081</v>
      </c>
    </row>
    <row r="3097" spans="1:1" x14ac:dyDescent="0.2">
      <c r="A3097" t="s">
        <v>3082</v>
      </c>
    </row>
    <row r="3098" spans="1:1" x14ac:dyDescent="0.2">
      <c r="A3098" t="s">
        <v>2146</v>
      </c>
    </row>
    <row r="3099" spans="1:1" x14ac:dyDescent="0.2">
      <c r="A3099" t="s">
        <v>2147</v>
      </c>
    </row>
    <row r="3100" spans="1:1" x14ac:dyDescent="0.2">
      <c r="A3100" t="s">
        <v>2148</v>
      </c>
    </row>
    <row r="3101" spans="1:1" x14ac:dyDescent="0.2">
      <c r="A3101" t="s">
        <v>2149</v>
      </c>
    </row>
    <row r="3102" spans="1:1" x14ac:dyDescent="0.2">
      <c r="A3102" t="s">
        <v>2150</v>
      </c>
    </row>
    <row r="3103" spans="1:1" x14ac:dyDescent="0.2">
      <c r="A3103" t="s">
        <v>2110</v>
      </c>
    </row>
    <row r="3104" spans="1:1" x14ac:dyDescent="0.2">
      <c r="A3104" t="s">
        <v>2111</v>
      </c>
    </row>
    <row r="3105" spans="1:1" x14ac:dyDescent="0.2">
      <c r="A3105" t="s">
        <v>2151</v>
      </c>
    </row>
    <row r="3106" spans="1:1" x14ac:dyDescent="0.2">
      <c r="A3106" t="s">
        <v>2062</v>
      </c>
    </row>
    <row r="3107" spans="1:1" x14ac:dyDescent="0.2">
      <c r="A3107" t="s">
        <v>2116</v>
      </c>
    </row>
    <row r="3108" spans="1:1" x14ac:dyDescent="0.2">
      <c r="A3108" t="s">
        <v>2145</v>
      </c>
    </row>
    <row r="3109" spans="1:1" x14ac:dyDescent="0.2">
      <c r="A3109" t="s">
        <v>2127</v>
      </c>
    </row>
    <row r="3110" spans="1:1" x14ac:dyDescent="0.2">
      <c r="A3110" t="s">
        <v>2101</v>
      </c>
    </row>
    <row r="3111" spans="1:1" x14ac:dyDescent="0.2">
      <c r="A3111" t="s">
        <v>2102</v>
      </c>
    </row>
    <row r="3112" spans="1:1" x14ac:dyDescent="0.2">
      <c r="A3112" t="s">
        <v>2068</v>
      </c>
    </row>
    <row r="3113" spans="1:1" x14ac:dyDescent="0.2">
      <c r="A3113" t="s">
        <v>2113</v>
      </c>
    </row>
    <row r="3114" spans="1:1" x14ac:dyDescent="0.2">
      <c r="A3114" t="s">
        <v>2104</v>
      </c>
    </row>
    <row r="3115" spans="1:1" x14ac:dyDescent="0.2">
      <c r="A3115" t="s">
        <v>2105</v>
      </c>
    </row>
    <row r="3116" spans="1:1" x14ac:dyDescent="0.2">
      <c r="A3116" t="s">
        <v>2072</v>
      </c>
    </row>
    <row r="3117" spans="1:1" x14ac:dyDescent="0.2">
      <c r="A3117" t="s">
        <v>2073</v>
      </c>
    </row>
    <row r="3118" spans="1:1" x14ac:dyDescent="0.2">
      <c r="A3118" t="s">
        <v>2074</v>
      </c>
    </row>
    <row r="3119" spans="1:1" x14ac:dyDescent="0.2">
      <c r="A3119" t="s">
        <v>2075</v>
      </c>
    </row>
    <row r="3120" spans="1:1" x14ac:dyDescent="0.2">
      <c r="A3120" t="s">
        <v>2107</v>
      </c>
    </row>
    <row r="3121" spans="1:1" x14ac:dyDescent="0.2">
      <c r="A3121" t="s">
        <v>2108</v>
      </c>
    </row>
    <row r="3122" spans="1:1" x14ac:dyDescent="0.2">
      <c r="A3122" t="s">
        <v>2078</v>
      </c>
    </row>
    <row r="3123" spans="1:1" x14ac:dyDescent="0.2">
      <c r="A3123" t="s">
        <v>3073</v>
      </c>
    </row>
    <row r="3124" spans="1:1" x14ac:dyDescent="0.2">
      <c r="A3124" t="s">
        <v>3074</v>
      </c>
    </row>
    <row r="3125" spans="1:1" x14ac:dyDescent="0.2">
      <c r="A3125" t="s">
        <v>3075</v>
      </c>
    </row>
    <row r="3126" spans="1:1" x14ac:dyDescent="0.2">
      <c r="A3126" t="s">
        <v>3076</v>
      </c>
    </row>
    <row r="3127" spans="1:1" x14ac:dyDescent="0.2">
      <c r="A3127" t="s">
        <v>3077</v>
      </c>
    </row>
    <row r="3128" spans="1:1" x14ac:dyDescent="0.2">
      <c r="A3128" t="s">
        <v>3078</v>
      </c>
    </row>
    <row r="3129" spans="1:1" x14ac:dyDescent="0.2">
      <c r="A3129" t="s">
        <v>3079</v>
      </c>
    </row>
    <row r="3130" spans="1:1" x14ac:dyDescent="0.2">
      <c r="A3130" t="s">
        <v>3080</v>
      </c>
    </row>
    <row r="3131" spans="1:1" x14ac:dyDescent="0.2">
      <c r="A3131" t="s">
        <v>3081</v>
      </c>
    </row>
    <row r="3132" spans="1:1" x14ac:dyDescent="0.2">
      <c r="A3132" t="s">
        <v>3082</v>
      </c>
    </row>
    <row r="3133" spans="1:1" x14ac:dyDescent="0.2">
      <c r="A3133" t="s">
        <v>2146</v>
      </c>
    </row>
    <row r="3134" spans="1:1" x14ac:dyDescent="0.2">
      <c r="A3134" t="s">
        <v>2147</v>
      </c>
    </row>
    <row r="3135" spans="1:1" x14ac:dyDescent="0.2">
      <c r="A3135" t="s">
        <v>2148</v>
      </c>
    </row>
    <row r="3136" spans="1:1" x14ac:dyDescent="0.2">
      <c r="A3136" t="s">
        <v>2149</v>
      </c>
    </row>
    <row r="3137" spans="1:1" x14ac:dyDescent="0.2">
      <c r="A3137" t="s">
        <v>2150</v>
      </c>
    </row>
    <row r="3138" spans="1:1" x14ac:dyDescent="0.2">
      <c r="A3138" t="s">
        <v>2110</v>
      </c>
    </row>
    <row r="3139" spans="1:1" x14ac:dyDescent="0.2">
      <c r="A3139" t="s">
        <v>2111</v>
      </c>
    </row>
    <row r="3140" spans="1:1" x14ac:dyDescent="0.2">
      <c r="A3140" t="s">
        <v>2152</v>
      </c>
    </row>
    <row r="3141" spans="1:1" x14ac:dyDescent="0.2">
      <c r="A3141" t="s">
        <v>2062</v>
      </c>
    </row>
    <row r="3142" spans="1:1" x14ac:dyDescent="0.2">
      <c r="A3142" t="s">
        <v>2116</v>
      </c>
    </row>
    <row r="3143" spans="1:1" x14ac:dyDescent="0.2">
      <c r="A3143" t="s">
        <v>2145</v>
      </c>
    </row>
    <row r="3144" spans="1:1" x14ac:dyDescent="0.2">
      <c r="A3144" t="s">
        <v>2127</v>
      </c>
    </row>
    <row r="3145" spans="1:1" x14ac:dyDescent="0.2">
      <c r="A3145" t="s">
        <v>2101</v>
      </c>
    </row>
    <row r="3146" spans="1:1" x14ac:dyDescent="0.2">
      <c r="A3146" t="s">
        <v>2102</v>
      </c>
    </row>
    <row r="3147" spans="1:1" x14ac:dyDescent="0.2">
      <c r="A3147" t="s">
        <v>2068</v>
      </c>
    </row>
    <row r="3148" spans="1:1" x14ac:dyDescent="0.2">
      <c r="A3148" t="s">
        <v>2069</v>
      </c>
    </row>
    <row r="3149" spans="1:1" x14ac:dyDescent="0.2">
      <c r="A3149" t="s">
        <v>2104</v>
      </c>
    </row>
    <row r="3150" spans="1:1" x14ac:dyDescent="0.2">
      <c r="A3150" t="s">
        <v>2105</v>
      </c>
    </row>
    <row r="3151" spans="1:1" x14ac:dyDescent="0.2">
      <c r="A3151" t="s">
        <v>2072</v>
      </c>
    </row>
    <row r="3152" spans="1:1" x14ac:dyDescent="0.2">
      <c r="A3152" t="s">
        <v>2073</v>
      </c>
    </row>
    <row r="3153" spans="1:1" x14ac:dyDescent="0.2">
      <c r="A3153" t="s">
        <v>2074</v>
      </c>
    </row>
    <row r="3154" spans="1:1" x14ac:dyDescent="0.2">
      <c r="A3154" t="s">
        <v>2075</v>
      </c>
    </row>
    <row r="3155" spans="1:1" x14ac:dyDescent="0.2">
      <c r="A3155" t="s">
        <v>2107</v>
      </c>
    </row>
    <row r="3156" spans="1:1" x14ac:dyDescent="0.2">
      <c r="A3156" t="s">
        <v>2108</v>
      </c>
    </row>
    <row r="3157" spans="1:1" x14ac:dyDescent="0.2">
      <c r="A3157" t="s">
        <v>2078</v>
      </c>
    </row>
    <row r="3158" spans="1:1" x14ac:dyDescent="0.2">
      <c r="A3158" t="s">
        <v>3073</v>
      </c>
    </row>
    <row r="3159" spans="1:1" x14ac:dyDescent="0.2">
      <c r="A3159" t="s">
        <v>3074</v>
      </c>
    </row>
    <row r="3160" spans="1:1" x14ac:dyDescent="0.2">
      <c r="A3160" t="s">
        <v>3075</v>
      </c>
    </row>
    <row r="3161" spans="1:1" x14ac:dyDescent="0.2">
      <c r="A3161" t="s">
        <v>3076</v>
      </c>
    </row>
    <row r="3162" spans="1:1" x14ac:dyDescent="0.2">
      <c r="A3162" t="s">
        <v>3077</v>
      </c>
    </row>
    <row r="3163" spans="1:1" x14ac:dyDescent="0.2">
      <c r="A3163" t="s">
        <v>3078</v>
      </c>
    </row>
    <row r="3164" spans="1:1" x14ac:dyDescent="0.2">
      <c r="A3164" t="s">
        <v>3079</v>
      </c>
    </row>
    <row r="3165" spans="1:1" x14ac:dyDescent="0.2">
      <c r="A3165" t="s">
        <v>3080</v>
      </c>
    </row>
    <row r="3166" spans="1:1" x14ac:dyDescent="0.2">
      <c r="A3166" t="s">
        <v>3081</v>
      </c>
    </row>
    <row r="3167" spans="1:1" x14ac:dyDescent="0.2">
      <c r="A3167" t="s">
        <v>3082</v>
      </c>
    </row>
    <row r="3168" spans="1:1" x14ac:dyDescent="0.2">
      <c r="A3168" t="s">
        <v>2146</v>
      </c>
    </row>
    <row r="3169" spans="1:1" x14ac:dyDescent="0.2">
      <c r="A3169" t="s">
        <v>2147</v>
      </c>
    </row>
    <row r="3170" spans="1:1" x14ac:dyDescent="0.2">
      <c r="A3170" t="s">
        <v>2148</v>
      </c>
    </row>
    <row r="3171" spans="1:1" x14ac:dyDescent="0.2">
      <c r="A3171" t="s">
        <v>2149</v>
      </c>
    </row>
    <row r="3172" spans="1:1" x14ac:dyDescent="0.2">
      <c r="A3172" t="s">
        <v>2150</v>
      </c>
    </row>
    <row r="3173" spans="1:1" x14ac:dyDescent="0.2">
      <c r="A3173" t="s">
        <v>2110</v>
      </c>
    </row>
    <row r="3174" spans="1:1" x14ac:dyDescent="0.2">
      <c r="A3174" t="s">
        <v>2111</v>
      </c>
    </row>
    <row r="3175" spans="1:1" x14ac:dyDescent="0.2">
      <c r="A3175" t="s">
        <v>2153</v>
      </c>
    </row>
    <row r="3176" spans="1:1" x14ac:dyDescent="0.2">
      <c r="A3176" t="s">
        <v>2154</v>
      </c>
    </row>
    <row r="3177" spans="1:1" x14ac:dyDescent="0.2">
      <c r="A3177" t="s">
        <v>2063</v>
      </c>
    </row>
    <row r="3178" spans="1:1" x14ac:dyDescent="0.2">
      <c r="A3178" t="s">
        <v>2155</v>
      </c>
    </row>
    <row r="3179" spans="1:1" x14ac:dyDescent="0.2">
      <c r="A3179" t="s">
        <v>2156</v>
      </c>
    </row>
    <row r="3180" spans="1:1" x14ac:dyDescent="0.2">
      <c r="A3180" t="s">
        <v>2066</v>
      </c>
    </row>
    <row r="3181" spans="1:1" x14ac:dyDescent="0.2">
      <c r="A3181" t="s">
        <v>2157</v>
      </c>
    </row>
    <row r="3182" spans="1:1" x14ac:dyDescent="0.2">
      <c r="A3182" t="s">
        <v>2068</v>
      </c>
    </row>
    <row r="3183" spans="1:1" x14ac:dyDescent="0.2">
      <c r="A3183" t="s">
        <v>2069</v>
      </c>
    </row>
    <row r="3184" spans="1:1" x14ac:dyDescent="0.2">
      <c r="A3184" t="s">
        <v>2070</v>
      </c>
    </row>
    <row r="3185" spans="1:1" x14ac:dyDescent="0.2">
      <c r="A3185" t="s">
        <v>2071</v>
      </c>
    </row>
    <row r="3186" spans="1:1" x14ac:dyDescent="0.2">
      <c r="A3186" t="s">
        <v>2072</v>
      </c>
    </row>
    <row r="3187" spans="1:1" x14ac:dyDescent="0.2">
      <c r="A3187" t="s">
        <v>2073</v>
      </c>
    </row>
    <row r="3188" spans="1:1" x14ac:dyDescent="0.2">
      <c r="A3188" t="s">
        <v>2074</v>
      </c>
    </row>
    <row r="3189" spans="1:1" x14ac:dyDescent="0.2">
      <c r="A3189" t="s">
        <v>2158</v>
      </c>
    </row>
    <row r="3190" spans="1:1" x14ac:dyDescent="0.2">
      <c r="A3190" t="s">
        <v>2076</v>
      </c>
    </row>
    <row r="3191" spans="1:1" x14ac:dyDescent="0.2">
      <c r="A3191" t="s">
        <v>2077</v>
      </c>
    </row>
    <row r="3192" spans="1:1" x14ac:dyDescent="0.2">
      <c r="A3192" t="s">
        <v>2078</v>
      </c>
    </row>
    <row r="3193" spans="1:1" x14ac:dyDescent="0.2">
      <c r="A3193" t="s">
        <v>2159</v>
      </c>
    </row>
    <row r="3194" spans="1:1" x14ac:dyDescent="0.2">
      <c r="A3194" t="s">
        <v>2160</v>
      </c>
    </row>
    <row r="3195" spans="1:1" x14ac:dyDescent="0.2">
      <c r="A3195" t="s">
        <v>2161</v>
      </c>
    </row>
    <row r="3196" spans="1:1" x14ac:dyDescent="0.2">
      <c r="A3196" t="s">
        <v>2162</v>
      </c>
    </row>
    <row r="3197" spans="1:1" x14ac:dyDescent="0.2">
      <c r="A3197" t="s">
        <v>2163</v>
      </c>
    </row>
    <row r="3198" spans="1:1" x14ac:dyDescent="0.2">
      <c r="A3198" t="s">
        <v>2164</v>
      </c>
    </row>
    <row r="3199" spans="1:1" x14ac:dyDescent="0.2">
      <c r="A3199" t="s">
        <v>2165</v>
      </c>
    </row>
    <row r="3200" spans="1:1" x14ac:dyDescent="0.2">
      <c r="A3200" t="s">
        <v>2166</v>
      </c>
    </row>
    <row r="3201" spans="1:1" x14ac:dyDescent="0.2">
      <c r="A3201" t="s">
        <v>2167</v>
      </c>
    </row>
    <row r="3202" spans="1:1" x14ac:dyDescent="0.2">
      <c r="A3202" t="s">
        <v>2168</v>
      </c>
    </row>
    <row r="3203" spans="1:1" x14ac:dyDescent="0.2">
      <c r="A3203" t="s">
        <v>2169</v>
      </c>
    </row>
    <row r="3204" spans="1:1" x14ac:dyDescent="0.2">
      <c r="A3204" t="s">
        <v>2170</v>
      </c>
    </row>
    <row r="3205" spans="1:1" x14ac:dyDescent="0.2">
      <c r="A3205" t="s">
        <v>2171</v>
      </c>
    </row>
    <row r="3206" spans="1:1" x14ac:dyDescent="0.2">
      <c r="A3206" t="s">
        <v>2172</v>
      </c>
    </row>
    <row r="3207" spans="1:1" x14ac:dyDescent="0.2">
      <c r="A3207" t="s">
        <v>2173</v>
      </c>
    </row>
    <row r="3208" spans="1:1" x14ac:dyDescent="0.2">
      <c r="A3208" t="s">
        <v>2110</v>
      </c>
    </row>
    <row r="3209" spans="1:1" x14ac:dyDescent="0.2">
      <c r="A3209" t="s">
        <v>2111</v>
      </c>
    </row>
    <row r="3210" spans="1:1" x14ac:dyDescent="0.2">
      <c r="A3210" t="s">
        <v>2174</v>
      </c>
    </row>
    <row r="3211" spans="1:1" x14ac:dyDescent="0.2">
      <c r="A3211" t="s">
        <v>2062</v>
      </c>
    </row>
    <row r="3212" spans="1:1" x14ac:dyDescent="0.2">
      <c r="A3212" t="s">
        <v>2175</v>
      </c>
    </row>
    <row r="3213" spans="1:1" x14ac:dyDescent="0.2">
      <c r="A3213" t="s">
        <v>2176</v>
      </c>
    </row>
    <row r="3214" spans="1:1" x14ac:dyDescent="0.2">
      <c r="A3214" t="s">
        <v>2156</v>
      </c>
    </row>
    <row r="3215" spans="1:1" x14ac:dyDescent="0.2">
      <c r="A3215" t="s">
        <v>2101</v>
      </c>
    </row>
    <row r="3216" spans="1:1" x14ac:dyDescent="0.2">
      <c r="A3216" t="s">
        <v>2067</v>
      </c>
    </row>
    <row r="3217" spans="1:1" x14ac:dyDescent="0.2">
      <c r="A3217" t="s">
        <v>2068</v>
      </c>
    </row>
    <row r="3218" spans="1:1" x14ac:dyDescent="0.2">
      <c r="A3218" t="s">
        <v>2069</v>
      </c>
    </row>
    <row r="3219" spans="1:1" x14ac:dyDescent="0.2">
      <c r="A3219" t="s">
        <v>2070</v>
      </c>
    </row>
    <row r="3220" spans="1:1" x14ac:dyDescent="0.2">
      <c r="A3220" t="s">
        <v>2071</v>
      </c>
    </row>
    <row r="3221" spans="1:1" x14ac:dyDescent="0.2">
      <c r="A3221" t="s">
        <v>2072</v>
      </c>
    </row>
    <row r="3222" spans="1:1" x14ac:dyDescent="0.2">
      <c r="A3222" t="s">
        <v>2073</v>
      </c>
    </row>
    <row r="3223" spans="1:1" x14ac:dyDescent="0.2">
      <c r="A3223" t="s">
        <v>2074</v>
      </c>
    </row>
    <row r="3224" spans="1:1" x14ac:dyDescent="0.2">
      <c r="A3224" t="s">
        <v>2177</v>
      </c>
    </row>
    <row r="3225" spans="1:1" x14ac:dyDescent="0.2">
      <c r="A3225" t="s">
        <v>2076</v>
      </c>
    </row>
    <row r="3226" spans="1:1" x14ac:dyDescent="0.2">
      <c r="A3226" t="s">
        <v>2077</v>
      </c>
    </row>
    <row r="3227" spans="1:1" x14ac:dyDescent="0.2">
      <c r="A3227" t="s">
        <v>2078</v>
      </c>
    </row>
    <row r="3228" spans="1:1" x14ac:dyDescent="0.2">
      <c r="A3228" t="s">
        <v>2178</v>
      </c>
    </row>
    <row r="3229" spans="1:1" x14ac:dyDescent="0.2">
      <c r="A3229" t="s">
        <v>2179</v>
      </c>
    </row>
    <row r="3230" spans="1:1" x14ac:dyDescent="0.2">
      <c r="A3230" t="s">
        <v>2180</v>
      </c>
    </row>
    <row r="3231" spans="1:1" x14ac:dyDescent="0.2">
      <c r="A3231" t="s">
        <v>2181</v>
      </c>
    </row>
    <row r="3232" spans="1:1" x14ac:dyDescent="0.2">
      <c r="A3232" t="s">
        <v>2182</v>
      </c>
    </row>
    <row r="3233" spans="1:1" x14ac:dyDescent="0.2">
      <c r="A3233" t="s">
        <v>2183</v>
      </c>
    </row>
    <row r="3234" spans="1:1" x14ac:dyDescent="0.2">
      <c r="A3234" t="s">
        <v>2184</v>
      </c>
    </row>
    <row r="3235" spans="1:1" x14ac:dyDescent="0.2">
      <c r="A3235" t="s">
        <v>2185</v>
      </c>
    </row>
    <row r="3236" spans="1:1" x14ac:dyDescent="0.2">
      <c r="A3236" t="s">
        <v>2186</v>
      </c>
    </row>
    <row r="3237" spans="1:1" x14ac:dyDescent="0.2">
      <c r="A3237" t="s">
        <v>2187</v>
      </c>
    </row>
    <row r="3238" spans="1:1" x14ac:dyDescent="0.2">
      <c r="A3238" t="s">
        <v>2188</v>
      </c>
    </row>
    <row r="3239" spans="1:1" x14ac:dyDescent="0.2">
      <c r="A3239" t="s">
        <v>2189</v>
      </c>
    </row>
    <row r="3240" spans="1:1" x14ac:dyDescent="0.2">
      <c r="A3240" t="s">
        <v>2190</v>
      </c>
    </row>
    <row r="3241" spans="1:1" x14ac:dyDescent="0.2">
      <c r="A3241" t="s">
        <v>2191</v>
      </c>
    </row>
    <row r="3242" spans="1:1" x14ac:dyDescent="0.2">
      <c r="A3242" t="s">
        <v>2192</v>
      </c>
    </row>
    <row r="3243" spans="1:1" x14ac:dyDescent="0.2">
      <c r="A3243" t="s">
        <v>2110</v>
      </c>
    </row>
    <row r="3244" spans="1:1" x14ac:dyDescent="0.2">
      <c r="A3244" t="s">
        <v>2111</v>
      </c>
    </row>
    <row r="3245" spans="1:1" x14ac:dyDescent="0.2">
      <c r="A3245" t="s">
        <v>2193</v>
      </c>
    </row>
    <row r="3246" spans="1:1" x14ac:dyDescent="0.2">
      <c r="A3246" t="s">
        <v>2062</v>
      </c>
    </row>
    <row r="3247" spans="1:1" x14ac:dyDescent="0.2">
      <c r="A3247" t="s">
        <v>2063</v>
      </c>
    </row>
    <row r="3248" spans="1:1" x14ac:dyDescent="0.2">
      <c r="A3248" t="s">
        <v>2064</v>
      </c>
    </row>
    <row r="3249" spans="1:1" x14ac:dyDescent="0.2">
      <c r="A3249" t="s">
        <v>2065</v>
      </c>
    </row>
    <row r="3250" spans="1:1" x14ac:dyDescent="0.2">
      <c r="A3250" t="s">
        <v>2066</v>
      </c>
    </row>
    <row r="3251" spans="1:1" x14ac:dyDescent="0.2">
      <c r="A3251" t="s">
        <v>2067</v>
      </c>
    </row>
    <row r="3252" spans="1:1" x14ac:dyDescent="0.2">
      <c r="A3252" t="s">
        <v>2068</v>
      </c>
    </row>
    <row r="3253" spans="1:1" x14ac:dyDescent="0.2">
      <c r="A3253" t="s">
        <v>2069</v>
      </c>
    </row>
    <row r="3254" spans="1:1" x14ac:dyDescent="0.2">
      <c r="A3254" t="s">
        <v>2070</v>
      </c>
    </row>
    <row r="3255" spans="1:1" x14ac:dyDescent="0.2">
      <c r="A3255" t="s">
        <v>2071</v>
      </c>
    </row>
    <row r="3256" spans="1:1" x14ac:dyDescent="0.2">
      <c r="A3256" t="s">
        <v>2072</v>
      </c>
    </row>
    <row r="3257" spans="1:1" x14ac:dyDescent="0.2">
      <c r="A3257" t="s">
        <v>2073</v>
      </c>
    </row>
    <row r="3258" spans="1:1" x14ac:dyDescent="0.2">
      <c r="A3258" t="s">
        <v>2074</v>
      </c>
    </row>
    <row r="3259" spans="1:1" x14ac:dyDescent="0.2">
      <c r="A3259" t="s">
        <v>2075</v>
      </c>
    </row>
    <row r="3260" spans="1:1" x14ac:dyDescent="0.2">
      <c r="A3260" t="s">
        <v>2076</v>
      </c>
    </row>
    <row r="3261" spans="1:1" x14ac:dyDescent="0.2">
      <c r="A3261" t="s">
        <v>2077</v>
      </c>
    </row>
    <row r="3262" spans="1:1" x14ac:dyDescent="0.2">
      <c r="A3262" t="s">
        <v>2078</v>
      </c>
    </row>
    <row r="3263" spans="1:1" x14ac:dyDescent="0.2">
      <c r="A3263" t="s">
        <v>2079</v>
      </c>
    </row>
    <row r="3264" spans="1:1" x14ac:dyDescent="0.2">
      <c r="A3264" t="s">
        <v>2080</v>
      </c>
    </row>
    <row r="3265" spans="1:1" x14ac:dyDescent="0.2">
      <c r="A3265" t="s">
        <v>2081</v>
      </c>
    </row>
    <row r="3266" spans="1:1" x14ac:dyDescent="0.2">
      <c r="A3266" t="s">
        <v>2082</v>
      </c>
    </row>
    <row r="3267" spans="1:1" x14ac:dyDescent="0.2">
      <c r="A3267" t="s">
        <v>2083</v>
      </c>
    </row>
    <row r="3268" spans="1:1" x14ac:dyDescent="0.2">
      <c r="A3268" t="s">
        <v>2084</v>
      </c>
    </row>
    <row r="3269" spans="1:1" x14ac:dyDescent="0.2">
      <c r="A3269" t="s">
        <v>2085</v>
      </c>
    </row>
    <row r="3270" spans="1:1" x14ac:dyDescent="0.2">
      <c r="A3270" t="s">
        <v>2086</v>
      </c>
    </row>
    <row r="3271" spans="1:1" x14ac:dyDescent="0.2">
      <c r="A3271" t="s">
        <v>2087</v>
      </c>
    </row>
    <row r="3272" spans="1:1" x14ac:dyDescent="0.2">
      <c r="A3272" t="s">
        <v>2088</v>
      </c>
    </row>
    <row r="3273" spans="1:1" x14ac:dyDescent="0.2">
      <c r="A3273" t="s">
        <v>2089</v>
      </c>
    </row>
    <row r="3274" spans="1:1" x14ac:dyDescent="0.2">
      <c r="A3274" t="s">
        <v>2090</v>
      </c>
    </row>
    <row r="3275" spans="1:1" x14ac:dyDescent="0.2">
      <c r="A3275" t="s">
        <v>2091</v>
      </c>
    </row>
    <row r="3276" spans="1:1" x14ac:dyDescent="0.2">
      <c r="A3276" t="s">
        <v>2092</v>
      </c>
    </row>
    <row r="3277" spans="1:1" x14ac:dyDescent="0.2">
      <c r="A3277" t="s">
        <v>2093</v>
      </c>
    </row>
    <row r="3278" spans="1:1" x14ac:dyDescent="0.2">
      <c r="A3278" t="s">
        <v>2094</v>
      </c>
    </row>
    <row r="3279" spans="1:1" x14ac:dyDescent="0.2">
      <c r="A3279" t="s">
        <v>2095</v>
      </c>
    </row>
    <row r="3280" spans="1:1" x14ac:dyDescent="0.2">
      <c r="A3280" t="s">
        <v>2194</v>
      </c>
    </row>
    <row r="3281" spans="1:1" x14ac:dyDescent="0.2">
      <c r="A3281" t="s">
        <v>2062</v>
      </c>
    </row>
    <row r="3282" spans="1:1" x14ac:dyDescent="0.2">
      <c r="A3282" t="s">
        <v>2175</v>
      </c>
    </row>
    <row r="3283" spans="1:1" x14ac:dyDescent="0.2">
      <c r="A3283" t="s">
        <v>2195</v>
      </c>
    </row>
    <row r="3284" spans="1:1" x14ac:dyDescent="0.2">
      <c r="A3284" t="s">
        <v>2156</v>
      </c>
    </row>
    <row r="3285" spans="1:1" x14ac:dyDescent="0.2">
      <c r="A3285" t="s">
        <v>2101</v>
      </c>
    </row>
    <row r="3286" spans="1:1" x14ac:dyDescent="0.2">
      <c r="A3286" t="s">
        <v>2067</v>
      </c>
    </row>
    <row r="3287" spans="1:1" x14ac:dyDescent="0.2">
      <c r="A3287" t="s">
        <v>2068</v>
      </c>
    </row>
    <row r="3288" spans="1:1" x14ac:dyDescent="0.2">
      <c r="A3288" t="s">
        <v>2113</v>
      </c>
    </row>
    <row r="3289" spans="1:1" x14ac:dyDescent="0.2">
      <c r="A3289" t="s">
        <v>2196</v>
      </c>
    </row>
    <row r="3290" spans="1:1" x14ac:dyDescent="0.2">
      <c r="A3290" t="s">
        <v>2197</v>
      </c>
    </row>
    <row r="3291" spans="1:1" x14ac:dyDescent="0.2">
      <c r="A3291" t="s">
        <v>2072</v>
      </c>
    </row>
    <row r="3292" spans="1:1" x14ac:dyDescent="0.2">
      <c r="A3292" t="s">
        <v>2073</v>
      </c>
    </row>
    <row r="3293" spans="1:1" x14ac:dyDescent="0.2">
      <c r="A3293" t="s">
        <v>2074</v>
      </c>
    </row>
    <row r="3294" spans="1:1" x14ac:dyDescent="0.2">
      <c r="A3294" t="s">
        <v>2198</v>
      </c>
    </row>
    <row r="3295" spans="1:1" x14ac:dyDescent="0.2">
      <c r="A3295" t="s">
        <v>2076</v>
      </c>
    </row>
    <row r="3296" spans="1:1" x14ac:dyDescent="0.2">
      <c r="A3296" t="s">
        <v>2077</v>
      </c>
    </row>
    <row r="3297" spans="1:1" x14ac:dyDescent="0.2">
      <c r="A3297" t="s">
        <v>2078</v>
      </c>
    </row>
    <row r="3298" spans="1:1" x14ac:dyDescent="0.2">
      <c r="A3298" t="s">
        <v>2199</v>
      </c>
    </row>
    <row r="3299" spans="1:1" x14ac:dyDescent="0.2">
      <c r="A3299" t="s">
        <v>2200</v>
      </c>
    </row>
    <row r="3300" spans="1:1" x14ac:dyDescent="0.2">
      <c r="A3300" t="s">
        <v>2201</v>
      </c>
    </row>
    <row r="3301" spans="1:1" x14ac:dyDescent="0.2">
      <c r="A3301" t="s">
        <v>2202</v>
      </c>
    </row>
    <row r="3302" spans="1:1" x14ac:dyDescent="0.2">
      <c r="A3302" t="s">
        <v>2203</v>
      </c>
    </row>
    <row r="3303" spans="1:1" x14ac:dyDescent="0.2">
      <c r="A3303" t="s">
        <v>2204</v>
      </c>
    </row>
    <row r="3304" spans="1:1" x14ac:dyDescent="0.2">
      <c r="A3304" t="s">
        <v>2205</v>
      </c>
    </row>
    <row r="3305" spans="1:1" x14ac:dyDescent="0.2">
      <c r="A3305" t="s">
        <v>2206</v>
      </c>
    </row>
    <row r="3306" spans="1:1" x14ac:dyDescent="0.2">
      <c r="A3306" t="s">
        <v>2207</v>
      </c>
    </row>
    <row r="3307" spans="1:1" x14ac:dyDescent="0.2">
      <c r="A3307" t="s">
        <v>2208</v>
      </c>
    </row>
    <row r="3308" spans="1:1" x14ac:dyDescent="0.2">
      <c r="A3308" t="s">
        <v>2209</v>
      </c>
    </row>
    <row r="3309" spans="1:1" x14ac:dyDescent="0.2">
      <c r="A3309" t="s">
        <v>2210</v>
      </c>
    </row>
    <row r="3310" spans="1:1" x14ac:dyDescent="0.2">
      <c r="A3310" t="s">
        <v>2211</v>
      </c>
    </row>
    <row r="3311" spans="1:1" x14ac:dyDescent="0.2">
      <c r="A3311" t="s">
        <v>2212</v>
      </c>
    </row>
    <row r="3312" spans="1:1" x14ac:dyDescent="0.2">
      <c r="A3312" t="s">
        <v>2213</v>
      </c>
    </row>
    <row r="3313" spans="1:1" x14ac:dyDescent="0.2">
      <c r="A3313" t="s">
        <v>2214</v>
      </c>
    </row>
    <row r="3314" spans="1:1" x14ac:dyDescent="0.2">
      <c r="A3314" t="s">
        <v>2215</v>
      </c>
    </row>
    <row r="3315" spans="1:1" x14ac:dyDescent="0.2">
      <c r="A3315" t="s">
        <v>2216</v>
      </c>
    </row>
    <row r="3316" spans="1:1" x14ac:dyDescent="0.2">
      <c r="A3316" t="s">
        <v>2062</v>
      </c>
    </row>
    <row r="3317" spans="1:1" x14ac:dyDescent="0.2">
      <c r="A3317" t="s">
        <v>2063</v>
      </c>
    </row>
    <row r="3318" spans="1:1" x14ac:dyDescent="0.2">
      <c r="A3318" t="s">
        <v>2064</v>
      </c>
    </row>
    <row r="3319" spans="1:1" x14ac:dyDescent="0.2">
      <c r="A3319" t="s">
        <v>2065</v>
      </c>
    </row>
    <row r="3320" spans="1:1" x14ac:dyDescent="0.2">
      <c r="A3320" t="s">
        <v>2066</v>
      </c>
    </row>
    <row r="3321" spans="1:1" x14ac:dyDescent="0.2">
      <c r="A3321" t="s">
        <v>2067</v>
      </c>
    </row>
    <row r="3322" spans="1:1" x14ac:dyDescent="0.2">
      <c r="A3322" t="s">
        <v>2068</v>
      </c>
    </row>
    <row r="3323" spans="1:1" x14ac:dyDescent="0.2">
      <c r="A3323" t="s">
        <v>2069</v>
      </c>
    </row>
    <row r="3324" spans="1:1" x14ac:dyDescent="0.2">
      <c r="A3324" t="s">
        <v>2070</v>
      </c>
    </row>
    <row r="3325" spans="1:1" x14ac:dyDescent="0.2">
      <c r="A3325" t="s">
        <v>2071</v>
      </c>
    </row>
    <row r="3326" spans="1:1" x14ac:dyDescent="0.2">
      <c r="A3326" t="s">
        <v>2072</v>
      </c>
    </row>
    <row r="3327" spans="1:1" x14ac:dyDescent="0.2">
      <c r="A3327" t="s">
        <v>2073</v>
      </c>
    </row>
    <row r="3328" spans="1:1" x14ac:dyDescent="0.2">
      <c r="A3328" t="s">
        <v>2074</v>
      </c>
    </row>
    <row r="3329" spans="1:1" x14ac:dyDescent="0.2">
      <c r="A3329" t="s">
        <v>2075</v>
      </c>
    </row>
    <row r="3330" spans="1:1" x14ac:dyDescent="0.2">
      <c r="A3330" t="s">
        <v>2076</v>
      </c>
    </row>
    <row r="3331" spans="1:1" x14ac:dyDescent="0.2">
      <c r="A3331" t="s">
        <v>2077</v>
      </c>
    </row>
    <row r="3332" spans="1:1" x14ac:dyDescent="0.2">
      <c r="A3332" t="s">
        <v>2078</v>
      </c>
    </row>
    <row r="3333" spans="1:1" x14ac:dyDescent="0.2">
      <c r="A3333" t="s">
        <v>2079</v>
      </c>
    </row>
    <row r="3334" spans="1:1" x14ac:dyDescent="0.2">
      <c r="A3334" t="s">
        <v>2080</v>
      </c>
    </row>
    <row r="3335" spans="1:1" x14ac:dyDescent="0.2">
      <c r="A3335" t="s">
        <v>2081</v>
      </c>
    </row>
    <row r="3336" spans="1:1" x14ac:dyDescent="0.2">
      <c r="A3336" t="s">
        <v>2082</v>
      </c>
    </row>
    <row r="3337" spans="1:1" x14ac:dyDescent="0.2">
      <c r="A3337" t="s">
        <v>2083</v>
      </c>
    </row>
    <row r="3338" spans="1:1" x14ac:dyDescent="0.2">
      <c r="A3338" t="s">
        <v>2084</v>
      </c>
    </row>
    <row r="3339" spans="1:1" x14ac:dyDescent="0.2">
      <c r="A3339" t="s">
        <v>2085</v>
      </c>
    </row>
    <row r="3340" spans="1:1" x14ac:dyDescent="0.2">
      <c r="A3340" t="s">
        <v>2086</v>
      </c>
    </row>
    <row r="3341" spans="1:1" x14ac:dyDescent="0.2">
      <c r="A3341" t="s">
        <v>2087</v>
      </c>
    </row>
    <row r="3342" spans="1:1" x14ac:dyDescent="0.2">
      <c r="A3342" t="s">
        <v>2088</v>
      </c>
    </row>
    <row r="3343" spans="1:1" x14ac:dyDescent="0.2">
      <c r="A3343" t="s">
        <v>2089</v>
      </c>
    </row>
    <row r="3344" spans="1:1" x14ac:dyDescent="0.2">
      <c r="A3344" t="s">
        <v>2090</v>
      </c>
    </row>
    <row r="3345" spans="1:1" x14ac:dyDescent="0.2">
      <c r="A3345" t="s">
        <v>2091</v>
      </c>
    </row>
    <row r="3346" spans="1:1" x14ac:dyDescent="0.2">
      <c r="A3346" t="s">
        <v>2092</v>
      </c>
    </row>
    <row r="3347" spans="1:1" x14ac:dyDescent="0.2">
      <c r="A3347" t="s">
        <v>2093</v>
      </c>
    </row>
    <row r="3348" spans="1:1" x14ac:dyDescent="0.2">
      <c r="A3348" t="s">
        <v>2094</v>
      </c>
    </row>
    <row r="3349" spans="1:1" x14ac:dyDescent="0.2">
      <c r="A3349" t="s">
        <v>2095</v>
      </c>
    </row>
    <row r="3350" spans="1:1" x14ac:dyDescent="0.2">
      <c r="A3350" t="s">
        <v>2217</v>
      </c>
    </row>
    <row r="3351" spans="1:1" x14ac:dyDescent="0.2">
      <c r="A3351" t="s">
        <v>2062</v>
      </c>
    </row>
    <row r="3352" spans="1:1" x14ac:dyDescent="0.2">
      <c r="A3352" t="s">
        <v>2098</v>
      </c>
    </row>
    <row r="3353" spans="1:1" x14ac:dyDescent="0.2">
      <c r="A3353" t="s">
        <v>2218</v>
      </c>
    </row>
    <row r="3354" spans="1:1" x14ac:dyDescent="0.2">
      <c r="A3354" t="s">
        <v>2100</v>
      </c>
    </row>
    <row r="3355" spans="1:1" x14ac:dyDescent="0.2">
      <c r="A3355" t="s">
        <v>2219</v>
      </c>
    </row>
    <row r="3356" spans="1:1" x14ac:dyDescent="0.2">
      <c r="A3356" t="s">
        <v>2067</v>
      </c>
    </row>
    <row r="3357" spans="1:1" x14ac:dyDescent="0.2">
      <c r="A3357" t="s">
        <v>2220</v>
      </c>
    </row>
    <row r="3358" spans="1:1" x14ac:dyDescent="0.2">
      <c r="A3358" t="s">
        <v>2103</v>
      </c>
    </row>
    <row r="3359" spans="1:1" x14ac:dyDescent="0.2">
      <c r="A3359" t="s">
        <v>2196</v>
      </c>
    </row>
    <row r="3360" spans="1:1" x14ac:dyDescent="0.2">
      <c r="A3360" t="s">
        <v>2105</v>
      </c>
    </row>
    <row r="3361" spans="1:1" x14ac:dyDescent="0.2">
      <c r="A3361" t="s">
        <v>2221</v>
      </c>
    </row>
    <row r="3362" spans="1:1" x14ac:dyDescent="0.2">
      <c r="A3362" t="s">
        <v>2073</v>
      </c>
    </row>
    <row r="3363" spans="1:1" x14ac:dyDescent="0.2">
      <c r="A3363" t="s">
        <v>2074</v>
      </c>
    </row>
    <row r="3364" spans="1:1" x14ac:dyDescent="0.2">
      <c r="A3364" t="s">
        <v>2222</v>
      </c>
    </row>
    <row r="3365" spans="1:1" x14ac:dyDescent="0.2">
      <c r="A3365" t="s">
        <v>2223</v>
      </c>
    </row>
    <row r="3366" spans="1:1" x14ac:dyDescent="0.2">
      <c r="A3366" t="s">
        <v>2224</v>
      </c>
    </row>
    <row r="3367" spans="1:1" x14ac:dyDescent="0.2">
      <c r="A3367" t="s">
        <v>2078</v>
      </c>
    </row>
    <row r="3368" spans="1:1" x14ac:dyDescent="0.2">
      <c r="A3368" t="s">
        <v>2225</v>
      </c>
    </row>
    <row r="3369" spans="1:1" x14ac:dyDescent="0.2">
      <c r="A3369" t="s">
        <v>2226</v>
      </c>
    </row>
    <row r="3370" spans="1:1" x14ac:dyDescent="0.2">
      <c r="A3370" t="s">
        <v>2227</v>
      </c>
    </row>
    <row r="3371" spans="1:1" x14ac:dyDescent="0.2">
      <c r="A3371" t="s">
        <v>2228</v>
      </c>
    </row>
    <row r="3372" spans="1:1" x14ac:dyDescent="0.2">
      <c r="A3372" t="s">
        <v>2229</v>
      </c>
    </row>
    <row r="3373" spans="1:1" x14ac:dyDescent="0.2">
      <c r="A3373" t="s">
        <v>2230</v>
      </c>
    </row>
    <row r="3374" spans="1:1" x14ac:dyDescent="0.2">
      <c r="A3374" t="s">
        <v>2231</v>
      </c>
    </row>
    <row r="3375" spans="1:1" x14ac:dyDescent="0.2">
      <c r="A3375" t="s">
        <v>2232</v>
      </c>
    </row>
    <row r="3376" spans="1:1" x14ac:dyDescent="0.2">
      <c r="A3376" t="s">
        <v>2233</v>
      </c>
    </row>
    <row r="3377" spans="1:1" x14ac:dyDescent="0.2">
      <c r="A3377" t="s">
        <v>2234</v>
      </c>
    </row>
    <row r="3378" spans="1:1" x14ac:dyDescent="0.2">
      <c r="A3378" t="s">
        <v>2235</v>
      </c>
    </row>
    <row r="3379" spans="1:1" x14ac:dyDescent="0.2">
      <c r="A3379" t="s">
        <v>2236</v>
      </c>
    </row>
    <row r="3380" spans="1:1" x14ac:dyDescent="0.2">
      <c r="A3380" t="s">
        <v>2237</v>
      </c>
    </row>
    <row r="3381" spans="1:1" x14ac:dyDescent="0.2">
      <c r="A3381" t="s">
        <v>2238</v>
      </c>
    </row>
    <row r="3382" spans="1:1" x14ac:dyDescent="0.2">
      <c r="A3382" t="s">
        <v>2239</v>
      </c>
    </row>
    <row r="3383" spans="1:1" x14ac:dyDescent="0.2">
      <c r="A3383" t="s">
        <v>2240</v>
      </c>
    </row>
    <row r="3384" spans="1:1" x14ac:dyDescent="0.2">
      <c r="A3384" t="s">
        <v>2241</v>
      </c>
    </row>
    <row r="3385" spans="1:1" x14ac:dyDescent="0.2">
      <c r="A3385" t="s">
        <v>2242</v>
      </c>
    </row>
    <row r="3386" spans="1:1" x14ac:dyDescent="0.2">
      <c r="A3386" t="s">
        <v>2062</v>
      </c>
    </row>
    <row r="3387" spans="1:1" x14ac:dyDescent="0.2">
      <c r="A3387" t="s">
        <v>2098</v>
      </c>
    </row>
    <row r="3388" spans="1:1" x14ac:dyDescent="0.2">
      <c r="A3388" t="s">
        <v>2218</v>
      </c>
    </row>
    <row r="3389" spans="1:1" x14ac:dyDescent="0.2">
      <c r="A3389" t="s">
        <v>2100</v>
      </c>
    </row>
    <row r="3390" spans="1:1" x14ac:dyDescent="0.2">
      <c r="A3390" t="s">
        <v>2219</v>
      </c>
    </row>
    <row r="3391" spans="1:1" x14ac:dyDescent="0.2">
      <c r="A3391" t="s">
        <v>2067</v>
      </c>
    </row>
    <row r="3392" spans="1:1" x14ac:dyDescent="0.2">
      <c r="A3392" t="s">
        <v>2220</v>
      </c>
    </row>
    <row r="3393" spans="1:1" x14ac:dyDescent="0.2">
      <c r="A3393" t="s">
        <v>2113</v>
      </c>
    </row>
    <row r="3394" spans="1:1" x14ac:dyDescent="0.2">
      <c r="A3394" t="s">
        <v>2196</v>
      </c>
    </row>
    <row r="3395" spans="1:1" x14ac:dyDescent="0.2">
      <c r="A3395" t="s">
        <v>2105</v>
      </c>
    </row>
    <row r="3396" spans="1:1" x14ac:dyDescent="0.2">
      <c r="A3396" t="s">
        <v>2221</v>
      </c>
    </row>
    <row r="3397" spans="1:1" x14ac:dyDescent="0.2">
      <c r="A3397" t="s">
        <v>2073</v>
      </c>
    </row>
    <row r="3398" spans="1:1" x14ac:dyDescent="0.2">
      <c r="A3398" t="s">
        <v>2074</v>
      </c>
    </row>
    <row r="3399" spans="1:1" x14ac:dyDescent="0.2">
      <c r="A3399" t="s">
        <v>2222</v>
      </c>
    </row>
    <row r="3400" spans="1:1" x14ac:dyDescent="0.2">
      <c r="A3400" t="s">
        <v>2223</v>
      </c>
    </row>
    <row r="3401" spans="1:1" x14ac:dyDescent="0.2">
      <c r="A3401" t="s">
        <v>2224</v>
      </c>
    </row>
    <row r="3402" spans="1:1" x14ac:dyDescent="0.2">
      <c r="A3402" t="s">
        <v>2078</v>
      </c>
    </row>
    <row r="3403" spans="1:1" x14ac:dyDescent="0.2">
      <c r="A3403" t="s">
        <v>2225</v>
      </c>
    </row>
    <row r="3404" spans="1:1" x14ac:dyDescent="0.2">
      <c r="A3404" t="s">
        <v>2226</v>
      </c>
    </row>
    <row r="3405" spans="1:1" x14ac:dyDescent="0.2">
      <c r="A3405" t="s">
        <v>2227</v>
      </c>
    </row>
    <row r="3406" spans="1:1" x14ac:dyDescent="0.2">
      <c r="A3406" t="s">
        <v>2228</v>
      </c>
    </row>
    <row r="3407" spans="1:1" x14ac:dyDescent="0.2">
      <c r="A3407" t="s">
        <v>2229</v>
      </c>
    </row>
    <row r="3408" spans="1:1" x14ac:dyDescent="0.2">
      <c r="A3408" t="s">
        <v>2230</v>
      </c>
    </row>
    <row r="3409" spans="1:1" x14ac:dyDescent="0.2">
      <c r="A3409" t="s">
        <v>2231</v>
      </c>
    </row>
    <row r="3410" spans="1:1" x14ac:dyDescent="0.2">
      <c r="A3410" t="s">
        <v>2232</v>
      </c>
    </row>
    <row r="3411" spans="1:1" x14ac:dyDescent="0.2">
      <c r="A3411" t="s">
        <v>2233</v>
      </c>
    </row>
    <row r="3412" spans="1:1" x14ac:dyDescent="0.2">
      <c r="A3412" t="s">
        <v>2234</v>
      </c>
    </row>
    <row r="3413" spans="1:1" x14ac:dyDescent="0.2">
      <c r="A3413" t="s">
        <v>2235</v>
      </c>
    </row>
    <row r="3414" spans="1:1" x14ac:dyDescent="0.2">
      <c r="A3414" t="s">
        <v>2236</v>
      </c>
    </row>
    <row r="3415" spans="1:1" x14ac:dyDescent="0.2">
      <c r="A3415" t="s">
        <v>2237</v>
      </c>
    </row>
    <row r="3416" spans="1:1" x14ac:dyDescent="0.2">
      <c r="A3416" t="s">
        <v>2238</v>
      </c>
    </row>
    <row r="3417" spans="1:1" x14ac:dyDescent="0.2">
      <c r="A3417" t="s">
        <v>2239</v>
      </c>
    </row>
    <row r="3418" spans="1:1" x14ac:dyDescent="0.2">
      <c r="A3418" t="s">
        <v>2240</v>
      </c>
    </row>
    <row r="3419" spans="1:1" x14ac:dyDescent="0.2">
      <c r="A3419" t="s">
        <v>2241</v>
      </c>
    </row>
    <row r="3420" spans="1:1" x14ac:dyDescent="0.2">
      <c r="A3420" t="s">
        <v>2243</v>
      </c>
    </row>
    <row r="3421" spans="1:1" x14ac:dyDescent="0.2">
      <c r="A3421" t="s">
        <v>2062</v>
      </c>
    </row>
    <row r="3422" spans="1:1" x14ac:dyDescent="0.2">
      <c r="A3422" t="s">
        <v>2098</v>
      </c>
    </row>
    <row r="3423" spans="1:1" x14ac:dyDescent="0.2">
      <c r="A3423" t="s">
        <v>2218</v>
      </c>
    </row>
    <row r="3424" spans="1:1" x14ac:dyDescent="0.2">
      <c r="A3424" t="s">
        <v>2100</v>
      </c>
    </row>
    <row r="3425" spans="1:1" x14ac:dyDescent="0.2">
      <c r="A3425" t="s">
        <v>2219</v>
      </c>
    </row>
    <row r="3426" spans="1:1" x14ac:dyDescent="0.2">
      <c r="A3426" t="s">
        <v>2067</v>
      </c>
    </row>
    <row r="3427" spans="1:1" x14ac:dyDescent="0.2">
      <c r="A3427" t="s">
        <v>2220</v>
      </c>
    </row>
    <row r="3428" spans="1:1" x14ac:dyDescent="0.2">
      <c r="A3428" t="s">
        <v>2069</v>
      </c>
    </row>
    <row r="3429" spans="1:1" x14ac:dyDescent="0.2">
      <c r="A3429" t="s">
        <v>2196</v>
      </c>
    </row>
    <row r="3430" spans="1:1" x14ac:dyDescent="0.2">
      <c r="A3430" t="s">
        <v>2105</v>
      </c>
    </row>
    <row r="3431" spans="1:1" x14ac:dyDescent="0.2">
      <c r="A3431" t="s">
        <v>2221</v>
      </c>
    </row>
    <row r="3432" spans="1:1" x14ac:dyDescent="0.2">
      <c r="A3432" t="s">
        <v>2073</v>
      </c>
    </row>
    <row r="3433" spans="1:1" x14ac:dyDescent="0.2">
      <c r="A3433" t="s">
        <v>2074</v>
      </c>
    </row>
    <row r="3434" spans="1:1" x14ac:dyDescent="0.2">
      <c r="A3434" t="s">
        <v>2222</v>
      </c>
    </row>
    <row r="3435" spans="1:1" x14ac:dyDescent="0.2">
      <c r="A3435" t="s">
        <v>2223</v>
      </c>
    </row>
    <row r="3436" spans="1:1" x14ac:dyDescent="0.2">
      <c r="A3436" t="s">
        <v>2224</v>
      </c>
    </row>
    <row r="3437" spans="1:1" x14ac:dyDescent="0.2">
      <c r="A3437" t="s">
        <v>2078</v>
      </c>
    </row>
    <row r="3438" spans="1:1" x14ac:dyDescent="0.2">
      <c r="A3438" t="s">
        <v>2225</v>
      </c>
    </row>
    <row r="3439" spans="1:1" x14ac:dyDescent="0.2">
      <c r="A3439" t="s">
        <v>2226</v>
      </c>
    </row>
    <row r="3440" spans="1:1" x14ac:dyDescent="0.2">
      <c r="A3440" t="s">
        <v>2227</v>
      </c>
    </row>
    <row r="3441" spans="1:1" x14ac:dyDescent="0.2">
      <c r="A3441" t="s">
        <v>2228</v>
      </c>
    </row>
    <row r="3442" spans="1:1" x14ac:dyDescent="0.2">
      <c r="A3442" t="s">
        <v>2229</v>
      </c>
    </row>
    <row r="3443" spans="1:1" x14ac:dyDescent="0.2">
      <c r="A3443" t="s">
        <v>2230</v>
      </c>
    </row>
    <row r="3444" spans="1:1" x14ac:dyDescent="0.2">
      <c r="A3444" t="s">
        <v>2231</v>
      </c>
    </row>
    <row r="3445" spans="1:1" x14ac:dyDescent="0.2">
      <c r="A3445" t="s">
        <v>2232</v>
      </c>
    </row>
    <row r="3446" spans="1:1" x14ac:dyDescent="0.2">
      <c r="A3446" t="s">
        <v>2233</v>
      </c>
    </row>
    <row r="3447" spans="1:1" x14ac:dyDescent="0.2">
      <c r="A3447" t="s">
        <v>2234</v>
      </c>
    </row>
    <row r="3448" spans="1:1" x14ac:dyDescent="0.2">
      <c r="A3448" t="s">
        <v>2235</v>
      </c>
    </row>
    <row r="3449" spans="1:1" x14ac:dyDescent="0.2">
      <c r="A3449" t="s">
        <v>2236</v>
      </c>
    </row>
    <row r="3450" spans="1:1" x14ac:dyDescent="0.2">
      <c r="A3450" t="s">
        <v>2237</v>
      </c>
    </row>
    <row r="3451" spans="1:1" x14ac:dyDescent="0.2">
      <c r="A3451" t="s">
        <v>2238</v>
      </c>
    </row>
    <row r="3452" spans="1:1" x14ac:dyDescent="0.2">
      <c r="A3452" t="s">
        <v>2239</v>
      </c>
    </row>
    <row r="3453" spans="1:1" x14ac:dyDescent="0.2">
      <c r="A3453" t="s">
        <v>2240</v>
      </c>
    </row>
    <row r="3454" spans="1:1" x14ac:dyDescent="0.2">
      <c r="A3454" t="s">
        <v>2241</v>
      </c>
    </row>
    <row r="3455" spans="1:1" x14ac:dyDescent="0.2">
      <c r="A3455" t="s">
        <v>2244</v>
      </c>
    </row>
    <row r="3456" spans="1:1" x14ac:dyDescent="0.2">
      <c r="A3456" t="s">
        <v>2062</v>
      </c>
    </row>
    <row r="3457" spans="1:1" x14ac:dyDescent="0.2">
      <c r="A3457" t="s">
        <v>2116</v>
      </c>
    </row>
    <row r="3458" spans="1:1" x14ac:dyDescent="0.2">
      <c r="A3458" t="s">
        <v>2245</v>
      </c>
    </row>
    <row r="3459" spans="1:1" x14ac:dyDescent="0.2">
      <c r="A3459" t="s">
        <v>2127</v>
      </c>
    </row>
    <row r="3460" spans="1:1" x14ac:dyDescent="0.2">
      <c r="A3460" t="s">
        <v>2219</v>
      </c>
    </row>
    <row r="3461" spans="1:1" x14ac:dyDescent="0.2">
      <c r="A3461" t="s">
        <v>2067</v>
      </c>
    </row>
    <row r="3462" spans="1:1" x14ac:dyDescent="0.2">
      <c r="A3462" t="s">
        <v>2220</v>
      </c>
    </row>
    <row r="3463" spans="1:1" x14ac:dyDescent="0.2">
      <c r="A3463" t="s">
        <v>2103</v>
      </c>
    </row>
    <row r="3464" spans="1:1" x14ac:dyDescent="0.2">
      <c r="A3464" t="s">
        <v>2196</v>
      </c>
    </row>
    <row r="3465" spans="1:1" x14ac:dyDescent="0.2">
      <c r="A3465" t="s">
        <v>2105</v>
      </c>
    </row>
    <row r="3466" spans="1:1" x14ac:dyDescent="0.2">
      <c r="A3466" t="s">
        <v>2246</v>
      </c>
    </row>
    <row r="3467" spans="1:1" x14ac:dyDescent="0.2">
      <c r="A3467" t="s">
        <v>2073</v>
      </c>
    </row>
    <row r="3468" spans="1:1" x14ac:dyDescent="0.2">
      <c r="A3468" t="s">
        <v>2074</v>
      </c>
    </row>
    <row r="3469" spans="1:1" x14ac:dyDescent="0.2">
      <c r="A3469" t="s">
        <v>2075</v>
      </c>
    </row>
    <row r="3470" spans="1:1" x14ac:dyDescent="0.2">
      <c r="A3470" t="s">
        <v>2223</v>
      </c>
    </row>
    <row r="3471" spans="1:1" x14ac:dyDescent="0.2">
      <c r="A3471" t="s">
        <v>2224</v>
      </c>
    </row>
    <row r="3472" spans="1:1" x14ac:dyDescent="0.2">
      <c r="A3472" t="s">
        <v>2078</v>
      </c>
    </row>
    <row r="3473" spans="1:1" x14ac:dyDescent="0.2">
      <c r="A3473" t="s">
        <v>3083</v>
      </c>
    </row>
    <row r="3474" spans="1:1" x14ac:dyDescent="0.2">
      <c r="A3474" t="s">
        <v>3084</v>
      </c>
    </row>
    <row r="3475" spans="1:1" x14ac:dyDescent="0.2">
      <c r="A3475" t="s">
        <v>3085</v>
      </c>
    </row>
    <row r="3476" spans="1:1" x14ac:dyDescent="0.2">
      <c r="A3476" t="s">
        <v>3086</v>
      </c>
    </row>
    <row r="3477" spans="1:1" x14ac:dyDescent="0.2">
      <c r="A3477" t="s">
        <v>3087</v>
      </c>
    </row>
    <row r="3478" spans="1:1" x14ac:dyDescent="0.2">
      <c r="A3478" t="s">
        <v>3088</v>
      </c>
    </row>
    <row r="3479" spans="1:1" x14ac:dyDescent="0.2">
      <c r="A3479" t="s">
        <v>3089</v>
      </c>
    </row>
    <row r="3480" spans="1:1" x14ac:dyDescent="0.2">
      <c r="A3480" t="s">
        <v>3090</v>
      </c>
    </row>
    <row r="3481" spans="1:1" x14ac:dyDescent="0.2">
      <c r="A3481" t="s">
        <v>3091</v>
      </c>
    </row>
    <row r="3482" spans="1:1" x14ac:dyDescent="0.2">
      <c r="A3482" t="s">
        <v>3092</v>
      </c>
    </row>
    <row r="3483" spans="1:1" x14ac:dyDescent="0.2">
      <c r="A3483" t="s">
        <v>2247</v>
      </c>
    </row>
    <row r="3484" spans="1:1" x14ac:dyDescent="0.2">
      <c r="A3484" t="s">
        <v>2248</v>
      </c>
    </row>
    <row r="3485" spans="1:1" x14ac:dyDescent="0.2">
      <c r="A3485" t="s">
        <v>2249</v>
      </c>
    </row>
    <row r="3486" spans="1:1" x14ac:dyDescent="0.2">
      <c r="A3486" t="s">
        <v>2250</v>
      </c>
    </row>
    <row r="3487" spans="1:1" x14ac:dyDescent="0.2">
      <c r="A3487" t="s">
        <v>2251</v>
      </c>
    </row>
    <row r="3488" spans="1:1" x14ac:dyDescent="0.2">
      <c r="A3488" t="s">
        <v>2240</v>
      </c>
    </row>
    <row r="3489" spans="1:1" x14ac:dyDescent="0.2">
      <c r="A3489" t="s">
        <v>2241</v>
      </c>
    </row>
    <row r="3490" spans="1:1" x14ac:dyDescent="0.2">
      <c r="A3490" t="s">
        <v>2252</v>
      </c>
    </row>
    <row r="3491" spans="1:1" x14ac:dyDescent="0.2">
      <c r="A3491" t="s">
        <v>2062</v>
      </c>
    </row>
    <row r="3492" spans="1:1" x14ac:dyDescent="0.2">
      <c r="A3492" t="s">
        <v>2116</v>
      </c>
    </row>
    <row r="3493" spans="1:1" x14ac:dyDescent="0.2">
      <c r="A3493" t="s">
        <v>2245</v>
      </c>
    </row>
    <row r="3494" spans="1:1" x14ac:dyDescent="0.2">
      <c r="A3494" t="s">
        <v>2127</v>
      </c>
    </row>
    <row r="3495" spans="1:1" x14ac:dyDescent="0.2">
      <c r="A3495" t="s">
        <v>2219</v>
      </c>
    </row>
    <row r="3496" spans="1:1" x14ac:dyDescent="0.2">
      <c r="A3496" t="s">
        <v>2067</v>
      </c>
    </row>
    <row r="3497" spans="1:1" x14ac:dyDescent="0.2">
      <c r="A3497" t="s">
        <v>2220</v>
      </c>
    </row>
    <row r="3498" spans="1:1" x14ac:dyDescent="0.2">
      <c r="A3498" t="s">
        <v>2113</v>
      </c>
    </row>
    <row r="3499" spans="1:1" x14ac:dyDescent="0.2">
      <c r="A3499" t="s">
        <v>2196</v>
      </c>
    </row>
    <row r="3500" spans="1:1" x14ac:dyDescent="0.2">
      <c r="A3500" t="s">
        <v>2105</v>
      </c>
    </row>
    <row r="3501" spans="1:1" x14ac:dyDescent="0.2">
      <c r="A3501" t="s">
        <v>2246</v>
      </c>
    </row>
    <row r="3502" spans="1:1" x14ac:dyDescent="0.2">
      <c r="A3502" t="s">
        <v>2073</v>
      </c>
    </row>
    <row r="3503" spans="1:1" x14ac:dyDescent="0.2">
      <c r="A3503" t="s">
        <v>2074</v>
      </c>
    </row>
    <row r="3504" spans="1:1" x14ac:dyDescent="0.2">
      <c r="A3504" t="s">
        <v>2075</v>
      </c>
    </row>
    <row r="3505" spans="1:1" x14ac:dyDescent="0.2">
      <c r="A3505" t="s">
        <v>2223</v>
      </c>
    </row>
    <row r="3506" spans="1:1" x14ac:dyDescent="0.2">
      <c r="A3506" t="s">
        <v>2224</v>
      </c>
    </row>
    <row r="3507" spans="1:1" x14ac:dyDescent="0.2">
      <c r="A3507" t="s">
        <v>2078</v>
      </c>
    </row>
    <row r="3508" spans="1:1" x14ac:dyDescent="0.2">
      <c r="A3508" t="s">
        <v>3083</v>
      </c>
    </row>
    <row r="3509" spans="1:1" x14ac:dyDescent="0.2">
      <c r="A3509" t="s">
        <v>3084</v>
      </c>
    </row>
    <row r="3510" spans="1:1" x14ac:dyDescent="0.2">
      <c r="A3510" t="s">
        <v>3085</v>
      </c>
    </row>
    <row r="3511" spans="1:1" x14ac:dyDescent="0.2">
      <c r="A3511" t="s">
        <v>3086</v>
      </c>
    </row>
    <row r="3512" spans="1:1" x14ac:dyDescent="0.2">
      <c r="A3512" t="s">
        <v>3087</v>
      </c>
    </row>
    <row r="3513" spans="1:1" x14ac:dyDescent="0.2">
      <c r="A3513" t="s">
        <v>3088</v>
      </c>
    </row>
    <row r="3514" spans="1:1" x14ac:dyDescent="0.2">
      <c r="A3514" t="s">
        <v>3089</v>
      </c>
    </row>
    <row r="3515" spans="1:1" x14ac:dyDescent="0.2">
      <c r="A3515" t="s">
        <v>3090</v>
      </c>
    </row>
    <row r="3516" spans="1:1" x14ac:dyDescent="0.2">
      <c r="A3516" t="s">
        <v>3091</v>
      </c>
    </row>
    <row r="3517" spans="1:1" x14ac:dyDescent="0.2">
      <c r="A3517" t="s">
        <v>3092</v>
      </c>
    </row>
    <row r="3518" spans="1:1" x14ac:dyDescent="0.2">
      <c r="A3518" t="s">
        <v>2247</v>
      </c>
    </row>
    <row r="3519" spans="1:1" x14ac:dyDescent="0.2">
      <c r="A3519" t="s">
        <v>2248</v>
      </c>
    </row>
    <row r="3520" spans="1:1" x14ac:dyDescent="0.2">
      <c r="A3520" t="s">
        <v>2249</v>
      </c>
    </row>
    <row r="3521" spans="1:1" x14ac:dyDescent="0.2">
      <c r="A3521" t="s">
        <v>2250</v>
      </c>
    </row>
    <row r="3522" spans="1:1" x14ac:dyDescent="0.2">
      <c r="A3522" t="s">
        <v>2251</v>
      </c>
    </row>
    <row r="3523" spans="1:1" x14ac:dyDescent="0.2">
      <c r="A3523" t="s">
        <v>2240</v>
      </c>
    </row>
    <row r="3524" spans="1:1" x14ac:dyDescent="0.2">
      <c r="A3524" t="s">
        <v>2241</v>
      </c>
    </row>
    <row r="3525" spans="1:1" x14ac:dyDescent="0.2">
      <c r="A3525" t="s">
        <v>2253</v>
      </c>
    </row>
    <row r="3526" spans="1:1" x14ac:dyDescent="0.2">
      <c r="A3526" t="s">
        <v>2062</v>
      </c>
    </row>
    <row r="3527" spans="1:1" x14ac:dyDescent="0.2">
      <c r="A3527" t="s">
        <v>2116</v>
      </c>
    </row>
    <row r="3528" spans="1:1" x14ac:dyDescent="0.2">
      <c r="A3528" t="s">
        <v>2245</v>
      </c>
    </row>
    <row r="3529" spans="1:1" x14ac:dyDescent="0.2">
      <c r="A3529" t="s">
        <v>2127</v>
      </c>
    </row>
    <row r="3530" spans="1:1" x14ac:dyDescent="0.2">
      <c r="A3530" t="s">
        <v>2219</v>
      </c>
    </row>
    <row r="3531" spans="1:1" x14ac:dyDescent="0.2">
      <c r="A3531" t="s">
        <v>2067</v>
      </c>
    </row>
    <row r="3532" spans="1:1" x14ac:dyDescent="0.2">
      <c r="A3532" t="s">
        <v>2220</v>
      </c>
    </row>
    <row r="3533" spans="1:1" x14ac:dyDescent="0.2">
      <c r="A3533" t="s">
        <v>2069</v>
      </c>
    </row>
    <row r="3534" spans="1:1" x14ac:dyDescent="0.2">
      <c r="A3534" t="s">
        <v>2196</v>
      </c>
    </row>
    <row r="3535" spans="1:1" x14ac:dyDescent="0.2">
      <c r="A3535" t="s">
        <v>2105</v>
      </c>
    </row>
    <row r="3536" spans="1:1" x14ac:dyDescent="0.2">
      <c r="A3536" t="s">
        <v>2246</v>
      </c>
    </row>
    <row r="3537" spans="1:1" x14ac:dyDescent="0.2">
      <c r="A3537" t="s">
        <v>2073</v>
      </c>
    </row>
    <row r="3538" spans="1:1" x14ac:dyDescent="0.2">
      <c r="A3538" t="s">
        <v>2074</v>
      </c>
    </row>
    <row r="3539" spans="1:1" x14ac:dyDescent="0.2">
      <c r="A3539" t="s">
        <v>2075</v>
      </c>
    </row>
    <row r="3540" spans="1:1" x14ac:dyDescent="0.2">
      <c r="A3540" t="s">
        <v>2223</v>
      </c>
    </row>
    <row r="3541" spans="1:1" x14ac:dyDescent="0.2">
      <c r="A3541" t="s">
        <v>2224</v>
      </c>
    </row>
    <row r="3542" spans="1:1" x14ac:dyDescent="0.2">
      <c r="A3542" t="s">
        <v>2078</v>
      </c>
    </row>
    <row r="3543" spans="1:1" x14ac:dyDescent="0.2">
      <c r="A3543" t="s">
        <v>3083</v>
      </c>
    </row>
    <row r="3544" spans="1:1" x14ac:dyDescent="0.2">
      <c r="A3544" t="s">
        <v>3084</v>
      </c>
    </row>
    <row r="3545" spans="1:1" x14ac:dyDescent="0.2">
      <c r="A3545" t="s">
        <v>3085</v>
      </c>
    </row>
    <row r="3546" spans="1:1" x14ac:dyDescent="0.2">
      <c r="A3546" t="s">
        <v>3086</v>
      </c>
    </row>
    <row r="3547" spans="1:1" x14ac:dyDescent="0.2">
      <c r="A3547" t="s">
        <v>3087</v>
      </c>
    </row>
    <row r="3548" spans="1:1" x14ac:dyDescent="0.2">
      <c r="A3548" t="s">
        <v>3088</v>
      </c>
    </row>
    <row r="3549" spans="1:1" x14ac:dyDescent="0.2">
      <c r="A3549" t="s">
        <v>3089</v>
      </c>
    </row>
    <row r="3550" spans="1:1" x14ac:dyDescent="0.2">
      <c r="A3550" t="s">
        <v>3090</v>
      </c>
    </row>
    <row r="3551" spans="1:1" x14ac:dyDescent="0.2">
      <c r="A3551" t="s">
        <v>3091</v>
      </c>
    </row>
    <row r="3552" spans="1:1" x14ac:dyDescent="0.2">
      <c r="A3552" t="s">
        <v>3092</v>
      </c>
    </row>
    <row r="3553" spans="1:1" x14ac:dyDescent="0.2">
      <c r="A3553" t="s">
        <v>2247</v>
      </c>
    </row>
    <row r="3554" spans="1:1" x14ac:dyDescent="0.2">
      <c r="A3554" t="s">
        <v>2248</v>
      </c>
    </row>
    <row r="3555" spans="1:1" x14ac:dyDescent="0.2">
      <c r="A3555" t="s">
        <v>2249</v>
      </c>
    </row>
    <row r="3556" spans="1:1" x14ac:dyDescent="0.2">
      <c r="A3556" t="s">
        <v>2250</v>
      </c>
    </row>
    <row r="3557" spans="1:1" x14ac:dyDescent="0.2">
      <c r="A3557" t="s">
        <v>2251</v>
      </c>
    </row>
    <row r="3558" spans="1:1" x14ac:dyDescent="0.2">
      <c r="A3558" t="s">
        <v>2240</v>
      </c>
    </row>
    <row r="3559" spans="1:1" x14ac:dyDescent="0.2">
      <c r="A3559" t="s">
        <v>2241</v>
      </c>
    </row>
    <row r="3560" spans="1:1" x14ac:dyDescent="0.2">
      <c r="A3560" t="s">
        <v>2254</v>
      </c>
    </row>
    <row r="3561" spans="1:1" x14ac:dyDescent="0.2">
      <c r="A3561" t="s">
        <v>2062</v>
      </c>
    </row>
    <row r="3562" spans="1:1" x14ac:dyDescent="0.2">
      <c r="A3562" t="s">
        <v>2255</v>
      </c>
    </row>
    <row r="3563" spans="1:1" x14ac:dyDescent="0.2">
      <c r="A3563" t="s">
        <v>2256</v>
      </c>
    </row>
    <row r="3564" spans="1:1" x14ac:dyDescent="0.2">
      <c r="A3564" t="s">
        <v>2127</v>
      </c>
    </row>
    <row r="3565" spans="1:1" x14ac:dyDescent="0.2">
      <c r="A3565" t="s">
        <v>2219</v>
      </c>
    </row>
    <row r="3566" spans="1:1" x14ac:dyDescent="0.2">
      <c r="A3566" t="s">
        <v>2067</v>
      </c>
    </row>
    <row r="3567" spans="1:1" x14ac:dyDescent="0.2">
      <c r="A3567" t="s">
        <v>2068</v>
      </c>
    </row>
    <row r="3568" spans="1:1" x14ac:dyDescent="0.2">
      <c r="A3568" t="s">
        <v>2103</v>
      </c>
    </row>
    <row r="3569" spans="1:1" x14ac:dyDescent="0.2">
      <c r="A3569" t="s">
        <v>2196</v>
      </c>
    </row>
    <row r="3570" spans="1:1" x14ac:dyDescent="0.2">
      <c r="A3570" t="s">
        <v>2257</v>
      </c>
    </row>
    <row r="3571" spans="1:1" x14ac:dyDescent="0.2">
      <c r="A3571" t="s">
        <v>2221</v>
      </c>
    </row>
    <row r="3572" spans="1:1" x14ac:dyDescent="0.2">
      <c r="A3572" t="s">
        <v>2073</v>
      </c>
    </row>
    <row r="3573" spans="1:1" x14ac:dyDescent="0.2">
      <c r="A3573" t="s">
        <v>2074</v>
      </c>
    </row>
    <row r="3574" spans="1:1" x14ac:dyDescent="0.2">
      <c r="A3574" t="s">
        <v>2075</v>
      </c>
    </row>
    <row r="3575" spans="1:1" x14ac:dyDescent="0.2">
      <c r="A3575" t="s">
        <v>2223</v>
      </c>
    </row>
    <row r="3576" spans="1:1" x14ac:dyDescent="0.2">
      <c r="A3576" t="s">
        <v>2224</v>
      </c>
    </row>
    <row r="3577" spans="1:1" x14ac:dyDescent="0.2">
      <c r="A3577" t="s">
        <v>2078</v>
      </c>
    </row>
    <row r="3578" spans="1:1" x14ac:dyDescent="0.2">
      <c r="A3578" t="s">
        <v>3093</v>
      </c>
    </row>
    <row r="3579" spans="1:1" x14ac:dyDescent="0.2">
      <c r="A3579" t="s">
        <v>3094</v>
      </c>
    </row>
    <row r="3580" spans="1:1" x14ac:dyDescent="0.2">
      <c r="A3580" t="s">
        <v>3095</v>
      </c>
    </row>
    <row r="3581" spans="1:1" x14ac:dyDescent="0.2">
      <c r="A3581" t="s">
        <v>3096</v>
      </c>
    </row>
    <row r="3582" spans="1:1" x14ac:dyDescent="0.2">
      <c r="A3582" t="s">
        <v>3097</v>
      </c>
    </row>
    <row r="3583" spans="1:1" x14ac:dyDescent="0.2">
      <c r="A3583" t="s">
        <v>3098</v>
      </c>
    </row>
    <row r="3584" spans="1:1" x14ac:dyDescent="0.2">
      <c r="A3584" t="s">
        <v>3099</v>
      </c>
    </row>
    <row r="3585" spans="1:1" x14ac:dyDescent="0.2">
      <c r="A3585" t="s">
        <v>3100</v>
      </c>
    </row>
    <row r="3586" spans="1:1" x14ac:dyDescent="0.2">
      <c r="A3586" t="s">
        <v>3101</v>
      </c>
    </row>
    <row r="3587" spans="1:1" x14ac:dyDescent="0.2">
      <c r="A3587" t="s">
        <v>3102</v>
      </c>
    </row>
    <row r="3588" spans="1:1" x14ac:dyDescent="0.2">
      <c r="A3588" t="s">
        <v>2258</v>
      </c>
    </row>
    <row r="3589" spans="1:1" x14ac:dyDescent="0.2">
      <c r="A3589" t="s">
        <v>2259</v>
      </c>
    </row>
    <row r="3590" spans="1:1" x14ac:dyDescent="0.2">
      <c r="A3590" t="s">
        <v>2260</v>
      </c>
    </row>
    <row r="3591" spans="1:1" x14ac:dyDescent="0.2">
      <c r="A3591" t="s">
        <v>2261</v>
      </c>
    </row>
    <row r="3592" spans="1:1" x14ac:dyDescent="0.2">
      <c r="A3592" t="s">
        <v>2262</v>
      </c>
    </row>
    <row r="3593" spans="1:1" x14ac:dyDescent="0.2">
      <c r="A3593" t="s">
        <v>2240</v>
      </c>
    </row>
    <row r="3594" spans="1:1" x14ac:dyDescent="0.2">
      <c r="A3594" t="s">
        <v>2241</v>
      </c>
    </row>
    <row r="3595" spans="1:1" x14ac:dyDescent="0.2">
      <c r="A3595" t="s">
        <v>2263</v>
      </c>
    </row>
    <row r="3596" spans="1:1" x14ac:dyDescent="0.2">
      <c r="A3596" t="s">
        <v>2062</v>
      </c>
    </row>
    <row r="3597" spans="1:1" x14ac:dyDescent="0.2">
      <c r="A3597" t="s">
        <v>2175</v>
      </c>
    </row>
    <row r="3598" spans="1:1" x14ac:dyDescent="0.2">
      <c r="A3598" t="s">
        <v>2176</v>
      </c>
    </row>
    <row r="3599" spans="1:1" x14ac:dyDescent="0.2">
      <c r="A3599" t="s">
        <v>2156</v>
      </c>
    </row>
    <row r="3600" spans="1:1" x14ac:dyDescent="0.2">
      <c r="A3600" t="s">
        <v>2219</v>
      </c>
    </row>
    <row r="3601" spans="1:1" x14ac:dyDescent="0.2">
      <c r="A3601" t="s">
        <v>2067</v>
      </c>
    </row>
    <row r="3602" spans="1:1" x14ac:dyDescent="0.2">
      <c r="A3602" t="s">
        <v>2068</v>
      </c>
    </row>
    <row r="3603" spans="1:1" x14ac:dyDescent="0.2">
      <c r="A3603" t="s">
        <v>2069</v>
      </c>
    </row>
    <row r="3604" spans="1:1" x14ac:dyDescent="0.2">
      <c r="A3604" t="s">
        <v>2070</v>
      </c>
    </row>
    <row r="3605" spans="1:1" x14ac:dyDescent="0.2">
      <c r="A3605" t="s">
        <v>2071</v>
      </c>
    </row>
    <row r="3606" spans="1:1" x14ac:dyDescent="0.2">
      <c r="A3606" t="s">
        <v>2072</v>
      </c>
    </row>
    <row r="3607" spans="1:1" x14ac:dyDescent="0.2">
      <c r="A3607" t="s">
        <v>2073</v>
      </c>
    </row>
    <row r="3608" spans="1:1" x14ac:dyDescent="0.2">
      <c r="A3608" t="s">
        <v>2074</v>
      </c>
    </row>
    <row r="3609" spans="1:1" x14ac:dyDescent="0.2">
      <c r="A3609" t="s">
        <v>2177</v>
      </c>
    </row>
    <row r="3610" spans="1:1" x14ac:dyDescent="0.2">
      <c r="A3610" t="s">
        <v>2076</v>
      </c>
    </row>
    <row r="3611" spans="1:1" x14ac:dyDescent="0.2">
      <c r="A3611" t="s">
        <v>2077</v>
      </c>
    </row>
    <row r="3612" spans="1:1" x14ac:dyDescent="0.2">
      <c r="A3612" t="s">
        <v>2078</v>
      </c>
    </row>
    <row r="3613" spans="1:1" x14ac:dyDescent="0.2">
      <c r="A3613" t="s">
        <v>2178</v>
      </c>
    </row>
    <row r="3614" spans="1:1" x14ac:dyDescent="0.2">
      <c r="A3614" t="s">
        <v>2179</v>
      </c>
    </row>
    <row r="3615" spans="1:1" x14ac:dyDescent="0.2">
      <c r="A3615" t="s">
        <v>2180</v>
      </c>
    </row>
    <row r="3616" spans="1:1" x14ac:dyDescent="0.2">
      <c r="A3616" t="s">
        <v>2181</v>
      </c>
    </row>
    <row r="3617" spans="1:1" x14ac:dyDescent="0.2">
      <c r="A3617" t="s">
        <v>2182</v>
      </c>
    </row>
    <row r="3618" spans="1:1" x14ac:dyDescent="0.2">
      <c r="A3618" t="s">
        <v>2183</v>
      </c>
    </row>
    <row r="3619" spans="1:1" x14ac:dyDescent="0.2">
      <c r="A3619" t="s">
        <v>2184</v>
      </c>
    </row>
    <row r="3620" spans="1:1" x14ac:dyDescent="0.2">
      <c r="A3620" t="s">
        <v>2185</v>
      </c>
    </row>
    <row r="3621" spans="1:1" x14ac:dyDescent="0.2">
      <c r="A3621" t="s">
        <v>2186</v>
      </c>
    </row>
    <row r="3622" spans="1:1" x14ac:dyDescent="0.2">
      <c r="A3622" t="s">
        <v>2187</v>
      </c>
    </row>
    <row r="3623" spans="1:1" x14ac:dyDescent="0.2">
      <c r="A3623" t="s">
        <v>2188</v>
      </c>
    </row>
    <row r="3624" spans="1:1" x14ac:dyDescent="0.2">
      <c r="A3624" t="s">
        <v>2189</v>
      </c>
    </row>
    <row r="3625" spans="1:1" x14ac:dyDescent="0.2">
      <c r="A3625" t="s">
        <v>2190</v>
      </c>
    </row>
    <row r="3626" spans="1:1" x14ac:dyDescent="0.2">
      <c r="A3626" t="s">
        <v>2191</v>
      </c>
    </row>
    <row r="3627" spans="1:1" x14ac:dyDescent="0.2">
      <c r="A3627" t="s">
        <v>2192</v>
      </c>
    </row>
    <row r="3628" spans="1:1" x14ac:dyDescent="0.2">
      <c r="A3628" t="s">
        <v>2240</v>
      </c>
    </row>
    <row r="3629" spans="1:1" x14ac:dyDescent="0.2">
      <c r="A3629" t="s">
        <v>2241</v>
      </c>
    </row>
    <row r="3630" spans="1:1" x14ac:dyDescent="0.2">
      <c r="A3630" t="s">
        <v>2264</v>
      </c>
    </row>
    <row r="3631" spans="1:1" x14ac:dyDescent="0.2">
      <c r="A3631" t="s">
        <v>2062</v>
      </c>
    </row>
    <row r="3632" spans="1:1" x14ac:dyDescent="0.2">
      <c r="A3632" t="s">
        <v>2063</v>
      </c>
    </row>
    <row r="3633" spans="1:1" x14ac:dyDescent="0.2">
      <c r="A3633" t="s">
        <v>2064</v>
      </c>
    </row>
    <row r="3634" spans="1:1" x14ac:dyDescent="0.2">
      <c r="A3634" t="s">
        <v>2065</v>
      </c>
    </row>
    <row r="3635" spans="1:1" x14ac:dyDescent="0.2">
      <c r="A3635" t="s">
        <v>2066</v>
      </c>
    </row>
    <row r="3636" spans="1:1" x14ac:dyDescent="0.2">
      <c r="A3636" t="s">
        <v>2067</v>
      </c>
    </row>
    <row r="3637" spans="1:1" x14ac:dyDescent="0.2">
      <c r="A3637" t="s">
        <v>2068</v>
      </c>
    </row>
    <row r="3638" spans="1:1" x14ac:dyDescent="0.2">
      <c r="A3638" t="s">
        <v>2069</v>
      </c>
    </row>
    <row r="3639" spans="1:1" x14ac:dyDescent="0.2">
      <c r="A3639" t="s">
        <v>2070</v>
      </c>
    </row>
    <row r="3640" spans="1:1" x14ac:dyDescent="0.2">
      <c r="A3640" t="s">
        <v>2071</v>
      </c>
    </row>
    <row r="3641" spans="1:1" x14ac:dyDescent="0.2">
      <c r="A3641" t="s">
        <v>2072</v>
      </c>
    </row>
    <row r="3642" spans="1:1" x14ac:dyDescent="0.2">
      <c r="A3642" t="s">
        <v>2073</v>
      </c>
    </row>
    <row r="3643" spans="1:1" x14ac:dyDescent="0.2">
      <c r="A3643" t="s">
        <v>2074</v>
      </c>
    </row>
    <row r="3644" spans="1:1" x14ac:dyDescent="0.2">
      <c r="A3644" t="s">
        <v>2075</v>
      </c>
    </row>
    <row r="3645" spans="1:1" x14ac:dyDescent="0.2">
      <c r="A3645" t="s">
        <v>2076</v>
      </c>
    </row>
    <row r="3646" spans="1:1" x14ac:dyDescent="0.2">
      <c r="A3646" t="s">
        <v>2077</v>
      </c>
    </row>
    <row r="3647" spans="1:1" x14ac:dyDescent="0.2">
      <c r="A3647" t="s">
        <v>2078</v>
      </c>
    </row>
    <row r="3648" spans="1:1" x14ac:dyDescent="0.2">
      <c r="A3648" t="s">
        <v>2079</v>
      </c>
    </row>
    <row r="3649" spans="1:1" x14ac:dyDescent="0.2">
      <c r="A3649" t="s">
        <v>2080</v>
      </c>
    </row>
    <row r="3650" spans="1:1" x14ac:dyDescent="0.2">
      <c r="A3650" t="s">
        <v>2081</v>
      </c>
    </row>
    <row r="3651" spans="1:1" x14ac:dyDescent="0.2">
      <c r="A3651" t="s">
        <v>2082</v>
      </c>
    </row>
    <row r="3652" spans="1:1" x14ac:dyDescent="0.2">
      <c r="A3652" t="s">
        <v>2083</v>
      </c>
    </row>
    <row r="3653" spans="1:1" x14ac:dyDescent="0.2">
      <c r="A3653" t="s">
        <v>2084</v>
      </c>
    </row>
    <row r="3654" spans="1:1" x14ac:dyDescent="0.2">
      <c r="A3654" t="s">
        <v>2085</v>
      </c>
    </row>
    <row r="3655" spans="1:1" x14ac:dyDescent="0.2">
      <c r="A3655" t="s">
        <v>2086</v>
      </c>
    </row>
    <row r="3656" spans="1:1" x14ac:dyDescent="0.2">
      <c r="A3656" t="s">
        <v>2087</v>
      </c>
    </row>
    <row r="3657" spans="1:1" x14ac:dyDescent="0.2">
      <c r="A3657" t="s">
        <v>2088</v>
      </c>
    </row>
    <row r="3658" spans="1:1" x14ac:dyDescent="0.2">
      <c r="A3658" t="s">
        <v>2089</v>
      </c>
    </row>
    <row r="3659" spans="1:1" x14ac:dyDescent="0.2">
      <c r="A3659" t="s">
        <v>2090</v>
      </c>
    </row>
    <row r="3660" spans="1:1" x14ac:dyDescent="0.2">
      <c r="A3660" t="s">
        <v>2091</v>
      </c>
    </row>
    <row r="3661" spans="1:1" x14ac:dyDescent="0.2">
      <c r="A3661" t="s">
        <v>2092</v>
      </c>
    </row>
    <row r="3662" spans="1:1" x14ac:dyDescent="0.2">
      <c r="A3662" t="s">
        <v>2093</v>
      </c>
    </row>
    <row r="3663" spans="1:1" x14ac:dyDescent="0.2">
      <c r="A3663" t="s">
        <v>2094</v>
      </c>
    </row>
    <row r="3664" spans="1:1" x14ac:dyDescent="0.2">
      <c r="A3664" t="s">
        <v>2095</v>
      </c>
    </row>
    <row r="3665" spans="1:1" x14ac:dyDescent="0.2">
      <c r="A3665" t="s">
        <v>2265</v>
      </c>
    </row>
    <row r="3666" spans="1:1" x14ac:dyDescent="0.2">
      <c r="A3666" t="s">
        <v>2062</v>
      </c>
    </row>
    <row r="3667" spans="1:1" x14ac:dyDescent="0.2">
      <c r="A3667" t="s">
        <v>2063</v>
      </c>
    </row>
    <row r="3668" spans="1:1" x14ac:dyDescent="0.2">
      <c r="A3668" t="s">
        <v>2064</v>
      </c>
    </row>
    <row r="3669" spans="1:1" x14ac:dyDescent="0.2">
      <c r="A3669" t="s">
        <v>2065</v>
      </c>
    </row>
    <row r="3670" spans="1:1" x14ac:dyDescent="0.2">
      <c r="A3670" t="s">
        <v>2066</v>
      </c>
    </row>
    <row r="3671" spans="1:1" x14ac:dyDescent="0.2">
      <c r="A3671" t="s">
        <v>2067</v>
      </c>
    </row>
    <row r="3672" spans="1:1" x14ac:dyDescent="0.2">
      <c r="A3672" t="s">
        <v>2068</v>
      </c>
    </row>
    <row r="3673" spans="1:1" x14ac:dyDescent="0.2">
      <c r="A3673" t="s">
        <v>2069</v>
      </c>
    </row>
    <row r="3674" spans="1:1" x14ac:dyDescent="0.2">
      <c r="A3674" t="s">
        <v>2070</v>
      </c>
    </row>
    <row r="3675" spans="1:1" x14ac:dyDescent="0.2">
      <c r="A3675" t="s">
        <v>2071</v>
      </c>
    </row>
    <row r="3676" spans="1:1" x14ac:dyDescent="0.2">
      <c r="A3676" t="s">
        <v>2072</v>
      </c>
    </row>
    <row r="3677" spans="1:1" x14ac:dyDescent="0.2">
      <c r="A3677" t="s">
        <v>2073</v>
      </c>
    </row>
    <row r="3678" spans="1:1" x14ac:dyDescent="0.2">
      <c r="A3678" t="s">
        <v>2074</v>
      </c>
    </row>
    <row r="3679" spans="1:1" x14ac:dyDescent="0.2">
      <c r="A3679" t="s">
        <v>2075</v>
      </c>
    </row>
    <row r="3680" spans="1:1" x14ac:dyDescent="0.2">
      <c r="A3680" t="s">
        <v>2076</v>
      </c>
    </row>
    <row r="3681" spans="1:1" x14ac:dyDescent="0.2">
      <c r="A3681" t="s">
        <v>2077</v>
      </c>
    </row>
    <row r="3682" spans="1:1" x14ac:dyDescent="0.2">
      <c r="A3682" t="s">
        <v>2078</v>
      </c>
    </row>
    <row r="3683" spans="1:1" x14ac:dyDescent="0.2">
      <c r="A3683" t="s">
        <v>2079</v>
      </c>
    </row>
    <row r="3684" spans="1:1" x14ac:dyDescent="0.2">
      <c r="A3684" t="s">
        <v>2080</v>
      </c>
    </row>
    <row r="3685" spans="1:1" x14ac:dyDescent="0.2">
      <c r="A3685" t="s">
        <v>2081</v>
      </c>
    </row>
    <row r="3686" spans="1:1" x14ac:dyDescent="0.2">
      <c r="A3686" t="s">
        <v>2082</v>
      </c>
    </row>
    <row r="3687" spans="1:1" x14ac:dyDescent="0.2">
      <c r="A3687" t="s">
        <v>2083</v>
      </c>
    </row>
    <row r="3688" spans="1:1" x14ac:dyDescent="0.2">
      <c r="A3688" t="s">
        <v>2084</v>
      </c>
    </row>
    <row r="3689" spans="1:1" x14ac:dyDescent="0.2">
      <c r="A3689" t="s">
        <v>2085</v>
      </c>
    </row>
    <row r="3690" spans="1:1" x14ac:dyDescent="0.2">
      <c r="A3690" t="s">
        <v>2086</v>
      </c>
    </row>
    <row r="3691" spans="1:1" x14ac:dyDescent="0.2">
      <c r="A3691" t="s">
        <v>2087</v>
      </c>
    </row>
    <row r="3692" spans="1:1" x14ac:dyDescent="0.2">
      <c r="A3692" t="s">
        <v>2088</v>
      </c>
    </row>
    <row r="3693" spans="1:1" x14ac:dyDescent="0.2">
      <c r="A3693" t="s">
        <v>2089</v>
      </c>
    </row>
    <row r="3694" spans="1:1" x14ac:dyDescent="0.2">
      <c r="A3694" t="s">
        <v>2090</v>
      </c>
    </row>
    <row r="3695" spans="1:1" x14ac:dyDescent="0.2">
      <c r="A3695" t="s">
        <v>2091</v>
      </c>
    </row>
    <row r="3696" spans="1:1" x14ac:dyDescent="0.2">
      <c r="A3696" t="s">
        <v>2092</v>
      </c>
    </row>
    <row r="3697" spans="1:1" x14ac:dyDescent="0.2">
      <c r="A3697" t="s">
        <v>2093</v>
      </c>
    </row>
    <row r="3698" spans="1:1" x14ac:dyDescent="0.2">
      <c r="A3698" t="s">
        <v>2094</v>
      </c>
    </row>
    <row r="3699" spans="1:1" x14ac:dyDescent="0.2">
      <c r="A3699" t="s">
        <v>2095</v>
      </c>
    </row>
    <row r="3700" spans="1:1" x14ac:dyDescent="0.2">
      <c r="A3700" t="s">
        <v>2266</v>
      </c>
    </row>
    <row r="3701" spans="1:1" x14ac:dyDescent="0.2">
      <c r="A3701" t="s">
        <v>2267</v>
      </c>
    </row>
    <row r="3702" spans="1:1" x14ac:dyDescent="0.2">
      <c r="A3702" t="s">
        <v>2268</v>
      </c>
    </row>
    <row r="3703" spans="1:1" x14ac:dyDescent="0.2">
      <c r="A3703" t="s">
        <v>2269</v>
      </c>
    </row>
    <row r="3704" spans="1:1" x14ac:dyDescent="0.2">
      <c r="A3704" t="s">
        <v>2270</v>
      </c>
    </row>
    <row r="3705" spans="1:1" x14ac:dyDescent="0.2">
      <c r="A3705" t="s">
        <v>2271</v>
      </c>
    </row>
    <row r="3706" spans="1:1" x14ac:dyDescent="0.2">
      <c r="A3706" t="s">
        <v>2272</v>
      </c>
    </row>
    <row r="3707" spans="1:1" x14ac:dyDescent="0.2">
      <c r="A3707" t="s">
        <v>2273</v>
      </c>
    </row>
    <row r="3708" spans="1:1" x14ac:dyDescent="0.2">
      <c r="A3708" t="s">
        <v>2274</v>
      </c>
    </row>
    <row r="3709" spans="1:1" x14ac:dyDescent="0.2">
      <c r="A3709" t="s">
        <v>2275</v>
      </c>
    </row>
    <row r="3710" spans="1:1" x14ac:dyDescent="0.2">
      <c r="A3710" t="s">
        <v>2276</v>
      </c>
    </row>
    <row r="3711" spans="1:1" x14ac:dyDescent="0.2">
      <c r="A3711" t="s">
        <v>2277</v>
      </c>
    </row>
    <row r="3712" spans="1:1" x14ac:dyDescent="0.2">
      <c r="A3712" t="s">
        <v>2278</v>
      </c>
    </row>
    <row r="3713" spans="1:1" x14ac:dyDescent="0.2">
      <c r="A3713" t="s">
        <v>2279</v>
      </c>
    </row>
    <row r="3714" spans="1:1" x14ac:dyDescent="0.2">
      <c r="A3714" t="s">
        <v>2280</v>
      </c>
    </row>
    <row r="3715" spans="1:1" x14ac:dyDescent="0.2">
      <c r="A3715" t="s">
        <v>2281</v>
      </c>
    </row>
    <row r="3716" spans="1:1" x14ac:dyDescent="0.2">
      <c r="A3716" t="s">
        <v>2282</v>
      </c>
    </row>
    <row r="3717" spans="1:1" x14ac:dyDescent="0.2">
      <c r="A3717" t="s">
        <v>2283</v>
      </c>
    </row>
    <row r="3718" spans="1:1" x14ac:dyDescent="0.2">
      <c r="A3718" t="s">
        <v>2284</v>
      </c>
    </row>
    <row r="3719" spans="1:1" x14ac:dyDescent="0.2">
      <c r="A3719" t="s">
        <v>2285</v>
      </c>
    </row>
    <row r="3720" spans="1:1" x14ac:dyDescent="0.2">
      <c r="A3720" t="s">
        <v>2286</v>
      </c>
    </row>
    <row r="3721" spans="1:1" x14ac:dyDescent="0.2">
      <c r="A3721" t="s">
        <v>2287</v>
      </c>
    </row>
    <row r="3722" spans="1:1" x14ac:dyDescent="0.2">
      <c r="A3722" t="s">
        <v>2288</v>
      </c>
    </row>
    <row r="3723" spans="1:1" x14ac:dyDescent="0.2">
      <c r="A3723" t="s">
        <v>2289</v>
      </c>
    </row>
    <row r="3724" spans="1:1" x14ac:dyDescent="0.2">
      <c r="A3724" t="s">
        <v>2290</v>
      </c>
    </row>
    <row r="3725" spans="1:1" x14ac:dyDescent="0.2">
      <c r="A3725" t="s">
        <v>2291</v>
      </c>
    </row>
    <row r="3726" spans="1:1" x14ac:dyDescent="0.2">
      <c r="A3726" t="s">
        <v>2292</v>
      </c>
    </row>
    <row r="3727" spans="1:1" x14ac:dyDescent="0.2">
      <c r="A3727" t="s">
        <v>2293</v>
      </c>
    </row>
    <row r="3728" spans="1:1" x14ac:dyDescent="0.2">
      <c r="A3728" t="s">
        <v>2294</v>
      </c>
    </row>
    <row r="3729" spans="1:1" x14ac:dyDescent="0.2">
      <c r="A3729" t="s">
        <v>2268</v>
      </c>
    </row>
    <row r="3730" spans="1:1" x14ac:dyDescent="0.2">
      <c r="A3730" t="s">
        <v>2269</v>
      </c>
    </row>
    <row r="3731" spans="1:1" x14ac:dyDescent="0.2">
      <c r="A3731" t="s">
        <v>2270</v>
      </c>
    </row>
    <row r="3732" spans="1:1" x14ac:dyDescent="0.2">
      <c r="A3732" t="s">
        <v>2271</v>
      </c>
    </row>
    <row r="3733" spans="1:1" x14ac:dyDescent="0.2">
      <c r="A3733" t="s">
        <v>2272</v>
      </c>
    </row>
    <row r="3734" spans="1:1" x14ac:dyDescent="0.2">
      <c r="A3734" t="s">
        <v>2273</v>
      </c>
    </row>
    <row r="3735" spans="1:1" x14ac:dyDescent="0.2">
      <c r="A3735" t="s">
        <v>2274</v>
      </c>
    </row>
    <row r="3736" spans="1:1" x14ac:dyDescent="0.2">
      <c r="A3736" t="s">
        <v>2275</v>
      </c>
    </row>
    <row r="3737" spans="1:1" x14ac:dyDescent="0.2">
      <c r="A3737" t="s">
        <v>2276</v>
      </c>
    </row>
    <row r="3738" spans="1:1" x14ac:dyDescent="0.2">
      <c r="A3738" t="s">
        <v>2277</v>
      </c>
    </row>
    <row r="3739" spans="1:1" x14ac:dyDescent="0.2">
      <c r="A3739" t="s">
        <v>2278</v>
      </c>
    </row>
    <row r="3740" spans="1:1" x14ac:dyDescent="0.2">
      <c r="A3740" t="s">
        <v>2279</v>
      </c>
    </row>
    <row r="3741" spans="1:1" x14ac:dyDescent="0.2">
      <c r="A3741" t="s">
        <v>2280</v>
      </c>
    </row>
    <row r="3742" spans="1:1" x14ac:dyDescent="0.2">
      <c r="A3742" t="s">
        <v>2281</v>
      </c>
    </row>
    <row r="3743" spans="1:1" x14ac:dyDescent="0.2">
      <c r="A3743" t="s">
        <v>2282</v>
      </c>
    </row>
    <row r="3744" spans="1:1" x14ac:dyDescent="0.2">
      <c r="A3744" t="s">
        <v>2283</v>
      </c>
    </row>
    <row r="3745" spans="1:1" x14ac:dyDescent="0.2">
      <c r="A3745" t="s">
        <v>2284</v>
      </c>
    </row>
    <row r="3746" spans="1:1" x14ac:dyDescent="0.2">
      <c r="A3746" t="s">
        <v>2285</v>
      </c>
    </row>
    <row r="3747" spans="1:1" x14ac:dyDescent="0.2">
      <c r="A3747" t="s">
        <v>2286</v>
      </c>
    </row>
    <row r="3748" spans="1:1" x14ac:dyDescent="0.2">
      <c r="A3748" t="s">
        <v>2287</v>
      </c>
    </row>
    <row r="3749" spans="1:1" x14ac:dyDescent="0.2">
      <c r="A3749" t="s">
        <v>2288</v>
      </c>
    </row>
    <row r="3750" spans="1:1" x14ac:dyDescent="0.2">
      <c r="A3750" t="s">
        <v>2289</v>
      </c>
    </row>
    <row r="3751" spans="1:1" x14ac:dyDescent="0.2">
      <c r="A3751" t="s">
        <v>2290</v>
      </c>
    </row>
    <row r="3752" spans="1:1" x14ac:dyDescent="0.2">
      <c r="A3752" t="s">
        <v>2291</v>
      </c>
    </row>
    <row r="3753" spans="1:1" x14ac:dyDescent="0.2">
      <c r="A3753" t="s">
        <v>2292</v>
      </c>
    </row>
    <row r="3754" spans="1:1" x14ac:dyDescent="0.2">
      <c r="A3754" t="s">
        <v>2293</v>
      </c>
    </row>
    <row r="3755" spans="1:1" x14ac:dyDescent="0.2">
      <c r="A3755" t="s">
        <v>2295</v>
      </c>
    </row>
    <row r="3756" spans="1:1" x14ac:dyDescent="0.2">
      <c r="A3756" t="s">
        <v>2268</v>
      </c>
    </row>
    <row r="3757" spans="1:1" x14ac:dyDescent="0.2">
      <c r="A3757" t="s">
        <v>2296</v>
      </c>
    </row>
    <row r="3758" spans="1:1" x14ac:dyDescent="0.2">
      <c r="A3758" t="s">
        <v>2297</v>
      </c>
    </row>
    <row r="3759" spans="1:1" x14ac:dyDescent="0.2">
      <c r="A3759" t="s">
        <v>2298</v>
      </c>
    </row>
    <row r="3760" spans="1:1" x14ac:dyDescent="0.2">
      <c r="A3760" t="s">
        <v>2299</v>
      </c>
    </row>
    <row r="3761" spans="1:1" x14ac:dyDescent="0.2">
      <c r="A3761" t="s">
        <v>2273</v>
      </c>
    </row>
    <row r="3762" spans="1:1" x14ac:dyDescent="0.2">
      <c r="A3762" t="s">
        <v>2300</v>
      </c>
    </row>
    <row r="3763" spans="1:1" x14ac:dyDescent="0.2">
      <c r="A3763" t="s">
        <v>2275</v>
      </c>
    </row>
    <row r="3764" spans="1:1" x14ac:dyDescent="0.2">
      <c r="A3764" t="s">
        <v>2301</v>
      </c>
    </row>
    <row r="3765" spans="1:1" x14ac:dyDescent="0.2">
      <c r="A3765" t="s">
        <v>2277</v>
      </c>
    </row>
    <row r="3766" spans="1:1" x14ac:dyDescent="0.2">
      <c r="A3766" t="s">
        <v>2278</v>
      </c>
    </row>
    <row r="3767" spans="1:1" x14ac:dyDescent="0.2">
      <c r="A3767" t="s">
        <v>2302</v>
      </c>
    </row>
    <row r="3768" spans="1:1" x14ac:dyDescent="0.2">
      <c r="A3768" t="s">
        <v>2303</v>
      </c>
    </row>
    <row r="3769" spans="1:1" x14ac:dyDescent="0.2">
      <c r="A3769" t="s">
        <v>2304</v>
      </c>
    </row>
    <row r="3770" spans="1:1" x14ac:dyDescent="0.2">
      <c r="A3770" t="s">
        <v>2305</v>
      </c>
    </row>
    <row r="3771" spans="1:1" x14ac:dyDescent="0.2">
      <c r="A3771" t="s">
        <v>2306</v>
      </c>
    </row>
    <row r="3772" spans="1:1" x14ac:dyDescent="0.2">
      <c r="A3772" t="s">
        <v>2307</v>
      </c>
    </row>
    <row r="3773" spans="1:1" x14ac:dyDescent="0.2">
      <c r="A3773" t="s">
        <v>2308</v>
      </c>
    </row>
    <row r="3774" spans="1:1" x14ac:dyDescent="0.2">
      <c r="A3774" t="s">
        <v>2309</v>
      </c>
    </row>
    <row r="3775" spans="1:1" x14ac:dyDescent="0.2">
      <c r="A3775" t="s">
        <v>2310</v>
      </c>
    </row>
    <row r="3776" spans="1:1" x14ac:dyDescent="0.2">
      <c r="A3776" t="s">
        <v>2311</v>
      </c>
    </row>
    <row r="3777" spans="1:1" x14ac:dyDescent="0.2">
      <c r="A3777" t="s">
        <v>2312</v>
      </c>
    </row>
    <row r="3778" spans="1:1" x14ac:dyDescent="0.2">
      <c r="A3778" t="s">
        <v>2313</v>
      </c>
    </row>
    <row r="3779" spans="1:1" x14ac:dyDescent="0.2">
      <c r="A3779" t="s">
        <v>2314</v>
      </c>
    </row>
    <row r="3780" spans="1:1" x14ac:dyDescent="0.2">
      <c r="A3780" t="s">
        <v>2292</v>
      </c>
    </row>
    <row r="3781" spans="1:1" x14ac:dyDescent="0.2">
      <c r="A3781" t="s">
        <v>2293</v>
      </c>
    </row>
    <row r="3782" spans="1:1" x14ac:dyDescent="0.2">
      <c r="A3782" t="s">
        <v>2315</v>
      </c>
    </row>
    <row r="3783" spans="1:1" x14ac:dyDescent="0.2">
      <c r="A3783" t="s">
        <v>2268</v>
      </c>
    </row>
    <row r="3784" spans="1:1" x14ac:dyDescent="0.2">
      <c r="A3784" t="s">
        <v>2269</v>
      </c>
    </row>
    <row r="3785" spans="1:1" x14ac:dyDescent="0.2">
      <c r="A3785" t="s">
        <v>2270</v>
      </c>
    </row>
    <row r="3786" spans="1:1" x14ac:dyDescent="0.2">
      <c r="A3786" t="s">
        <v>2271</v>
      </c>
    </row>
    <row r="3787" spans="1:1" x14ac:dyDescent="0.2">
      <c r="A3787" t="s">
        <v>2272</v>
      </c>
    </row>
    <row r="3788" spans="1:1" x14ac:dyDescent="0.2">
      <c r="A3788" t="s">
        <v>2273</v>
      </c>
    </row>
    <row r="3789" spans="1:1" x14ac:dyDescent="0.2">
      <c r="A3789" t="s">
        <v>2274</v>
      </c>
    </row>
    <row r="3790" spans="1:1" x14ac:dyDescent="0.2">
      <c r="A3790" t="s">
        <v>2275</v>
      </c>
    </row>
    <row r="3791" spans="1:1" x14ac:dyDescent="0.2">
      <c r="A3791" t="s">
        <v>2276</v>
      </c>
    </row>
    <row r="3792" spans="1:1" x14ac:dyDescent="0.2">
      <c r="A3792" t="s">
        <v>2277</v>
      </c>
    </row>
    <row r="3793" spans="1:1" x14ac:dyDescent="0.2">
      <c r="A3793" t="s">
        <v>2278</v>
      </c>
    </row>
    <row r="3794" spans="1:1" x14ac:dyDescent="0.2">
      <c r="A3794" t="s">
        <v>2279</v>
      </c>
    </row>
    <row r="3795" spans="1:1" x14ac:dyDescent="0.2">
      <c r="A3795" t="s">
        <v>2280</v>
      </c>
    </row>
    <row r="3796" spans="1:1" x14ac:dyDescent="0.2">
      <c r="A3796" t="s">
        <v>2281</v>
      </c>
    </row>
    <row r="3797" spans="1:1" x14ac:dyDescent="0.2">
      <c r="A3797" t="s">
        <v>2282</v>
      </c>
    </row>
    <row r="3798" spans="1:1" x14ac:dyDescent="0.2">
      <c r="A3798" t="s">
        <v>2283</v>
      </c>
    </row>
    <row r="3799" spans="1:1" x14ac:dyDescent="0.2">
      <c r="A3799" t="s">
        <v>2284</v>
      </c>
    </row>
    <row r="3800" spans="1:1" x14ac:dyDescent="0.2">
      <c r="A3800" t="s">
        <v>2285</v>
      </c>
    </row>
    <row r="3801" spans="1:1" x14ac:dyDescent="0.2">
      <c r="A3801" t="s">
        <v>2286</v>
      </c>
    </row>
    <row r="3802" spans="1:1" x14ac:dyDescent="0.2">
      <c r="A3802" t="s">
        <v>2287</v>
      </c>
    </row>
    <row r="3803" spans="1:1" x14ac:dyDescent="0.2">
      <c r="A3803" t="s">
        <v>2288</v>
      </c>
    </row>
    <row r="3804" spans="1:1" x14ac:dyDescent="0.2">
      <c r="A3804" t="s">
        <v>2289</v>
      </c>
    </row>
    <row r="3805" spans="1:1" x14ac:dyDescent="0.2">
      <c r="A3805" t="s">
        <v>2290</v>
      </c>
    </row>
    <row r="3806" spans="1:1" x14ac:dyDescent="0.2">
      <c r="A3806" t="s">
        <v>2291</v>
      </c>
    </row>
    <row r="3807" spans="1:1" x14ac:dyDescent="0.2">
      <c r="A3807" t="s">
        <v>2292</v>
      </c>
    </row>
    <row r="3808" spans="1:1" x14ac:dyDescent="0.2">
      <c r="A3808" t="s">
        <v>2293</v>
      </c>
    </row>
    <row r="3809" spans="1:1" x14ac:dyDescent="0.2">
      <c r="A3809" t="s">
        <v>2316</v>
      </c>
    </row>
    <row r="3810" spans="1:1" x14ac:dyDescent="0.2">
      <c r="A3810" t="s">
        <v>2268</v>
      </c>
    </row>
    <row r="3811" spans="1:1" x14ac:dyDescent="0.2">
      <c r="A3811" t="s">
        <v>2269</v>
      </c>
    </row>
    <row r="3812" spans="1:1" x14ac:dyDescent="0.2">
      <c r="A3812" t="s">
        <v>2270</v>
      </c>
    </row>
    <row r="3813" spans="1:1" x14ac:dyDescent="0.2">
      <c r="A3813" t="s">
        <v>2271</v>
      </c>
    </row>
    <row r="3814" spans="1:1" x14ac:dyDescent="0.2">
      <c r="A3814" t="s">
        <v>2272</v>
      </c>
    </row>
    <row r="3815" spans="1:1" x14ac:dyDescent="0.2">
      <c r="A3815" t="s">
        <v>2273</v>
      </c>
    </row>
    <row r="3816" spans="1:1" x14ac:dyDescent="0.2">
      <c r="A3816" t="s">
        <v>2274</v>
      </c>
    </row>
    <row r="3817" spans="1:1" x14ac:dyDescent="0.2">
      <c r="A3817" t="s">
        <v>2275</v>
      </c>
    </row>
    <row r="3818" spans="1:1" x14ac:dyDescent="0.2">
      <c r="A3818" t="s">
        <v>2276</v>
      </c>
    </row>
    <row r="3819" spans="1:1" x14ac:dyDescent="0.2">
      <c r="A3819" t="s">
        <v>2277</v>
      </c>
    </row>
    <row r="3820" spans="1:1" x14ac:dyDescent="0.2">
      <c r="A3820" t="s">
        <v>2278</v>
      </c>
    </row>
    <row r="3821" spans="1:1" x14ac:dyDescent="0.2">
      <c r="A3821" t="s">
        <v>2279</v>
      </c>
    </row>
    <row r="3822" spans="1:1" x14ac:dyDescent="0.2">
      <c r="A3822" t="s">
        <v>2280</v>
      </c>
    </row>
    <row r="3823" spans="1:1" x14ac:dyDescent="0.2">
      <c r="A3823" t="s">
        <v>2281</v>
      </c>
    </row>
    <row r="3824" spans="1:1" x14ac:dyDescent="0.2">
      <c r="A3824" t="s">
        <v>2282</v>
      </c>
    </row>
    <row r="3825" spans="1:1" x14ac:dyDescent="0.2">
      <c r="A3825" t="s">
        <v>2283</v>
      </c>
    </row>
    <row r="3826" spans="1:1" x14ac:dyDescent="0.2">
      <c r="A3826" t="s">
        <v>2284</v>
      </c>
    </row>
    <row r="3827" spans="1:1" x14ac:dyDescent="0.2">
      <c r="A3827" t="s">
        <v>2285</v>
      </c>
    </row>
    <row r="3828" spans="1:1" x14ac:dyDescent="0.2">
      <c r="A3828" t="s">
        <v>2286</v>
      </c>
    </row>
    <row r="3829" spans="1:1" x14ac:dyDescent="0.2">
      <c r="A3829" t="s">
        <v>2287</v>
      </c>
    </row>
    <row r="3830" spans="1:1" x14ac:dyDescent="0.2">
      <c r="A3830" t="s">
        <v>2288</v>
      </c>
    </row>
    <row r="3831" spans="1:1" x14ac:dyDescent="0.2">
      <c r="A3831" t="s">
        <v>2289</v>
      </c>
    </row>
    <row r="3832" spans="1:1" x14ac:dyDescent="0.2">
      <c r="A3832" t="s">
        <v>2290</v>
      </c>
    </row>
    <row r="3833" spans="1:1" x14ac:dyDescent="0.2">
      <c r="A3833" t="s">
        <v>2291</v>
      </c>
    </row>
    <row r="3834" spans="1:1" x14ac:dyDescent="0.2">
      <c r="A3834" t="s">
        <v>2292</v>
      </c>
    </row>
    <row r="3835" spans="1:1" x14ac:dyDescent="0.2">
      <c r="A3835" t="s">
        <v>2293</v>
      </c>
    </row>
    <row r="3836" spans="1:1" x14ac:dyDescent="0.2">
      <c r="A3836" t="s">
        <v>2317</v>
      </c>
    </row>
    <row r="3837" spans="1:1" x14ac:dyDescent="0.2">
      <c r="A3837" t="s">
        <v>2318</v>
      </c>
    </row>
    <row r="3838" spans="1:1" x14ac:dyDescent="0.2">
      <c r="A3838" t="s">
        <v>2319</v>
      </c>
    </row>
    <row r="3839" spans="1:1" x14ac:dyDescent="0.2">
      <c r="A3839" t="s">
        <v>2320</v>
      </c>
    </row>
    <row r="3840" spans="1:1" x14ac:dyDescent="0.2">
      <c r="A3840" t="s">
        <v>2321</v>
      </c>
    </row>
    <row r="3841" spans="1:1" x14ac:dyDescent="0.2">
      <c r="A3841" t="s">
        <v>2322</v>
      </c>
    </row>
    <row r="3842" spans="1:1" x14ac:dyDescent="0.2">
      <c r="A3842" t="s">
        <v>2323</v>
      </c>
    </row>
    <row r="3843" spans="1:1" x14ac:dyDescent="0.2">
      <c r="A3843" t="s">
        <v>2324</v>
      </c>
    </row>
    <row r="3844" spans="1:1" x14ac:dyDescent="0.2">
      <c r="A3844" t="s">
        <v>2325</v>
      </c>
    </row>
    <row r="3845" spans="1:1" x14ac:dyDescent="0.2">
      <c r="A3845" t="s">
        <v>2326</v>
      </c>
    </row>
    <row r="3846" spans="1:1" x14ac:dyDescent="0.2">
      <c r="A3846" t="s">
        <v>2327</v>
      </c>
    </row>
    <row r="3847" spans="1:1" x14ac:dyDescent="0.2">
      <c r="A3847" t="s">
        <v>2328</v>
      </c>
    </row>
    <row r="3848" spans="1:1" x14ac:dyDescent="0.2">
      <c r="A3848" t="s">
        <v>2329</v>
      </c>
    </row>
    <row r="3849" spans="1:1" x14ac:dyDescent="0.2">
      <c r="A3849" t="s">
        <v>2330</v>
      </c>
    </row>
    <row r="3850" spans="1:1" x14ac:dyDescent="0.2">
      <c r="A3850" t="s">
        <v>2331</v>
      </c>
    </row>
    <row r="3851" spans="1:1" x14ac:dyDescent="0.2">
      <c r="A3851" t="s">
        <v>2332</v>
      </c>
    </row>
    <row r="3852" spans="1:1" x14ac:dyDescent="0.2">
      <c r="A3852" t="s">
        <v>2333</v>
      </c>
    </row>
    <row r="3853" spans="1:1" x14ac:dyDescent="0.2">
      <c r="A3853" t="s">
        <v>2334</v>
      </c>
    </row>
    <row r="3854" spans="1:1" x14ac:dyDescent="0.2">
      <c r="A3854" t="s">
        <v>2335</v>
      </c>
    </row>
    <row r="3855" spans="1:1" x14ac:dyDescent="0.2">
      <c r="A3855" t="s">
        <v>2336</v>
      </c>
    </row>
    <row r="3856" spans="1:1" x14ac:dyDescent="0.2">
      <c r="A3856" t="s">
        <v>2337</v>
      </c>
    </row>
    <row r="3857" spans="1:1" x14ac:dyDescent="0.2">
      <c r="A3857" t="s">
        <v>2338</v>
      </c>
    </row>
    <row r="3858" spans="1:1" x14ac:dyDescent="0.2">
      <c r="A3858" t="s">
        <v>2339</v>
      </c>
    </row>
    <row r="3859" spans="1:1" x14ac:dyDescent="0.2">
      <c r="A3859" t="s">
        <v>2340</v>
      </c>
    </row>
    <row r="3860" spans="1:1" x14ac:dyDescent="0.2">
      <c r="A3860" t="s">
        <v>2341</v>
      </c>
    </row>
    <row r="3861" spans="1:1" x14ac:dyDescent="0.2">
      <c r="A3861" t="s">
        <v>2342</v>
      </c>
    </row>
    <row r="3862" spans="1:1" x14ac:dyDescent="0.2">
      <c r="A3862" t="s">
        <v>2343</v>
      </c>
    </row>
    <row r="3863" spans="1:1" x14ac:dyDescent="0.2">
      <c r="A3863" t="s">
        <v>2344</v>
      </c>
    </row>
    <row r="3864" spans="1:1" x14ac:dyDescent="0.2">
      <c r="A3864" t="s">
        <v>2345</v>
      </c>
    </row>
    <row r="3865" spans="1:1" x14ac:dyDescent="0.2">
      <c r="A3865" t="s">
        <v>2346</v>
      </c>
    </row>
    <row r="3866" spans="1:1" x14ac:dyDescent="0.2">
      <c r="A3866" t="s">
        <v>2347</v>
      </c>
    </row>
    <row r="3867" spans="1:1" x14ac:dyDescent="0.2">
      <c r="A3867" t="s">
        <v>2348</v>
      </c>
    </row>
    <row r="3868" spans="1:1" x14ac:dyDescent="0.2">
      <c r="A3868" t="s">
        <v>2349</v>
      </c>
    </row>
    <row r="3869" spans="1:1" x14ac:dyDescent="0.2">
      <c r="A3869" t="s">
        <v>2350</v>
      </c>
    </row>
    <row r="3870" spans="1:1" x14ac:dyDescent="0.2">
      <c r="A3870" t="s">
        <v>2351</v>
      </c>
    </row>
    <row r="3871" spans="1:1" x14ac:dyDescent="0.2">
      <c r="A3871" t="s">
        <v>2352</v>
      </c>
    </row>
    <row r="3872" spans="1:1" x14ac:dyDescent="0.2">
      <c r="A3872" t="s">
        <v>2353</v>
      </c>
    </row>
    <row r="3873" spans="1:1" x14ac:dyDescent="0.2">
      <c r="A3873" t="s">
        <v>2354</v>
      </c>
    </row>
    <row r="3874" spans="1:1" x14ac:dyDescent="0.2">
      <c r="A3874" t="s">
        <v>2355</v>
      </c>
    </row>
    <row r="3875" spans="1:1" x14ac:dyDescent="0.2">
      <c r="A3875" t="s">
        <v>2356</v>
      </c>
    </row>
    <row r="3876" spans="1:1" x14ac:dyDescent="0.2">
      <c r="A3876" t="s">
        <v>2357</v>
      </c>
    </row>
    <row r="3877" spans="1:1" x14ac:dyDescent="0.2">
      <c r="A3877" t="s">
        <v>2358</v>
      </c>
    </row>
    <row r="3878" spans="1:1" x14ac:dyDescent="0.2">
      <c r="A3878" t="s">
        <v>2359</v>
      </c>
    </row>
    <row r="3879" spans="1:1" x14ac:dyDescent="0.2">
      <c r="A3879" t="s">
        <v>2360</v>
      </c>
    </row>
    <row r="3880" spans="1:1" x14ac:dyDescent="0.2">
      <c r="A3880" t="s">
        <v>2361</v>
      </c>
    </row>
    <row r="3881" spans="1:1" x14ac:dyDescent="0.2">
      <c r="A3881" t="s">
        <v>2362</v>
      </c>
    </row>
    <row r="3882" spans="1:1" x14ac:dyDescent="0.2">
      <c r="A3882" t="s">
        <v>2363</v>
      </c>
    </row>
    <row r="3883" spans="1:1" x14ac:dyDescent="0.2">
      <c r="A3883" t="s">
        <v>2364</v>
      </c>
    </row>
    <row r="3884" spans="1:1" x14ac:dyDescent="0.2">
      <c r="A3884" t="s">
        <v>2365</v>
      </c>
    </row>
    <row r="3885" spans="1:1" x14ac:dyDescent="0.2">
      <c r="A3885" t="s">
        <v>2366</v>
      </c>
    </row>
    <row r="3886" spans="1:1" x14ac:dyDescent="0.2">
      <c r="A3886" t="s">
        <v>2367</v>
      </c>
    </row>
    <row r="3887" spans="1:1" x14ac:dyDescent="0.2">
      <c r="A3887" t="s">
        <v>2368</v>
      </c>
    </row>
    <row r="3888" spans="1:1" x14ac:dyDescent="0.2">
      <c r="A3888" t="s">
        <v>2369</v>
      </c>
    </row>
    <row r="3889" spans="1:1" x14ac:dyDescent="0.2">
      <c r="A3889" t="s">
        <v>2370</v>
      </c>
    </row>
    <row r="3890" spans="1:1" x14ac:dyDescent="0.2">
      <c r="A3890" t="s">
        <v>2371</v>
      </c>
    </row>
    <row r="3891" spans="1:1" x14ac:dyDescent="0.2">
      <c r="A3891" t="s">
        <v>2372</v>
      </c>
    </row>
    <row r="3892" spans="1:1" x14ac:dyDescent="0.2">
      <c r="A3892" t="s">
        <v>2373</v>
      </c>
    </row>
    <row r="3893" spans="1:1" x14ac:dyDescent="0.2">
      <c r="A3893" t="s">
        <v>2374</v>
      </c>
    </row>
    <row r="3894" spans="1:1" x14ac:dyDescent="0.2">
      <c r="A3894" t="s">
        <v>2375</v>
      </c>
    </row>
    <row r="3895" spans="1:1" x14ac:dyDescent="0.2">
      <c r="A3895" t="s">
        <v>2376</v>
      </c>
    </row>
    <row r="3896" spans="1:1" x14ac:dyDescent="0.2">
      <c r="A3896" t="s">
        <v>2377</v>
      </c>
    </row>
    <row r="3897" spans="1:1" x14ac:dyDescent="0.2">
      <c r="A3897" t="s">
        <v>2378</v>
      </c>
    </row>
    <row r="3898" spans="1:1" x14ac:dyDescent="0.2">
      <c r="A3898" t="s">
        <v>2379</v>
      </c>
    </row>
    <row r="3899" spans="1:1" x14ac:dyDescent="0.2">
      <c r="A3899" t="s">
        <v>2380</v>
      </c>
    </row>
    <row r="3900" spans="1:1" x14ac:dyDescent="0.2">
      <c r="A3900" t="s">
        <v>2381</v>
      </c>
    </row>
    <row r="3901" spans="1:1" x14ac:dyDescent="0.2">
      <c r="A3901" t="s">
        <v>2382</v>
      </c>
    </row>
    <row r="3902" spans="1:1" x14ac:dyDescent="0.2">
      <c r="A3902" t="s">
        <v>2383</v>
      </c>
    </row>
    <row r="3903" spans="1:1" x14ac:dyDescent="0.2">
      <c r="A3903" t="s">
        <v>2384</v>
      </c>
    </row>
    <row r="3904" spans="1:1" x14ac:dyDescent="0.2">
      <c r="A3904" t="s">
        <v>2385</v>
      </c>
    </row>
    <row r="3905" spans="1:1" x14ac:dyDescent="0.2">
      <c r="A3905" t="s">
        <v>2386</v>
      </c>
    </row>
    <row r="3906" spans="1:1" x14ac:dyDescent="0.2">
      <c r="A3906" t="s">
        <v>2387</v>
      </c>
    </row>
    <row r="3907" spans="1:1" x14ac:dyDescent="0.2">
      <c r="A3907" t="s">
        <v>2388</v>
      </c>
    </row>
    <row r="3908" spans="1:1" x14ac:dyDescent="0.2">
      <c r="A3908" t="s">
        <v>2389</v>
      </c>
    </row>
    <row r="3909" spans="1:1" x14ac:dyDescent="0.2">
      <c r="A3909" t="s">
        <v>2390</v>
      </c>
    </row>
    <row r="3910" spans="1:1" x14ac:dyDescent="0.2">
      <c r="A3910" t="s">
        <v>2391</v>
      </c>
    </row>
    <row r="3911" spans="1:1" x14ac:dyDescent="0.2">
      <c r="A3911" t="s">
        <v>2392</v>
      </c>
    </row>
    <row r="3912" spans="1:1" x14ac:dyDescent="0.2">
      <c r="A3912" t="s">
        <v>2393</v>
      </c>
    </row>
    <row r="3913" spans="1:1" x14ac:dyDescent="0.2">
      <c r="A3913" t="s">
        <v>2394</v>
      </c>
    </row>
    <row r="3914" spans="1:1" x14ac:dyDescent="0.2">
      <c r="A3914" t="s">
        <v>2395</v>
      </c>
    </row>
    <row r="3915" spans="1:1" x14ac:dyDescent="0.2">
      <c r="A3915" t="s">
        <v>2396</v>
      </c>
    </row>
    <row r="3916" spans="1:1" x14ac:dyDescent="0.2">
      <c r="A3916" t="s">
        <v>2397</v>
      </c>
    </row>
    <row r="3917" spans="1:1" x14ac:dyDescent="0.2">
      <c r="A3917" t="s">
        <v>2398</v>
      </c>
    </row>
    <row r="3918" spans="1:1" x14ac:dyDescent="0.2">
      <c r="A3918" t="s">
        <v>2399</v>
      </c>
    </row>
    <row r="3919" spans="1:1" x14ac:dyDescent="0.2">
      <c r="A3919" t="s">
        <v>2400</v>
      </c>
    </row>
    <row r="3920" spans="1:1" x14ac:dyDescent="0.2">
      <c r="A3920" t="s">
        <v>2401</v>
      </c>
    </row>
    <row r="3921" spans="1:1" x14ac:dyDescent="0.2">
      <c r="A3921" t="s">
        <v>2402</v>
      </c>
    </row>
    <row r="3922" spans="1:1" x14ac:dyDescent="0.2">
      <c r="A3922" t="s">
        <v>2403</v>
      </c>
    </row>
    <row r="3923" spans="1:1" x14ac:dyDescent="0.2">
      <c r="A3923" t="s">
        <v>2404</v>
      </c>
    </row>
    <row r="3924" spans="1:1" x14ac:dyDescent="0.2">
      <c r="A3924" t="s">
        <v>2405</v>
      </c>
    </row>
    <row r="3925" spans="1:1" x14ac:dyDescent="0.2">
      <c r="A3925" t="s">
        <v>2406</v>
      </c>
    </row>
    <row r="3926" spans="1:1" x14ac:dyDescent="0.2">
      <c r="A3926" t="s">
        <v>2407</v>
      </c>
    </row>
    <row r="3927" spans="1:1" x14ac:dyDescent="0.2">
      <c r="A3927" t="s">
        <v>2408</v>
      </c>
    </row>
    <row r="3928" spans="1:1" x14ac:dyDescent="0.2">
      <c r="A3928" t="s">
        <v>2409</v>
      </c>
    </row>
    <row r="3929" spans="1:1" x14ac:dyDescent="0.2">
      <c r="A3929" t="s">
        <v>2410</v>
      </c>
    </row>
    <row r="3930" spans="1:1" x14ac:dyDescent="0.2">
      <c r="A3930" t="s">
        <v>2411</v>
      </c>
    </row>
    <row r="3931" spans="1:1" x14ac:dyDescent="0.2">
      <c r="A3931" t="s">
        <v>2412</v>
      </c>
    </row>
    <row r="3932" spans="1:1" x14ac:dyDescent="0.2">
      <c r="A3932" t="s">
        <v>2413</v>
      </c>
    </row>
    <row r="3933" spans="1:1" x14ac:dyDescent="0.2">
      <c r="A3933" t="s">
        <v>2414</v>
      </c>
    </row>
    <row r="3934" spans="1:1" x14ac:dyDescent="0.2">
      <c r="A3934" t="s">
        <v>2415</v>
      </c>
    </row>
    <row r="3935" spans="1:1" x14ac:dyDescent="0.2">
      <c r="A3935" t="s">
        <v>2416</v>
      </c>
    </row>
    <row r="3936" spans="1:1" x14ac:dyDescent="0.2">
      <c r="A3936" t="s">
        <v>2417</v>
      </c>
    </row>
    <row r="3937" spans="1:1" x14ac:dyDescent="0.2">
      <c r="A3937" t="s">
        <v>2418</v>
      </c>
    </row>
    <row r="3938" spans="1:1" x14ac:dyDescent="0.2">
      <c r="A3938" t="s">
        <v>2419</v>
      </c>
    </row>
    <row r="3939" spans="1:1" x14ac:dyDescent="0.2">
      <c r="A3939" t="s">
        <v>2420</v>
      </c>
    </row>
    <row r="3940" spans="1:1" x14ac:dyDescent="0.2">
      <c r="A3940" t="s">
        <v>2421</v>
      </c>
    </row>
    <row r="3941" spans="1:1" x14ac:dyDescent="0.2">
      <c r="A3941" t="s">
        <v>2422</v>
      </c>
    </row>
    <row r="3942" spans="1:1" x14ac:dyDescent="0.2">
      <c r="A3942" t="s">
        <v>2423</v>
      </c>
    </row>
    <row r="3943" spans="1:1" x14ac:dyDescent="0.2">
      <c r="A3943" t="s">
        <v>2424</v>
      </c>
    </row>
    <row r="3944" spans="1:1" x14ac:dyDescent="0.2">
      <c r="A3944" t="s">
        <v>2425</v>
      </c>
    </row>
    <row r="3945" spans="1:1" x14ac:dyDescent="0.2">
      <c r="A3945" t="s">
        <v>2426</v>
      </c>
    </row>
    <row r="3946" spans="1:1" x14ac:dyDescent="0.2">
      <c r="A3946" t="s">
        <v>2427</v>
      </c>
    </row>
    <row r="3947" spans="1:1" x14ac:dyDescent="0.2">
      <c r="A3947" t="s">
        <v>2428</v>
      </c>
    </row>
    <row r="3948" spans="1:1" x14ac:dyDescent="0.2">
      <c r="A3948" t="s">
        <v>2429</v>
      </c>
    </row>
    <row r="3949" spans="1:1" x14ac:dyDescent="0.2">
      <c r="A3949" t="s">
        <v>2430</v>
      </c>
    </row>
    <row r="3950" spans="1:1" x14ac:dyDescent="0.2">
      <c r="A3950" t="s">
        <v>2431</v>
      </c>
    </row>
    <row r="3951" spans="1:1" x14ac:dyDescent="0.2">
      <c r="A3951" t="s">
        <v>2432</v>
      </c>
    </row>
    <row r="3952" spans="1:1" x14ac:dyDescent="0.2">
      <c r="A3952" t="s">
        <v>2433</v>
      </c>
    </row>
    <row r="3953" spans="1:1" x14ac:dyDescent="0.2">
      <c r="A3953" t="s">
        <v>2434</v>
      </c>
    </row>
    <row r="3954" spans="1:1" x14ac:dyDescent="0.2">
      <c r="A3954" t="s">
        <v>2435</v>
      </c>
    </row>
    <row r="3955" spans="1:1" x14ac:dyDescent="0.2">
      <c r="A3955" t="s">
        <v>2436</v>
      </c>
    </row>
    <row r="3956" spans="1:1" x14ac:dyDescent="0.2">
      <c r="A3956" t="s">
        <v>2437</v>
      </c>
    </row>
    <row r="3957" spans="1:1" x14ac:dyDescent="0.2">
      <c r="A3957" t="s">
        <v>2438</v>
      </c>
    </row>
    <row r="3958" spans="1:1" x14ac:dyDescent="0.2">
      <c r="A3958" t="s">
        <v>2439</v>
      </c>
    </row>
    <row r="3959" spans="1:1" x14ac:dyDescent="0.2">
      <c r="A3959" t="s">
        <v>2440</v>
      </c>
    </row>
    <row r="3960" spans="1:1" x14ac:dyDescent="0.2">
      <c r="A3960" t="s">
        <v>2441</v>
      </c>
    </row>
    <row r="3961" spans="1:1" x14ac:dyDescent="0.2">
      <c r="A3961" t="s">
        <v>2442</v>
      </c>
    </row>
    <row r="3962" spans="1:1" x14ac:dyDescent="0.2">
      <c r="A3962" t="s">
        <v>2443</v>
      </c>
    </row>
    <row r="3963" spans="1:1" x14ac:dyDescent="0.2">
      <c r="A3963" t="s">
        <v>2444</v>
      </c>
    </row>
    <row r="3964" spans="1:1" x14ac:dyDescent="0.2">
      <c r="A3964" t="s">
        <v>2445</v>
      </c>
    </row>
    <row r="3965" spans="1:1" x14ac:dyDescent="0.2">
      <c r="A3965" t="s">
        <v>2446</v>
      </c>
    </row>
    <row r="3966" spans="1:1" x14ac:dyDescent="0.2">
      <c r="A3966" t="s">
        <v>2447</v>
      </c>
    </row>
    <row r="3967" spans="1:1" x14ac:dyDescent="0.2">
      <c r="A3967" t="s">
        <v>3103</v>
      </c>
    </row>
    <row r="3968" spans="1:1" x14ac:dyDescent="0.2">
      <c r="A3968" t="s">
        <v>3104</v>
      </c>
    </row>
    <row r="3969" spans="1:1" x14ac:dyDescent="0.2">
      <c r="A3969" t="s">
        <v>3105</v>
      </c>
    </row>
    <row r="3970" spans="1:1" x14ac:dyDescent="0.2">
      <c r="A3970" t="s">
        <v>3106</v>
      </c>
    </row>
    <row r="3971" spans="1:1" x14ac:dyDescent="0.2">
      <c r="A3971" t="s">
        <v>3107</v>
      </c>
    </row>
    <row r="3972" spans="1:1" x14ac:dyDescent="0.2">
      <c r="A3972" t="s">
        <v>3108</v>
      </c>
    </row>
    <row r="3973" spans="1:1" x14ac:dyDescent="0.2">
      <c r="A3973" t="s">
        <v>3109</v>
      </c>
    </row>
    <row r="3974" spans="1:1" x14ac:dyDescent="0.2">
      <c r="A3974" t="s">
        <v>3110</v>
      </c>
    </row>
    <row r="3975" spans="1:1" x14ac:dyDescent="0.2">
      <c r="A3975" t="s">
        <v>3111</v>
      </c>
    </row>
    <row r="3976" spans="1:1" x14ac:dyDescent="0.2">
      <c r="A3976" t="s">
        <v>3112</v>
      </c>
    </row>
    <row r="3977" spans="1:1" x14ac:dyDescent="0.2">
      <c r="A3977" t="s">
        <v>3113</v>
      </c>
    </row>
    <row r="3978" spans="1:1" x14ac:dyDescent="0.2">
      <c r="A3978" t="s">
        <v>3114</v>
      </c>
    </row>
    <row r="3979" spans="1:1" x14ac:dyDescent="0.2">
      <c r="A3979" t="s">
        <v>3115</v>
      </c>
    </row>
    <row r="3980" spans="1:1" x14ac:dyDescent="0.2">
      <c r="A3980" t="s">
        <v>3116</v>
      </c>
    </row>
    <row r="3981" spans="1:1" x14ac:dyDescent="0.2">
      <c r="A3981" t="s">
        <v>3117</v>
      </c>
    </row>
    <row r="3982" spans="1:1" x14ac:dyDescent="0.2">
      <c r="A3982" t="s">
        <v>2448</v>
      </c>
    </row>
    <row r="3983" spans="1:1" x14ac:dyDescent="0.2">
      <c r="A3983" t="s">
        <v>2449</v>
      </c>
    </row>
    <row r="3984" spans="1:1" x14ac:dyDescent="0.2">
      <c r="A3984" t="s">
        <v>2450</v>
      </c>
    </row>
    <row r="3985" spans="1:1" x14ac:dyDescent="0.2">
      <c r="A3985" t="s">
        <v>3118</v>
      </c>
    </row>
    <row r="3986" spans="1:1" x14ac:dyDescent="0.2">
      <c r="A3986" t="s">
        <v>3119</v>
      </c>
    </row>
    <row r="3987" spans="1:1" x14ac:dyDescent="0.2">
      <c r="A3987" t="s">
        <v>3120</v>
      </c>
    </row>
    <row r="3988" spans="1:1" x14ac:dyDescent="0.2">
      <c r="A3988" t="s">
        <v>3121</v>
      </c>
    </row>
    <row r="3989" spans="1:1" x14ac:dyDescent="0.2">
      <c r="A3989" t="s">
        <v>3122</v>
      </c>
    </row>
    <row r="3990" spans="1:1" x14ac:dyDescent="0.2">
      <c r="A3990" t="s">
        <v>3123</v>
      </c>
    </row>
    <row r="3991" spans="1:1" x14ac:dyDescent="0.2">
      <c r="A3991" t="s">
        <v>3124</v>
      </c>
    </row>
    <row r="3992" spans="1:1" x14ac:dyDescent="0.2">
      <c r="A3992" t="s">
        <v>3125</v>
      </c>
    </row>
    <row r="3993" spans="1:1" x14ac:dyDescent="0.2">
      <c r="A3993" t="s">
        <v>3126</v>
      </c>
    </row>
    <row r="3994" spans="1:1" x14ac:dyDescent="0.2">
      <c r="A3994" t="s">
        <v>3127</v>
      </c>
    </row>
    <row r="3995" spans="1:1" x14ac:dyDescent="0.2">
      <c r="A3995" t="s">
        <v>3128</v>
      </c>
    </row>
    <row r="3996" spans="1:1" x14ac:dyDescent="0.2">
      <c r="A3996" t="s">
        <v>3129</v>
      </c>
    </row>
    <row r="3997" spans="1:1" x14ac:dyDescent="0.2">
      <c r="A3997" t="s">
        <v>3130</v>
      </c>
    </row>
    <row r="3998" spans="1:1" x14ac:dyDescent="0.2">
      <c r="A3998" t="s">
        <v>3131</v>
      </c>
    </row>
    <row r="3999" spans="1:1" x14ac:dyDescent="0.2">
      <c r="A3999" t="s">
        <v>3132</v>
      </c>
    </row>
    <row r="4000" spans="1:1" x14ac:dyDescent="0.2">
      <c r="A4000" t="s">
        <v>3133</v>
      </c>
    </row>
    <row r="4001" spans="1:1" x14ac:dyDescent="0.2">
      <c r="A4001" t="s">
        <v>3134</v>
      </c>
    </row>
    <row r="4002" spans="1:1" x14ac:dyDescent="0.2">
      <c r="A4002" t="s">
        <v>3135</v>
      </c>
    </row>
    <row r="4003" spans="1:1" x14ac:dyDescent="0.2">
      <c r="A4003" t="s">
        <v>3136</v>
      </c>
    </row>
    <row r="4004" spans="1:1" x14ac:dyDescent="0.2">
      <c r="A4004" t="s">
        <v>3137</v>
      </c>
    </row>
    <row r="4005" spans="1:1" x14ac:dyDescent="0.2">
      <c r="A4005" t="s">
        <v>3138</v>
      </c>
    </row>
    <row r="4006" spans="1:1" x14ac:dyDescent="0.2">
      <c r="A4006" t="s">
        <v>3139</v>
      </c>
    </row>
    <row r="4007" spans="1:1" x14ac:dyDescent="0.2">
      <c r="A4007" t="s">
        <v>3140</v>
      </c>
    </row>
    <row r="4008" spans="1:1" x14ac:dyDescent="0.2">
      <c r="A4008" t="s">
        <v>3141</v>
      </c>
    </row>
    <row r="4009" spans="1:1" x14ac:dyDescent="0.2">
      <c r="A4009" t="s">
        <v>3142</v>
      </c>
    </row>
    <row r="4010" spans="1:1" x14ac:dyDescent="0.2">
      <c r="A4010" t="s">
        <v>3143</v>
      </c>
    </row>
    <row r="4011" spans="1:1" x14ac:dyDescent="0.2">
      <c r="A4011" t="s">
        <v>3144</v>
      </c>
    </row>
    <row r="4012" spans="1:1" x14ac:dyDescent="0.2">
      <c r="A4012" t="s">
        <v>3145</v>
      </c>
    </row>
    <row r="4013" spans="1:1" x14ac:dyDescent="0.2">
      <c r="A4013" t="s">
        <v>3146</v>
      </c>
    </row>
    <row r="4014" spans="1:1" x14ac:dyDescent="0.2">
      <c r="A4014" t="s">
        <v>3147</v>
      </c>
    </row>
    <row r="4015" spans="1:1" x14ac:dyDescent="0.2">
      <c r="A4015" t="s">
        <v>3148</v>
      </c>
    </row>
    <row r="4016" spans="1:1" x14ac:dyDescent="0.2">
      <c r="A4016" t="s">
        <v>3149</v>
      </c>
    </row>
    <row r="4017" spans="1:1" x14ac:dyDescent="0.2">
      <c r="A4017" t="s">
        <v>3150</v>
      </c>
    </row>
    <row r="4018" spans="1:1" x14ac:dyDescent="0.2">
      <c r="A4018" t="s">
        <v>3151</v>
      </c>
    </row>
    <row r="4019" spans="1:1" x14ac:dyDescent="0.2">
      <c r="A4019" t="s">
        <v>3152</v>
      </c>
    </row>
    <row r="4020" spans="1:1" x14ac:dyDescent="0.2">
      <c r="A4020" t="s">
        <v>3153</v>
      </c>
    </row>
    <row r="4021" spans="1:1" x14ac:dyDescent="0.2">
      <c r="A4021" t="s">
        <v>3154</v>
      </c>
    </row>
    <row r="4022" spans="1:1" x14ac:dyDescent="0.2">
      <c r="A4022" t="s">
        <v>3155</v>
      </c>
    </row>
    <row r="4023" spans="1:1" x14ac:dyDescent="0.2">
      <c r="A4023" t="s">
        <v>3156</v>
      </c>
    </row>
    <row r="4024" spans="1:1" x14ac:dyDescent="0.2">
      <c r="A4024" t="s">
        <v>3157</v>
      </c>
    </row>
    <row r="4025" spans="1:1" x14ac:dyDescent="0.2">
      <c r="A4025" t="s">
        <v>3158</v>
      </c>
    </row>
    <row r="4026" spans="1:1" x14ac:dyDescent="0.2">
      <c r="A4026" t="s">
        <v>3159</v>
      </c>
    </row>
    <row r="4027" spans="1:1" x14ac:dyDescent="0.2">
      <c r="A4027" t="s">
        <v>3160</v>
      </c>
    </row>
    <row r="4028" spans="1:1" x14ac:dyDescent="0.2">
      <c r="A4028" t="s">
        <v>3161</v>
      </c>
    </row>
    <row r="4029" spans="1:1" x14ac:dyDescent="0.2">
      <c r="A4029" t="s">
        <v>3162</v>
      </c>
    </row>
    <row r="4030" spans="1:1" x14ac:dyDescent="0.2">
      <c r="A4030" t="s">
        <v>3163</v>
      </c>
    </row>
    <row r="4031" spans="1:1" x14ac:dyDescent="0.2">
      <c r="A4031" t="s">
        <v>3164</v>
      </c>
    </row>
    <row r="4032" spans="1:1" x14ac:dyDescent="0.2">
      <c r="A4032" t="s">
        <v>3165</v>
      </c>
    </row>
    <row r="4033" spans="1:1" x14ac:dyDescent="0.2">
      <c r="A4033" t="s">
        <v>3166</v>
      </c>
    </row>
    <row r="4034" spans="1:1" x14ac:dyDescent="0.2">
      <c r="A4034" t="s">
        <v>3167</v>
      </c>
    </row>
    <row r="4035" spans="1:1" x14ac:dyDescent="0.2">
      <c r="A4035" t="s">
        <v>3168</v>
      </c>
    </row>
    <row r="4036" spans="1:1" x14ac:dyDescent="0.2">
      <c r="A4036" t="s">
        <v>3169</v>
      </c>
    </row>
    <row r="4037" spans="1:1" x14ac:dyDescent="0.2">
      <c r="A4037" t="s">
        <v>3170</v>
      </c>
    </row>
    <row r="4038" spans="1:1" x14ac:dyDescent="0.2">
      <c r="A4038" t="s">
        <v>3171</v>
      </c>
    </row>
    <row r="4039" spans="1:1" x14ac:dyDescent="0.2">
      <c r="A4039" t="s">
        <v>3172</v>
      </c>
    </row>
    <row r="4040" spans="1:1" x14ac:dyDescent="0.2">
      <c r="A4040" t="s">
        <v>2451</v>
      </c>
    </row>
    <row r="4041" spans="1:1" x14ac:dyDescent="0.2">
      <c r="A4041" t="s">
        <v>2452</v>
      </c>
    </row>
    <row r="4042" spans="1:1" x14ac:dyDescent="0.2">
      <c r="A4042" t="s">
        <v>3173</v>
      </c>
    </row>
    <row r="4043" spans="1:1" x14ac:dyDescent="0.2">
      <c r="A4043" t="s">
        <v>2453</v>
      </c>
    </row>
    <row r="4044" spans="1:1" x14ac:dyDescent="0.2">
      <c r="A4044" t="s">
        <v>2454</v>
      </c>
    </row>
    <row r="4045" spans="1:1" x14ac:dyDescent="0.2">
      <c r="A4045" t="s">
        <v>2455</v>
      </c>
    </row>
    <row r="4046" spans="1:1" x14ac:dyDescent="0.2">
      <c r="A4046" t="s">
        <v>2456</v>
      </c>
    </row>
    <row r="4047" spans="1:1" x14ac:dyDescent="0.2">
      <c r="A4047" t="s">
        <v>2457</v>
      </c>
    </row>
    <row r="4048" spans="1:1" x14ac:dyDescent="0.2">
      <c r="A4048" t="s">
        <v>2458</v>
      </c>
    </row>
    <row r="4049" spans="1:1" x14ac:dyDescent="0.2">
      <c r="A4049" t="s">
        <v>2459</v>
      </c>
    </row>
    <row r="4050" spans="1:1" x14ac:dyDescent="0.2">
      <c r="A4050" t="s">
        <v>2460</v>
      </c>
    </row>
    <row r="4051" spans="1:1" x14ac:dyDescent="0.2">
      <c r="A4051" t="s">
        <v>3174</v>
      </c>
    </row>
    <row r="4052" spans="1:1" x14ac:dyDescent="0.2">
      <c r="A4052" t="s">
        <v>3175</v>
      </c>
    </row>
    <row r="4053" spans="1:1" x14ac:dyDescent="0.2">
      <c r="A4053" t="s">
        <v>3176</v>
      </c>
    </row>
    <row r="4054" spans="1:1" x14ac:dyDescent="0.2">
      <c r="A4054" t="s">
        <v>3177</v>
      </c>
    </row>
    <row r="4055" spans="1:1" x14ac:dyDescent="0.2">
      <c r="A4055" t="s">
        <v>3178</v>
      </c>
    </row>
    <row r="4056" spans="1:1" x14ac:dyDescent="0.2">
      <c r="A4056" t="s">
        <v>3179</v>
      </c>
    </row>
    <row r="4057" spans="1:1" x14ac:dyDescent="0.2">
      <c r="A4057" t="s">
        <v>3180</v>
      </c>
    </row>
    <row r="4058" spans="1:1" x14ac:dyDescent="0.2">
      <c r="A4058" t="s">
        <v>3181</v>
      </c>
    </row>
    <row r="4059" spans="1:1" x14ac:dyDescent="0.2">
      <c r="A4059" t="s">
        <v>3182</v>
      </c>
    </row>
    <row r="4060" spans="1:1" x14ac:dyDescent="0.2">
      <c r="A4060" t="s">
        <v>3183</v>
      </c>
    </row>
    <row r="4061" spans="1:1" x14ac:dyDescent="0.2">
      <c r="A4061" t="s">
        <v>3184</v>
      </c>
    </row>
    <row r="4062" spans="1:1" x14ac:dyDescent="0.2">
      <c r="A4062" t="s">
        <v>3185</v>
      </c>
    </row>
    <row r="4063" spans="1:1" x14ac:dyDescent="0.2">
      <c r="A4063" t="s">
        <v>3186</v>
      </c>
    </row>
    <row r="4064" spans="1:1" x14ac:dyDescent="0.2">
      <c r="A4064" t="s">
        <v>3187</v>
      </c>
    </row>
    <row r="4065" spans="1:1" x14ac:dyDescent="0.2">
      <c r="A4065" t="s">
        <v>3188</v>
      </c>
    </row>
    <row r="4066" spans="1:1" x14ac:dyDescent="0.2">
      <c r="A4066" t="s">
        <v>3189</v>
      </c>
    </row>
    <row r="4067" spans="1:1" x14ac:dyDescent="0.2">
      <c r="A4067" t="s">
        <v>3190</v>
      </c>
    </row>
    <row r="4068" spans="1:1" x14ac:dyDescent="0.2">
      <c r="A4068" t="s">
        <v>3191</v>
      </c>
    </row>
    <row r="4069" spans="1:1" x14ac:dyDescent="0.2">
      <c r="A4069" t="s">
        <v>3192</v>
      </c>
    </row>
    <row r="4070" spans="1:1" x14ac:dyDescent="0.2">
      <c r="A4070" t="s">
        <v>3193</v>
      </c>
    </row>
    <row r="4071" spans="1:1" x14ac:dyDescent="0.2">
      <c r="A4071" t="s">
        <v>3194</v>
      </c>
    </row>
    <row r="4072" spans="1:1" x14ac:dyDescent="0.2">
      <c r="A4072" t="s">
        <v>3195</v>
      </c>
    </row>
    <row r="4073" spans="1:1" x14ac:dyDescent="0.2">
      <c r="A4073" t="s">
        <v>3196</v>
      </c>
    </row>
    <row r="4074" spans="1:1" x14ac:dyDescent="0.2">
      <c r="A4074" t="s">
        <v>3197</v>
      </c>
    </row>
    <row r="4075" spans="1:1" x14ac:dyDescent="0.2">
      <c r="A4075" t="s">
        <v>3198</v>
      </c>
    </row>
    <row r="4076" spans="1:1" x14ac:dyDescent="0.2">
      <c r="A4076" t="s">
        <v>3199</v>
      </c>
    </row>
    <row r="4077" spans="1:1" x14ac:dyDescent="0.2">
      <c r="A4077" t="s">
        <v>3200</v>
      </c>
    </row>
    <row r="4078" spans="1:1" x14ac:dyDescent="0.2">
      <c r="A4078" t="s">
        <v>3201</v>
      </c>
    </row>
    <row r="4079" spans="1:1" x14ac:dyDescent="0.2">
      <c r="A4079" t="s">
        <v>3202</v>
      </c>
    </row>
    <row r="4080" spans="1:1" x14ac:dyDescent="0.2">
      <c r="A4080" t="s">
        <v>3203</v>
      </c>
    </row>
    <row r="4081" spans="1:1" x14ac:dyDescent="0.2">
      <c r="A4081" t="s">
        <v>3204</v>
      </c>
    </row>
    <row r="4082" spans="1:1" x14ac:dyDescent="0.2">
      <c r="A4082" t="s">
        <v>3205</v>
      </c>
    </row>
    <row r="4083" spans="1:1" x14ac:dyDescent="0.2">
      <c r="A4083" t="s">
        <v>3206</v>
      </c>
    </row>
    <row r="4084" spans="1:1" x14ac:dyDescent="0.2">
      <c r="A4084" t="s">
        <v>3207</v>
      </c>
    </row>
    <row r="4085" spans="1:1" x14ac:dyDescent="0.2">
      <c r="A4085" t="s">
        <v>3208</v>
      </c>
    </row>
    <row r="4086" spans="1:1" x14ac:dyDescent="0.2">
      <c r="A4086" t="s">
        <v>3209</v>
      </c>
    </row>
    <row r="4087" spans="1:1" x14ac:dyDescent="0.2">
      <c r="A4087" t="s">
        <v>3210</v>
      </c>
    </row>
    <row r="4088" spans="1:1" x14ac:dyDescent="0.2">
      <c r="A4088" t="s">
        <v>3211</v>
      </c>
    </row>
    <row r="4089" spans="1:1" x14ac:dyDescent="0.2">
      <c r="A4089" t="s">
        <v>3212</v>
      </c>
    </row>
    <row r="4090" spans="1:1" x14ac:dyDescent="0.2">
      <c r="A4090" t="s">
        <v>3213</v>
      </c>
    </row>
    <row r="4091" spans="1:1" x14ac:dyDescent="0.2">
      <c r="A4091" t="s">
        <v>3214</v>
      </c>
    </row>
    <row r="4092" spans="1:1" x14ac:dyDescent="0.2">
      <c r="A4092" t="s">
        <v>3215</v>
      </c>
    </row>
    <row r="4093" spans="1:1" x14ac:dyDescent="0.2">
      <c r="A4093" t="s">
        <v>3216</v>
      </c>
    </row>
    <row r="4094" spans="1:1" x14ac:dyDescent="0.2">
      <c r="A4094" t="s">
        <v>3217</v>
      </c>
    </row>
    <row r="4095" spans="1:1" x14ac:dyDescent="0.2">
      <c r="A4095" t="s">
        <v>3218</v>
      </c>
    </row>
    <row r="4096" spans="1:1" x14ac:dyDescent="0.2">
      <c r="A4096" t="s">
        <v>3219</v>
      </c>
    </row>
    <row r="4097" spans="1:1" x14ac:dyDescent="0.2">
      <c r="A4097" t="s">
        <v>3220</v>
      </c>
    </row>
    <row r="4098" spans="1:1" x14ac:dyDescent="0.2">
      <c r="A4098" t="s">
        <v>3221</v>
      </c>
    </row>
    <row r="4099" spans="1:1" x14ac:dyDescent="0.2">
      <c r="A4099" t="s">
        <v>3222</v>
      </c>
    </row>
    <row r="4100" spans="1:1" x14ac:dyDescent="0.2">
      <c r="A4100" t="s">
        <v>2461</v>
      </c>
    </row>
    <row r="4101" spans="1:1" x14ac:dyDescent="0.2">
      <c r="A4101" t="s">
        <v>2462</v>
      </c>
    </row>
    <row r="4102" spans="1:1" x14ac:dyDescent="0.2">
      <c r="A4102" t="s">
        <v>2463</v>
      </c>
    </row>
    <row r="4103" spans="1:1" x14ac:dyDescent="0.2">
      <c r="A4103" t="s">
        <v>2464</v>
      </c>
    </row>
    <row r="4104" spans="1:1" x14ac:dyDescent="0.2">
      <c r="A4104" t="s">
        <v>2465</v>
      </c>
    </row>
    <row r="4105" spans="1:1" x14ac:dyDescent="0.2">
      <c r="A4105" t="s">
        <v>2466</v>
      </c>
    </row>
    <row r="4106" spans="1:1" x14ac:dyDescent="0.2">
      <c r="A4106" t="s">
        <v>2467</v>
      </c>
    </row>
    <row r="4107" spans="1:1" x14ac:dyDescent="0.2">
      <c r="A4107" t="s">
        <v>3223</v>
      </c>
    </row>
    <row r="4108" spans="1:1" x14ac:dyDescent="0.2">
      <c r="A4108" t="s">
        <v>2468</v>
      </c>
    </row>
    <row r="4109" spans="1:1" x14ac:dyDescent="0.2">
      <c r="A4109" t="s">
        <v>2496</v>
      </c>
    </row>
    <row r="4110" spans="1:1" x14ac:dyDescent="0.2">
      <c r="A4110" t="s">
        <v>2470</v>
      </c>
    </row>
    <row r="4111" spans="1:1" x14ac:dyDescent="0.2">
      <c r="A4111" t="s">
        <v>3224</v>
      </c>
    </row>
    <row r="4112" spans="1:1" x14ac:dyDescent="0.2">
      <c r="A4112" t="s">
        <v>2471</v>
      </c>
    </row>
    <row r="4113" spans="1:1" x14ac:dyDescent="0.2">
      <c r="A4113" t="s">
        <v>2472</v>
      </c>
    </row>
    <row r="4114" spans="1:1" x14ac:dyDescent="0.2">
      <c r="A4114" t="s">
        <v>2473</v>
      </c>
    </row>
    <row r="4115" spans="1:1" x14ac:dyDescent="0.2">
      <c r="A4115" t="s">
        <v>3225</v>
      </c>
    </row>
    <row r="4116" spans="1:1" x14ac:dyDescent="0.2">
      <c r="A4116" t="s">
        <v>3226</v>
      </c>
    </row>
    <row r="4117" spans="1:1" x14ac:dyDescent="0.2">
      <c r="A4117" t="s">
        <v>3227</v>
      </c>
    </row>
    <row r="4118" spans="1:1" x14ac:dyDescent="0.2">
      <c r="A4118" t="s">
        <v>3228</v>
      </c>
    </row>
    <row r="4119" spans="1:1" x14ac:dyDescent="0.2">
      <c r="A4119" t="s">
        <v>3229</v>
      </c>
    </row>
    <row r="4120" spans="1:1" x14ac:dyDescent="0.2">
      <c r="A4120" t="s">
        <v>3230</v>
      </c>
    </row>
    <row r="4121" spans="1:1" x14ac:dyDescent="0.2">
      <c r="A4121" t="s">
        <v>2477</v>
      </c>
    </row>
    <row r="4122" spans="1:1" x14ac:dyDescent="0.2">
      <c r="A4122" t="s">
        <v>2478</v>
      </c>
    </row>
    <row r="4123" spans="1:1" x14ac:dyDescent="0.2">
      <c r="A4123" t="s">
        <v>2479</v>
      </c>
    </row>
    <row r="4124" spans="1:1" x14ac:dyDescent="0.2">
      <c r="A4124" t="s">
        <v>2480</v>
      </c>
    </row>
    <row r="4125" spans="1:1" x14ac:dyDescent="0.2">
      <c r="A4125" t="s">
        <v>2481</v>
      </c>
    </row>
    <row r="4126" spans="1:1" x14ac:dyDescent="0.2">
      <c r="A4126" t="s">
        <v>2482</v>
      </c>
    </row>
    <row r="4127" spans="1:1" x14ac:dyDescent="0.2">
      <c r="A4127" t="s">
        <v>2483</v>
      </c>
    </row>
    <row r="4128" spans="1:1" x14ac:dyDescent="0.2">
      <c r="A4128" t="s">
        <v>2484</v>
      </c>
    </row>
    <row r="4129" spans="1:1" x14ac:dyDescent="0.2">
      <c r="A4129" t="s">
        <v>3231</v>
      </c>
    </row>
    <row r="4130" spans="1:1" x14ac:dyDescent="0.2">
      <c r="A4130" t="s">
        <v>2483</v>
      </c>
    </row>
    <row r="4131" spans="1:1" x14ac:dyDescent="0.2">
      <c r="A4131" t="s">
        <v>2485</v>
      </c>
    </row>
    <row r="4132" spans="1:1" x14ac:dyDescent="0.2">
      <c r="A4132" t="s">
        <v>3232</v>
      </c>
    </row>
    <row r="4133" spans="1:1" x14ac:dyDescent="0.2">
      <c r="A4133" t="s">
        <v>2483</v>
      </c>
    </row>
    <row r="4134" spans="1:1" x14ac:dyDescent="0.2">
      <c r="A4134" t="s">
        <v>2507</v>
      </c>
    </row>
    <row r="4135" spans="1:1" x14ac:dyDescent="0.2">
      <c r="A4135" t="s">
        <v>2508</v>
      </c>
    </row>
    <row r="4136" spans="1:1" x14ac:dyDescent="0.2">
      <c r="A4136" t="s">
        <v>2509</v>
      </c>
    </row>
    <row r="4137" spans="1:1" x14ac:dyDescent="0.2">
      <c r="A4137" t="s">
        <v>2510</v>
      </c>
    </row>
    <row r="4138" spans="1:1" x14ac:dyDescent="0.2">
      <c r="A4138" t="s">
        <v>2511</v>
      </c>
    </row>
    <row r="4139" spans="1:1" x14ac:dyDescent="0.2">
      <c r="A4139" t="s">
        <v>2512</v>
      </c>
    </row>
    <row r="4140" spans="1:1" x14ac:dyDescent="0.2">
      <c r="A4140" t="s">
        <v>2513</v>
      </c>
    </row>
    <row r="4141" spans="1:1" x14ac:dyDescent="0.2">
      <c r="A4141" t="s">
        <v>2514</v>
      </c>
    </row>
    <row r="4142" spans="1:1" x14ac:dyDescent="0.2">
      <c r="A4142" t="s">
        <v>2515</v>
      </c>
    </row>
    <row r="4143" spans="1:1" x14ac:dyDescent="0.2">
      <c r="A4143" t="s">
        <v>2516</v>
      </c>
    </row>
    <row r="4144" spans="1:1" x14ac:dyDescent="0.2">
      <c r="A4144" t="s">
        <v>2517</v>
      </c>
    </row>
    <row r="4145" spans="1:1" x14ac:dyDescent="0.2">
      <c r="A4145" t="s">
        <v>2518</v>
      </c>
    </row>
    <row r="4146" spans="1:1" x14ac:dyDescent="0.2">
      <c r="A4146" t="s">
        <v>2519</v>
      </c>
    </row>
    <row r="4147" spans="1:1" x14ac:dyDescent="0.2">
      <c r="A4147" t="s">
        <v>2520</v>
      </c>
    </row>
    <row r="4148" spans="1:1" x14ac:dyDescent="0.2">
      <c r="A4148" t="s">
        <v>2521</v>
      </c>
    </row>
    <row r="4149" spans="1:1" x14ac:dyDescent="0.2">
      <c r="A4149" t="s">
        <v>2522</v>
      </c>
    </row>
    <row r="4151" spans="1:1" x14ac:dyDescent="0.2">
      <c r="A4151" t="s">
        <v>2523</v>
      </c>
    </row>
    <row r="4152" spans="1:1" x14ac:dyDescent="0.2">
      <c r="A4152" t="s">
        <v>2524</v>
      </c>
    </row>
    <row r="4153" spans="1:1" x14ac:dyDescent="0.2">
      <c r="A4153" t="s">
        <v>3233</v>
      </c>
    </row>
    <row r="4155" spans="1:1" x14ac:dyDescent="0.2">
      <c r="A4155" t="s">
        <v>3234</v>
      </c>
    </row>
    <row r="4156" spans="1:1" x14ac:dyDescent="0.2">
      <c r="A4156" t="s">
        <v>2525</v>
      </c>
    </row>
    <row r="4157" spans="1:1" x14ac:dyDescent="0.2">
      <c r="A4157" t="s">
        <v>3235</v>
      </c>
    </row>
    <row r="4159" spans="1:1" x14ac:dyDescent="0.2">
      <c r="A4159" t="s">
        <v>3236</v>
      </c>
    </row>
    <row r="4160" spans="1:1" x14ac:dyDescent="0.2">
      <c r="A4160" t="s">
        <v>2526</v>
      </c>
    </row>
    <row r="4161" spans="1:1" x14ac:dyDescent="0.2">
      <c r="A4161" t="s">
        <v>2527</v>
      </c>
    </row>
    <row r="4162" spans="1:1" x14ac:dyDescent="0.2">
      <c r="A4162" t="s">
        <v>2479</v>
      </c>
    </row>
    <row r="4163" spans="1:1" x14ac:dyDescent="0.2">
      <c r="A4163" t="s">
        <v>2528</v>
      </c>
    </row>
    <row r="4164" spans="1:1" x14ac:dyDescent="0.2">
      <c r="A4164" t="s">
        <v>2481</v>
      </c>
    </row>
    <row r="4165" spans="1:1" x14ac:dyDescent="0.2">
      <c r="A4165" t="s">
        <v>2529</v>
      </c>
    </row>
    <row r="4166" spans="1:1" x14ac:dyDescent="0.2">
      <c r="A4166" t="s">
        <v>2530</v>
      </c>
    </row>
    <row r="4167" spans="1:1" x14ac:dyDescent="0.2">
      <c r="A4167" t="s">
        <v>2484</v>
      </c>
    </row>
    <row r="4168" spans="1:1" x14ac:dyDescent="0.2">
      <c r="A4168" t="s">
        <v>2531</v>
      </c>
    </row>
    <row r="4169" spans="1:1" x14ac:dyDescent="0.2">
      <c r="A4169" t="s">
        <v>2532</v>
      </c>
    </row>
    <row r="4170" spans="1:1" x14ac:dyDescent="0.2">
      <c r="A4170" t="s">
        <v>2485</v>
      </c>
    </row>
    <row r="4171" spans="1:1" x14ac:dyDescent="0.2">
      <c r="A4171" t="s">
        <v>2533</v>
      </c>
    </row>
    <row r="4172" spans="1:1" x14ac:dyDescent="0.2">
      <c r="A4172" t="s">
        <v>2534</v>
      </c>
    </row>
    <row r="4173" spans="1:1" x14ac:dyDescent="0.2">
      <c r="A4173" t="s">
        <v>2486</v>
      </c>
    </row>
    <row r="4174" spans="1:1" x14ac:dyDescent="0.2">
      <c r="A4174" t="s">
        <v>2535</v>
      </c>
    </row>
    <row r="4175" spans="1:1" x14ac:dyDescent="0.2">
      <c r="A4175" t="s">
        <v>2536</v>
      </c>
    </row>
    <row r="4176" spans="1:1" x14ac:dyDescent="0.2">
      <c r="A4176" t="s">
        <v>2487</v>
      </c>
    </row>
    <row r="4177" spans="1:1" x14ac:dyDescent="0.2">
      <c r="A4177" t="s">
        <v>2537</v>
      </c>
    </row>
    <row r="4178" spans="1:1" x14ac:dyDescent="0.2">
      <c r="A4178" t="s">
        <v>2538</v>
      </c>
    </row>
    <row r="4179" spans="1:1" x14ac:dyDescent="0.2">
      <c r="A4179" t="s">
        <v>2488</v>
      </c>
    </row>
    <row r="4180" spans="1:1" x14ac:dyDescent="0.2">
      <c r="A4180" t="s">
        <v>2539</v>
      </c>
    </row>
    <row r="4181" spans="1:1" x14ac:dyDescent="0.2">
      <c r="A4181" t="s">
        <v>2540</v>
      </c>
    </row>
    <row r="4182" spans="1:1" x14ac:dyDescent="0.2">
      <c r="A4182" t="s">
        <v>2469</v>
      </c>
    </row>
    <row r="4183" spans="1:1" x14ac:dyDescent="0.2">
      <c r="A4183" t="s">
        <v>2541</v>
      </c>
    </row>
    <row r="4184" spans="1:1" x14ac:dyDescent="0.2">
      <c r="A4184" t="s">
        <v>2542</v>
      </c>
    </row>
    <row r="4185" spans="1:1" x14ac:dyDescent="0.2">
      <c r="A4185" t="s">
        <v>2489</v>
      </c>
    </row>
    <row r="4186" spans="1:1" x14ac:dyDescent="0.2">
      <c r="A4186" t="s">
        <v>2543</v>
      </c>
    </row>
    <row r="4187" spans="1:1" x14ac:dyDescent="0.2">
      <c r="A4187" t="s">
        <v>2544</v>
      </c>
    </row>
    <row r="4188" spans="1:1" x14ac:dyDescent="0.2">
      <c r="A4188" t="s">
        <v>2490</v>
      </c>
    </row>
    <row r="4189" spans="1:1" x14ac:dyDescent="0.2">
      <c r="A4189" t="s">
        <v>2545</v>
      </c>
    </row>
    <row r="4190" spans="1:1" x14ac:dyDescent="0.2">
      <c r="A4190" t="s">
        <v>2546</v>
      </c>
    </row>
    <row r="4191" spans="1:1" x14ac:dyDescent="0.2">
      <c r="A4191" t="s">
        <v>2491</v>
      </c>
    </row>
    <row r="4192" spans="1:1" x14ac:dyDescent="0.2">
      <c r="A4192" t="s">
        <v>2547</v>
      </c>
    </row>
    <row r="4193" spans="1:1" x14ac:dyDescent="0.2">
      <c r="A4193" t="s">
        <v>2548</v>
      </c>
    </row>
    <row r="4194" spans="1:1" x14ac:dyDescent="0.2">
      <c r="A4194" t="s">
        <v>2492</v>
      </c>
    </row>
    <row r="4195" spans="1:1" x14ac:dyDescent="0.2">
      <c r="A4195" t="s">
        <v>2549</v>
      </c>
    </row>
    <row r="4196" spans="1:1" x14ac:dyDescent="0.2">
      <c r="A4196" t="s">
        <v>2550</v>
      </c>
    </row>
    <row r="4197" spans="1:1" x14ac:dyDescent="0.2">
      <c r="A4197" t="s">
        <v>2493</v>
      </c>
    </row>
    <row r="4198" spans="1:1" x14ac:dyDescent="0.2">
      <c r="A4198" t="s">
        <v>2551</v>
      </c>
    </row>
    <row r="4199" spans="1:1" x14ac:dyDescent="0.2">
      <c r="A4199" t="s">
        <v>2552</v>
      </c>
    </row>
    <row r="4200" spans="1:1" x14ac:dyDescent="0.2">
      <c r="A4200" t="s">
        <v>2494</v>
      </c>
    </row>
    <row r="4201" spans="1:1" x14ac:dyDescent="0.2">
      <c r="A4201" t="s">
        <v>2553</v>
      </c>
    </row>
    <row r="4202" spans="1:1" x14ac:dyDescent="0.2">
      <c r="A4202" t="s">
        <v>2554</v>
      </c>
    </row>
    <row r="4203" spans="1:1" x14ac:dyDescent="0.2">
      <c r="A4203" t="s">
        <v>2474</v>
      </c>
    </row>
    <row r="4204" spans="1:1" x14ac:dyDescent="0.2">
      <c r="A4204" t="s">
        <v>2555</v>
      </c>
    </row>
    <row r="4205" spans="1:1" x14ac:dyDescent="0.2">
      <c r="A4205" t="s">
        <v>2556</v>
      </c>
    </row>
    <row r="4206" spans="1:1" x14ac:dyDescent="0.2">
      <c r="A4206" t="s">
        <v>2475</v>
      </c>
    </row>
    <row r="4207" spans="1:1" x14ac:dyDescent="0.2">
      <c r="A4207" t="s">
        <v>2557</v>
      </c>
    </row>
    <row r="4208" spans="1:1" x14ac:dyDescent="0.2">
      <c r="A4208" t="s">
        <v>2558</v>
      </c>
    </row>
    <row r="4209" spans="1:1" x14ac:dyDescent="0.2">
      <c r="A4209" t="s">
        <v>2495</v>
      </c>
    </row>
    <row r="4210" spans="1:1" x14ac:dyDescent="0.2">
      <c r="A4210" t="s">
        <v>2559</v>
      </c>
    </row>
    <row r="4211" spans="1:1" x14ac:dyDescent="0.2">
      <c r="A4211" t="s">
        <v>2560</v>
      </c>
    </row>
    <row r="4212" spans="1:1" x14ac:dyDescent="0.2">
      <c r="A4212" t="s">
        <v>2496</v>
      </c>
    </row>
    <row r="4213" spans="1:1" x14ac:dyDescent="0.2">
      <c r="A4213" t="s">
        <v>2561</v>
      </c>
    </row>
    <row r="4214" spans="1:1" x14ac:dyDescent="0.2">
      <c r="A4214" t="s">
        <v>2562</v>
      </c>
    </row>
    <row r="4215" spans="1:1" x14ac:dyDescent="0.2">
      <c r="A4215" t="s">
        <v>2497</v>
      </c>
    </row>
    <row r="4216" spans="1:1" x14ac:dyDescent="0.2">
      <c r="A4216" t="s">
        <v>2563</v>
      </c>
    </row>
    <row r="4217" spans="1:1" x14ac:dyDescent="0.2">
      <c r="A4217" t="s">
        <v>2564</v>
      </c>
    </row>
    <row r="4218" spans="1:1" x14ac:dyDescent="0.2">
      <c r="A4218" t="s">
        <v>2476</v>
      </c>
    </row>
    <row r="4219" spans="1:1" x14ac:dyDescent="0.2">
      <c r="A4219" t="s">
        <v>2565</v>
      </c>
    </row>
    <row r="4220" spans="1:1" x14ac:dyDescent="0.2">
      <c r="A4220" t="s">
        <v>2566</v>
      </c>
    </row>
    <row r="4221" spans="1:1" x14ac:dyDescent="0.2">
      <c r="A4221" t="s">
        <v>2498</v>
      </c>
    </row>
    <row r="4222" spans="1:1" x14ac:dyDescent="0.2">
      <c r="A4222" t="s">
        <v>2567</v>
      </c>
    </row>
    <row r="4223" spans="1:1" x14ac:dyDescent="0.2">
      <c r="A4223" t="s">
        <v>2568</v>
      </c>
    </row>
    <row r="4224" spans="1:1" x14ac:dyDescent="0.2">
      <c r="A4224" t="s">
        <v>2499</v>
      </c>
    </row>
    <row r="4225" spans="1:1" x14ac:dyDescent="0.2">
      <c r="A4225" t="s">
        <v>2569</v>
      </c>
    </row>
    <row r="4226" spans="1:1" x14ac:dyDescent="0.2">
      <c r="A4226" t="s">
        <v>2570</v>
      </c>
    </row>
    <row r="4227" spans="1:1" x14ac:dyDescent="0.2">
      <c r="A4227" t="s">
        <v>2500</v>
      </c>
    </row>
    <row r="4228" spans="1:1" x14ac:dyDescent="0.2">
      <c r="A4228" t="s">
        <v>2571</v>
      </c>
    </row>
    <row r="4229" spans="1:1" x14ac:dyDescent="0.2">
      <c r="A4229" t="s">
        <v>2572</v>
      </c>
    </row>
    <row r="4230" spans="1:1" x14ac:dyDescent="0.2">
      <c r="A4230" t="s">
        <v>2501</v>
      </c>
    </row>
    <row r="4231" spans="1:1" x14ac:dyDescent="0.2">
      <c r="A4231" t="s">
        <v>2573</v>
      </c>
    </row>
    <row r="4232" spans="1:1" x14ac:dyDescent="0.2">
      <c r="A4232" t="s">
        <v>2574</v>
      </c>
    </row>
    <row r="4233" spans="1:1" x14ac:dyDescent="0.2">
      <c r="A4233" t="s">
        <v>2502</v>
      </c>
    </row>
    <row r="4234" spans="1:1" x14ac:dyDescent="0.2">
      <c r="A4234" t="s">
        <v>2575</v>
      </c>
    </row>
    <row r="4235" spans="1:1" x14ac:dyDescent="0.2">
      <c r="A4235" t="s">
        <v>2576</v>
      </c>
    </row>
    <row r="4236" spans="1:1" x14ac:dyDescent="0.2">
      <c r="A4236" t="s">
        <v>2503</v>
      </c>
    </row>
    <row r="4237" spans="1:1" x14ac:dyDescent="0.2">
      <c r="A4237" t="s">
        <v>2577</v>
      </c>
    </row>
    <row r="4238" spans="1:1" x14ac:dyDescent="0.2">
      <c r="A4238" t="s">
        <v>2578</v>
      </c>
    </row>
    <row r="4239" spans="1:1" x14ac:dyDescent="0.2">
      <c r="A4239" t="s">
        <v>2504</v>
      </c>
    </row>
    <row r="4240" spans="1:1" x14ac:dyDescent="0.2">
      <c r="A4240" t="s">
        <v>2579</v>
      </c>
    </row>
    <row r="4241" spans="1:1" x14ac:dyDescent="0.2">
      <c r="A4241" t="s">
        <v>2580</v>
      </c>
    </row>
    <row r="4242" spans="1:1" x14ac:dyDescent="0.2">
      <c r="A4242" t="s">
        <v>2505</v>
      </c>
    </row>
    <row r="4243" spans="1:1" x14ac:dyDescent="0.2">
      <c r="A4243" t="s">
        <v>2581</v>
      </c>
    </row>
    <row r="4244" spans="1:1" x14ac:dyDescent="0.2">
      <c r="A4244" t="s">
        <v>2582</v>
      </c>
    </row>
    <row r="4245" spans="1:1" x14ac:dyDescent="0.2">
      <c r="A4245" t="s">
        <v>2506</v>
      </c>
    </row>
    <row r="4246" spans="1:1" x14ac:dyDescent="0.2">
      <c r="A4246" t="s">
        <v>2583</v>
      </c>
    </row>
    <row r="4247" spans="1:1" x14ac:dyDescent="0.2">
      <c r="A4247" t="s">
        <v>2584</v>
      </c>
    </row>
    <row r="4248" spans="1:1" x14ac:dyDescent="0.2">
      <c r="A4248" t="s">
        <v>2585</v>
      </c>
    </row>
    <row r="4249" spans="1:1" x14ac:dyDescent="0.2">
      <c r="A4249" t="s">
        <v>2586</v>
      </c>
    </row>
    <row r="4250" spans="1:1" x14ac:dyDescent="0.2">
      <c r="A4250" t="s">
        <v>2587</v>
      </c>
    </row>
    <row r="4251" spans="1:1" x14ac:dyDescent="0.2">
      <c r="A4251" t="s">
        <v>2588</v>
      </c>
    </row>
    <row r="4252" spans="1:1" x14ac:dyDescent="0.2">
      <c r="A4252" t="s">
        <v>2589</v>
      </c>
    </row>
    <row r="4253" spans="1:1" x14ac:dyDescent="0.2">
      <c r="A4253" t="s">
        <v>2590</v>
      </c>
    </row>
    <row r="4254" spans="1:1" x14ac:dyDescent="0.2">
      <c r="A4254" t="s">
        <v>2591</v>
      </c>
    </row>
    <row r="4255" spans="1:1" x14ac:dyDescent="0.2">
      <c r="A4255" t="s">
        <v>2592</v>
      </c>
    </row>
    <row r="4256" spans="1:1" x14ac:dyDescent="0.2">
      <c r="A4256" t="s">
        <v>2593</v>
      </c>
    </row>
    <row r="4257" spans="1:1" x14ac:dyDescent="0.2">
      <c r="A4257" t="s">
        <v>2594</v>
      </c>
    </row>
    <row r="4258" spans="1:1" x14ac:dyDescent="0.2">
      <c r="A4258" t="s">
        <v>2595</v>
      </c>
    </row>
    <row r="4259" spans="1:1" x14ac:dyDescent="0.2">
      <c r="A4259" t="s">
        <v>2596</v>
      </c>
    </row>
    <row r="4260" spans="1:1" x14ac:dyDescent="0.2">
      <c r="A4260" t="s">
        <v>2597</v>
      </c>
    </row>
    <row r="4261" spans="1:1" x14ac:dyDescent="0.2">
      <c r="A4261" t="s">
        <v>2598</v>
      </c>
    </row>
    <row r="4262" spans="1:1" x14ac:dyDescent="0.2">
      <c r="A4262" t="s">
        <v>2599</v>
      </c>
    </row>
    <row r="4263" spans="1:1" x14ac:dyDescent="0.2">
      <c r="A4263" t="s">
        <v>2600</v>
      </c>
    </row>
    <row r="4264" spans="1:1" x14ac:dyDescent="0.2">
      <c r="A4264" t="s">
        <v>2601</v>
      </c>
    </row>
    <row r="4265" spans="1:1" x14ac:dyDescent="0.2">
      <c r="A4265" t="s">
        <v>2602</v>
      </c>
    </row>
    <row r="4266" spans="1:1" x14ac:dyDescent="0.2">
      <c r="A4266" t="s">
        <v>2603</v>
      </c>
    </row>
    <row r="4267" spans="1:1" x14ac:dyDescent="0.2">
      <c r="A4267" t="s">
        <v>2604</v>
      </c>
    </row>
    <row r="4268" spans="1:1" x14ac:dyDescent="0.2">
      <c r="A4268" t="s">
        <v>2605</v>
      </c>
    </row>
    <row r="4269" spans="1:1" x14ac:dyDescent="0.2">
      <c r="A4269" t="s">
        <v>2606</v>
      </c>
    </row>
    <row r="4270" spans="1:1" x14ac:dyDescent="0.2">
      <c r="A4270" t="s">
        <v>2607</v>
      </c>
    </row>
    <row r="4271" spans="1:1" x14ac:dyDescent="0.2">
      <c r="A4271" t="s">
        <v>2608</v>
      </c>
    </row>
    <row r="4272" spans="1:1" x14ac:dyDescent="0.2">
      <c r="A4272" t="s">
        <v>2609</v>
      </c>
    </row>
    <row r="4273" spans="1:1" x14ac:dyDescent="0.2">
      <c r="A4273" t="s">
        <v>2610</v>
      </c>
    </row>
    <row r="4274" spans="1:1" x14ac:dyDescent="0.2">
      <c r="A4274" t="s">
        <v>2611</v>
      </c>
    </row>
    <row r="4275" spans="1:1" x14ac:dyDescent="0.2">
      <c r="A4275" t="s">
        <v>2612</v>
      </c>
    </row>
    <row r="4276" spans="1:1" x14ac:dyDescent="0.2">
      <c r="A4276" t="s">
        <v>2613</v>
      </c>
    </row>
    <row r="4277" spans="1:1" x14ac:dyDescent="0.2">
      <c r="A4277" t="s">
        <v>2479</v>
      </c>
    </row>
    <row r="4278" spans="1:1" x14ac:dyDescent="0.2">
      <c r="A4278" t="s">
        <v>2614</v>
      </c>
    </row>
    <row r="4279" spans="1:1" x14ac:dyDescent="0.2">
      <c r="A4279" t="s">
        <v>2481</v>
      </c>
    </row>
    <row r="4280" spans="1:1" x14ac:dyDescent="0.2">
      <c r="A4280" t="s">
        <v>2529</v>
      </c>
    </row>
    <row r="4281" spans="1:1" x14ac:dyDescent="0.2">
      <c r="A4281">
        <v>1</v>
      </c>
    </row>
    <row r="4282" spans="1:1" x14ac:dyDescent="0.2">
      <c r="A4282" t="s">
        <v>2484</v>
      </c>
    </row>
    <row r="4283" spans="1:1" x14ac:dyDescent="0.2">
      <c r="A4283" t="s">
        <v>2531</v>
      </c>
    </row>
    <row r="4284" spans="1:1" x14ac:dyDescent="0.2">
      <c r="A4284">
        <v>2</v>
      </c>
    </row>
    <row r="4285" spans="1:1" x14ac:dyDescent="0.2">
      <c r="A4285" t="s">
        <v>2485</v>
      </c>
    </row>
    <row r="4286" spans="1:1" x14ac:dyDescent="0.2">
      <c r="A4286" t="s">
        <v>2533</v>
      </c>
    </row>
    <row r="4287" spans="1:1" x14ac:dyDescent="0.2">
      <c r="A4287">
        <v>3</v>
      </c>
    </row>
    <row r="4288" spans="1:1" x14ac:dyDescent="0.2">
      <c r="A4288" t="s">
        <v>2486</v>
      </c>
    </row>
    <row r="4289" spans="1:1" x14ac:dyDescent="0.2">
      <c r="A4289" t="s">
        <v>2535</v>
      </c>
    </row>
    <row r="4290" spans="1:1" x14ac:dyDescent="0.2">
      <c r="A4290">
        <v>4</v>
      </c>
    </row>
    <row r="4291" spans="1:1" x14ac:dyDescent="0.2">
      <c r="A4291" t="s">
        <v>2487</v>
      </c>
    </row>
    <row r="4292" spans="1:1" x14ac:dyDescent="0.2">
      <c r="A4292" t="s">
        <v>2537</v>
      </c>
    </row>
    <row r="4293" spans="1:1" x14ac:dyDescent="0.2">
      <c r="A4293">
        <v>5</v>
      </c>
    </row>
    <row r="4294" spans="1:1" x14ac:dyDescent="0.2">
      <c r="A4294" t="s">
        <v>2488</v>
      </c>
    </row>
    <row r="4295" spans="1:1" x14ac:dyDescent="0.2">
      <c r="A4295" t="s">
        <v>2539</v>
      </c>
    </row>
    <row r="4296" spans="1:1" x14ac:dyDescent="0.2">
      <c r="A4296">
        <v>6</v>
      </c>
    </row>
    <row r="4297" spans="1:1" x14ac:dyDescent="0.2">
      <c r="A4297" t="s">
        <v>2469</v>
      </c>
    </row>
    <row r="4298" spans="1:1" x14ac:dyDescent="0.2">
      <c r="A4298" t="s">
        <v>2541</v>
      </c>
    </row>
    <row r="4299" spans="1:1" x14ac:dyDescent="0.2">
      <c r="A4299">
        <v>7</v>
      </c>
    </row>
    <row r="4300" spans="1:1" x14ac:dyDescent="0.2">
      <c r="A4300" t="s">
        <v>2489</v>
      </c>
    </row>
    <row r="4301" spans="1:1" x14ac:dyDescent="0.2">
      <c r="A4301" t="s">
        <v>2543</v>
      </c>
    </row>
    <row r="4302" spans="1:1" x14ac:dyDescent="0.2">
      <c r="A4302">
        <v>8</v>
      </c>
    </row>
    <row r="4303" spans="1:1" x14ac:dyDescent="0.2">
      <c r="A4303" t="s">
        <v>2490</v>
      </c>
    </row>
    <row r="4304" spans="1:1" x14ac:dyDescent="0.2">
      <c r="A4304" t="s">
        <v>2545</v>
      </c>
    </row>
    <row r="4305" spans="1:1" x14ac:dyDescent="0.2">
      <c r="A4305">
        <v>9</v>
      </c>
    </row>
    <row r="4306" spans="1:1" x14ac:dyDescent="0.2">
      <c r="A4306" t="s">
        <v>2491</v>
      </c>
    </row>
    <row r="4307" spans="1:1" x14ac:dyDescent="0.2">
      <c r="A4307" t="s">
        <v>2547</v>
      </c>
    </row>
    <row r="4308" spans="1:1" x14ac:dyDescent="0.2">
      <c r="A4308">
        <v>10</v>
      </c>
    </row>
    <row r="4309" spans="1:1" x14ac:dyDescent="0.2">
      <c r="A4309" t="s">
        <v>2492</v>
      </c>
    </row>
    <row r="4310" spans="1:1" x14ac:dyDescent="0.2">
      <c r="A4310" t="s">
        <v>2549</v>
      </c>
    </row>
    <row r="4311" spans="1:1" x14ac:dyDescent="0.2">
      <c r="A4311">
        <v>11</v>
      </c>
    </row>
    <row r="4312" spans="1:1" x14ac:dyDescent="0.2">
      <c r="A4312" t="s">
        <v>2493</v>
      </c>
    </row>
    <row r="4313" spans="1:1" x14ac:dyDescent="0.2">
      <c r="A4313" t="s">
        <v>2551</v>
      </c>
    </row>
    <row r="4314" spans="1:1" x14ac:dyDescent="0.2">
      <c r="A4314">
        <v>12</v>
      </c>
    </row>
    <row r="4315" spans="1:1" x14ac:dyDescent="0.2">
      <c r="A4315" t="s">
        <v>2494</v>
      </c>
    </row>
    <row r="4316" spans="1:1" x14ac:dyDescent="0.2">
      <c r="A4316" t="s">
        <v>2553</v>
      </c>
    </row>
    <row r="4317" spans="1:1" x14ac:dyDescent="0.2">
      <c r="A4317">
        <v>13</v>
      </c>
    </row>
    <row r="4318" spans="1:1" x14ac:dyDescent="0.2">
      <c r="A4318" t="s">
        <v>2474</v>
      </c>
    </row>
    <row r="4319" spans="1:1" x14ac:dyDescent="0.2">
      <c r="A4319" t="s">
        <v>2555</v>
      </c>
    </row>
    <row r="4320" spans="1:1" x14ac:dyDescent="0.2">
      <c r="A4320">
        <v>14</v>
      </c>
    </row>
    <row r="4321" spans="1:1" x14ac:dyDescent="0.2">
      <c r="A4321" t="s">
        <v>2475</v>
      </c>
    </row>
    <row r="4322" spans="1:1" x14ac:dyDescent="0.2">
      <c r="A4322" t="s">
        <v>2557</v>
      </c>
    </row>
    <row r="4323" spans="1:1" x14ac:dyDescent="0.2">
      <c r="A4323">
        <v>15</v>
      </c>
    </row>
    <row r="4324" spans="1:1" x14ac:dyDescent="0.2">
      <c r="A4324" t="s">
        <v>2495</v>
      </c>
    </row>
    <row r="4325" spans="1:1" x14ac:dyDescent="0.2">
      <c r="A4325" t="s">
        <v>2559</v>
      </c>
    </row>
    <row r="4326" spans="1:1" x14ac:dyDescent="0.2">
      <c r="A4326">
        <v>16</v>
      </c>
    </row>
    <row r="4327" spans="1:1" x14ac:dyDescent="0.2">
      <c r="A4327" t="s">
        <v>2496</v>
      </c>
    </row>
    <row r="4328" spans="1:1" x14ac:dyDescent="0.2">
      <c r="A4328" t="s">
        <v>2561</v>
      </c>
    </row>
    <row r="4329" spans="1:1" x14ac:dyDescent="0.2">
      <c r="A4329">
        <v>17</v>
      </c>
    </row>
    <row r="4330" spans="1:1" x14ac:dyDescent="0.2">
      <c r="A4330" t="s">
        <v>2497</v>
      </c>
    </row>
    <row r="4331" spans="1:1" x14ac:dyDescent="0.2">
      <c r="A4331" t="s">
        <v>2563</v>
      </c>
    </row>
    <row r="4332" spans="1:1" x14ac:dyDescent="0.2">
      <c r="A4332">
        <v>18</v>
      </c>
    </row>
    <row r="4333" spans="1:1" x14ac:dyDescent="0.2">
      <c r="A4333" t="s">
        <v>2476</v>
      </c>
    </row>
    <row r="4334" spans="1:1" x14ac:dyDescent="0.2">
      <c r="A4334" t="s">
        <v>2565</v>
      </c>
    </row>
    <row r="4335" spans="1:1" x14ac:dyDescent="0.2">
      <c r="A4335">
        <v>19</v>
      </c>
    </row>
    <row r="4336" spans="1:1" x14ac:dyDescent="0.2">
      <c r="A4336" t="s">
        <v>2498</v>
      </c>
    </row>
    <row r="4337" spans="1:1" x14ac:dyDescent="0.2">
      <c r="A4337" t="s">
        <v>2567</v>
      </c>
    </row>
    <row r="4338" spans="1:1" x14ac:dyDescent="0.2">
      <c r="A4338">
        <v>20</v>
      </c>
    </row>
    <row r="4339" spans="1:1" x14ac:dyDescent="0.2">
      <c r="A4339" t="s">
        <v>2499</v>
      </c>
    </row>
    <row r="4340" spans="1:1" x14ac:dyDescent="0.2">
      <c r="A4340" t="s">
        <v>2569</v>
      </c>
    </row>
    <row r="4341" spans="1:1" x14ac:dyDescent="0.2">
      <c r="A4341">
        <v>21</v>
      </c>
    </row>
    <row r="4342" spans="1:1" x14ac:dyDescent="0.2">
      <c r="A4342" t="s">
        <v>2500</v>
      </c>
    </row>
    <row r="4343" spans="1:1" x14ac:dyDescent="0.2">
      <c r="A4343" t="s">
        <v>2571</v>
      </c>
    </row>
    <row r="4344" spans="1:1" x14ac:dyDescent="0.2">
      <c r="A4344">
        <v>22</v>
      </c>
    </row>
    <row r="4345" spans="1:1" x14ac:dyDescent="0.2">
      <c r="A4345" t="s">
        <v>2501</v>
      </c>
    </row>
    <row r="4346" spans="1:1" x14ac:dyDescent="0.2">
      <c r="A4346" t="s">
        <v>2573</v>
      </c>
    </row>
    <row r="4347" spans="1:1" x14ac:dyDescent="0.2">
      <c r="A4347">
        <v>23</v>
      </c>
    </row>
    <row r="4348" spans="1:1" x14ac:dyDescent="0.2">
      <c r="A4348" t="s">
        <v>2502</v>
      </c>
    </row>
    <row r="4349" spans="1:1" x14ac:dyDescent="0.2">
      <c r="A4349" t="s">
        <v>2575</v>
      </c>
    </row>
    <row r="4350" spans="1:1" x14ac:dyDescent="0.2">
      <c r="A4350">
        <v>24</v>
      </c>
    </row>
    <row r="4351" spans="1:1" x14ac:dyDescent="0.2">
      <c r="A4351" t="s">
        <v>2503</v>
      </c>
    </row>
    <row r="4352" spans="1:1" x14ac:dyDescent="0.2">
      <c r="A4352" t="s">
        <v>2577</v>
      </c>
    </row>
    <row r="4353" spans="1:1" x14ac:dyDescent="0.2">
      <c r="A4353">
        <v>25</v>
      </c>
    </row>
    <row r="4354" spans="1:1" x14ac:dyDescent="0.2">
      <c r="A4354" t="s">
        <v>2504</v>
      </c>
    </row>
    <row r="4355" spans="1:1" x14ac:dyDescent="0.2">
      <c r="A4355" t="s">
        <v>2579</v>
      </c>
    </row>
    <row r="4356" spans="1:1" x14ac:dyDescent="0.2">
      <c r="A4356">
        <v>26</v>
      </c>
    </row>
    <row r="4357" spans="1:1" x14ac:dyDescent="0.2">
      <c r="A4357" t="s">
        <v>2505</v>
      </c>
    </row>
    <row r="4358" spans="1:1" x14ac:dyDescent="0.2">
      <c r="A4358" t="s">
        <v>2581</v>
      </c>
    </row>
    <row r="4359" spans="1:1" x14ac:dyDescent="0.2">
      <c r="A4359">
        <v>27</v>
      </c>
    </row>
    <row r="4360" spans="1:1" x14ac:dyDescent="0.2">
      <c r="A4360" t="s">
        <v>2506</v>
      </c>
    </row>
    <row r="4361" spans="1:1" x14ac:dyDescent="0.2">
      <c r="A4361" t="s">
        <v>2583</v>
      </c>
    </row>
    <row r="4362" spans="1:1" x14ac:dyDescent="0.2">
      <c r="A4362">
        <v>28</v>
      </c>
    </row>
    <row r="4363" spans="1:1" x14ac:dyDescent="0.2">
      <c r="A4363" t="s">
        <v>2585</v>
      </c>
    </row>
    <row r="4364" spans="1:1" x14ac:dyDescent="0.2">
      <c r="A4364" t="s">
        <v>2586</v>
      </c>
    </row>
    <row r="4365" spans="1:1" x14ac:dyDescent="0.2">
      <c r="A4365">
        <v>29</v>
      </c>
    </row>
    <row r="4366" spans="1:1" x14ac:dyDescent="0.2">
      <c r="A4366" t="s">
        <v>2588</v>
      </c>
    </row>
    <row r="4367" spans="1:1" x14ac:dyDescent="0.2">
      <c r="A4367" t="s">
        <v>2589</v>
      </c>
    </row>
    <row r="4368" spans="1:1" x14ac:dyDescent="0.2">
      <c r="A4368">
        <v>30</v>
      </c>
    </row>
    <row r="4369" spans="1:1" x14ac:dyDescent="0.2">
      <c r="A4369" t="s">
        <v>2591</v>
      </c>
    </row>
    <row r="4370" spans="1:1" x14ac:dyDescent="0.2">
      <c r="A4370" t="s">
        <v>2592</v>
      </c>
    </row>
    <row r="4371" spans="1:1" x14ac:dyDescent="0.2">
      <c r="A4371">
        <v>31</v>
      </c>
    </row>
    <row r="4372" spans="1:1" x14ac:dyDescent="0.2">
      <c r="A4372" t="s">
        <v>2594</v>
      </c>
    </row>
    <row r="4373" spans="1:1" x14ac:dyDescent="0.2">
      <c r="A4373" t="s">
        <v>2595</v>
      </c>
    </row>
    <row r="4374" spans="1:1" x14ac:dyDescent="0.2">
      <c r="A4374">
        <v>32</v>
      </c>
    </row>
    <row r="4375" spans="1:1" x14ac:dyDescent="0.2">
      <c r="A4375" t="s">
        <v>2597</v>
      </c>
    </row>
    <row r="4376" spans="1:1" x14ac:dyDescent="0.2">
      <c r="A4376" t="s">
        <v>2598</v>
      </c>
    </row>
    <row r="4377" spans="1:1" x14ac:dyDescent="0.2">
      <c r="A4377">
        <v>33</v>
      </c>
    </row>
    <row r="4378" spans="1:1" x14ac:dyDescent="0.2">
      <c r="A4378" t="s">
        <v>2600</v>
      </c>
    </row>
    <row r="4379" spans="1:1" x14ac:dyDescent="0.2">
      <c r="A4379" t="s">
        <v>2601</v>
      </c>
    </row>
    <row r="4380" spans="1:1" x14ac:dyDescent="0.2">
      <c r="A4380">
        <v>34</v>
      </c>
    </row>
    <row r="4381" spans="1:1" x14ac:dyDescent="0.2">
      <c r="A4381" t="s">
        <v>2603</v>
      </c>
    </row>
    <row r="4382" spans="1:1" x14ac:dyDescent="0.2">
      <c r="A4382" t="s">
        <v>2604</v>
      </c>
    </row>
    <row r="4383" spans="1:1" x14ac:dyDescent="0.2">
      <c r="A4383">
        <v>35</v>
      </c>
    </row>
    <row r="4384" spans="1:1" x14ac:dyDescent="0.2">
      <c r="A4384" t="s">
        <v>2606</v>
      </c>
    </row>
    <row r="4385" spans="1:1" x14ac:dyDescent="0.2">
      <c r="A4385" t="s">
        <v>2607</v>
      </c>
    </row>
    <row r="4386" spans="1:1" x14ac:dyDescent="0.2">
      <c r="A4386">
        <v>36</v>
      </c>
    </row>
    <row r="4387" spans="1:1" x14ac:dyDescent="0.2">
      <c r="A4387" t="s">
        <v>2609</v>
      </c>
    </row>
    <row r="4388" spans="1:1" x14ac:dyDescent="0.2">
      <c r="A4388" t="s">
        <v>2610</v>
      </c>
    </row>
    <row r="4389" spans="1:1" x14ac:dyDescent="0.2">
      <c r="A4389">
        <v>37</v>
      </c>
    </row>
    <row r="4390" spans="1:1" x14ac:dyDescent="0.2">
      <c r="A4390" t="s">
        <v>2615</v>
      </c>
    </row>
    <row r="4391" spans="1:1" x14ac:dyDescent="0.2">
      <c r="A4391" t="s">
        <v>2616</v>
      </c>
    </row>
    <row r="4392" spans="1:1" x14ac:dyDescent="0.2">
      <c r="A4392" t="s">
        <v>2479</v>
      </c>
    </row>
    <row r="4393" spans="1:1" x14ac:dyDescent="0.2">
      <c r="A4393" t="s">
        <v>2617</v>
      </c>
    </row>
    <row r="4394" spans="1:1" x14ac:dyDescent="0.2">
      <c r="A4394" t="s">
        <v>2618</v>
      </c>
    </row>
    <row r="4395" spans="1:1" x14ac:dyDescent="0.2">
      <c r="A4395" t="s">
        <v>2619</v>
      </c>
    </row>
    <row r="4396" spans="1:1" x14ac:dyDescent="0.2">
      <c r="A4396" t="s">
        <v>2620</v>
      </c>
    </row>
    <row r="4397" spans="1:1" x14ac:dyDescent="0.2">
      <c r="A4397" t="s">
        <v>2621</v>
      </c>
    </row>
    <row r="4398" spans="1:1" x14ac:dyDescent="0.2">
      <c r="A4398" t="s">
        <v>2622</v>
      </c>
    </row>
    <row r="4399" spans="1:1" x14ac:dyDescent="0.2">
      <c r="A4399" t="s">
        <v>2623</v>
      </c>
    </row>
    <row r="4400" spans="1:1" x14ac:dyDescent="0.2">
      <c r="A4400" t="s">
        <v>2624</v>
      </c>
    </row>
    <row r="4401" spans="1:1" x14ac:dyDescent="0.2">
      <c r="A4401" t="s">
        <v>2625</v>
      </c>
    </row>
    <row r="4402" spans="1:1" x14ac:dyDescent="0.2">
      <c r="A4402" t="s">
        <v>2626</v>
      </c>
    </row>
    <row r="4403" spans="1:1" x14ac:dyDescent="0.2">
      <c r="A4403" t="s">
        <v>2627</v>
      </c>
    </row>
    <row r="4404" spans="1:1" x14ac:dyDescent="0.2">
      <c r="A4404" t="s">
        <v>2628</v>
      </c>
    </row>
    <row r="4405" spans="1:1" x14ac:dyDescent="0.2">
      <c r="A4405" t="s">
        <v>2629</v>
      </c>
    </row>
    <row r="4406" spans="1:1" x14ac:dyDescent="0.2">
      <c r="A4406" t="s">
        <v>2630</v>
      </c>
    </row>
    <row r="4407" spans="1:1" x14ac:dyDescent="0.2">
      <c r="A4407" t="s">
        <v>2631</v>
      </c>
    </row>
    <row r="4408" spans="1:1" x14ac:dyDescent="0.2">
      <c r="A4408" t="s">
        <v>2632</v>
      </c>
    </row>
    <row r="4409" spans="1:1" x14ac:dyDescent="0.2">
      <c r="A4409" t="s">
        <v>2633</v>
      </c>
    </row>
    <row r="4410" spans="1:1" x14ac:dyDescent="0.2">
      <c r="A4410" t="s">
        <v>2634</v>
      </c>
    </row>
    <row r="4411" spans="1:1" x14ac:dyDescent="0.2">
      <c r="A4411" t="s">
        <v>2635</v>
      </c>
    </row>
    <row r="4412" spans="1:1" x14ac:dyDescent="0.2">
      <c r="A4412" t="s">
        <v>2636</v>
      </c>
    </row>
    <row r="4413" spans="1:1" x14ac:dyDescent="0.2">
      <c r="A4413" t="s">
        <v>2637</v>
      </c>
    </row>
    <row r="4414" spans="1:1" x14ac:dyDescent="0.2">
      <c r="A4414" t="s">
        <v>2638</v>
      </c>
    </row>
    <row r="4415" spans="1:1" x14ac:dyDescent="0.2">
      <c r="A4415" t="s">
        <v>2639</v>
      </c>
    </row>
    <row r="4416" spans="1:1" x14ac:dyDescent="0.2">
      <c r="A4416" t="s">
        <v>2640</v>
      </c>
    </row>
    <row r="4417" spans="1:1" x14ac:dyDescent="0.2">
      <c r="A4417" t="s">
        <v>2641</v>
      </c>
    </row>
    <row r="4418" spans="1:1" x14ac:dyDescent="0.2">
      <c r="A4418" t="s">
        <v>2642</v>
      </c>
    </row>
    <row r="4419" spans="1:1" x14ac:dyDescent="0.2">
      <c r="A4419" t="s">
        <v>2643</v>
      </c>
    </row>
    <row r="4420" spans="1:1" x14ac:dyDescent="0.2">
      <c r="A4420" t="s">
        <v>2644</v>
      </c>
    </row>
    <row r="4421" spans="1:1" x14ac:dyDescent="0.2">
      <c r="A4421" t="s">
        <v>2645</v>
      </c>
    </row>
    <row r="4422" spans="1:1" x14ac:dyDescent="0.2">
      <c r="A4422" t="s">
        <v>2646</v>
      </c>
    </row>
    <row r="4423" spans="1:1" x14ac:dyDescent="0.2">
      <c r="A4423" t="s">
        <v>2647</v>
      </c>
    </row>
    <row r="4424" spans="1:1" x14ac:dyDescent="0.2">
      <c r="A4424" t="s">
        <v>2648</v>
      </c>
    </row>
    <row r="4425" spans="1:1" x14ac:dyDescent="0.2">
      <c r="A4425" t="s">
        <v>2649</v>
      </c>
    </row>
    <row r="4426" spans="1:1" x14ac:dyDescent="0.2">
      <c r="A4426" t="s">
        <v>2650</v>
      </c>
    </row>
    <row r="4427" spans="1:1" x14ac:dyDescent="0.2">
      <c r="A4427" t="s">
        <v>2651</v>
      </c>
    </row>
    <row r="4428" spans="1:1" x14ac:dyDescent="0.2">
      <c r="A4428" t="s">
        <v>2652</v>
      </c>
    </row>
    <row r="4429" spans="1:1" x14ac:dyDescent="0.2">
      <c r="A4429" t="s">
        <v>2653</v>
      </c>
    </row>
    <row r="4430" spans="1:1" x14ac:dyDescent="0.2">
      <c r="A4430" t="s">
        <v>2654</v>
      </c>
    </row>
    <row r="4431" spans="1:1" x14ac:dyDescent="0.2">
      <c r="A4431" t="s">
        <v>2655</v>
      </c>
    </row>
    <row r="4432" spans="1:1" x14ac:dyDescent="0.2">
      <c r="A4432" t="s">
        <v>2656</v>
      </c>
    </row>
    <row r="4433" spans="1:1" x14ac:dyDescent="0.2">
      <c r="A4433" t="s">
        <v>2657</v>
      </c>
    </row>
    <row r="4434" spans="1:1" x14ac:dyDescent="0.2">
      <c r="A4434" t="s">
        <v>2658</v>
      </c>
    </row>
    <row r="4435" spans="1:1" x14ac:dyDescent="0.2">
      <c r="A4435" t="s">
        <v>2659</v>
      </c>
    </row>
    <row r="4436" spans="1:1" x14ac:dyDescent="0.2">
      <c r="A4436" t="s">
        <v>2660</v>
      </c>
    </row>
    <row r="4437" spans="1:1" x14ac:dyDescent="0.2">
      <c r="A4437" t="s">
        <v>2661</v>
      </c>
    </row>
    <row r="4438" spans="1:1" x14ac:dyDescent="0.2">
      <c r="A4438" t="s">
        <v>2662</v>
      </c>
    </row>
    <row r="4439" spans="1:1" x14ac:dyDescent="0.2">
      <c r="A4439" t="s">
        <v>2663</v>
      </c>
    </row>
    <row r="4440" spans="1:1" x14ac:dyDescent="0.2">
      <c r="A4440" t="s">
        <v>2664</v>
      </c>
    </row>
    <row r="4441" spans="1:1" x14ac:dyDescent="0.2">
      <c r="A4441" t="s">
        <v>2665</v>
      </c>
    </row>
    <row r="4442" spans="1:1" x14ac:dyDescent="0.2">
      <c r="A4442" t="s">
        <v>2666</v>
      </c>
    </row>
    <row r="4443" spans="1:1" x14ac:dyDescent="0.2">
      <c r="A4443" t="s">
        <v>2667</v>
      </c>
    </row>
    <row r="4444" spans="1:1" x14ac:dyDescent="0.2">
      <c r="A4444" t="s">
        <v>2668</v>
      </c>
    </row>
    <row r="4445" spans="1:1" x14ac:dyDescent="0.2">
      <c r="A4445" t="s">
        <v>2669</v>
      </c>
    </row>
    <row r="4446" spans="1:1" x14ac:dyDescent="0.2">
      <c r="A4446" t="s">
        <v>2670</v>
      </c>
    </row>
    <row r="4447" spans="1:1" x14ac:dyDescent="0.2">
      <c r="A4447" t="s">
        <v>2671</v>
      </c>
    </row>
    <row r="4448" spans="1:1" x14ac:dyDescent="0.2">
      <c r="A4448" t="s">
        <v>2672</v>
      </c>
    </row>
    <row r="4449" spans="1:1" x14ac:dyDescent="0.2">
      <c r="A4449" t="s">
        <v>2673</v>
      </c>
    </row>
    <row r="4450" spans="1:1" x14ac:dyDescent="0.2">
      <c r="A4450" t="s">
        <v>2674</v>
      </c>
    </row>
    <row r="4451" spans="1:1" x14ac:dyDescent="0.2">
      <c r="A4451" t="s">
        <v>2675</v>
      </c>
    </row>
    <row r="4452" spans="1:1" x14ac:dyDescent="0.2">
      <c r="A4452" t="s">
        <v>2676</v>
      </c>
    </row>
    <row r="4453" spans="1:1" x14ac:dyDescent="0.2">
      <c r="A4453" t="s">
        <v>2677</v>
      </c>
    </row>
    <row r="4454" spans="1:1" x14ac:dyDescent="0.2">
      <c r="A4454" t="s">
        <v>2678</v>
      </c>
    </row>
    <row r="4455" spans="1:1" x14ac:dyDescent="0.2">
      <c r="A4455" t="s">
        <v>2679</v>
      </c>
    </row>
    <row r="4456" spans="1:1" x14ac:dyDescent="0.2">
      <c r="A4456" t="s">
        <v>2680</v>
      </c>
    </row>
    <row r="4457" spans="1:1" x14ac:dyDescent="0.2">
      <c r="A4457" t="s">
        <v>2681</v>
      </c>
    </row>
    <row r="4458" spans="1:1" x14ac:dyDescent="0.2">
      <c r="A4458" t="s">
        <v>2682</v>
      </c>
    </row>
    <row r="4459" spans="1:1" x14ac:dyDescent="0.2">
      <c r="A4459" t="s">
        <v>2683</v>
      </c>
    </row>
    <row r="4460" spans="1:1" x14ac:dyDescent="0.2">
      <c r="A4460" t="s">
        <v>2684</v>
      </c>
    </row>
    <row r="4461" spans="1:1" x14ac:dyDescent="0.2">
      <c r="A4461" t="s">
        <v>2685</v>
      </c>
    </row>
    <row r="4462" spans="1:1" x14ac:dyDescent="0.2">
      <c r="A4462" t="s">
        <v>2686</v>
      </c>
    </row>
    <row r="4463" spans="1:1" x14ac:dyDescent="0.2">
      <c r="A4463" t="s">
        <v>2687</v>
      </c>
    </row>
    <row r="4464" spans="1:1" x14ac:dyDescent="0.2">
      <c r="A4464" t="s">
        <v>2688</v>
      </c>
    </row>
    <row r="4465" spans="1:1" x14ac:dyDescent="0.2">
      <c r="A4465" t="s">
        <v>2686</v>
      </c>
    </row>
    <row r="4466" spans="1:1" x14ac:dyDescent="0.2">
      <c r="A4466" t="s">
        <v>2689</v>
      </c>
    </row>
    <row r="4467" spans="1:1" x14ac:dyDescent="0.2">
      <c r="A4467" t="s">
        <v>2690</v>
      </c>
    </row>
    <row r="4468" spans="1:1" x14ac:dyDescent="0.2">
      <c r="A4468" t="s">
        <v>2686</v>
      </c>
    </row>
    <row r="4469" spans="1:1" x14ac:dyDescent="0.2">
      <c r="A4469" t="s">
        <v>2691</v>
      </c>
    </row>
    <row r="4470" spans="1:1" x14ac:dyDescent="0.2">
      <c r="A4470" t="s">
        <v>2692</v>
      </c>
    </row>
    <row r="4471" spans="1:1" x14ac:dyDescent="0.2">
      <c r="A4471" t="s">
        <v>2693</v>
      </c>
    </row>
    <row r="4472" spans="1:1" x14ac:dyDescent="0.2">
      <c r="A4472" t="s">
        <v>2694</v>
      </c>
    </row>
    <row r="4473" spans="1:1" x14ac:dyDescent="0.2">
      <c r="A4473" t="s">
        <v>2695</v>
      </c>
    </row>
    <row r="4474" spans="1:1" x14ac:dyDescent="0.2">
      <c r="A4474" t="s">
        <v>2696</v>
      </c>
    </row>
    <row r="4475" spans="1:1" x14ac:dyDescent="0.2">
      <c r="A4475" t="s">
        <v>295</v>
      </c>
    </row>
    <row r="4476" spans="1:1" x14ac:dyDescent="0.2">
      <c r="A4476" t="s">
        <v>2697</v>
      </c>
    </row>
    <row r="4477" spans="1:1" x14ac:dyDescent="0.2">
      <c r="A4477" t="s">
        <v>2697</v>
      </c>
    </row>
    <row r="4478" spans="1:1" x14ac:dyDescent="0.2">
      <c r="A4478" t="s">
        <v>2697</v>
      </c>
    </row>
    <row r="4479" spans="1:1" x14ac:dyDescent="0.2">
      <c r="A4479">
        <v>0</v>
      </c>
    </row>
    <row r="4480" spans="1:1" x14ac:dyDescent="0.2">
      <c r="A4480" t="s">
        <v>296</v>
      </c>
    </row>
    <row r="4481" spans="1:1" x14ac:dyDescent="0.2">
      <c r="A4481" t="s">
        <v>297</v>
      </c>
    </row>
    <row r="4482" spans="1:1" x14ac:dyDescent="0.2">
      <c r="A4482" t="s">
        <v>297</v>
      </c>
    </row>
    <row r="4483" spans="1:1" x14ac:dyDescent="0.2">
      <c r="A4483">
        <v>1</v>
      </c>
    </row>
    <row r="4484" spans="1:1" x14ac:dyDescent="0.2">
      <c r="A4484" t="s">
        <v>2697</v>
      </c>
    </row>
    <row r="4485" spans="1:1" x14ac:dyDescent="0.2">
      <c r="A4485" t="s">
        <v>2697</v>
      </c>
    </row>
    <row r="4486" spans="1:1" x14ac:dyDescent="0.2">
      <c r="A4486" t="s">
        <v>2697</v>
      </c>
    </row>
    <row r="4487" spans="1:1" x14ac:dyDescent="0.2">
      <c r="A4487" t="s">
        <v>2698</v>
      </c>
    </row>
    <row r="4488" spans="1:1" x14ac:dyDescent="0.2">
      <c r="A4488" t="s">
        <v>2699</v>
      </c>
    </row>
    <row r="4489" spans="1:1" x14ac:dyDescent="0.2">
      <c r="A4489" t="s">
        <v>2700</v>
      </c>
    </row>
    <row r="4490" spans="1:1" x14ac:dyDescent="0.2">
      <c r="A4490" t="s">
        <v>2479</v>
      </c>
    </row>
    <row r="4491" spans="1:1" x14ac:dyDescent="0.2">
      <c r="A4491" t="s">
        <v>2701</v>
      </c>
    </row>
    <row r="4492" spans="1:1" x14ac:dyDescent="0.2">
      <c r="A4492" t="s">
        <v>2702</v>
      </c>
    </row>
    <row r="4493" spans="1:1" x14ac:dyDescent="0.2">
      <c r="A4493" t="s">
        <v>2703</v>
      </c>
    </row>
    <row r="4494" spans="1:1" x14ac:dyDescent="0.2">
      <c r="A4494" t="s">
        <v>2704</v>
      </c>
    </row>
    <row r="4495" spans="1:1" x14ac:dyDescent="0.2">
      <c r="A4495" t="s">
        <v>2705</v>
      </c>
    </row>
    <row r="4496" spans="1:1" x14ac:dyDescent="0.2">
      <c r="A4496">
        <v>1</v>
      </c>
    </row>
    <row r="4497" spans="1:1" x14ac:dyDescent="0.2">
      <c r="A4497" t="s">
        <v>3237</v>
      </c>
    </row>
    <row r="4498" spans="1:1" x14ac:dyDescent="0.2">
      <c r="A4498" t="s">
        <v>2706</v>
      </c>
    </row>
    <row r="4499" spans="1:1" x14ac:dyDescent="0.2">
      <c r="A4499">
        <v>2</v>
      </c>
    </row>
    <row r="4500" spans="1:1" x14ac:dyDescent="0.2">
      <c r="A4500" t="s">
        <v>3238</v>
      </c>
    </row>
    <row r="4501" spans="1:1" x14ac:dyDescent="0.2">
      <c r="A4501" t="s">
        <v>2707</v>
      </c>
    </row>
    <row r="4502" spans="1:1" x14ac:dyDescent="0.2">
      <c r="A4502">
        <v>3</v>
      </c>
    </row>
    <row r="4503" spans="1:1" x14ac:dyDescent="0.2">
      <c r="A4503" t="s">
        <v>3239</v>
      </c>
    </row>
    <row r="4504" spans="1:1" x14ac:dyDescent="0.2">
      <c r="A4504" t="s">
        <v>3240</v>
      </c>
    </row>
    <row r="4505" spans="1:1" x14ac:dyDescent="0.2">
      <c r="A4505">
        <v>1</v>
      </c>
    </row>
    <row r="4506" spans="1:1" x14ac:dyDescent="0.2">
      <c r="A4506" t="s">
        <v>3237</v>
      </c>
    </row>
    <row r="4507" spans="1:1" x14ac:dyDescent="0.2">
      <c r="A4507" t="s">
        <v>3241</v>
      </c>
    </row>
    <row r="4508" spans="1:1" x14ac:dyDescent="0.2">
      <c r="A4508">
        <v>2</v>
      </c>
    </row>
    <row r="4509" spans="1:1" x14ac:dyDescent="0.2">
      <c r="A4509" t="s">
        <v>3238</v>
      </c>
    </row>
    <row r="4510" spans="1:1" x14ac:dyDescent="0.2">
      <c r="A4510" t="s">
        <v>3242</v>
      </c>
    </row>
    <row r="4511" spans="1:1" x14ac:dyDescent="0.2">
      <c r="A4511">
        <v>3</v>
      </c>
    </row>
    <row r="4512" spans="1:1" x14ac:dyDescent="0.2">
      <c r="A4512" t="s">
        <v>3239</v>
      </c>
    </row>
    <row r="4513" spans="1:1" x14ac:dyDescent="0.2">
      <c r="A4513" t="s">
        <v>2708</v>
      </c>
    </row>
    <row r="4514" spans="1:1" x14ac:dyDescent="0.2">
      <c r="A4514" t="s">
        <v>2477</v>
      </c>
    </row>
    <row r="4515" spans="1:1" x14ac:dyDescent="0.2">
      <c r="A4515" t="s">
        <v>2478</v>
      </c>
    </row>
    <row r="4516" spans="1:1" x14ac:dyDescent="0.2">
      <c r="A4516" t="s">
        <v>2479</v>
      </c>
    </row>
    <row r="4517" spans="1:1" x14ac:dyDescent="0.2">
      <c r="A4517" t="s">
        <v>2480</v>
      </c>
    </row>
    <row r="4518" spans="1:1" x14ac:dyDescent="0.2">
      <c r="A4518" t="s">
        <v>2481</v>
      </c>
    </row>
    <row r="4519" spans="1:1" x14ac:dyDescent="0.2">
      <c r="A4519" t="s">
        <v>2482</v>
      </c>
    </row>
    <row r="4520" spans="1:1" x14ac:dyDescent="0.2">
      <c r="A4520" t="s">
        <v>2483</v>
      </c>
    </row>
    <row r="4521" spans="1:1" x14ac:dyDescent="0.2">
      <c r="A4521" t="s">
        <v>2484</v>
      </c>
    </row>
    <row r="4522" spans="1:1" x14ac:dyDescent="0.2">
      <c r="A4522" t="s">
        <v>3231</v>
      </c>
    </row>
    <row r="4523" spans="1:1" x14ac:dyDescent="0.2">
      <c r="A4523" t="s">
        <v>2483</v>
      </c>
    </row>
    <row r="4524" spans="1:1" x14ac:dyDescent="0.2">
      <c r="A4524" t="s">
        <v>2485</v>
      </c>
    </row>
    <row r="4525" spans="1:1" x14ac:dyDescent="0.2">
      <c r="A4525" t="s">
        <v>3232</v>
      </c>
    </row>
    <row r="4526" spans="1:1" x14ac:dyDescent="0.2">
      <c r="A4526" t="s">
        <v>2483</v>
      </c>
    </row>
    <row r="4527" spans="1:1" x14ac:dyDescent="0.2">
      <c r="A4527" t="s">
        <v>2709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dimension ref="C1:V899"/>
  <sheetViews>
    <sheetView workbookViewId="0">
      <selection activeCell="G4" sqref="G4"/>
    </sheetView>
  </sheetViews>
  <sheetFormatPr defaultRowHeight="12.75" x14ac:dyDescent="0.2"/>
  <cols>
    <col min="2" max="2" width="81.140625" bestFit="1" customWidth="1"/>
    <col min="3" max="3" width="16.140625" customWidth="1"/>
    <col min="4" max="4" width="7.85546875" customWidth="1"/>
    <col min="6" max="6" width="22" customWidth="1"/>
    <col min="8" max="8" width="9.140625" customWidth="1"/>
    <col min="15" max="15" width="15.7109375" customWidth="1"/>
    <col min="16" max="16" width="24.42578125" style="65" customWidth="1"/>
    <col min="17" max="17" width="15.7109375" style="65" customWidth="1"/>
    <col min="18" max="18" width="25.7109375" style="65" customWidth="1"/>
    <col min="19" max="19" width="13" customWidth="1"/>
    <col min="20" max="20" width="11.7109375" customWidth="1"/>
    <col min="27" max="27" width="9.140625" customWidth="1"/>
  </cols>
  <sheetData>
    <row r="1" spans="3:22" x14ac:dyDescent="0.2">
      <c r="C1" s="66"/>
      <c r="F1" s="43" t="s">
        <v>166</v>
      </c>
      <c r="G1">
        <f>COUNTA('New TNX Lines'!D:D)</f>
        <v>0</v>
      </c>
      <c r="O1" t="str">
        <f>IF(NOT(ISERROR(MATCH("AntennaType=Pole",B:B,0))),"Pole",IF(NOT(ISERROR(MATCH("AntennaType=Tapered Pole",B:B,0))),"Tapered Pole",""))</f>
        <v/>
      </c>
      <c r="P1" s="93"/>
      <c r="Q1" s="94"/>
      <c r="S1" t="str">
        <f t="shared" ref="S1:S32" si="0">IF(T1="","",VLOOKUP(R1,$P:$Q,2,FALSE))</f>
        <v/>
      </c>
      <c r="T1" s="66"/>
      <c r="U1" t="str">
        <f>IF(S1="","",LEFT(S1,FIND(" ",S1,1)))</f>
        <v/>
      </c>
      <c r="V1" t="str">
        <f>IF(S1="","",RIGHT(S1,LEN(S1)-FIND(" ",S1,1)))</f>
        <v/>
      </c>
    </row>
    <row r="2" spans="3:22" x14ac:dyDescent="0.2">
      <c r="C2" t="e">
        <f>CONCATENATE(IF(MID(C1,5,3)="Jan","01/",IF(MID(C1,5,3)="Feb","02/",IF(MID(C1,5,3)="Mar","03/",IF(MID(C1,5,3)="Apr","04/",IF(MID(C1,5,3)="May","05/",IF(MID(C1,5,3)="Jun","06/",IF(MID(C1,5,3)="Jul","07/",IF(MID(C1,5,3)="Aug","08/",IF(MID(C1,5,3)="Sep","09/",IF(MID(C1,5,3)="Oct","10/",IF(MID(C1,5,3)="Nov","11/","12/"))))))))))),MID(C1,9,3),IF(VALUE(MID(C1,12,2))&gt;12,VALUE(MID(C1,12,2))-12,IF(VALUE(MID(C1,12,2))=0,12,VALUE(MID(C1,12,2)))),MID(C1,14,3),IF(VALUE(MID(C1,12,2))&lt;12," am"," pm"))</f>
        <v>#VALUE!</v>
      </c>
      <c r="F2" s="43" t="s">
        <v>167</v>
      </c>
      <c r="G2" t="e">
        <f>MATCH("AntennaRec=1",B:B,0)-1</f>
        <v>#N/A</v>
      </c>
      <c r="O2" s="38"/>
      <c r="P2" s="91"/>
      <c r="Q2" s="95"/>
      <c r="S2" s="65" t="str">
        <f t="shared" si="0"/>
        <v/>
      </c>
      <c r="U2" s="38" t="str">
        <f t="shared" ref="U2:U47" si="1">IF(S2="","",LEFT(S2,FIND(" ",S2,1)))</f>
        <v/>
      </c>
      <c r="V2" s="38" t="str">
        <f t="shared" ref="V2:V47" si="2">IF(S2="","",RIGHT(S2,LEN(S2)-FIND(" ",S2,1)))</f>
        <v/>
      </c>
    </row>
    <row r="3" spans="3:22" x14ac:dyDescent="0.2">
      <c r="C3" t="b">
        <f>NOT(ISERROR(MATCH("AntennaWPMult=0.950000",B:B,0)))</f>
        <v>0</v>
      </c>
      <c r="F3" s="43" t="s">
        <v>168</v>
      </c>
      <c r="G3" t="e">
        <f>MATCH("SuppNone1=Yes",B:B,0)-2</f>
        <v>#N/A</v>
      </c>
      <c r="O3" s="38"/>
      <c r="P3" s="91"/>
      <c r="Q3" s="95"/>
      <c r="S3" s="65" t="str">
        <f t="shared" si="0"/>
        <v/>
      </c>
      <c r="U3" s="38" t="str">
        <f t="shared" si="1"/>
        <v/>
      </c>
      <c r="V3" s="38" t="str">
        <f t="shared" si="2"/>
        <v/>
      </c>
    </row>
    <row r="4" spans="3:22" x14ac:dyDescent="0.2">
      <c r="F4" s="43" t="s">
        <v>169</v>
      </c>
      <c r="G4" t="e">
        <f>MATCH("[EndOverwrite]",B:B,0)</f>
        <v>#N/A</v>
      </c>
      <c r="O4" s="38"/>
      <c r="P4" s="91"/>
      <c r="Q4" s="95"/>
      <c r="S4" s="65" t="str">
        <f t="shared" si="0"/>
        <v/>
      </c>
      <c r="U4" s="38" t="str">
        <f t="shared" si="1"/>
        <v/>
      </c>
      <c r="V4" s="38" t="str">
        <f t="shared" si="2"/>
        <v/>
      </c>
    </row>
    <row r="5" spans="3:22" x14ac:dyDescent="0.2">
      <c r="F5" s="44"/>
      <c r="O5" s="38"/>
      <c r="P5" s="91"/>
      <c r="Q5" s="95"/>
      <c r="S5" s="65" t="str">
        <f t="shared" si="0"/>
        <v/>
      </c>
      <c r="U5" s="38" t="str">
        <f t="shared" si="1"/>
        <v/>
      </c>
      <c r="V5" s="38" t="str">
        <f t="shared" si="2"/>
        <v/>
      </c>
    </row>
    <row r="6" spans="3:22" x14ac:dyDescent="0.2">
      <c r="F6" s="44" t="s">
        <v>170</v>
      </c>
      <c r="G6">
        <f>COUNTA(H:H)+1</f>
        <v>1</v>
      </c>
      <c r="O6" s="38"/>
      <c r="P6" s="91"/>
      <c r="Q6" s="95"/>
      <c r="S6" s="65" t="str">
        <f t="shared" si="0"/>
        <v/>
      </c>
      <c r="U6" s="38" t="str">
        <f t="shared" si="1"/>
        <v/>
      </c>
      <c r="V6" s="38" t="str">
        <f t="shared" si="2"/>
        <v/>
      </c>
    </row>
    <row r="7" spans="3:22" x14ac:dyDescent="0.2">
      <c r="F7" s="44" t="s">
        <v>171</v>
      </c>
      <c r="G7" s="38">
        <f>COUNTA(I:I)+1</f>
        <v>1</v>
      </c>
      <c r="O7" s="38"/>
      <c r="P7" s="91"/>
      <c r="Q7" s="95"/>
      <c r="S7" s="65" t="str">
        <f t="shared" si="0"/>
        <v/>
      </c>
      <c r="U7" s="38" t="str">
        <f t="shared" si="1"/>
        <v/>
      </c>
      <c r="V7" s="38" t="str">
        <f t="shared" si="2"/>
        <v/>
      </c>
    </row>
    <row r="8" spans="3:22" x14ac:dyDescent="0.2">
      <c r="F8" s="44" t="s">
        <v>172</v>
      </c>
      <c r="G8" s="38">
        <f>COUNTA(J:J)+1</f>
        <v>1</v>
      </c>
      <c r="O8" s="38"/>
      <c r="P8" s="91"/>
      <c r="Q8" s="95"/>
      <c r="S8" s="65" t="str">
        <f t="shared" si="0"/>
        <v/>
      </c>
      <c r="U8" s="38" t="str">
        <f t="shared" si="1"/>
        <v/>
      </c>
      <c r="V8" s="38" t="str">
        <f t="shared" si="2"/>
        <v/>
      </c>
    </row>
    <row r="9" spans="3:22" x14ac:dyDescent="0.2">
      <c r="F9" s="44" t="s">
        <v>173</v>
      </c>
      <c r="G9" s="38">
        <f>COUNTA(K:K)+1</f>
        <v>1</v>
      </c>
      <c r="O9" s="38"/>
      <c r="P9" s="91"/>
      <c r="Q9" s="95"/>
      <c r="S9" s="65" t="str">
        <f t="shared" si="0"/>
        <v/>
      </c>
      <c r="U9" s="38" t="str">
        <f t="shared" si="1"/>
        <v/>
      </c>
      <c r="V9" s="38" t="str">
        <f t="shared" si="2"/>
        <v/>
      </c>
    </row>
    <row r="10" spans="3:22" x14ac:dyDescent="0.2">
      <c r="F10" s="44" t="s">
        <v>174</v>
      </c>
      <c r="G10" s="38">
        <f>COUNTA(L:L)+1</f>
        <v>1</v>
      </c>
      <c r="O10" s="38"/>
      <c r="P10" s="91"/>
      <c r="Q10" s="95"/>
      <c r="S10" s="65" t="str">
        <f t="shared" si="0"/>
        <v/>
      </c>
      <c r="U10" s="38" t="str">
        <f t="shared" si="1"/>
        <v/>
      </c>
      <c r="V10" s="38" t="str">
        <f t="shared" si="2"/>
        <v/>
      </c>
    </row>
    <row r="11" spans="3:22" x14ac:dyDescent="0.2">
      <c r="F11" s="44" t="s">
        <v>175</v>
      </c>
      <c r="G11" s="38">
        <f>COUNTA(M:M)+1</f>
        <v>1</v>
      </c>
      <c r="O11" s="38"/>
      <c r="P11" s="91"/>
      <c r="Q11" s="95"/>
      <c r="S11" s="65" t="str">
        <f t="shared" si="0"/>
        <v/>
      </c>
      <c r="U11" s="38" t="str">
        <f t="shared" si="1"/>
        <v/>
      </c>
      <c r="V11" s="38" t="str">
        <f t="shared" si="2"/>
        <v/>
      </c>
    </row>
    <row r="12" spans="3:22" x14ac:dyDescent="0.2">
      <c r="F12" s="44" t="s">
        <v>176</v>
      </c>
      <c r="G12" s="38">
        <f>COUNTA(N:N)+1</f>
        <v>1</v>
      </c>
      <c r="O12" s="38"/>
      <c r="P12" s="91"/>
      <c r="Q12" s="95"/>
      <c r="S12" s="65" t="str">
        <f t="shared" si="0"/>
        <v/>
      </c>
      <c r="U12" s="38" t="str">
        <f t="shared" si="1"/>
        <v/>
      </c>
      <c r="V12" s="38" t="str">
        <f t="shared" si="2"/>
        <v/>
      </c>
    </row>
    <row r="13" spans="3:22" x14ac:dyDescent="0.2">
      <c r="F13" s="48" t="s">
        <v>195</v>
      </c>
      <c r="G13" s="38">
        <f>COUNTA(P:P)+1</f>
        <v>1</v>
      </c>
      <c r="O13" s="38"/>
      <c r="P13" s="91"/>
      <c r="Q13" s="95"/>
      <c r="S13" s="65" t="str">
        <f t="shared" si="0"/>
        <v/>
      </c>
      <c r="U13" s="38" t="str">
        <f t="shared" si="1"/>
        <v/>
      </c>
      <c r="V13" s="38" t="str">
        <f t="shared" si="2"/>
        <v/>
      </c>
    </row>
    <row r="14" spans="3:22" x14ac:dyDescent="0.2">
      <c r="F14" s="48" t="s">
        <v>196</v>
      </c>
      <c r="G14" s="38">
        <f>COUNTA(Q:Q)+1</f>
        <v>1</v>
      </c>
      <c r="O14" s="38"/>
      <c r="P14" s="91"/>
      <c r="Q14" s="95"/>
      <c r="S14" s="65" t="str">
        <f t="shared" si="0"/>
        <v/>
      </c>
      <c r="U14" s="38" t="str">
        <f t="shared" si="1"/>
        <v/>
      </c>
      <c r="V14" s="38" t="str">
        <f t="shared" si="2"/>
        <v/>
      </c>
    </row>
    <row r="15" spans="3:22" x14ac:dyDescent="0.2">
      <c r="F15" s="43" t="s">
        <v>298</v>
      </c>
      <c r="G15" s="65">
        <f>COUNTA(R:R)+1</f>
        <v>1</v>
      </c>
      <c r="O15" s="38"/>
      <c r="P15" s="91"/>
      <c r="Q15" s="95"/>
      <c r="S15" s="65" t="str">
        <f t="shared" si="0"/>
        <v/>
      </c>
      <c r="U15" s="38" t="str">
        <f t="shared" si="1"/>
        <v/>
      </c>
      <c r="V15" s="38" t="str">
        <f t="shared" si="2"/>
        <v/>
      </c>
    </row>
    <row r="16" spans="3:22" x14ac:dyDescent="0.2">
      <c r="F16" s="43" t="s">
        <v>299</v>
      </c>
      <c r="G16" s="65">
        <f>COUNTA(T:T)+1</f>
        <v>1</v>
      </c>
      <c r="O16" s="38"/>
      <c r="P16" s="91"/>
      <c r="Q16" s="95"/>
      <c r="S16" s="65" t="str">
        <f t="shared" si="0"/>
        <v/>
      </c>
      <c r="U16" s="38" t="str">
        <f t="shared" si="1"/>
        <v/>
      </c>
      <c r="V16" s="38" t="str">
        <f t="shared" si="2"/>
        <v/>
      </c>
    </row>
    <row r="17" spans="6:22" x14ac:dyDescent="0.2">
      <c r="O17" s="38"/>
      <c r="P17" s="91"/>
      <c r="Q17" s="95"/>
      <c r="S17" s="65" t="str">
        <f t="shared" si="0"/>
        <v/>
      </c>
      <c r="U17" s="38" t="str">
        <f t="shared" si="1"/>
        <v/>
      </c>
      <c r="V17" s="38" t="str">
        <f t="shared" si="2"/>
        <v/>
      </c>
    </row>
    <row r="18" spans="6:22" x14ac:dyDescent="0.2">
      <c r="O18" s="38"/>
      <c r="P18" s="91"/>
      <c r="Q18" s="95"/>
      <c r="S18" s="65" t="str">
        <f t="shared" si="0"/>
        <v/>
      </c>
      <c r="U18" s="38" t="str">
        <f t="shared" si="1"/>
        <v/>
      </c>
      <c r="V18" s="38" t="str">
        <f t="shared" si="2"/>
        <v/>
      </c>
    </row>
    <row r="19" spans="6:22" x14ac:dyDescent="0.2">
      <c r="O19" s="38"/>
      <c r="P19" s="91"/>
      <c r="Q19" s="95"/>
      <c r="S19" s="65" t="str">
        <f t="shared" si="0"/>
        <v/>
      </c>
      <c r="U19" s="38" t="str">
        <f t="shared" si="1"/>
        <v/>
      </c>
      <c r="V19" s="38" t="str">
        <f t="shared" si="2"/>
        <v/>
      </c>
    </row>
    <row r="20" spans="6:22" x14ac:dyDescent="0.2">
      <c r="F20" s="48"/>
      <c r="G20">
        <f>COUNTA('New TNX Lines'!F:F)+1</f>
        <v>1</v>
      </c>
      <c r="O20" s="38"/>
      <c r="P20" s="91"/>
      <c r="Q20" s="95"/>
      <c r="S20" s="65" t="str">
        <f t="shared" si="0"/>
        <v/>
      </c>
      <c r="U20" s="38" t="str">
        <f t="shared" si="1"/>
        <v/>
      </c>
      <c r="V20" s="38" t="str">
        <f t="shared" si="2"/>
        <v/>
      </c>
    </row>
    <row r="21" spans="6:22" x14ac:dyDescent="0.2">
      <c r="F21" s="43" t="s">
        <v>193</v>
      </c>
      <c r="G21" t="e">
        <f>MATCH("[Databases]",B:B,0)</f>
        <v>#N/A</v>
      </c>
      <c r="O21" s="38"/>
      <c r="P21" s="91"/>
      <c r="Q21" s="95"/>
      <c r="S21" s="65" t="str">
        <f t="shared" si="0"/>
        <v/>
      </c>
      <c r="U21" s="38" t="str">
        <f t="shared" si="1"/>
        <v/>
      </c>
      <c r="V21" s="38" t="str">
        <f t="shared" si="2"/>
        <v/>
      </c>
    </row>
    <row r="22" spans="6:22" x14ac:dyDescent="0.2">
      <c r="O22" s="38"/>
      <c r="P22" s="91"/>
      <c r="Q22" s="95"/>
      <c r="S22" s="65" t="str">
        <f t="shared" si="0"/>
        <v/>
      </c>
      <c r="U22" s="38" t="str">
        <f t="shared" si="1"/>
        <v/>
      </c>
      <c r="V22" s="38" t="str">
        <f t="shared" si="2"/>
        <v/>
      </c>
    </row>
    <row r="23" spans="6:22" x14ac:dyDescent="0.2">
      <c r="O23" s="38"/>
      <c r="P23" s="96"/>
      <c r="Q23" s="97"/>
      <c r="S23" s="65" t="str">
        <f t="shared" si="0"/>
        <v/>
      </c>
      <c r="U23" s="38" t="str">
        <f t="shared" si="1"/>
        <v/>
      </c>
      <c r="V23" s="38" t="str">
        <f t="shared" si="2"/>
        <v/>
      </c>
    </row>
    <row r="24" spans="6:22" x14ac:dyDescent="0.2">
      <c r="F24" s="65"/>
      <c r="O24" s="38"/>
      <c r="S24" s="65" t="str">
        <f t="shared" si="0"/>
        <v/>
      </c>
      <c r="U24" s="38" t="str">
        <f t="shared" si="1"/>
        <v/>
      </c>
      <c r="V24" s="38" t="str">
        <f t="shared" si="2"/>
        <v/>
      </c>
    </row>
    <row r="25" spans="6:22" x14ac:dyDescent="0.2">
      <c r="F25" s="65"/>
      <c r="O25" s="38"/>
      <c r="S25" s="65" t="str">
        <f t="shared" si="0"/>
        <v/>
      </c>
      <c r="U25" s="38" t="str">
        <f t="shared" si="1"/>
        <v/>
      </c>
      <c r="V25" s="38" t="str">
        <f t="shared" si="2"/>
        <v/>
      </c>
    </row>
    <row r="26" spans="6:22" x14ac:dyDescent="0.2">
      <c r="F26" s="65"/>
      <c r="O26" s="38"/>
      <c r="S26" s="65" t="str">
        <f t="shared" si="0"/>
        <v/>
      </c>
      <c r="U26" s="38" t="str">
        <f t="shared" si="1"/>
        <v/>
      </c>
      <c r="V26" s="38" t="str">
        <f t="shared" si="2"/>
        <v/>
      </c>
    </row>
    <row r="27" spans="6:22" x14ac:dyDescent="0.2">
      <c r="F27" s="65"/>
      <c r="O27" s="38"/>
      <c r="S27" s="65" t="str">
        <f t="shared" si="0"/>
        <v/>
      </c>
      <c r="U27" s="38" t="str">
        <f t="shared" si="1"/>
        <v/>
      </c>
      <c r="V27" s="38" t="str">
        <f t="shared" si="2"/>
        <v/>
      </c>
    </row>
    <row r="28" spans="6:22" x14ac:dyDescent="0.2">
      <c r="F28" s="65"/>
      <c r="O28" s="38"/>
      <c r="S28" s="65" t="str">
        <f t="shared" si="0"/>
        <v/>
      </c>
      <c r="U28" s="38" t="str">
        <f t="shared" si="1"/>
        <v/>
      </c>
      <c r="V28" s="38" t="str">
        <f t="shared" si="2"/>
        <v/>
      </c>
    </row>
    <row r="29" spans="6:22" x14ac:dyDescent="0.2">
      <c r="F29" s="65"/>
      <c r="O29" s="38"/>
      <c r="S29" s="65" t="str">
        <f t="shared" si="0"/>
        <v/>
      </c>
      <c r="U29" s="38" t="str">
        <f t="shared" si="1"/>
        <v/>
      </c>
      <c r="V29" s="38" t="str">
        <f t="shared" si="2"/>
        <v/>
      </c>
    </row>
    <row r="30" spans="6:22" x14ac:dyDescent="0.2">
      <c r="F30" s="65"/>
      <c r="O30" s="38"/>
      <c r="S30" s="65" t="str">
        <f t="shared" si="0"/>
        <v/>
      </c>
      <c r="U30" s="38" t="str">
        <f t="shared" si="1"/>
        <v/>
      </c>
      <c r="V30" s="38" t="str">
        <f t="shared" si="2"/>
        <v/>
      </c>
    </row>
    <row r="31" spans="6:22" x14ac:dyDescent="0.2">
      <c r="F31" s="65"/>
      <c r="O31" s="38"/>
      <c r="S31" s="65" t="str">
        <f t="shared" si="0"/>
        <v/>
      </c>
      <c r="U31" s="38" t="str">
        <f t="shared" si="1"/>
        <v/>
      </c>
      <c r="V31" s="38" t="str">
        <f t="shared" si="2"/>
        <v/>
      </c>
    </row>
    <row r="32" spans="6:22" x14ac:dyDescent="0.2">
      <c r="F32" s="65"/>
      <c r="O32" s="38"/>
      <c r="S32" s="65" t="str">
        <f t="shared" si="0"/>
        <v/>
      </c>
      <c r="U32" s="38" t="str">
        <f t="shared" si="1"/>
        <v/>
      </c>
      <c r="V32" s="38" t="str">
        <f t="shared" si="2"/>
        <v/>
      </c>
    </row>
    <row r="33" spans="6:22" x14ac:dyDescent="0.2">
      <c r="F33" s="65"/>
      <c r="O33" s="38"/>
      <c r="S33" s="65" t="str">
        <f t="shared" ref="S33:S64" si="3">IF(T33="","",VLOOKUP(R33,$P:$Q,2,FALSE))</f>
        <v/>
      </c>
      <c r="U33" s="38" t="str">
        <f t="shared" si="1"/>
        <v/>
      </c>
      <c r="V33" s="38" t="str">
        <f t="shared" si="2"/>
        <v/>
      </c>
    </row>
    <row r="34" spans="6:22" x14ac:dyDescent="0.2">
      <c r="F34" s="65"/>
      <c r="O34" s="38"/>
      <c r="S34" s="65" t="str">
        <f t="shared" si="3"/>
        <v/>
      </c>
      <c r="U34" s="38" t="str">
        <f t="shared" si="1"/>
        <v/>
      </c>
      <c r="V34" s="38" t="str">
        <f t="shared" si="2"/>
        <v/>
      </c>
    </row>
    <row r="35" spans="6:22" x14ac:dyDescent="0.2">
      <c r="F35" s="65"/>
      <c r="O35" s="38"/>
      <c r="S35" s="65" t="str">
        <f t="shared" si="3"/>
        <v/>
      </c>
      <c r="U35" s="38" t="str">
        <f>IF(S35="","",LEFT(S35,FIND(" ",S35,1)))</f>
        <v/>
      </c>
      <c r="V35" s="38" t="str">
        <f t="shared" si="2"/>
        <v/>
      </c>
    </row>
    <row r="36" spans="6:22" x14ac:dyDescent="0.2">
      <c r="O36" s="38"/>
      <c r="S36" s="65" t="str">
        <f t="shared" si="3"/>
        <v/>
      </c>
      <c r="U36" s="38" t="str">
        <f t="shared" si="1"/>
        <v/>
      </c>
      <c r="V36" s="38" t="str">
        <f t="shared" si="2"/>
        <v/>
      </c>
    </row>
    <row r="37" spans="6:22" x14ac:dyDescent="0.2">
      <c r="O37" s="38"/>
      <c r="S37" s="65" t="str">
        <f t="shared" si="3"/>
        <v/>
      </c>
      <c r="U37" s="38" t="str">
        <f t="shared" si="1"/>
        <v/>
      </c>
      <c r="V37" s="38" t="str">
        <f t="shared" si="2"/>
        <v/>
      </c>
    </row>
    <row r="38" spans="6:22" x14ac:dyDescent="0.2">
      <c r="O38" s="38"/>
      <c r="S38" s="65" t="str">
        <f t="shared" si="3"/>
        <v/>
      </c>
      <c r="U38" s="38" t="str">
        <f t="shared" si="1"/>
        <v/>
      </c>
      <c r="V38" s="38" t="str">
        <f t="shared" si="2"/>
        <v/>
      </c>
    </row>
    <row r="39" spans="6:22" x14ac:dyDescent="0.2">
      <c r="O39" s="38"/>
      <c r="S39" s="65" t="str">
        <f t="shared" si="3"/>
        <v/>
      </c>
      <c r="U39" s="38" t="str">
        <f t="shared" si="1"/>
        <v/>
      </c>
      <c r="V39" s="38" t="str">
        <f t="shared" si="2"/>
        <v/>
      </c>
    </row>
    <row r="40" spans="6:22" x14ac:dyDescent="0.2">
      <c r="O40" s="38"/>
      <c r="S40" s="65" t="str">
        <f t="shared" si="3"/>
        <v/>
      </c>
      <c r="U40" s="38" t="str">
        <f t="shared" si="1"/>
        <v/>
      </c>
      <c r="V40" s="38" t="str">
        <f t="shared" si="2"/>
        <v/>
      </c>
    </row>
    <row r="41" spans="6:22" x14ac:dyDescent="0.2">
      <c r="O41" s="38"/>
      <c r="S41" s="65" t="str">
        <f t="shared" si="3"/>
        <v/>
      </c>
      <c r="U41" s="38" t="str">
        <f t="shared" si="1"/>
        <v/>
      </c>
      <c r="V41" s="38" t="str">
        <f t="shared" si="2"/>
        <v/>
      </c>
    </row>
    <row r="42" spans="6:22" x14ac:dyDescent="0.2">
      <c r="O42" s="38"/>
      <c r="S42" s="65" t="str">
        <f t="shared" si="3"/>
        <v/>
      </c>
      <c r="U42" s="38" t="str">
        <f t="shared" si="1"/>
        <v/>
      </c>
      <c r="V42" s="38" t="str">
        <f t="shared" si="2"/>
        <v/>
      </c>
    </row>
    <row r="43" spans="6:22" x14ac:dyDescent="0.2">
      <c r="O43" s="38"/>
      <c r="S43" s="65" t="str">
        <f t="shared" si="3"/>
        <v/>
      </c>
      <c r="U43" s="38" t="str">
        <f t="shared" si="1"/>
        <v/>
      </c>
      <c r="V43" s="38" t="str">
        <f t="shared" si="2"/>
        <v/>
      </c>
    </row>
    <row r="44" spans="6:22" x14ac:dyDescent="0.2">
      <c r="O44" s="38"/>
      <c r="S44" s="65" t="str">
        <f t="shared" si="3"/>
        <v/>
      </c>
      <c r="U44" s="38" t="str">
        <f t="shared" si="1"/>
        <v/>
      </c>
      <c r="V44" s="38" t="str">
        <f t="shared" si="2"/>
        <v/>
      </c>
    </row>
    <row r="45" spans="6:22" x14ac:dyDescent="0.2">
      <c r="O45" s="38"/>
      <c r="S45" s="65" t="str">
        <f t="shared" si="3"/>
        <v/>
      </c>
      <c r="U45" s="38" t="str">
        <f t="shared" si="1"/>
        <v/>
      </c>
      <c r="V45" s="38" t="str">
        <f t="shared" si="2"/>
        <v/>
      </c>
    </row>
    <row r="46" spans="6:22" x14ac:dyDescent="0.2">
      <c r="O46" s="38"/>
      <c r="S46" s="65" t="str">
        <f t="shared" si="3"/>
        <v/>
      </c>
      <c r="U46" s="38" t="str">
        <f t="shared" si="1"/>
        <v/>
      </c>
      <c r="V46" s="38" t="str">
        <f t="shared" si="2"/>
        <v/>
      </c>
    </row>
    <row r="47" spans="6:22" x14ac:dyDescent="0.2">
      <c r="O47" s="38"/>
      <c r="S47" s="65" t="str">
        <f t="shared" si="3"/>
        <v/>
      </c>
      <c r="U47" s="38" t="str">
        <f t="shared" si="1"/>
        <v/>
      </c>
      <c r="V47" s="38" t="str">
        <f t="shared" si="2"/>
        <v/>
      </c>
    </row>
    <row r="48" spans="6:22" x14ac:dyDescent="0.2">
      <c r="O48" s="38"/>
      <c r="S48" s="65" t="str">
        <f t="shared" si="3"/>
        <v/>
      </c>
    </row>
    <row r="49" spans="15:19" x14ac:dyDescent="0.2">
      <c r="O49" s="38"/>
      <c r="S49" s="65" t="str">
        <f t="shared" si="3"/>
        <v/>
      </c>
    </row>
    <row r="50" spans="15:19" x14ac:dyDescent="0.2">
      <c r="O50" s="38"/>
      <c r="S50" s="65" t="str">
        <f t="shared" si="3"/>
        <v/>
      </c>
    </row>
    <row r="51" spans="15:19" x14ac:dyDescent="0.2">
      <c r="O51" s="38"/>
      <c r="S51" s="65" t="str">
        <f t="shared" si="3"/>
        <v/>
      </c>
    </row>
    <row r="52" spans="15:19" x14ac:dyDescent="0.2">
      <c r="O52" s="38"/>
      <c r="S52" s="65" t="str">
        <f t="shared" si="3"/>
        <v/>
      </c>
    </row>
    <row r="53" spans="15:19" x14ac:dyDescent="0.2">
      <c r="O53" s="38"/>
      <c r="S53" s="65" t="str">
        <f t="shared" si="3"/>
        <v/>
      </c>
    </row>
    <row r="54" spans="15:19" x14ac:dyDescent="0.2">
      <c r="O54" s="38"/>
      <c r="S54" s="65" t="str">
        <f t="shared" si="3"/>
        <v/>
      </c>
    </row>
    <row r="55" spans="15:19" x14ac:dyDescent="0.2">
      <c r="O55" s="38"/>
      <c r="S55" s="65" t="str">
        <f t="shared" si="3"/>
        <v/>
      </c>
    </row>
    <row r="56" spans="15:19" x14ac:dyDescent="0.2">
      <c r="O56" s="38"/>
      <c r="S56" s="65" t="str">
        <f t="shared" si="3"/>
        <v/>
      </c>
    </row>
    <row r="57" spans="15:19" x14ac:dyDescent="0.2">
      <c r="O57" s="38"/>
      <c r="S57" s="65" t="str">
        <f t="shared" si="3"/>
        <v/>
      </c>
    </row>
    <row r="58" spans="15:19" x14ac:dyDescent="0.2">
      <c r="O58" s="38"/>
      <c r="S58" s="65" t="str">
        <f t="shared" si="3"/>
        <v/>
      </c>
    </row>
    <row r="59" spans="15:19" x14ac:dyDescent="0.2">
      <c r="O59" s="38"/>
      <c r="S59" s="65" t="str">
        <f t="shared" si="3"/>
        <v/>
      </c>
    </row>
    <row r="60" spans="15:19" x14ac:dyDescent="0.2">
      <c r="O60" s="38"/>
      <c r="S60" s="65" t="str">
        <f t="shared" si="3"/>
        <v/>
      </c>
    </row>
    <row r="61" spans="15:19" x14ac:dyDescent="0.2">
      <c r="O61" s="38"/>
      <c r="S61" s="65" t="str">
        <f t="shared" si="3"/>
        <v/>
      </c>
    </row>
    <row r="62" spans="15:19" x14ac:dyDescent="0.2">
      <c r="O62" s="38"/>
      <c r="S62" s="65" t="str">
        <f t="shared" si="3"/>
        <v/>
      </c>
    </row>
    <row r="63" spans="15:19" x14ac:dyDescent="0.2">
      <c r="O63" s="38"/>
      <c r="S63" s="65" t="str">
        <f t="shared" si="3"/>
        <v/>
      </c>
    </row>
    <row r="64" spans="15:19" x14ac:dyDescent="0.2">
      <c r="O64" s="38"/>
      <c r="S64" s="65" t="str">
        <f t="shared" si="3"/>
        <v/>
      </c>
    </row>
    <row r="65" spans="15:19" x14ac:dyDescent="0.2">
      <c r="O65" s="38"/>
      <c r="S65" s="65" t="str">
        <f t="shared" ref="S65:S96" si="4">IF(T65="","",VLOOKUP(R65,$P:$Q,2,FALSE))</f>
        <v/>
      </c>
    </row>
    <row r="66" spans="15:19" x14ac:dyDescent="0.2">
      <c r="O66" s="38"/>
      <c r="S66" s="65" t="str">
        <f t="shared" si="4"/>
        <v/>
      </c>
    </row>
    <row r="67" spans="15:19" x14ac:dyDescent="0.2">
      <c r="O67" s="38"/>
      <c r="S67" s="65" t="str">
        <f t="shared" si="4"/>
        <v/>
      </c>
    </row>
    <row r="68" spans="15:19" x14ac:dyDescent="0.2">
      <c r="O68" s="38"/>
      <c r="S68" s="65" t="str">
        <f t="shared" si="4"/>
        <v/>
      </c>
    </row>
    <row r="69" spans="15:19" x14ac:dyDescent="0.2">
      <c r="O69" s="38"/>
      <c r="S69" s="65" t="str">
        <f t="shared" si="4"/>
        <v/>
      </c>
    </row>
    <row r="70" spans="15:19" x14ac:dyDescent="0.2">
      <c r="O70" s="38"/>
      <c r="S70" s="65" t="str">
        <f t="shared" si="4"/>
        <v/>
      </c>
    </row>
    <row r="71" spans="15:19" x14ac:dyDescent="0.2">
      <c r="O71" s="38"/>
      <c r="S71" s="65" t="str">
        <f t="shared" si="4"/>
        <v/>
      </c>
    </row>
    <row r="72" spans="15:19" x14ac:dyDescent="0.2">
      <c r="O72" s="38"/>
      <c r="S72" s="65" t="str">
        <f t="shared" si="4"/>
        <v/>
      </c>
    </row>
    <row r="73" spans="15:19" x14ac:dyDescent="0.2">
      <c r="O73" s="38"/>
      <c r="S73" s="65" t="str">
        <f t="shared" si="4"/>
        <v/>
      </c>
    </row>
    <row r="74" spans="15:19" x14ac:dyDescent="0.2">
      <c r="O74" s="38"/>
      <c r="S74" s="65" t="str">
        <f t="shared" si="4"/>
        <v/>
      </c>
    </row>
    <row r="75" spans="15:19" x14ac:dyDescent="0.2">
      <c r="O75" s="38"/>
      <c r="S75" s="65" t="str">
        <f t="shared" si="4"/>
        <v/>
      </c>
    </row>
    <row r="76" spans="15:19" x14ac:dyDescent="0.2">
      <c r="O76" s="38"/>
      <c r="S76" s="65" t="str">
        <f t="shared" si="4"/>
        <v/>
      </c>
    </row>
    <row r="77" spans="15:19" x14ac:dyDescent="0.2">
      <c r="O77" s="38"/>
      <c r="S77" s="65" t="str">
        <f t="shared" si="4"/>
        <v/>
      </c>
    </row>
    <row r="78" spans="15:19" x14ac:dyDescent="0.2">
      <c r="O78" s="38"/>
      <c r="S78" s="65" t="str">
        <f t="shared" si="4"/>
        <v/>
      </c>
    </row>
    <row r="79" spans="15:19" x14ac:dyDescent="0.2">
      <c r="O79" s="38"/>
      <c r="S79" s="65" t="str">
        <f t="shared" si="4"/>
        <v/>
      </c>
    </row>
    <row r="80" spans="15:19" x14ac:dyDescent="0.2">
      <c r="O80" s="38"/>
      <c r="S80" s="65" t="str">
        <f t="shared" si="4"/>
        <v/>
      </c>
    </row>
    <row r="81" spans="15:19" x14ac:dyDescent="0.2">
      <c r="O81" s="38"/>
      <c r="S81" s="65" t="str">
        <f t="shared" si="4"/>
        <v/>
      </c>
    </row>
    <row r="82" spans="15:19" x14ac:dyDescent="0.2">
      <c r="O82" s="38"/>
      <c r="S82" s="65" t="str">
        <f t="shared" si="4"/>
        <v/>
      </c>
    </row>
    <row r="83" spans="15:19" x14ac:dyDescent="0.2">
      <c r="O83" s="38"/>
      <c r="S83" s="65" t="str">
        <f t="shared" si="4"/>
        <v/>
      </c>
    </row>
    <row r="84" spans="15:19" x14ac:dyDescent="0.2">
      <c r="O84" s="38"/>
      <c r="S84" s="65" t="str">
        <f t="shared" si="4"/>
        <v/>
      </c>
    </row>
    <row r="85" spans="15:19" x14ac:dyDescent="0.2">
      <c r="O85" s="38"/>
      <c r="S85" s="65" t="str">
        <f t="shared" si="4"/>
        <v/>
      </c>
    </row>
    <row r="86" spans="15:19" x14ac:dyDescent="0.2">
      <c r="O86" s="38"/>
      <c r="S86" s="65" t="str">
        <f t="shared" si="4"/>
        <v/>
      </c>
    </row>
    <row r="87" spans="15:19" x14ac:dyDescent="0.2">
      <c r="O87" s="38"/>
      <c r="S87" s="65" t="str">
        <f t="shared" si="4"/>
        <v/>
      </c>
    </row>
    <row r="88" spans="15:19" x14ac:dyDescent="0.2">
      <c r="O88" s="38"/>
      <c r="S88" s="65" t="str">
        <f t="shared" si="4"/>
        <v/>
      </c>
    </row>
    <row r="89" spans="15:19" x14ac:dyDescent="0.2">
      <c r="O89" s="38"/>
      <c r="S89" s="65" t="str">
        <f t="shared" si="4"/>
        <v/>
      </c>
    </row>
    <row r="90" spans="15:19" x14ac:dyDescent="0.2">
      <c r="O90" s="38"/>
      <c r="S90" s="65" t="str">
        <f t="shared" si="4"/>
        <v/>
      </c>
    </row>
    <row r="91" spans="15:19" x14ac:dyDescent="0.2">
      <c r="O91" s="38"/>
      <c r="S91" s="65" t="str">
        <f t="shared" si="4"/>
        <v/>
      </c>
    </row>
    <row r="92" spans="15:19" x14ac:dyDescent="0.2">
      <c r="O92" s="38"/>
      <c r="S92" s="65" t="str">
        <f t="shared" si="4"/>
        <v/>
      </c>
    </row>
    <row r="93" spans="15:19" x14ac:dyDescent="0.2">
      <c r="O93" s="38"/>
      <c r="S93" s="65" t="str">
        <f t="shared" si="4"/>
        <v/>
      </c>
    </row>
    <row r="94" spans="15:19" x14ac:dyDescent="0.2">
      <c r="O94" s="38"/>
      <c r="S94" s="65" t="str">
        <f t="shared" si="4"/>
        <v/>
      </c>
    </row>
    <row r="95" spans="15:19" x14ac:dyDescent="0.2">
      <c r="O95" s="38"/>
      <c r="S95" s="65" t="str">
        <f t="shared" si="4"/>
        <v/>
      </c>
    </row>
    <row r="96" spans="15:19" x14ac:dyDescent="0.2">
      <c r="O96" s="38"/>
      <c r="S96" s="65" t="str">
        <f t="shared" si="4"/>
        <v/>
      </c>
    </row>
    <row r="97" spans="15:19" x14ac:dyDescent="0.2">
      <c r="O97" s="38"/>
      <c r="S97" s="65" t="str">
        <f t="shared" ref="S97:S128" si="5">IF(T97="","",VLOOKUP(R97,$P:$Q,2,FALSE))</f>
        <v/>
      </c>
    </row>
    <row r="98" spans="15:19" x14ac:dyDescent="0.2">
      <c r="O98" s="38"/>
      <c r="S98" s="65" t="str">
        <f t="shared" si="5"/>
        <v/>
      </c>
    </row>
    <row r="99" spans="15:19" x14ac:dyDescent="0.2">
      <c r="O99" s="38"/>
      <c r="S99" s="65" t="str">
        <f t="shared" si="5"/>
        <v/>
      </c>
    </row>
    <row r="100" spans="15:19" x14ac:dyDescent="0.2">
      <c r="O100" s="38"/>
      <c r="S100" s="65" t="str">
        <f t="shared" si="5"/>
        <v/>
      </c>
    </row>
    <row r="101" spans="15:19" x14ac:dyDescent="0.2">
      <c r="O101" s="38"/>
      <c r="S101" s="65" t="str">
        <f t="shared" si="5"/>
        <v/>
      </c>
    </row>
    <row r="102" spans="15:19" x14ac:dyDescent="0.2">
      <c r="O102" s="38"/>
      <c r="S102" s="65" t="str">
        <f t="shared" si="5"/>
        <v/>
      </c>
    </row>
    <row r="103" spans="15:19" x14ac:dyDescent="0.2">
      <c r="O103" s="38"/>
      <c r="S103" s="65" t="str">
        <f t="shared" si="5"/>
        <v/>
      </c>
    </row>
    <row r="104" spans="15:19" x14ac:dyDescent="0.2">
      <c r="O104" s="38"/>
      <c r="S104" s="65" t="str">
        <f t="shared" si="5"/>
        <v/>
      </c>
    </row>
    <row r="105" spans="15:19" x14ac:dyDescent="0.2">
      <c r="O105" s="38"/>
      <c r="S105" s="65" t="str">
        <f t="shared" si="5"/>
        <v/>
      </c>
    </row>
    <row r="106" spans="15:19" x14ac:dyDescent="0.2">
      <c r="O106" s="38"/>
      <c r="S106" s="65" t="str">
        <f t="shared" si="5"/>
        <v/>
      </c>
    </row>
    <row r="107" spans="15:19" x14ac:dyDescent="0.2">
      <c r="O107" s="38"/>
      <c r="S107" s="65" t="str">
        <f t="shared" si="5"/>
        <v/>
      </c>
    </row>
    <row r="108" spans="15:19" x14ac:dyDescent="0.2">
      <c r="O108" s="38"/>
      <c r="S108" s="65" t="str">
        <f t="shared" si="5"/>
        <v/>
      </c>
    </row>
    <row r="109" spans="15:19" x14ac:dyDescent="0.2">
      <c r="O109" s="38"/>
      <c r="S109" s="65" t="str">
        <f t="shared" si="5"/>
        <v/>
      </c>
    </row>
    <row r="110" spans="15:19" x14ac:dyDescent="0.2">
      <c r="O110" s="38"/>
      <c r="S110" s="65" t="str">
        <f t="shared" si="5"/>
        <v/>
      </c>
    </row>
    <row r="111" spans="15:19" x14ac:dyDescent="0.2">
      <c r="O111" s="38"/>
      <c r="S111" s="65" t="str">
        <f t="shared" si="5"/>
        <v/>
      </c>
    </row>
    <row r="112" spans="15:19" x14ac:dyDescent="0.2">
      <c r="O112" s="38"/>
      <c r="S112" s="65" t="str">
        <f t="shared" si="5"/>
        <v/>
      </c>
    </row>
    <row r="113" spans="15:19" x14ac:dyDescent="0.2">
      <c r="O113" s="38"/>
      <c r="S113" s="65" t="str">
        <f t="shared" si="5"/>
        <v/>
      </c>
    </row>
    <row r="114" spans="15:19" x14ac:dyDescent="0.2">
      <c r="O114" s="38"/>
      <c r="S114" s="65" t="str">
        <f t="shared" si="5"/>
        <v/>
      </c>
    </row>
    <row r="115" spans="15:19" x14ac:dyDescent="0.2">
      <c r="O115" s="38"/>
      <c r="S115" s="65" t="str">
        <f t="shared" si="5"/>
        <v/>
      </c>
    </row>
    <row r="116" spans="15:19" x14ac:dyDescent="0.2">
      <c r="O116" s="38"/>
      <c r="S116" s="65" t="str">
        <f t="shared" si="5"/>
        <v/>
      </c>
    </row>
    <row r="117" spans="15:19" x14ac:dyDescent="0.2">
      <c r="O117" s="38"/>
      <c r="S117" s="65" t="str">
        <f t="shared" si="5"/>
        <v/>
      </c>
    </row>
    <row r="118" spans="15:19" x14ac:dyDescent="0.2">
      <c r="O118" s="38"/>
      <c r="S118" s="65" t="str">
        <f t="shared" si="5"/>
        <v/>
      </c>
    </row>
    <row r="119" spans="15:19" x14ac:dyDescent="0.2">
      <c r="O119" s="38"/>
      <c r="S119" s="65" t="str">
        <f t="shared" si="5"/>
        <v/>
      </c>
    </row>
    <row r="120" spans="15:19" x14ac:dyDescent="0.2">
      <c r="O120" s="38"/>
      <c r="S120" s="65" t="str">
        <f t="shared" si="5"/>
        <v/>
      </c>
    </row>
    <row r="121" spans="15:19" x14ac:dyDescent="0.2">
      <c r="O121" s="38"/>
      <c r="S121" s="65" t="str">
        <f t="shared" si="5"/>
        <v/>
      </c>
    </row>
    <row r="122" spans="15:19" x14ac:dyDescent="0.2">
      <c r="O122" s="38"/>
      <c r="S122" s="65" t="str">
        <f t="shared" si="5"/>
        <v/>
      </c>
    </row>
    <row r="123" spans="15:19" x14ac:dyDescent="0.2">
      <c r="O123" s="38"/>
      <c r="S123" s="65" t="str">
        <f t="shared" si="5"/>
        <v/>
      </c>
    </row>
    <row r="124" spans="15:19" x14ac:dyDescent="0.2">
      <c r="O124" s="38"/>
      <c r="S124" s="65" t="str">
        <f t="shared" si="5"/>
        <v/>
      </c>
    </row>
    <row r="125" spans="15:19" x14ac:dyDescent="0.2">
      <c r="S125" s="65" t="str">
        <f t="shared" si="5"/>
        <v/>
      </c>
    </row>
    <row r="126" spans="15:19" x14ac:dyDescent="0.2">
      <c r="S126" s="65" t="str">
        <f t="shared" si="5"/>
        <v/>
      </c>
    </row>
    <row r="127" spans="15:19" x14ac:dyDescent="0.2">
      <c r="S127" s="65" t="str">
        <f t="shared" si="5"/>
        <v/>
      </c>
    </row>
    <row r="128" spans="15:19" x14ac:dyDescent="0.2">
      <c r="S128" s="65" t="str">
        <f t="shared" si="5"/>
        <v/>
      </c>
    </row>
    <row r="129" spans="19:19" x14ac:dyDescent="0.2">
      <c r="S129" s="65" t="str">
        <f t="shared" ref="S129:S160" si="6">IF(T129="","",VLOOKUP(R129,$P:$Q,2,FALSE))</f>
        <v/>
      </c>
    </row>
    <row r="130" spans="19:19" x14ac:dyDescent="0.2">
      <c r="S130" s="65" t="str">
        <f t="shared" si="6"/>
        <v/>
      </c>
    </row>
    <row r="131" spans="19:19" x14ac:dyDescent="0.2">
      <c r="S131" s="65" t="str">
        <f t="shared" si="6"/>
        <v/>
      </c>
    </row>
    <row r="132" spans="19:19" x14ac:dyDescent="0.2">
      <c r="S132" s="65" t="str">
        <f t="shared" si="6"/>
        <v/>
      </c>
    </row>
    <row r="133" spans="19:19" x14ac:dyDescent="0.2">
      <c r="S133" s="65" t="str">
        <f t="shared" si="6"/>
        <v/>
      </c>
    </row>
    <row r="134" spans="19:19" x14ac:dyDescent="0.2">
      <c r="S134" s="65" t="str">
        <f t="shared" si="6"/>
        <v/>
      </c>
    </row>
    <row r="135" spans="19:19" x14ac:dyDescent="0.2">
      <c r="S135" s="65" t="str">
        <f t="shared" si="6"/>
        <v/>
      </c>
    </row>
    <row r="136" spans="19:19" x14ac:dyDescent="0.2">
      <c r="S136" s="65" t="str">
        <f t="shared" si="6"/>
        <v/>
      </c>
    </row>
    <row r="137" spans="19:19" x14ac:dyDescent="0.2">
      <c r="S137" s="65" t="str">
        <f t="shared" si="6"/>
        <v/>
      </c>
    </row>
    <row r="138" spans="19:19" x14ac:dyDescent="0.2">
      <c r="S138" s="65" t="str">
        <f t="shared" si="6"/>
        <v/>
      </c>
    </row>
    <row r="139" spans="19:19" x14ac:dyDescent="0.2">
      <c r="S139" s="65" t="str">
        <f t="shared" si="6"/>
        <v/>
      </c>
    </row>
    <row r="140" spans="19:19" x14ac:dyDescent="0.2">
      <c r="S140" s="65" t="str">
        <f t="shared" si="6"/>
        <v/>
      </c>
    </row>
    <row r="141" spans="19:19" x14ac:dyDescent="0.2">
      <c r="S141" s="65" t="str">
        <f t="shared" si="6"/>
        <v/>
      </c>
    </row>
    <row r="142" spans="19:19" x14ac:dyDescent="0.2">
      <c r="S142" s="65" t="str">
        <f t="shared" si="6"/>
        <v/>
      </c>
    </row>
    <row r="143" spans="19:19" x14ac:dyDescent="0.2">
      <c r="S143" s="65" t="str">
        <f t="shared" si="6"/>
        <v/>
      </c>
    </row>
    <row r="144" spans="19:19" x14ac:dyDescent="0.2">
      <c r="S144" s="65" t="str">
        <f t="shared" si="6"/>
        <v/>
      </c>
    </row>
    <row r="145" spans="19:19" x14ac:dyDescent="0.2">
      <c r="S145" s="65" t="str">
        <f t="shared" si="6"/>
        <v/>
      </c>
    </row>
    <row r="146" spans="19:19" x14ac:dyDescent="0.2">
      <c r="S146" s="65" t="str">
        <f t="shared" si="6"/>
        <v/>
      </c>
    </row>
    <row r="147" spans="19:19" x14ac:dyDescent="0.2">
      <c r="S147" s="65" t="str">
        <f t="shared" si="6"/>
        <v/>
      </c>
    </row>
    <row r="148" spans="19:19" x14ac:dyDescent="0.2">
      <c r="S148" s="65" t="str">
        <f t="shared" si="6"/>
        <v/>
      </c>
    </row>
    <row r="149" spans="19:19" x14ac:dyDescent="0.2">
      <c r="S149" s="65" t="str">
        <f t="shared" si="6"/>
        <v/>
      </c>
    </row>
    <row r="150" spans="19:19" x14ac:dyDescent="0.2">
      <c r="S150" s="65" t="str">
        <f t="shared" si="6"/>
        <v/>
      </c>
    </row>
    <row r="151" spans="19:19" x14ac:dyDescent="0.2">
      <c r="S151" s="65" t="str">
        <f t="shared" si="6"/>
        <v/>
      </c>
    </row>
    <row r="152" spans="19:19" x14ac:dyDescent="0.2">
      <c r="S152" s="65" t="str">
        <f t="shared" si="6"/>
        <v/>
      </c>
    </row>
    <row r="153" spans="19:19" x14ac:dyDescent="0.2">
      <c r="S153" s="65" t="str">
        <f t="shared" si="6"/>
        <v/>
      </c>
    </row>
    <row r="154" spans="19:19" x14ac:dyDescent="0.2">
      <c r="S154" s="65" t="str">
        <f t="shared" si="6"/>
        <v/>
      </c>
    </row>
    <row r="155" spans="19:19" x14ac:dyDescent="0.2">
      <c r="S155" s="65" t="str">
        <f t="shared" si="6"/>
        <v/>
      </c>
    </row>
    <row r="156" spans="19:19" x14ac:dyDescent="0.2">
      <c r="S156" s="65" t="str">
        <f t="shared" si="6"/>
        <v/>
      </c>
    </row>
    <row r="157" spans="19:19" x14ac:dyDescent="0.2">
      <c r="S157" s="65" t="str">
        <f t="shared" si="6"/>
        <v/>
      </c>
    </row>
    <row r="158" spans="19:19" x14ac:dyDescent="0.2">
      <c r="S158" s="65" t="str">
        <f t="shared" si="6"/>
        <v/>
      </c>
    </row>
    <row r="159" spans="19:19" x14ac:dyDescent="0.2">
      <c r="S159" s="65" t="str">
        <f t="shared" si="6"/>
        <v/>
      </c>
    </row>
    <row r="160" spans="19:19" x14ac:dyDescent="0.2">
      <c r="S160" s="65" t="str">
        <f t="shared" si="6"/>
        <v/>
      </c>
    </row>
    <row r="161" spans="19:19" x14ac:dyDescent="0.2">
      <c r="S161" s="65" t="str">
        <f t="shared" ref="S161:S162" si="7">IF(T161="","",VLOOKUP(R161,$P:$Q,2,FALSE))</f>
        <v/>
      </c>
    </row>
    <row r="162" spans="19:19" x14ac:dyDescent="0.2">
      <c r="S162" s="65" t="str">
        <f t="shared" si="7"/>
        <v/>
      </c>
    </row>
    <row r="163" spans="19:19" s="65" customFormat="1" x14ac:dyDescent="0.2"/>
    <row r="164" spans="19:19" s="65" customFormat="1" x14ac:dyDescent="0.2"/>
    <row r="165" spans="19:19" s="65" customFormat="1" x14ac:dyDescent="0.2"/>
    <row r="166" spans="19:19" s="65" customFormat="1" x14ac:dyDescent="0.2"/>
    <row r="167" spans="19:19" s="65" customFormat="1" x14ac:dyDescent="0.2"/>
    <row r="168" spans="19:19" s="65" customFormat="1" x14ac:dyDescent="0.2"/>
    <row r="169" spans="19:19" s="65" customFormat="1" x14ac:dyDescent="0.2"/>
    <row r="170" spans="19:19" s="65" customFormat="1" x14ac:dyDescent="0.2"/>
    <row r="171" spans="19:19" s="65" customFormat="1" x14ac:dyDescent="0.2"/>
    <row r="172" spans="19:19" s="65" customFormat="1" x14ac:dyDescent="0.2"/>
    <row r="173" spans="19:19" s="65" customFormat="1" x14ac:dyDescent="0.2"/>
    <row r="174" spans="19:19" s="65" customFormat="1" x14ac:dyDescent="0.2"/>
    <row r="175" spans="19:19" s="65" customFormat="1" x14ac:dyDescent="0.2"/>
    <row r="176" spans="19:19" s="65" customFormat="1" x14ac:dyDescent="0.2"/>
    <row r="177" s="65" customFormat="1" x14ac:dyDescent="0.2"/>
    <row r="178" s="65" customFormat="1" x14ac:dyDescent="0.2"/>
    <row r="179" s="65" customFormat="1" x14ac:dyDescent="0.2"/>
    <row r="180" s="65" customFormat="1" x14ac:dyDescent="0.2"/>
    <row r="181" s="65" customFormat="1" x14ac:dyDescent="0.2"/>
    <row r="182" s="65" customFormat="1" x14ac:dyDescent="0.2"/>
    <row r="183" s="65" customFormat="1" x14ac:dyDescent="0.2"/>
    <row r="184" s="65" customFormat="1" x14ac:dyDescent="0.2"/>
    <row r="185" s="65" customFormat="1" x14ac:dyDescent="0.2"/>
    <row r="186" s="65" customFormat="1" x14ac:dyDescent="0.2"/>
    <row r="187" s="65" customFormat="1" x14ac:dyDescent="0.2"/>
    <row r="188" s="65" customFormat="1" x14ac:dyDescent="0.2"/>
    <row r="189" s="65" customFormat="1" x14ac:dyDescent="0.2"/>
    <row r="190" s="65" customFormat="1" x14ac:dyDescent="0.2"/>
    <row r="191" s="65" customFormat="1" x14ac:dyDescent="0.2"/>
    <row r="192" s="65" customFormat="1" x14ac:dyDescent="0.2"/>
    <row r="193" s="65" customFormat="1" x14ac:dyDescent="0.2"/>
    <row r="194" s="65" customFormat="1" x14ac:dyDescent="0.2"/>
    <row r="195" s="65" customFormat="1" x14ac:dyDescent="0.2"/>
    <row r="196" s="65" customFormat="1" x14ac:dyDescent="0.2"/>
    <row r="197" s="65" customFormat="1" x14ac:dyDescent="0.2"/>
    <row r="198" s="65" customFormat="1" x14ac:dyDescent="0.2"/>
    <row r="199" s="65" customFormat="1" x14ac:dyDescent="0.2"/>
    <row r="200" s="65" customFormat="1" x14ac:dyDescent="0.2"/>
    <row r="201" s="65" customFormat="1" x14ac:dyDescent="0.2"/>
    <row r="202" s="65" customFormat="1" x14ac:dyDescent="0.2"/>
    <row r="203" s="65" customFormat="1" x14ac:dyDescent="0.2"/>
    <row r="204" s="65" customFormat="1" x14ac:dyDescent="0.2"/>
    <row r="205" s="65" customFormat="1" x14ac:dyDescent="0.2"/>
    <row r="206" s="65" customFormat="1" x14ac:dyDescent="0.2"/>
    <row r="207" s="65" customFormat="1" x14ac:dyDescent="0.2"/>
    <row r="208" s="65" customFormat="1" x14ac:dyDescent="0.2"/>
    <row r="209" s="65" customFormat="1" x14ac:dyDescent="0.2"/>
    <row r="210" s="65" customFormat="1" x14ac:dyDescent="0.2"/>
    <row r="211" s="65" customFormat="1" x14ac:dyDescent="0.2"/>
    <row r="212" s="65" customFormat="1" x14ac:dyDescent="0.2"/>
    <row r="213" s="65" customFormat="1" x14ac:dyDescent="0.2"/>
    <row r="214" s="65" customFormat="1" x14ac:dyDescent="0.2"/>
    <row r="215" s="65" customFormat="1" x14ac:dyDescent="0.2"/>
    <row r="216" s="65" customFormat="1" x14ac:dyDescent="0.2"/>
    <row r="217" s="65" customFormat="1" x14ac:dyDescent="0.2"/>
    <row r="218" s="65" customFormat="1" x14ac:dyDescent="0.2"/>
    <row r="219" s="65" customFormat="1" x14ac:dyDescent="0.2"/>
    <row r="220" s="65" customFormat="1" x14ac:dyDescent="0.2"/>
    <row r="221" s="65" customFormat="1" x14ac:dyDescent="0.2"/>
    <row r="222" s="65" customFormat="1" x14ac:dyDescent="0.2"/>
    <row r="223" s="65" customFormat="1" x14ac:dyDescent="0.2"/>
    <row r="224" s="65" customFormat="1" x14ac:dyDescent="0.2"/>
    <row r="225" s="65" customFormat="1" x14ac:dyDescent="0.2"/>
    <row r="226" s="65" customFormat="1" x14ac:dyDescent="0.2"/>
    <row r="227" s="65" customFormat="1" x14ac:dyDescent="0.2"/>
    <row r="228" s="65" customFormat="1" x14ac:dyDescent="0.2"/>
    <row r="229" s="65" customFormat="1" x14ac:dyDescent="0.2"/>
    <row r="230" s="65" customFormat="1" x14ac:dyDescent="0.2"/>
    <row r="231" s="65" customFormat="1" x14ac:dyDescent="0.2"/>
    <row r="232" s="65" customFormat="1" x14ac:dyDescent="0.2"/>
    <row r="233" s="65" customFormat="1" x14ac:dyDescent="0.2"/>
    <row r="234" s="65" customFormat="1" x14ac:dyDescent="0.2"/>
    <row r="235" s="65" customFormat="1" x14ac:dyDescent="0.2"/>
    <row r="236" s="65" customFormat="1" x14ac:dyDescent="0.2"/>
    <row r="237" s="65" customFormat="1" x14ac:dyDescent="0.2"/>
    <row r="238" s="65" customFormat="1" x14ac:dyDescent="0.2"/>
    <row r="239" s="65" customFormat="1" x14ac:dyDescent="0.2"/>
    <row r="240" s="65" customFormat="1" x14ac:dyDescent="0.2"/>
    <row r="241" s="65" customFormat="1" x14ac:dyDescent="0.2"/>
    <row r="242" s="65" customFormat="1" x14ac:dyDescent="0.2"/>
    <row r="243" s="65" customFormat="1" x14ac:dyDescent="0.2"/>
    <row r="244" s="65" customFormat="1" x14ac:dyDescent="0.2"/>
    <row r="245" s="65" customFormat="1" x14ac:dyDescent="0.2"/>
    <row r="246" s="65" customFormat="1" x14ac:dyDescent="0.2"/>
    <row r="247" s="65" customFormat="1" x14ac:dyDescent="0.2"/>
    <row r="248" s="65" customFormat="1" x14ac:dyDescent="0.2"/>
    <row r="249" s="65" customFormat="1" x14ac:dyDescent="0.2"/>
    <row r="250" s="65" customFormat="1" x14ac:dyDescent="0.2"/>
    <row r="251" s="65" customFormat="1" x14ac:dyDescent="0.2"/>
    <row r="252" s="65" customFormat="1" x14ac:dyDescent="0.2"/>
    <row r="253" s="65" customFormat="1" x14ac:dyDescent="0.2"/>
    <row r="254" s="65" customFormat="1" x14ac:dyDescent="0.2"/>
    <row r="255" s="65" customFormat="1" x14ac:dyDescent="0.2"/>
    <row r="256" s="65" customFormat="1" x14ac:dyDescent="0.2"/>
    <row r="257" s="65" customFormat="1" x14ac:dyDescent="0.2"/>
    <row r="258" s="65" customFormat="1" x14ac:dyDescent="0.2"/>
    <row r="259" s="65" customFormat="1" x14ac:dyDescent="0.2"/>
    <row r="260" s="65" customFormat="1" x14ac:dyDescent="0.2"/>
    <row r="261" s="65" customFormat="1" x14ac:dyDescent="0.2"/>
    <row r="262" s="65" customFormat="1" x14ac:dyDescent="0.2"/>
    <row r="263" s="65" customFormat="1" x14ac:dyDescent="0.2"/>
    <row r="264" s="65" customFormat="1" x14ac:dyDescent="0.2"/>
    <row r="265" s="65" customFormat="1" x14ac:dyDescent="0.2"/>
    <row r="266" s="65" customFormat="1" x14ac:dyDescent="0.2"/>
    <row r="267" s="65" customFormat="1" x14ac:dyDescent="0.2"/>
    <row r="268" s="65" customFormat="1" x14ac:dyDescent="0.2"/>
    <row r="269" s="65" customFormat="1" x14ac:dyDescent="0.2"/>
    <row r="270" s="65" customFormat="1" x14ac:dyDescent="0.2"/>
    <row r="271" s="65" customFormat="1" x14ac:dyDescent="0.2"/>
    <row r="272" s="65" customFormat="1" x14ac:dyDescent="0.2"/>
    <row r="273" s="65" customFormat="1" x14ac:dyDescent="0.2"/>
    <row r="274" s="65" customFormat="1" x14ac:dyDescent="0.2"/>
    <row r="275" s="65" customFormat="1" x14ac:dyDescent="0.2"/>
    <row r="276" s="65" customFormat="1" x14ac:dyDescent="0.2"/>
    <row r="277" s="65" customFormat="1" x14ac:dyDescent="0.2"/>
    <row r="278" s="65" customFormat="1" x14ac:dyDescent="0.2"/>
    <row r="279" s="65" customFormat="1" x14ac:dyDescent="0.2"/>
    <row r="280" s="65" customFormat="1" x14ac:dyDescent="0.2"/>
    <row r="281" s="65" customFormat="1" x14ac:dyDescent="0.2"/>
    <row r="282" s="65" customFormat="1" x14ac:dyDescent="0.2"/>
    <row r="283" s="65" customFormat="1" x14ac:dyDescent="0.2"/>
    <row r="284" s="65" customFormat="1" x14ac:dyDescent="0.2"/>
    <row r="285" s="65" customFormat="1" x14ac:dyDescent="0.2"/>
    <row r="286" s="65" customFormat="1" x14ac:dyDescent="0.2"/>
    <row r="287" s="65" customFormat="1" x14ac:dyDescent="0.2"/>
    <row r="288" s="65" customFormat="1" x14ac:dyDescent="0.2"/>
    <row r="289" s="65" customFormat="1" x14ac:dyDescent="0.2"/>
    <row r="290" s="65" customFormat="1" x14ac:dyDescent="0.2"/>
    <row r="291" s="65" customFormat="1" x14ac:dyDescent="0.2"/>
    <row r="292" s="65" customFormat="1" x14ac:dyDescent="0.2"/>
    <row r="293" s="65" customFormat="1" x14ac:dyDescent="0.2"/>
    <row r="294" s="65" customFormat="1" x14ac:dyDescent="0.2"/>
    <row r="295" s="65" customFormat="1" x14ac:dyDescent="0.2"/>
    <row r="296" s="65" customFormat="1" x14ac:dyDescent="0.2"/>
    <row r="297" s="65" customFormat="1" x14ac:dyDescent="0.2"/>
    <row r="298" s="65" customFormat="1" x14ac:dyDescent="0.2"/>
    <row r="299" s="65" customFormat="1" x14ac:dyDescent="0.2"/>
    <row r="300" s="65" customFormat="1" x14ac:dyDescent="0.2"/>
    <row r="301" s="65" customFormat="1" x14ac:dyDescent="0.2"/>
    <row r="302" s="65" customFormat="1" x14ac:dyDescent="0.2"/>
    <row r="303" s="65" customFormat="1" x14ac:dyDescent="0.2"/>
    <row r="304" s="65" customFormat="1" x14ac:dyDescent="0.2"/>
    <row r="305" s="65" customFormat="1" x14ac:dyDescent="0.2"/>
    <row r="306" s="65" customFormat="1" x14ac:dyDescent="0.2"/>
    <row r="307" s="65" customFormat="1" x14ac:dyDescent="0.2"/>
    <row r="308" s="65" customFormat="1" x14ac:dyDescent="0.2"/>
    <row r="309" s="65" customFormat="1" x14ac:dyDescent="0.2"/>
    <row r="310" s="65" customFormat="1" x14ac:dyDescent="0.2"/>
    <row r="311" s="65" customFormat="1" x14ac:dyDescent="0.2"/>
    <row r="312" s="65" customFormat="1" x14ac:dyDescent="0.2"/>
    <row r="313" s="65" customFormat="1" x14ac:dyDescent="0.2"/>
    <row r="314" s="65" customFormat="1" x14ac:dyDescent="0.2"/>
    <row r="315" s="65" customFormat="1" x14ac:dyDescent="0.2"/>
    <row r="316" s="65" customFormat="1" x14ac:dyDescent="0.2"/>
    <row r="317" s="65" customFormat="1" x14ac:dyDescent="0.2"/>
    <row r="318" s="65" customFormat="1" x14ac:dyDescent="0.2"/>
    <row r="319" s="65" customFormat="1" x14ac:dyDescent="0.2"/>
    <row r="320" s="65" customFormat="1" x14ac:dyDescent="0.2"/>
    <row r="321" s="65" customFormat="1" x14ac:dyDescent="0.2"/>
    <row r="322" s="65" customFormat="1" x14ac:dyDescent="0.2"/>
    <row r="323" s="65" customFormat="1" x14ac:dyDescent="0.2"/>
    <row r="324" s="65" customFormat="1" x14ac:dyDescent="0.2"/>
    <row r="325" s="65" customFormat="1" x14ac:dyDescent="0.2"/>
    <row r="326" s="65" customFormat="1" x14ac:dyDescent="0.2"/>
    <row r="327" s="65" customFormat="1" x14ac:dyDescent="0.2"/>
    <row r="328" s="65" customFormat="1" x14ac:dyDescent="0.2"/>
    <row r="329" s="65" customFormat="1" x14ac:dyDescent="0.2"/>
    <row r="330" s="65" customFormat="1" x14ac:dyDescent="0.2"/>
    <row r="331" s="65" customFormat="1" x14ac:dyDescent="0.2"/>
    <row r="332" s="65" customFormat="1" x14ac:dyDescent="0.2"/>
    <row r="333" s="65" customFormat="1" x14ac:dyDescent="0.2"/>
    <row r="334" s="65" customFormat="1" x14ac:dyDescent="0.2"/>
    <row r="335" s="65" customFormat="1" x14ac:dyDescent="0.2"/>
    <row r="336" s="65" customFormat="1" x14ac:dyDescent="0.2"/>
    <row r="337" s="65" customFormat="1" x14ac:dyDescent="0.2"/>
    <row r="338" s="65" customFormat="1" x14ac:dyDescent="0.2"/>
    <row r="339" s="65" customFormat="1" x14ac:dyDescent="0.2"/>
    <row r="340" s="65" customFormat="1" x14ac:dyDescent="0.2"/>
    <row r="341" s="65" customFormat="1" x14ac:dyDescent="0.2"/>
    <row r="342" s="65" customFormat="1" x14ac:dyDescent="0.2"/>
    <row r="343" s="65" customFormat="1" x14ac:dyDescent="0.2"/>
    <row r="344" s="65" customFormat="1" x14ac:dyDescent="0.2"/>
    <row r="345" s="65" customFormat="1" x14ac:dyDescent="0.2"/>
    <row r="346" s="65" customFormat="1" x14ac:dyDescent="0.2"/>
    <row r="347" s="65" customFormat="1" x14ac:dyDescent="0.2"/>
    <row r="348" s="65" customFormat="1" x14ac:dyDescent="0.2"/>
    <row r="349" s="65" customFormat="1" x14ac:dyDescent="0.2"/>
    <row r="350" s="65" customFormat="1" x14ac:dyDescent="0.2"/>
    <row r="351" s="65" customFormat="1" x14ac:dyDescent="0.2"/>
    <row r="352" s="65" customFormat="1" x14ac:dyDescent="0.2"/>
    <row r="353" s="65" customFormat="1" x14ac:dyDescent="0.2"/>
    <row r="354" s="65" customFormat="1" x14ac:dyDescent="0.2"/>
    <row r="355" s="65" customFormat="1" x14ac:dyDescent="0.2"/>
    <row r="356" s="65" customFormat="1" x14ac:dyDescent="0.2"/>
    <row r="357" s="65" customFormat="1" x14ac:dyDescent="0.2"/>
    <row r="358" s="65" customFormat="1" x14ac:dyDescent="0.2"/>
    <row r="359" s="65" customFormat="1" x14ac:dyDescent="0.2"/>
    <row r="360" s="65" customFormat="1" x14ac:dyDescent="0.2"/>
    <row r="361" s="65" customFormat="1" x14ac:dyDescent="0.2"/>
    <row r="362" s="65" customFormat="1" x14ac:dyDescent="0.2"/>
    <row r="363" s="65" customFormat="1" x14ac:dyDescent="0.2"/>
    <row r="364" s="65" customFormat="1" x14ac:dyDescent="0.2"/>
    <row r="365" s="65" customFormat="1" x14ac:dyDescent="0.2"/>
    <row r="366" s="65" customFormat="1" x14ac:dyDescent="0.2"/>
    <row r="367" s="65" customFormat="1" x14ac:dyDescent="0.2"/>
    <row r="368" s="65" customFormat="1" x14ac:dyDescent="0.2"/>
    <row r="369" s="65" customFormat="1" x14ac:dyDescent="0.2"/>
    <row r="370" s="65" customFormat="1" x14ac:dyDescent="0.2"/>
    <row r="371" s="65" customFormat="1" x14ac:dyDescent="0.2"/>
    <row r="372" s="65" customFormat="1" x14ac:dyDescent="0.2"/>
    <row r="373" s="65" customFormat="1" x14ac:dyDescent="0.2"/>
    <row r="374" s="65" customFormat="1" x14ac:dyDescent="0.2"/>
    <row r="375" s="65" customFormat="1" x14ac:dyDescent="0.2"/>
    <row r="376" s="65" customFormat="1" x14ac:dyDescent="0.2"/>
    <row r="377" s="65" customFormat="1" x14ac:dyDescent="0.2"/>
    <row r="378" s="65" customFormat="1" x14ac:dyDescent="0.2"/>
    <row r="379" s="65" customFormat="1" x14ac:dyDescent="0.2"/>
    <row r="380" s="65" customFormat="1" x14ac:dyDescent="0.2"/>
    <row r="381" s="65" customFormat="1" x14ac:dyDescent="0.2"/>
    <row r="382" s="65" customFormat="1" x14ac:dyDescent="0.2"/>
    <row r="383" s="65" customFormat="1" x14ac:dyDescent="0.2"/>
    <row r="384" s="65" customFormat="1" x14ac:dyDescent="0.2"/>
    <row r="385" s="65" customFormat="1" x14ac:dyDescent="0.2"/>
    <row r="386" s="65" customFormat="1" x14ac:dyDescent="0.2"/>
    <row r="387" s="65" customFormat="1" x14ac:dyDescent="0.2"/>
    <row r="388" s="65" customFormat="1" x14ac:dyDescent="0.2"/>
    <row r="389" s="65" customFormat="1" x14ac:dyDescent="0.2"/>
    <row r="390" s="65" customFormat="1" x14ac:dyDescent="0.2"/>
    <row r="391" s="65" customFormat="1" x14ac:dyDescent="0.2"/>
    <row r="392" s="65" customFormat="1" x14ac:dyDescent="0.2"/>
    <row r="393" s="65" customFormat="1" x14ac:dyDescent="0.2"/>
    <row r="394" s="65" customFormat="1" x14ac:dyDescent="0.2"/>
    <row r="395" s="65" customFormat="1" x14ac:dyDescent="0.2"/>
    <row r="396" s="65" customFormat="1" x14ac:dyDescent="0.2"/>
    <row r="397" s="65" customFormat="1" x14ac:dyDescent="0.2"/>
    <row r="398" s="65" customFormat="1" x14ac:dyDescent="0.2"/>
    <row r="399" s="65" customFormat="1" x14ac:dyDescent="0.2"/>
    <row r="400" s="65" customFormat="1" x14ac:dyDescent="0.2"/>
    <row r="401" s="65" customFormat="1" x14ac:dyDescent="0.2"/>
    <row r="402" s="65" customFormat="1" x14ac:dyDescent="0.2"/>
    <row r="403" s="65" customFormat="1" x14ac:dyDescent="0.2"/>
    <row r="404" s="65" customFormat="1" x14ac:dyDescent="0.2"/>
    <row r="405" s="65" customFormat="1" x14ac:dyDescent="0.2"/>
    <row r="406" s="65" customFormat="1" x14ac:dyDescent="0.2"/>
    <row r="407" s="65" customFormat="1" x14ac:dyDescent="0.2"/>
    <row r="408" s="65" customFormat="1" x14ac:dyDescent="0.2"/>
    <row r="409" s="65" customFormat="1" x14ac:dyDescent="0.2"/>
    <row r="410" s="65" customFormat="1" x14ac:dyDescent="0.2"/>
    <row r="411" s="65" customFormat="1" x14ac:dyDescent="0.2"/>
    <row r="412" s="65" customFormat="1" x14ac:dyDescent="0.2"/>
    <row r="413" s="65" customFormat="1" x14ac:dyDescent="0.2"/>
    <row r="414" s="65" customFormat="1" x14ac:dyDescent="0.2"/>
    <row r="415" s="65" customFormat="1" x14ac:dyDescent="0.2"/>
    <row r="416" s="65" customFormat="1" x14ac:dyDescent="0.2"/>
    <row r="417" s="65" customFormat="1" x14ac:dyDescent="0.2"/>
    <row r="418" s="65" customFormat="1" x14ac:dyDescent="0.2"/>
    <row r="419" s="65" customFormat="1" x14ac:dyDescent="0.2"/>
    <row r="420" s="65" customFormat="1" x14ac:dyDescent="0.2"/>
    <row r="421" s="65" customFormat="1" x14ac:dyDescent="0.2"/>
    <row r="422" s="65" customFormat="1" x14ac:dyDescent="0.2"/>
    <row r="423" s="65" customFormat="1" x14ac:dyDescent="0.2"/>
    <row r="424" s="65" customFormat="1" x14ac:dyDescent="0.2"/>
    <row r="425" s="65" customFormat="1" x14ac:dyDescent="0.2"/>
    <row r="426" s="65" customFormat="1" x14ac:dyDescent="0.2"/>
    <row r="427" s="65" customFormat="1" x14ac:dyDescent="0.2"/>
    <row r="428" s="65" customFormat="1" x14ac:dyDescent="0.2"/>
    <row r="429" s="65" customFormat="1" x14ac:dyDescent="0.2"/>
    <row r="430" s="65" customFormat="1" x14ac:dyDescent="0.2"/>
    <row r="431" s="65" customFormat="1" x14ac:dyDescent="0.2"/>
    <row r="432" s="65" customFormat="1" x14ac:dyDescent="0.2"/>
    <row r="433" s="65" customFormat="1" x14ac:dyDescent="0.2"/>
    <row r="434" s="65" customFormat="1" x14ac:dyDescent="0.2"/>
    <row r="435" s="65" customFormat="1" x14ac:dyDescent="0.2"/>
    <row r="436" s="65" customFormat="1" x14ac:dyDescent="0.2"/>
    <row r="437" s="65" customFormat="1" x14ac:dyDescent="0.2"/>
    <row r="438" s="65" customFormat="1" x14ac:dyDescent="0.2"/>
    <row r="439" s="65" customFormat="1" x14ac:dyDescent="0.2"/>
    <row r="440" s="65" customFormat="1" x14ac:dyDescent="0.2"/>
    <row r="441" s="65" customFormat="1" x14ac:dyDescent="0.2"/>
    <row r="442" s="65" customFormat="1" x14ac:dyDescent="0.2"/>
    <row r="443" s="65" customFormat="1" x14ac:dyDescent="0.2"/>
    <row r="444" s="65" customFormat="1" x14ac:dyDescent="0.2"/>
    <row r="445" s="65" customFormat="1" x14ac:dyDescent="0.2"/>
    <row r="446" s="65" customFormat="1" x14ac:dyDescent="0.2"/>
    <row r="447" s="65" customFormat="1" x14ac:dyDescent="0.2"/>
    <row r="448" s="65" customFormat="1" x14ac:dyDescent="0.2"/>
    <row r="449" s="65" customFormat="1" x14ac:dyDescent="0.2"/>
    <row r="450" s="65" customFormat="1" x14ac:dyDescent="0.2"/>
    <row r="451" s="65" customFormat="1" x14ac:dyDescent="0.2"/>
    <row r="452" s="65" customFormat="1" x14ac:dyDescent="0.2"/>
    <row r="453" s="65" customFormat="1" x14ac:dyDescent="0.2"/>
    <row r="454" s="65" customFormat="1" x14ac:dyDescent="0.2"/>
    <row r="455" s="65" customFormat="1" x14ac:dyDescent="0.2"/>
    <row r="456" s="65" customFormat="1" x14ac:dyDescent="0.2"/>
    <row r="457" s="65" customFormat="1" x14ac:dyDescent="0.2"/>
    <row r="458" s="65" customFormat="1" x14ac:dyDescent="0.2"/>
    <row r="459" s="65" customFormat="1" x14ac:dyDescent="0.2"/>
    <row r="460" s="65" customFormat="1" x14ac:dyDescent="0.2"/>
    <row r="461" s="65" customFormat="1" x14ac:dyDescent="0.2"/>
    <row r="462" s="65" customFormat="1" x14ac:dyDescent="0.2"/>
    <row r="463" s="65" customFormat="1" x14ac:dyDescent="0.2"/>
    <row r="464" s="65" customFormat="1" x14ac:dyDescent="0.2"/>
    <row r="465" s="65" customFormat="1" x14ac:dyDescent="0.2"/>
    <row r="466" s="65" customFormat="1" x14ac:dyDescent="0.2"/>
    <row r="467" s="65" customFormat="1" x14ac:dyDescent="0.2"/>
    <row r="468" s="65" customFormat="1" x14ac:dyDescent="0.2"/>
    <row r="469" s="65" customFormat="1" x14ac:dyDescent="0.2"/>
    <row r="470" s="65" customFormat="1" x14ac:dyDescent="0.2"/>
    <row r="471" s="65" customFormat="1" x14ac:dyDescent="0.2"/>
    <row r="472" s="65" customFormat="1" x14ac:dyDescent="0.2"/>
    <row r="473" s="65" customFormat="1" x14ac:dyDescent="0.2"/>
    <row r="474" s="65" customFormat="1" x14ac:dyDescent="0.2"/>
    <row r="475" s="65" customFormat="1" x14ac:dyDescent="0.2"/>
    <row r="476" s="65" customFormat="1" x14ac:dyDescent="0.2"/>
    <row r="477" s="65" customFormat="1" x14ac:dyDescent="0.2"/>
    <row r="478" s="65" customFormat="1" x14ac:dyDescent="0.2"/>
    <row r="479" s="65" customFormat="1" x14ac:dyDescent="0.2"/>
    <row r="480" s="65" customFormat="1" x14ac:dyDescent="0.2"/>
    <row r="481" s="65" customFormat="1" x14ac:dyDescent="0.2"/>
    <row r="482" s="65" customFormat="1" x14ac:dyDescent="0.2"/>
    <row r="483" s="65" customFormat="1" x14ac:dyDescent="0.2"/>
    <row r="484" s="65" customFormat="1" x14ac:dyDescent="0.2"/>
    <row r="485" s="65" customFormat="1" x14ac:dyDescent="0.2"/>
    <row r="486" s="65" customFormat="1" x14ac:dyDescent="0.2"/>
    <row r="487" s="65" customFormat="1" x14ac:dyDescent="0.2"/>
    <row r="488" s="65" customFormat="1" x14ac:dyDescent="0.2"/>
    <row r="489" s="65" customFormat="1" x14ac:dyDescent="0.2"/>
    <row r="490" s="65" customFormat="1" x14ac:dyDescent="0.2"/>
    <row r="491" s="65" customFormat="1" x14ac:dyDescent="0.2"/>
    <row r="492" s="65" customFormat="1" x14ac:dyDescent="0.2"/>
    <row r="493" s="65" customFormat="1" x14ac:dyDescent="0.2"/>
    <row r="494" s="65" customFormat="1" x14ac:dyDescent="0.2"/>
    <row r="495" s="65" customFormat="1" x14ac:dyDescent="0.2"/>
    <row r="496" s="65" customFormat="1" x14ac:dyDescent="0.2"/>
    <row r="497" s="65" customFormat="1" x14ac:dyDescent="0.2"/>
    <row r="498" s="65" customFormat="1" x14ac:dyDescent="0.2"/>
    <row r="499" s="65" customFormat="1" x14ac:dyDescent="0.2"/>
    <row r="500" s="65" customFormat="1" x14ac:dyDescent="0.2"/>
    <row r="501" s="65" customFormat="1" x14ac:dyDescent="0.2"/>
    <row r="502" s="65" customFormat="1" x14ac:dyDescent="0.2"/>
    <row r="503" s="65" customFormat="1" x14ac:dyDescent="0.2"/>
    <row r="504" s="65" customFormat="1" x14ac:dyDescent="0.2"/>
    <row r="505" s="65" customFormat="1" x14ac:dyDescent="0.2"/>
    <row r="506" s="65" customFormat="1" x14ac:dyDescent="0.2"/>
    <row r="507" s="65" customFormat="1" x14ac:dyDescent="0.2"/>
    <row r="508" s="65" customFormat="1" x14ac:dyDescent="0.2"/>
    <row r="509" s="65" customFormat="1" x14ac:dyDescent="0.2"/>
    <row r="510" s="65" customFormat="1" x14ac:dyDescent="0.2"/>
    <row r="511" s="65" customFormat="1" x14ac:dyDescent="0.2"/>
    <row r="512" s="65" customFormat="1" x14ac:dyDescent="0.2"/>
    <row r="513" s="65" customFormat="1" x14ac:dyDescent="0.2"/>
    <row r="514" s="65" customFormat="1" x14ac:dyDescent="0.2"/>
    <row r="515" s="65" customFormat="1" x14ac:dyDescent="0.2"/>
    <row r="516" s="65" customFormat="1" x14ac:dyDescent="0.2"/>
    <row r="517" s="65" customFormat="1" x14ac:dyDescent="0.2"/>
    <row r="518" s="65" customFormat="1" x14ac:dyDescent="0.2"/>
    <row r="519" s="65" customFormat="1" x14ac:dyDescent="0.2"/>
    <row r="520" s="65" customFormat="1" x14ac:dyDescent="0.2"/>
    <row r="521" s="65" customFormat="1" x14ac:dyDescent="0.2"/>
    <row r="522" s="65" customFormat="1" x14ac:dyDescent="0.2"/>
    <row r="523" s="65" customFormat="1" x14ac:dyDescent="0.2"/>
    <row r="524" s="65" customFormat="1" x14ac:dyDescent="0.2"/>
    <row r="525" s="65" customFormat="1" x14ac:dyDescent="0.2"/>
    <row r="526" s="65" customFormat="1" x14ac:dyDescent="0.2"/>
    <row r="527" s="65" customFormat="1" x14ac:dyDescent="0.2"/>
    <row r="528" s="65" customFormat="1" x14ac:dyDescent="0.2"/>
    <row r="529" s="65" customFormat="1" x14ac:dyDescent="0.2"/>
    <row r="530" s="65" customFormat="1" x14ac:dyDescent="0.2"/>
    <row r="531" s="65" customFormat="1" x14ac:dyDescent="0.2"/>
    <row r="532" s="65" customFormat="1" x14ac:dyDescent="0.2"/>
    <row r="533" s="65" customFormat="1" x14ac:dyDescent="0.2"/>
    <row r="534" s="65" customFormat="1" x14ac:dyDescent="0.2"/>
    <row r="535" s="65" customFormat="1" x14ac:dyDescent="0.2"/>
    <row r="536" s="65" customFormat="1" x14ac:dyDescent="0.2"/>
    <row r="537" s="65" customFormat="1" x14ac:dyDescent="0.2"/>
    <row r="538" s="65" customFormat="1" x14ac:dyDescent="0.2"/>
    <row r="539" s="65" customFormat="1" x14ac:dyDescent="0.2"/>
    <row r="540" s="65" customFormat="1" x14ac:dyDescent="0.2"/>
    <row r="541" s="65" customFormat="1" x14ac:dyDescent="0.2"/>
    <row r="542" s="65" customFormat="1" x14ac:dyDescent="0.2"/>
    <row r="543" s="65" customFormat="1" x14ac:dyDescent="0.2"/>
    <row r="544" s="65" customFormat="1" x14ac:dyDescent="0.2"/>
    <row r="545" s="65" customFormat="1" x14ac:dyDescent="0.2"/>
    <row r="546" s="65" customFormat="1" x14ac:dyDescent="0.2"/>
    <row r="547" s="65" customFormat="1" x14ac:dyDescent="0.2"/>
    <row r="548" s="65" customFormat="1" x14ac:dyDescent="0.2"/>
    <row r="549" s="65" customFormat="1" x14ac:dyDescent="0.2"/>
    <row r="550" s="65" customFormat="1" x14ac:dyDescent="0.2"/>
    <row r="551" s="65" customFormat="1" x14ac:dyDescent="0.2"/>
    <row r="552" s="65" customFormat="1" x14ac:dyDescent="0.2"/>
    <row r="553" s="65" customFormat="1" x14ac:dyDescent="0.2"/>
    <row r="554" s="65" customFormat="1" x14ac:dyDescent="0.2"/>
    <row r="555" s="65" customFormat="1" x14ac:dyDescent="0.2"/>
    <row r="556" s="65" customFormat="1" x14ac:dyDescent="0.2"/>
    <row r="557" s="65" customFormat="1" x14ac:dyDescent="0.2"/>
    <row r="558" s="65" customFormat="1" x14ac:dyDescent="0.2"/>
    <row r="559" s="65" customFormat="1" x14ac:dyDescent="0.2"/>
    <row r="560" s="65" customFormat="1" x14ac:dyDescent="0.2"/>
    <row r="561" s="65" customFormat="1" x14ac:dyDescent="0.2"/>
    <row r="562" s="65" customFormat="1" x14ac:dyDescent="0.2"/>
    <row r="563" s="65" customFormat="1" x14ac:dyDescent="0.2"/>
    <row r="564" s="65" customFormat="1" x14ac:dyDescent="0.2"/>
    <row r="565" s="65" customFormat="1" x14ac:dyDescent="0.2"/>
    <row r="566" s="65" customFormat="1" x14ac:dyDescent="0.2"/>
    <row r="567" s="65" customFormat="1" x14ac:dyDescent="0.2"/>
    <row r="568" s="65" customFormat="1" x14ac:dyDescent="0.2"/>
    <row r="569" s="65" customFormat="1" x14ac:dyDescent="0.2"/>
    <row r="570" s="65" customFormat="1" x14ac:dyDescent="0.2"/>
    <row r="571" s="65" customFormat="1" x14ac:dyDescent="0.2"/>
    <row r="572" s="65" customFormat="1" x14ac:dyDescent="0.2"/>
    <row r="573" s="65" customFormat="1" x14ac:dyDescent="0.2"/>
    <row r="574" s="65" customFormat="1" x14ac:dyDescent="0.2"/>
    <row r="575" s="65" customFormat="1" x14ac:dyDescent="0.2"/>
    <row r="576" s="65" customFormat="1" x14ac:dyDescent="0.2"/>
    <row r="577" s="65" customFormat="1" x14ac:dyDescent="0.2"/>
    <row r="578" s="65" customFormat="1" x14ac:dyDescent="0.2"/>
    <row r="579" s="65" customFormat="1" x14ac:dyDescent="0.2"/>
    <row r="580" s="65" customFormat="1" x14ac:dyDescent="0.2"/>
    <row r="581" s="65" customFormat="1" x14ac:dyDescent="0.2"/>
    <row r="582" s="65" customFormat="1" x14ac:dyDescent="0.2"/>
    <row r="583" s="65" customFormat="1" x14ac:dyDescent="0.2"/>
    <row r="584" s="65" customFormat="1" x14ac:dyDescent="0.2"/>
    <row r="585" s="65" customFormat="1" x14ac:dyDescent="0.2"/>
    <row r="586" s="65" customFormat="1" x14ac:dyDescent="0.2"/>
    <row r="587" s="65" customFormat="1" x14ac:dyDescent="0.2"/>
    <row r="588" s="65" customFormat="1" x14ac:dyDescent="0.2"/>
    <row r="589" s="65" customFormat="1" x14ac:dyDescent="0.2"/>
    <row r="590" s="65" customFormat="1" x14ac:dyDescent="0.2"/>
    <row r="591" s="65" customFormat="1" x14ac:dyDescent="0.2"/>
    <row r="592" s="65" customFormat="1" x14ac:dyDescent="0.2"/>
    <row r="593" s="65" customFormat="1" x14ac:dyDescent="0.2"/>
    <row r="594" s="65" customFormat="1" x14ac:dyDescent="0.2"/>
    <row r="595" s="65" customFormat="1" x14ac:dyDescent="0.2"/>
    <row r="596" s="65" customFormat="1" x14ac:dyDescent="0.2"/>
    <row r="597" s="65" customFormat="1" x14ac:dyDescent="0.2"/>
    <row r="598" s="65" customFormat="1" x14ac:dyDescent="0.2"/>
    <row r="599" s="65" customFormat="1" x14ac:dyDescent="0.2"/>
    <row r="600" s="65" customFormat="1" x14ac:dyDescent="0.2"/>
    <row r="601" s="65" customFormat="1" x14ac:dyDescent="0.2"/>
    <row r="602" s="65" customFormat="1" x14ac:dyDescent="0.2"/>
    <row r="603" s="65" customFormat="1" x14ac:dyDescent="0.2"/>
    <row r="604" s="65" customFormat="1" x14ac:dyDescent="0.2"/>
    <row r="605" s="65" customFormat="1" x14ac:dyDescent="0.2"/>
    <row r="606" s="65" customFormat="1" x14ac:dyDescent="0.2"/>
    <row r="607" s="65" customFormat="1" x14ac:dyDescent="0.2"/>
    <row r="608" s="65" customFormat="1" x14ac:dyDescent="0.2"/>
    <row r="609" s="65" customFormat="1" x14ac:dyDescent="0.2"/>
    <row r="610" s="65" customFormat="1" x14ac:dyDescent="0.2"/>
    <row r="611" s="65" customFormat="1" x14ac:dyDescent="0.2"/>
    <row r="612" s="65" customFormat="1" x14ac:dyDescent="0.2"/>
    <row r="613" s="65" customFormat="1" x14ac:dyDescent="0.2"/>
    <row r="614" s="65" customFormat="1" x14ac:dyDescent="0.2"/>
    <row r="615" s="65" customFormat="1" x14ac:dyDescent="0.2"/>
    <row r="616" s="65" customFormat="1" x14ac:dyDescent="0.2"/>
    <row r="617" s="65" customFormat="1" x14ac:dyDescent="0.2"/>
    <row r="618" s="65" customFormat="1" x14ac:dyDescent="0.2"/>
    <row r="619" s="65" customFormat="1" x14ac:dyDescent="0.2"/>
    <row r="620" s="65" customFormat="1" x14ac:dyDescent="0.2"/>
    <row r="621" s="65" customFormat="1" x14ac:dyDescent="0.2"/>
    <row r="622" s="65" customFormat="1" x14ac:dyDescent="0.2"/>
    <row r="623" s="65" customFormat="1" x14ac:dyDescent="0.2"/>
    <row r="624" s="65" customFormat="1" x14ac:dyDescent="0.2"/>
    <row r="625" s="65" customFormat="1" x14ac:dyDescent="0.2"/>
    <row r="626" s="65" customFormat="1" x14ac:dyDescent="0.2"/>
    <row r="627" s="65" customFormat="1" x14ac:dyDescent="0.2"/>
    <row r="628" s="65" customFormat="1" x14ac:dyDescent="0.2"/>
    <row r="629" s="65" customFormat="1" x14ac:dyDescent="0.2"/>
    <row r="630" s="65" customFormat="1" x14ac:dyDescent="0.2"/>
    <row r="631" s="65" customFormat="1" x14ac:dyDescent="0.2"/>
    <row r="632" s="65" customFormat="1" x14ac:dyDescent="0.2"/>
    <row r="633" s="65" customFormat="1" x14ac:dyDescent="0.2"/>
    <row r="634" s="65" customFormat="1" x14ac:dyDescent="0.2"/>
    <row r="635" s="65" customFormat="1" x14ac:dyDescent="0.2"/>
    <row r="636" s="65" customFormat="1" x14ac:dyDescent="0.2"/>
    <row r="637" s="65" customFormat="1" x14ac:dyDescent="0.2"/>
    <row r="638" s="65" customFormat="1" x14ac:dyDescent="0.2"/>
    <row r="639" s="65" customFormat="1" x14ac:dyDescent="0.2"/>
    <row r="640" s="65" customFormat="1" x14ac:dyDescent="0.2"/>
    <row r="641" s="65" customFormat="1" x14ac:dyDescent="0.2"/>
    <row r="642" s="65" customFormat="1" x14ac:dyDescent="0.2"/>
    <row r="643" s="65" customFormat="1" x14ac:dyDescent="0.2"/>
    <row r="644" s="65" customFormat="1" x14ac:dyDescent="0.2"/>
    <row r="645" s="65" customFormat="1" x14ac:dyDescent="0.2"/>
    <row r="646" s="65" customFormat="1" x14ac:dyDescent="0.2"/>
    <row r="647" s="65" customFormat="1" x14ac:dyDescent="0.2"/>
    <row r="648" s="65" customFormat="1" x14ac:dyDescent="0.2"/>
    <row r="649" s="65" customFormat="1" x14ac:dyDescent="0.2"/>
    <row r="650" s="65" customFormat="1" x14ac:dyDescent="0.2"/>
    <row r="651" s="65" customFormat="1" x14ac:dyDescent="0.2"/>
    <row r="652" s="65" customFormat="1" x14ac:dyDescent="0.2"/>
    <row r="653" s="65" customFormat="1" x14ac:dyDescent="0.2"/>
    <row r="654" s="65" customFormat="1" x14ac:dyDescent="0.2"/>
    <row r="655" s="65" customFormat="1" x14ac:dyDescent="0.2"/>
    <row r="656" s="65" customFormat="1" x14ac:dyDescent="0.2"/>
    <row r="657" s="65" customFormat="1" x14ac:dyDescent="0.2"/>
    <row r="658" s="65" customFormat="1" x14ac:dyDescent="0.2"/>
    <row r="659" s="65" customFormat="1" x14ac:dyDescent="0.2"/>
    <row r="660" s="65" customFormat="1" x14ac:dyDescent="0.2"/>
    <row r="661" s="65" customFormat="1" x14ac:dyDescent="0.2"/>
    <row r="662" s="65" customFormat="1" x14ac:dyDescent="0.2"/>
    <row r="663" s="65" customFormat="1" x14ac:dyDescent="0.2"/>
    <row r="664" s="65" customFormat="1" x14ac:dyDescent="0.2"/>
    <row r="665" s="65" customFormat="1" x14ac:dyDescent="0.2"/>
    <row r="666" s="65" customFormat="1" x14ac:dyDescent="0.2"/>
    <row r="667" s="65" customFormat="1" x14ac:dyDescent="0.2"/>
    <row r="668" s="65" customFormat="1" x14ac:dyDescent="0.2"/>
    <row r="669" s="65" customFormat="1" x14ac:dyDescent="0.2"/>
    <row r="670" s="65" customFormat="1" x14ac:dyDescent="0.2"/>
    <row r="671" s="65" customFormat="1" x14ac:dyDescent="0.2"/>
    <row r="672" s="65" customFormat="1" x14ac:dyDescent="0.2"/>
    <row r="673" s="65" customFormat="1" x14ac:dyDescent="0.2"/>
    <row r="674" s="65" customFormat="1" x14ac:dyDescent="0.2"/>
    <row r="675" s="65" customFormat="1" x14ac:dyDescent="0.2"/>
    <row r="676" s="65" customFormat="1" x14ac:dyDescent="0.2"/>
    <row r="677" s="65" customFormat="1" x14ac:dyDescent="0.2"/>
    <row r="678" s="65" customFormat="1" x14ac:dyDescent="0.2"/>
    <row r="679" s="65" customFormat="1" x14ac:dyDescent="0.2"/>
    <row r="680" s="65" customFormat="1" x14ac:dyDescent="0.2"/>
    <row r="681" s="65" customFormat="1" x14ac:dyDescent="0.2"/>
    <row r="682" s="65" customFormat="1" x14ac:dyDescent="0.2"/>
    <row r="683" s="65" customFormat="1" x14ac:dyDescent="0.2"/>
    <row r="684" s="65" customFormat="1" x14ac:dyDescent="0.2"/>
    <row r="685" s="65" customFormat="1" x14ac:dyDescent="0.2"/>
    <row r="686" s="65" customFormat="1" x14ac:dyDescent="0.2"/>
    <row r="687" s="65" customFormat="1" x14ac:dyDescent="0.2"/>
    <row r="688" s="65" customFormat="1" x14ac:dyDescent="0.2"/>
    <row r="689" s="65" customFormat="1" x14ac:dyDescent="0.2"/>
    <row r="690" s="65" customFormat="1" x14ac:dyDescent="0.2"/>
    <row r="691" s="65" customFormat="1" x14ac:dyDescent="0.2"/>
    <row r="692" s="65" customFormat="1" x14ac:dyDescent="0.2"/>
    <row r="693" s="65" customFormat="1" x14ac:dyDescent="0.2"/>
    <row r="694" s="65" customFormat="1" x14ac:dyDescent="0.2"/>
    <row r="695" s="65" customFormat="1" x14ac:dyDescent="0.2"/>
    <row r="696" s="65" customFormat="1" x14ac:dyDescent="0.2"/>
    <row r="697" s="65" customFormat="1" x14ac:dyDescent="0.2"/>
    <row r="698" s="65" customFormat="1" x14ac:dyDescent="0.2"/>
    <row r="699" s="65" customFormat="1" x14ac:dyDescent="0.2"/>
    <row r="700" s="65" customFormat="1" x14ac:dyDescent="0.2"/>
    <row r="701" s="65" customFormat="1" x14ac:dyDescent="0.2"/>
    <row r="702" s="65" customFormat="1" x14ac:dyDescent="0.2"/>
    <row r="703" s="65" customFormat="1" x14ac:dyDescent="0.2"/>
    <row r="704" s="65" customFormat="1" x14ac:dyDescent="0.2"/>
    <row r="705" s="65" customFormat="1" x14ac:dyDescent="0.2"/>
    <row r="706" s="65" customFormat="1" x14ac:dyDescent="0.2"/>
    <row r="707" s="65" customFormat="1" x14ac:dyDescent="0.2"/>
    <row r="708" s="65" customFormat="1" x14ac:dyDescent="0.2"/>
    <row r="709" s="65" customFormat="1" x14ac:dyDescent="0.2"/>
    <row r="710" s="65" customFormat="1" x14ac:dyDescent="0.2"/>
    <row r="711" s="65" customFormat="1" x14ac:dyDescent="0.2"/>
    <row r="712" s="65" customFormat="1" x14ac:dyDescent="0.2"/>
    <row r="713" s="65" customFormat="1" x14ac:dyDescent="0.2"/>
    <row r="714" s="65" customFormat="1" x14ac:dyDescent="0.2"/>
    <row r="715" s="65" customFormat="1" x14ac:dyDescent="0.2"/>
    <row r="716" s="65" customFormat="1" x14ac:dyDescent="0.2"/>
    <row r="717" s="65" customFormat="1" x14ac:dyDescent="0.2"/>
    <row r="718" s="65" customFormat="1" x14ac:dyDescent="0.2"/>
    <row r="719" s="65" customFormat="1" x14ac:dyDescent="0.2"/>
    <row r="720" s="65" customFormat="1" x14ac:dyDescent="0.2"/>
    <row r="721" s="65" customFormat="1" x14ac:dyDescent="0.2"/>
    <row r="722" s="65" customFormat="1" x14ac:dyDescent="0.2"/>
    <row r="723" s="65" customFormat="1" x14ac:dyDescent="0.2"/>
    <row r="724" s="65" customFormat="1" x14ac:dyDescent="0.2"/>
    <row r="725" s="65" customFormat="1" x14ac:dyDescent="0.2"/>
    <row r="726" s="65" customFormat="1" x14ac:dyDescent="0.2"/>
    <row r="727" s="65" customFormat="1" x14ac:dyDescent="0.2"/>
    <row r="728" s="65" customFormat="1" x14ac:dyDescent="0.2"/>
    <row r="729" s="65" customFormat="1" x14ac:dyDescent="0.2"/>
    <row r="730" s="65" customFormat="1" x14ac:dyDescent="0.2"/>
    <row r="731" s="65" customFormat="1" x14ac:dyDescent="0.2"/>
    <row r="732" s="65" customFormat="1" x14ac:dyDescent="0.2"/>
    <row r="733" s="65" customFormat="1" x14ac:dyDescent="0.2"/>
    <row r="734" s="65" customFormat="1" x14ac:dyDescent="0.2"/>
    <row r="735" s="65" customFormat="1" x14ac:dyDescent="0.2"/>
    <row r="736" s="65" customFormat="1" x14ac:dyDescent="0.2"/>
    <row r="737" s="65" customFormat="1" x14ac:dyDescent="0.2"/>
    <row r="738" s="65" customFormat="1" x14ac:dyDescent="0.2"/>
    <row r="739" s="65" customFormat="1" x14ac:dyDescent="0.2"/>
    <row r="740" s="65" customFormat="1" x14ac:dyDescent="0.2"/>
    <row r="741" s="65" customFormat="1" x14ac:dyDescent="0.2"/>
    <row r="742" s="65" customFormat="1" x14ac:dyDescent="0.2"/>
    <row r="743" s="65" customFormat="1" x14ac:dyDescent="0.2"/>
    <row r="744" s="65" customFormat="1" x14ac:dyDescent="0.2"/>
    <row r="745" s="65" customFormat="1" x14ac:dyDescent="0.2"/>
    <row r="746" s="65" customFormat="1" x14ac:dyDescent="0.2"/>
    <row r="747" s="65" customFormat="1" x14ac:dyDescent="0.2"/>
    <row r="748" s="65" customFormat="1" x14ac:dyDescent="0.2"/>
    <row r="749" s="65" customFormat="1" x14ac:dyDescent="0.2"/>
    <row r="750" s="65" customFormat="1" x14ac:dyDescent="0.2"/>
    <row r="751" s="65" customFormat="1" x14ac:dyDescent="0.2"/>
    <row r="752" s="65" customFormat="1" x14ac:dyDescent="0.2"/>
    <row r="753" s="65" customFormat="1" x14ac:dyDescent="0.2"/>
    <row r="754" s="65" customFormat="1" x14ac:dyDescent="0.2"/>
    <row r="755" s="65" customFormat="1" x14ac:dyDescent="0.2"/>
    <row r="756" s="65" customFormat="1" x14ac:dyDescent="0.2"/>
    <row r="757" s="65" customFormat="1" x14ac:dyDescent="0.2"/>
    <row r="758" s="65" customFormat="1" x14ac:dyDescent="0.2"/>
    <row r="759" s="65" customFormat="1" x14ac:dyDescent="0.2"/>
    <row r="760" s="65" customFormat="1" x14ac:dyDescent="0.2"/>
    <row r="761" s="65" customFormat="1" x14ac:dyDescent="0.2"/>
    <row r="762" s="65" customFormat="1" x14ac:dyDescent="0.2"/>
    <row r="763" s="65" customFormat="1" x14ac:dyDescent="0.2"/>
    <row r="764" s="65" customFormat="1" x14ac:dyDescent="0.2"/>
    <row r="765" s="65" customFormat="1" x14ac:dyDescent="0.2"/>
    <row r="766" s="65" customFormat="1" x14ac:dyDescent="0.2"/>
    <row r="767" s="65" customFormat="1" x14ac:dyDescent="0.2"/>
    <row r="768" s="65" customFormat="1" x14ac:dyDescent="0.2"/>
    <row r="769" s="65" customFormat="1" x14ac:dyDescent="0.2"/>
    <row r="770" s="65" customFormat="1" x14ac:dyDescent="0.2"/>
    <row r="771" s="65" customFormat="1" x14ac:dyDescent="0.2"/>
    <row r="772" s="65" customFormat="1" x14ac:dyDescent="0.2"/>
    <row r="773" s="65" customFormat="1" x14ac:dyDescent="0.2"/>
    <row r="774" s="65" customFormat="1" x14ac:dyDescent="0.2"/>
    <row r="775" s="65" customFormat="1" x14ac:dyDescent="0.2"/>
    <row r="776" s="65" customFormat="1" x14ac:dyDescent="0.2"/>
    <row r="777" s="65" customFormat="1" x14ac:dyDescent="0.2"/>
    <row r="778" s="65" customFormat="1" x14ac:dyDescent="0.2"/>
    <row r="779" s="65" customFormat="1" x14ac:dyDescent="0.2"/>
    <row r="780" s="65" customFormat="1" x14ac:dyDescent="0.2"/>
    <row r="781" s="65" customFormat="1" x14ac:dyDescent="0.2"/>
    <row r="782" s="65" customFormat="1" x14ac:dyDescent="0.2"/>
    <row r="783" s="65" customFormat="1" x14ac:dyDescent="0.2"/>
    <row r="784" s="65" customFormat="1" x14ac:dyDescent="0.2"/>
    <row r="785" s="65" customFormat="1" x14ac:dyDescent="0.2"/>
    <row r="786" s="65" customFormat="1" x14ac:dyDescent="0.2"/>
    <row r="787" s="65" customFormat="1" x14ac:dyDescent="0.2"/>
    <row r="788" s="65" customFormat="1" x14ac:dyDescent="0.2"/>
    <row r="789" s="65" customFormat="1" x14ac:dyDescent="0.2"/>
    <row r="790" s="65" customFormat="1" x14ac:dyDescent="0.2"/>
    <row r="791" s="65" customFormat="1" x14ac:dyDescent="0.2"/>
    <row r="792" s="65" customFormat="1" x14ac:dyDescent="0.2"/>
    <row r="793" s="65" customFormat="1" x14ac:dyDescent="0.2"/>
    <row r="794" s="65" customFormat="1" x14ac:dyDescent="0.2"/>
    <row r="795" s="65" customFormat="1" x14ac:dyDescent="0.2"/>
    <row r="796" s="65" customFormat="1" x14ac:dyDescent="0.2"/>
    <row r="797" s="65" customFormat="1" x14ac:dyDescent="0.2"/>
    <row r="798" s="65" customFormat="1" x14ac:dyDescent="0.2"/>
    <row r="799" s="65" customFormat="1" x14ac:dyDescent="0.2"/>
    <row r="800" s="65" customFormat="1" x14ac:dyDescent="0.2"/>
    <row r="801" s="65" customFormat="1" x14ac:dyDescent="0.2"/>
    <row r="802" s="65" customFormat="1" x14ac:dyDescent="0.2"/>
    <row r="803" s="65" customFormat="1" x14ac:dyDescent="0.2"/>
    <row r="804" s="65" customFormat="1" x14ac:dyDescent="0.2"/>
    <row r="805" s="65" customFormat="1" x14ac:dyDescent="0.2"/>
    <row r="806" s="65" customFormat="1" x14ac:dyDescent="0.2"/>
    <row r="807" s="65" customFormat="1" x14ac:dyDescent="0.2"/>
    <row r="808" s="65" customFormat="1" x14ac:dyDescent="0.2"/>
    <row r="809" s="65" customFormat="1" x14ac:dyDescent="0.2"/>
    <row r="810" s="65" customFormat="1" x14ac:dyDescent="0.2"/>
    <row r="811" s="65" customFormat="1" x14ac:dyDescent="0.2"/>
    <row r="812" s="65" customFormat="1" x14ac:dyDescent="0.2"/>
    <row r="813" s="65" customFormat="1" x14ac:dyDescent="0.2"/>
    <row r="814" s="65" customFormat="1" x14ac:dyDescent="0.2"/>
    <row r="815" s="65" customFormat="1" x14ac:dyDescent="0.2"/>
    <row r="816" s="65" customFormat="1" x14ac:dyDescent="0.2"/>
    <row r="817" s="65" customFormat="1" x14ac:dyDescent="0.2"/>
    <row r="818" s="65" customFormat="1" x14ac:dyDescent="0.2"/>
    <row r="819" s="65" customFormat="1" x14ac:dyDescent="0.2"/>
    <row r="820" s="65" customFormat="1" x14ac:dyDescent="0.2"/>
    <row r="821" s="65" customFormat="1" x14ac:dyDescent="0.2"/>
    <row r="822" s="65" customFormat="1" x14ac:dyDescent="0.2"/>
    <row r="823" s="65" customFormat="1" x14ac:dyDescent="0.2"/>
    <row r="824" s="65" customFormat="1" x14ac:dyDescent="0.2"/>
    <row r="825" s="65" customFormat="1" x14ac:dyDescent="0.2"/>
    <row r="826" s="65" customFormat="1" x14ac:dyDescent="0.2"/>
    <row r="827" s="65" customFormat="1" x14ac:dyDescent="0.2"/>
    <row r="828" s="65" customFormat="1" x14ac:dyDescent="0.2"/>
    <row r="829" s="65" customFormat="1" x14ac:dyDescent="0.2"/>
    <row r="830" s="65" customFormat="1" x14ac:dyDescent="0.2"/>
    <row r="831" s="65" customFormat="1" x14ac:dyDescent="0.2"/>
    <row r="832" s="65" customFormat="1" x14ac:dyDescent="0.2"/>
    <row r="833" s="65" customFormat="1" x14ac:dyDescent="0.2"/>
    <row r="834" s="65" customFormat="1" x14ac:dyDescent="0.2"/>
    <row r="835" s="65" customFormat="1" x14ac:dyDescent="0.2"/>
    <row r="836" s="65" customFormat="1" x14ac:dyDescent="0.2"/>
    <row r="837" s="65" customFormat="1" x14ac:dyDescent="0.2"/>
    <row r="838" s="65" customFormat="1" x14ac:dyDescent="0.2"/>
    <row r="839" s="65" customFormat="1" x14ac:dyDescent="0.2"/>
    <row r="840" s="65" customFormat="1" x14ac:dyDescent="0.2"/>
    <row r="841" s="65" customFormat="1" x14ac:dyDescent="0.2"/>
    <row r="842" s="65" customFormat="1" x14ac:dyDescent="0.2"/>
    <row r="843" s="65" customFormat="1" x14ac:dyDescent="0.2"/>
    <row r="844" s="65" customFormat="1" x14ac:dyDescent="0.2"/>
    <row r="845" s="65" customFormat="1" x14ac:dyDescent="0.2"/>
    <row r="846" s="65" customFormat="1" x14ac:dyDescent="0.2"/>
    <row r="847" s="65" customFormat="1" x14ac:dyDescent="0.2"/>
    <row r="848" s="65" customFormat="1" x14ac:dyDescent="0.2"/>
    <row r="849" s="65" customFormat="1" x14ac:dyDescent="0.2"/>
    <row r="850" s="65" customFormat="1" x14ac:dyDescent="0.2"/>
    <row r="851" s="65" customFormat="1" x14ac:dyDescent="0.2"/>
    <row r="852" s="65" customFormat="1" x14ac:dyDescent="0.2"/>
    <row r="853" s="65" customFormat="1" x14ac:dyDescent="0.2"/>
    <row r="854" s="65" customFormat="1" x14ac:dyDescent="0.2"/>
    <row r="855" s="65" customFormat="1" x14ac:dyDescent="0.2"/>
    <row r="856" s="65" customFormat="1" x14ac:dyDescent="0.2"/>
    <row r="857" s="65" customFormat="1" x14ac:dyDescent="0.2"/>
    <row r="858" s="65" customFormat="1" x14ac:dyDescent="0.2"/>
    <row r="859" s="65" customFormat="1" x14ac:dyDescent="0.2"/>
    <row r="860" s="65" customFormat="1" x14ac:dyDescent="0.2"/>
    <row r="861" s="65" customFormat="1" x14ac:dyDescent="0.2"/>
    <row r="862" s="65" customFormat="1" x14ac:dyDescent="0.2"/>
    <row r="863" s="65" customFormat="1" x14ac:dyDescent="0.2"/>
    <row r="864" s="65" customFormat="1" x14ac:dyDescent="0.2"/>
    <row r="865" s="65" customFormat="1" x14ac:dyDescent="0.2"/>
    <row r="866" s="65" customFormat="1" x14ac:dyDescent="0.2"/>
    <row r="867" s="65" customFormat="1" x14ac:dyDescent="0.2"/>
    <row r="868" s="65" customFormat="1" x14ac:dyDescent="0.2"/>
    <row r="869" s="65" customFormat="1" x14ac:dyDescent="0.2"/>
    <row r="870" s="65" customFormat="1" x14ac:dyDescent="0.2"/>
    <row r="871" s="65" customFormat="1" x14ac:dyDescent="0.2"/>
    <row r="872" s="65" customFormat="1" x14ac:dyDescent="0.2"/>
    <row r="873" s="65" customFormat="1" x14ac:dyDescent="0.2"/>
    <row r="874" s="65" customFormat="1" x14ac:dyDescent="0.2"/>
    <row r="875" s="65" customFormat="1" x14ac:dyDescent="0.2"/>
    <row r="876" s="65" customFormat="1" x14ac:dyDescent="0.2"/>
    <row r="877" s="65" customFormat="1" x14ac:dyDescent="0.2"/>
    <row r="878" s="65" customFormat="1" x14ac:dyDescent="0.2"/>
    <row r="879" s="65" customFormat="1" x14ac:dyDescent="0.2"/>
    <row r="880" s="65" customFormat="1" x14ac:dyDescent="0.2"/>
    <row r="881" s="65" customFormat="1" x14ac:dyDescent="0.2"/>
    <row r="882" s="65" customFormat="1" x14ac:dyDescent="0.2"/>
    <row r="883" s="65" customFormat="1" x14ac:dyDescent="0.2"/>
    <row r="884" s="65" customFormat="1" x14ac:dyDescent="0.2"/>
    <row r="885" s="65" customFormat="1" x14ac:dyDescent="0.2"/>
    <row r="886" s="65" customFormat="1" x14ac:dyDescent="0.2"/>
    <row r="887" s="65" customFormat="1" x14ac:dyDescent="0.2"/>
    <row r="888" s="65" customFormat="1" x14ac:dyDescent="0.2"/>
    <row r="889" s="65" customFormat="1" x14ac:dyDescent="0.2"/>
    <row r="890" s="65" customFormat="1" x14ac:dyDescent="0.2"/>
    <row r="891" s="65" customFormat="1" x14ac:dyDescent="0.2"/>
    <row r="892" s="65" customFormat="1" x14ac:dyDescent="0.2"/>
    <row r="893" s="65" customFormat="1" x14ac:dyDescent="0.2"/>
    <row r="894" s="65" customFormat="1" x14ac:dyDescent="0.2"/>
    <row r="895" s="65" customFormat="1" x14ac:dyDescent="0.2"/>
    <row r="896" s="65" customFormat="1" x14ac:dyDescent="0.2"/>
    <row r="897" s="65" customFormat="1" x14ac:dyDescent="0.2"/>
    <row r="898" s="65" customFormat="1" x14ac:dyDescent="0.2"/>
    <row r="899" s="65" customFormat="1" x14ac:dyDescent="0.2"/>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C1"/>
  <sheetViews>
    <sheetView topLeftCell="D1" workbookViewId="0">
      <selection activeCell="I28" sqref="I28"/>
    </sheetView>
  </sheetViews>
  <sheetFormatPr defaultRowHeight="12.75" x14ac:dyDescent="0.2"/>
  <cols>
    <col min="1" max="3" width="9.140625" hidden="1" customWidth="1"/>
    <col min="4" max="4" width="79.140625" customWidth="1"/>
    <col min="6" max="6" width="13.85546875" customWidth="1"/>
  </cols>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dimension ref="A3:EG62879"/>
  <sheetViews>
    <sheetView workbookViewId="0">
      <selection sqref="A1:D1048576"/>
    </sheetView>
  </sheetViews>
  <sheetFormatPr defaultColWidth="9.140625" defaultRowHeight="12.75" x14ac:dyDescent="0.2"/>
  <cols>
    <col min="1" max="1" width="14.7109375" style="89" customWidth="1"/>
    <col min="2" max="2" width="24.7109375" style="89" customWidth="1"/>
    <col min="3" max="3" width="8.7109375" style="89" customWidth="1"/>
    <col min="4" max="4" width="14.7109375" style="89" customWidth="1"/>
    <col min="5" max="92" width="3.7109375" style="89" customWidth="1"/>
    <col min="93" max="143" width="5.7109375" style="89" customWidth="1"/>
    <col min="144" max="144" width="2.5703125" style="89" bestFit="1" customWidth="1"/>
    <col min="145" max="153" width="5.7109375" style="89" customWidth="1"/>
    <col min="154" max="156" width="6.85546875" style="89" bestFit="1" customWidth="1"/>
    <col min="157" max="157" width="4.5703125" style="89" bestFit="1" customWidth="1"/>
    <col min="158" max="158" width="2.42578125" style="89" bestFit="1" customWidth="1"/>
    <col min="159" max="159" width="2.5703125" style="89" bestFit="1" customWidth="1"/>
    <col min="160" max="160" width="2.28515625" style="89" bestFit="1" customWidth="1"/>
    <col min="161" max="161" width="2.42578125" style="89" bestFit="1" customWidth="1"/>
    <col min="162" max="162" width="2.28515625" style="89" bestFit="1" customWidth="1"/>
    <col min="163" max="163" width="2.42578125" style="89" bestFit="1" customWidth="1"/>
    <col min="164" max="164" width="2.28515625" style="89" bestFit="1" customWidth="1"/>
    <col min="165" max="255" width="3.7109375" style="89" customWidth="1"/>
    <col min="256" max="256" width="10.5703125" style="89" bestFit="1" customWidth="1"/>
    <col min="257" max="257" width="9.7109375" style="89" bestFit="1" customWidth="1"/>
    <col min="258" max="258" width="10.85546875" style="89" bestFit="1" customWidth="1"/>
    <col min="259" max="259" width="32.28515625" style="89" bestFit="1" customWidth="1"/>
    <col min="260" max="260" width="11.140625" style="89" bestFit="1" customWidth="1"/>
    <col min="261" max="261" width="8.140625" style="89" bestFit="1" customWidth="1"/>
    <col min="262" max="262" width="9.140625" style="89"/>
    <col min="263" max="263" width="3" style="89" bestFit="1" customWidth="1"/>
    <col min="264" max="264" width="6.140625" style="89" bestFit="1" customWidth="1"/>
    <col min="265" max="265" width="10.85546875" style="89" bestFit="1" customWidth="1"/>
    <col min="266" max="266" width="7.5703125" style="89" bestFit="1" customWidth="1"/>
    <col min="267" max="267" width="5.28515625" style="89" bestFit="1" customWidth="1"/>
    <col min="268" max="268" width="11.85546875" style="89" bestFit="1" customWidth="1"/>
    <col min="269" max="269" width="5.42578125" style="89" bestFit="1" customWidth="1"/>
    <col min="270" max="270" width="11.85546875" style="89" bestFit="1" customWidth="1"/>
    <col min="271" max="271" width="5.42578125" style="89" bestFit="1" customWidth="1"/>
    <col min="272" max="273" width="2.28515625" style="89" bestFit="1" customWidth="1"/>
    <col min="274" max="275" width="2.42578125" style="89" bestFit="1" customWidth="1"/>
    <col min="276" max="276" width="2.28515625" style="89" bestFit="1" customWidth="1"/>
    <col min="277" max="277" width="2.5703125" style="89" bestFit="1" customWidth="1"/>
    <col min="278" max="279" width="2.28515625" style="89" bestFit="1" customWidth="1"/>
    <col min="280" max="280" width="2.42578125" style="89" bestFit="1" customWidth="1"/>
    <col min="281" max="281" width="2.28515625" style="89" bestFit="1" customWidth="1"/>
    <col min="282" max="282" width="2.5703125" style="89" bestFit="1" customWidth="1"/>
    <col min="283" max="283" width="2.28515625" style="89" bestFit="1" customWidth="1"/>
    <col min="284" max="284" width="2.42578125" style="89" bestFit="1" customWidth="1"/>
    <col min="285" max="285" width="2.28515625" style="89" bestFit="1" customWidth="1"/>
    <col min="286" max="286" width="2.42578125" style="89" bestFit="1" customWidth="1"/>
    <col min="287" max="287" width="2.28515625" style="89" bestFit="1" customWidth="1"/>
    <col min="288" max="16384" width="9.140625" style="89"/>
  </cols>
  <sheetData>
    <row r="3" spans="8:137" x14ac:dyDescent="0.2">
      <c r="H3" s="76"/>
      <c r="AW3" s="76"/>
      <c r="EG3" s="76"/>
    </row>
    <row r="29" spans="1:1" x14ac:dyDescent="0.2">
      <c r="A29" s="112"/>
    </row>
    <row r="94" spans="8:137" x14ac:dyDescent="0.2">
      <c r="H94" s="76"/>
      <c r="AW94" s="76"/>
      <c r="EG94" s="76"/>
    </row>
    <row r="175" spans="4:6" x14ac:dyDescent="0.2">
      <c r="D175" s="77"/>
      <c r="E175" s="77"/>
      <c r="F175" s="77"/>
    </row>
    <row r="180" spans="5:137" x14ac:dyDescent="0.2">
      <c r="H180" s="76"/>
    </row>
    <row r="184" spans="5:137" x14ac:dyDescent="0.2">
      <c r="AW184" s="76"/>
      <c r="EG184" s="76"/>
    </row>
    <row r="189" spans="5:137" x14ac:dyDescent="0.2">
      <c r="E189" s="77"/>
      <c r="F189" s="77"/>
      <c r="G189" s="77"/>
    </row>
    <row r="190" spans="5:137" x14ac:dyDescent="0.2">
      <c r="E190" s="77"/>
      <c r="F190" s="77"/>
      <c r="G190" s="77"/>
    </row>
    <row r="191" spans="5:137" x14ac:dyDescent="0.2">
      <c r="E191" s="77"/>
      <c r="F191" s="77"/>
      <c r="G191" s="77"/>
    </row>
    <row r="192" spans="5:137" x14ac:dyDescent="0.2">
      <c r="E192" s="77"/>
      <c r="F192" s="77"/>
      <c r="G192" s="77"/>
    </row>
    <row r="193" spans="5:7" x14ac:dyDescent="0.2">
      <c r="E193" s="77"/>
      <c r="F193" s="77"/>
      <c r="G193" s="77"/>
    </row>
    <row r="194" spans="5:7" x14ac:dyDescent="0.2">
      <c r="E194" s="77"/>
      <c r="F194" s="77"/>
      <c r="G194" s="77"/>
    </row>
    <row r="226" spans="45:58" x14ac:dyDescent="0.2">
      <c r="AS226" s="77"/>
      <c r="AT226" s="77"/>
      <c r="AU226" s="77"/>
      <c r="AZ226" s="77"/>
      <c r="BC226" s="77"/>
      <c r="BF226" s="77"/>
    </row>
    <row r="227" spans="45:58" x14ac:dyDescent="0.2">
      <c r="AS227" s="77"/>
      <c r="AT227" s="77"/>
      <c r="AU227" s="77"/>
      <c r="AZ227" s="77"/>
      <c r="BC227" s="77"/>
      <c r="BF227" s="77"/>
    </row>
    <row r="228" spans="45:58" x14ac:dyDescent="0.2">
      <c r="AS228" s="77"/>
      <c r="AT228" s="77"/>
      <c r="AU228" s="77"/>
      <c r="AZ228" s="77"/>
      <c r="BC228" s="77"/>
      <c r="BF228" s="77"/>
    </row>
    <row r="229" spans="45:58" x14ac:dyDescent="0.2">
      <c r="AS229" s="77"/>
      <c r="AT229" s="77"/>
      <c r="AU229" s="77"/>
      <c r="AZ229" s="77"/>
      <c r="BC229" s="77"/>
      <c r="BF229" s="77"/>
    </row>
    <row r="230" spans="45:58" x14ac:dyDescent="0.2">
      <c r="AS230" s="77"/>
      <c r="AT230" s="77"/>
      <c r="AU230" s="77"/>
      <c r="AZ230" s="77"/>
      <c r="BC230" s="77"/>
      <c r="BF230" s="77"/>
    </row>
    <row r="231" spans="45:58" x14ac:dyDescent="0.2">
      <c r="AS231" s="77"/>
      <c r="AT231" s="77"/>
      <c r="AU231" s="77"/>
      <c r="AZ231" s="77"/>
      <c r="BC231" s="77"/>
      <c r="BF231" s="77"/>
    </row>
    <row r="232" spans="45:58" x14ac:dyDescent="0.2">
      <c r="AS232" s="77"/>
      <c r="AT232" s="77"/>
      <c r="AU232" s="77"/>
      <c r="AZ232" s="77"/>
      <c r="BC232" s="77"/>
      <c r="BF232" s="77"/>
    </row>
    <row r="233" spans="45:58" x14ac:dyDescent="0.2">
      <c r="AS233" s="77"/>
      <c r="AT233" s="77"/>
      <c r="AU233" s="77"/>
      <c r="AZ233" s="77"/>
      <c r="BC233" s="77"/>
      <c r="BF233" s="77"/>
    </row>
    <row r="234" spans="45:58" x14ac:dyDescent="0.2">
      <c r="AS234" s="77"/>
      <c r="AT234" s="77"/>
      <c r="AU234" s="77"/>
      <c r="AZ234" s="77"/>
      <c r="BC234" s="77"/>
      <c r="BF234" s="77"/>
    </row>
    <row r="235" spans="45:58" x14ac:dyDescent="0.2">
      <c r="AS235" s="77"/>
      <c r="AT235" s="77"/>
      <c r="AU235" s="77"/>
      <c r="AY235" s="77"/>
      <c r="BB235" s="77"/>
      <c r="BE235" s="77"/>
    </row>
    <row r="236" spans="45:58" x14ac:dyDescent="0.2">
      <c r="AS236" s="77"/>
      <c r="AT236" s="77"/>
      <c r="AU236" s="77"/>
      <c r="AY236" s="77"/>
      <c r="BB236" s="77"/>
      <c r="BE236" s="77"/>
    </row>
    <row r="237" spans="45:58" x14ac:dyDescent="0.2">
      <c r="AS237" s="77"/>
      <c r="AT237" s="77"/>
      <c r="AU237" s="77"/>
      <c r="AY237" s="77"/>
      <c r="BB237" s="77"/>
      <c r="BE237" s="77"/>
    </row>
    <row r="238" spans="45:58" x14ac:dyDescent="0.2">
      <c r="AS238" s="77"/>
      <c r="AT238" s="77"/>
      <c r="AU238" s="77"/>
      <c r="AY238" s="77"/>
      <c r="BB238" s="77"/>
      <c r="BE238" s="77"/>
    </row>
    <row r="239" spans="45:58" x14ac:dyDescent="0.2">
      <c r="AS239" s="77"/>
      <c r="AT239" s="77"/>
      <c r="AU239" s="77"/>
      <c r="AY239" s="77"/>
      <c r="BB239" s="77"/>
      <c r="BE239" s="77"/>
    </row>
    <row r="240" spans="45:58" x14ac:dyDescent="0.2">
      <c r="AS240" s="77"/>
      <c r="AT240" s="77"/>
      <c r="AU240" s="77"/>
      <c r="AY240" s="77"/>
      <c r="BB240" s="77"/>
      <c r="BE240" s="77"/>
    </row>
    <row r="241" spans="45:57" x14ac:dyDescent="0.2">
      <c r="AS241" s="77"/>
      <c r="AT241" s="77"/>
      <c r="AU241" s="77"/>
      <c r="AY241" s="77"/>
      <c r="BB241" s="77"/>
      <c r="BE241" s="77"/>
    </row>
    <row r="242" spans="45:57" x14ac:dyDescent="0.2">
      <c r="AS242" s="77"/>
      <c r="AT242" s="77"/>
      <c r="AU242" s="77"/>
      <c r="AY242" s="77"/>
      <c r="BB242" s="77"/>
      <c r="BE242" s="77"/>
    </row>
    <row r="243" spans="45:57" x14ac:dyDescent="0.2">
      <c r="AS243" s="77"/>
      <c r="AT243" s="77"/>
      <c r="AU243" s="77"/>
      <c r="AY243" s="77"/>
      <c r="BB243" s="77"/>
      <c r="BE243" s="77"/>
    </row>
    <row r="244" spans="45:57" x14ac:dyDescent="0.2">
      <c r="AS244" s="77"/>
      <c r="AT244" s="77"/>
      <c r="AU244" s="77"/>
      <c r="AY244" s="77"/>
      <c r="BB244" s="77"/>
      <c r="BE244" s="77"/>
    </row>
    <row r="245" spans="45:57" x14ac:dyDescent="0.2">
      <c r="AS245" s="77"/>
      <c r="AT245" s="77"/>
      <c r="AU245" s="77"/>
      <c r="AY245" s="77"/>
      <c r="BB245" s="77"/>
      <c r="BE245" s="77"/>
    </row>
    <row r="246" spans="45:57" x14ac:dyDescent="0.2">
      <c r="AS246" s="77"/>
      <c r="AT246" s="77"/>
      <c r="AU246" s="77"/>
      <c r="AY246" s="77"/>
      <c r="BB246" s="77"/>
      <c r="BE246" s="77"/>
    </row>
    <row r="247" spans="45:57" x14ac:dyDescent="0.2">
      <c r="AS247" s="77"/>
      <c r="AT247" s="77"/>
      <c r="AU247" s="77"/>
      <c r="AY247" s="77"/>
      <c r="BB247" s="77"/>
      <c r="BE247" s="77"/>
    </row>
    <row r="248" spans="45:57" x14ac:dyDescent="0.2">
      <c r="AS248" s="77"/>
      <c r="AT248" s="77"/>
      <c r="AU248" s="77"/>
      <c r="AY248" s="77"/>
      <c r="BB248" s="77"/>
      <c r="BE248" s="77"/>
    </row>
    <row r="249" spans="45:57" x14ac:dyDescent="0.2">
      <c r="AS249" s="77"/>
      <c r="AT249" s="77"/>
      <c r="AU249" s="77"/>
      <c r="AY249" s="77"/>
      <c r="BB249" s="77"/>
      <c r="BE249" s="77"/>
    </row>
    <row r="250" spans="45:57" x14ac:dyDescent="0.2">
      <c r="AS250" s="77"/>
      <c r="AT250" s="77"/>
      <c r="AU250" s="77"/>
      <c r="AY250" s="77"/>
      <c r="BB250" s="77"/>
      <c r="BE250" s="77"/>
    </row>
    <row r="251" spans="45:57" x14ac:dyDescent="0.2">
      <c r="AS251" s="77"/>
      <c r="AT251" s="77"/>
      <c r="AU251" s="77"/>
      <c r="AY251" s="77"/>
      <c r="BB251" s="77"/>
      <c r="BE251" s="77"/>
    </row>
    <row r="252" spans="45:57" x14ac:dyDescent="0.2">
      <c r="AS252" s="77"/>
      <c r="AT252" s="77"/>
      <c r="AU252" s="77"/>
      <c r="AY252" s="77"/>
      <c r="BB252" s="77"/>
      <c r="BE252" s="77"/>
    </row>
    <row r="261" spans="46:78" x14ac:dyDescent="0.2">
      <c r="AV261" s="77"/>
      <c r="BX261" s="77"/>
    </row>
    <row r="262" spans="46:78" x14ac:dyDescent="0.2">
      <c r="AV262" s="77"/>
      <c r="BX262" s="77"/>
    </row>
    <row r="263" spans="46:78" x14ac:dyDescent="0.2">
      <c r="AV263" s="77"/>
      <c r="BX263" s="77"/>
    </row>
    <row r="264" spans="46:78" x14ac:dyDescent="0.2">
      <c r="AV264" s="77"/>
      <c r="BZ264" s="77"/>
    </row>
    <row r="265" spans="46:78" x14ac:dyDescent="0.2">
      <c r="AT265" s="77"/>
      <c r="AU265" s="77"/>
      <c r="AV265" s="77"/>
      <c r="BF265" s="77"/>
      <c r="BI265" s="77"/>
      <c r="BL265" s="77"/>
    </row>
    <row r="266" spans="46:78" x14ac:dyDescent="0.2">
      <c r="AT266" s="77"/>
      <c r="AU266" s="77"/>
      <c r="AV266" s="77"/>
      <c r="BF266" s="77"/>
      <c r="BI266" s="77"/>
      <c r="BL266" s="77"/>
    </row>
    <row r="267" spans="46:78" x14ac:dyDescent="0.2">
      <c r="AT267" s="77"/>
      <c r="AU267" s="77"/>
      <c r="AV267" s="77"/>
      <c r="BF267" s="77"/>
      <c r="BI267" s="77"/>
      <c r="BL267" s="77"/>
    </row>
    <row r="268" spans="46:78" x14ac:dyDescent="0.2">
      <c r="AT268" s="77"/>
      <c r="AU268" s="77"/>
      <c r="AV268" s="77"/>
      <c r="BF268" s="77"/>
      <c r="BI268" s="77"/>
      <c r="BL268" s="77"/>
    </row>
    <row r="269" spans="46:78" x14ac:dyDescent="0.2">
      <c r="AT269" s="77"/>
      <c r="AU269" s="77"/>
      <c r="AV269" s="77"/>
      <c r="BF269" s="77"/>
      <c r="BJ269" s="77"/>
      <c r="BM269" s="77"/>
    </row>
    <row r="270" spans="46:78" x14ac:dyDescent="0.2">
      <c r="AT270" s="77"/>
      <c r="AU270" s="77"/>
      <c r="AV270" s="77"/>
      <c r="BE270" s="77"/>
      <c r="BH270" s="77"/>
      <c r="BL270" s="77"/>
    </row>
    <row r="271" spans="46:78" x14ac:dyDescent="0.2">
      <c r="AT271" s="77"/>
      <c r="AU271" s="77"/>
      <c r="AV271" s="77"/>
      <c r="BG271" s="77"/>
      <c r="BJ271" s="77"/>
      <c r="BN271" s="77"/>
    </row>
    <row r="272" spans="46:78" x14ac:dyDescent="0.2">
      <c r="AT272" s="77"/>
      <c r="AU272" s="77"/>
      <c r="AV272" s="77"/>
      <c r="BE272" s="77"/>
      <c r="BH272" s="77"/>
      <c r="BK272" s="77"/>
    </row>
    <row r="276" spans="8:137" x14ac:dyDescent="0.2">
      <c r="AW276" s="76"/>
      <c r="EG276" s="76"/>
    </row>
    <row r="280" spans="8:137" x14ac:dyDescent="0.2">
      <c r="H280" s="76"/>
    </row>
    <row r="283" spans="8:137" x14ac:dyDescent="0.2">
      <c r="AT283" s="77"/>
      <c r="AU283" s="77"/>
      <c r="AV283" s="77"/>
      <c r="BE283" s="77"/>
      <c r="BH283" s="77"/>
      <c r="BK283" s="77"/>
    </row>
    <row r="284" spans="8:137" x14ac:dyDescent="0.2">
      <c r="AT284" s="77"/>
      <c r="AU284" s="77"/>
      <c r="AV284" s="77"/>
      <c r="BE284" s="77"/>
      <c r="BH284" s="77"/>
      <c r="BK284" s="77"/>
    </row>
    <row r="285" spans="8:137" x14ac:dyDescent="0.2">
      <c r="AT285" s="77"/>
      <c r="AU285" s="77"/>
      <c r="AV285" s="77"/>
      <c r="BE285" s="77"/>
      <c r="BH285" s="77"/>
      <c r="BK285" s="77"/>
    </row>
    <row r="286" spans="8:137" x14ac:dyDescent="0.2">
      <c r="AT286" s="77"/>
      <c r="AU286" s="77"/>
      <c r="AV286" s="77"/>
      <c r="BE286" s="77"/>
      <c r="BH286" s="77"/>
      <c r="BK286" s="77"/>
    </row>
    <row r="287" spans="8:137" x14ac:dyDescent="0.2">
      <c r="AT287" s="77"/>
      <c r="AU287" s="77"/>
      <c r="AV287" s="77"/>
      <c r="BE287" s="77"/>
      <c r="BH287" s="77"/>
      <c r="BK287" s="77"/>
    </row>
    <row r="288" spans="8:137" x14ac:dyDescent="0.2">
      <c r="AT288" s="77"/>
      <c r="AU288" s="77"/>
      <c r="AV288" s="77"/>
      <c r="BE288" s="77"/>
      <c r="BH288" s="77"/>
      <c r="BK288" s="77"/>
    </row>
    <row r="289" spans="46:75" x14ac:dyDescent="0.2">
      <c r="AT289" s="77"/>
      <c r="AU289" s="77"/>
      <c r="AV289" s="77"/>
      <c r="BE289" s="77"/>
      <c r="BH289" s="77"/>
      <c r="BK289" s="77"/>
    </row>
    <row r="290" spans="46:75" x14ac:dyDescent="0.2">
      <c r="AT290" s="77"/>
      <c r="AU290" s="77"/>
      <c r="AV290" s="77"/>
      <c r="BE290" s="77"/>
      <c r="BH290" s="77"/>
      <c r="BN290" s="77"/>
    </row>
    <row r="291" spans="46:75" x14ac:dyDescent="0.2">
      <c r="AT291" s="77"/>
      <c r="AU291" s="77"/>
      <c r="AV291" s="77"/>
      <c r="BE291" s="77"/>
      <c r="BH291" s="77"/>
      <c r="BK291" s="77"/>
    </row>
    <row r="292" spans="46:75" x14ac:dyDescent="0.2">
      <c r="AT292" s="77"/>
      <c r="AU292" s="77"/>
      <c r="AV292" s="77"/>
      <c r="BE292" s="77"/>
      <c r="BH292" s="77"/>
      <c r="BK292" s="77"/>
    </row>
    <row r="293" spans="46:75" x14ac:dyDescent="0.2">
      <c r="AT293" s="77"/>
      <c r="AU293" s="77"/>
      <c r="AV293" s="77"/>
      <c r="BE293" s="77"/>
      <c r="BH293" s="77"/>
      <c r="BL293" s="77"/>
    </row>
    <row r="294" spans="46:75" x14ac:dyDescent="0.2">
      <c r="AT294" s="77"/>
      <c r="AU294" s="77"/>
      <c r="AV294" s="77"/>
      <c r="BE294" s="77"/>
      <c r="BH294" s="77"/>
      <c r="BK294" s="77"/>
    </row>
    <row r="295" spans="46:75" x14ac:dyDescent="0.2">
      <c r="AT295" s="77"/>
      <c r="AU295" s="77"/>
      <c r="AV295" s="77"/>
      <c r="BG295" s="77"/>
      <c r="BJ295" s="77"/>
      <c r="BM295" s="77"/>
    </row>
    <row r="296" spans="46:75" x14ac:dyDescent="0.2">
      <c r="AT296" s="77"/>
      <c r="AU296" s="77"/>
      <c r="AV296" s="77"/>
      <c r="BH296" s="77"/>
      <c r="BK296" s="77"/>
      <c r="BN296" s="77"/>
    </row>
    <row r="302" spans="46:75" x14ac:dyDescent="0.2">
      <c r="AV302" s="77"/>
      <c r="BW302" s="77"/>
    </row>
    <row r="303" spans="46:75" x14ac:dyDescent="0.2">
      <c r="AV303" s="77"/>
      <c r="BW303" s="77"/>
    </row>
    <row r="304" spans="46:75" x14ac:dyDescent="0.2">
      <c r="AV304" s="77"/>
      <c r="BW304" s="77"/>
    </row>
    <row r="307" spans="48:77" x14ac:dyDescent="0.2">
      <c r="AV307" s="77"/>
      <c r="BW307" s="77"/>
    </row>
    <row r="308" spans="48:77" x14ac:dyDescent="0.2">
      <c r="AV308" s="77"/>
      <c r="BX308" s="77"/>
    </row>
    <row r="309" spans="48:77" x14ac:dyDescent="0.2">
      <c r="AV309" s="77"/>
      <c r="BW309" s="77"/>
    </row>
    <row r="310" spans="48:77" x14ac:dyDescent="0.2">
      <c r="AV310" s="77"/>
      <c r="BX310" s="77"/>
    </row>
    <row r="311" spans="48:77" x14ac:dyDescent="0.2">
      <c r="AV311" s="77"/>
      <c r="BW311" s="77"/>
    </row>
    <row r="312" spans="48:77" x14ac:dyDescent="0.2">
      <c r="AV312" s="77"/>
      <c r="BW312" s="77"/>
    </row>
    <row r="313" spans="48:77" x14ac:dyDescent="0.2">
      <c r="AV313" s="77"/>
      <c r="BY313" s="77"/>
    </row>
    <row r="314" spans="48:77" x14ac:dyDescent="0.2">
      <c r="AV314" s="77"/>
      <c r="BX314" s="77"/>
    </row>
    <row r="315" spans="48:77" x14ac:dyDescent="0.2">
      <c r="AV315" s="77"/>
      <c r="BW315" s="77"/>
    </row>
    <row r="316" spans="48:77" x14ac:dyDescent="0.2">
      <c r="AV316" s="77"/>
      <c r="BX316" s="77"/>
    </row>
    <row r="317" spans="48:77" x14ac:dyDescent="0.2">
      <c r="AV317" s="77"/>
      <c r="BW317" s="77"/>
    </row>
    <row r="318" spans="48:77" x14ac:dyDescent="0.2">
      <c r="AV318" s="77"/>
      <c r="BW318" s="77"/>
    </row>
    <row r="319" spans="48:77" x14ac:dyDescent="0.2">
      <c r="AV319" s="77"/>
      <c r="BW319" s="77"/>
    </row>
    <row r="320" spans="48:77" x14ac:dyDescent="0.2">
      <c r="AV320" s="77"/>
      <c r="BW320" s="77"/>
    </row>
    <row r="321" spans="46:75" x14ac:dyDescent="0.2">
      <c r="AV321" s="77"/>
      <c r="BW321" s="77"/>
    </row>
    <row r="322" spans="46:75" x14ac:dyDescent="0.2">
      <c r="AT322" s="77"/>
      <c r="AU322" s="77"/>
      <c r="AV322" s="77"/>
      <c r="BE322" s="77"/>
      <c r="BH322" s="77"/>
      <c r="BK322" s="77"/>
    </row>
    <row r="323" spans="46:75" x14ac:dyDescent="0.2">
      <c r="AT323" s="77"/>
      <c r="AU323" s="77"/>
      <c r="AV323" s="77"/>
      <c r="BE323" s="77"/>
      <c r="BH323" s="77"/>
      <c r="BK323" s="77"/>
    </row>
    <row r="324" spans="46:75" x14ac:dyDescent="0.2">
      <c r="AT324" s="77"/>
      <c r="AU324" s="77"/>
      <c r="AV324" s="77"/>
      <c r="BE324" s="77"/>
      <c r="BH324" s="77"/>
      <c r="BK324" s="77"/>
    </row>
    <row r="325" spans="46:75" x14ac:dyDescent="0.2">
      <c r="AV325" s="77"/>
      <c r="BW325" s="77"/>
    </row>
    <row r="326" spans="46:75" x14ac:dyDescent="0.2">
      <c r="AT326" s="77"/>
      <c r="AU326" s="77"/>
      <c r="AV326" s="77"/>
      <c r="BE326" s="77"/>
      <c r="BH326" s="77"/>
      <c r="BK326" s="77"/>
    </row>
    <row r="327" spans="46:75" x14ac:dyDescent="0.2">
      <c r="AT327" s="77"/>
      <c r="AU327" s="77"/>
      <c r="AV327" s="77"/>
      <c r="BG327" s="77"/>
      <c r="BJ327" s="77"/>
      <c r="BM327" s="77"/>
    </row>
    <row r="328" spans="46:75" x14ac:dyDescent="0.2">
      <c r="AT328" s="77"/>
      <c r="AU328" s="77"/>
      <c r="AV328" s="77"/>
      <c r="BE328" s="77"/>
      <c r="BH328" s="77"/>
      <c r="BK328" s="77"/>
    </row>
    <row r="329" spans="46:75" x14ac:dyDescent="0.2">
      <c r="AT329" s="77"/>
      <c r="AU329" s="77"/>
      <c r="AV329" s="77"/>
      <c r="BE329" s="77"/>
      <c r="BH329" s="77"/>
      <c r="BK329" s="77"/>
    </row>
    <row r="330" spans="46:75" x14ac:dyDescent="0.2">
      <c r="AT330" s="77"/>
      <c r="AU330" s="77"/>
      <c r="AV330" s="77"/>
      <c r="BH330" s="77"/>
      <c r="BN330" s="77"/>
      <c r="BQ330" s="77"/>
    </row>
    <row r="331" spans="46:75" x14ac:dyDescent="0.2">
      <c r="AT331" s="77"/>
      <c r="AU331" s="77"/>
      <c r="AV331" s="77"/>
      <c r="BF331" s="77"/>
      <c r="BJ331" s="77"/>
      <c r="BM331" s="77"/>
    </row>
    <row r="332" spans="46:75" x14ac:dyDescent="0.2">
      <c r="AT332" s="77"/>
      <c r="AU332" s="77"/>
      <c r="AV332" s="77"/>
      <c r="BE332" s="77"/>
      <c r="BH332" s="77"/>
      <c r="BK332" s="77"/>
    </row>
    <row r="333" spans="46:75" x14ac:dyDescent="0.2">
      <c r="AT333" s="77"/>
      <c r="AU333" s="77"/>
      <c r="AV333" s="77"/>
      <c r="BE333" s="77"/>
      <c r="BH333" s="77"/>
      <c r="BK333" s="77"/>
    </row>
    <row r="334" spans="46:75" x14ac:dyDescent="0.2">
      <c r="AT334" s="77"/>
      <c r="AU334" s="77"/>
      <c r="AV334" s="77"/>
      <c r="BE334" s="77"/>
      <c r="BH334" s="77"/>
      <c r="BK334" s="77"/>
    </row>
    <row r="335" spans="46:75" x14ac:dyDescent="0.2">
      <c r="AT335" s="77"/>
      <c r="AU335" s="77"/>
      <c r="AV335" s="77"/>
      <c r="BG335" s="77"/>
      <c r="BJ335" s="77"/>
      <c r="BM335" s="77"/>
    </row>
    <row r="336" spans="46:75" x14ac:dyDescent="0.2">
      <c r="AT336" s="77"/>
      <c r="AU336" s="77"/>
      <c r="AV336" s="77"/>
      <c r="BE336" s="77"/>
      <c r="BH336" s="77"/>
      <c r="BL336" s="77"/>
    </row>
    <row r="337" spans="46:66" x14ac:dyDescent="0.2">
      <c r="AT337" s="77"/>
      <c r="AU337" s="77"/>
      <c r="AV337" s="77"/>
      <c r="BE337" s="77"/>
      <c r="BH337" s="77"/>
      <c r="BK337" s="77"/>
    </row>
    <row r="338" spans="46:66" x14ac:dyDescent="0.2">
      <c r="AT338" s="77"/>
      <c r="AU338" s="77"/>
      <c r="AV338" s="77"/>
      <c r="BE338" s="77"/>
      <c r="BH338" s="77"/>
      <c r="BL338" s="77"/>
    </row>
    <row r="339" spans="46:66" x14ac:dyDescent="0.2">
      <c r="AT339" s="77"/>
      <c r="AU339" s="77"/>
      <c r="AV339" s="77"/>
      <c r="BE339" s="77"/>
      <c r="BH339" s="77"/>
      <c r="BK339" s="77"/>
    </row>
    <row r="340" spans="46:66" x14ac:dyDescent="0.2">
      <c r="AT340" s="77"/>
      <c r="AU340" s="77"/>
      <c r="AV340" s="77"/>
      <c r="BE340" s="77"/>
      <c r="BH340" s="77"/>
      <c r="BL340" s="77"/>
    </row>
    <row r="341" spans="46:66" x14ac:dyDescent="0.2">
      <c r="AT341" s="77"/>
      <c r="AU341" s="77"/>
      <c r="AV341" s="77"/>
      <c r="BE341" s="77"/>
      <c r="BH341" s="77"/>
      <c r="BK341" s="77"/>
    </row>
    <row r="342" spans="46:66" x14ac:dyDescent="0.2">
      <c r="AT342" s="77"/>
      <c r="AU342" s="77"/>
      <c r="AV342" s="77"/>
      <c r="BE342" s="77"/>
      <c r="BH342" s="77"/>
      <c r="BK342" s="77"/>
    </row>
    <row r="343" spans="46:66" x14ac:dyDescent="0.2">
      <c r="AT343" s="77"/>
      <c r="AU343" s="77"/>
      <c r="AV343" s="77"/>
      <c r="BF343" s="77"/>
      <c r="BJ343" s="77"/>
      <c r="BM343" s="77"/>
    </row>
    <row r="344" spans="46:66" x14ac:dyDescent="0.2">
      <c r="AT344" s="77"/>
      <c r="AU344" s="77"/>
      <c r="AV344" s="77"/>
      <c r="BE344" s="77"/>
      <c r="BH344" s="77"/>
      <c r="BK344" s="77"/>
    </row>
    <row r="345" spans="46:66" x14ac:dyDescent="0.2">
      <c r="AT345" s="77"/>
      <c r="AU345" s="77"/>
      <c r="AV345" s="77"/>
      <c r="BE345" s="77"/>
      <c r="BH345" s="77"/>
      <c r="BK345" s="77"/>
    </row>
    <row r="346" spans="46:66" x14ac:dyDescent="0.2">
      <c r="AT346" s="77"/>
      <c r="AU346" s="77"/>
      <c r="AV346" s="77"/>
      <c r="BF346" s="77"/>
      <c r="BJ346" s="77"/>
      <c r="BN346" s="77"/>
    </row>
    <row r="347" spans="46:66" x14ac:dyDescent="0.2">
      <c r="AT347" s="77"/>
      <c r="AU347" s="77"/>
      <c r="AV347" s="77"/>
      <c r="BE347" s="77"/>
      <c r="BH347" s="77"/>
      <c r="BK347" s="77"/>
    </row>
    <row r="348" spans="46:66" x14ac:dyDescent="0.2">
      <c r="AT348" s="77"/>
      <c r="AU348" s="77"/>
      <c r="AV348" s="77"/>
      <c r="BE348" s="77"/>
      <c r="BH348" s="77"/>
      <c r="BK348" s="77"/>
    </row>
    <row r="349" spans="46:66" x14ac:dyDescent="0.2">
      <c r="AT349" s="77"/>
      <c r="AU349" s="77"/>
      <c r="AV349" s="77"/>
      <c r="BE349" s="77"/>
      <c r="BH349" s="77"/>
      <c r="BK349" s="77"/>
    </row>
    <row r="350" spans="46:66" x14ac:dyDescent="0.2">
      <c r="AT350" s="77"/>
      <c r="AU350" s="77"/>
      <c r="AV350" s="77"/>
      <c r="BE350" s="77"/>
      <c r="BH350" s="77"/>
      <c r="BK350" s="77"/>
    </row>
    <row r="351" spans="46:66" x14ac:dyDescent="0.2">
      <c r="AT351" s="77"/>
      <c r="AU351" s="77"/>
      <c r="AV351" s="77"/>
      <c r="BE351" s="77"/>
      <c r="BH351" s="77"/>
      <c r="BK351" s="77"/>
    </row>
    <row r="352" spans="46:66" x14ac:dyDescent="0.2">
      <c r="AT352" s="77"/>
      <c r="AU352" s="77"/>
      <c r="AV352" s="77"/>
      <c r="BE352" s="77"/>
      <c r="BH352" s="77"/>
      <c r="BK352" s="77"/>
    </row>
    <row r="353" spans="8:137" x14ac:dyDescent="0.2">
      <c r="AT353" s="77"/>
      <c r="AU353" s="77"/>
      <c r="AV353" s="77"/>
      <c r="BE353" s="77"/>
      <c r="BH353" s="77"/>
      <c r="BK353" s="77"/>
    </row>
    <row r="354" spans="8:137" x14ac:dyDescent="0.2">
      <c r="AT354" s="77"/>
      <c r="AU354" s="77"/>
      <c r="AV354" s="77"/>
      <c r="BE354" s="77"/>
      <c r="BH354" s="77"/>
      <c r="BK354" s="77"/>
    </row>
    <row r="355" spans="8:137" x14ac:dyDescent="0.2">
      <c r="AT355" s="77"/>
      <c r="AU355" s="77"/>
      <c r="AV355" s="77"/>
      <c r="BF355" s="77"/>
      <c r="BJ355" s="77"/>
      <c r="BM355" s="77"/>
    </row>
    <row r="356" spans="8:137" x14ac:dyDescent="0.2">
      <c r="AT356" s="77"/>
      <c r="AU356" s="77"/>
      <c r="AV356" s="77"/>
      <c r="BE356" s="77"/>
      <c r="BH356" s="77"/>
      <c r="BK356" s="77"/>
    </row>
    <row r="357" spans="8:137" x14ac:dyDescent="0.2">
      <c r="AT357" s="77"/>
      <c r="AU357" s="77"/>
      <c r="AV357" s="77"/>
      <c r="BE357" s="77"/>
      <c r="BH357" s="77"/>
      <c r="BK357" s="77"/>
    </row>
    <row r="358" spans="8:137" x14ac:dyDescent="0.2">
      <c r="AT358" s="77"/>
      <c r="AU358" s="77"/>
      <c r="AV358" s="77"/>
      <c r="BE358" s="77"/>
      <c r="BH358" s="77"/>
      <c r="BK358" s="77"/>
    </row>
    <row r="359" spans="8:137" x14ac:dyDescent="0.2">
      <c r="AT359" s="77"/>
      <c r="AU359" s="77"/>
      <c r="AV359" s="77"/>
      <c r="BE359" s="77"/>
      <c r="BH359" s="77"/>
      <c r="BK359" s="77"/>
    </row>
    <row r="360" spans="8:137" x14ac:dyDescent="0.2">
      <c r="AT360" s="77"/>
      <c r="AU360" s="77"/>
      <c r="AV360" s="77"/>
      <c r="BE360" s="77"/>
      <c r="BH360" s="77"/>
      <c r="BK360" s="77"/>
    </row>
    <row r="361" spans="8:137" x14ac:dyDescent="0.2">
      <c r="AT361" s="77"/>
      <c r="AU361" s="77"/>
      <c r="AV361" s="77"/>
      <c r="BE361" s="77"/>
      <c r="BH361" s="77"/>
      <c r="BK361" s="77"/>
    </row>
    <row r="362" spans="8:137" x14ac:dyDescent="0.2">
      <c r="AT362" s="77"/>
      <c r="AU362" s="77"/>
      <c r="AV362" s="77"/>
      <c r="BE362" s="77"/>
      <c r="BH362" s="77"/>
      <c r="BK362" s="77"/>
    </row>
    <row r="363" spans="8:137" x14ac:dyDescent="0.2">
      <c r="AT363" s="77"/>
      <c r="AU363" s="77"/>
      <c r="AV363" s="77"/>
      <c r="BE363" s="77"/>
      <c r="BH363" s="77"/>
      <c r="BK363" s="77"/>
    </row>
    <row r="367" spans="8:137" x14ac:dyDescent="0.2">
      <c r="AW367" s="76"/>
      <c r="EG367" s="76"/>
    </row>
    <row r="368" spans="8:137" x14ac:dyDescent="0.2">
      <c r="H368" s="76"/>
    </row>
    <row r="374" spans="46:66" x14ac:dyDescent="0.2">
      <c r="AT374" s="77"/>
      <c r="AU374" s="77"/>
      <c r="AV374" s="77"/>
      <c r="BF374" s="77"/>
      <c r="BJ374" s="77"/>
      <c r="BN374" s="77"/>
    </row>
    <row r="375" spans="46:66" x14ac:dyDescent="0.2">
      <c r="AT375" s="77"/>
      <c r="AU375" s="77"/>
      <c r="AV375" s="77"/>
      <c r="BE375" s="77"/>
      <c r="BH375" s="77"/>
      <c r="BK375" s="77"/>
    </row>
    <row r="376" spans="46:66" x14ac:dyDescent="0.2">
      <c r="AT376" s="77"/>
      <c r="AU376" s="77"/>
      <c r="AV376" s="77"/>
      <c r="BE376" s="77"/>
      <c r="BH376" s="77"/>
      <c r="BK376" s="77"/>
    </row>
    <row r="377" spans="46:66" x14ac:dyDescent="0.2">
      <c r="AT377" s="77"/>
      <c r="AU377" s="77"/>
      <c r="AV377" s="77"/>
      <c r="BE377" s="77"/>
      <c r="BH377" s="77"/>
      <c r="BK377" s="77"/>
    </row>
    <row r="378" spans="46:66" x14ac:dyDescent="0.2">
      <c r="AT378" s="77"/>
      <c r="AU378" s="77"/>
      <c r="AV378" s="77"/>
      <c r="BE378" s="77"/>
      <c r="BH378" s="77"/>
      <c r="BK378" s="77"/>
    </row>
    <row r="379" spans="46:66" x14ac:dyDescent="0.2">
      <c r="AT379" s="77"/>
      <c r="AU379" s="77"/>
      <c r="AV379" s="77"/>
      <c r="BD379" s="77"/>
      <c r="BG379" s="77"/>
      <c r="BJ379" s="77"/>
    </row>
    <row r="380" spans="46:66" x14ac:dyDescent="0.2">
      <c r="AT380" s="77"/>
      <c r="AU380" s="77"/>
      <c r="AV380" s="77"/>
      <c r="BD380" s="77"/>
      <c r="BG380" s="77"/>
      <c r="BJ380" s="77"/>
    </row>
    <row r="381" spans="46:66" x14ac:dyDescent="0.2">
      <c r="AT381" s="77"/>
      <c r="AU381" s="77"/>
      <c r="AV381" s="77"/>
      <c r="BD381" s="77"/>
      <c r="BG381" s="77"/>
      <c r="BJ381" s="77"/>
    </row>
    <row r="382" spans="46:66" x14ac:dyDescent="0.2">
      <c r="AT382" s="77"/>
      <c r="AU382" s="77"/>
      <c r="AV382" s="77"/>
      <c r="BD382" s="77"/>
      <c r="BG382" s="77"/>
      <c r="BJ382" s="77"/>
    </row>
    <row r="383" spans="46:66" x14ac:dyDescent="0.2">
      <c r="AT383" s="77"/>
      <c r="AU383" s="77"/>
      <c r="AV383" s="77"/>
      <c r="BD383" s="77"/>
      <c r="BG383" s="77"/>
      <c r="BK383" s="77"/>
    </row>
    <row r="384" spans="46:66" x14ac:dyDescent="0.2">
      <c r="AT384" s="77"/>
      <c r="AU384" s="77"/>
      <c r="AV384" s="77"/>
      <c r="BD384" s="77"/>
      <c r="BG384" s="77"/>
      <c r="BJ384" s="77"/>
    </row>
    <row r="385" spans="46:64" x14ac:dyDescent="0.2">
      <c r="AT385" s="77"/>
      <c r="AU385" s="77"/>
      <c r="AV385" s="77"/>
      <c r="BD385" s="77"/>
      <c r="BG385" s="77"/>
      <c r="BJ385" s="77"/>
    </row>
    <row r="386" spans="46:64" x14ac:dyDescent="0.2">
      <c r="AT386" s="77"/>
      <c r="AU386" s="77"/>
      <c r="AV386" s="77"/>
      <c r="BD386" s="77"/>
      <c r="BG386" s="77"/>
      <c r="BK386" s="77"/>
    </row>
    <row r="387" spans="46:64" x14ac:dyDescent="0.2">
      <c r="AT387" s="77"/>
      <c r="AU387" s="77"/>
      <c r="AV387" s="77"/>
      <c r="BD387" s="77"/>
      <c r="BG387" s="77"/>
      <c r="BK387" s="77"/>
    </row>
    <row r="388" spans="46:64" x14ac:dyDescent="0.2">
      <c r="AT388" s="77"/>
      <c r="AU388" s="77"/>
      <c r="AV388" s="77"/>
      <c r="BD388" s="77"/>
      <c r="BG388" s="77"/>
      <c r="BJ388" s="77"/>
    </row>
    <row r="389" spans="46:64" x14ac:dyDescent="0.2">
      <c r="AT389" s="77"/>
      <c r="AU389" s="77"/>
      <c r="AV389" s="77"/>
      <c r="BF389" s="77"/>
      <c r="BI389" s="77"/>
      <c r="BL389" s="77"/>
    </row>
    <row r="390" spans="46:64" x14ac:dyDescent="0.2">
      <c r="AT390" s="77"/>
      <c r="AU390" s="77"/>
      <c r="AV390" s="77"/>
      <c r="BD390" s="77"/>
      <c r="BG390" s="77"/>
      <c r="BK390" s="77"/>
    </row>
    <row r="391" spans="46:64" x14ac:dyDescent="0.2">
      <c r="AT391" s="77"/>
      <c r="AU391" s="77"/>
      <c r="AV391" s="77"/>
      <c r="BD391" s="77"/>
      <c r="BG391" s="77"/>
      <c r="BJ391" s="77"/>
    </row>
    <row r="392" spans="46:64" x14ac:dyDescent="0.2">
      <c r="AT392" s="77"/>
      <c r="AU392" s="77"/>
      <c r="AV392" s="77"/>
      <c r="BD392" s="77"/>
      <c r="BG392" s="77"/>
      <c r="BJ392" s="77"/>
    </row>
    <row r="393" spans="46:64" x14ac:dyDescent="0.2">
      <c r="AT393" s="77"/>
      <c r="AU393" s="77"/>
      <c r="AV393" s="77"/>
      <c r="BD393" s="77"/>
      <c r="BG393" s="77"/>
      <c r="BJ393" s="77"/>
    </row>
    <row r="394" spans="46:64" x14ac:dyDescent="0.2">
      <c r="AT394" s="77"/>
      <c r="AU394" s="77"/>
      <c r="AV394" s="77"/>
      <c r="BD394" s="77"/>
      <c r="BG394" s="77"/>
      <c r="BJ394" s="77"/>
    </row>
    <row r="395" spans="46:64" x14ac:dyDescent="0.2">
      <c r="AT395" s="77"/>
      <c r="AU395" s="77"/>
      <c r="AV395" s="77"/>
      <c r="BD395" s="77"/>
      <c r="BG395" s="77"/>
      <c r="BJ395" s="77"/>
    </row>
    <row r="396" spans="46:64" x14ac:dyDescent="0.2">
      <c r="AT396" s="77"/>
      <c r="AU396" s="77"/>
      <c r="AV396" s="77"/>
      <c r="BD396" s="77"/>
      <c r="BG396" s="77"/>
      <c r="BJ396" s="77"/>
    </row>
    <row r="397" spans="46:64" x14ac:dyDescent="0.2">
      <c r="AT397" s="77"/>
      <c r="AU397" s="77"/>
      <c r="AV397" s="77"/>
      <c r="BD397" s="77"/>
      <c r="BG397" s="77"/>
      <c r="BJ397" s="77"/>
    </row>
    <row r="398" spans="46:64" x14ac:dyDescent="0.2">
      <c r="AT398" s="77"/>
      <c r="AU398" s="77"/>
      <c r="AV398" s="77"/>
      <c r="BD398" s="77"/>
      <c r="BG398" s="77"/>
      <c r="BJ398" s="77"/>
    </row>
    <row r="399" spans="46:64" x14ac:dyDescent="0.2">
      <c r="AT399" s="77"/>
      <c r="AU399" s="77"/>
      <c r="AV399" s="77"/>
      <c r="BD399" s="77"/>
      <c r="BG399" s="77"/>
      <c r="BK399" s="77"/>
    </row>
    <row r="400" spans="46:64" x14ac:dyDescent="0.2">
      <c r="AT400" s="77"/>
      <c r="AU400" s="77"/>
      <c r="AV400" s="77"/>
      <c r="BD400" s="77"/>
      <c r="BG400" s="77"/>
      <c r="BJ400" s="77"/>
    </row>
    <row r="401" spans="46:65" x14ac:dyDescent="0.2">
      <c r="AT401" s="77"/>
      <c r="AU401" s="77"/>
      <c r="AV401" s="77"/>
      <c r="BD401" s="77"/>
      <c r="BG401" s="77"/>
      <c r="BJ401" s="77"/>
    </row>
    <row r="402" spans="46:65" x14ac:dyDescent="0.2">
      <c r="AT402" s="77"/>
      <c r="AU402" s="77"/>
      <c r="AV402" s="77"/>
      <c r="BD402" s="77"/>
      <c r="BG402" s="77"/>
      <c r="BJ402" s="77"/>
    </row>
    <row r="403" spans="46:65" x14ac:dyDescent="0.2">
      <c r="AT403" s="77"/>
      <c r="AU403" s="77"/>
      <c r="AV403" s="77"/>
      <c r="BD403" s="77"/>
      <c r="BG403" s="77"/>
      <c r="BJ403" s="77"/>
    </row>
    <row r="404" spans="46:65" x14ac:dyDescent="0.2">
      <c r="AT404" s="77"/>
      <c r="AU404" s="77"/>
      <c r="AV404" s="77"/>
      <c r="BF404" s="77"/>
      <c r="BI404" s="77"/>
      <c r="BL404" s="77"/>
    </row>
    <row r="405" spans="46:65" x14ac:dyDescent="0.2">
      <c r="AT405" s="77"/>
      <c r="AU405" s="77"/>
      <c r="AV405" s="77"/>
      <c r="BD405" s="77"/>
      <c r="BG405" s="77"/>
      <c r="BJ405" s="77"/>
    </row>
    <row r="406" spans="46:65" x14ac:dyDescent="0.2">
      <c r="AT406" s="77"/>
      <c r="AU406" s="77"/>
      <c r="AV406" s="77"/>
      <c r="BF406" s="77"/>
      <c r="BI406" s="77"/>
      <c r="BM406" s="77"/>
    </row>
    <row r="407" spans="46:65" x14ac:dyDescent="0.2">
      <c r="AT407" s="77"/>
      <c r="AU407" s="77"/>
      <c r="AV407" s="77"/>
      <c r="BE407" s="77"/>
      <c r="BI407" s="77"/>
      <c r="BL407" s="77"/>
    </row>
    <row r="408" spans="46:65" x14ac:dyDescent="0.2">
      <c r="AT408" s="77"/>
      <c r="AU408" s="77"/>
      <c r="AV408" s="77"/>
      <c r="BF408" s="77"/>
      <c r="BI408" s="77"/>
      <c r="BL408" s="77"/>
    </row>
    <row r="409" spans="46:65" x14ac:dyDescent="0.2">
      <c r="AT409" s="77"/>
      <c r="AU409" s="77"/>
      <c r="AV409" s="77"/>
      <c r="BD409" s="77"/>
      <c r="BG409" s="77"/>
      <c r="BJ409" s="77"/>
    </row>
    <row r="410" spans="46:65" x14ac:dyDescent="0.2">
      <c r="AT410" s="77"/>
      <c r="AU410" s="77"/>
      <c r="AV410" s="77"/>
      <c r="BF410" s="77"/>
      <c r="BI410" s="77"/>
      <c r="BL410" s="77"/>
    </row>
    <row r="411" spans="46:65" x14ac:dyDescent="0.2">
      <c r="AT411" s="77"/>
      <c r="AU411" s="77"/>
      <c r="AV411" s="77"/>
      <c r="BD411" s="77"/>
      <c r="BG411" s="77"/>
      <c r="BM411" s="77"/>
    </row>
    <row r="412" spans="46:65" x14ac:dyDescent="0.2">
      <c r="AT412" s="77"/>
      <c r="AU412" s="77"/>
      <c r="AV412" s="77"/>
      <c r="BD412" s="77"/>
      <c r="BG412" s="77"/>
      <c r="BJ412" s="77"/>
    </row>
    <row r="413" spans="46:65" x14ac:dyDescent="0.2">
      <c r="AT413" s="77"/>
      <c r="AU413" s="77"/>
      <c r="AV413" s="77"/>
      <c r="BD413" s="77"/>
      <c r="BG413" s="77"/>
      <c r="BJ413" s="77"/>
    </row>
    <row r="414" spans="46:65" x14ac:dyDescent="0.2">
      <c r="AT414" s="77"/>
      <c r="AU414" s="77"/>
      <c r="AV414" s="77"/>
      <c r="BD414" s="77"/>
      <c r="BG414" s="77"/>
      <c r="BK414" s="77"/>
    </row>
    <row r="415" spans="46:65" x14ac:dyDescent="0.2">
      <c r="AT415" s="77"/>
      <c r="AU415" s="77"/>
      <c r="AV415" s="77"/>
      <c r="BD415" s="77"/>
      <c r="BG415" s="77"/>
      <c r="BJ415" s="77"/>
    </row>
    <row r="416" spans="46:65" x14ac:dyDescent="0.2">
      <c r="AT416" s="77"/>
      <c r="AU416" s="77"/>
      <c r="AV416" s="77"/>
      <c r="BD416" s="77"/>
      <c r="BG416" s="77"/>
      <c r="BJ416" s="77"/>
    </row>
    <row r="417" spans="46:67" x14ac:dyDescent="0.2">
      <c r="AT417" s="77"/>
      <c r="AU417" s="77"/>
      <c r="AV417" s="77"/>
      <c r="BD417" s="77"/>
      <c r="BG417" s="77"/>
      <c r="BJ417" s="77"/>
    </row>
    <row r="418" spans="46:67" x14ac:dyDescent="0.2">
      <c r="AT418" s="77"/>
      <c r="AU418" s="77"/>
      <c r="AV418" s="77"/>
      <c r="BD418" s="77"/>
      <c r="BG418" s="77"/>
      <c r="BJ418" s="77"/>
    </row>
    <row r="419" spans="46:67" x14ac:dyDescent="0.2">
      <c r="AT419" s="77"/>
      <c r="AU419" s="77"/>
      <c r="AV419" s="77"/>
      <c r="BF419" s="77"/>
      <c r="BI419" s="77"/>
      <c r="BL419" s="77"/>
    </row>
    <row r="420" spans="46:67" x14ac:dyDescent="0.2">
      <c r="AT420" s="77"/>
      <c r="AU420" s="77"/>
      <c r="AV420" s="77"/>
      <c r="BI420" s="77"/>
      <c r="BL420" s="77"/>
      <c r="BO420" s="77"/>
    </row>
    <row r="421" spans="46:67" x14ac:dyDescent="0.2">
      <c r="AT421" s="77"/>
      <c r="AU421" s="77"/>
      <c r="AV421" s="77"/>
      <c r="BG421" s="77"/>
      <c r="BJ421" s="77"/>
      <c r="BM421" s="77"/>
    </row>
    <row r="455" spans="8:137" x14ac:dyDescent="0.2">
      <c r="AW455" s="76"/>
      <c r="EG455" s="76"/>
    </row>
    <row r="456" spans="8:137" x14ac:dyDescent="0.2">
      <c r="H456" s="76"/>
    </row>
    <row r="543" spans="8:137" x14ac:dyDescent="0.2">
      <c r="AW543" s="76"/>
      <c r="EG543" s="76"/>
    </row>
    <row r="544" spans="8:137" x14ac:dyDescent="0.2">
      <c r="H544" s="76"/>
    </row>
    <row r="631" spans="8:137" x14ac:dyDescent="0.2">
      <c r="AW631" s="76"/>
      <c r="EG631" s="76"/>
    </row>
    <row r="632" spans="8:137" x14ac:dyDescent="0.2">
      <c r="H632" s="76"/>
    </row>
    <row r="719" spans="8:137" x14ac:dyDescent="0.2">
      <c r="AW719" s="76"/>
      <c r="EG719" s="76"/>
    </row>
    <row r="720" spans="8:137" x14ac:dyDescent="0.2">
      <c r="H720" s="76"/>
    </row>
    <row r="807" spans="8:137" x14ac:dyDescent="0.2">
      <c r="AW807" s="76"/>
      <c r="EG807" s="76"/>
    </row>
    <row r="808" spans="8:137" x14ac:dyDescent="0.2">
      <c r="H808" s="76"/>
    </row>
    <row r="895" spans="8:137" x14ac:dyDescent="0.2">
      <c r="AW895" s="76"/>
      <c r="EG895" s="76"/>
    </row>
    <row r="896" spans="8:137" x14ac:dyDescent="0.2">
      <c r="H896" s="76"/>
    </row>
    <row r="983" spans="8:137" x14ac:dyDescent="0.2">
      <c r="AW983" s="76"/>
      <c r="EG983" s="76"/>
    </row>
    <row r="984" spans="8:137" x14ac:dyDescent="0.2">
      <c r="H984" s="76"/>
    </row>
    <row r="1071" spans="8:137" x14ac:dyDescent="0.2">
      <c r="AW1071" s="76"/>
      <c r="EG1071" s="76"/>
    </row>
    <row r="1072" spans="8:137" x14ac:dyDescent="0.2">
      <c r="H1072" s="76"/>
    </row>
    <row r="1159" spans="8:137" x14ac:dyDescent="0.2">
      <c r="AW1159" s="76"/>
      <c r="EG1159" s="76"/>
    </row>
    <row r="1160" spans="8:137" x14ac:dyDescent="0.2">
      <c r="H1160" s="76"/>
    </row>
    <row r="1247" spans="8:137" x14ac:dyDescent="0.2">
      <c r="AW1247" s="76"/>
      <c r="EG1247" s="76"/>
    </row>
    <row r="1248" spans="8:137" x14ac:dyDescent="0.2">
      <c r="H1248" s="76"/>
    </row>
    <row r="1335" spans="8:137" x14ac:dyDescent="0.2">
      <c r="AW1335" s="76"/>
      <c r="EG1335" s="76"/>
    </row>
    <row r="1336" spans="8:137" x14ac:dyDescent="0.2">
      <c r="H1336" s="76"/>
    </row>
    <row r="1423" spans="8:137" x14ac:dyDescent="0.2">
      <c r="AW1423" s="76"/>
      <c r="EG1423" s="76"/>
    </row>
    <row r="1424" spans="8:137" x14ac:dyDescent="0.2">
      <c r="H1424" s="76"/>
    </row>
    <row r="1511" spans="8:137" x14ac:dyDescent="0.2">
      <c r="AW1511" s="76"/>
      <c r="EG1511" s="76"/>
    </row>
    <row r="1512" spans="8:137" x14ac:dyDescent="0.2">
      <c r="H1512" s="76"/>
    </row>
    <row r="1599" spans="8:137" x14ac:dyDescent="0.2">
      <c r="AW1599" s="76"/>
      <c r="EG1599" s="76"/>
    </row>
    <row r="1600" spans="8:137" x14ac:dyDescent="0.2">
      <c r="H1600" s="76"/>
    </row>
    <row r="1687" spans="8:137" x14ac:dyDescent="0.2">
      <c r="AW1687" s="76"/>
      <c r="EG1687" s="76"/>
    </row>
    <row r="1688" spans="8:137" x14ac:dyDescent="0.2">
      <c r="H1688" s="76"/>
    </row>
    <row r="1775" spans="8:137" x14ac:dyDescent="0.2">
      <c r="AW1775" s="76"/>
      <c r="EG1775" s="76"/>
    </row>
    <row r="1776" spans="8:137" x14ac:dyDescent="0.2">
      <c r="H1776" s="76"/>
    </row>
    <row r="1863" spans="8:137" x14ac:dyDescent="0.2">
      <c r="AW1863" s="76"/>
      <c r="EG1863" s="76"/>
    </row>
    <row r="1864" spans="8:137" x14ac:dyDescent="0.2">
      <c r="H1864" s="76"/>
    </row>
    <row r="1951" spans="8:137" x14ac:dyDescent="0.2">
      <c r="AW1951" s="76"/>
      <c r="EG1951" s="76"/>
    </row>
    <row r="1952" spans="8:137" x14ac:dyDescent="0.2">
      <c r="H1952" s="76"/>
    </row>
    <row r="2039" spans="8:137" x14ac:dyDescent="0.2">
      <c r="AW2039" s="76"/>
      <c r="EG2039" s="76"/>
    </row>
    <row r="2040" spans="8:137" x14ac:dyDescent="0.2">
      <c r="H2040" s="76"/>
    </row>
    <row r="2121" spans="8:137" x14ac:dyDescent="0.2">
      <c r="H2121" s="76"/>
    </row>
    <row r="2127" spans="8:137" x14ac:dyDescent="0.2">
      <c r="AW2127" s="76"/>
      <c r="EG2127" s="76"/>
    </row>
    <row r="2202" spans="8:8" x14ac:dyDescent="0.2">
      <c r="H2202" s="76"/>
    </row>
    <row r="2215" spans="49:137" x14ac:dyDescent="0.2">
      <c r="AW2215" s="76"/>
      <c r="EG2215" s="76"/>
    </row>
    <row r="2283" spans="8:8" x14ac:dyDescent="0.2">
      <c r="H2283" s="76"/>
    </row>
    <row r="2303" spans="49:137" x14ac:dyDescent="0.2">
      <c r="AW2303" s="76"/>
      <c r="EG2303" s="76"/>
    </row>
    <row r="2364" spans="8:8" x14ac:dyDescent="0.2">
      <c r="H2364" s="76"/>
    </row>
    <row r="2391" spans="49:137" x14ac:dyDescent="0.2">
      <c r="AW2391" s="76"/>
      <c r="EG2391" s="76"/>
    </row>
    <row r="2445" spans="8:8" x14ac:dyDescent="0.2">
      <c r="H2445" s="76"/>
    </row>
    <row r="2479" spans="49:137" x14ac:dyDescent="0.2">
      <c r="AW2479" s="76"/>
      <c r="EG2479" s="76"/>
    </row>
    <row r="2526" spans="8:8" x14ac:dyDescent="0.2">
      <c r="H2526" s="76"/>
    </row>
    <row r="2567" spans="49:137" x14ac:dyDescent="0.2">
      <c r="AW2567" s="76"/>
      <c r="EG2567" s="76"/>
    </row>
    <row r="2607" spans="8:8" x14ac:dyDescent="0.2">
      <c r="H2607" s="76"/>
    </row>
    <row r="2655" spans="49:137" x14ac:dyDescent="0.2">
      <c r="AW2655" s="76"/>
      <c r="EG2655" s="76"/>
    </row>
    <row r="2688" spans="8:8" x14ac:dyDescent="0.2">
      <c r="H2688" s="76"/>
    </row>
    <row r="2743" spans="49:137" x14ac:dyDescent="0.2">
      <c r="AW2743" s="76"/>
      <c r="EG2743" s="76"/>
    </row>
    <row r="2769" spans="8:8" x14ac:dyDescent="0.2">
      <c r="H2769" s="76"/>
    </row>
    <row r="2831" spans="49:137" x14ac:dyDescent="0.2">
      <c r="AW2831" s="76"/>
      <c r="EG2831" s="76"/>
    </row>
    <row r="2850" spans="8:8" x14ac:dyDescent="0.2">
      <c r="H2850" s="76"/>
    </row>
    <row r="2919" spans="49:137" x14ac:dyDescent="0.2">
      <c r="AW2919" s="76"/>
      <c r="EG2919" s="76"/>
    </row>
    <row r="2931" spans="8:8" x14ac:dyDescent="0.2">
      <c r="H2931" s="76"/>
    </row>
    <row r="3007" spans="49:137" x14ac:dyDescent="0.2">
      <c r="AW3007" s="76"/>
      <c r="EG3007" s="76"/>
    </row>
    <row r="3012" spans="8:8" x14ac:dyDescent="0.2">
      <c r="H3012" s="76"/>
    </row>
    <row r="3093" spans="8:137" x14ac:dyDescent="0.2">
      <c r="H3093" s="76"/>
    </row>
    <row r="3095" spans="8:137" x14ac:dyDescent="0.2">
      <c r="AW3095" s="76"/>
      <c r="EG3095" s="76"/>
    </row>
    <row r="3174" spans="8:137" x14ac:dyDescent="0.2">
      <c r="H3174" s="76"/>
    </row>
    <row r="3183" spans="8:137" x14ac:dyDescent="0.2">
      <c r="AW3183" s="76"/>
      <c r="EG3183" s="76"/>
    </row>
    <row r="3255" spans="8:8" x14ac:dyDescent="0.2">
      <c r="H3255" s="76"/>
    </row>
    <row r="3271" spans="49:137" x14ac:dyDescent="0.2">
      <c r="AW3271" s="76"/>
      <c r="EG3271" s="76"/>
    </row>
    <row r="3336" spans="8:8" x14ac:dyDescent="0.2">
      <c r="H3336" s="76"/>
    </row>
    <row r="3359" spans="49:137" x14ac:dyDescent="0.2">
      <c r="AW3359" s="76"/>
      <c r="EG3359" s="76"/>
    </row>
    <row r="3417" spans="8:8" x14ac:dyDescent="0.2">
      <c r="H3417" s="76"/>
    </row>
    <row r="3447" spans="49:137" x14ac:dyDescent="0.2">
      <c r="AW3447" s="76"/>
      <c r="EG3447" s="76"/>
    </row>
    <row r="3498" spans="8:8" x14ac:dyDescent="0.2">
      <c r="H3498" s="76"/>
    </row>
    <row r="3535" spans="49:137" x14ac:dyDescent="0.2">
      <c r="AW3535" s="76"/>
      <c r="EG3535" s="76"/>
    </row>
    <row r="3579" spans="8:8" x14ac:dyDescent="0.2">
      <c r="H3579" s="76"/>
    </row>
    <row r="3623" spans="49:137" x14ac:dyDescent="0.2">
      <c r="AW3623" s="76"/>
      <c r="EG3623" s="76"/>
    </row>
    <row r="3660" spans="8:8" x14ac:dyDescent="0.2">
      <c r="H3660" s="76"/>
    </row>
    <row r="3711" spans="49:137" x14ac:dyDescent="0.2">
      <c r="AW3711" s="76"/>
      <c r="EG3711" s="76"/>
    </row>
    <row r="3741" spans="8:8" x14ac:dyDescent="0.2">
      <c r="H3741" s="76"/>
    </row>
    <row r="3799" spans="49:137" x14ac:dyDescent="0.2">
      <c r="AW3799" s="76"/>
      <c r="EG3799" s="76"/>
    </row>
    <row r="3822" spans="8:8" x14ac:dyDescent="0.2">
      <c r="H3822" s="76"/>
    </row>
    <row r="3887" spans="49:137" x14ac:dyDescent="0.2">
      <c r="AW3887" s="76"/>
      <c r="EG3887" s="76"/>
    </row>
    <row r="3903" spans="8:8" x14ac:dyDescent="0.2">
      <c r="H3903" s="76"/>
    </row>
    <row r="3975" spans="8:137" x14ac:dyDescent="0.2">
      <c r="AW3975" s="76"/>
      <c r="EG3975" s="76"/>
    </row>
    <row r="3984" spans="8:137" x14ac:dyDescent="0.2">
      <c r="H3984" s="76"/>
    </row>
    <row r="4063" spans="49:137" x14ac:dyDescent="0.2">
      <c r="AW4063" s="76"/>
      <c r="EG4063" s="76"/>
    </row>
    <row r="4065" spans="8:8" x14ac:dyDescent="0.2">
      <c r="H4065" s="76"/>
    </row>
    <row r="4146" spans="8:137" x14ac:dyDescent="0.2">
      <c r="H4146" s="76"/>
    </row>
    <row r="4151" spans="8:137" x14ac:dyDescent="0.2">
      <c r="AW4151" s="76"/>
      <c r="EG4151" s="76"/>
    </row>
    <row r="4227" spans="8:137" x14ac:dyDescent="0.2">
      <c r="H4227" s="76"/>
    </row>
    <row r="4239" spans="8:137" x14ac:dyDescent="0.2">
      <c r="AW4239" s="76"/>
      <c r="EG4239" s="76"/>
    </row>
    <row r="4308" spans="8:8" x14ac:dyDescent="0.2">
      <c r="H4308" s="76"/>
    </row>
    <row r="4327" spans="49:137" x14ac:dyDescent="0.2">
      <c r="AW4327" s="76"/>
      <c r="EG4327" s="76"/>
    </row>
    <row r="4389" spans="8:8" x14ac:dyDescent="0.2">
      <c r="H4389" s="76"/>
    </row>
    <row r="4415" spans="49:137" x14ac:dyDescent="0.2">
      <c r="AW4415" s="76"/>
      <c r="EG4415" s="76"/>
    </row>
    <row r="4470" spans="8:8" x14ac:dyDescent="0.2">
      <c r="H4470" s="76"/>
    </row>
    <row r="4503" spans="49:137" x14ac:dyDescent="0.2">
      <c r="AW4503" s="76"/>
      <c r="EG4503" s="76"/>
    </row>
    <row r="4551" spans="8:8" x14ac:dyDescent="0.2">
      <c r="H4551" s="76"/>
    </row>
    <row r="4591" spans="49:137" x14ac:dyDescent="0.2">
      <c r="AW4591" s="76"/>
      <c r="EG4591" s="76"/>
    </row>
    <row r="4632" spans="8:8" x14ac:dyDescent="0.2">
      <c r="H4632" s="76"/>
    </row>
    <row r="4679" spans="49:137" x14ac:dyDescent="0.2">
      <c r="AW4679" s="76"/>
      <c r="EG4679" s="76"/>
    </row>
    <row r="4713" spans="8:8" x14ac:dyDescent="0.2">
      <c r="H4713" s="76"/>
    </row>
    <row r="4767" spans="49:137" x14ac:dyDescent="0.2">
      <c r="AW4767" s="76"/>
      <c r="EG4767" s="76"/>
    </row>
    <row r="4794" spans="8:8" x14ac:dyDescent="0.2">
      <c r="H4794" s="76"/>
    </row>
    <row r="4855" spans="49:137" x14ac:dyDescent="0.2">
      <c r="AW4855" s="76"/>
      <c r="EG4855" s="76"/>
    </row>
    <row r="4875" spans="8:8" x14ac:dyDescent="0.2">
      <c r="H4875" s="76"/>
    </row>
    <row r="4943" spans="49:137" x14ac:dyDescent="0.2">
      <c r="AW4943" s="76"/>
      <c r="EG4943" s="76"/>
    </row>
    <row r="4956" spans="8:8" x14ac:dyDescent="0.2">
      <c r="H4956" s="76"/>
    </row>
    <row r="5031" spans="8:137" x14ac:dyDescent="0.2">
      <c r="AW5031" s="76"/>
      <c r="EG5031" s="76"/>
    </row>
    <row r="5037" spans="8:137" x14ac:dyDescent="0.2">
      <c r="H5037" s="76"/>
    </row>
    <row r="5118" spans="8:137" x14ac:dyDescent="0.2">
      <c r="H5118" s="76"/>
    </row>
    <row r="5119" spans="8:137" x14ac:dyDescent="0.2">
      <c r="AW5119" s="76"/>
      <c r="EG5119" s="76"/>
    </row>
    <row r="5199" spans="8:8" x14ac:dyDescent="0.2">
      <c r="H5199" s="76"/>
    </row>
    <row r="5207" spans="49:137" x14ac:dyDescent="0.2">
      <c r="AW5207" s="76"/>
      <c r="EG5207" s="76"/>
    </row>
    <row r="5280" spans="8:8" x14ac:dyDescent="0.2">
      <c r="H5280" s="76"/>
    </row>
    <row r="5295" spans="49:137" x14ac:dyDescent="0.2">
      <c r="AW5295" s="76"/>
      <c r="EG5295" s="76"/>
    </row>
    <row r="5361" spans="8:8" x14ac:dyDescent="0.2">
      <c r="H5361" s="76"/>
    </row>
    <row r="5383" spans="49:137" x14ac:dyDescent="0.2">
      <c r="AW5383" s="76"/>
      <c r="EG5383" s="76"/>
    </row>
    <row r="5442" spans="8:8" x14ac:dyDescent="0.2">
      <c r="H5442" s="76"/>
    </row>
    <row r="5471" spans="49:137" x14ac:dyDescent="0.2">
      <c r="AW5471" s="76"/>
      <c r="EG5471" s="76"/>
    </row>
    <row r="5523" spans="8:8" x14ac:dyDescent="0.2">
      <c r="H5523" s="76"/>
    </row>
    <row r="5559" spans="49:137" x14ac:dyDescent="0.2">
      <c r="AW5559" s="76"/>
      <c r="EG5559" s="76"/>
    </row>
    <row r="5604" spans="8:8" x14ac:dyDescent="0.2">
      <c r="H5604" s="76"/>
    </row>
    <row r="5647" spans="49:137" x14ac:dyDescent="0.2">
      <c r="AW5647" s="76"/>
      <c r="EG5647" s="76"/>
    </row>
    <row r="5685" spans="8:8" x14ac:dyDescent="0.2">
      <c r="H5685" s="76"/>
    </row>
    <row r="5735" spans="49:137" x14ac:dyDescent="0.2">
      <c r="AW5735" s="76"/>
      <c r="EG5735" s="76"/>
    </row>
    <row r="5766" spans="8:8" x14ac:dyDescent="0.2">
      <c r="H5766" s="76"/>
    </row>
    <row r="5823" spans="49:137" x14ac:dyDescent="0.2">
      <c r="AW5823" s="76"/>
      <c r="EG5823" s="76"/>
    </row>
    <row r="5847" spans="8:8" x14ac:dyDescent="0.2">
      <c r="H5847" s="76"/>
    </row>
    <row r="5904" spans="49:137" x14ac:dyDescent="0.2">
      <c r="AW5904" s="76"/>
      <c r="EG5904" s="76"/>
    </row>
    <row r="5928" spans="8:8" x14ac:dyDescent="0.2">
      <c r="H5928" s="76"/>
    </row>
    <row r="5985" spans="49:137" x14ac:dyDescent="0.2">
      <c r="AW5985" s="76"/>
      <c r="EG5985" s="76"/>
    </row>
    <row r="6009" spans="8:8" x14ac:dyDescent="0.2">
      <c r="H6009" s="76"/>
    </row>
    <row r="6066" spans="49:137" x14ac:dyDescent="0.2">
      <c r="AW6066" s="76"/>
      <c r="EG6066" s="76"/>
    </row>
    <row r="6090" spans="8:8" x14ac:dyDescent="0.2">
      <c r="H6090" s="76"/>
    </row>
    <row r="6147" spans="49:137" x14ac:dyDescent="0.2">
      <c r="AW6147" s="76"/>
      <c r="EG6147" s="76"/>
    </row>
    <row r="6171" spans="8:8" x14ac:dyDescent="0.2">
      <c r="H6171" s="76"/>
    </row>
    <row r="6228" spans="49:137" x14ac:dyDescent="0.2">
      <c r="AW6228" s="76"/>
      <c r="EG6228" s="76"/>
    </row>
    <row r="6252" spans="8:8" x14ac:dyDescent="0.2">
      <c r="H6252" s="76"/>
    </row>
    <row r="6309" spans="49:137" x14ac:dyDescent="0.2">
      <c r="AW6309" s="76"/>
      <c r="EG6309" s="76"/>
    </row>
    <row r="6333" spans="8:8" x14ac:dyDescent="0.2">
      <c r="H6333" s="76"/>
    </row>
    <row r="6390" spans="49:137" x14ac:dyDescent="0.2">
      <c r="AW6390" s="76"/>
      <c r="EG6390" s="76"/>
    </row>
    <row r="6414" spans="8:8" x14ac:dyDescent="0.2">
      <c r="H6414" s="76"/>
    </row>
    <row r="6471" spans="49:137" x14ac:dyDescent="0.2">
      <c r="AW6471" s="76"/>
      <c r="EG6471" s="76"/>
    </row>
    <row r="6495" spans="8:8" x14ac:dyDescent="0.2">
      <c r="H6495" s="76"/>
    </row>
    <row r="6552" spans="49:137" x14ac:dyDescent="0.2">
      <c r="AW6552" s="76"/>
      <c r="EG6552" s="76"/>
    </row>
    <row r="6576" spans="8:8" x14ac:dyDescent="0.2">
      <c r="H6576" s="76"/>
    </row>
    <row r="6633" spans="49:137" x14ac:dyDescent="0.2">
      <c r="AW6633" s="76"/>
      <c r="EG6633" s="76"/>
    </row>
    <row r="6657" spans="8:8" x14ac:dyDescent="0.2">
      <c r="H6657" s="76"/>
    </row>
    <row r="6714" spans="49:137" x14ac:dyDescent="0.2">
      <c r="AW6714" s="76"/>
      <c r="EG6714" s="76"/>
    </row>
    <row r="6738" spans="8:8" x14ac:dyDescent="0.2">
      <c r="H6738" s="76"/>
    </row>
    <row r="6795" spans="49:137" x14ac:dyDescent="0.2">
      <c r="AW6795" s="76"/>
      <c r="EG6795" s="76"/>
    </row>
    <row r="6819" spans="8:8" x14ac:dyDescent="0.2">
      <c r="H6819" s="76"/>
    </row>
    <row r="6876" spans="49:137" x14ac:dyDescent="0.2">
      <c r="AW6876" s="76"/>
      <c r="EG6876" s="76"/>
    </row>
    <row r="6900" spans="8:8" x14ac:dyDescent="0.2">
      <c r="H6900" s="76"/>
    </row>
    <row r="6957" spans="49:137" x14ac:dyDescent="0.2">
      <c r="AW6957" s="76"/>
      <c r="EG6957" s="76"/>
    </row>
    <row r="6981" spans="8:8" x14ac:dyDescent="0.2">
      <c r="H6981" s="76"/>
    </row>
    <row r="7038" spans="49:137" x14ac:dyDescent="0.2">
      <c r="AW7038" s="76"/>
      <c r="EG7038" s="76"/>
    </row>
    <row r="7069" spans="8:8" x14ac:dyDescent="0.2">
      <c r="H7069" s="76"/>
    </row>
    <row r="7119" spans="49:137" x14ac:dyDescent="0.2">
      <c r="AW7119" s="76"/>
      <c r="EG7119" s="76"/>
    </row>
    <row r="7160" spans="8:8" x14ac:dyDescent="0.2">
      <c r="H7160" s="76"/>
    </row>
    <row r="7200" spans="49:137" x14ac:dyDescent="0.2">
      <c r="AW7200" s="76"/>
      <c r="EG7200" s="76"/>
    </row>
    <row r="7281" spans="49:137" x14ac:dyDescent="0.2">
      <c r="AW7281" s="76"/>
      <c r="EG7281" s="76"/>
    </row>
    <row r="7316" spans="8:8" x14ac:dyDescent="0.2">
      <c r="H7316" s="76"/>
    </row>
    <row r="7326" spans="8:8" x14ac:dyDescent="0.2">
      <c r="H7326" s="76"/>
    </row>
    <row r="7362" spans="49:137" x14ac:dyDescent="0.2">
      <c r="AW7362" s="76"/>
      <c r="EG7362" s="76"/>
    </row>
    <row r="7416" spans="8:8" x14ac:dyDescent="0.2">
      <c r="H7416" s="76"/>
    </row>
    <row r="7443" spans="49:137" x14ac:dyDescent="0.2">
      <c r="AW7443" s="76"/>
      <c r="EG7443" s="76"/>
    </row>
    <row r="7507" spans="8:8" x14ac:dyDescent="0.2">
      <c r="H7507" s="76"/>
    </row>
    <row r="7524" spans="49:137" x14ac:dyDescent="0.2">
      <c r="AW7524" s="76"/>
      <c r="EG7524" s="76"/>
    </row>
    <row r="7598" spans="8:8" x14ac:dyDescent="0.2">
      <c r="H7598" s="76"/>
    </row>
    <row r="7605" spans="49:137" x14ac:dyDescent="0.2">
      <c r="AW7605" s="76"/>
      <c r="EG7605" s="76"/>
    </row>
    <row r="7686" spans="8:137" x14ac:dyDescent="0.2">
      <c r="AW7686" s="76"/>
      <c r="EG7686" s="76"/>
    </row>
    <row r="7689" spans="8:137" x14ac:dyDescent="0.2">
      <c r="H7689" s="76"/>
    </row>
    <row r="7767" spans="49:137" x14ac:dyDescent="0.2">
      <c r="AW7767" s="76"/>
      <c r="EG7767" s="76"/>
    </row>
    <row r="7780" spans="8:8" x14ac:dyDescent="0.2">
      <c r="H7780" s="76"/>
    </row>
    <row r="7848" spans="49:137" x14ac:dyDescent="0.2">
      <c r="AW7848" s="76"/>
      <c r="EG7848" s="76"/>
    </row>
    <row r="7871" spans="8:8" x14ac:dyDescent="0.2">
      <c r="H7871" s="76"/>
    </row>
    <row r="7929" spans="49:137" x14ac:dyDescent="0.2">
      <c r="AW7929" s="76"/>
      <c r="EG7929" s="76"/>
    </row>
    <row r="7962" spans="8:8" x14ac:dyDescent="0.2">
      <c r="H7962" s="76"/>
    </row>
    <row r="8010" spans="49:137" x14ac:dyDescent="0.2">
      <c r="AW8010" s="76"/>
      <c r="EG8010" s="76"/>
    </row>
    <row r="8053" spans="8:8" x14ac:dyDescent="0.2">
      <c r="H8053" s="76"/>
    </row>
    <row r="8091" spans="49:137" x14ac:dyDescent="0.2">
      <c r="AW8091" s="76"/>
      <c r="EG8091" s="76"/>
    </row>
    <row r="8144" spans="8:8" x14ac:dyDescent="0.2">
      <c r="H8144" s="76"/>
    </row>
    <row r="8172" spans="49:137" x14ac:dyDescent="0.2">
      <c r="AW8172" s="76"/>
      <c r="EG8172" s="76"/>
    </row>
    <row r="8235" spans="8:8" x14ac:dyDescent="0.2">
      <c r="H8235" s="76"/>
    </row>
    <row r="8253" spans="49:137" x14ac:dyDescent="0.2">
      <c r="AW8253" s="76"/>
      <c r="EG8253" s="76"/>
    </row>
    <row r="8326" spans="8:137" x14ac:dyDescent="0.2">
      <c r="H8326" s="76"/>
    </row>
    <row r="8334" spans="8:137" x14ac:dyDescent="0.2">
      <c r="AW8334" s="76"/>
      <c r="EG8334" s="76"/>
    </row>
    <row r="8415" spans="49:137" x14ac:dyDescent="0.2">
      <c r="AW8415" s="76"/>
      <c r="EG8415" s="76"/>
    </row>
    <row r="8417" spans="8:8" x14ac:dyDescent="0.2">
      <c r="H8417" s="76"/>
    </row>
    <row r="8496" spans="49:137" x14ac:dyDescent="0.2">
      <c r="AW8496" s="76"/>
      <c r="EG8496" s="76"/>
    </row>
    <row r="8508" spans="8:8" x14ac:dyDescent="0.2">
      <c r="H8508" s="76"/>
    </row>
    <row r="8577" spans="49:137" x14ac:dyDescent="0.2">
      <c r="AW8577" s="76"/>
      <c r="EG8577" s="76"/>
    </row>
    <row r="8599" spans="8:8" x14ac:dyDescent="0.2">
      <c r="H8599" s="76"/>
    </row>
    <row r="8658" spans="49:137" x14ac:dyDescent="0.2">
      <c r="AW8658" s="76"/>
      <c r="EG8658" s="76"/>
    </row>
    <row r="8690" spans="8:8" x14ac:dyDescent="0.2">
      <c r="H8690" s="76"/>
    </row>
    <row r="8739" spans="49:137" x14ac:dyDescent="0.2">
      <c r="AW8739" s="76"/>
      <c r="EG8739" s="76"/>
    </row>
    <row r="8781" spans="8:8" x14ac:dyDescent="0.2">
      <c r="H8781" s="76"/>
    </row>
    <row r="8820" spans="49:137" x14ac:dyDescent="0.2">
      <c r="AW8820" s="76"/>
      <c r="EG8820" s="76"/>
    </row>
    <row r="8872" spans="8:8" x14ac:dyDescent="0.2">
      <c r="H8872" s="76"/>
    </row>
    <row r="8901" spans="49:137" x14ac:dyDescent="0.2">
      <c r="AW8901" s="76"/>
      <c r="EG8901" s="76"/>
    </row>
    <row r="8963" spans="8:8" x14ac:dyDescent="0.2">
      <c r="H8963" s="76"/>
    </row>
    <row r="8982" spans="49:137" x14ac:dyDescent="0.2">
      <c r="AW8982" s="76"/>
      <c r="EG8982" s="76"/>
    </row>
    <row r="9054" spans="8:8" x14ac:dyDescent="0.2">
      <c r="H9054" s="76"/>
    </row>
    <row r="9063" spans="49:137" x14ac:dyDescent="0.2">
      <c r="AW9063" s="76"/>
      <c r="EG9063" s="76"/>
    </row>
    <row r="9144" spans="8:137" x14ac:dyDescent="0.2">
      <c r="AW9144" s="76"/>
      <c r="EG9144" s="76"/>
    </row>
    <row r="9145" spans="8:137" x14ac:dyDescent="0.2">
      <c r="H9145" s="76"/>
    </row>
    <row r="9225" spans="49:137" x14ac:dyDescent="0.2">
      <c r="AW9225" s="76"/>
      <c r="EG9225" s="76"/>
    </row>
    <row r="9236" spans="8:8" x14ac:dyDescent="0.2">
      <c r="H9236" s="76"/>
    </row>
    <row r="9306" spans="49:137" x14ac:dyDescent="0.2">
      <c r="AW9306" s="76"/>
      <c r="EG9306" s="76"/>
    </row>
    <row r="9327" spans="8:8" x14ac:dyDescent="0.2">
      <c r="H9327" s="76"/>
    </row>
    <row r="9387" spans="49:137" x14ac:dyDescent="0.2">
      <c r="AW9387" s="76"/>
      <c r="EG9387" s="76"/>
    </row>
    <row r="9418" spans="8:8" x14ac:dyDescent="0.2">
      <c r="H9418" s="76"/>
    </row>
    <row r="9468" spans="49:137" x14ac:dyDescent="0.2">
      <c r="AW9468" s="76"/>
      <c r="EG9468" s="76"/>
    </row>
    <row r="9509" spans="8:8" x14ac:dyDescent="0.2">
      <c r="H9509" s="76"/>
    </row>
    <row r="9549" spans="49:137" x14ac:dyDescent="0.2">
      <c r="AW9549" s="76"/>
      <c r="EG9549" s="76"/>
    </row>
    <row r="9600" spans="8:8" x14ac:dyDescent="0.2">
      <c r="H9600" s="76"/>
    </row>
    <row r="9630" spans="49:137" x14ac:dyDescent="0.2">
      <c r="AW9630" s="76"/>
      <c r="EG9630" s="76"/>
    </row>
    <row r="9691" spans="8:8" x14ac:dyDescent="0.2">
      <c r="H9691" s="76"/>
    </row>
    <row r="9711" spans="49:137" x14ac:dyDescent="0.2">
      <c r="AW9711" s="76"/>
      <c r="EG9711" s="76"/>
    </row>
    <row r="9782" spans="8:137" x14ac:dyDescent="0.2">
      <c r="H9782" s="76"/>
    </row>
    <row r="9792" spans="8:137" x14ac:dyDescent="0.2">
      <c r="AW9792" s="76"/>
      <c r="EG9792" s="76"/>
    </row>
    <row r="9873" spans="8:137" x14ac:dyDescent="0.2">
      <c r="H9873" s="76"/>
      <c r="AW9873" s="76"/>
      <c r="EG9873" s="76"/>
    </row>
    <row r="9954" spans="8:137" x14ac:dyDescent="0.2">
      <c r="AW9954" s="76"/>
      <c r="EG9954" s="76"/>
    </row>
    <row r="9964" spans="8:137" x14ac:dyDescent="0.2">
      <c r="H9964" s="76"/>
    </row>
    <row r="10035" spans="49:137" x14ac:dyDescent="0.2">
      <c r="AW10035" s="76"/>
      <c r="EG10035" s="76"/>
    </row>
    <row r="10055" spans="8:8" x14ac:dyDescent="0.2">
      <c r="H10055" s="76"/>
    </row>
    <row r="10116" spans="49:137" x14ac:dyDescent="0.2">
      <c r="AW10116" s="76"/>
      <c r="EG10116" s="76"/>
    </row>
    <row r="10146" spans="8:8" x14ac:dyDescent="0.2">
      <c r="H10146" s="76"/>
    </row>
    <row r="10197" spans="49:137" x14ac:dyDescent="0.2">
      <c r="AW10197" s="76"/>
      <c r="EG10197" s="76"/>
    </row>
    <row r="10237" spans="8:8" x14ac:dyDescent="0.2">
      <c r="H10237" s="76"/>
    </row>
    <row r="10278" spans="49:137" x14ac:dyDescent="0.2">
      <c r="AW10278" s="76"/>
      <c r="EG10278" s="76"/>
    </row>
    <row r="10328" spans="8:8" x14ac:dyDescent="0.2">
      <c r="H10328" s="76"/>
    </row>
    <row r="10359" spans="49:137" x14ac:dyDescent="0.2">
      <c r="AW10359" s="76"/>
      <c r="EG10359" s="76"/>
    </row>
    <row r="10419" spans="8:8" x14ac:dyDescent="0.2">
      <c r="H10419" s="76"/>
    </row>
    <row r="10440" spans="49:137" x14ac:dyDescent="0.2">
      <c r="AW10440" s="76"/>
      <c r="EG10440" s="76"/>
    </row>
    <row r="10510" spans="8:8" x14ac:dyDescent="0.2">
      <c r="H10510" s="76"/>
    </row>
    <row r="10521" spans="49:137" x14ac:dyDescent="0.2">
      <c r="AW10521" s="76"/>
      <c r="EG10521" s="76"/>
    </row>
    <row r="10601" spans="8:137" x14ac:dyDescent="0.2">
      <c r="H10601" s="76"/>
    </row>
    <row r="10602" spans="8:137" x14ac:dyDescent="0.2">
      <c r="AW10602" s="76"/>
      <c r="EG10602" s="76"/>
    </row>
    <row r="10683" spans="49:137" x14ac:dyDescent="0.2">
      <c r="AW10683" s="76"/>
      <c r="EG10683" s="76"/>
    </row>
    <row r="10692" spans="8:8" x14ac:dyDescent="0.2">
      <c r="H10692" s="76"/>
    </row>
    <row r="10764" spans="49:137" x14ac:dyDescent="0.2">
      <c r="AW10764" s="76"/>
      <c r="EG10764" s="76"/>
    </row>
    <row r="10783" spans="8:8" x14ac:dyDescent="0.2">
      <c r="H10783" s="76"/>
    </row>
    <row r="10845" spans="49:137" x14ac:dyDescent="0.2">
      <c r="AW10845" s="76"/>
      <c r="EG10845" s="76"/>
    </row>
    <row r="10874" spans="8:8" x14ac:dyDescent="0.2">
      <c r="H10874" s="76"/>
    </row>
    <row r="10926" spans="49:137" x14ac:dyDescent="0.2">
      <c r="AW10926" s="76"/>
      <c r="EG10926" s="76"/>
    </row>
    <row r="10965" spans="8:8" x14ac:dyDescent="0.2">
      <c r="H10965" s="76"/>
    </row>
    <row r="11007" spans="49:137" x14ac:dyDescent="0.2">
      <c r="AW11007" s="76"/>
      <c r="EG11007" s="76"/>
    </row>
    <row r="11056" spans="8:8" x14ac:dyDescent="0.2">
      <c r="H11056" s="76"/>
    </row>
    <row r="11088" spans="49:137" x14ac:dyDescent="0.2">
      <c r="AW11088" s="76"/>
      <c r="EG11088" s="76"/>
    </row>
    <row r="11147" spans="8:8" x14ac:dyDescent="0.2">
      <c r="H11147" s="76"/>
    </row>
    <row r="11169" spans="49:137" x14ac:dyDescent="0.2">
      <c r="AW11169" s="76"/>
      <c r="EG11169" s="76"/>
    </row>
    <row r="11238" spans="8:8" x14ac:dyDescent="0.2">
      <c r="H11238" s="76"/>
    </row>
    <row r="11250" spans="49:137" x14ac:dyDescent="0.2">
      <c r="AW11250" s="76"/>
      <c r="EG11250" s="76"/>
    </row>
    <row r="11329" spans="8:137" x14ac:dyDescent="0.2">
      <c r="H11329" s="76"/>
    </row>
    <row r="11331" spans="8:137" x14ac:dyDescent="0.2">
      <c r="AW11331" s="76"/>
      <c r="EG11331" s="76"/>
    </row>
    <row r="11412" spans="8:137" x14ac:dyDescent="0.2">
      <c r="AW11412" s="76"/>
      <c r="EG11412" s="76"/>
    </row>
    <row r="11420" spans="8:137" x14ac:dyDescent="0.2">
      <c r="H11420" s="76"/>
    </row>
    <row r="11493" spans="49:137" x14ac:dyDescent="0.2">
      <c r="AW11493" s="76"/>
      <c r="EG11493" s="76"/>
    </row>
    <row r="11511" spans="8:8" x14ac:dyDescent="0.2">
      <c r="H11511" s="76"/>
    </row>
    <row r="11574" spans="49:137" x14ac:dyDescent="0.2">
      <c r="AW11574" s="76"/>
      <c r="EG11574" s="76"/>
    </row>
    <row r="11602" spans="8:8" x14ac:dyDescent="0.2">
      <c r="H11602" s="76"/>
    </row>
    <row r="11655" spans="49:137" x14ac:dyDescent="0.2">
      <c r="AW11655" s="76"/>
      <c r="EG11655" s="76"/>
    </row>
    <row r="11693" spans="8:8" x14ac:dyDescent="0.2">
      <c r="H11693" s="76"/>
    </row>
    <row r="11736" spans="49:137" x14ac:dyDescent="0.2">
      <c r="AW11736" s="76"/>
      <c r="EG11736" s="76"/>
    </row>
    <row r="11784" spans="8:8" x14ac:dyDescent="0.2">
      <c r="H11784" s="76"/>
    </row>
    <row r="11817" spans="49:137" x14ac:dyDescent="0.2">
      <c r="AW11817" s="76"/>
      <c r="EG11817" s="76"/>
    </row>
    <row r="11875" spans="8:8" x14ac:dyDescent="0.2">
      <c r="H11875" s="76"/>
    </row>
    <row r="11898" spans="49:137" x14ac:dyDescent="0.2">
      <c r="AW11898" s="76"/>
      <c r="EG11898" s="76"/>
    </row>
    <row r="11966" spans="8:8" x14ac:dyDescent="0.2">
      <c r="H11966" s="76"/>
    </row>
    <row r="11979" spans="49:137" x14ac:dyDescent="0.2">
      <c r="AW11979" s="76"/>
      <c r="EG11979" s="76"/>
    </row>
    <row r="12057" spans="8:137" x14ac:dyDescent="0.2">
      <c r="H12057" s="76"/>
    </row>
    <row r="12060" spans="8:137" x14ac:dyDescent="0.2">
      <c r="AW12060" s="76"/>
      <c r="EG12060" s="76"/>
    </row>
    <row r="12141" spans="49:137" x14ac:dyDescent="0.2">
      <c r="AW12141" s="76"/>
      <c r="EG12141" s="76"/>
    </row>
    <row r="12148" spans="8:8" x14ac:dyDescent="0.2">
      <c r="H12148" s="76"/>
    </row>
    <row r="12222" spans="49:137" x14ac:dyDescent="0.2">
      <c r="AW12222" s="76"/>
      <c r="EG12222" s="76"/>
    </row>
    <row r="12239" spans="8:8" x14ac:dyDescent="0.2">
      <c r="H12239" s="76"/>
    </row>
    <row r="12303" spans="49:137" x14ac:dyDescent="0.2">
      <c r="AW12303" s="76"/>
      <c r="EG12303" s="76"/>
    </row>
    <row r="12330" spans="8:8" x14ac:dyDescent="0.2">
      <c r="H12330" s="76"/>
    </row>
    <row r="12384" spans="49:137" x14ac:dyDescent="0.2">
      <c r="AW12384" s="76"/>
      <c r="EG12384" s="76"/>
    </row>
    <row r="12421" spans="8:8" x14ac:dyDescent="0.2">
      <c r="H12421" s="76"/>
    </row>
    <row r="12465" spans="49:137" x14ac:dyDescent="0.2">
      <c r="AW12465" s="76"/>
      <c r="EG12465" s="76"/>
    </row>
    <row r="12512" spans="8:8" x14ac:dyDescent="0.2">
      <c r="H12512" s="76"/>
    </row>
    <row r="12546" spans="49:137" x14ac:dyDescent="0.2">
      <c r="AW12546" s="76"/>
      <c r="EG12546" s="76"/>
    </row>
    <row r="12601" spans="8:8" x14ac:dyDescent="0.2">
      <c r="H12601" s="76"/>
    </row>
    <row r="12627" spans="49:137" x14ac:dyDescent="0.2">
      <c r="AW12627" s="76"/>
      <c r="EG12627" s="76"/>
    </row>
    <row r="12690" spans="8:8" x14ac:dyDescent="0.2">
      <c r="H12690" s="76"/>
    </row>
    <row r="12708" spans="49:137" x14ac:dyDescent="0.2">
      <c r="AW12708" s="76"/>
      <c r="EG12708" s="76"/>
    </row>
    <row r="12779" spans="8:8" x14ac:dyDescent="0.2">
      <c r="H12779" s="76"/>
    </row>
    <row r="12789" spans="49:137" x14ac:dyDescent="0.2">
      <c r="AW12789" s="76"/>
      <c r="EG12789" s="76"/>
    </row>
    <row r="12868" spans="8:137" x14ac:dyDescent="0.2">
      <c r="H12868" s="76"/>
    </row>
    <row r="12870" spans="8:137" x14ac:dyDescent="0.2">
      <c r="AW12870" s="76"/>
      <c r="EG12870" s="76"/>
    </row>
    <row r="12951" spans="8:137" x14ac:dyDescent="0.2">
      <c r="AW12951" s="76"/>
      <c r="EG12951" s="76"/>
    </row>
    <row r="12957" spans="8:137" x14ac:dyDescent="0.2">
      <c r="H12957" s="76"/>
    </row>
    <row r="13032" spans="49:137" x14ac:dyDescent="0.2">
      <c r="AW13032" s="76"/>
      <c r="EG13032" s="76"/>
    </row>
    <row r="13046" spans="8:8" x14ac:dyDescent="0.2">
      <c r="H13046" s="76"/>
    </row>
    <row r="13113" spans="49:137" x14ac:dyDescent="0.2">
      <c r="AW13113" s="76"/>
      <c r="EG13113" s="76"/>
    </row>
    <row r="13135" spans="8:8" x14ac:dyDescent="0.2">
      <c r="H13135" s="76"/>
    </row>
    <row r="13194" spans="49:137" x14ac:dyDescent="0.2">
      <c r="AW13194" s="76"/>
      <c r="EG13194" s="76"/>
    </row>
    <row r="13224" spans="8:8" x14ac:dyDescent="0.2">
      <c r="H13224" s="76"/>
    </row>
    <row r="13275" spans="49:137" x14ac:dyDescent="0.2">
      <c r="AW13275" s="76"/>
      <c r="EG13275" s="76"/>
    </row>
    <row r="13313" spans="8:8" x14ac:dyDescent="0.2">
      <c r="H13313" s="76"/>
    </row>
    <row r="13356" spans="49:137" x14ac:dyDescent="0.2">
      <c r="AW13356" s="76"/>
      <c r="EG13356" s="76"/>
    </row>
    <row r="13402" spans="8:8" x14ac:dyDescent="0.2">
      <c r="H13402" s="76"/>
    </row>
    <row r="13437" spans="49:137" x14ac:dyDescent="0.2">
      <c r="AW13437" s="76"/>
      <c r="EG13437" s="76"/>
    </row>
    <row r="13491" spans="8:8" x14ac:dyDescent="0.2">
      <c r="H13491" s="76"/>
    </row>
    <row r="13518" spans="49:137" x14ac:dyDescent="0.2">
      <c r="AW13518" s="76"/>
      <c r="EG13518" s="76"/>
    </row>
    <row r="13580" spans="8:8" x14ac:dyDescent="0.2">
      <c r="H13580" s="76"/>
    </row>
    <row r="13599" spans="49:137" x14ac:dyDescent="0.2">
      <c r="AW13599" s="76"/>
      <c r="EG13599" s="76"/>
    </row>
    <row r="13669" spans="8:137" x14ac:dyDescent="0.2">
      <c r="H13669" s="76"/>
    </row>
    <row r="13680" spans="8:137" x14ac:dyDescent="0.2">
      <c r="AW13680" s="76"/>
      <c r="EG13680" s="76"/>
    </row>
    <row r="13758" spans="8:8" x14ac:dyDescent="0.2">
      <c r="H13758" s="76"/>
    </row>
    <row r="13761" spans="49:137" x14ac:dyDescent="0.2">
      <c r="AW13761" s="76"/>
      <c r="EG13761" s="76"/>
    </row>
    <row r="13842" spans="8:137" x14ac:dyDescent="0.2">
      <c r="AW13842" s="76"/>
      <c r="EG13842" s="76"/>
    </row>
    <row r="13847" spans="8:137" x14ac:dyDescent="0.2">
      <c r="H13847" s="76"/>
    </row>
    <row r="13923" spans="8:137" x14ac:dyDescent="0.2">
      <c r="AW13923" s="76"/>
      <c r="EG13923" s="76"/>
    </row>
    <row r="13936" spans="8:137" x14ac:dyDescent="0.2">
      <c r="H13936" s="76"/>
    </row>
    <row r="14004" spans="49:137" x14ac:dyDescent="0.2">
      <c r="AW14004" s="76"/>
      <c r="EG14004" s="76"/>
    </row>
    <row r="14025" spans="8:8" x14ac:dyDescent="0.2">
      <c r="H14025" s="76"/>
    </row>
    <row r="14085" spans="49:137" x14ac:dyDescent="0.2">
      <c r="AW14085" s="76"/>
      <c r="EG14085" s="76"/>
    </row>
    <row r="14114" spans="8:8" x14ac:dyDescent="0.2">
      <c r="H14114" s="76"/>
    </row>
    <row r="14166" spans="49:137" x14ac:dyDescent="0.2">
      <c r="AW14166" s="76"/>
      <c r="EG14166" s="76"/>
    </row>
    <row r="14203" spans="8:8" x14ac:dyDescent="0.2">
      <c r="H14203" s="76"/>
    </row>
    <row r="14247" spans="49:137" x14ac:dyDescent="0.2">
      <c r="AW14247" s="76"/>
      <c r="EG14247" s="76"/>
    </row>
    <row r="14292" spans="8:8" x14ac:dyDescent="0.2">
      <c r="H14292" s="76"/>
    </row>
    <row r="14328" spans="49:137" x14ac:dyDescent="0.2">
      <c r="AW14328" s="76"/>
      <c r="EG14328" s="76"/>
    </row>
    <row r="14381" spans="8:8" x14ac:dyDescent="0.2">
      <c r="H14381" s="76"/>
    </row>
    <row r="14409" spans="49:137" x14ac:dyDescent="0.2">
      <c r="AW14409" s="76"/>
      <c r="EG14409" s="76"/>
    </row>
    <row r="14470" spans="8:8" x14ac:dyDescent="0.2">
      <c r="H14470" s="76"/>
    </row>
    <row r="14490" spans="49:137" x14ac:dyDescent="0.2">
      <c r="AW14490" s="76"/>
      <c r="EG14490" s="76"/>
    </row>
    <row r="14559" spans="8:8" x14ac:dyDescent="0.2">
      <c r="H14559" s="76"/>
    </row>
    <row r="14571" spans="49:137" x14ac:dyDescent="0.2">
      <c r="AW14571" s="76"/>
      <c r="EG14571" s="76"/>
    </row>
    <row r="14648" spans="8:137" x14ac:dyDescent="0.2">
      <c r="H14648" s="76"/>
    </row>
    <row r="14652" spans="8:137" x14ac:dyDescent="0.2">
      <c r="AW14652" s="76"/>
      <c r="EG14652" s="76"/>
    </row>
    <row r="14733" spans="49:137" x14ac:dyDescent="0.2">
      <c r="AW14733" s="76"/>
      <c r="EG14733" s="76"/>
    </row>
    <row r="14737" spans="8:8" x14ac:dyDescent="0.2">
      <c r="H14737" s="76"/>
    </row>
    <row r="14814" spans="49:137" x14ac:dyDescent="0.2">
      <c r="AW14814" s="76"/>
      <c r="EG14814" s="76"/>
    </row>
    <row r="14826" spans="8:8" x14ac:dyDescent="0.2">
      <c r="H14826" s="76"/>
    </row>
    <row r="14895" spans="49:137" x14ac:dyDescent="0.2">
      <c r="AW14895" s="76"/>
      <c r="EG14895" s="76"/>
    </row>
    <row r="14915" spans="8:8" x14ac:dyDescent="0.2">
      <c r="H14915" s="76"/>
    </row>
    <row r="14976" spans="49:137" x14ac:dyDescent="0.2">
      <c r="AW14976" s="76"/>
      <c r="EG14976" s="76"/>
    </row>
    <row r="15004" spans="8:8" x14ac:dyDescent="0.2">
      <c r="H15004" s="76"/>
    </row>
    <row r="15057" spans="49:137" x14ac:dyDescent="0.2">
      <c r="AW15057" s="76"/>
      <c r="EG15057" s="76"/>
    </row>
    <row r="15093" spans="8:8" x14ac:dyDescent="0.2">
      <c r="H15093" s="76"/>
    </row>
    <row r="15138" spans="49:137" x14ac:dyDescent="0.2">
      <c r="AW15138" s="76"/>
      <c r="EG15138" s="76"/>
    </row>
    <row r="15182" spans="8:8" x14ac:dyDescent="0.2">
      <c r="H15182" s="76"/>
    </row>
    <row r="15219" spans="49:137" x14ac:dyDescent="0.2">
      <c r="AW15219" s="76"/>
      <c r="EG15219" s="76"/>
    </row>
    <row r="15271" spans="8:8" x14ac:dyDescent="0.2">
      <c r="H15271" s="76"/>
    </row>
    <row r="15300" spans="49:137" x14ac:dyDescent="0.2">
      <c r="AW15300" s="76"/>
      <c r="EG15300" s="76"/>
    </row>
    <row r="15360" spans="8:8" x14ac:dyDescent="0.2">
      <c r="H15360" s="76"/>
    </row>
    <row r="15381" spans="49:137" x14ac:dyDescent="0.2">
      <c r="AW15381" s="76"/>
      <c r="EG15381" s="76"/>
    </row>
    <row r="15449" spans="8:8" x14ac:dyDescent="0.2">
      <c r="H15449" s="76"/>
    </row>
    <row r="15462" spans="49:137" x14ac:dyDescent="0.2">
      <c r="AW15462" s="76"/>
      <c r="EG15462" s="76"/>
    </row>
    <row r="15538" spans="8:137" x14ac:dyDescent="0.2">
      <c r="H15538" s="76"/>
    </row>
    <row r="15543" spans="8:137" x14ac:dyDescent="0.2">
      <c r="AW15543" s="76"/>
      <c r="EG15543" s="76"/>
    </row>
    <row r="15624" spans="8:137" x14ac:dyDescent="0.2">
      <c r="AW15624" s="76"/>
      <c r="EG15624" s="76"/>
    </row>
    <row r="15627" spans="8:137" x14ac:dyDescent="0.2">
      <c r="H15627" s="76"/>
    </row>
    <row r="15705" spans="49:137" x14ac:dyDescent="0.2">
      <c r="AW15705" s="76"/>
      <c r="EG15705" s="76"/>
    </row>
    <row r="15716" spans="8:8" x14ac:dyDescent="0.2">
      <c r="H15716" s="76"/>
    </row>
    <row r="15786" spans="49:137" x14ac:dyDescent="0.2">
      <c r="AW15786" s="76"/>
      <c r="EG15786" s="76"/>
    </row>
    <row r="15805" spans="8:8" x14ac:dyDescent="0.2">
      <c r="H15805" s="76"/>
    </row>
    <row r="15867" spans="49:137" x14ac:dyDescent="0.2">
      <c r="AW15867" s="76"/>
      <c r="EG15867" s="76"/>
    </row>
    <row r="15894" spans="8:8" x14ac:dyDescent="0.2">
      <c r="H15894" s="76"/>
    </row>
    <row r="15948" spans="49:137" x14ac:dyDescent="0.2">
      <c r="AW15948" s="76"/>
      <c r="EG15948" s="76"/>
    </row>
    <row r="15983" spans="8:8" x14ac:dyDescent="0.2">
      <c r="H15983" s="76"/>
    </row>
    <row r="16029" spans="49:137" x14ac:dyDescent="0.2">
      <c r="AW16029" s="76"/>
      <c r="EG16029" s="76"/>
    </row>
    <row r="16072" spans="8:8" x14ac:dyDescent="0.2">
      <c r="H16072" s="76"/>
    </row>
    <row r="16110" spans="49:137" x14ac:dyDescent="0.2">
      <c r="AW16110" s="76"/>
      <c r="EG16110" s="76"/>
    </row>
    <row r="16161" spans="8:8" x14ac:dyDescent="0.2">
      <c r="H16161" s="76"/>
    </row>
    <row r="16191" spans="49:137" x14ac:dyDescent="0.2">
      <c r="AW16191" s="76"/>
      <c r="EG16191" s="76"/>
    </row>
    <row r="16250" spans="8:8" x14ac:dyDescent="0.2">
      <c r="H16250" s="76"/>
    </row>
    <row r="16272" spans="49:137" x14ac:dyDescent="0.2">
      <c r="AW16272" s="76"/>
      <c r="EG16272" s="76"/>
    </row>
    <row r="16339" spans="8:8" x14ac:dyDescent="0.2">
      <c r="H16339" s="76"/>
    </row>
    <row r="16353" spans="49:137" x14ac:dyDescent="0.2">
      <c r="AW16353" s="76"/>
      <c r="EG16353" s="76"/>
    </row>
    <row r="16428" spans="8:8" x14ac:dyDescent="0.2">
      <c r="H16428" s="76"/>
    </row>
    <row r="16434" spans="49:137" x14ac:dyDescent="0.2">
      <c r="AW16434" s="76"/>
      <c r="EG16434" s="76"/>
    </row>
    <row r="16515" spans="8:137" x14ac:dyDescent="0.2">
      <c r="AW16515" s="76"/>
      <c r="EG16515" s="76"/>
    </row>
    <row r="16517" spans="8:137" x14ac:dyDescent="0.2">
      <c r="H16517" s="76"/>
    </row>
    <row r="16596" spans="8:137" x14ac:dyDescent="0.2">
      <c r="AW16596" s="76"/>
      <c r="EG16596" s="76"/>
    </row>
    <row r="16606" spans="8:137" x14ac:dyDescent="0.2">
      <c r="H16606" s="76"/>
    </row>
    <row r="16677" spans="49:137" x14ac:dyDescent="0.2">
      <c r="AW16677" s="76"/>
      <c r="EG16677" s="76"/>
    </row>
    <row r="16695" spans="8:8" x14ac:dyDescent="0.2">
      <c r="H16695" s="76"/>
    </row>
    <row r="16758" spans="49:137" x14ac:dyDescent="0.2">
      <c r="AW16758" s="76"/>
      <c r="EG16758" s="76"/>
    </row>
    <row r="16784" spans="8:8" x14ac:dyDescent="0.2">
      <c r="H16784" s="76"/>
    </row>
    <row r="16839" spans="49:137" x14ac:dyDescent="0.2">
      <c r="AW16839" s="76"/>
      <c r="EG16839" s="76"/>
    </row>
    <row r="16873" spans="8:8" x14ac:dyDescent="0.2">
      <c r="H16873" s="76"/>
    </row>
    <row r="16920" spans="49:137" x14ac:dyDescent="0.2">
      <c r="AW16920" s="76"/>
      <c r="EG16920" s="76"/>
    </row>
    <row r="16962" spans="8:8" x14ac:dyDescent="0.2">
      <c r="H16962" s="76"/>
    </row>
    <row r="17001" spans="49:137" x14ac:dyDescent="0.2">
      <c r="AW17001" s="76"/>
      <c r="EG17001" s="76"/>
    </row>
    <row r="17051" spans="8:8" x14ac:dyDescent="0.2">
      <c r="H17051" s="76"/>
    </row>
    <row r="17082" spans="49:137" x14ac:dyDescent="0.2">
      <c r="AW17082" s="76"/>
      <c r="EG17082" s="76"/>
    </row>
    <row r="17140" spans="8:8" x14ac:dyDescent="0.2">
      <c r="H17140" s="76"/>
    </row>
    <row r="17163" spans="49:137" x14ac:dyDescent="0.2">
      <c r="AW17163" s="76"/>
      <c r="EG17163" s="76"/>
    </row>
    <row r="17229" spans="8:8" x14ac:dyDescent="0.2">
      <c r="H17229" s="76"/>
    </row>
    <row r="17244" spans="49:137" x14ac:dyDescent="0.2">
      <c r="AW17244" s="76"/>
      <c r="EG17244" s="76"/>
    </row>
    <row r="17318" spans="8:137" x14ac:dyDescent="0.2">
      <c r="H17318" s="76"/>
    </row>
    <row r="17325" spans="8:137" x14ac:dyDescent="0.2">
      <c r="AW17325" s="76"/>
      <c r="EG17325" s="76"/>
    </row>
    <row r="17406" spans="49:137" x14ac:dyDescent="0.2">
      <c r="AW17406" s="76"/>
      <c r="EG17406" s="76"/>
    </row>
    <row r="17409" spans="8:8" x14ac:dyDescent="0.2">
      <c r="H17409" s="76"/>
    </row>
    <row r="17487" spans="49:137" x14ac:dyDescent="0.2">
      <c r="AW17487" s="76"/>
      <c r="EG17487" s="76"/>
    </row>
    <row r="17498" spans="8:8" x14ac:dyDescent="0.2">
      <c r="H17498" s="76"/>
    </row>
    <row r="17568" spans="49:137" x14ac:dyDescent="0.2">
      <c r="AW17568" s="76"/>
      <c r="EG17568" s="76"/>
    </row>
    <row r="17587" spans="8:8" x14ac:dyDescent="0.2">
      <c r="H17587" s="76"/>
    </row>
    <row r="17649" spans="49:137" x14ac:dyDescent="0.2">
      <c r="AW17649" s="76"/>
      <c r="EG17649" s="76"/>
    </row>
    <row r="17676" spans="8:8" x14ac:dyDescent="0.2">
      <c r="H17676" s="76"/>
    </row>
    <row r="17730" spans="49:137" x14ac:dyDescent="0.2">
      <c r="AW17730" s="76"/>
      <c r="EG17730" s="76"/>
    </row>
    <row r="17765" spans="8:8" x14ac:dyDescent="0.2">
      <c r="H17765" s="76"/>
    </row>
    <row r="17811" spans="49:137" x14ac:dyDescent="0.2">
      <c r="AW17811" s="76"/>
      <c r="EG17811" s="76"/>
    </row>
    <row r="17854" spans="8:8" x14ac:dyDescent="0.2">
      <c r="H17854" s="76"/>
    </row>
    <row r="17892" spans="49:137" x14ac:dyDescent="0.2">
      <c r="AW17892" s="76"/>
      <c r="EG17892" s="76"/>
    </row>
    <row r="17943" spans="8:8" x14ac:dyDescent="0.2">
      <c r="H17943" s="76"/>
    </row>
    <row r="17973" spans="49:137" x14ac:dyDescent="0.2">
      <c r="AW17973" s="76"/>
      <c r="EG17973" s="76"/>
    </row>
    <row r="18032" spans="8:8" x14ac:dyDescent="0.2">
      <c r="H18032" s="76"/>
    </row>
    <row r="18054" spans="49:137" x14ac:dyDescent="0.2">
      <c r="AW18054" s="76"/>
      <c r="EG18054" s="76"/>
    </row>
    <row r="18121" spans="8:8" x14ac:dyDescent="0.2">
      <c r="H18121" s="76"/>
    </row>
    <row r="18135" spans="49:137" x14ac:dyDescent="0.2">
      <c r="AW18135" s="76"/>
      <c r="EG18135" s="76"/>
    </row>
    <row r="18210" spans="8:137" x14ac:dyDescent="0.2">
      <c r="H18210" s="76"/>
    </row>
    <row r="18216" spans="8:137" x14ac:dyDescent="0.2">
      <c r="AW18216" s="76"/>
      <c r="EG18216" s="76"/>
    </row>
    <row r="18297" spans="8:137" x14ac:dyDescent="0.2">
      <c r="AW18297" s="76"/>
      <c r="EG18297" s="76"/>
    </row>
    <row r="18299" spans="8:137" x14ac:dyDescent="0.2">
      <c r="H18299" s="76"/>
    </row>
    <row r="18378" spans="49:137" x14ac:dyDescent="0.2">
      <c r="AW18378" s="76"/>
      <c r="EG18378" s="76"/>
    </row>
    <row r="18388" spans="8:8" x14ac:dyDescent="0.2">
      <c r="H18388" s="76"/>
    </row>
    <row r="18459" spans="49:137" x14ac:dyDescent="0.2">
      <c r="AW18459" s="76"/>
      <c r="EG18459" s="76"/>
    </row>
    <row r="18477" spans="8:8" x14ac:dyDescent="0.2">
      <c r="H18477" s="76"/>
    </row>
    <row r="18540" spans="49:137" x14ac:dyDescent="0.2">
      <c r="AW18540" s="76"/>
      <c r="EG18540" s="76"/>
    </row>
    <row r="18566" spans="8:8" x14ac:dyDescent="0.2">
      <c r="H18566" s="76"/>
    </row>
    <row r="18621" spans="49:137" x14ac:dyDescent="0.2">
      <c r="AW18621" s="76"/>
      <c r="EG18621" s="76"/>
    </row>
    <row r="18655" spans="8:8" x14ac:dyDescent="0.2">
      <c r="H18655" s="76"/>
    </row>
    <row r="18702" spans="49:137" x14ac:dyDescent="0.2">
      <c r="AW18702" s="76"/>
      <c r="EG18702" s="76"/>
    </row>
    <row r="18744" spans="8:8" x14ac:dyDescent="0.2">
      <c r="H18744" s="76"/>
    </row>
    <row r="18783" spans="49:137" x14ac:dyDescent="0.2">
      <c r="AW18783" s="76"/>
      <c r="EG18783" s="76"/>
    </row>
    <row r="18833" spans="8:8" x14ac:dyDescent="0.2">
      <c r="H18833" s="76"/>
    </row>
    <row r="18864" spans="49:137" x14ac:dyDescent="0.2">
      <c r="AW18864" s="76"/>
      <c r="EG18864" s="76"/>
    </row>
    <row r="18922" spans="8:8" x14ac:dyDescent="0.2">
      <c r="H18922" s="76"/>
    </row>
    <row r="18945" spans="49:137" x14ac:dyDescent="0.2">
      <c r="AW18945" s="76"/>
      <c r="EG18945" s="76"/>
    </row>
    <row r="19011" spans="8:8" x14ac:dyDescent="0.2">
      <c r="H19011" s="76"/>
    </row>
    <row r="19026" spans="49:137" x14ac:dyDescent="0.2">
      <c r="AW19026" s="76"/>
      <c r="EG19026" s="76"/>
    </row>
    <row r="19100" spans="8:8" x14ac:dyDescent="0.2">
      <c r="H19100" s="76"/>
    </row>
    <row r="19107" spans="49:137" x14ac:dyDescent="0.2">
      <c r="AW19107" s="76"/>
      <c r="EG19107" s="76"/>
    </row>
    <row r="19188" spans="8:137" x14ac:dyDescent="0.2">
      <c r="AW19188" s="76"/>
      <c r="EG19188" s="76"/>
    </row>
    <row r="19189" spans="8:137" x14ac:dyDescent="0.2">
      <c r="H19189" s="76"/>
    </row>
    <row r="19269" spans="8:137" x14ac:dyDescent="0.2">
      <c r="AW19269" s="76"/>
      <c r="EG19269" s="76"/>
    </row>
    <row r="19278" spans="8:137" x14ac:dyDescent="0.2">
      <c r="H19278" s="76"/>
    </row>
    <row r="19350" spans="49:137" x14ac:dyDescent="0.2">
      <c r="AW19350" s="76"/>
      <c r="EG19350" s="76"/>
    </row>
    <row r="19367" spans="8:8" x14ac:dyDescent="0.2">
      <c r="H19367" s="76"/>
    </row>
    <row r="19431" spans="49:137" x14ac:dyDescent="0.2">
      <c r="AW19431" s="76"/>
      <c r="EG19431" s="76"/>
    </row>
    <row r="19456" spans="8:8" x14ac:dyDescent="0.2">
      <c r="H19456" s="76"/>
    </row>
    <row r="19512" spans="49:137" x14ac:dyDescent="0.2">
      <c r="AW19512" s="76"/>
      <c r="EG19512" s="76"/>
    </row>
    <row r="19545" spans="8:8" x14ac:dyDescent="0.2">
      <c r="H19545" s="76"/>
    </row>
    <row r="19593" spans="49:137" x14ac:dyDescent="0.2">
      <c r="AW19593" s="76"/>
      <c r="EG19593" s="76"/>
    </row>
    <row r="19634" spans="8:8" x14ac:dyDescent="0.2">
      <c r="H19634" s="76"/>
    </row>
    <row r="19674" spans="49:137" x14ac:dyDescent="0.2">
      <c r="AW19674" s="76"/>
      <c r="EG19674" s="76"/>
    </row>
    <row r="19723" spans="8:8" x14ac:dyDescent="0.2">
      <c r="H19723" s="76"/>
    </row>
    <row r="19755" spans="49:137" x14ac:dyDescent="0.2">
      <c r="AW19755" s="76"/>
      <c r="EG19755" s="76"/>
    </row>
    <row r="19812" spans="8:8" x14ac:dyDescent="0.2">
      <c r="H19812" s="76"/>
    </row>
    <row r="19836" spans="49:137" x14ac:dyDescent="0.2">
      <c r="AW19836" s="76"/>
      <c r="EG19836" s="76"/>
    </row>
    <row r="19901" spans="8:8" x14ac:dyDescent="0.2">
      <c r="H19901" s="76"/>
    </row>
    <row r="19917" spans="49:137" x14ac:dyDescent="0.2">
      <c r="AW19917" s="76"/>
      <c r="EG19917" s="76"/>
    </row>
    <row r="19992" spans="8:137" x14ac:dyDescent="0.2">
      <c r="H19992" s="76"/>
    </row>
    <row r="19998" spans="8:137" x14ac:dyDescent="0.2">
      <c r="AW19998" s="76"/>
      <c r="EG19998" s="76"/>
    </row>
    <row r="20079" spans="49:137" x14ac:dyDescent="0.2">
      <c r="AW20079" s="76"/>
      <c r="EG20079" s="76"/>
    </row>
    <row r="20081" spans="8:8" x14ac:dyDescent="0.2">
      <c r="H20081" s="76"/>
    </row>
    <row r="20160" spans="49:137" x14ac:dyDescent="0.2">
      <c r="AW20160" s="76"/>
      <c r="EG20160" s="76"/>
    </row>
    <row r="20170" spans="8:8" x14ac:dyDescent="0.2">
      <c r="H20170" s="76"/>
    </row>
    <row r="20241" spans="49:137" x14ac:dyDescent="0.2">
      <c r="AW20241" s="76"/>
      <c r="EG20241" s="76"/>
    </row>
    <row r="20259" spans="8:8" x14ac:dyDescent="0.2">
      <c r="H20259" s="76"/>
    </row>
    <row r="20322" spans="49:137" x14ac:dyDescent="0.2">
      <c r="AW20322" s="76"/>
      <c r="EG20322" s="76"/>
    </row>
    <row r="20348" spans="8:8" x14ac:dyDescent="0.2">
      <c r="H20348" s="76"/>
    </row>
    <row r="20410" spans="49:137" x14ac:dyDescent="0.2">
      <c r="AW20410" s="76"/>
      <c r="EG20410" s="76"/>
    </row>
    <row r="20437" spans="8:8" x14ac:dyDescent="0.2">
      <c r="H20437" s="76"/>
    </row>
    <row r="20498" spans="49:137" x14ac:dyDescent="0.2">
      <c r="AW20498" s="76"/>
      <c r="EG20498" s="76"/>
    </row>
    <row r="20526" spans="8:8" x14ac:dyDescent="0.2">
      <c r="H20526" s="76"/>
    </row>
    <row r="20588" spans="49:137" x14ac:dyDescent="0.2">
      <c r="AW20588" s="76"/>
      <c r="EG20588" s="76"/>
    </row>
    <row r="20615" spans="8:8" x14ac:dyDescent="0.2">
      <c r="H20615" s="76"/>
    </row>
    <row r="20679" spans="49:137" x14ac:dyDescent="0.2">
      <c r="AW20679" s="76"/>
      <c r="EG20679" s="76"/>
    </row>
    <row r="20704" spans="8:8" x14ac:dyDescent="0.2">
      <c r="H20704" s="76"/>
    </row>
    <row r="20793" spans="8:8" x14ac:dyDescent="0.2">
      <c r="H20793" s="76"/>
    </row>
    <row r="20820" spans="49:137" x14ac:dyDescent="0.2">
      <c r="AW20820" s="76"/>
      <c r="EG20820" s="76"/>
    </row>
    <row r="20830" spans="49:137" x14ac:dyDescent="0.2">
      <c r="AW20830" s="76"/>
      <c r="EG20830" s="76"/>
    </row>
    <row r="20882" spans="8:8" x14ac:dyDescent="0.2">
      <c r="H20882" s="76"/>
    </row>
    <row r="20920" spans="49:137" x14ac:dyDescent="0.2">
      <c r="AW20920" s="76"/>
      <c r="EG20920" s="76"/>
    </row>
    <row r="20971" spans="8:8" x14ac:dyDescent="0.2">
      <c r="H20971" s="76"/>
    </row>
    <row r="21011" spans="49:137" x14ac:dyDescent="0.2">
      <c r="AW21011" s="76"/>
      <c r="EG21011" s="76"/>
    </row>
    <row r="21060" spans="8:8" x14ac:dyDescent="0.2">
      <c r="H21060" s="76"/>
    </row>
    <row r="21102" spans="49:137" x14ac:dyDescent="0.2">
      <c r="AW21102" s="76"/>
      <c r="EG21102" s="76"/>
    </row>
    <row r="21149" spans="8:8" x14ac:dyDescent="0.2">
      <c r="H21149" s="76"/>
    </row>
    <row r="21193" spans="49:137" x14ac:dyDescent="0.2">
      <c r="AW21193" s="76"/>
      <c r="EG21193" s="76"/>
    </row>
    <row r="21238" spans="8:8" x14ac:dyDescent="0.2">
      <c r="H21238" s="76"/>
    </row>
    <row r="21284" spans="49:137" x14ac:dyDescent="0.2">
      <c r="AW21284" s="76"/>
      <c r="EG21284" s="76"/>
    </row>
    <row r="21327" spans="8:8" x14ac:dyDescent="0.2">
      <c r="H21327" s="76"/>
    </row>
    <row r="21375" spans="49:137" x14ac:dyDescent="0.2">
      <c r="AW21375" s="76"/>
      <c r="EG21375" s="76"/>
    </row>
    <row r="21416" spans="8:8" x14ac:dyDescent="0.2">
      <c r="H21416" s="76"/>
    </row>
    <row r="21466" spans="49:137" x14ac:dyDescent="0.2">
      <c r="AW21466" s="76"/>
      <c r="EG21466" s="76"/>
    </row>
    <row r="21505" spans="8:8" x14ac:dyDescent="0.2">
      <c r="H21505" s="76"/>
    </row>
    <row r="21557" spans="49:137" x14ac:dyDescent="0.2">
      <c r="AW21557" s="76"/>
      <c r="EG21557" s="76"/>
    </row>
    <row r="21594" spans="8:8" x14ac:dyDescent="0.2">
      <c r="H21594" s="76"/>
    </row>
    <row r="21648" spans="49:137" x14ac:dyDescent="0.2">
      <c r="AW21648" s="76"/>
      <c r="EG21648" s="76"/>
    </row>
    <row r="21683" spans="8:8" x14ac:dyDescent="0.2">
      <c r="H21683" s="76"/>
    </row>
    <row r="21739" spans="49:137" x14ac:dyDescent="0.2">
      <c r="AW21739" s="76"/>
      <c r="EG21739" s="76"/>
    </row>
    <row r="21772" spans="8:8" x14ac:dyDescent="0.2">
      <c r="H21772" s="76"/>
    </row>
    <row r="21830" spans="49:137" x14ac:dyDescent="0.2">
      <c r="AW21830" s="76"/>
      <c r="EG21830" s="76"/>
    </row>
    <row r="21861" spans="8:8" x14ac:dyDescent="0.2">
      <c r="H21861" s="76"/>
    </row>
    <row r="21921" spans="49:137" x14ac:dyDescent="0.2">
      <c r="AW21921" s="76"/>
      <c r="EG21921" s="76"/>
    </row>
    <row r="21950" spans="8:8" x14ac:dyDescent="0.2">
      <c r="H21950" s="76"/>
    </row>
    <row r="22012" spans="49:137" x14ac:dyDescent="0.2">
      <c r="AW22012" s="76"/>
      <c r="EG22012" s="76"/>
    </row>
    <row r="22039" spans="8:8" x14ac:dyDescent="0.2">
      <c r="H22039" s="76"/>
    </row>
    <row r="22103" spans="49:137" x14ac:dyDescent="0.2">
      <c r="AW22103" s="76"/>
      <c r="EG22103" s="76"/>
    </row>
    <row r="22128" spans="8:8" x14ac:dyDescent="0.2">
      <c r="H22128" s="76"/>
    </row>
    <row r="22194" spans="49:137" x14ac:dyDescent="0.2">
      <c r="AW22194" s="76"/>
      <c r="EG22194" s="76"/>
    </row>
    <row r="22217" spans="8:8" x14ac:dyDescent="0.2">
      <c r="H22217" s="76"/>
    </row>
    <row r="22285" spans="49:137" x14ac:dyDescent="0.2">
      <c r="AW22285" s="76"/>
      <c r="EG22285" s="76"/>
    </row>
    <row r="22306" spans="8:8" x14ac:dyDescent="0.2">
      <c r="H22306" s="76"/>
    </row>
    <row r="22376" spans="49:137" x14ac:dyDescent="0.2">
      <c r="AW22376" s="76"/>
      <c r="EG22376" s="76"/>
    </row>
    <row r="22395" spans="8:8" x14ac:dyDescent="0.2">
      <c r="H22395" s="76"/>
    </row>
    <row r="22467" spans="49:137" x14ac:dyDescent="0.2">
      <c r="AW22467" s="76"/>
      <c r="EG22467" s="76"/>
    </row>
    <row r="22484" spans="8:8" x14ac:dyDescent="0.2">
      <c r="H22484" s="76"/>
    </row>
    <row r="22558" spans="49:137" x14ac:dyDescent="0.2">
      <c r="AW22558" s="76"/>
      <c r="EG22558" s="76"/>
    </row>
    <row r="22573" spans="8:8" x14ac:dyDescent="0.2">
      <c r="H22573" s="76"/>
    </row>
    <row r="22649" spans="49:137" x14ac:dyDescent="0.2">
      <c r="AW22649" s="76"/>
      <c r="EG22649" s="76"/>
    </row>
    <row r="22662" spans="8:8" x14ac:dyDescent="0.2">
      <c r="H22662" s="76"/>
    </row>
    <row r="22740" spans="8:137" x14ac:dyDescent="0.2">
      <c r="AW22740" s="76"/>
      <c r="EG22740" s="76"/>
    </row>
    <row r="22751" spans="8:137" x14ac:dyDescent="0.2">
      <c r="H22751" s="76"/>
    </row>
    <row r="22831" spans="49:137" x14ac:dyDescent="0.2">
      <c r="AW22831" s="76"/>
      <c r="EG22831" s="76"/>
    </row>
    <row r="22840" spans="8:8" x14ac:dyDescent="0.2">
      <c r="H22840" s="76"/>
    </row>
    <row r="22922" spans="49:137" x14ac:dyDescent="0.2">
      <c r="AW22922" s="76"/>
      <c r="EG22922" s="76"/>
    </row>
    <row r="22929" spans="8:8" x14ac:dyDescent="0.2">
      <c r="H22929" s="76"/>
    </row>
    <row r="23013" spans="8:137" x14ac:dyDescent="0.2">
      <c r="AW23013" s="76"/>
      <c r="EG23013" s="76"/>
    </row>
    <row r="23018" spans="8:137" x14ac:dyDescent="0.2">
      <c r="H23018" s="76"/>
    </row>
    <row r="23104" spans="49:137" x14ac:dyDescent="0.2">
      <c r="AW23104" s="76"/>
      <c r="EG23104" s="76"/>
    </row>
    <row r="23107" spans="8:8" x14ac:dyDescent="0.2">
      <c r="H23107" s="76"/>
    </row>
    <row r="23195" spans="8:137" x14ac:dyDescent="0.2">
      <c r="AW23195" s="76"/>
      <c r="EG23195" s="76"/>
    </row>
    <row r="23196" spans="8:137" x14ac:dyDescent="0.2">
      <c r="H23196" s="76"/>
    </row>
    <row r="23285" spans="8:137" x14ac:dyDescent="0.2">
      <c r="H23285" s="76"/>
    </row>
    <row r="23286" spans="8:137" x14ac:dyDescent="0.2">
      <c r="AW23286" s="76"/>
      <c r="EG23286" s="76"/>
    </row>
    <row r="23374" spans="8:8" x14ac:dyDescent="0.2">
      <c r="H23374" s="76"/>
    </row>
    <row r="23377" spans="49:137" x14ac:dyDescent="0.2">
      <c r="AW23377" s="76"/>
      <c r="EG23377" s="76"/>
    </row>
    <row r="23463" spans="8:137" x14ac:dyDescent="0.2">
      <c r="H23463" s="76"/>
    </row>
    <row r="23468" spans="8:137" x14ac:dyDescent="0.2">
      <c r="AW23468" s="76"/>
      <c r="EG23468" s="76"/>
    </row>
    <row r="23552" spans="8:8" x14ac:dyDescent="0.2">
      <c r="H23552" s="76"/>
    </row>
    <row r="23559" spans="49:137" x14ac:dyDescent="0.2">
      <c r="AW23559" s="76"/>
      <c r="EG23559" s="76"/>
    </row>
    <row r="23641" spans="8:8" x14ac:dyDescent="0.2">
      <c r="H23641" s="76"/>
    </row>
    <row r="23650" spans="49:137" x14ac:dyDescent="0.2">
      <c r="AW23650" s="76"/>
      <c r="EG23650" s="76"/>
    </row>
    <row r="23730" spans="8:137" x14ac:dyDescent="0.2">
      <c r="H23730" s="76"/>
    </row>
    <row r="23741" spans="8:137" x14ac:dyDescent="0.2">
      <c r="AW23741" s="76"/>
      <c r="EG23741" s="76"/>
    </row>
    <row r="23819" spans="8:8" x14ac:dyDescent="0.2">
      <c r="H23819" s="76"/>
    </row>
    <row r="23832" spans="49:137" x14ac:dyDescent="0.2">
      <c r="AW23832" s="76"/>
      <c r="EG23832" s="76"/>
    </row>
    <row r="23908" spans="8:8" x14ac:dyDescent="0.2">
      <c r="H23908" s="76"/>
    </row>
    <row r="23923" spans="49:137" x14ac:dyDescent="0.2">
      <c r="AW23923" s="76"/>
      <c r="EG23923" s="76"/>
    </row>
    <row r="23997" spans="8:8" x14ac:dyDescent="0.2">
      <c r="H23997" s="76"/>
    </row>
    <row r="24014" spans="49:137" x14ac:dyDescent="0.2">
      <c r="AW24014" s="76"/>
      <c r="EG24014" s="76"/>
    </row>
    <row r="24086" spans="8:8" x14ac:dyDescent="0.2">
      <c r="H24086" s="76"/>
    </row>
    <row r="24105" spans="49:137" x14ac:dyDescent="0.2">
      <c r="AW24105" s="76"/>
      <c r="EG24105" s="76"/>
    </row>
    <row r="24175" spans="8:8" x14ac:dyDescent="0.2">
      <c r="H24175" s="76"/>
    </row>
    <row r="24196" spans="49:137" x14ac:dyDescent="0.2">
      <c r="AW24196" s="76"/>
      <c r="EG24196" s="76"/>
    </row>
    <row r="24264" spans="8:8" x14ac:dyDescent="0.2">
      <c r="H24264" s="76"/>
    </row>
    <row r="24287" spans="49:137" x14ac:dyDescent="0.2">
      <c r="AW24287" s="76"/>
      <c r="EG24287" s="76"/>
    </row>
    <row r="24353" spans="8:8" x14ac:dyDescent="0.2">
      <c r="H24353" s="76"/>
    </row>
    <row r="24378" spans="49:137" x14ac:dyDescent="0.2">
      <c r="AW24378" s="76"/>
      <c r="EG24378" s="76"/>
    </row>
    <row r="24442" spans="8:8" x14ac:dyDescent="0.2">
      <c r="H24442" s="76"/>
    </row>
    <row r="24469" spans="49:137" x14ac:dyDescent="0.2">
      <c r="AW24469" s="76"/>
      <c r="EG24469" s="76"/>
    </row>
    <row r="24531" spans="8:8" x14ac:dyDescent="0.2">
      <c r="H24531" s="76"/>
    </row>
    <row r="24560" spans="49:137" x14ac:dyDescent="0.2">
      <c r="AW24560" s="76"/>
      <c r="EG24560" s="76"/>
    </row>
    <row r="24620" spans="8:8" x14ac:dyDescent="0.2">
      <c r="H24620" s="76"/>
    </row>
    <row r="24651" spans="49:137" x14ac:dyDescent="0.2">
      <c r="AW24651" s="76"/>
      <c r="EG24651" s="76"/>
    </row>
    <row r="24709" spans="8:8" x14ac:dyDescent="0.2">
      <c r="H24709" s="76"/>
    </row>
    <row r="24742" spans="49:137" x14ac:dyDescent="0.2">
      <c r="AW24742" s="76"/>
      <c r="EG24742" s="76"/>
    </row>
    <row r="24798" spans="8:8" x14ac:dyDescent="0.2">
      <c r="H24798" s="76"/>
    </row>
    <row r="24833" spans="49:137" x14ac:dyDescent="0.2">
      <c r="AW24833" s="76"/>
      <c r="EG24833" s="76"/>
    </row>
    <row r="24887" spans="8:8" x14ac:dyDescent="0.2">
      <c r="H24887" s="76"/>
    </row>
    <row r="24924" spans="49:137" x14ac:dyDescent="0.2">
      <c r="AW24924" s="76"/>
      <c r="EG24924" s="76"/>
    </row>
    <row r="24976" spans="8:8" x14ac:dyDescent="0.2">
      <c r="H24976" s="76"/>
    </row>
    <row r="25015" spans="49:137" x14ac:dyDescent="0.2">
      <c r="AW25015" s="76"/>
      <c r="EG25015" s="76"/>
    </row>
    <row r="25065" spans="8:8" x14ac:dyDescent="0.2">
      <c r="H25065" s="76"/>
    </row>
    <row r="25106" spans="49:137" x14ac:dyDescent="0.2">
      <c r="AW25106" s="76"/>
      <c r="EG25106" s="76"/>
    </row>
    <row r="25154" spans="8:8" x14ac:dyDescent="0.2">
      <c r="H25154" s="76"/>
    </row>
    <row r="25197" spans="49:137" x14ac:dyDescent="0.2">
      <c r="AW25197" s="76"/>
      <c r="EG25197" s="76"/>
    </row>
    <row r="25245" spans="8:8" x14ac:dyDescent="0.2">
      <c r="H25245" s="76"/>
    </row>
    <row r="25288" spans="49:137" x14ac:dyDescent="0.2">
      <c r="AW25288" s="76"/>
      <c r="EG25288" s="76"/>
    </row>
    <row r="25334" spans="8:8" x14ac:dyDescent="0.2">
      <c r="H25334" s="76"/>
    </row>
    <row r="25379" spans="49:137" x14ac:dyDescent="0.2">
      <c r="AW25379" s="76"/>
      <c r="EG25379" s="76"/>
    </row>
    <row r="25423" spans="8:8" x14ac:dyDescent="0.2">
      <c r="H25423" s="76"/>
    </row>
    <row r="25470" spans="49:137" x14ac:dyDescent="0.2">
      <c r="AW25470" s="76"/>
      <c r="EG25470" s="76"/>
    </row>
    <row r="25512" spans="8:8" x14ac:dyDescent="0.2">
      <c r="H25512" s="76"/>
    </row>
    <row r="25561" spans="49:137" x14ac:dyDescent="0.2">
      <c r="AW25561" s="76"/>
      <c r="EG25561" s="76"/>
    </row>
    <row r="25601" spans="8:8" x14ac:dyDescent="0.2">
      <c r="H25601" s="76"/>
    </row>
    <row r="25652" spans="49:137" x14ac:dyDescent="0.2">
      <c r="AW25652" s="76"/>
      <c r="EG25652" s="76"/>
    </row>
    <row r="25690" spans="8:8" x14ac:dyDescent="0.2">
      <c r="H25690" s="76"/>
    </row>
    <row r="25743" spans="49:137" x14ac:dyDescent="0.2">
      <c r="AW25743" s="76"/>
      <c r="EG25743" s="76"/>
    </row>
    <row r="25779" spans="8:8" x14ac:dyDescent="0.2">
      <c r="H25779" s="76"/>
    </row>
    <row r="25832" spans="49:137" x14ac:dyDescent="0.2">
      <c r="AW25832" s="76"/>
      <c r="EG25832" s="76"/>
    </row>
    <row r="25868" spans="8:8" x14ac:dyDescent="0.2">
      <c r="H25868" s="76"/>
    </row>
    <row r="25921" spans="49:137" x14ac:dyDescent="0.2">
      <c r="AW25921" s="76"/>
      <c r="EG25921" s="76"/>
    </row>
    <row r="25957" spans="8:8" x14ac:dyDescent="0.2">
      <c r="H25957" s="76"/>
    </row>
    <row r="26010" spans="49:137" x14ac:dyDescent="0.2">
      <c r="AW26010" s="76"/>
      <c r="EG26010" s="76"/>
    </row>
    <row r="26046" spans="8:8" x14ac:dyDescent="0.2">
      <c r="H26046" s="76"/>
    </row>
    <row r="26101" spans="49:137" x14ac:dyDescent="0.2">
      <c r="AW26101" s="76"/>
      <c r="EG26101" s="76"/>
    </row>
    <row r="26135" spans="8:8" x14ac:dyDescent="0.2">
      <c r="H26135" s="76"/>
    </row>
    <row r="26190" spans="49:137" x14ac:dyDescent="0.2">
      <c r="AW26190" s="76"/>
      <c r="EG26190" s="76"/>
    </row>
    <row r="26224" spans="8:8" x14ac:dyDescent="0.2">
      <c r="H26224" s="76"/>
    </row>
    <row r="26279" spans="49:137" x14ac:dyDescent="0.2">
      <c r="AW26279" s="76"/>
      <c r="EG26279" s="76"/>
    </row>
    <row r="26313" spans="8:8" x14ac:dyDescent="0.2">
      <c r="H26313" s="76"/>
    </row>
    <row r="26364" spans="49:137" x14ac:dyDescent="0.2">
      <c r="AW26364" s="76"/>
      <c r="EG26364" s="76"/>
    </row>
    <row r="26402" spans="8:8" x14ac:dyDescent="0.2">
      <c r="H26402" s="76"/>
    </row>
    <row r="26455" spans="49:137" x14ac:dyDescent="0.2">
      <c r="AW26455" s="76"/>
      <c r="EG26455" s="76"/>
    </row>
    <row r="26491" spans="8:8" x14ac:dyDescent="0.2">
      <c r="H26491" s="76"/>
    </row>
    <row r="26544" spans="49:137" x14ac:dyDescent="0.2">
      <c r="AW26544" s="76"/>
      <c r="EG26544" s="76"/>
    </row>
    <row r="26580" spans="8:8" x14ac:dyDescent="0.2">
      <c r="H26580" s="76"/>
    </row>
    <row r="26633" spans="49:137" x14ac:dyDescent="0.2">
      <c r="AW26633" s="76"/>
      <c r="EG26633" s="76"/>
    </row>
    <row r="26669" spans="8:8" x14ac:dyDescent="0.2">
      <c r="H26669" s="76"/>
    </row>
    <row r="26718" spans="49:137" x14ac:dyDescent="0.2">
      <c r="AW26718" s="76"/>
      <c r="EG26718" s="76"/>
    </row>
    <row r="26758" spans="8:8" x14ac:dyDescent="0.2">
      <c r="H26758" s="76"/>
    </row>
    <row r="26809" spans="49:137" x14ac:dyDescent="0.2">
      <c r="AW26809" s="76"/>
      <c r="EG26809" s="76"/>
    </row>
    <row r="26847" spans="8:8" x14ac:dyDescent="0.2">
      <c r="H26847" s="76"/>
    </row>
    <row r="26898" spans="49:137" x14ac:dyDescent="0.2">
      <c r="AW26898" s="76"/>
      <c r="EG26898" s="76"/>
    </row>
    <row r="26936" spans="8:8" x14ac:dyDescent="0.2">
      <c r="H26936" s="76"/>
    </row>
    <row r="26987" spans="49:137" x14ac:dyDescent="0.2">
      <c r="AW26987" s="76"/>
      <c r="EG26987" s="76"/>
    </row>
    <row r="27025" spans="8:8" x14ac:dyDescent="0.2">
      <c r="H27025" s="76"/>
    </row>
    <row r="27076" spans="49:137" x14ac:dyDescent="0.2">
      <c r="AW27076" s="76"/>
      <c r="EG27076" s="76"/>
    </row>
    <row r="27114" spans="8:8" x14ac:dyDescent="0.2">
      <c r="H27114" s="76"/>
    </row>
    <row r="27165" spans="49:137" x14ac:dyDescent="0.2">
      <c r="AW27165" s="76"/>
      <c r="EG27165" s="76"/>
    </row>
    <row r="27203" spans="8:8" x14ac:dyDescent="0.2">
      <c r="H27203" s="76"/>
    </row>
    <row r="27254" spans="49:137" x14ac:dyDescent="0.2">
      <c r="AW27254" s="76"/>
      <c r="EG27254" s="76"/>
    </row>
    <row r="27292" spans="8:8" x14ac:dyDescent="0.2">
      <c r="H27292" s="76"/>
    </row>
    <row r="27343" spans="49:137" x14ac:dyDescent="0.2">
      <c r="AW27343" s="76"/>
      <c r="EG27343" s="76"/>
    </row>
    <row r="27381" spans="8:8" x14ac:dyDescent="0.2">
      <c r="H27381" s="76"/>
    </row>
    <row r="27432" spans="49:137" x14ac:dyDescent="0.2">
      <c r="AW27432" s="76"/>
      <c r="EG27432" s="76"/>
    </row>
    <row r="27470" spans="8:8" x14ac:dyDescent="0.2">
      <c r="H27470" s="76"/>
    </row>
    <row r="27518" spans="49:137" x14ac:dyDescent="0.2">
      <c r="AW27518" s="76"/>
      <c r="EG27518" s="76"/>
    </row>
    <row r="27559" spans="8:8" x14ac:dyDescent="0.2">
      <c r="H27559" s="76"/>
    </row>
    <row r="27607" spans="49:137" x14ac:dyDescent="0.2">
      <c r="AW27607" s="76"/>
      <c r="EG27607" s="76"/>
    </row>
    <row r="27648" spans="8:8" x14ac:dyDescent="0.2">
      <c r="H27648" s="76"/>
    </row>
    <row r="27696" spans="49:137" x14ac:dyDescent="0.2">
      <c r="AW27696" s="76"/>
      <c r="EG27696" s="76"/>
    </row>
    <row r="27737" spans="8:8" x14ac:dyDescent="0.2">
      <c r="H27737" s="76"/>
    </row>
    <row r="27785" spans="49:137" x14ac:dyDescent="0.2">
      <c r="AW27785" s="76"/>
      <c r="EG27785" s="76"/>
    </row>
    <row r="27828" spans="8:8" x14ac:dyDescent="0.2">
      <c r="H27828" s="76"/>
    </row>
    <row r="27874" spans="49:137" x14ac:dyDescent="0.2">
      <c r="AW27874" s="76"/>
      <c r="EG27874" s="76"/>
    </row>
    <row r="27902" spans="8:8" x14ac:dyDescent="0.2">
      <c r="H27902" s="76"/>
    </row>
    <row r="27910" spans="5:11" x14ac:dyDescent="0.2">
      <c r="E27910" s="77"/>
      <c r="F27910" s="77"/>
      <c r="G27910" s="77"/>
      <c r="J27910" s="77"/>
      <c r="K27910" s="77"/>
    </row>
    <row r="27911" spans="5:11" x14ac:dyDescent="0.2">
      <c r="E27911" s="77"/>
      <c r="F27911" s="77"/>
      <c r="G27911" s="77"/>
      <c r="J27911" s="77"/>
      <c r="K27911" s="77"/>
    </row>
    <row r="27912" spans="5:11" x14ac:dyDescent="0.2">
      <c r="E27912" s="77"/>
      <c r="F27912" s="77"/>
      <c r="G27912" s="77"/>
      <c r="J27912" s="77"/>
      <c r="K27912" s="77"/>
    </row>
    <row r="27913" spans="5:11" x14ac:dyDescent="0.2">
      <c r="E27913" s="77"/>
      <c r="F27913" s="77"/>
      <c r="G27913" s="77"/>
      <c r="J27913" s="77"/>
      <c r="K27913" s="77"/>
    </row>
    <row r="27914" spans="5:11" x14ac:dyDescent="0.2">
      <c r="E27914" s="77"/>
      <c r="F27914" s="77"/>
      <c r="G27914" s="77"/>
      <c r="J27914" s="77"/>
      <c r="K27914" s="77"/>
    </row>
    <row r="27915" spans="5:11" x14ac:dyDescent="0.2">
      <c r="E27915" s="77"/>
      <c r="F27915" s="77"/>
      <c r="G27915" s="77"/>
      <c r="J27915" s="77"/>
      <c r="K27915" s="77"/>
    </row>
    <row r="27916" spans="5:11" x14ac:dyDescent="0.2">
      <c r="E27916" s="77"/>
      <c r="F27916" s="77"/>
      <c r="G27916" s="77"/>
      <c r="J27916" s="77"/>
      <c r="K27916" s="77"/>
    </row>
    <row r="27917" spans="5:11" x14ac:dyDescent="0.2">
      <c r="E27917" s="77"/>
      <c r="F27917" s="77"/>
      <c r="G27917" s="77"/>
      <c r="J27917" s="77"/>
      <c r="K27917" s="77"/>
    </row>
    <row r="27918" spans="5:11" x14ac:dyDescent="0.2">
      <c r="E27918" s="77"/>
      <c r="F27918" s="77"/>
      <c r="G27918" s="77"/>
      <c r="J27918" s="77"/>
      <c r="K27918" s="77"/>
    </row>
    <row r="27919" spans="5:11" x14ac:dyDescent="0.2">
      <c r="E27919" s="77"/>
      <c r="F27919" s="77"/>
      <c r="G27919" s="77"/>
      <c r="J27919" s="77"/>
      <c r="K27919" s="77"/>
    </row>
    <row r="27920" spans="5:11" x14ac:dyDescent="0.2">
      <c r="E27920" s="77"/>
      <c r="F27920" s="77"/>
      <c r="G27920" s="77"/>
      <c r="J27920" s="77"/>
      <c r="K27920" s="77"/>
    </row>
    <row r="27921" spans="5:11" x14ac:dyDescent="0.2">
      <c r="E27921" s="77"/>
      <c r="F27921" s="77"/>
      <c r="G27921" s="77"/>
      <c r="J27921" s="77"/>
      <c r="K27921" s="77"/>
    </row>
    <row r="27922" spans="5:11" x14ac:dyDescent="0.2">
      <c r="E27922" s="77"/>
      <c r="F27922" s="77"/>
      <c r="G27922" s="77"/>
      <c r="J27922" s="77"/>
      <c r="K27922" s="77"/>
    </row>
    <row r="27923" spans="5:11" x14ac:dyDescent="0.2">
      <c r="E27923" s="77"/>
      <c r="F27923" s="77"/>
      <c r="G27923" s="77"/>
      <c r="J27923" s="77"/>
      <c r="K27923" s="77"/>
    </row>
    <row r="27924" spans="5:11" x14ac:dyDescent="0.2">
      <c r="E27924" s="77"/>
      <c r="F27924" s="77"/>
      <c r="G27924" s="77"/>
      <c r="J27924" s="77"/>
      <c r="K27924" s="77"/>
    </row>
    <row r="27925" spans="5:11" x14ac:dyDescent="0.2">
      <c r="E27925" s="77"/>
      <c r="F27925" s="77"/>
      <c r="G27925" s="77"/>
      <c r="J27925" s="77"/>
      <c r="K27925" s="77"/>
    </row>
    <row r="27926" spans="5:11" x14ac:dyDescent="0.2">
      <c r="E27926" s="77"/>
      <c r="F27926" s="77"/>
      <c r="G27926" s="77"/>
      <c r="J27926" s="77"/>
      <c r="K27926" s="77"/>
    </row>
    <row r="27927" spans="5:11" x14ac:dyDescent="0.2">
      <c r="E27927" s="77"/>
      <c r="F27927" s="77"/>
      <c r="G27927" s="77"/>
      <c r="J27927" s="77"/>
      <c r="K27927" s="77"/>
    </row>
    <row r="27928" spans="5:11" x14ac:dyDescent="0.2">
      <c r="E27928" s="77"/>
      <c r="F27928" s="77"/>
      <c r="G27928" s="77"/>
      <c r="J27928" s="77"/>
      <c r="K27928" s="77"/>
    </row>
    <row r="27929" spans="5:11" x14ac:dyDescent="0.2">
      <c r="E27929" s="77"/>
      <c r="F27929" s="77"/>
      <c r="G27929" s="77"/>
      <c r="J27929" s="77"/>
      <c r="K27929" s="77"/>
    </row>
    <row r="27930" spans="5:11" x14ac:dyDescent="0.2">
      <c r="E27930" s="77"/>
      <c r="F27930" s="77"/>
      <c r="G27930" s="77"/>
      <c r="J27930" s="77"/>
      <c r="K27930" s="77"/>
    </row>
    <row r="27931" spans="5:11" x14ac:dyDescent="0.2">
      <c r="E27931" s="77"/>
      <c r="F27931" s="77"/>
      <c r="G27931" s="77"/>
      <c r="J27931" s="77"/>
      <c r="K27931" s="77"/>
    </row>
    <row r="27932" spans="5:11" x14ac:dyDescent="0.2">
      <c r="E27932" s="77"/>
      <c r="F27932" s="77"/>
      <c r="G27932" s="77"/>
      <c r="J27932" s="77"/>
      <c r="K27932" s="77"/>
    </row>
    <row r="27933" spans="5:11" x14ac:dyDescent="0.2">
      <c r="E27933" s="77"/>
      <c r="F27933" s="77"/>
      <c r="G27933" s="77"/>
      <c r="J27933" s="77"/>
      <c r="K27933" s="77"/>
    </row>
    <row r="27934" spans="5:11" x14ac:dyDescent="0.2">
      <c r="E27934" s="77"/>
      <c r="F27934" s="77"/>
      <c r="G27934" s="77"/>
      <c r="J27934" s="77"/>
      <c r="K27934" s="77"/>
    </row>
    <row r="27935" spans="5:11" x14ac:dyDescent="0.2">
      <c r="E27935" s="77"/>
      <c r="F27935" s="77"/>
      <c r="G27935" s="77"/>
      <c r="J27935" s="77"/>
      <c r="K27935" s="77"/>
    </row>
    <row r="27936" spans="5:11" x14ac:dyDescent="0.2">
      <c r="E27936" s="77"/>
      <c r="F27936" s="77"/>
      <c r="G27936" s="77"/>
      <c r="J27936" s="77"/>
      <c r="K27936" s="77"/>
    </row>
    <row r="27937" spans="5:11" x14ac:dyDescent="0.2">
      <c r="E27937" s="77"/>
      <c r="F27937" s="77"/>
      <c r="G27937" s="77"/>
      <c r="J27937" s="77"/>
      <c r="K27937" s="77"/>
    </row>
    <row r="27938" spans="5:11" x14ac:dyDescent="0.2">
      <c r="E27938" s="77"/>
      <c r="F27938" s="77"/>
      <c r="G27938" s="77"/>
      <c r="J27938" s="77"/>
      <c r="K27938" s="77"/>
    </row>
    <row r="27939" spans="5:11" x14ac:dyDescent="0.2">
      <c r="E27939" s="77"/>
      <c r="F27939" s="77"/>
      <c r="G27939" s="77"/>
      <c r="J27939" s="77"/>
      <c r="K27939" s="77"/>
    </row>
    <row r="27940" spans="5:11" x14ac:dyDescent="0.2">
      <c r="E27940" s="77"/>
      <c r="F27940" s="77"/>
      <c r="G27940" s="77"/>
      <c r="J27940" s="77"/>
      <c r="K27940" s="77"/>
    </row>
    <row r="27941" spans="5:11" x14ac:dyDescent="0.2">
      <c r="E27941" s="77"/>
      <c r="F27941" s="77"/>
      <c r="G27941" s="77"/>
      <c r="J27941" s="77"/>
      <c r="K27941" s="77"/>
    </row>
    <row r="27942" spans="5:11" x14ac:dyDescent="0.2">
      <c r="E27942" s="77"/>
      <c r="F27942" s="77"/>
      <c r="G27942" s="77"/>
      <c r="J27942" s="77"/>
      <c r="K27942" s="77"/>
    </row>
    <row r="27943" spans="5:11" x14ac:dyDescent="0.2">
      <c r="E27943" s="77"/>
      <c r="F27943" s="77"/>
      <c r="G27943" s="77"/>
      <c r="J27943" s="77"/>
      <c r="K27943" s="77"/>
    </row>
    <row r="27944" spans="5:11" x14ac:dyDescent="0.2">
      <c r="E27944" s="77"/>
      <c r="F27944" s="77"/>
      <c r="G27944" s="77"/>
      <c r="J27944" s="77"/>
      <c r="K27944" s="77"/>
    </row>
    <row r="27945" spans="5:11" x14ac:dyDescent="0.2">
      <c r="E27945" s="77"/>
      <c r="F27945" s="77"/>
      <c r="G27945" s="77"/>
      <c r="J27945" s="77"/>
      <c r="K27945" s="77"/>
    </row>
    <row r="27946" spans="5:11" x14ac:dyDescent="0.2">
      <c r="E27946" s="77"/>
      <c r="F27946" s="77"/>
      <c r="G27946" s="77"/>
      <c r="J27946" s="77"/>
      <c r="K27946" s="77"/>
    </row>
    <row r="27947" spans="5:11" x14ac:dyDescent="0.2">
      <c r="E27947" s="77"/>
      <c r="F27947" s="77"/>
      <c r="G27947" s="77"/>
      <c r="J27947" s="77"/>
      <c r="K27947" s="77"/>
    </row>
    <row r="27952" spans="5:11" x14ac:dyDescent="0.2">
      <c r="H27952" s="76"/>
    </row>
    <row r="27963" spans="49:137" x14ac:dyDescent="0.2">
      <c r="AW27963" s="76"/>
      <c r="EG27963" s="76"/>
    </row>
    <row r="28042" spans="8:8" x14ac:dyDescent="0.2">
      <c r="H28042" s="76"/>
    </row>
    <row r="28052" spans="49:137" x14ac:dyDescent="0.2">
      <c r="AW28052" s="76"/>
      <c r="EG28052" s="76"/>
    </row>
    <row r="28133" spans="8:137" x14ac:dyDescent="0.2">
      <c r="H28133" s="76"/>
    </row>
    <row r="28141" spans="8:137" x14ac:dyDescent="0.2">
      <c r="AW28141" s="76"/>
      <c r="EG28141" s="76"/>
    </row>
    <row r="28224" spans="8:8" x14ac:dyDescent="0.2">
      <c r="H28224" s="76"/>
    </row>
    <row r="28232" spans="49:137" x14ac:dyDescent="0.2">
      <c r="AW28232" s="76"/>
      <c r="EG28232" s="76"/>
    </row>
    <row r="28315" spans="8:8" x14ac:dyDescent="0.2">
      <c r="H28315" s="76"/>
    </row>
    <row r="28321" spans="49:137" x14ac:dyDescent="0.2">
      <c r="AW28321" s="76"/>
      <c r="EG28321" s="76"/>
    </row>
    <row r="28406" spans="8:137" x14ac:dyDescent="0.2">
      <c r="H28406" s="76"/>
    </row>
    <row r="28410" spans="8:137" x14ac:dyDescent="0.2">
      <c r="AW28410" s="76"/>
      <c r="EG28410" s="76"/>
    </row>
    <row r="28497" spans="8:137" x14ac:dyDescent="0.2">
      <c r="H28497" s="76"/>
    </row>
    <row r="28499" spans="8:137" x14ac:dyDescent="0.2">
      <c r="AW28499" s="76"/>
      <c r="EG28499" s="76"/>
    </row>
    <row r="28588" spans="8:137" x14ac:dyDescent="0.2">
      <c r="H28588" s="76"/>
      <c r="AW28588" s="76"/>
      <c r="EG28588" s="76"/>
    </row>
    <row r="28677" spans="8:137" x14ac:dyDescent="0.2">
      <c r="AW28677" s="76"/>
      <c r="EG28677" s="76"/>
    </row>
    <row r="28679" spans="8:137" x14ac:dyDescent="0.2">
      <c r="H28679" s="76"/>
    </row>
    <row r="28766" spans="49:137" x14ac:dyDescent="0.2">
      <c r="AW28766" s="76"/>
      <c r="EG28766" s="76"/>
    </row>
    <row r="28770" spans="8:8" x14ac:dyDescent="0.2">
      <c r="H28770" s="76"/>
    </row>
    <row r="28857" spans="8:137" x14ac:dyDescent="0.2">
      <c r="AW28857" s="76"/>
      <c r="EG28857" s="76"/>
    </row>
    <row r="28861" spans="8:137" x14ac:dyDescent="0.2">
      <c r="H28861" s="76"/>
    </row>
    <row r="28946" spans="8:137" x14ac:dyDescent="0.2">
      <c r="AW28946" s="76"/>
      <c r="EG28946" s="76"/>
    </row>
    <row r="28952" spans="8:137" x14ac:dyDescent="0.2">
      <c r="H28952" s="76"/>
    </row>
    <row r="29035" spans="49:137" x14ac:dyDescent="0.2">
      <c r="AW29035" s="76"/>
      <c r="EG29035" s="76"/>
    </row>
    <row r="29043" spans="8:8" x14ac:dyDescent="0.2">
      <c r="H29043" s="76"/>
    </row>
    <row r="29124" spans="8:137" x14ac:dyDescent="0.2">
      <c r="AW29124" s="76"/>
      <c r="EG29124" s="76"/>
    </row>
    <row r="29134" spans="8:137" x14ac:dyDescent="0.2">
      <c r="H29134" s="76"/>
    </row>
    <row r="29213" spans="49:137" x14ac:dyDescent="0.2">
      <c r="AW29213" s="76"/>
      <c r="EG29213" s="76"/>
    </row>
    <row r="29225" spans="8:8" x14ac:dyDescent="0.2">
      <c r="H29225" s="76"/>
    </row>
    <row r="29302" spans="49:137" x14ac:dyDescent="0.2">
      <c r="AW29302" s="76"/>
      <c r="EG29302" s="76"/>
    </row>
    <row r="29316" spans="8:8" x14ac:dyDescent="0.2">
      <c r="H29316" s="76"/>
    </row>
    <row r="29391" spans="49:137" x14ac:dyDescent="0.2">
      <c r="AW29391" s="76"/>
      <c r="EG29391" s="76"/>
    </row>
    <row r="29407" spans="8:8" x14ac:dyDescent="0.2">
      <c r="H29407" s="76"/>
    </row>
    <row r="29482" spans="49:137" x14ac:dyDescent="0.2">
      <c r="AW29482" s="76"/>
      <c r="EG29482" s="76"/>
    </row>
    <row r="29498" spans="8:8" x14ac:dyDescent="0.2">
      <c r="H29498" s="76"/>
    </row>
    <row r="29571" spans="49:137" x14ac:dyDescent="0.2">
      <c r="AW29571" s="76"/>
      <c r="EG29571" s="76"/>
    </row>
    <row r="29589" spans="8:8" x14ac:dyDescent="0.2">
      <c r="H29589" s="76"/>
    </row>
    <row r="29660" spans="49:137" x14ac:dyDescent="0.2">
      <c r="AW29660" s="76"/>
      <c r="EG29660" s="76"/>
    </row>
    <row r="29680" spans="8:8" x14ac:dyDescent="0.2">
      <c r="H29680" s="76"/>
    </row>
    <row r="29749" spans="49:137" x14ac:dyDescent="0.2">
      <c r="AW29749" s="76"/>
      <c r="EG29749" s="76"/>
    </row>
    <row r="29771" spans="8:8" x14ac:dyDescent="0.2">
      <c r="H29771" s="76"/>
    </row>
    <row r="29838" spans="49:137" x14ac:dyDescent="0.2">
      <c r="AW29838" s="76"/>
      <c r="EG29838" s="76"/>
    </row>
    <row r="29862" spans="8:8" x14ac:dyDescent="0.2">
      <c r="H29862" s="76"/>
    </row>
    <row r="29927" spans="49:137" x14ac:dyDescent="0.2">
      <c r="AW29927" s="76"/>
      <c r="EG29927" s="76"/>
    </row>
    <row r="29953" spans="8:8" x14ac:dyDescent="0.2">
      <c r="H29953" s="76"/>
    </row>
    <row r="30016" spans="49:137" x14ac:dyDescent="0.2">
      <c r="AW30016" s="76"/>
      <c r="EG30016" s="76"/>
    </row>
    <row r="30044" spans="8:8" x14ac:dyDescent="0.2">
      <c r="H30044" s="76"/>
    </row>
    <row r="30107" spans="49:137" x14ac:dyDescent="0.2">
      <c r="AW30107" s="76"/>
      <c r="EG30107" s="76"/>
    </row>
    <row r="30135" spans="8:8" x14ac:dyDescent="0.2">
      <c r="H30135" s="76"/>
    </row>
    <row r="30196" spans="49:137" x14ac:dyDescent="0.2">
      <c r="AW30196" s="76"/>
      <c r="EG30196" s="76"/>
    </row>
    <row r="30226" spans="8:8" x14ac:dyDescent="0.2">
      <c r="H30226" s="76"/>
    </row>
    <row r="30285" spans="49:137" x14ac:dyDescent="0.2">
      <c r="AW30285" s="76"/>
      <c r="EG30285" s="76"/>
    </row>
    <row r="30317" spans="8:8" x14ac:dyDescent="0.2">
      <c r="H30317" s="76"/>
    </row>
    <row r="30374" spans="49:137" x14ac:dyDescent="0.2">
      <c r="AW30374" s="76"/>
      <c r="EG30374" s="76"/>
    </row>
    <row r="30408" spans="8:8" x14ac:dyDescent="0.2">
      <c r="H30408" s="76"/>
    </row>
    <row r="30463" spans="49:137" x14ac:dyDescent="0.2">
      <c r="AW30463" s="76"/>
      <c r="EG30463" s="76"/>
    </row>
    <row r="30499" spans="8:8" x14ac:dyDescent="0.2">
      <c r="H30499" s="76"/>
    </row>
    <row r="30552" spans="49:137" x14ac:dyDescent="0.2">
      <c r="AW30552" s="76"/>
      <c r="EG30552" s="76"/>
    </row>
    <row r="30590" spans="8:8" x14ac:dyDescent="0.2">
      <c r="H30590" s="76"/>
    </row>
    <row r="30643" spans="49:137" x14ac:dyDescent="0.2">
      <c r="AW30643" s="76"/>
      <c r="EG30643" s="76"/>
    </row>
    <row r="30681" spans="8:8" x14ac:dyDescent="0.2">
      <c r="H30681" s="76"/>
    </row>
    <row r="30732" spans="49:137" x14ac:dyDescent="0.2">
      <c r="AW30732" s="76"/>
      <c r="EG30732" s="76"/>
    </row>
    <row r="30772" spans="8:8" x14ac:dyDescent="0.2">
      <c r="H30772" s="76"/>
    </row>
    <row r="30821" spans="49:137" x14ac:dyDescent="0.2">
      <c r="AW30821" s="76"/>
      <c r="EG30821" s="76"/>
    </row>
    <row r="30863" spans="8:8" x14ac:dyDescent="0.2">
      <c r="H30863" s="76"/>
    </row>
    <row r="30910" spans="49:137" x14ac:dyDescent="0.2">
      <c r="AW30910" s="76"/>
      <c r="EG30910" s="76"/>
    </row>
    <row r="30954" spans="8:8" x14ac:dyDescent="0.2">
      <c r="H30954" s="76"/>
    </row>
    <row r="30999" spans="49:137" x14ac:dyDescent="0.2">
      <c r="AW30999" s="76"/>
      <c r="EG30999" s="76"/>
    </row>
    <row r="31045" spans="8:8" x14ac:dyDescent="0.2">
      <c r="H31045" s="76"/>
    </row>
    <row r="31090" spans="49:137" x14ac:dyDescent="0.2">
      <c r="AW31090" s="76"/>
      <c r="EG31090" s="76"/>
    </row>
    <row r="31136" spans="8:8" x14ac:dyDescent="0.2">
      <c r="H31136" s="76"/>
    </row>
    <row r="31179" spans="49:137" x14ac:dyDescent="0.2">
      <c r="AW31179" s="76"/>
      <c r="EG31179" s="76"/>
    </row>
    <row r="31227" spans="8:8" x14ac:dyDescent="0.2">
      <c r="H31227" s="76"/>
    </row>
    <row r="31268" spans="49:137" x14ac:dyDescent="0.2">
      <c r="AW31268" s="76"/>
      <c r="EG31268" s="76"/>
    </row>
    <row r="31318" spans="8:8" x14ac:dyDescent="0.2">
      <c r="H31318" s="76"/>
    </row>
    <row r="31359" spans="49:137" x14ac:dyDescent="0.2">
      <c r="AW31359" s="76"/>
      <c r="EG31359" s="76"/>
    </row>
    <row r="31409" spans="8:8" x14ac:dyDescent="0.2">
      <c r="H31409" s="76"/>
    </row>
    <row r="31448" spans="49:137" x14ac:dyDescent="0.2">
      <c r="AW31448" s="76"/>
      <c r="EG31448" s="76"/>
    </row>
    <row r="31500" spans="8:8" x14ac:dyDescent="0.2">
      <c r="H31500" s="76"/>
    </row>
    <row r="31537" spans="49:137" x14ac:dyDescent="0.2">
      <c r="AW31537" s="76"/>
      <c r="EG31537" s="76"/>
    </row>
    <row r="31591" spans="8:8" x14ac:dyDescent="0.2">
      <c r="H31591" s="76"/>
    </row>
    <row r="31626" spans="49:137" x14ac:dyDescent="0.2">
      <c r="AW31626" s="76"/>
      <c r="EG31626" s="76"/>
    </row>
    <row r="31682" spans="8:8" x14ac:dyDescent="0.2">
      <c r="H31682" s="76"/>
    </row>
    <row r="31715" spans="49:137" x14ac:dyDescent="0.2">
      <c r="AW31715" s="76"/>
      <c r="EG31715" s="76"/>
    </row>
    <row r="31773" spans="8:8" x14ac:dyDescent="0.2">
      <c r="H31773" s="76"/>
    </row>
    <row r="31804" spans="49:137" x14ac:dyDescent="0.2">
      <c r="AW31804" s="76"/>
      <c r="EG31804" s="76"/>
    </row>
    <row r="31864" spans="8:8" x14ac:dyDescent="0.2">
      <c r="H31864" s="76"/>
    </row>
    <row r="31893" spans="49:137" x14ac:dyDescent="0.2">
      <c r="AW31893" s="76"/>
      <c r="EG31893" s="76"/>
    </row>
    <row r="31955" spans="8:8" x14ac:dyDescent="0.2">
      <c r="H31955" s="76"/>
    </row>
    <row r="31984" spans="49:137" x14ac:dyDescent="0.2">
      <c r="AW31984" s="76"/>
      <c r="EG31984" s="76"/>
    </row>
    <row r="32046" spans="8:8" x14ac:dyDescent="0.2">
      <c r="H32046" s="76"/>
    </row>
    <row r="32073" spans="49:137" x14ac:dyDescent="0.2">
      <c r="AW32073" s="76"/>
      <c r="EG32073" s="76"/>
    </row>
    <row r="32137" spans="8:8" x14ac:dyDescent="0.2">
      <c r="H32137" s="76"/>
    </row>
    <row r="32162" spans="49:137" x14ac:dyDescent="0.2">
      <c r="AW32162" s="76"/>
      <c r="EG32162" s="76"/>
    </row>
    <row r="32228" spans="8:8" x14ac:dyDescent="0.2">
      <c r="H32228" s="76"/>
    </row>
    <row r="32251" spans="49:137" x14ac:dyDescent="0.2">
      <c r="AW32251" s="76"/>
      <c r="EG32251" s="76"/>
    </row>
    <row r="32319" spans="8:8" x14ac:dyDescent="0.2">
      <c r="H32319" s="76"/>
    </row>
    <row r="32340" spans="49:137" x14ac:dyDescent="0.2">
      <c r="AW32340" s="76"/>
      <c r="EG32340" s="76"/>
    </row>
    <row r="32410" spans="8:8" x14ac:dyDescent="0.2">
      <c r="H32410" s="76"/>
    </row>
    <row r="32429" spans="49:137" x14ac:dyDescent="0.2">
      <c r="AW32429" s="76"/>
      <c r="EG32429" s="76"/>
    </row>
    <row r="32501" spans="8:8" x14ac:dyDescent="0.2">
      <c r="H32501" s="76"/>
    </row>
    <row r="32518" spans="49:137" x14ac:dyDescent="0.2">
      <c r="AW32518" s="76"/>
      <c r="EG32518" s="76"/>
    </row>
    <row r="32592" spans="8:8" x14ac:dyDescent="0.2">
      <c r="H32592" s="76"/>
    </row>
    <row r="32609" spans="49:137" x14ac:dyDescent="0.2">
      <c r="AW32609" s="76"/>
      <c r="EG32609" s="76"/>
    </row>
    <row r="32683" spans="8:8" x14ac:dyDescent="0.2">
      <c r="H32683" s="76"/>
    </row>
    <row r="32698" spans="49:137" x14ac:dyDescent="0.2">
      <c r="AW32698" s="76"/>
      <c r="EG32698" s="76"/>
    </row>
    <row r="32774" spans="8:8" x14ac:dyDescent="0.2">
      <c r="H32774" s="76"/>
    </row>
    <row r="32787" spans="49:137" x14ac:dyDescent="0.2">
      <c r="AW32787" s="76"/>
      <c r="EG32787" s="76"/>
    </row>
    <row r="32865" spans="8:137" x14ac:dyDescent="0.2">
      <c r="H32865" s="76"/>
    </row>
    <row r="32876" spans="8:137" x14ac:dyDescent="0.2">
      <c r="AW32876" s="76"/>
      <c r="EG32876" s="76"/>
    </row>
    <row r="32956" spans="8:8" x14ac:dyDescent="0.2">
      <c r="H32956" s="76"/>
    </row>
    <row r="32965" spans="49:137" x14ac:dyDescent="0.2">
      <c r="AW32965" s="76"/>
      <c r="EG32965" s="76"/>
    </row>
    <row r="33047" spans="8:137" x14ac:dyDescent="0.2">
      <c r="H33047" s="76"/>
    </row>
    <row r="33054" spans="8:137" x14ac:dyDescent="0.2">
      <c r="AW33054" s="76"/>
      <c r="EG33054" s="76"/>
    </row>
    <row r="33138" spans="8:137" x14ac:dyDescent="0.2">
      <c r="H33138" s="76"/>
    </row>
    <row r="33143" spans="8:137" x14ac:dyDescent="0.2">
      <c r="AW33143" s="76"/>
      <c r="EG33143" s="76"/>
    </row>
    <row r="33227" spans="8:8" x14ac:dyDescent="0.2">
      <c r="H33227" s="76"/>
    </row>
    <row r="33234" spans="49:137" x14ac:dyDescent="0.2">
      <c r="AW33234" s="76"/>
      <c r="EG33234" s="76"/>
    </row>
    <row r="33316" spans="8:137" x14ac:dyDescent="0.2">
      <c r="H33316" s="76"/>
    </row>
    <row r="33323" spans="8:137" x14ac:dyDescent="0.2">
      <c r="AW33323" s="76"/>
      <c r="EG33323" s="76"/>
    </row>
    <row r="33405" spans="8:8" x14ac:dyDescent="0.2">
      <c r="H33405" s="76"/>
    </row>
    <row r="33412" spans="49:137" x14ac:dyDescent="0.2">
      <c r="AW33412" s="76"/>
      <c r="EG33412" s="76"/>
    </row>
    <row r="33494" spans="8:137" x14ac:dyDescent="0.2">
      <c r="H33494" s="76"/>
    </row>
    <row r="33501" spans="8:137" x14ac:dyDescent="0.2">
      <c r="AW33501" s="76"/>
      <c r="EG33501" s="76"/>
    </row>
    <row r="33583" spans="8:8" x14ac:dyDescent="0.2">
      <c r="H33583" s="76"/>
    </row>
    <row r="33590" spans="49:137" x14ac:dyDescent="0.2">
      <c r="AW33590" s="76"/>
      <c r="EG33590" s="76"/>
    </row>
    <row r="33672" spans="8:137" x14ac:dyDescent="0.2">
      <c r="H33672" s="76"/>
    </row>
    <row r="33679" spans="8:137" x14ac:dyDescent="0.2">
      <c r="AW33679" s="76"/>
      <c r="EG33679" s="76"/>
    </row>
    <row r="33761" spans="8:137" x14ac:dyDescent="0.2">
      <c r="H33761" s="76"/>
    </row>
    <row r="33768" spans="8:137" x14ac:dyDescent="0.2">
      <c r="AW33768" s="76"/>
      <c r="EG33768" s="76"/>
    </row>
    <row r="33850" spans="8:137" x14ac:dyDescent="0.2">
      <c r="H33850" s="76"/>
    </row>
    <row r="33854" spans="8:137" x14ac:dyDescent="0.2">
      <c r="AW33854" s="76"/>
      <c r="EG33854" s="76"/>
    </row>
    <row r="33939" spans="8:137" x14ac:dyDescent="0.2">
      <c r="H33939" s="76"/>
    </row>
    <row r="33943" spans="8:137" x14ac:dyDescent="0.2">
      <c r="AW33943" s="76"/>
      <c r="EG33943" s="76"/>
    </row>
    <row r="34028" spans="8:137" x14ac:dyDescent="0.2">
      <c r="H34028" s="76"/>
    </row>
    <row r="34032" spans="8:137" x14ac:dyDescent="0.2">
      <c r="AW34032" s="76"/>
      <c r="EG34032" s="76"/>
    </row>
    <row r="34117" spans="8:137" x14ac:dyDescent="0.2">
      <c r="H34117" s="76"/>
    </row>
    <row r="34121" spans="8:137" x14ac:dyDescent="0.2">
      <c r="AW34121" s="76"/>
      <c r="EG34121" s="76"/>
    </row>
    <row r="34206" spans="8:8" x14ac:dyDescent="0.2">
      <c r="H34206" s="76"/>
    </row>
    <row r="34210" spans="49:137" x14ac:dyDescent="0.2">
      <c r="AW34210" s="76"/>
      <c r="EG34210" s="76"/>
    </row>
    <row r="34295" spans="8:137" x14ac:dyDescent="0.2">
      <c r="H34295" s="76"/>
    </row>
    <row r="34299" spans="8:137" x14ac:dyDescent="0.2">
      <c r="AW34299" s="76"/>
      <c r="EG34299" s="76"/>
    </row>
    <row r="34384" spans="8:8" x14ac:dyDescent="0.2">
      <c r="H34384" s="76"/>
    </row>
    <row r="34388" spans="49:137" x14ac:dyDescent="0.2">
      <c r="AW34388" s="76"/>
      <c r="EG34388" s="76"/>
    </row>
    <row r="34473" spans="8:137" x14ac:dyDescent="0.2">
      <c r="H34473" s="76"/>
    </row>
    <row r="34477" spans="8:137" x14ac:dyDescent="0.2">
      <c r="AW34477" s="76"/>
      <c r="EG34477" s="76"/>
    </row>
    <row r="34562" spans="8:137" x14ac:dyDescent="0.2">
      <c r="H34562" s="76"/>
    </row>
    <row r="34568" spans="8:137" x14ac:dyDescent="0.2">
      <c r="AW34568" s="76"/>
      <c r="EG34568" s="76"/>
    </row>
    <row r="34651" spans="8:8" x14ac:dyDescent="0.2">
      <c r="H34651" s="76"/>
    </row>
    <row r="34657" spans="49:137" x14ac:dyDescent="0.2">
      <c r="AW34657" s="76"/>
      <c r="EG34657" s="76"/>
    </row>
    <row r="34740" spans="8:137" x14ac:dyDescent="0.2">
      <c r="H34740" s="76"/>
    </row>
    <row r="34746" spans="8:137" x14ac:dyDescent="0.2">
      <c r="AW34746" s="76"/>
      <c r="EG34746" s="76"/>
    </row>
    <row r="34829" spans="8:8" x14ac:dyDescent="0.2">
      <c r="H34829" s="76"/>
    </row>
    <row r="34835" spans="49:137" x14ac:dyDescent="0.2">
      <c r="AW34835" s="76"/>
      <c r="EG34835" s="76"/>
    </row>
    <row r="34918" spans="8:137" x14ac:dyDescent="0.2">
      <c r="H34918" s="76"/>
    </row>
    <row r="34924" spans="8:137" x14ac:dyDescent="0.2">
      <c r="AW34924" s="76"/>
      <c r="EG34924" s="76"/>
    </row>
    <row r="35007" spans="8:8" x14ac:dyDescent="0.2">
      <c r="H35007" s="76"/>
    </row>
    <row r="35013" spans="49:137" x14ac:dyDescent="0.2">
      <c r="AW35013" s="76"/>
      <c r="EG35013" s="76"/>
    </row>
    <row r="35096" spans="8:137" x14ac:dyDescent="0.2">
      <c r="H35096" s="76"/>
    </row>
    <row r="35102" spans="8:137" x14ac:dyDescent="0.2">
      <c r="AW35102" s="76"/>
      <c r="EG35102" s="76"/>
    </row>
    <row r="35185" spans="8:137" x14ac:dyDescent="0.2">
      <c r="H35185" s="76"/>
    </row>
    <row r="35193" spans="8:137" x14ac:dyDescent="0.2">
      <c r="AW35193" s="76"/>
      <c r="EG35193" s="76"/>
    </row>
    <row r="35274" spans="8:8" x14ac:dyDescent="0.2">
      <c r="H35274" s="76"/>
    </row>
    <row r="35282" spans="49:137" x14ac:dyDescent="0.2">
      <c r="AW35282" s="76"/>
      <c r="EG35282" s="76"/>
    </row>
    <row r="35363" spans="8:137" x14ac:dyDescent="0.2">
      <c r="H35363" s="76"/>
    </row>
    <row r="35371" spans="8:137" x14ac:dyDescent="0.2">
      <c r="AW35371" s="76"/>
      <c r="EG35371" s="76"/>
    </row>
    <row r="35454" spans="8:8" x14ac:dyDescent="0.2">
      <c r="H35454" s="76"/>
    </row>
    <row r="35462" spans="49:137" x14ac:dyDescent="0.2">
      <c r="AW35462" s="76"/>
      <c r="EG35462" s="76"/>
    </row>
    <row r="35543" spans="8:137" x14ac:dyDescent="0.2">
      <c r="H35543" s="76"/>
    </row>
    <row r="35551" spans="8:137" x14ac:dyDescent="0.2">
      <c r="AW35551" s="76"/>
      <c r="EG35551" s="76"/>
    </row>
    <row r="35632" spans="8:8" x14ac:dyDescent="0.2">
      <c r="H35632" s="76"/>
    </row>
    <row r="35640" spans="49:137" x14ac:dyDescent="0.2">
      <c r="AW35640" s="76"/>
      <c r="EG35640" s="76"/>
    </row>
    <row r="35721" spans="8:8" x14ac:dyDescent="0.2">
      <c r="H35721" s="76"/>
    </row>
    <row r="35729" spans="49:137" x14ac:dyDescent="0.2">
      <c r="AW35729" s="76"/>
      <c r="EG35729" s="76"/>
    </row>
    <row r="35810" spans="8:137" x14ac:dyDescent="0.2">
      <c r="H35810" s="76"/>
    </row>
    <row r="35818" spans="8:137" x14ac:dyDescent="0.2">
      <c r="AW35818" s="76"/>
      <c r="EG35818" s="76"/>
    </row>
    <row r="35899" spans="8:8" x14ac:dyDescent="0.2">
      <c r="H35899" s="76"/>
    </row>
    <row r="35907" spans="49:137" x14ac:dyDescent="0.2">
      <c r="AW35907" s="76"/>
      <c r="EG35907" s="76"/>
    </row>
    <row r="35988" spans="8:137" x14ac:dyDescent="0.2">
      <c r="H35988" s="76"/>
    </row>
    <row r="35996" spans="8:137" x14ac:dyDescent="0.2">
      <c r="AW35996" s="76"/>
      <c r="EG35996" s="76"/>
    </row>
    <row r="36077" spans="8:8" x14ac:dyDescent="0.2">
      <c r="H36077" s="76"/>
    </row>
    <row r="36087" spans="49:137" x14ac:dyDescent="0.2">
      <c r="AW36087" s="76"/>
      <c r="EG36087" s="76"/>
    </row>
    <row r="36166" spans="8:137" x14ac:dyDescent="0.2">
      <c r="H36166" s="76"/>
    </row>
    <row r="36176" spans="8:137" x14ac:dyDescent="0.2">
      <c r="AW36176" s="76"/>
      <c r="EG36176" s="76"/>
    </row>
    <row r="36255" spans="8:8" x14ac:dyDescent="0.2">
      <c r="H36255" s="76"/>
    </row>
    <row r="36265" spans="49:137" x14ac:dyDescent="0.2">
      <c r="AW36265" s="76"/>
      <c r="EG36265" s="76"/>
    </row>
    <row r="36344" spans="8:8" x14ac:dyDescent="0.2">
      <c r="H36344" s="76"/>
    </row>
    <row r="36356" spans="49:137" x14ac:dyDescent="0.2">
      <c r="AW36356" s="76"/>
      <c r="EG36356" s="76"/>
    </row>
    <row r="36433" spans="8:137" x14ac:dyDescent="0.2">
      <c r="H36433" s="76"/>
    </row>
    <row r="36445" spans="8:137" x14ac:dyDescent="0.2">
      <c r="AW36445" s="76"/>
      <c r="EG36445" s="76"/>
    </row>
    <row r="36522" spans="8:8" x14ac:dyDescent="0.2">
      <c r="H36522" s="76"/>
    </row>
    <row r="36534" spans="49:137" x14ac:dyDescent="0.2">
      <c r="AW36534" s="76"/>
      <c r="EG36534" s="76"/>
    </row>
    <row r="36611" spans="8:8" x14ac:dyDescent="0.2">
      <c r="H36611" s="76"/>
    </row>
    <row r="36625" spans="49:137" x14ac:dyDescent="0.2">
      <c r="AW36625" s="76"/>
      <c r="EG36625" s="76"/>
    </row>
    <row r="36700" spans="8:8" x14ac:dyDescent="0.2">
      <c r="H36700" s="76"/>
    </row>
    <row r="36714" spans="49:137" x14ac:dyDescent="0.2">
      <c r="AW36714" s="76"/>
      <c r="EG36714" s="76"/>
    </row>
    <row r="36789" spans="8:8" x14ac:dyDescent="0.2">
      <c r="H36789" s="76"/>
    </row>
    <row r="36803" spans="49:137" x14ac:dyDescent="0.2">
      <c r="AW36803" s="76"/>
      <c r="EG36803" s="76"/>
    </row>
    <row r="36878" spans="8:8" x14ac:dyDescent="0.2">
      <c r="H36878" s="76"/>
    </row>
    <row r="36892" spans="49:137" x14ac:dyDescent="0.2">
      <c r="AW36892" s="76"/>
      <c r="EG36892" s="76"/>
    </row>
    <row r="36967" spans="8:8" x14ac:dyDescent="0.2">
      <c r="H36967" s="76"/>
    </row>
    <row r="36981" spans="49:137" x14ac:dyDescent="0.2">
      <c r="AW36981" s="76"/>
      <c r="EG36981" s="76"/>
    </row>
    <row r="37056" spans="8:8" x14ac:dyDescent="0.2">
      <c r="H37056" s="76"/>
    </row>
    <row r="37070" spans="49:137" x14ac:dyDescent="0.2">
      <c r="AW37070" s="76"/>
      <c r="EG37070" s="76"/>
    </row>
    <row r="37145" spans="8:8" x14ac:dyDescent="0.2">
      <c r="H37145" s="76"/>
    </row>
    <row r="37159" spans="49:137" x14ac:dyDescent="0.2">
      <c r="AW37159" s="76"/>
      <c r="EG37159" s="76"/>
    </row>
    <row r="37234" spans="8:8" x14ac:dyDescent="0.2">
      <c r="H37234" s="76"/>
    </row>
    <row r="37250" spans="49:137" x14ac:dyDescent="0.2">
      <c r="AW37250" s="76"/>
      <c r="EG37250" s="76"/>
    </row>
    <row r="37323" spans="8:8" x14ac:dyDescent="0.2">
      <c r="H37323" s="76"/>
    </row>
    <row r="37339" spans="49:137" x14ac:dyDescent="0.2">
      <c r="AW37339" s="76"/>
      <c r="EG37339" s="76"/>
    </row>
    <row r="37412" spans="8:8" x14ac:dyDescent="0.2">
      <c r="H37412" s="76"/>
    </row>
    <row r="37428" spans="49:137" x14ac:dyDescent="0.2">
      <c r="AW37428" s="76"/>
      <c r="EG37428" s="76"/>
    </row>
    <row r="37501" spans="8:8" x14ac:dyDescent="0.2">
      <c r="H37501" s="76"/>
    </row>
    <row r="37517" spans="49:137" x14ac:dyDescent="0.2">
      <c r="AW37517" s="76"/>
      <c r="EG37517" s="76"/>
    </row>
    <row r="37590" spans="8:8" x14ac:dyDescent="0.2">
      <c r="H37590" s="76"/>
    </row>
    <row r="37606" spans="49:137" x14ac:dyDescent="0.2">
      <c r="AW37606" s="76"/>
      <c r="EG37606" s="76"/>
    </row>
    <row r="37679" spans="8:8" x14ac:dyDescent="0.2">
      <c r="H37679" s="76"/>
    </row>
    <row r="37695" spans="49:137" x14ac:dyDescent="0.2">
      <c r="AW37695" s="76"/>
      <c r="EG37695" s="76"/>
    </row>
    <row r="37768" spans="8:8" x14ac:dyDescent="0.2">
      <c r="H37768" s="76"/>
    </row>
    <row r="37784" spans="49:137" x14ac:dyDescent="0.2">
      <c r="AW37784" s="76"/>
      <c r="EG37784" s="76"/>
    </row>
    <row r="37857" spans="8:8" x14ac:dyDescent="0.2">
      <c r="H37857" s="76"/>
    </row>
    <row r="37873" spans="49:137" x14ac:dyDescent="0.2">
      <c r="AW37873" s="76"/>
      <c r="EG37873" s="76"/>
    </row>
    <row r="37946" spans="8:8" x14ac:dyDescent="0.2">
      <c r="H37946" s="76"/>
    </row>
    <row r="37962" spans="49:137" x14ac:dyDescent="0.2">
      <c r="AW37962" s="76"/>
      <c r="EG37962" s="76"/>
    </row>
    <row r="38037" spans="8:8" x14ac:dyDescent="0.2">
      <c r="H38037" s="76"/>
    </row>
    <row r="38051" spans="49:137" x14ac:dyDescent="0.2">
      <c r="AW38051" s="76"/>
      <c r="EG38051" s="76"/>
    </row>
    <row r="38126" spans="8:8" x14ac:dyDescent="0.2">
      <c r="H38126" s="76"/>
    </row>
    <row r="38140" spans="49:137" x14ac:dyDescent="0.2">
      <c r="AW38140" s="76"/>
      <c r="EG38140" s="76"/>
    </row>
    <row r="38215" spans="8:8" x14ac:dyDescent="0.2">
      <c r="H38215" s="76"/>
    </row>
    <row r="38229" spans="49:137" x14ac:dyDescent="0.2">
      <c r="AW38229" s="76"/>
      <c r="EG38229" s="76"/>
    </row>
    <row r="38304" spans="8:8" x14ac:dyDescent="0.2">
      <c r="H38304" s="76"/>
    </row>
    <row r="38318" spans="49:137" x14ac:dyDescent="0.2">
      <c r="AW38318" s="76"/>
      <c r="EG38318" s="76"/>
    </row>
    <row r="38393" spans="8:8" x14ac:dyDescent="0.2">
      <c r="H38393" s="76"/>
    </row>
    <row r="38407" spans="49:137" x14ac:dyDescent="0.2">
      <c r="AW38407" s="76"/>
      <c r="EG38407" s="76"/>
    </row>
    <row r="38482" spans="8:137" x14ac:dyDescent="0.2">
      <c r="H38482" s="76"/>
    </row>
    <row r="38496" spans="8:137" x14ac:dyDescent="0.2">
      <c r="AW38496" s="76"/>
      <c r="EG38496" s="76"/>
    </row>
    <row r="38571" spans="8:8" x14ac:dyDescent="0.2">
      <c r="H38571" s="76"/>
    </row>
    <row r="38587" spans="49:137" x14ac:dyDescent="0.2">
      <c r="AW38587" s="76"/>
      <c r="EG38587" s="76"/>
    </row>
    <row r="38660" spans="8:8" x14ac:dyDescent="0.2">
      <c r="H38660" s="76"/>
    </row>
    <row r="38676" spans="49:137" x14ac:dyDescent="0.2">
      <c r="AW38676" s="76"/>
      <c r="EG38676" s="76"/>
    </row>
    <row r="38749" spans="8:8" x14ac:dyDescent="0.2">
      <c r="H38749" s="76"/>
    </row>
    <row r="38765" spans="49:137" x14ac:dyDescent="0.2">
      <c r="AW38765" s="76"/>
      <c r="EG38765" s="76"/>
    </row>
    <row r="38838" spans="8:8" x14ac:dyDescent="0.2">
      <c r="H38838" s="76"/>
    </row>
    <row r="38854" spans="49:137" x14ac:dyDescent="0.2">
      <c r="AW38854" s="76"/>
      <c r="EG38854" s="76"/>
    </row>
    <row r="38927" spans="8:8" x14ac:dyDescent="0.2">
      <c r="H38927" s="76"/>
    </row>
    <row r="38943" spans="49:137" x14ac:dyDescent="0.2">
      <c r="AW38943" s="76"/>
      <c r="EG38943" s="76"/>
    </row>
    <row r="39016" spans="8:8" x14ac:dyDescent="0.2">
      <c r="H39016" s="76"/>
    </row>
    <row r="39032" spans="49:137" x14ac:dyDescent="0.2">
      <c r="AW39032" s="76"/>
      <c r="EG39032" s="76"/>
    </row>
    <row r="39105" spans="8:8" x14ac:dyDescent="0.2">
      <c r="H39105" s="76"/>
    </row>
    <row r="39121" spans="49:137" x14ac:dyDescent="0.2">
      <c r="AW39121" s="76"/>
      <c r="EG39121" s="76"/>
    </row>
    <row r="39194" spans="8:8" x14ac:dyDescent="0.2">
      <c r="H39194" s="76"/>
    </row>
    <row r="39212" spans="49:137" x14ac:dyDescent="0.2">
      <c r="AW39212" s="76"/>
      <c r="EG39212" s="76"/>
    </row>
    <row r="39283" spans="8:8" x14ac:dyDescent="0.2">
      <c r="H39283" s="76"/>
    </row>
    <row r="39301" spans="49:137" x14ac:dyDescent="0.2">
      <c r="AW39301" s="76"/>
      <c r="EG39301" s="76"/>
    </row>
    <row r="39372" spans="8:8" x14ac:dyDescent="0.2">
      <c r="H39372" s="76"/>
    </row>
    <row r="39390" spans="49:137" x14ac:dyDescent="0.2">
      <c r="AW39390" s="76"/>
      <c r="EG39390" s="76"/>
    </row>
    <row r="39461" spans="8:8" x14ac:dyDescent="0.2">
      <c r="H39461" s="76"/>
    </row>
    <row r="39479" spans="49:137" x14ac:dyDescent="0.2">
      <c r="AW39479" s="76"/>
      <c r="EG39479" s="76"/>
    </row>
    <row r="39550" spans="8:8" x14ac:dyDescent="0.2">
      <c r="H39550" s="76"/>
    </row>
    <row r="39570" spans="49:137" x14ac:dyDescent="0.2">
      <c r="AW39570" s="76"/>
      <c r="EG39570" s="76"/>
    </row>
    <row r="39639" spans="8:8" x14ac:dyDescent="0.2">
      <c r="H39639" s="76"/>
    </row>
    <row r="39659" spans="49:137" x14ac:dyDescent="0.2">
      <c r="AW39659" s="76"/>
      <c r="EG39659" s="76"/>
    </row>
    <row r="39728" spans="8:8" x14ac:dyDescent="0.2">
      <c r="H39728" s="76"/>
    </row>
    <row r="39748" spans="49:137" x14ac:dyDescent="0.2">
      <c r="AW39748" s="76"/>
      <c r="EG39748" s="76"/>
    </row>
    <row r="39817" spans="8:8" x14ac:dyDescent="0.2">
      <c r="H39817" s="76"/>
    </row>
    <row r="39837" spans="49:137" x14ac:dyDescent="0.2">
      <c r="AW39837" s="76"/>
      <c r="EG39837" s="76"/>
    </row>
    <row r="39906" spans="8:8" x14ac:dyDescent="0.2">
      <c r="H39906" s="76"/>
    </row>
    <row r="39926" spans="49:137" x14ac:dyDescent="0.2">
      <c r="AW39926" s="76"/>
      <c r="EG39926" s="76"/>
    </row>
    <row r="39995" spans="8:8" x14ac:dyDescent="0.2">
      <c r="H39995" s="76"/>
    </row>
    <row r="40015" spans="49:137" x14ac:dyDescent="0.2">
      <c r="AW40015" s="76"/>
      <c r="EG40015" s="76"/>
    </row>
    <row r="40084" spans="8:8" x14ac:dyDescent="0.2">
      <c r="H40084" s="76"/>
    </row>
    <row r="40104" spans="49:137" x14ac:dyDescent="0.2">
      <c r="AW40104" s="76"/>
      <c r="EG40104" s="76"/>
    </row>
    <row r="40173" spans="8:8" x14ac:dyDescent="0.2">
      <c r="H40173" s="76"/>
    </row>
    <row r="40193" spans="49:137" x14ac:dyDescent="0.2">
      <c r="AW40193" s="76"/>
      <c r="EG40193" s="76"/>
    </row>
    <row r="40262" spans="8:8" x14ac:dyDescent="0.2">
      <c r="H40262" s="76"/>
    </row>
    <row r="40284" spans="49:137" x14ac:dyDescent="0.2">
      <c r="AW40284" s="76"/>
      <c r="EG40284" s="76"/>
    </row>
    <row r="40351" spans="8:8" x14ac:dyDescent="0.2">
      <c r="H40351" s="76"/>
    </row>
    <row r="40373" spans="49:137" x14ac:dyDescent="0.2">
      <c r="AW40373" s="76"/>
      <c r="EG40373" s="76"/>
    </row>
    <row r="40440" spans="8:8" x14ac:dyDescent="0.2">
      <c r="H40440" s="76"/>
    </row>
    <row r="40462" spans="49:137" x14ac:dyDescent="0.2">
      <c r="AW40462" s="76"/>
      <c r="EG40462" s="76"/>
    </row>
    <row r="40529" spans="8:8" x14ac:dyDescent="0.2">
      <c r="H40529" s="76"/>
    </row>
    <row r="40551" spans="49:137" x14ac:dyDescent="0.2">
      <c r="AW40551" s="76"/>
      <c r="EG40551" s="76"/>
    </row>
    <row r="40620" spans="8:8" x14ac:dyDescent="0.2">
      <c r="H40620" s="76"/>
    </row>
    <row r="40640" spans="49:137" x14ac:dyDescent="0.2">
      <c r="AW40640" s="76"/>
      <c r="EG40640" s="76"/>
    </row>
    <row r="40709" spans="8:8" x14ac:dyDescent="0.2">
      <c r="H40709" s="76"/>
    </row>
    <row r="40729" spans="49:137" x14ac:dyDescent="0.2">
      <c r="AW40729" s="76"/>
      <c r="EG40729" s="76"/>
    </row>
    <row r="40798" spans="8:8" x14ac:dyDescent="0.2">
      <c r="H40798" s="76"/>
    </row>
    <row r="40818" spans="49:137" x14ac:dyDescent="0.2">
      <c r="AW40818" s="76"/>
      <c r="EG40818" s="76"/>
    </row>
    <row r="40887" spans="8:8" x14ac:dyDescent="0.2">
      <c r="H40887" s="76"/>
    </row>
    <row r="40909" spans="49:137" x14ac:dyDescent="0.2">
      <c r="AW40909" s="76"/>
      <c r="EG40909" s="76"/>
    </row>
    <row r="40976" spans="8:8" x14ac:dyDescent="0.2">
      <c r="H40976" s="76"/>
    </row>
    <row r="40998" spans="49:137" x14ac:dyDescent="0.2">
      <c r="AW40998" s="76"/>
      <c r="EG40998" s="76"/>
    </row>
    <row r="41065" spans="8:8" x14ac:dyDescent="0.2">
      <c r="H41065" s="76"/>
    </row>
    <row r="41087" spans="49:137" x14ac:dyDescent="0.2">
      <c r="AW41087" s="76"/>
      <c r="EG41087" s="76"/>
    </row>
    <row r="41154" spans="8:8" x14ac:dyDescent="0.2">
      <c r="H41154" s="76"/>
    </row>
    <row r="41176" spans="49:137" x14ac:dyDescent="0.2">
      <c r="AW41176" s="76"/>
      <c r="EG41176" s="76"/>
    </row>
    <row r="41243" spans="8:8" x14ac:dyDescent="0.2">
      <c r="H41243" s="76"/>
    </row>
    <row r="41265" spans="49:137" x14ac:dyDescent="0.2">
      <c r="AW41265" s="76"/>
      <c r="EG41265" s="76"/>
    </row>
    <row r="41332" spans="8:8" x14ac:dyDescent="0.2">
      <c r="H41332" s="76"/>
    </row>
    <row r="41354" spans="49:137" x14ac:dyDescent="0.2">
      <c r="AW41354" s="76"/>
      <c r="EG41354" s="76"/>
    </row>
    <row r="41421" spans="8:8" x14ac:dyDescent="0.2">
      <c r="H41421" s="76"/>
    </row>
    <row r="41443" spans="49:137" x14ac:dyDescent="0.2">
      <c r="AW41443" s="76"/>
      <c r="EG41443" s="76"/>
    </row>
    <row r="41510" spans="8:8" x14ac:dyDescent="0.2">
      <c r="H41510" s="76"/>
    </row>
    <row r="41534" spans="49:137" x14ac:dyDescent="0.2">
      <c r="AW41534" s="76"/>
      <c r="EG41534" s="76"/>
    </row>
    <row r="41599" spans="8:8" x14ac:dyDescent="0.2">
      <c r="H41599" s="76"/>
    </row>
    <row r="41623" spans="49:137" x14ac:dyDescent="0.2">
      <c r="AW41623" s="76"/>
      <c r="EG41623" s="76"/>
    </row>
    <row r="41688" spans="8:8" x14ac:dyDescent="0.2">
      <c r="H41688" s="76"/>
    </row>
    <row r="41712" spans="49:137" x14ac:dyDescent="0.2">
      <c r="AW41712" s="76"/>
      <c r="EG41712" s="76"/>
    </row>
    <row r="41777" spans="8:8" x14ac:dyDescent="0.2">
      <c r="H41777" s="76"/>
    </row>
    <row r="41803" spans="49:137" x14ac:dyDescent="0.2">
      <c r="AW41803" s="76"/>
      <c r="EG41803" s="76"/>
    </row>
    <row r="41860" spans="8:137" x14ac:dyDescent="0.2">
      <c r="AW41860" s="76"/>
      <c r="EG41860" s="76"/>
    </row>
    <row r="41866" spans="8:137" x14ac:dyDescent="0.2">
      <c r="H41866" s="76"/>
    </row>
    <row r="41868" spans="8:137" x14ac:dyDescent="0.2">
      <c r="AT41868" s="77"/>
      <c r="AU41868" s="77"/>
      <c r="AV41868" s="77"/>
      <c r="AY41868" s="77"/>
      <c r="AZ41868" s="77"/>
      <c r="BQ41868" s="77"/>
      <c r="BT41868" s="77"/>
      <c r="BW41868" s="77"/>
      <c r="CV41868" s="77"/>
      <c r="DA41868" s="77"/>
    </row>
    <row r="41869" spans="8:137" x14ac:dyDescent="0.2">
      <c r="AT41869" s="77"/>
      <c r="AU41869" s="77"/>
      <c r="AV41869" s="77"/>
      <c r="AY41869" s="77"/>
      <c r="AZ41869" s="77"/>
      <c r="BQ41869" s="77"/>
      <c r="BT41869" s="77"/>
      <c r="BW41869" s="77"/>
      <c r="CV41869" s="77"/>
      <c r="DA41869" s="77"/>
    </row>
    <row r="41870" spans="8:137" x14ac:dyDescent="0.2">
      <c r="AT41870" s="77"/>
      <c r="AU41870" s="77"/>
      <c r="AV41870" s="77"/>
      <c r="AY41870" s="77"/>
      <c r="AZ41870" s="77"/>
      <c r="BQ41870" s="77"/>
      <c r="BT41870" s="77"/>
      <c r="BW41870" s="77"/>
      <c r="CV41870" s="77"/>
      <c r="DA41870" s="77"/>
    </row>
    <row r="41871" spans="8:137" x14ac:dyDescent="0.2">
      <c r="AT41871" s="77"/>
      <c r="AU41871" s="77"/>
      <c r="AV41871" s="77"/>
      <c r="AY41871" s="77"/>
      <c r="AZ41871" s="77"/>
      <c r="BQ41871" s="77"/>
      <c r="BT41871" s="77"/>
      <c r="BW41871" s="77"/>
      <c r="CV41871" s="77"/>
      <c r="DA41871" s="77"/>
    </row>
    <row r="41872" spans="8:137" x14ac:dyDescent="0.2">
      <c r="AT41872" s="77"/>
      <c r="AU41872" s="77"/>
      <c r="AV41872" s="77"/>
      <c r="AY41872" s="77"/>
      <c r="AZ41872" s="77"/>
      <c r="BQ41872" s="77"/>
      <c r="BT41872" s="77"/>
      <c r="BW41872" s="77"/>
      <c r="CV41872" s="77"/>
      <c r="DA41872" s="77"/>
    </row>
    <row r="41873" spans="46:105" x14ac:dyDescent="0.2">
      <c r="AT41873" s="77"/>
      <c r="AU41873" s="77"/>
      <c r="AV41873" s="77"/>
      <c r="AY41873" s="77"/>
      <c r="AZ41873" s="77"/>
      <c r="BQ41873" s="77"/>
      <c r="BT41873" s="77"/>
      <c r="BW41873" s="77"/>
      <c r="CV41873" s="77"/>
      <c r="DA41873" s="77"/>
    </row>
    <row r="41874" spans="46:105" x14ac:dyDescent="0.2">
      <c r="AT41874" s="77"/>
      <c r="AU41874" s="77"/>
      <c r="AV41874" s="77"/>
      <c r="AY41874" s="77"/>
      <c r="AZ41874" s="77"/>
      <c r="BQ41874" s="77"/>
      <c r="BT41874" s="77"/>
      <c r="BW41874" s="77"/>
      <c r="CV41874" s="77"/>
      <c r="DA41874" s="77"/>
    </row>
    <row r="41875" spans="46:105" x14ac:dyDescent="0.2">
      <c r="AT41875" s="77"/>
      <c r="AU41875" s="77"/>
      <c r="AV41875" s="77"/>
      <c r="AY41875" s="77"/>
      <c r="AZ41875" s="77"/>
      <c r="BQ41875" s="77"/>
      <c r="BT41875" s="77"/>
      <c r="BW41875" s="77"/>
      <c r="CV41875" s="77"/>
      <c r="DA41875" s="77"/>
    </row>
    <row r="41876" spans="46:105" x14ac:dyDescent="0.2">
      <c r="AT41876" s="77"/>
      <c r="AU41876" s="77"/>
      <c r="AV41876" s="77"/>
      <c r="AY41876" s="77"/>
      <c r="AZ41876" s="77"/>
      <c r="BQ41876" s="77"/>
      <c r="BT41876" s="77"/>
      <c r="BW41876" s="77"/>
      <c r="CV41876" s="77"/>
      <c r="DA41876" s="77"/>
    </row>
    <row r="41877" spans="46:105" x14ac:dyDescent="0.2">
      <c r="AT41877" s="77"/>
      <c r="AU41877" s="77"/>
      <c r="AV41877" s="77"/>
      <c r="AY41877" s="77"/>
      <c r="AZ41877" s="77"/>
      <c r="BP41877" s="77"/>
      <c r="BS41877" s="77"/>
      <c r="BV41877" s="77"/>
      <c r="CU41877" s="77"/>
      <c r="CZ41877" s="77"/>
    </row>
    <row r="41878" spans="46:105" x14ac:dyDescent="0.2">
      <c r="AT41878" s="77"/>
      <c r="AU41878" s="77"/>
      <c r="AV41878" s="77"/>
      <c r="AY41878" s="77"/>
      <c r="AZ41878" s="77"/>
      <c r="BP41878" s="77"/>
      <c r="BS41878" s="77"/>
      <c r="BV41878" s="77"/>
      <c r="CU41878" s="77"/>
      <c r="CZ41878" s="77"/>
    </row>
    <row r="41879" spans="46:105" x14ac:dyDescent="0.2">
      <c r="AT41879" s="77"/>
      <c r="AU41879" s="77"/>
      <c r="AV41879" s="77"/>
      <c r="AY41879" s="77"/>
      <c r="AZ41879" s="77"/>
      <c r="BP41879" s="77"/>
      <c r="BS41879" s="77"/>
      <c r="BV41879" s="77"/>
      <c r="CU41879" s="77"/>
      <c r="CZ41879" s="77"/>
    </row>
    <row r="41880" spans="46:105" x14ac:dyDescent="0.2">
      <c r="AT41880" s="77"/>
      <c r="AU41880" s="77"/>
      <c r="AV41880" s="77"/>
      <c r="AY41880" s="77"/>
      <c r="AZ41880" s="77"/>
      <c r="BP41880" s="77"/>
      <c r="BS41880" s="77"/>
      <c r="BV41880" s="77"/>
      <c r="CU41880" s="77"/>
      <c r="CZ41880" s="77"/>
    </row>
    <row r="41881" spans="46:105" x14ac:dyDescent="0.2">
      <c r="AT41881" s="77"/>
      <c r="AU41881" s="77"/>
      <c r="AV41881" s="77"/>
      <c r="AY41881" s="77"/>
      <c r="AZ41881" s="77"/>
      <c r="BP41881" s="77"/>
      <c r="BS41881" s="77"/>
      <c r="BV41881" s="77"/>
      <c r="CU41881" s="77"/>
      <c r="CZ41881" s="77"/>
    </row>
    <row r="41882" spans="46:105" x14ac:dyDescent="0.2">
      <c r="AT41882" s="77"/>
      <c r="AU41882" s="77"/>
      <c r="AV41882" s="77"/>
      <c r="AY41882" s="77"/>
      <c r="AZ41882" s="77"/>
      <c r="BP41882" s="77"/>
      <c r="BS41882" s="77"/>
      <c r="BV41882" s="77"/>
      <c r="CU41882" s="77"/>
      <c r="CZ41882" s="77"/>
    </row>
    <row r="41883" spans="46:105" x14ac:dyDescent="0.2">
      <c r="AT41883" s="77"/>
      <c r="AU41883" s="77"/>
      <c r="AV41883" s="77"/>
      <c r="AY41883" s="77"/>
      <c r="AZ41883" s="77"/>
      <c r="BP41883" s="77"/>
      <c r="BS41883" s="77"/>
      <c r="BV41883" s="77"/>
      <c r="CU41883" s="77"/>
      <c r="CZ41883" s="77"/>
    </row>
    <row r="41884" spans="46:105" x14ac:dyDescent="0.2">
      <c r="AT41884" s="77"/>
      <c r="AU41884" s="77"/>
      <c r="AV41884" s="77"/>
      <c r="AY41884" s="77"/>
      <c r="AZ41884" s="77"/>
      <c r="BP41884" s="77"/>
      <c r="BS41884" s="77"/>
      <c r="BV41884" s="77"/>
      <c r="CU41884" s="77"/>
      <c r="CZ41884" s="77"/>
    </row>
    <row r="41885" spans="46:105" x14ac:dyDescent="0.2">
      <c r="AT41885" s="77"/>
      <c r="AU41885" s="77"/>
      <c r="AV41885" s="77"/>
      <c r="AY41885" s="77"/>
      <c r="AZ41885" s="77"/>
      <c r="BP41885" s="77"/>
      <c r="BS41885" s="77"/>
      <c r="BV41885" s="77"/>
      <c r="CU41885" s="77"/>
      <c r="CZ41885" s="77"/>
    </row>
    <row r="41886" spans="46:105" x14ac:dyDescent="0.2">
      <c r="AT41886" s="77"/>
      <c r="AU41886" s="77"/>
      <c r="AV41886" s="77"/>
      <c r="AY41886" s="77"/>
      <c r="AZ41886" s="77"/>
      <c r="BP41886" s="77"/>
      <c r="BS41886" s="77"/>
      <c r="BV41886" s="77"/>
      <c r="CU41886" s="77"/>
      <c r="CZ41886" s="77"/>
    </row>
    <row r="41887" spans="46:105" x14ac:dyDescent="0.2">
      <c r="AT41887" s="77"/>
      <c r="AU41887" s="77"/>
      <c r="AV41887" s="77"/>
      <c r="AY41887" s="77"/>
      <c r="AZ41887" s="77"/>
      <c r="BP41887" s="77"/>
      <c r="BS41887" s="77"/>
      <c r="BV41887" s="77"/>
      <c r="CU41887" s="77"/>
      <c r="CZ41887" s="77"/>
    </row>
    <row r="41888" spans="46:105" x14ac:dyDescent="0.2">
      <c r="AT41888" s="77"/>
      <c r="AU41888" s="77"/>
      <c r="AV41888" s="77"/>
      <c r="AY41888" s="77"/>
      <c r="AZ41888" s="77"/>
      <c r="BP41888" s="77"/>
      <c r="BS41888" s="77"/>
      <c r="BV41888" s="77"/>
      <c r="CU41888" s="77"/>
      <c r="CZ41888" s="77"/>
    </row>
    <row r="41889" spans="46:104" x14ac:dyDescent="0.2">
      <c r="AT41889" s="77"/>
      <c r="AU41889" s="77"/>
      <c r="AV41889" s="77"/>
      <c r="AY41889" s="77"/>
      <c r="AZ41889" s="77"/>
      <c r="BP41889" s="77"/>
      <c r="BS41889" s="77"/>
      <c r="BV41889" s="77"/>
      <c r="CU41889" s="77"/>
      <c r="CZ41889" s="77"/>
    </row>
    <row r="41890" spans="46:104" x14ac:dyDescent="0.2">
      <c r="AT41890" s="77"/>
      <c r="AU41890" s="77"/>
      <c r="AV41890" s="77"/>
      <c r="AY41890" s="77"/>
      <c r="AZ41890" s="77"/>
      <c r="BP41890" s="77"/>
      <c r="BS41890" s="77"/>
      <c r="BV41890" s="77"/>
      <c r="CU41890" s="77"/>
      <c r="CZ41890" s="77"/>
    </row>
    <row r="41891" spans="46:104" x14ac:dyDescent="0.2">
      <c r="AT41891" s="77"/>
      <c r="AU41891" s="77"/>
      <c r="AV41891" s="77"/>
      <c r="AY41891" s="77"/>
      <c r="AZ41891" s="77"/>
      <c r="BP41891" s="77"/>
      <c r="BS41891" s="77"/>
      <c r="BV41891" s="77"/>
      <c r="CU41891" s="77"/>
      <c r="CZ41891" s="77"/>
    </row>
    <row r="41892" spans="46:104" x14ac:dyDescent="0.2">
      <c r="AT41892" s="77"/>
      <c r="AU41892" s="77"/>
      <c r="AV41892" s="77"/>
      <c r="AY41892" s="77"/>
      <c r="AZ41892" s="77"/>
      <c r="BP41892" s="77"/>
      <c r="BS41892" s="77"/>
      <c r="BV41892" s="77"/>
      <c r="CU41892" s="77"/>
      <c r="CZ41892" s="77"/>
    </row>
    <row r="41893" spans="46:104" x14ac:dyDescent="0.2">
      <c r="AT41893" s="77"/>
      <c r="AU41893" s="77"/>
      <c r="AV41893" s="77"/>
      <c r="AY41893" s="77"/>
      <c r="AZ41893" s="77"/>
      <c r="BP41893" s="77"/>
      <c r="BS41893" s="77"/>
      <c r="BV41893" s="77"/>
      <c r="CU41893" s="77"/>
      <c r="CZ41893" s="77"/>
    </row>
    <row r="41894" spans="46:104" x14ac:dyDescent="0.2">
      <c r="AT41894" s="77"/>
      <c r="AU41894" s="77"/>
      <c r="AV41894" s="77"/>
      <c r="AY41894" s="77"/>
      <c r="AZ41894" s="77"/>
      <c r="BP41894" s="77"/>
      <c r="BS41894" s="77"/>
      <c r="BV41894" s="77"/>
      <c r="CU41894" s="77"/>
      <c r="CZ41894" s="77"/>
    </row>
    <row r="41895" spans="46:104" x14ac:dyDescent="0.2">
      <c r="AT41895" s="77"/>
      <c r="AU41895" s="77"/>
      <c r="AV41895" s="77"/>
      <c r="AY41895" s="77"/>
      <c r="AZ41895" s="77"/>
      <c r="BP41895" s="77"/>
      <c r="BS41895" s="77"/>
      <c r="BV41895" s="77"/>
      <c r="CU41895" s="77"/>
      <c r="CZ41895" s="77"/>
    </row>
    <row r="41896" spans="46:104" x14ac:dyDescent="0.2">
      <c r="AT41896" s="77"/>
      <c r="AU41896" s="77"/>
      <c r="AV41896" s="77"/>
      <c r="AY41896" s="77"/>
      <c r="AZ41896" s="77"/>
      <c r="BP41896" s="77"/>
      <c r="BS41896" s="77"/>
      <c r="BV41896" s="77"/>
      <c r="CU41896" s="77"/>
      <c r="CZ41896" s="77"/>
    </row>
    <row r="41897" spans="46:104" x14ac:dyDescent="0.2">
      <c r="AT41897" s="77"/>
      <c r="AU41897" s="77"/>
      <c r="AV41897" s="77"/>
      <c r="AY41897" s="77"/>
      <c r="AZ41897" s="77"/>
      <c r="BP41897" s="77"/>
      <c r="BS41897" s="77"/>
      <c r="BV41897" s="77"/>
      <c r="CU41897" s="77"/>
      <c r="CZ41897" s="77"/>
    </row>
    <row r="41898" spans="46:104" x14ac:dyDescent="0.2">
      <c r="AT41898" s="77"/>
      <c r="AU41898" s="77"/>
      <c r="AV41898" s="77"/>
      <c r="AY41898" s="77"/>
      <c r="AZ41898" s="77"/>
      <c r="BP41898" s="77"/>
      <c r="BS41898" s="77"/>
      <c r="BV41898" s="77"/>
      <c r="CU41898" s="77"/>
      <c r="CZ41898" s="77"/>
    </row>
    <row r="41899" spans="46:104" x14ac:dyDescent="0.2">
      <c r="AT41899" s="77"/>
      <c r="AU41899" s="77"/>
      <c r="AV41899" s="77"/>
      <c r="AY41899" s="77"/>
      <c r="AZ41899" s="77"/>
      <c r="BP41899" s="77"/>
      <c r="BS41899" s="77"/>
      <c r="BV41899" s="77"/>
      <c r="CU41899" s="77"/>
      <c r="CZ41899" s="77"/>
    </row>
    <row r="41900" spans="46:104" x14ac:dyDescent="0.2">
      <c r="AT41900" s="77"/>
      <c r="AU41900" s="77"/>
      <c r="AV41900" s="77"/>
      <c r="AY41900" s="77"/>
      <c r="AZ41900" s="77"/>
      <c r="BP41900" s="77"/>
      <c r="BS41900" s="77"/>
      <c r="BV41900" s="77"/>
      <c r="CU41900" s="77"/>
      <c r="CZ41900" s="77"/>
    </row>
    <row r="41901" spans="46:104" x14ac:dyDescent="0.2">
      <c r="AT41901" s="77"/>
      <c r="AU41901" s="77"/>
      <c r="AV41901" s="77"/>
      <c r="AY41901" s="77"/>
      <c r="AZ41901" s="77"/>
      <c r="BP41901" s="77"/>
      <c r="BS41901" s="77"/>
      <c r="BV41901" s="77"/>
      <c r="CU41901" s="77"/>
      <c r="CZ41901" s="77"/>
    </row>
    <row r="41902" spans="46:104" x14ac:dyDescent="0.2">
      <c r="AT41902" s="77"/>
      <c r="AU41902" s="77"/>
      <c r="AV41902" s="77"/>
      <c r="AY41902" s="77"/>
      <c r="AZ41902" s="77"/>
      <c r="BP41902" s="77"/>
      <c r="BS41902" s="77"/>
      <c r="BV41902" s="77"/>
      <c r="CU41902" s="77"/>
      <c r="CZ41902" s="77"/>
    </row>
    <row r="41903" spans="46:104" x14ac:dyDescent="0.2">
      <c r="AT41903" s="77"/>
      <c r="AU41903" s="77"/>
      <c r="AV41903" s="77"/>
      <c r="AY41903" s="77"/>
      <c r="AZ41903" s="77"/>
      <c r="BP41903" s="77"/>
      <c r="BS41903" s="77"/>
      <c r="BV41903" s="77"/>
      <c r="CU41903" s="77"/>
      <c r="CZ41903" s="77"/>
    </row>
    <row r="41904" spans="46:104" x14ac:dyDescent="0.2">
      <c r="AT41904" s="77"/>
      <c r="AU41904" s="77"/>
      <c r="AV41904" s="77"/>
      <c r="AY41904" s="77"/>
      <c r="AZ41904" s="77"/>
      <c r="BP41904" s="77"/>
      <c r="BS41904" s="77"/>
      <c r="BV41904" s="77"/>
      <c r="CU41904" s="77"/>
      <c r="CZ41904" s="77"/>
    </row>
    <row r="41909" spans="49:137" x14ac:dyDescent="0.2">
      <c r="AW41909" s="76"/>
      <c r="EG41909" s="76"/>
    </row>
    <row r="41955" spans="8:8" x14ac:dyDescent="0.2">
      <c r="H41955" s="76"/>
    </row>
    <row r="41999" spans="49:137" x14ac:dyDescent="0.2">
      <c r="AW41999" s="76"/>
      <c r="EG41999" s="76"/>
    </row>
    <row r="42044" spans="8:8" x14ac:dyDescent="0.2">
      <c r="H42044" s="76"/>
    </row>
    <row r="42090" spans="49:137" x14ac:dyDescent="0.2">
      <c r="AW42090" s="76"/>
      <c r="EG42090" s="76"/>
    </row>
    <row r="42133" spans="8:8" x14ac:dyDescent="0.2">
      <c r="H42133" s="76"/>
    </row>
    <row r="42181" spans="49:137" x14ac:dyDescent="0.2">
      <c r="AW42181" s="76"/>
      <c r="EG42181" s="76"/>
    </row>
    <row r="42222" spans="8:8" x14ac:dyDescent="0.2">
      <c r="H42222" s="76"/>
    </row>
    <row r="42272" spans="49:137" x14ac:dyDescent="0.2">
      <c r="AW42272" s="76"/>
      <c r="EG42272" s="76"/>
    </row>
    <row r="42311" spans="8:8" x14ac:dyDescent="0.2">
      <c r="H42311" s="76"/>
    </row>
    <row r="42363" spans="49:137" x14ac:dyDescent="0.2">
      <c r="AW42363" s="76"/>
      <c r="EG42363" s="76"/>
    </row>
    <row r="42400" spans="8:8" x14ac:dyDescent="0.2">
      <c r="H42400" s="76"/>
    </row>
    <row r="42454" spans="49:137" x14ac:dyDescent="0.2">
      <c r="AW42454" s="76"/>
      <c r="EG42454" s="76"/>
    </row>
    <row r="42489" spans="8:8" x14ac:dyDescent="0.2">
      <c r="H42489" s="76"/>
    </row>
    <row r="42545" spans="49:137" x14ac:dyDescent="0.2">
      <c r="AW42545" s="76"/>
      <c r="EG42545" s="76"/>
    </row>
    <row r="42578" spans="8:8" x14ac:dyDescent="0.2">
      <c r="H42578" s="76"/>
    </row>
    <row r="42636" spans="49:137" x14ac:dyDescent="0.2">
      <c r="AW42636" s="76"/>
      <c r="EG42636" s="76"/>
    </row>
    <row r="42667" spans="8:8" x14ac:dyDescent="0.2">
      <c r="H42667" s="76"/>
    </row>
    <row r="42727" spans="49:137" x14ac:dyDescent="0.2">
      <c r="AW42727" s="76"/>
      <c r="EG42727" s="76"/>
    </row>
    <row r="42756" spans="8:8" x14ac:dyDescent="0.2">
      <c r="H42756" s="76"/>
    </row>
    <row r="42818" spans="49:137" x14ac:dyDescent="0.2">
      <c r="AW42818" s="76"/>
      <c r="EG42818" s="76"/>
    </row>
    <row r="42845" spans="8:8" x14ac:dyDescent="0.2">
      <c r="H42845" s="76"/>
    </row>
    <row r="42909" spans="49:137" x14ac:dyDescent="0.2">
      <c r="AW42909" s="76"/>
      <c r="EG42909" s="76"/>
    </row>
    <row r="42934" spans="8:8" x14ac:dyDescent="0.2">
      <c r="H42934" s="76"/>
    </row>
    <row r="43000" spans="49:137" x14ac:dyDescent="0.2">
      <c r="AW43000" s="76"/>
      <c r="EG43000" s="76"/>
    </row>
    <row r="43023" spans="8:8" x14ac:dyDescent="0.2">
      <c r="H43023" s="76"/>
    </row>
    <row r="43091" spans="49:137" x14ac:dyDescent="0.2">
      <c r="AW43091" s="76"/>
      <c r="EG43091" s="76"/>
    </row>
    <row r="43112" spans="8:8" x14ac:dyDescent="0.2">
      <c r="H43112" s="76"/>
    </row>
    <row r="43182" spans="49:137" x14ac:dyDescent="0.2">
      <c r="AW43182" s="76"/>
      <c r="EG43182" s="76"/>
    </row>
    <row r="43201" spans="8:8" x14ac:dyDescent="0.2">
      <c r="H43201" s="76"/>
    </row>
    <row r="43273" spans="49:137" x14ac:dyDescent="0.2">
      <c r="AW43273" s="76"/>
      <c r="EG43273" s="76"/>
    </row>
    <row r="43292" spans="8:8" x14ac:dyDescent="0.2">
      <c r="H43292" s="76"/>
    </row>
    <row r="43364" spans="49:137" x14ac:dyDescent="0.2">
      <c r="AW43364" s="76"/>
      <c r="EG43364" s="76"/>
    </row>
    <row r="43381" spans="8:8" x14ac:dyDescent="0.2">
      <c r="H43381" s="76"/>
    </row>
    <row r="43455" spans="49:137" x14ac:dyDescent="0.2">
      <c r="AW43455" s="76"/>
      <c r="EG43455" s="76"/>
    </row>
    <row r="43470" spans="8:8" x14ac:dyDescent="0.2">
      <c r="H43470" s="76"/>
    </row>
    <row r="43546" spans="49:137" x14ac:dyDescent="0.2">
      <c r="AW43546" s="76"/>
      <c r="EG43546" s="76"/>
    </row>
    <row r="43559" spans="8:8" x14ac:dyDescent="0.2">
      <c r="H43559" s="76"/>
    </row>
    <row r="43637" spans="8:137" x14ac:dyDescent="0.2">
      <c r="AW43637" s="76"/>
      <c r="EG43637" s="76"/>
    </row>
    <row r="43648" spans="8:137" x14ac:dyDescent="0.2">
      <c r="H43648" s="76"/>
    </row>
    <row r="43728" spans="49:137" x14ac:dyDescent="0.2">
      <c r="AW43728" s="76"/>
      <c r="EG43728" s="76"/>
    </row>
    <row r="43737" spans="8:8" x14ac:dyDescent="0.2">
      <c r="H43737" s="76"/>
    </row>
    <row r="43819" spans="49:137" x14ac:dyDescent="0.2">
      <c r="AW43819" s="76"/>
      <c r="EG43819" s="76"/>
    </row>
    <row r="43826" spans="8:8" x14ac:dyDescent="0.2">
      <c r="H43826" s="76"/>
    </row>
    <row r="43910" spans="8:137" x14ac:dyDescent="0.2">
      <c r="AW43910" s="76"/>
      <c r="EG43910" s="76"/>
    </row>
    <row r="43915" spans="8:137" x14ac:dyDescent="0.2">
      <c r="H43915" s="76"/>
    </row>
    <row r="44001" spans="8:137" x14ac:dyDescent="0.2">
      <c r="AW44001" s="76"/>
      <c r="EG44001" s="76"/>
    </row>
    <row r="44004" spans="8:137" x14ac:dyDescent="0.2">
      <c r="H44004" s="76"/>
    </row>
    <row r="44092" spans="8:137" x14ac:dyDescent="0.2">
      <c r="AW44092" s="76"/>
      <c r="EG44092" s="76"/>
    </row>
    <row r="44093" spans="8:137" x14ac:dyDescent="0.2">
      <c r="H44093" s="76"/>
    </row>
    <row r="44182" spans="8:137" x14ac:dyDescent="0.2">
      <c r="H44182" s="76"/>
    </row>
    <row r="44183" spans="8:137" x14ac:dyDescent="0.2">
      <c r="AW44183" s="76"/>
      <c r="EG44183" s="76"/>
    </row>
    <row r="44271" spans="8:8" x14ac:dyDescent="0.2">
      <c r="H44271" s="76"/>
    </row>
    <row r="44274" spans="49:137" x14ac:dyDescent="0.2">
      <c r="AW44274" s="76"/>
      <c r="EG44274" s="76"/>
    </row>
    <row r="44360" spans="8:137" x14ac:dyDescent="0.2">
      <c r="H44360" s="76"/>
    </row>
    <row r="44365" spans="8:137" x14ac:dyDescent="0.2">
      <c r="AW44365" s="76"/>
      <c r="EG44365" s="76"/>
    </row>
    <row r="44449" spans="8:137" x14ac:dyDescent="0.2">
      <c r="H44449" s="76"/>
    </row>
    <row r="44456" spans="8:137" x14ac:dyDescent="0.2">
      <c r="AW44456" s="76"/>
      <c r="EG44456" s="76"/>
    </row>
    <row r="44538" spans="8:8" x14ac:dyDescent="0.2">
      <c r="H44538" s="76"/>
    </row>
    <row r="44547" spans="49:137" x14ac:dyDescent="0.2">
      <c r="AW44547" s="76"/>
      <c r="EG44547" s="76"/>
    </row>
    <row r="44627" spans="8:137" x14ac:dyDescent="0.2">
      <c r="H44627" s="76"/>
    </row>
    <row r="44638" spans="8:137" x14ac:dyDescent="0.2">
      <c r="AW44638" s="76"/>
      <c r="EG44638" s="76"/>
    </row>
    <row r="44716" spans="8:8" x14ac:dyDescent="0.2">
      <c r="H44716" s="76"/>
    </row>
    <row r="44729" spans="49:137" x14ac:dyDescent="0.2">
      <c r="AW44729" s="76"/>
      <c r="EG44729" s="76"/>
    </row>
    <row r="44805" spans="8:8" x14ac:dyDescent="0.2">
      <c r="H44805" s="76"/>
    </row>
    <row r="44820" spans="49:137" x14ac:dyDescent="0.2">
      <c r="AW44820" s="76"/>
      <c r="EG44820" s="76"/>
    </row>
    <row r="44894" spans="8:8" x14ac:dyDescent="0.2">
      <c r="H44894" s="76"/>
    </row>
    <row r="44911" spans="49:137" x14ac:dyDescent="0.2">
      <c r="AW44911" s="76"/>
      <c r="EG44911" s="76"/>
    </row>
    <row r="44983" spans="8:8" x14ac:dyDescent="0.2">
      <c r="H44983" s="76"/>
    </row>
    <row r="45002" spans="49:137" x14ac:dyDescent="0.2">
      <c r="AW45002" s="76"/>
      <c r="EG45002" s="76"/>
    </row>
    <row r="45072" spans="8:8" x14ac:dyDescent="0.2">
      <c r="H45072" s="76"/>
    </row>
    <row r="45093" spans="49:137" x14ac:dyDescent="0.2">
      <c r="AW45093" s="76"/>
      <c r="EG45093" s="76"/>
    </row>
    <row r="45161" spans="8:8" x14ac:dyDescent="0.2">
      <c r="H45161" s="76"/>
    </row>
    <row r="45184" spans="49:137" x14ac:dyDescent="0.2">
      <c r="AW45184" s="76"/>
      <c r="EG45184" s="76"/>
    </row>
    <row r="45250" spans="8:8" x14ac:dyDescent="0.2">
      <c r="H45250" s="76"/>
    </row>
    <row r="45275" spans="49:137" x14ac:dyDescent="0.2">
      <c r="AW45275" s="76"/>
      <c r="EG45275" s="76"/>
    </row>
    <row r="45339" spans="8:8" x14ac:dyDescent="0.2">
      <c r="H45339" s="76"/>
    </row>
    <row r="45366" spans="49:137" x14ac:dyDescent="0.2">
      <c r="AW45366" s="76"/>
      <c r="EG45366" s="76"/>
    </row>
    <row r="45428" spans="8:8" x14ac:dyDescent="0.2">
      <c r="H45428" s="76"/>
    </row>
    <row r="45457" spans="49:137" x14ac:dyDescent="0.2">
      <c r="AW45457" s="76"/>
      <c r="EG45457" s="76"/>
    </row>
    <row r="45517" spans="8:8" x14ac:dyDescent="0.2">
      <c r="H45517" s="76"/>
    </row>
    <row r="45548" spans="49:137" x14ac:dyDescent="0.2">
      <c r="AW45548" s="76"/>
      <c r="EG45548" s="76"/>
    </row>
    <row r="45606" spans="8:8" x14ac:dyDescent="0.2">
      <c r="H45606" s="76"/>
    </row>
    <row r="45639" spans="49:137" x14ac:dyDescent="0.2">
      <c r="AW45639" s="76"/>
      <c r="EG45639" s="76"/>
    </row>
    <row r="45695" spans="8:8" x14ac:dyDescent="0.2">
      <c r="H45695" s="76"/>
    </row>
    <row r="45730" spans="49:137" x14ac:dyDescent="0.2">
      <c r="AW45730" s="76"/>
      <c r="EG45730" s="76"/>
    </row>
    <row r="45784" spans="8:8" x14ac:dyDescent="0.2">
      <c r="H45784" s="76"/>
    </row>
    <row r="45821" spans="49:137" x14ac:dyDescent="0.2">
      <c r="AW45821" s="76"/>
      <c r="EG45821" s="76"/>
    </row>
    <row r="45875" spans="8:8" x14ac:dyDescent="0.2">
      <c r="H45875" s="76"/>
    </row>
    <row r="45912" spans="49:137" x14ac:dyDescent="0.2">
      <c r="AW45912" s="76"/>
      <c r="EG45912" s="76"/>
    </row>
    <row r="45964" spans="8:8" x14ac:dyDescent="0.2">
      <c r="H45964" s="76"/>
    </row>
    <row r="46003" spans="49:137" x14ac:dyDescent="0.2">
      <c r="AW46003" s="76"/>
      <c r="EG46003" s="76"/>
    </row>
    <row r="46053" spans="8:8" x14ac:dyDescent="0.2">
      <c r="H46053" s="76"/>
    </row>
    <row r="46094" spans="49:137" x14ac:dyDescent="0.2">
      <c r="AW46094" s="76"/>
      <c r="EG46094" s="76"/>
    </row>
    <row r="46142" spans="8:8" x14ac:dyDescent="0.2">
      <c r="H46142" s="76"/>
    </row>
    <row r="46185" spans="49:137" x14ac:dyDescent="0.2">
      <c r="AW46185" s="76"/>
      <c r="EG46185" s="76"/>
    </row>
    <row r="46231" spans="8:8" x14ac:dyDescent="0.2">
      <c r="H46231" s="76"/>
    </row>
    <row r="46276" spans="49:137" x14ac:dyDescent="0.2">
      <c r="AW46276" s="76"/>
      <c r="EG46276" s="76"/>
    </row>
    <row r="46320" spans="8:8" x14ac:dyDescent="0.2">
      <c r="H46320" s="76"/>
    </row>
    <row r="46367" spans="49:137" x14ac:dyDescent="0.2">
      <c r="AW46367" s="76"/>
      <c r="EG46367" s="76"/>
    </row>
    <row r="46409" spans="8:8" x14ac:dyDescent="0.2">
      <c r="H46409" s="76"/>
    </row>
    <row r="46458" spans="49:137" x14ac:dyDescent="0.2">
      <c r="AW46458" s="76"/>
      <c r="EG46458" s="76"/>
    </row>
    <row r="46498" spans="8:8" x14ac:dyDescent="0.2">
      <c r="H46498" s="76"/>
    </row>
    <row r="46549" spans="49:137" x14ac:dyDescent="0.2">
      <c r="AW46549" s="76"/>
      <c r="EG46549" s="76"/>
    </row>
    <row r="46587" spans="8:8" x14ac:dyDescent="0.2">
      <c r="H46587" s="76"/>
    </row>
    <row r="46640" spans="49:137" x14ac:dyDescent="0.2">
      <c r="AW46640" s="76"/>
      <c r="EG46640" s="76"/>
    </row>
    <row r="46676" spans="8:8" x14ac:dyDescent="0.2">
      <c r="H46676" s="76"/>
    </row>
    <row r="46731" spans="49:137" x14ac:dyDescent="0.2">
      <c r="AW46731" s="76"/>
      <c r="EG46731" s="76"/>
    </row>
    <row r="46765" spans="8:8" x14ac:dyDescent="0.2">
      <c r="H46765" s="76"/>
    </row>
    <row r="46822" spans="49:137" x14ac:dyDescent="0.2">
      <c r="AW46822" s="76"/>
      <c r="EG46822" s="76"/>
    </row>
    <row r="46854" spans="8:8" x14ac:dyDescent="0.2">
      <c r="H46854" s="76"/>
    </row>
    <row r="46911" spans="49:137" x14ac:dyDescent="0.2">
      <c r="AW46911" s="76"/>
      <c r="EG46911" s="76"/>
    </row>
    <row r="46943" spans="8:8" x14ac:dyDescent="0.2">
      <c r="H46943" s="76"/>
    </row>
    <row r="47000" spans="49:137" x14ac:dyDescent="0.2">
      <c r="AW47000" s="76"/>
      <c r="EG47000" s="76"/>
    </row>
    <row r="47032" spans="8:8" x14ac:dyDescent="0.2">
      <c r="H47032" s="76"/>
    </row>
    <row r="47089" spans="49:137" x14ac:dyDescent="0.2">
      <c r="AW47089" s="76"/>
      <c r="EG47089" s="76"/>
    </row>
    <row r="47121" spans="8:8" x14ac:dyDescent="0.2">
      <c r="H47121" s="76"/>
    </row>
    <row r="47174" spans="49:137" x14ac:dyDescent="0.2">
      <c r="AW47174" s="76"/>
      <c r="EG47174" s="76"/>
    </row>
    <row r="47210" spans="8:8" x14ac:dyDescent="0.2">
      <c r="H47210" s="76"/>
    </row>
    <row r="47265" spans="49:137" x14ac:dyDescent="0.2">
      <c r="AW47265" s="76"/>
      <c r="EG47265" s="76"/>
    </row>
    <row r="47299" spans="8:8" x14ac:dyDescent="0.2">
      <c r="H47299" s="76"/>
    </row>
    <row r="47354" spans="49:137" x14ac:dyDescent="0.2">
      <c r="AW47354" s="76"/>
      <c r="EG47354" s="76"/>
    </row>
    <row r="47388" spans="8:8" x14ac:dyDescent="0.2">
      <c r="H47388" s="76"/>
    </row>
    <row r="47443" spans="49:137" x14ac:dyDescent="0.2">
      <c r="AW47443" s="76"/>
      <c r="EG47443" s="76"/>
    </row>
    <row r="47477" spans="8:8" x14ac:dyDescent="0.2">
      <c r="H47477" s="76"/>
    </row>
    <row r="47528" spans="49:137" x14ac:dyDescent="0.2">
      <c r="AW47528" s="76"/>
      <c r="EG47528" s="76"/>
    </row>
    <row r="47566" spans="8:8" x14ac:dyDescent="0.2">
      <c r="H47566" s="76"/>
    </row>
    <row r="47619" spans="49:137" x14ac:dyDescent="0.2">
      <c r="AW47619" s="76"/>
      <c r="EG47619" s="76"/>
    </row>
    <row r="47655" spans="8:8" x14ac:dyDescent="0.2">
      <c r="H47655" s="76"/>
    </row>
    <row r="47708" spans="49:137" x14ac:dyDescent="0.2">
      <c r="AW47708" s="76"/>
      <c r="EG47708" s="76"/>
    </row>
    <row r="47744" spans="8:8" x14ac:dyDescent="0.2">
      <c r="H47744" s="76"/>
    </row>
    <row r="47797" spans="49:137" x14ac:dyDescent="0.2">
      <c r="AW47797" s="76"/>
      <c r="EG47797" s="76"/>
    </row>
    <row r="47833" spans="8:8" x14ac:dyDescent="0.2">
      <c r="H47833" s="76"/>
    </row>
    <row r="47882" spans="49:137" x14ac:dyDescent="0.2">
      <c r="AW47882" s="76"/>
      <c r="EG47882" s="76"/>
    </row>
    <row r="47922" spans="8:8" x14ac:dyDescent="0.2">
      <c r="H47922" s="76"/>
    </row>
    <row r="47966" spans="44:51" x14ac:dyDescent="0.2">
      <c r="AR47966" s="90"/>
      <c r="AW47966" s="90"/>
      <c r="AY47966" s="90"/>
    </row>
    <row r="47967" spans="44:51" x14ac:dyDescent="0.2">
      <c r="AU47967" s="90"/>
      <c r="AW47967" s="90"/>
    </row>
    <row r="47972" spans="43:137" x14ac:dyDescent="0.2">
      <c r="AW47972" s="76"/>
      <c r="EG47972" s="76"/>
    </row>
    <row r="47980" spans="43:137" x14ac:dyDescent="0.2">
      <c r="AQ47980" s="90"/>
      <c r="AV47980" s="90"/>
      <c r="AX47980" s="90"/>
    </row>
    <row r="47981" spans="43:137" x14ac:dyDescent="0.2">
      <c r="AU47981" s="90"/>
      <c r="AY47981" s="90"/>
    </row>
    <row r="47983" spans="43:137" x14ac:dyDescent="0.2">
      <c r="AQ47983" s="90"/>
      <c r="AV47983" s="90"/>
      <c r="AX47983" s="90"/>
    </row>
    <row r="47984" spans="43:137" x14ac:dyDescent="0.2">
      <c r="AU47984" s="90"/>
      <c r="AY47984" s="90"/>
    </row>
    <row r="47986" spans="43:51" x14ac:dyDescent="0.2">
      <c r="AQ47986" s="90"/>
      <c r="AV47986" s="90"/>
      <c r="AX47986" s="90"/>
    </row>
    <row r="47987" spans="43:51" x14ac:dyDescent="0.2">
      <c r="AU47987" s="90"/>
      <c r="AY47987" s="90"/>
    </row>
    <row r="48011" spans="8:8" x14ac:dyDescent="0.2">
      <c r="H48011" s="76"/>
    </row>
    <row r="48061" spans="49:137" x14ac:dyDescent="0.2">
      <c r="AW48061" s="76"/>
      <c r="EG48061" s="76"/>
    </row>
    <row r="48093" spans="47:50" x14ac:dyDescent="0.2">
      <c r="AV48093" s="90"/>
      <c r="AX48093" s="90"/>
    </row>
    <row r="48094" spans="47:50" x14ac:dyDescent="0.2">
      <c r="AU48094" s="90"/>
      <c r="AW48094" s="90"/>
    </row>
    <row r="48096" spans="47:50" x14ac:dyDescent="0.2">
      <c r="AV48096" s="90"/>
      <c r="AX48096" s="90"/>
    </row>
    <row r="48097" spans="8:51" x14ac:dyDescent="0.2">
      <c r="AU48097" s="90"/>
      <c r="AY48097" s="90"/>
    </row>
    <row r="48099" spans="8:51" x14ac:dyDescent="0.2">
      <c r="AW48099" s="90"/>
      <c r="AY48099" s="90"/>
    </row>
    <row r="48100" spans="8:51" x14ac:dyDescent="0.2">
      <c r="H48100" s="76"/>
      <c r="AU48100" s="90"/>
      <c r="AW48100" s="90"/>
    </row>
    <row r="48150" spans="49:137" x14ac:dyDescent="0.2">
      <c r="AW48150" s="76"/>
      <c r="EG48150" s="76"/>
    </row>
    <row r="48189" spans="8:8" x14ac:dyDescent="0.2">
      <c r="H48189" s="76"/>
    </row>
    <row r="48239" spans="49:137" x14ac:dyDescent="0.2">
      <c r="AW48239" s="76"/>
      <c r="EG48239" s="76"/>
    </row>
    <row r="48278" spans="8:8" x14ac:dyDescent="0.2">
      <c r="H48278" s="76"/>
    </row>
    <row r="48328" spans="49:137" x14ac:dyDescent="0.2">
      <c r="AW48328" s="76"/>
      <c r="EG48328" s="76"/>
    </row>
    <row r="48367" spans="8:8" x14ac:dyDescent="0.2">
      <c r="H48367" s="76"/>
    </row>
    <row r="48417" spans="49:137" x14ac:dyDescent="0.2">
      <c r="AW48417" s="76"/>
      <c r="EG48417" s="76"/>
    </row>
    <row r="48458" spans="8:8" x14ac:dyDescent="0.2">
      <c r="H48458" s="76"/>
    </row>
    <row r="48506" spans="49:137" x14ac:dyDescent="0.2">
      <c r="AW48506" s="76"/>
      <c r="EG48506" s="76"/>
    </row>
    <row r="48595" spans="49:137" x14ac:dyDescent="0.2">
      <c r="AW48595" s="76"/>
      <c r="EG48595" s="76"/>
    </row>
    <row r="48686" spans="49:137" x14ac:dyDescent="0.2">
      <c r="AW48686" s="76"/>
      <c r="EG48686" s="76"/>
    </row>
    <row r="48775" spans="49:137" x14ac:dyDescent="0.2">
      <c r="AW48775" s="76"/>
      <c r="EG48775" s="76"/>
    </row>
    <row r="48864" spans="49:137" x14ac:dyDescent="0.2">
      <c r="AW48864" s="76"/>
      <c r="EG48864" s="76"/>
    </row>
    <row r="48953" spans="49:137" x14ac:dyDescent="0.2">
      <c r="AW48953" s="76"/>
      <c r="EG48953" s="76"/>
    </row>
    <row r="49042" spans="49:137" x14ac:dyDescent="0.2">
      <c r="AW49042" s="76"/>
      <c r="EG49042" s="76"/>
    </row>
    <row r="49131" spans="49:137" x14ac:dyDescent="0.2">
      <c r="AW49131" s="76"/>
      <c r="EG49131" s="76"/>
    </row>
    <row r="49220" spans="49:137" x14ac:dyDescent="0.2">
      <c r="AW49220" s="76"/>
      <c r="EG49220" s="76"/>
    </row>
    <row r="49311" spans="49:137" x14ac:dyDescent="0.2">
      <c r="AW49311" s="76"/>
      <c r="EG49311" s="76"/>
    </row>
    <row r="49400" spans="49:137" x14ac:dyDescent="0.2">
      <c r="AW49400" s="76"/>
      <c r="EG49400" s="76"/>
    </row>
    <row r="49489" spans="49:137" x14ac:dyDescent="0.2">
      <c r="AW49489" s="76"/>
      <c r="EG49489" s="76"/>
    </row>
    <row r="49578" spans="49:137" x14ac:dyDescent="0.2">
      <c r="AW49578" s="76"/>
      <c r="EG49578" s="76"/>
    </row>
    <row r="49667" spans="49:137" x14ac:dyDescent="0.2">
      <c r="AW49667" s="76"/>
      <c r="EG49667" s="76"/>
    </row>
    <row r="49756" spans="49:137" x14ac:dyDescent="0.2">
      <c r="AW49756" s="76"/>
      <c r="EG49756" s="76"/>
    </row>
    <row r="49845" spans="49:137" x14ac:dyDescent="0.2">
      <c r="AW49845" s="76"/>
      <c r="EG49845" s="76"/>
    </row>
    <row r="49936" spans="49:137" x14ac:dyDescent="0.2">
      <c r="AW49936" s="76"/>
      <c r="EG49936" s="76"/>
    </row>
    <row r="50025" spans="49:137" x14ac:dyDescent="0.2">
      <c r="AW50025" s="76"/>
      <c r="EG50025" s="76"/>
    </row>
    <row r="50114" spans="49:137" x14ac:dyDescent="0.2">
      <c r="AW50114" s="76"/>
      <c r="EG50114" s="76"/>
    </row>
    <row r="50203" spans="49:137" x14ac:dyDescent="0.2">
      <c r="AW50203" s="76"/>
      <c r="EG50203" s="76"/>
    </row>
    <row r="50292" spans="49:137" x14ac:dyDescent="0.2">
      <c r="AW50292" s="76"/>
      <c r="EG50292" s="76"/>
    </row>
    <row r="50381" spans="49:137" x14ac:dyDescent="0.2">
      <c r="AW50381" s="76"/>
      <c r="EG50381" s="76"/>
    </row>
    <row r="50470" spans="49:137" x14ac:dyDescent="0.2">
      <c r="AW50470" s="76"/>
      <c r="EG50470" s="76"/>
    </row>
    <row r="50561" spans="49:137" x14ac:dyDescent="0.2">
      <c r="AW50561" s="76"/>
      <c r="EG50561" s="76"/>
    </row>
    <row r="50650" spans="49:137" x14ac:dyDescent="0.2">
      <c r="AW50650" s="76"/>
      <c r="EG50650" s="76"/>
    </row>
    <row r="50739" spans="49:137" x14ac:dyDescent="0.2">
      <c r="AW50739" s="76"/>
      <c r="EG50739" s="76"/>
    </row>
    <row r="50828" spans="49:137" x14ac:dyDescent="0.2">
      <c r="AW50828" s="76"/>
      <c r="EG50828" s="76"/>
    </row>
    <row r="50917" spans="49:137" x14ac:dyDescent="0.2">
      <c r="AW50917" s="76"/>
      <c r="EG50917" s="76"/>
    </row>
    <row r="51006" spans="49:137" x14ac:dyDescent="0.2">
      <c r="AW51006" s="76"/>
      <c r="EG51006" s="76"/>
    </row>
    <row r="51095" spans="49:137" x14ac:dyDescent="0.2">
      <c r="AW51095" s="76"/>
      <c r="EG51095" s="76"/>
    </row>
    <row r="51184" spans="49:137" x14ac:dyDescent="0.2">
      <c r="AW51184" s="76"/>
      <c r="EG51184" s="76"/>
    </row>
    <row r="51273" spans="49:137" x14ac:dyDescent="0.2">
      <c r="AW51273" s="76"/>
      <c r="EG51273" s="76"/>
    </row>
    <row r="51362" spans="49:137" x14ac:dyDescent="0.2">
      <c r="AW51362" s="76"/>
      <c r="EG51362" s="76"/>
    </row>
    <row r="51451" spans="49:137" x14ac:dyDescent="0.2">
      <c r="AW51451" s="76"/>
      <c r="EG51451" s="76"/>
    </row>
    <row r="51540" spans="49:137" x14ac:dyDescent="0.2">
      <c r="AW51540" s="76"/>
      <c r="EG51540" s="76"/>
    </row>
    <row r="51629" spans="49:137" x14ac:dyDescent="0.2">
      <c r="AW51629" s="76"/>
      <c r="EG51629" s="76"/>
    </row>
    <row r="51720" spans="49:137" x14ac:dyDescent="0.2">
      <c r="AW51720" s="76"/>
      <c r="EG51720" s="76"/>
    </row>
    <row r="51809" spans="49:137" x14ac:dyDescent="0.2">
      <c r="AW51809" s="76"/>
      <c r="EG51809" s="76"/>
    </row>
    <row r="51898" spans="49:137" x14ac:dyDescent="0.2">
      <c r="AW51898" s="76"/>
      <c r="EG51898" s="76"/>
    </row>
    <row r="51987" spans="49:137" x14ac:dyDescent="0.2">
      <c r="AW51987" s="76"/>
      <c r="EG51987" s="76"/>
    </row>
    <row r="52076" spans="49:137" x14ac:dyDescent="0.2">
      <c r="AW52076" s="76"/>
      <c r="EG52076" s="76"/>
    </row>
    <row r="52167" spans="49:137" x14ac:dyDescent="0.2">
      <c r="AW52167" s="76"/>
      <c r="EG52167" s="76"/>
    </row>
    <row r="52256" spans="49:137" x14ac:dyDescent="0.2">
      <c r="AW52256" s="76"/>
      <c r="EG52256" s="76"/>
    </row>
    <row r="52345" spans="49:137" x14ac:dyDescent="0.2">
      <c r="AW52345" s="76"/>
      <c r="EG52345" s="76"/>
    </row>
    <row r="52436" spans="49:137" x14ac:dyDescent="0.2">
      <c r="AW52436" s="76"/>
      <c r="EG52436" s="76"/>
    </row>
    <row r="52525" spans="49:137" x14ac:dyDescent="0.2">
      <c r="AW52525" s="76"/>
      <c r="EG52525" s="76"/>
    </row>
    <row r="52614" spans="49:137" x14ac:dyDescent="0.2">
      <c r="AW52614" s="76"/>
      <c r="EG52614" s="76"/>
    </row>
    <row r="52703" spans="49:137" x14ac:dyDescent="0.2">
      <c r="AW52703" s="76"/>
      <c r="EG52703" s="76"/>
    </row>
    <row r="52792" spans="49:137" x14ac:dyDescent="0.2">
      <c r="AW52792" s="76"/>
      <c r="EG52792" s="76"/>
    </row>
    <row r="52881" spans="49:137" x14ac:dyDescent="0.2">
      <c r="AW52881" s="76"/>
      <c r="EG52881" s="76"/>
    </row>
    <row r="52970" spans="49:137" x14ac:dyDescent="0.2">
      <c r="AW52970" s="76"/>
      <c r="EG52970" s="76"/>
    </row>
    <row r="53061" spans="49:137" x14ac:dyDescent="0.2">
      <c r="AW53061" s="76"/>
      <c r="EG53061" s="76"/>
    </row>
    <row r="53150" spans="49:137" x14ac:dyDescent="0.2">
      <c r="AW53150" s="76"/>
      <c r="EG53150" s="76"/>
    </row>
    <row r="53239" spans="49:137" x14ac:dyDescent="0.2">
      <c r="AW53239" s="76"/>
      <c r="EG53239" s="76"/>
    </row>
    <row r="53328" spans="49:137" x14ac:dyDescent="0.2">
      <c r="AW53328" s="76"/>
      <c r="EG53328" s="76"/>
    </row>
    <row r="53417" spans="49:137" x14ac:dyDescent="0.2">
      <c r="AW53417" s="76"/>
      <c r="EG53417" s="76"/>
    </row>
    <row r="53506" spans="49:137" x14ac:dyDescent="0.2">
      <c r="AW53506" s="76"/>
      <c r="EG53506" s="76"/>
    </row>
    <row r="53595" spans="49:137" x14ac:dyDescent="0.2">
      <c r="AW53595" s="76"/>
      <c r="EG53595" s="76"/>
    </row>
    <row r="53686" spans="49:137" x14ac:dyDescent="0.2">
      <c r="AW53686" s="76"/>
      <c r="EG53686" s="76"/>
    </row>
    <row r="53775" spans="49:137" x14ac:dyDescent="0.2">
      <c r="AW53775" s="76"/>
      <c r="EG53775" s="76"/>
    </row>
    <row r="53864" spans="49:137" x14ac:dyDescent="0.2">
      <c r="AW53864" s="76"/>
      <c r="EG53864" s="76"/>
    </row>
    <row r="53953" spans="49:137" x14ac:dyDescent="0.2">
      <c r="AW53953" s="76"/>
      <c r="EG53953" s="76"/>
    </row>
    <row r="54042" spans="49:137" x14ac:dyDescent="0.2">
      <c r="AW54042" s="76"/>
      <c r="EG54042" s="76"/>
    </row>
    <row r="54131" spans="49:137" x14ac:dyDescent="0.2">
      <c r="AW54131" s="76"/>
      <c r="EG54131" s="76"/>
    </row>
    <row r="54220" spans="49:137" x14ac:dyDescent="0.2">
      <c r="AW54220" s="76"/>
      <c r="EG54220" s="76"/>
    </row>
    <row r="54311" spans="49:137" x14ac:dyDescent="0.2">
      <c r="AW54311" s="76"/>
      <c r="EG54311" s="76"/>
    </row>
    <row r="54400" spans="49:137" x14ac:dyDescent="0.2">
      <c r="AW54400" s="76"/>
      <c r="EG54400" s="76"/>
    </row>
    <row r="54489" spans="49:137" x14ac:dyDescent="0.2">
      <c r="AW54489" s="76"/>
      <c r="EG54489" s="76"/>
    </row>
    <row r="54578" spans="49:137" x14ac:dyDescent="0.2">
      <c r="AW54578" s="76"/>
      <c r="EG54578" s="76"/>
    </row>
    <row r="54667" spans="49:137" x14ac:dyDescent="0.2">
      <c r="AW54667" s="76"/>
      <c r="EG54667" s="76"/>
    </row>
    <row r="54756" spans="49:137" x14ac:dyDescent="0.2">
      <c r="AW54756" s="76"/>
      <c r="EG54756" s="76"/>
    </row>
    <row r="54845" spans="49:137" x14ac:dyDescent="0.2">
      <c r="AW54845" s="76"/>
      <c r="EG54845" s="76"/>
    </row>
    <row r="54934" spans="49:137" x14ac:dyDescent="0.2">
      <c r="AW54934" s="76"/>
      <c r="EG54934" s="76"/>
    </row>
    <row r="55025" spans="49:137" x14ac:dyDescent="0.2">
      <c r="AW55025" s="76"/>
      <c r="EG55025" s="76"/>
    </row>
    <row r="55114" spans="49:137" x14ac:dyDescent="0.2">
      <c r="AW55114" s="76"/>
      <c r="EG55114" s="76"/>
    </row>
    <row r="55203" spans="49:137" x14ac:dyDescent="0.2">
      <c r="AW55203" s="76"/>
      <c r="EG55203" s="76"/>
    </row>
    <row r="55292" spans="49:137" x14ac:dyDescent="0.2">
      <c r="AW55292" s="76"/>
      <c r="EG55292" s="76"/>
    </row>
    <row r="55381" spans="49:137" x14ac:dyDescent="0.2">
      <c r="AW55381" s="76"/>
      <c r="EG55381" s="76"/>
    </row>
    <row r="55470" spans="49:137" x14ac:dyDescent="0.2">
      <c r="AW55470" s="76"/>
      <c r="EG55470" s="76"/>
    </row>
    <row r="55559" spans="49:137" x14ac:dyDescent="0.2">
      <c r="AW55559" s="76"/>
      <c r="EG55559" s="76"/>
    </row>
    <row r="55650" spans="49:137" x14ac:dyDescent="0.2">
      <c r="AW55650" s="76"/>
      <c r="EG55650" s="76"/>
    </row>
    <row r="55739" spans="49:137" x14ac:dyDescent="0.2">
      <c r="AW55739" s="76"/>
      <c r="EG55739" s="76"/>
    </row>
    <row r="55828" spans="49:137" x14ac:dyDescent="0.2">
      <c r="AW55828" s="76"/>
      <c r="EG55828" s="76"/>
    </row>
    <row r="55917" spans="49:137" x14ac:dyDescent="0.2">
      <c r="AW55917" s="76"/>
      <c r="EG55917" s="76"/>
    </row>
    <row r="56006" spans="49:137" x14ac:dyDescent="0.2">
      <c r="AW56006" s="76"/>
      <c r="EG56006" s="76"/>
    </row>
    <row r="56095" spans="49:137" x14ac:dyDescent="0.2">
      <c r="AW56095" s="76"/>
      <c r="EG56095" s="76"/>
    </row>
    <row r="56184" spans="49:137" x14ac:dyDescent="0.2">
      <c r="AW56184" s="76"/>
      <c r="EG56184" s="76"/>
    </row>
    <row r="56275" spans="49:137" x14ac:dyDescent="0.2">
      <c r="AW56275" s="76"/>
      <c r="EG56275" s="76"/>
    </row>
    <row r="56364" spans="49:137" x14ac:dyDescent="0.2">
      <c r="AW56364" s="76"/>
      <c r="EG56364" s="76"/>
    </row>
    <row r="56453" spans="49:137" x14ac:dyDescent="0.2">
      <c r="AW56453" s="76"/>
      <c r="EG56453" s="76"/>
    </row>
    <row r="56544" spans="49:137" x14ac:dyDescent="0.2">
      <c r="AW56544" s="76"/>
      <c r="EG56544" s="76"/>
    </row>
    <row r="56633" spans="49:137" x14ac:dyDescent="0.2">
      <c r="AW56633" s="76"/>
      <c r="EG56633" s="76"/>
    </row>
    <row r="56722" spans="49:137" x14ac:dyDescent="0.2">
      <c r="AW56722" s="76"/>
      <c r="EG56722" s="76"/>
    </row>
    <row r="56811" spans="49:137" x14ac:dyDescent="0.2">
      <c r="AW56811" s="76"/>
      <c r="EG56811" s="76"/>
    </row>
    <row r="56900" spans="49:137" x14ac:dyDescent="0.2">
      <c r="AW56900" s="76"/>
      <c r="EG56900" s="76"/>
    </row>
    <row r="56989" spans="49:137" x14ac:dyDescent="0.2">
      <c r="AW56989" s="76"/>
      <c r="EG56989" s="76"/>
    </row>
    <row r="57078" spans="49:137" x14ac:dyDescent="0.2">
      <c r="AW57078" s="76"/>
      <c r="EG57078" s="76"/>
    </row>
    <row r="57169" spans="49:137" x14ac:dyDescent="0.2">
      <c r="AW57169" s="76"/>
      <c r="EG57169" s="76"/>
    </row>
    <row r="57258" spans="49:137" x14ac:dyDescent="0.2">
      <c r="AW57258" s="76"/>
      <c r="EG57258" s="76"/>
    </row>
    <row r="57347" spans="49:137" x14ac:dyDescent="0.2">
      <c r="AW57347" s="76"/>
      <c r="EG57347" s="76"/>
    </row>
    <row r="57438" spans="49:137" x14ac:dyDescent="0.2">
      <c r="AW57438" s="76"/>
      <c r="EG57438" s="76"/>
    </row>
    <row r="57527" spans="49:137" x14ac:dyDescent="0.2">
      <c r="AW57527" s="76"/>
      <c r="EG57527" s="76"/>
    </row>
    <row r="57616" spans="49:137" x14ac:dyDescent="0.2">
      <c r="AW57616" s="76"/>
      <c r="EG57616" s="76"/>
    </row>
    <row r="57707" spans="49:137" x14ac:dyDescent="0.2">
      <c r="AW57707" s="76"/>
      <c r="EG57707" s="76"/>
    </row>
    <row r="57796" spans="49:137" x14ac:dyDescent="0.2">
      <c r="AW57796" s="76"/>
      <c r="EG57796" s="76"/>
    </row>
    <row r="57885" spans="49:137" x14ac:dyDescent="0.2">
      <c r="AW57885" s="76"/>
      <c r="EG57885" s="76"/>
    </row>
    <row r="57974" spans="49:137" x14ac:dyDescent="0.2">
      <c r="AW57974" s="76"/>
      <c r="EG57974" s="76"/>
    </row>
    <row r="58063" spans="49:137" x14ac:dyDescent="0.2">
      <c r="AW58063" s="76"/>
      <c r="EG58063" s="76"/>
    </row>
    <row r="58152" spans="49:137" x14ac:dyDescent="0.2">
      <c r="AW58152" s="76"/>
      <c r="EG58152" s="76"/>
    </row>
    <row r="58241" spans="49:137" x14ac:dyDescent="0.2">
      <c r="AW58241" s="76"/>
      <c r="EG58241" s="76"/>
    </row>
    <row r="58332" spans="49:137" x14ac:dyDescent="0.2">
      <c r="AW58332" s="76"/>
      <c r="EG58332" s="76"/>
    </row>
    <row r="58421" spans="49:137" x14ac:dyDescent="0.2">
      <c r="AW58421" s="76"/>
      <c r="EG58421" s="76"/>
    </row>
    <row r="58510" spans="49:137" x14ac:dyDescent="0.2">
      <c r="AW58510" s="76"/>
      <c r="EG58510" s="76"/>
    </row>
    <row r="58599" spans="49:137" x14ac:dyDescent="0.2">
      <c r="AW58599" s="76"/>
      <c r="EG58599" s="76"/>
    </row>
    <row r="58688" spans="49:137" x14ac:dyDescent="0.2">
      <c r="AW58688" s="76"/>
      <c r="EG58688" s="76"/>
    </row>
    <row r="58777" spans="49:137" x14ac:dyDescent="0.2">
      <c r="AW58777" s="76"/>
      <c r="EG58777" s="76"/>
    </row>
    <row r="58866" spans="49:137" x14ac:dyDescent="0.2">
      <c r="AW58866" s="76"/>
      <c r="EG58866" s="76"/>
    </row>
    <row r="58955" spans="49:137" x14ac:dyDescent="0.2">
      <c r="AW58955" s="76"/>
      <c r="EG58955" s="76"/>
    </row>
    <row r="59046" spans="49:137" x14ac:dyDescent="0.2">
      <c r="AW59046" s="76"/>
      <c r="EG59046" s="76"/>
    </row>
    <row r="59135" spans="49:137" x14ac:dyDescent="0.2">
      <c r="AW59135" s="76"/>
      <c r="EG59135" s="76"/>
    </row>
    <row r="59224" spans="49:137" x14ac:dyDescent="0.2">
      <c r="AW59224" s="76"/>
      <c r="EG59224" s="76"/>
    </row>
    <row r="59313" spans="49:137" x14ac:dyDescent="0.2">
      <c r="AW59313" s="76"/>
      <c r="EG59313" s="76"/>
    </row>
    <row r="59402" spans="49:137" x14ac:dyDescent="0.2">
      <c r="AW59402" s="76"/>
      <c r="EG59402" s="76"/>
    </row>
    <row r="59491" spans="49:137" x14ac:dyDescent="0.2">
      <c r="AW59491" s="76"/>
      <c r="EG59491" s="76"/>
    </row>
    <row r="59580" spans="49:137" x14ac:dyDescent="0.2">
      <c r="AW59580" s="76"/>
      <c r="EG59580" s="76"/>
    </row>
    <row r="59671" spans="49:137" x14ac:dyDescent="0.2">
      <c r="AW59671" s="76"/>
      <c r="EG59671" s="76"/>
    </row>
    <row r="59760" spans="49:137" x14ac:dyDescent="0.2">
      <c r="AW59760" s="76"/>
      <c r="EG59760" s="76"/>
    </row>
    <row r="59849" spans="49:137" x14ac:dyDescent="0.2">
      <c r="AW59849" s="76"/>
      <c r="EG59849" s="76"/>
    </row>
    <row r="59938" spans="49:137" x14ac:dyDescent="0.2">
      <c r="AW59938" s="76"/>
      <c r="EG59938" s="76"/>
    </row>
    <row r="60027" spans="49:137" x14ac:dyDescent="0.2">
      <c r="AW60027" s="76"/>
      <c r="EG60027" s="76"/>
    </row>
    <row r="60116" spans="49:137" x14ac:dyDescent="0.2">
      <c r="AW60116" s="76"/>
      <c r="EG60116" s="76"/>
    </row>
    <row r="60205" spans="49:137" x14ac:dyDescent="0.2">
      <c r="AW60205" s="76"/>
      <c r="EG60205" s="76"/>
    </row>
    <row r="60296" spans="49:137" x14ac:dyDescent="0.2">
      <c r="AW60296" s="76"/>
      <c r="EG60296" s="76"/>
    </row>
    <row r="60385" spans="49:137" x14ac:dyDescent="0.2">
      <c r="AW60385" s="76"/>
      <c r="EG60385" s="76"/>
    </row>
    <row r="60474" spans="49:137" x14ac:dyDescent="0.2">
      <c r="AW60474" s="76"/>
      <c r="EG60474" s="76"/>
    </row>
    <row r="60563" spans="49:137" x14ac:dyDescent="0.2">
      <c r="AW60563" s="76"/>
      <c r="EG60563" s="76"/>
    </row>
    <row r="60646" spans="49:137" x14ac:dyDescent="0.2">
      <c r="AW60646" s="76"/>
      <c r="EG60646" s="76"/>
    </row>
    <row r="60735" spans="49:137" x14ac:dyDescent="0.2">
      <c r="AW60735" s="76"/>
      <c r="EG60735" s="76"/>
    </row>
    <row r="60824" spans="49:137" x14ac:dyDescent="0.2">
      <c r="AW60824" s="76"/>
      <c r="EG60824" s="76"/>
    </row>
    <row r="60913" spans="49:137" x14ac:dyDescent="0.2">
      <c r="AW60913" s="76"/>
      <c r="EG60913" s="76"/>
    </row>
    <row r="61002" spans="49:137" x14ac:dyDescent="0.2">
      <c r="AW61002" s="76"/>
      <c r="EG61002" s="76"/>
    </row>
    <row r="61091" spans="49:137" x14ac:dyDescent="0.2">
      <c r="AW61091" s="76"/>
      <c r="EG61091" s="76"/>
    </row>
    <row r="61180" spans="49:137" x14ac:dyDescent="0.2">
      <c r="AW61180" s="76"/>
      <c r="EG61180" s="76"/>
    </row>
    <row r="61269" spans="49:137" x14ac:dyDescent="0.2">
      <c r="AW61269" s="76"/>
      <c r="EG61269" s="76"/>
    </row>
    <row r="61360" spans="49:137" x14ac:dyDescent="0.2">
      <c r="AW61360" s="76"/>
      <c r="EG61360" s="76"/>
    </row>
    <row r="61449" spans="49:137" x14ac:dyDescent="0.2">
      <c r="AW61449" s="76"/>
      <c r="EG61449" s="76"/>
    </row>
    <row r="61538" spans="49:137" x14ac:dyDescent="0.2">
      <c r="AW61538" s="76"/>
      <c r="EG61538" s="76"/>
    </row>
    <row r="61627" spans="49:137" x14ac:dyDescent="0.2">
      <c r="AW61627" s="76"/>
      <c r="EG61627" s="76"/>
    </row>
    <row r="61716" spans="49:137" x14ac:dyDescent="0.2">
      <c r="AW61716" s="76"/>
      <c r="EG61716" s="76"/>
    </row>
    <row r="61805" spans="49:137" x14ac:dyDescent="0.2">
      <c r="AW61805" s="76"/>
      <c r="EG61805" s="76"/>
    </row>
    <row r="61894" spans="49:137" x14ac:dyDescent="0.2">
      <c r="AW61894" s="76"/>
      <c r="EG61894" s="76"/>
    </row>
    <row r="61985" spans="49:137" x14ac:dyDescent="0.2">
      <c r="AW61985" s="76"/>
      <c r="EG61985" s="76"/>
    </row>
    <row r="62074" spans="49:137" x14ac:dyDescent="0.2">
      <c r="AW62074" s="76"/>
      <c r="EG62074" s="76"/>
    </row>
    <row r="62163" spans="49:137" x14ac:dyDescent="0.2">
      <c r="AW62163" s="76"/>
      <c r="EG62163" s="76"/>
    </row>
    <row r="62252" spans="49:137" x14ac:dyDescent="0.2">
      <c r="AW62252" s="76"/>
      <c r="EG62252" s="76"/>
    </row>
    <row r="62341" spans="49:137" x14ac:dyDescent="0.2">
      <c r="AW62341" s="76"/>
      <c r="EG62341" s="76"/>
    </row>
    <row r="62430" spans="49:137" x14ac:dyDescent="0.2">
      <c r="AW62430" s="76"/>
      <c r="EG62430" s="76"/>
    </row>
    <row r="62519" spans="49:137" x14ac:dyDescent="0.2">
      <c r="AW62519" s="76"/>
      <c r="EG62519" s="76"/>
    </row>
    <row r="62610" spans="49:137" x14ac:dyDescent="0.2">
      <c r="AW62610" s="76"/>
      <c r="EG62610" s="76"/>
    </row>
    <row r="62699" spans="49:137" x14ac:dyDescent="0.2">
      <c r="AW62699" s="76"/>
      <c r="EG62699" s="76"/>
    </row>
    <row r="62788" spans="49:137" x14ac:dyDescent="0.2">
      <c r="AW62788" s="76"/>
      <c r="EG62788" s="76"/>
    </row>
    <row r="62879" spans="49:137" x14ac:dyDescent="0.2">
      <c r="AW62879" s="76"/>
      <c r="EG62879" s="76"/>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1:E12"/>
  <sheetViews>
    <sheetView workbookViewId="0">
      <selection activeCell="G10" sqref="G10"/>
    </sheetView>
  </sheetViews>
  <sheetFormatPr defaultRowHeight="12.75" x14ac:dyDescent="0.2"/>
  <cols>
    <col min="1" max="1" width="10.140625" customWidth="1"/>
  </cols>
  <sheetData>
    <row r="1" spans="1:5" x14ac:dyDescent="0.2">
      <c r="A1" s="66" t="s">
        <v>317</v>
      </c>
      <c r="D1" s="66" t="s">
        <v>115</v>
      </c>
    </row>
    <row r="2" spans="1:5" ht="14.25" x14ac:dyDescent="0.25">
      <c r="A2" s="108" t="s">
        <v>343</v>
      </c>
      <c r="B2">
        <v>0.9</v>
      </c>
      <c r="C2">
        <v>0.9</v>
      </c>
      <c r="D2" s="108" t="s">
        <v>399</v>
      </c>
      <c r="E2">
        <v>2</v>
      </c>
    </row>
    <row r="3" spans="1:5" ht="14.25" x14ac:dyDescent="0.25">
      <c r="A3" s="108" t="s">
        <v>318</v>
      </c>
      <c r="B3">
        <v>0.9</v>
      </c>
      <c r="C3">
        <v>0.9</v>
      </c>
      <c r="D3" s="66" t="s">
        <v>464</v>
      </c>
      <c r="E3">
        <f>4/3</f>
        <v>1.3333333333333333</v>
      </c>
    </row>
    <row r="4" spans="1:5" ht="15.75" x14ac:dyDescent="0.3">
      <c r="A4" s="66" t="s">
        <v>319</v>
      </c>
      <c r="B4">
        <v>0.9</v>
      </c>
    </row>
    <row r="5" spans="1:5" ht="15.75" x14ac:dyDescent="0.3">
      <c r="A5" s="66" t="s">
        <v>320</v>
      </c>
      <c r="B5">
        <v>0.75</v>
      </c>
    </row>
    <row r="6" spans="1:5" ht="15.75" x14ac:dyDescent="0.3">
      <c r="A6" s="66" t="s">
        <v>324</v>
      </c>
      <c r="B6">
        <v>0.9</v>
      </c>
    </row>
    <row r="7" spans="1:5" ht="15.75" x14ac:dyDescent="0.3">
      <c r="A7" s="66" t="s">
        <v>412</v>
      </c>
      <c r="B7">
        <v>0.75</v>
      </c>
    </row>
    <row r="8" spans="1:5" ht="15.75" x14ac:dyDescent="0.3">
      <c r="A8" s="66" t="s">
        <v>413</v>
      </c>
      <c r="B8">
        <v>0.8</v>
      </c>
    </row>
    <row r="9" spans="1:5" ht="15.75" x14ac:dyDescent="0.3">
      <c r="A9" s="66" t="s">
        <v>566</v>
      </c>
      <c r="B9">
        <v>0.75</v>
      </c>
    </row>
    <row r="10" spans="1:5" ht="15.75" x14ac:dyDescent="0.3">
      <c r="A10" s="66" t="s">
        <v>567</v>
      </c>
      <c r="B10">
        <v>0.8</v>
      </c>
    </row>
    <row r="11" spans="1:5" ht="15.75" x14ac:dyDescent="0.3">
      <c r="A11" s="66" t="s">
        <v>517</v>
      </c>
      <c r="B11" s="10">
        <v>1</v>
      </c>
    </row>
    <row r="12" spans="1:5" ht="15.75" x14ac:dyDescent="0.3">
      <c r="A12" s="66" t="s">
        <v>518</v>
      </c>
      <c r="B12" s="10">
        <v>0.75</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O2:AM69"/>
  <sheetViews>
    <sheetView showGridLines="0" showRowColHeaders="0" zoomScale="115" zoomScaleNormal="115" workbookViewId="0">
      <selection activeCell="I13" sqref="I13"/>
    </sheetView>
  </sheetViews>
  <sheetFormatPr defaultRowHeight="12.75" x14ac:dyDescent="0.2"/>
  <cols>
    <col min="1" max="1" width="6.7109375" customWidth="1"/>
    <col min="11" max="11" width="12.85546875" customWidth="1"/>
    <col min="14" max="14" width="9.140625" customWidth="1"/>
    <col min="15" max="15" width="9.140625" style="25" hidden="1" customWidth="1"/>
    <col min="16" max="26" width="9.140625" hidden="1" customWidth="1"/>
    <col min="27" max="27" width="9.5703125" hidden="1" customWidth="1"/>
    <col min="28" max="34" width="9.140625" hidden="1" customWidth="1"/>
    <col min="35" max="35" width="11" hidden="1" customWidth="1"/>
    <col min="36" max="36" width="10.42578125" hidden="1" customWidth="1"/>
    <col min="37" max="39" width="9.140625" hidden="1" customWidth="1"/>
  </cols>
  <sheetData>
    <row r="2" spans="15:39" ht="22.5" customHeight="1" x14ac:dyDescent="0.2"/>
    <row r="5" spans="15:39" x14ac:dyDescent="0.2">
      <c r="O5" s="222" t="s">
        <v>634</v>
      </c>
    </row>
    <row r="6" spans="15:39" x14ac:dyDescent="0.2">
      <c r="O6" s="218" t="s">
        <v>489</v>
      </c>
      <c r="P6" s="218" t="s">
        <v>635</v>
      </c>
      <c r="Q6" s="218" t="s">
        <v>636</v>
      </c>
      <c r="R6" s="218" t="s">
        <v>637</v>
      </c>
      <c r="S6" s="218" t="s">
        <v>638</v>
      </c>
      <c r="T6" s="218" t="s">
        <v>230</v>
      </c>
      <c r="U6" s="218" t="s">
        <v>650</v>
      </c>
      <c r="V6" s="218" t="s">
        <v>651</v>
      </c>
      <c r="W6" s="65"/>
    </row>
    <row r="7" spans="15:39" x14ac:dyDescent="0.2">
      <c r="O7" s="183">
        <f>Calculations!D4</f>
        <v>0</v>
      </c>
      <c r="P7" s="183" t="e">
        <f>Calculations!D8</f>
        <v>#N/A</v>
      </c>
      <c r="Q7" s="183" t="e">
        <f>Calculations!D9</f>
        <v>#N/A</v>
      </c>
      <c r="R7" s="183" t="e">
        <f>Calculations!D10</f>
        <v>#N/A</v>
      </c>
      <c r="S7" s="183" t="e">
        <f>Calculations!D9-2*Calculations!D10</f>
        <v>#N/A</v>
      </c>
      <c r="T7" s="183">
        <f>Calculations!D5</f>
        <v>10</v>
      </c>
      <c r="U7" s="183" t="e">
        <f>Calculations!F17</f>
        <v>#N/A</v>
      </c>
      <c r="V7" s="183" t="e">
        <f>IF(P7=0,Q7,Q7/COS(RADIANS(180/P7)))</f>
        <v>#N/A</v>
      </c>
      <c r="W7" s="65"/>
    </row>
    <row r="10" spans="15:39" x14ac:dyDescent="0.2">
      <c r="Q10" s="65"/>
      <c r="R10" s="65"/>
      <c r="T10" s="65"/>
      <c r="U10" s="65"/>
      <c r="V10" s="65"/>
      <c r="W10" s="65"/>
      <c r="X10" s="65"/>
      <c r="Y10" s="65"/>
      <c r="Z10" s="65"/>
      <c r="AA10" s="65"/>
      <c r="AB10" s="65"/>
      <c r="AC10" s="65"/>
      <c r="AD10" s="65"/>
      <c r="AE10" s="65"/>
      <c r="AF10" s="65"/>
      <c r="AG10" s="65"/>
      <c r="AH10" s="65"/>
      <c r="AI10" s="65"/>
      <c r="AJ10" s="65"/>
      <c r="AK10" s="65"/>
      <c r="AL10" s="65"/>
      <c r="AM10" s="65"/>
    </row>
    <row r="11" spans="15:39" x14ac:dyDescent="0.2">
      <c r="O11" s="222" t="s">
        <v>646</v>
      </c>
      <c r="AA11" s="155"/>
      <c r="AC11" s="155"/>
      <c r="AI11" s="920" t="s">
        <v>681</v>
      </c>
      <c r="AJ11" s="920"/>
      <c r="AK11" s="920"/>
      <c r="AL11" s="920"/>
      <c r="AM11" s="25" t="s">
        <v>682</v>
      </c>
    </row>
    <row r="12" spans="15:39" x14ac:dyDescent="0.2">
      <c r="O12" s="49" t="s">
        <v>647</v>
      </c>
      <c r="P12" s="66" t="s">
        <v>50</v>
      </c>
      <c r="Q12" s="25" t="s">
        <v>648</v>
      </c>
      <c r="R12" s="25" t="s">
        <v>649</v>
      </c>
      <c r="S12" s="25" t="s">
        <v>639</v>
      </c>
      <c r="T12" s="25" t="s">
        <v>640</v>
      </c>
      <c r="U12" s="25" t="s">
        <v>641</v>
      </c>
      <c r="V12" s="25" t="s">
        <v>349</v>
      </c>
      <c r="W12" s="25" t="s">
        <v>642</v>
      </c>
      <c r="X12" s="25" t="s">
        <v>643</v>
      </c>
      <c r="Y12" s="25" t="s">
        <v>644</v>
      </c>
      <c r="Z12" s="25" t="s">
        <v>645</v>
      </c>
      <c r="AA12" s="49" t="s">
        <v>663</v>
      </c>
      <c r="AB12" s="49" t="s">
        <v>664</v>
      </c>
      <c r="AC12" s="49" t="s">
        <v>665</v>
      </c>
      <c r="AD12" s="49" t="s">
        <v>666</v>
      </c>
      <c r="AE12" s="49" t="s">
        <v>667</v>
      </c>
      <c r="AF12" s="49" t="s">
        <v>668</v>
      </c>
      <c r="AG12" s="49" t="s">
        <v>669</v>
      </c>
      <c r="AH12" s="49" t="s">
        <v>670</v>
      </c>
      <c r="AI12" s="43" t="s">
        <v>676</v>
      </c>
      <c r="AJ12" s="43" t="s">
        <v>677</v>
      </c>
      <c r="AK12" s="49" t="s">
        <v>678</v>
      </c>
      <c r="AL12" s="49" t="s">
        <v>679</v>
      </c>
      <c r="AM12" s="49" t="s">
        <v>680</v>
      </c>
    </row>
    <row r="13" spans="15:39" x14ac:dyDescent="0.2">
      <c r="O13" s="25">
        <v>1</v>
      </c>
      <c r="P13" s="66" t="str">
        <f>IFERROR(Calculations!BS60,"")</f>
        <v/>
      </c>
      <c r="Q13" s="25" t="str">
        <f>IFERROR((IF(VLOOKUP(Calculations!BQ60,Input!$B$21:$AL$50,19+Calculations!C60,FALSE)="c",Calculations!$D$20/COS(RADIANS(180/$P$7)),Calculations!$D$20)+Calculations!CA60+IF(P13="channel",Calculations!BU60/2-Calculations!DM60,0))*COS(RADIANS(Calculations!D60))+IF(AND(ISNUMBER(VLOOKUP(Calculations!BQ60,Input!$B$21:$AL$50,19+Calculations!C60,FALSE)),$P$7&lt;&gt;0),VLOOKUP(Calculations!BQ60,Input!$B$21:$AL$50,19+Calculations!C60,FALSE)*SIN(RADIANS(Calculations!D60)),0),"")</f>
        <v/>
      </c>
      <c r="R13" s="25" t="str">
        <f>Calculations!N60</f>
        <v/>
      </c>
      <c r="S13" s="25" t="str">
        <f>IFERROR($Q13+(-IF($P13="channel",Calculations!BU60,Calculations!BX60)/2)*COS(RADIANS(Calculations!D60))+(-IF($P13="channel",Calculations!BT60,Calculations!BW60)/2)*SIN(RADIANS(Calculations!D60)),"")</f>
        <v/>
      </c>
      <c r="T13" s="25" t="str">
        <f>IF(P13="channel",Calculations!S60,Calculations!O60)</f>
        <v/>
      </c>
      <c r="U13" s="25" t="str">
        <f>IFERROR($Q13+(IF($P13="channel",Calculations!BU60,Calculations!BX60)/2)*COS(RADIANS(Calculations!D60))+(-IF($P13="channel",Calculations!BT60,Calculations!BW60)/2)*SIN(RADIANS(Calculations!D60)),"")</f>
        <v/>
      </c>
      <c r="V13" s="25" t="str">
        <f>IF(P13="channel",Calculations!T60,Calculations!P60)</f>
        <v/>
      </c>
      <c r="W13" s="25" t="str">
        <f>IFERROR($Q13+(IF($P13="channel",Calculations!BU60,Calculations!BX60)/2)*COS(RADIANS(Calculations!D60))+(IF($P13="channel",Calculations!BT60,Calculations!BW60)/2)*SIN(RADIANS(Calculations!D60)),"")</f>
        <v/>
      </c>
      <c r="X13" s="25" t="str">
        <f>IF(P13="channel",Calculations!U60,Calculations!Q60)</f>
        <v/>
      </c>
      <c r="Y13" s="25" t="str">
        <f>IFERROR($Q13+(-IF($P13="channel",Calculations!BU60,Calculations!BX60)/2)*COS(RADIANS(Calculations!D60))+(IF($P13="channel",Calculations!BT60,Calculations!BW60)/2)*SIN(RADIANS(Calculations!D60)),"")</f>
        <v/>
      </c>
      <c r="Z13" s="25" t="str">
        <f>IF(P13="channel",Calculations!V60,Calculations!R60)</f>
        <v/>
      </c>
      <c r="AA13" s="25" t="str">
        <f>IFERROR($AI13+(-AK13/2)*COS(RADIANS(Calculations!D60))+(-AL13/2)*SIN(RADIANS(Calculations!D60)),"")</f>
        <v/>
      </c>
      <c r="AB13" s="25" t="str">
        <f>IFERROR(AJ13+(-AK13/2)*SIN(RADIANS(Calculations!D60))+(AL13/2)*COS(RADIANS(Calculations!D60)),"")</f>
        <v/>
      </c>
      <c r="AC13" s="25" t="str">
        <f>IFERROR($AI13+(AK13/2)*COS(RADIANS(Calculations!D60))+(-AL13/2)*SIN(RADIANS(Calculations!D60)),"")</f>
        <v/>
      </c>
      <c r="AD13" s="25" t="str">
        <f>IFERROR(AJ13+(AK13/2)*SIN(RADIANS(Calculations!D60))+(AL13/2)*COS(RADIANS(Calculations!D60)),"")</f>
        <v/>
      </c>
      <c r="AE13" t="str">
        <f>IFERROR($AI13+(AK13/2)*COS(RADIANS(Calculations!D60))+(AL13/2)*SIN(RADIANS(Calculations!D60)),"")</f>
        <v/>
      </c>
      <c r="AF13" t="str">
        <f>IFERROR(AJ13+(AK13/2)*SIN(RADIANS(Calculations!D60))+(-AL13/2)*COS(RADIANS(Calculations!D60)),"")</f>
        <v/>
      </c>
      <c r="AG13" t="str">
        <f>IFERROR($AI13+(-AK13/2)*COS(RADIANS(Calculations!D60))+(AL13/2)*SIN(RADIANS(Calculations!D60)),"")</f>
        <v/>
      </c>
      <c r="AH13" t="str">
        <f>IFERROR(AJ13+(-AK13/2)*SIN(RADIANS(Calculations!D60))+(-AL13/2)*COS(RADIANS(Calculations!D60)),"")</f>
        <v/>
      </c>
      <c r="AI13" s="66" t="str">
        <f>IFERROR((IF(VLOOKUP(Calculations!BQ60,Input!$B$21:$AL$50,19+Calculations!C60,FALSE)="c",Calculations!$D$20/COS(RADIANS(180/$P$7)),Calculations!$D$20)+Calculations!BU60-(Calculations!BU60-Calculations!DI60)/2)*COS(RADIANS(Calculations!D60))+IF(AND(ISNUMBER(VLOOKUP(Calculations!BQ60,Input!$B$21:$AL$50,19+Calculations!C60,FALSE)),$P$7&lt;&gt;0),VLOOKUP(Calculations!BQ60,Input!$B$21:$AL$50,19+Calculations!C60,FALSE)*SIN(RADIANS(Calculations!D60)),0),"")</f>
        <v/>
      </c>
      <c r="AJ13" t="str">
        <f>IFERROR((IF(VLOOKUP(Calculations!BQ60,Input!$B$21:$AL$50,19+Calculations!C60,FALSE)="c",Calculations!$D$20/COS(RADIANS(180/Calculations!$D$8)),Calculations!$D$20)+Calculations!BU60-(Calculations!BU60-Calculations!DI60)/2)*SIN(RADIANS(Calculations!D60))-IF(AND(ISNUMBER(VLOOKUP(Calculations!BQ60,Input!$B$21:$AL$50,19+Calculations!C60,FALSE)),Calculations!$D$8&lt;&gt;0),VLOOKUP(Calculations!BQ60,Input!$B$21:$AL$50,19+Calculations!C60,FALSE)*COS(RADIANS(Calculations!D60)),0)-Calculations!$D$35,"")</f>
        <v/>
      </c>
      <c r="AK13" t="e">
        <f>Calculations!BU60-Calculations!DI60</f>
        <v>#N/A</v>
      </c>
      <c r="AL13" t="e">
        <f>Calculations!BT60-2*Calculations!DL60</f>
        <v>#N/A</v>
      </c>
      <c r="AM13" t="str">
        <f>IF(P13="solid round",Calculations!BT60,"")</f>
        <v/>
      </c>
    </row>
    <row r="14" spans="15:39" x14ac:dyDescent="0.2">
      <c r="O14" s="25">
        <v>2</v>
      </c>
      <c r="P14" s="66" t="str">
        <f>IFERROR(Calculations!BS61,"")</f>
        <v/>
      </c>
      <c r="Q14" s="25" t="str">
        <f>IFERROR((IF(VLOOKUP(Calculations!BQ61,Input!$B$21:$AL$50,19+Calculations!C61,FALSE)="c",Calculations!$D$20/COS(RADIANS(180/$P$7)),Calculations!$D$20)+Calculations!CA61+IF(P14="channel",Calculations!BU61/2-Calculations!DM61,0))*COS(RADIANS(Calculations!D61))+IF(AND(ISNUMBER(VLOOKUP(Calculations!BQ61,Input!$B$21:$AL$50,19+Calculations!C61,FALSE)),$P$7&lt;&gt;0),VLOOKUP(Calculations!BQ61,Input!$B$21:$AL$50,19+Calculations!C61,FALSE)*SIN(RADIANS(Calculations!D61)),0),"")</f>
        <v/>
      </c>
      <c r="R14" s="25" t="str">
        <f>Calculations!N61</f>
        <v/>
      </c>
      <c r="S14" s="25" t="str">
        <f>IFERROR($Q14+(-IF($P14="channel",Calculations!BU61,Calculations!BX61)/2)*COS(RADIANS(Calculations!D61))+(-IF($P14="channel",Calculations!BT61,Calculations!BW61)/2)*SIN(RADIANS(Calculations!D61)),"")</f>
        <v/>
      </c>
      <c r="T14" s="25" t="str">
        <f>IF(P14="channel",Calculations!S61,Calculations!O61)</f>
        <v/>
      </c>
      <c r="U14" s="25" t="str">
        <f>IFERROR($Q14+(IF($P14="channel",Calculations!BU61,Calculations!BX61)/2)*COS(RADIANS(Calculations!D61))+(-IF($P14="channel",Calculations!BT61,Calculations!BW61)/2)*SIN(RADIANS(Calculations!D61)),"")</f>
        <v/>
      </c>
      <c r="V14" s="25" t="str">
        <f>IF(P14="channel",Calculations!T61,Calculations!P61)</f>
        <v/>
      </c>
      <c r="W14" s="25" t="str">
        <f>IFERROR($Q14+(IF($P14="channel",Calculations!BU61,Calculations!BX61)/2)*COS(RADIANS(Calculations!D61))+(IF($P14="channel",Calculations!BT61,Calculations!BW61)/2)*SIN(RADIANS(Calculations!D61)),"")</f>
        <v/>
      </c>
      <c r="X14" s="25" t="str">
        <f>IF(P14="channel",Calculations!U61,Calculations!Q61)</f>
        <v/>
      </c>
      <c r="Y14" s="25" t="str">
        <f>IFERROR($Q14+(-IF($P14="channel",Calculations!BU61,Calculations!BX61)/2)*COS(RADIANS(Calculations!D61))+(IF($P14="channel",Calculations!BT61,Calculations!BW61)/2)*SIN(RADIANS(Calculations!D61)),"")</f>
        <v/>
      </c>
      <c r="Z14" s="25" t="str">
        <f>IF(P14="channel",Calculations!V61,Calculations!R61)</f>
        <v/>
      </c>
      <c r="AA14" s="25" t="str">
        <f>IFERROR($AI14+(-AK14/2)*COS(RADIANS(Calculations!D61))+(-AL14/2)*SIN(RADIANS(Calculations!D61)),"")</f>
        <v/>
      </c>
      <c r="AB14" s="25" t="str">
        <f>IFERROR(AJ14+(-AK14/2)*SIN(RADIANS(Calculations!D61))+(AL14/2)*COS(RADIANS(Calculations!D61)),"")</f>
        <v/>
      </c>
      <c r="AC14" s="25" t="str">
        <f>IFERROR($AI14+(AK14/2)*COS(RADIANS(Calculations!D61))+(-AL14/2)*SIN(RADIANS(Calculations!D61)),"")</f>
        <v/>
      </c>
      <c r="AD14" s="25" t="str">
        <f>IFERROR(AJ14+(AK14/2)*SIN(RADIANS(Calculations!D61))+(AL14/2)*COS(RADIANS(Calculations!D61)),"")</f>
        <v/>
      </c>
      <c r="AE14" s="65" t="str">
        <f>IFERROR($AI14+(AK14/2)*COS(RADIANS(Calculations!D61))+(AL14/2)*SIN(RADIANS(Calculations!D61)),"")</f>
        <v/>
      </c>
      <c r="AF14" s="65" t="str">
        <f>IFERROR(AJ14+(AK14/2)*SIN(RADIANS(Calculations!D61))+(-AL14/2)*COS(RADIANS(Calculations!D61)),"")</f>
        <v/>
      </c>
      <c r="AG14" s="65" t="str">
        <f>IFERROR($AI14+(-AK14/2)*COS(RADIANS(Calculations!D61))+(AL14/2)*SIN(RADIANS(Calculations!D61)),"")</f>
        <v/>
      </c>
      <c r="AH14" s="65" t="str">
        <f>IFERROR(AJ14+(-AK14/2)*SIN(RADIANS(Calculations!D61))+(-AL14/2)*COS(RADIANS(Calculations!D61)),"")</f>
        <v/>
      </c>
      <c r="AI14" s="66" t="str">
        <f>IFERROR((IF(VLOOKUP(Calculations!BQ61,Input!$B$21:$AL$50,19+Calculations!C61,FALSE)="c",Calculations!$D$20/COS(RADIANS(180/$P$7)),Calculations!$D$20)+Calculations!BU61-(Calculations!BU61-Calculations!DI61)/2)*COS(RADIANS(Calculations!D61))+IF(AND(ISNUMBER(VLOOKUP(Calculations!BQ61,Input!$B$21:$AL$50,19+Calculations!C61,FALSE)),$P$7&lt;&gt;0),VLOOKUP(Calculations!BQ61,Input!$B$21:$AL$50,19+Calculations!C61,FALSE)*SIN(RADIANS(Calculations!D61)),0),"")</f>
        <v/>
      </c>
      <c r="AJ14" s="65" t="str">
        <f>IFERROR((IF(VLOOKUP(Calculations!BQ61,Input!$B$21:$AL$50,19+Calculations!C61,FALSE)="c",Calculations!$D$20/COS(RADIANS(180/Calculations!$D$8)),Calculations!$D$20)+Calculations!BU61-(Calculations!BU61-Calculations!DI61)/2)*SIN(RADIANS(Calculations!D61))-IF(AND(ISNUMBER(VLOOKUP(Calculations!BQ61,Input!$B$21:$AL$50,19+Calculations!C61,FALSE)),Calculations!$D$8&lt;&gt;0),VLOOKUP(Calculations!BQ61,Input!$B$21:$AL$50,19+Calculations!C61,FALSE)*COS(RADIANS(Calculations!D61)),0)-Calculations!$D$35,"")</f>
        <v/>
      </c>
      <c r="AK14" s="65" t="e">
        <f>Calculations!BU61-Calculations!DI61</f>
        <v>#N/A</v>
      </c>
      <c r="AL14" s="65" t="e">
        <f>Calculations!BT61-2*Calculations!DL61</f>
        <v>#N/A</v>
      </c>
      <c r="AM14" s="65" t="str">
        <f>IF(P14="solid round",Calculations!BT61,"")</f>
        <v/>
      </c>
    </row>
    <row r="15" spans="15:39" x14ac:dyDescent="0.2">
      <c r="O15" s="25">
        <v>3</v>
      </c>
      <c r="P15" s="66" t="str">
        <f>IFERROR(Calculations!BS62,"")</f>
        <v/>
      </c>
      <c r="Q15" s="25" t="str">
        <f>IFERROR((IF(VLOOKUP(Calculations!BQ62,Input!$B$21:$AL$50,19+Calculations!C62,FALSE)="c",Calculations!$D$20/COS(RADIANS(180/$P$7)),Calculations!$D$20)+Calculations!CA62+IF(P15="channel",Calculations!BU62/2-Calculations!DM62,0))*COS(RADIANS(Calculations!D62))+IF(AND(ISNUMBER(VLOOKUP(Calculations!BQ62,Input!$B$21:$AL$50,19+Calculations!C62,FALSE)),$P$7&lt;&gt;0),VLOOKUP(Calculations!BQ62,Input!$B$21:$AL$50,19+Calculations!C62,FALSE)*SIN(RADIANS(Calculations!D62)),0),"")</f>
        <v/>
      </c>
      <c r="R15" s="25" t="str">
        <f>Calculations!N62</f>
        <v/>
      </c>
      <c r="S15" s="25" t="str">
        <f>IFERROR($Q15+(-IF($P15="channel",Calculations!BU62,Calculations!BX62)/2)*COS(RADIANS(Calculations!D62))+(-IF($P15="channel",Calculations!BT62,Calculations!BW62)/2)*SIN(RADIANS(Calculations!D62)),"")</f>
        <v/>
      </c>
      <c r="T15" s="25" t="str">
        <f>IF(P15="channel",Calculations!S62,Calculations!O62)</f>
        <v/>
      </c>
      <c r="U15" s="25" t="str">
        <f>IFERROR($Q15+(IF($P15="channel",Calculations!BU62,Calculations!BX62)/2)*COS(RADIANS(Calculations!D62))+(-IF($P15="channel",Calculations!BT62,Calculations!BW62)/2)*SIN(RADIANS(Calculations!D62)),"")</f>
        <v/>
      </c>
      <c r="V15" s="25" t="str">
        <f>IF(P15="channel",Calculations!T62,Calculations!P62)</f>
        <v/>
      </c>
      <c r="W15" s="25" t="str">
        <f>IFERROR($Q15+(IF($P15="channel",Calculations!BU62,Calculations!BX62)/2)*COS(RADIANS(Calculations!D62))+(IF($P15="channel",Calculations!BT62,Calculations!BW62)/2)*SIN(RADIANS(Calculations!D62)),"")</f>
        <v/>
      </c>
      <c r="X15" s="25" t="str">
        <f>IF(P15="channel",Calculations!U62,Calculations!Q62)</f>
        <v/>
      </c>
      <c r="Y15" s="25" t="str">
        <f>IFERROR($Q15+(-IF($P15="channel",Calculations!BU62,Calculations!BX62)/2)*COS(RADIANS(Calculations!D62))+(IF($P15="channel",Calculations!BT62,Calculations!BW62)/2)*SIN(RADIANS(Calculations!D62)),"")</f>
        <v/>
      </c>
      <c r="Z15" s="25" t="str">
        <f>IF(P15="channel",Calculations!V62,Calculations!R62)</f>
        <v/>
      </c>
      <c r="AA15" s="25" t="str">
        <f>IFERROR($AI15+(-AK15/2)*COS(RADIANS(Calculations!D62))+(-AL15/2)*SIN(RADIANS(Calculations!D62)),"")</f>
        <v/>
      </c>
      <c r="AB15" s="25" t="str">
        <f>IFERROR(AJ15+(-AK15/2)*SIN(RADIANS(Calculations!D62))+(AL15/2)*COS(RADIANS(Calculations!D62)),"")</f>
        <v/>
      </c>
      <c r="AC15" s="25" t="str">
        <f>IFERROR($AI15+(AK15/2)*COS(RADIANS(Calculations!D62))+(-AL15/2)*SIN(RADIANS(Calculations!D62)),"")</f>
        <v/>
      </c>
      <c r="AD15" s="25" t="str">
        <f>IFERROR(AJ15+(AK15/2)*SIN(RADIANS(Calculations!D62))+(AL15/2)*COS(RADIANS(Calculations!D62)),"")</f>
        <v/>
      </c>
      <c r="AE15" s="65" t="str">
        <f>IFERROR($AI15+(AK15/2)*COS(RADIANS(Calculations!D62))+(AL15/2)*SIN(RADIANS(Calculations!D62)),"")</f>
        <v/>
      </c>
      <c r="AF15" s="65" t="str">
        <f>IFERROR(AJ15+(AK15/2)*SIN(RADIANS(Calculations!D62))+(-AL15/2)*COS(RADIANS(Calculations!D62)),"")</f>
        <v/>
      </c>
      <c r="AG15" s="65" t="str">
        <f>IFERROR($AI15+(-AK15/2)*COS(RADIANS(Calculations!D62))+(AL15/2)*SIN(RADIANS(Calculations!D62)),"")</f>
        <v/>
      </c>
      <c r="AH15" s="65" t="str">
        <f>IFERROR(AJ15+(-AK15/2)*SIN(RADIANS(Calculations!D62))+(-AL15/2)*COS(RADIANS(Calculations!D62)),"")</f>
        <v/>
      </c>
      <c r="AI15" s="66" t="str">
        <f>IFERROR((IF(VLOOKUP(Calculations!BQ62,Input!$B$21:$AL$50,19+Calculations!C62,FALSE)="c",Calculations!$D$20/COS(RADIANS(180/$P$7)),Calculations!$D$20)+Calculations!BU62-(Calculations!BU62-Calculations!DI62)/2)*COS(RADIANS(Calculations!D62))+IF(AND(ISNUMBER(VLOOKUP(Calculations!BQ62,Input!$B$21:$AL$50,19+Calculations!C62,FALSE)),$P$7&lt;&gt;0),VLOOKUP(Calculations!BQ62,Input!$B$21:$AL$50,19+Calculations!C62,FALSE)*SIN(RADIANS(Calculations!D62)),0),"")</f>
        <v/>
      </c>
      <c r="AJ15" s="65" t="str">
        <f>IFERROR((IF(VLOOKUP(Calculations!BQ62,Input!$B$21:$AL$50,19+Calculations!C62,FALSE)="c",Calculations!$D$20/COS(RADIANS(180/Calculations!$D$8)),Calculations!$D$20)+Calculations!BU62-(Calculations!BU62-Calculations!DI62)/2)*SIN(RADIANS(Calculations!D62))-IF(AND(ISNUMBER(VLOOKUP(Calculations!BQ62,Input!$B$21:$AL$50,19+Calculations!C62,FALSE)),Calculations!$D$8&lt;&gt;0),VLOOKUP(Calculations!BQ62,Input!$B$21:$AL$50,19+Calculations!C62,FALSE)*COS(RADIANS(Calculations!D62)),0)-Calculations!$D$35,"")</f>
        <v/>
      </c>
      <c r="AK15" s="65" t="e">
        <f>Calculations!BU62-Calculations!DI62</f>
        <v>#N/A</v>
      </c>
      <c r="AL15" s="65" t="e">
        <f>Calculations!BT62-2*Calculations!DL62</f>
        <v>#N/A</v>
      </c>
      <c r="AM15" s="65" t="str">
        <f>IF(P15="solid round",Calculations!BT62,"")</f>
        <v/>
      </c>
    </row>
    <row r="16" spans="15:39" x14ac:dyDescent="0.2">
      <c r="O16" s="25">
        <v>4</v>
      </c>
      <c r="P16" s="66" t="str">
        <f>IFERROR(Calculations!BS63,"")</f>
        <v/>
      </c>
      <c r="Q16" s="25" t="str">
        <f>IFERROR((IF(VLOOKUP(Calculations!BQ63,Input!$B$21:$AL$50,19+Calculations!C63,FALSE)="c",Calculations!$D$20/COS(RADIANS(180/$P$7)),Calculations!$D$20)+Calculations!CA63+IF(P16="channel",Calculations!BU63/2-Calculations!DM63,0))*COS(RADIANS(Calculations!D63))+IF(AND(ISNUMBER(VLOOKUP(Calculations!BQ63,Input!$B$21:$AL$50,19+Calculations!C63,FALSE)),$P$7&lt;&gt;0),VLOOKUP(Calculations!BQ63,Input!$B$21:$AL$50,19+Calculations!C63,FALSE)*SIN(RADIANS(Calculations!D63)),0),"")</f>
        <v/>
      </c>
      <c r="R16" s="25" t="str">
        <f>Calculations!N63</f>
        <v/>
      </c>
      <c r="S16" s="25" t="str">
        <f>IFERROR($Q16+(-IF($P16="channel",Calculations!BU63,Calculations!BX63)/2)*COS(RADIANS(Calculations!D63))+(-IF($P16="channel",Calculations!BT63,Calculations!BW63)/2)*SIN(RADIANS(Calculations!D63)),"")</f>
        <v/>
      </c>
      <c r="T16" s="25" t="str">
        <f>IF(P16="channel",Calculations!S63,Calculations!O63)</f>
        <v/>
      </c>
      <c r="U16" s="25" t="str">
        <f>IFERROR($Q16+(IF($P16="channel",Calculations!BU63,Calculations!BX63)/2)*COS(RADIANS(Calculations!D63))+(-IF($P16="channel",Calculations!BT63,Calculations!BW63)/2)*SIN(RADIANS(Calculations!D63)),"")</f>
        <v/>
      </c>
      <c r="V16" s="25" t="str">
        <f>IF(P16="channel",Calculations!T63,Calculations!P63)</f>
        <v/>
      </c>
      <c r="W16" s="25" t="str">
        <f>IFERROR($Q16+(IF($P16="channel",Calculations!BU63,Calculations!BX63)/2)*COS(RADIANS(Calculations!D63))+(IF($P16="channel",Calculations!BT63,Calculations!BW63)/2)*SIN(RADIANS(Calculations!D63)),"")</f>
        <v/>
      </c>
      <c r="X16" s="25" t="str">
        <f>IF(P16="channel",Calculations!U63,Calculations!Q63)</f>
        <v/>
      </c>
      <c r="Y16" s="25" t="str">
        <f>IFERROR($Q16+(-IF($P16="channel",Calculations!BU63,Calculations!BX63)/2)*COS(RADIANS(Calculations!D63))+(IF($P16="channel",Calculations!BT63,Calculations!BW63)/2)*SIN(RADIANS(Calculations!D63)),"")</f>
        <v/>
      </c>
      <c r="Z16" s="25" t="str">
        <f>IF(P16="channel",Calculations!V63,Calculations!R63)</f>
        <v/>
      </c>
      <c r="AA16" s="25" t="str">
        <f>IFERROR($AI16+(-AK16/2)*COS(RADIANS(Calculations!D63))+(-AL16/2)*SIN(RADIANS(Calculations!D63)),"")</f>
        <v/>
      </c>
      <c r="AB16" s="25" t="str">
        <f>IFERROR(AJ16+(-AK16/2)*SIN(RADIANS(Calculations!D63))+(AL16/2)*COS(RADIANS(Calculations!D63)),"")</f>
        <v/>
      </c>
      <c r="AC16" s="25" t="str">
        <f>IFERROR($AI16+(AK16/2)*COS(RADIANS(Calculations!D63))+(-AL16/2)*SIN(RADIANS(Calculations!D63)),"")</f>
        <v/>
      </c>
      <c r="AD16" s="25" t="str">
        <f>IFERROR(AJ16+(AK16/2)*SIN(RADIANS(Calculations!D63))+(AL16/2)*COS(RADIANS(Calculations!D63)),"")</f>
        <v/>
      </c>
      <c r="AE16" s="65" t="str">
        <f>IFERROR($AI16+(AK16/2)*COS(RADIANS(Calculations!D63))+(AL16/2)*SIN(RADIANS(Calculations!D63)),"")</f>
        <v/>
      </c>
      <c r="AF16" s="65" t="str">
        <f>IFERROR(AJ16+(AK16/2)*SIN(RADIANS(Calculations!D63))+(-AL16/2)*COS(RADIANS(Calculations!D63)),"")</f>
        <v/>
      </c>
      <c r="AG16" s="65" t="str">
        <f>IFERROR($AI16+(-AK16/2)*COS(RADIANS(Calculations!D63))+(AL16/2)*SIN(RADIANS(Calculations!D63)),"")</f>
        <v/>
      </c>
      <c r="AH16" s="65" t="str">
        <f>IFERROR(AJ16+(-AK16/2)*SIN(RADIANS(Calculations!D63))+(-AL16/2)*COS(RADIANS(Calculations!D63)),"")</f>
        <v/>
      </c>
      <c r="AI16" s="66" t="str">
        <f>IFERROR((IF(VLOOKUP(Calculations!BQ63,Input!$B$21:$AL$50,19+Calculations!C63,FALSE)="c",Calculations!$D$20/COS(RADIANS(180/$P$7)),Calculations!$D$20)+Calculations!BU63-(Calculations!BU63-Calculations!DI63)/2)*COS(RADIANS(Calculations!D63))+IF(AND(ISNUMBER(VLOOKUP(Calculations!BQ63,Input!$B$21:$AL$50,19+Calculations!C63,FALSE)),$P$7&lt;&gt;0),VLOOKUP(Calculations!BQ63,Input!$B$21:$AL$50,19+Calculations!C63,FALSE)*SIN(RADIANS(Calculations!D63)),0),"")</f>
        <v/>
      </c>
      <c r="AJ16" s="65" t="str">
        <f>IFERROR((IF(VLOOKUP(Calculations!BQ63,Input!$B$21:$AL$50,19+Calculations!C63,FALSE)="c",Calculations!$D$20/COS(RADIANS(180/Calculations!$D$8)),Calculations!$D$20)+Calculations!BU63-(Calculations!BU63-Calculations!DI63)/2)*SIN(RADIANS(Calculations!D63))-IF(AND(ISNUMBER(VLOOKUP(Calculations!BQ63,Input!$B$21:$AL$50,19+Calculations!C63,FALSE)),Calculations!$D$8&lt;&gt;0),VLOOKUP(Calculations!BQ63,Input!$B$21:$AL$50,19+Calculations!C63,FALSE)*COS(RADIANS(Calculations!D63)),0)-Calculations!$D$35,"")</f>
        <v/>
      </c>
      <c r="AK16" s="65" t="e">
        <f>Calculations!BU63-Calculations!DI63</f>
        <v>#N/A</v>
      </c>
      <c r="AL16" s="65" t="e">
        <f>Calculations!BT63-2*Calculations!DL63</f>
        <v>#N/A</v>
      </c>
      <c r="AM16" s="65" t="str">
        <f>IF(P16="solid round",Calculations!BT63,"")</f>
        <v/>
      </c>
    </row>
    <row r="17" spans="15:39" x14ac:dyDescent="0.2">
      <c r="O17" s="25">
        <v>5</v>
      </c>
      <c r="P17" s="66" t="str">
        <f>IFERROR(Calculations!BS64,"")</f>
        <v/>
      </c>
      <c r="Q17" s="25" t="str">
        <f>IFERROR((IF(VLOOKUP(Calculations!BQ64,Input!$B$21:$AL$50,19+Calculations!C64,FALSE)="c",Calculations!$D$20/COS(RADIANS(180/$P$7)),Calculations!$D$20)+Calculations!CA64+IF(P17="channel",Calculations!BU64/2-Calculations!DM64,0))*COS(RADIANS(Calculations!D64))+IF(AND(ISNUMBER(VLOOKUP(Calculations!BQ64,Input!$B$21:$AL$50,19+Calculations!C64,FALSE)),$P$7&lt;&gt;0),VLOOKUP(Calculations!BQ64,Input!$B$21:$AL$50,19+Calculations!C64,FALSE)*SIN(RADIANS(Calculations!D64)),0),"")</f>
        <v/>
      </c>
      <c r="R17" s="25" t="str">
        <f>Calculations!N64</f>
        <v/>
      </c>
      <c r="S17" s="25" t="str">
        <f>IFERROR($Q17+(-IF($P17="channel",Calculations!BU64,Calculations!BX64)/2)*COS(RADIANS(Calculations!D64))+(-IF($P17="channel",Calculations!BT64,Calculations!BW64)/2)*SIN(RADIANS(Calculations!D64)),"")</f>
        <v/>
      </c>
      <c r="T17" s="25" t="str">
        <f>IF(P17="channel",Calculations!S64,Calculations!O64)</f>
        <v/>
      </c>
      <c r="U17" s="25" t="str">
        <f>IFERROR($Q17+(IF($P17="channel",Calculations!BU64,Calculations!BX64)/2)*COS(RADIANS(Calculations!D64))+(-IF($P17="channel",Calculations!BT64,Calculations!BW64)/2)*SIN(RADIANS(Calculations!D64)),"")</f>
        <v/>
      </c>
      <c r="V17" s="25" t="str">
        <f>IF(P17="channel",Calculations!T64,Calculations!P64)</f>
        <v/>
      </c>
      <c r="W17" s="25" t="str">
        <f>IFERROR($Q17+(IF($P17="channel",Calculations!BU64,Calculations!BX64)/2)*COS(RADIANS(Calculations!D64))+(IF($P17="channel",Calculations!BT64,Calculations!BW64)/2)*SIN(RADIANS(Calculations!D64)),"")</f>
        <v/>
      </c>
      <c r="X17" s="25" t="str">
        <f>IF(P17="channel",Calculations!U64,Calculations!Q64)</f>
        <v/>
      </c>
      <c r="Y17" s="25" t="str">
        <f>IFERROR($Q17+(-IF($P17="channel",Calculations!BU64,Calculations!BX64)/2)*COS(RADIANS(Calculations!D64))+(IF($P17="channel",Calculations!BT64,Calculations!BW64)/2)*SIN(RADIANS(Calculations!D64)),"")</f>
        <v/>
      </c>
      <c r="Z17" s="25" t="str">
        <f>IF(P17="channel",Calculations!V64,Calculations!R64)</f>
        <v/>
      </c>
      <c r="AA17" s="25" t="str">
        <f>IFERROR($AI17+(-AK17/2)*COS(RADIANS(Calculations!D64))+(-AL17/2)*SIN(RADIANS(Calculations!D64)),"")</f>
        <v/>
      </c>
      <c r="AB17" s="25" t="str">
        <f>IFERROR(AJ17+(-AK17/2)*SIN(RADIANS(Calculations!D64))+(AL17/2)*COS(RADIANS(Calculations!D64)),"")</f>
        <v/>
      </c>
      <c r="AC17" s="25" t="str">
        <f>IFERROR($AI17+(AK17/2)*COS(RADIANS(Calculations!D64))+(-AL17/2)*SIN(RADIANS(Calculations!D64)),"")</f>
        <v/>
      </c>
      <c r="AD17" s="25" t="str">
        <f>IFERROR(AJ17+(AK17/2)*SIN(RADIANS(Calculations!D64))+(AL17/2)*COS(RADIANS(Calculations!D64)),"")</f>
        <v/>
      </c>
      <c r="AE17" s="65" t="str">
        <f>IFERROR($AI17+(AK17/2)*COS(RADIANS(Calculations!D64))+(AL17/2)*SIN(RADIANS(Calculations!D64)),"")</f>
        <v/>
      </c>
      <c r="AF17" s="65" t="str">
        <f>IFERROR(AJ17+(AK17/2)*SIN(RADIANS(Calculations!D64))+(-AL17/2)*COS(RADIANS(Calculations!D64)),"")</f>
        <v/>
      </c>
      <c r="AG17" s="65" t="str">
        <f>IFERROR($AI17+(-AK17/2)*COS(RADIANS(Calculations!D64))+(AL17/2)*SIN(RADIANS(Calculations!D64)),"")</f>
        <v/>
      </c>
      <c r="AH17" s="65" t="str">
        <f>IFERROR(AJ17+(-AK17/2)*SIN(RADIANS(Calculations!D64))+(-AL17/2)*COS(RADIANS(Calculations!D64)),"")</f>
        <v/>
      </c>
      <c r="AI17" s="66" t="str">
        <f>IFERROR((IF(VLOOKUP(Calculations!BQ64,Input!$B$21:$AL$50,19+Calculations!C64,FALSE)="c",Calculations!$D$20/COS(RADIANS(180/$P$7)),Calculations!$D$20)+Calculations!BU64-(Calculations!BU64-Calculations!DI64)/2)*COS(RADIANS(Calculations!D64))+IF(AND(ISNUMBER(VLOOKUP(Calculations!BQ64,Input!$B$21:$AL$50,19+Calculations!C64,FALSE)),$P$7&lt;&gt;0),VLOOKUP(Calculations!BQ64,Input!$B$21:$AL$50,19+Calculations!C64,FALSE)*SIN(RADIANS(Calculations!D64)),0),"")</f>
        <v/>
      </c>
      <c r="AJ17" s="65" t="str">
        <f>IFERROR((IF(VLOOKUP(Calculations!BQ64,Input!$B$21:$AL$50,19+Calculations!C64,FALSE)="c",Calculations!$D$20/COS(RADIANS(180/Calculations!$D$8)),Calculations!$D$20)+Calculations!BU64-(Calculations!BU64-Calculations!DI64)/2)*SIN(RADIANS(Calculations!D64))-IF(AND(ISNUMBER(VLOOKUP(Calculations!BQ64,Input!$B$21:$AL$50,19+Calculations!C64,FALSE)),Calculations!$D$8&lt;&gt;0),VLOOKUP(Calculations!BQ64,Input!$B$21:$AL$50,19+Calculations!C64,FALSE)*COS(RADIANS(Calculations!D64)),0)-Calculations!$D$35,"")</f>
        <v/>
      </c>
      <c r="AK17" s="65" t="e">
        <f>Calculations!BU64-Calculations!DI64</f>
        <v>#N/A</v>
      </c>
      <c r="AL17" s="65" t="e">
        <f>Calculations!BT64-2*Calculations!DL64</f>
        <v>#N/A</v>
      </c>
      <c r="AM17" s="65" t="str">
        <f>IF(P17="solid round",Calculations!BT64,"")</f>
        <v/>
      </c>
    </row>
    <row r="18" spans="15:39" x14ac:dyDescent="0.2">
      <c r="O18" s="25">
        <v>6</v>
      </c>
      <c r="P18" s="66" t="str">
        <f>IFERROR(Calculations!BS65,"")</f>
        <v/>
      </c>
      <c r="Q18" s="25" t="str">
        <f>IFERROR((IF(VLOOKUP(Calculations!BQ65,Input!$B$21:$AL$50,19+Calculations!C65,FALSE)="c",Calculations!$D$20/COS(RADIANS(180/$P$7)),Calculations!$D$20)+Calculations!CA65+IF(P18="channel",Calculations!BU65/2-Calculations!DM65,0))*COS(RADIANS(Calculations!D65))+IF(AND(ISNUMBER(VLOOKUP(Calculations!BQ65,Input!$B$21:$AL$50,19+Calculations!C65,FALSE)),$P$7&lt;&gt;0),VLOOKUP(Calculations!BQ65,Input!$B$21:$AL$50,19+Calculations!C65,FALSE)*SIN(RADIANS(Calculations!D65)),0),"")</f>
        <v/>
      </c>
      <c r="R18" s="25" t="str">
        <f>Calculations!N65</f>
        <v/>
      </c>
      <c r="S18" s="25" t="str">
        <f>IFERROR($Q18+(-IF($P18="channel",Calculations!BU65,Calculations!BX65)/2)*COS(RADIANS(Calculations!D65))+(-IF($P18="channel",Calculations!BT65,Calculations!BW65)/2)*SIN(RADIANS(Calculations!D65)),"")</f>
        <v/>
      </c>
      <c r="T18" s="25" t="str">
        <f>IF(P18="channel",Calculations!S65,Calculations!O65)</f>
        <v/>
      </c>
      <c r="U18" s="25" t="str">
        <f>IFERROR($Q18+(IF($P18="channel",Calculations!BU65,Calculations!BX65)/2)*COS(RADIANS(Calculations!D65))+(-IF($P18="channel",Calculations!BT65,Calculations!BW65)/2)*SIN(RADIANS(Calculations!D65)),"")</f>
        <v/>
      </c>
      <c r="V18" s="25" t="str">
        <f>IF(P18="channel",Calculations!T65,Calculations!P65)</f>
        <v/>
      </c>
      <c r="W18" s="25" t="str">
        <f>IFERROR($Q18+(IF($P18="channel",Calculations!BU65,Calculations!BX65)/2)*COS(RADIANS(Calculations!D65))+(IF($P18="channel",Calculations!BT65,Calculations!BW65)/2)*SIN(RADIANS(Calculations!D65)),"")</f>
        <v/>
      </c>
      <c r="X18" s="25" t="str">
        <f>IF(P18="channel",Calculations!U65,Calculations!Q65)</f>
        <v/>
      </c>
      <c r="Y18" s="25" t="str">
        <f>IFERROR($Q18+(-IF($P18="channel",Calculations!BU65,Calculations!BX65)/2)*COS(RADIANS(Calculations!D65))+(IF($P18="channel",Calculations!BT65,Calculations!BW65)/2)*SIN(RADIANS(Calculations!D65)),"")</f>
        <v/>
      </c>
      <c r="Z18" s="25" t="str">
        <f>IF(P18="channel",Calculations!V65,Calculations!R65)</f>
        <v/>
      </c>
      <c r="AA18" s="25" t="str">
        <f>IFERROR($AI18+(-AK18/2)*COS(RADIANS(Calculations!D65))+(-AL18/2)*SIN(RADIANS(Calculations!D65)),"")</f>
        <v/>
      </c>
      <c r="AB18" s="25" t="str">
        <f>IFERROR(AJ18+(-AK18/2)*SIN(RADIANS(Calculations!D65))+(AL18/2)*COS(RADIANS(Calculations!D65)),"")</f>
        <v/>
      </c>
      <c r="AC18" s="25" t="str">
        <f>IFERROR($AI18+(AK18/2)*COS(RADIANS(Calculations!D65))+(-AL18/2)*SIN(RADIANS(Calculations!D65)),"")</f>
        <v/>
      </c>
      <c r="AD18" s="25" t="str">
        <f>IFERROR(AJ18+(AK18/2)*SIN(RADIANS(Calculations!D65))+(AL18/2)*COS(RADIANS(Calculations!D65)),"")</f>
        <v/>
      </c>
      <c r="AE18" s="65" t="str">
        <f>IFERROR($AI18+(AK18/2)*COS(RADIANS(Calculations!D65))+(AL18/2)*SIN(RADIANS(Calculations!D65)),"")</f>
        <v/>
      </c>
      <c r="AF18" s="65" t="str">
        <f>IFERROR(AJ18+(AK18/2)*SIN(RADIANS(Calculations!D65))+(-AL18/2)*COS(RADIANS(Calculations!D65)),"")</f>
        <v/>
      </c>
      <c r="AG18" s="65" t="str">
        <f>IFERROR($AI18+(-AK18/2)*COS(RADIANS(Calculations!D65))+(AL18/2)*SIN(RADIANS(Calculations!D65)),"")</f>
        <v/>
      </c>
      <c r="AH18" s="65" t="str">
        <f>IFERROR(AJ18+(-AK18/2)*SIN(RADIANS(Calculations!D65))+(-AL18/2)*COS(RADIANS(Calculations!D65)),"")</f>
        <v/>
      </c>
      <c r="AI18" s="66" t="str">
        <f>IFERROR((IF(VLOOKUP(Calculations!BQ65,Input!$B$21:$AL$50,19+Calculations!C65,FALSE)="c",Calculations!$D$20/COS(RADIANS(180/$P$7)),Calculations!$D$20)+Calculations!BU65-(Calculations!BU65-Calculations!DI65)/2)*COS(RADIANS(Calculations!D65))+IF(AND(ISNUMBER(VLOOKUP(Calculations!BQ65,Input!$B$21:$AL$50,19+Calculations!C65,FALSE)),$P$7&lt;&gt;0),VLOOKUP(Calculations!BQ65,Input!$B$21:$AL$50,19+Calculations!C65,FALSE)*SIN(RADIANS(Calculations!D65)),0),"")</f>
        <v/>
      </c>
      <c r="AJ18" s="65" t="str">
        <f>IFERROR((IF(VLOOKUP(Calculations!BQ65,Input!$B$21:$AL$50,19+Calculations!C65,FALSE)="c",Calculations!$D$20/COS(RADIANS(180/Calculations!$D$8)),Calculations!$D$20)+Calculations!BU65-(Calculations!BU65-Calculations!DI65)/2)*SIN(RADIANS(Calculations!D65))-IF(AND(ISNUMBER(VLOOKUP(Calculations!BQ65,Input!$B$21:$AL$50,19+Calculations!C65,FALSE)),Calculations!$D$8&lt;&gt;0),VLOOKUP(Calculations!BQ65,Input!$B$21:$AL$50,19+Calculations!C65,FALSE)*COS(RADIANS(Calculations!D65)),0)-Calculations!$D$35,"")</f>
        <v/>
      </c>
      <c r="AK18" s="65" t="e">
        <f>Calculations!BU65-Calculations!DI65</f>
        <v>#N/A</v>
      </c>
      <c r="AL18" s="65" t="e">
        <f>Calculations!BT65-2*Calculations!DL65</f>
        <v>#N/A</v>
      </c>
      <c r="AM18" s="65" t="str">
        <f>IF(P18="solid round",Calculations!BT65,"")</f>
        <v/>
      </c>
    </row>
    <row r="19" spans="15:39" x14ac:dyDescent="0.2">
      <c r="O19" s="25">
        <v>7</v>
      </c>
      <c r="P19" s="66" t="str">
        <f>IFERROR(Calculations!BS66,"")</f>
        <v/>
      </c>
      <c r="Q19" s="25" t="str">
        <f>IFERROR((IF(VLOOKUP(Calculations!BQ66,Input!$B$21:$AL$50,19+Calculations!C66,FALSE)="c",Calculations!$D$20/COS(RADIANS(180/$P$7)),Calculations!$D$20)+Calculations!CA66+IF(P19="channel",Calculations!BU66/2-Calculations!DM66,0))*COS(RADIANS(Calculations!D66))+IF(AND(ISNUMBER(VLOOKUP(Calculations!BQ66,Input!$B$21:$AL$50,19+Calculations!C66,FALSE)),$P$7&lt;&gt;0),VLOOKUP(Calculations!BQ66,Input!$B$21:$AL$50,19+Calculations!C66,FALSE)*SIN(RADIANS(Calculations!D66)),0),"")</f>
        <v/>
      </c>
      <c r="R19" s="25" t="str">
        <f>Calculations!N66</f>
        <v/>
      </c>
      <c r="S19" s="25" t="str">
        <f>IFERROR($Q19+(-IF($P19="channel",Calculations!BU66,Calculations!BX66)/2)*COS(RADIANS(Calculations!D66))+(-IF($P19="channel",Calculations!BT66,Calculations!BW66)/2)*SIN(RADIANS(Calculations!D66)),"")</f>
        <v/>
      </c>
      <c r="T19" s="25" t="str">
        <f>IF(P19="channel",Calculations!S66,Calculations!O66)</f>
        <v/>
      </c>
      <c r="U19" s="25" t="str">
        <f>IFERROR($Q19+(IF($P19="channel",Calculations!BU66,Calculations!BX66)/2)*COS(RADIANS(Calculations!D66))+(-IF($P19="channel",Calculations!BT66,Calculations!BW66)/2)*SIN(RADIANS(Calculations!D66)),"")</f>
        <v/>
      </c>
      <c r="V19" s="25" t="str">
        <f>IF(P19="channel",Calculations!T66,Calculations!P66)</f>
        <v/>
      </c>
      <c r="W19" s="25" t="str">
        <f>IFERROR($Q19+(IF($P19="channel",Calculations!BU66,Calculations!BX66)/2)*COS(RADIANS(Calculations!D66))+(IF($P19="channel",Calculations!BT66,Calculations!BW66)/2)*SIN(RADIANS(Calculations!D66)),"")</f>
        <v/>
      </c>
      <c r="X19" s="25" t="str">
        <f>IF(P19="channel",Calculations!U66,Calculations!Q66)</f>
        <v/>
      </c>
      <c r="Y19" s="25" t="str">
        <f>IFERROR($Q19+(-IF($P19="channel",Calculations!BU66,Calculations!BX66)/2)*COS(RADIANS(Calculations!D66))+(IF($P19="channel",Calculations!BT66,Calculations!BW66)/2)*SIN(RADIANS(Calculations!D66)),"")</f>
        <v/>
      </c>
      <c r="Z19" s="25" t="str">
        <f>IF(P19="channel",Calculations!V66,Calculations!R66)</f>
        <v/>
      </c>
      <c r="AA19" s="25" t="str">
        <f>IFERROR($AI19+(-AK19/2)*COS(RADIANS(Calculations!D66))+(-AL19/2)*SIN(RADIANS(Calculations!D66)),"")</f>
        <v/>
      </c>
      <c r="AB19" s="25" t="str">
        <f>IFERROR(AJ19+(-AK19/2)*SIN(RADIANS(Calculations!D66))+(AL19/2)*COS(RADIANS(Calculations!D66)),"")</f>
        <v/>
      </c>
      <c r="AC19" s="25" t="str">
        <f>IFERROR($AI19+(AK19/2)*COS(RADIANS(Calculations!D66))+(-AL19/2)*SIN(RADIANS(Calculations!D66)),"")</f>
        <v/>
      </c>
      <c r="AD19" s="25" t="str">
        <f>IFERROR(AJ19+(AK19/2)*SIN(RADIANS(Calculations!D66))+(AL19/2)*COS(RADIANS(Calculations!D66)),"")</f>
        <v/>
      </c>
      <c r="AE19" s="65" t="str">
        <f>IFERROR($AI19+(AK19/2)*COS(RADIANS(Calculations!D66))+(AL19/2)*SIN(RADIANS(Calculations!D66)),"")</f>
        <v/>
      </c>
      <c r="AF19" s="65" t="str">
        <f>IFERROR(AJ19+(AK19/2)*SIN(RADIANS(Calculations!D66))+(-AL19/2)*COS(RADIANS(Calculations!D66)),"")</f>
        <v/>
      </c>
      <c r="AG19" s="65" t="str">
        <f>IFERROR($AI19+(-AK19/2)*COS(RADIANS(Calculations!D66))+(AL19/2)*SIN(RADIANS(Calculations!D66)),"")</f>
        <v/>
      </c>
      <c r="AH19" s="65" t="str">
        <f>IFERROR(AJ19+(-AK19/2)*SIN(RADIANS(Calculations!D66))+(-AL19/2)*COS(RADIANS(Calculations!D66)),"")</f>
        <v/>
      </c>
      <c r="AI19" s="66" t="str">
        <f>IFERROR((IF(VLOOKUP(Calculations!BQ66,Input!$B$21:$AL$50,19+Calculations!C66,FALSE)="c",Calculations!$D$20/COS(RADIANS(180/$P$7)),Calculations!$D$20)+Calculations!BU66-(Calculations!BU66-Calculations!DI66)/2)*COS(RADIANS(Calculations!D66))+IF(AND(ISNUMBER(VLOOKUP(Calculations!BQ66,Input!$B$21:$AL$50,19+Calculations!C66,FALSE)),$P$7&lt;&gt;0),VLOOKUP(Calculations!BQ66,Input!$B$21:$AL$50,19+Calculations!C66,FALSE)*SIN(RADIANS(Calculations!D66)),0),"")</f>
        <v/>
      </c>
      <c r="AJ19" s="65" t="str">
        <f>IFERROR((IF(VLOOKUP(Calculations!BQ66,Input!$B$21:$AL$50,19+Calculations!C66,FALSE)="c",Calculations!$D$20/COS(RADIANS(180/Calculations!$D$8)),Calculations!$D$20)+Calculations!BU66-(Calculations!BU66-Calculations!DI66)/2)*SIN(RADIANS(Calculations!D66))-IF(AND(ISNUMBER(VLOOKUP(Calculations!BQ66,Input!$B$21:$AL$50,19+Calculations!C66,FALSE)),Calculations!$D$8&lt;&gt;0),VLOOKUP(Calculations!BQ66,Input!$B$21:$AL$50,19+Calculations!C66,FALSE)*COS(RADIANS(Calculations!D66)),0)-Calculations!$D$35,"")</f>
        <v/>
      </c>
      <c r="AK19" s="65" t="e">
        <f>Calculations!BU66-Calculations!DI66</f>
        <v>#N/A</v>
      </c>
      <c r="AL19" s="65" t="e">
        <f>Calculations!BT66-2*Calculations!DL66</f>
        <v>#N/A</v>
      </c>
      <c r="AM19" s="65" t="str">
        <f>IF(P19="solid round",Calculations!BT66,"")</f>
        <v/>
      </c>
    </row>
    <row r="20" spans="15:39" x14ac:dyDescent="0.2">
      <c r="O20" s="25">
        <v>8</v>
      </c>
      <c r="P20" s="66" t="str">
        <f>IFERROR(Calculations!BS67,"")</f>
        <v/>
      </c>
      <c r="Q20" s="25" t="str">
        <f>IFERROR((IF(VLOOKUP(Calculations!BQ67,Input!$B$21:$AL$50,19+Calculations!C67,FALSE)="c",Calculations!$D$20/COS(RADIANS(180/$P$7)),Calculations!$D$20)+Calculations!CA67+IF(P20="channel",Calculations!BU67/2-Calculations!DM67,0))*COS(RADIANS(Calculations!D67))+IF(AND(ISNUMBER(VLOOKUP(Calculations!BQ67,Input!$B$21:$AL$50,19+Calculations!C67,FALSE)),$P$7&lt;&gt;0),VLOOKUP(Calculations!BQ67,Input!$B$21:$AL$50,19+Calculations!C67,FALSE)*SIN(RADIANS(Calculations!D67)),0),"")</f>
        <v/>
      </c>
      <c r="R20" s="25" t="str">
        <f>Calculations!N67</f>
        <v/>
      </c>
      <c r="S20" s="25" t="str">
        <f>IFERROR($Q20+(-IF($P20="channel",Calculations!BU67,Calculations!BX67)/2)*COS(RADIANS(Calculations!D67))+(-IF($P20="channel",Calculations!BT67,Calculations!BW67)/2)*SIN(RADIANS(Calculations!D67)),"")</f>
        <v/>
      </c>
      <c r="T20" s="25" t="str">
        <f>IF(P20="channel",Calculations!S67,Calculations!O67)</f>
        <v/>
      </c>
      <c r="U20" s="25" t="str">
        <f>IFERROR($Q20+(IF($P20="channel",Calculations!BU67,Calculations!BX67)/2)*COS(RADIANS(Calculations!D67))+(-IF($P20="channel",Calculations!BT67,Calculations!BW67)/2)*SIN(RADIANS(Calculations!D67)),"")</f>
        <v/>
      </c>
      <c r="V20" s="25" t="str">
        <f>IF(P20="channel",Calculations!T67,Calculations!P67)</f>
        <v/>
      </c>
      <c r="W20" s="25" t="str">
        <f>IFERROR($Q20+(IF($P20="channel",Calculations!BU67,Calculations!BX67)/2)*COS(RADIANS(Calculations!D67))+(IF($P20="channel",Calculations!BT67,Calculations!BW67)/2)*SIN(RADIANS(Calculations!D67)),"")</f>
        <v/>
      </c>
      <c r="X20" s="25" t="str">
        <f>IF(P20="channel",Calculations!U67,Calculations!Q67)</f>
        <v/>
      </c>
      <c r="Y20" s="25" t="str">
        <f>IFERROR($Q20+(-IF($P20="channel",Calculations!BU67,Calculations!BX67)/2)*COS(RADIANS(Calculations!D67))+(IF($P20="channel",Calculations!BT67,Calculations!BW67)/2)*SIN(RADIANS(Calculations!D67)),"")</f>
        <v/>
      </c>
      <c r="Z20" s="25" t="str">
        <f>IF(P20="channel",Calculations!V67,Calculations!R67)</f>
        <v/>
      </c>
      <c r="AA20" s="25" t="str">
        <f>IFERROR($AI20+(-AK20/2)*COS(RADIANS(Calculations!D67))+(-AL20/2)*SIN(RADIANS(Calculations!D67)),"")</f>
        <v/>
      </c>
      <c r="AB20" s="25" t="str">
        <f>IFERROR(AJ20+(-AK20/2)*SIN(RADIANS(Calculations!D67))+(AL20/2)*COS(RADIANS(Calculations!D67)),"")</f>
        <v/>
      </c>
      <c r="AC20" s="25" t="str">
        <f>IFERROR($AI20+(AK20/2)*COS(RADIANS(Calculations!D67))+(-AL20/2)*SIN(RADIANS(Calculations!D67)),"")</f>
        <v/>
      </c>
      <c r="AD20" s="25" t="str">
        <f>IFERROR(AJ20+(AK20/2)*SIN(RADIANS(Calculations!D67))+(AL20/2)*COS(RADIANS(Calculations!D67)),"")</f>
        <v/>
      </c>
      <c r="AE20" s="65" t="str">
        <f>IFERROR($AI20+(AK20/2)*COS(RADIANS(Calculations!D67))+(AL20/2)*SIN(RADIANS(Calculations!D67)),"")</f>
        <v/>
      </c>
      <c r="AF20" s="65" t="str">
        <f>IFERROR(AJ20+(AK20/2)*SIN(RADIANS(Calculations!D67))+(-AL20/2)*COS(RADIANS(Calculations!D67)),"")</f>
        <v/>
      </c>
      <c r="AG20" s="65" t="str">
        <f>IFERROR($AI20+(-AK20/2)*COS(RADIANS(Calculations!D67))+(AL20/2)*SIN(RADIANS(Calculations!D67)),"")</f>
        <v/>
      </c>
      <c r="AH20" s="65" t="str">
        <f>IFERROR(AJ20+(-AK20/2)*SIN(RADIANS(Calculations!D67))+(-AL20/2)*COS(RADIANS(Calculations!D67)),"")</f>
        <v/>
      </c>
      <c r="AI20" s="66" t="str">
        <f>IFERROR((IF(VLOOKUP(Calculations!BQ67,Input!$B$21:$AL$50,19+Calculations!C67,FALSE)="c",Calculations!$D$20/COS(RADIANS(180/$P$7)),Calculations!$D$20)+Calculations!BU67-(Calculations!BU67-Calculations!DI67)/2)*COS(RADIANS(Calculations!D67))+IF(AND(ISNUMBER(VLOOKUP(Calculations!BQ67,Input!$B$21:$AL$50,19+Calculations!C67,FALSE)),$P$7&lt;&gt;0),VLOOKUP(Calculations!BQ67,Input!$B$21:$AL$50,19+Calculations!C67,FALSE)*SIN(RADIANS(Calculations!D67)),0),"")</f>
        <v/>
      </c>
      <c r="AJ20" s="65" t="str">
        <f>IFERROR((IF(VLOOKUP(Calculations!BQ67,Input!$B$21:$AL$50,19+Calculations!C67,FALSE)="c",Calculations!$D$20/COS(RADIANS(180/Calculations!$D$8)),Calculations!$D$20)+Calculations!BU67-(Calculations!BU67-Calculations!DI67)/2)*SIN(RADIANS(Calculations!D67))-IF(AND(ISNUMBER(VLOOKUP(Calculations!BQ67,Input!$B$21:$AL$50,19+Calculations!C67,FALSE)),Calculations!$D$8&lt;&gt;0),VLOOKUP(Calculations!BQ67,Input!$B$21:$AL$50,19+Calculations!C67,FALSE)*COS(RADIANS(Calculations!D67)),0)-Calculations!$D$35,"")</f>
        <v/>
      </c>
      <c r="AK20" s="65" t="e">
        <f>Calculations!BU67-Calculations!DI67</f>
        <v>#N/A</v>
      </c>
      <c r="AL20" s="65" t="e">
        <f>Calculations!BT67-2*Calculations!DL67</f>
        <v>#N/A</v>
      </c>
      <c r="AM20" s="65" t="str">
        <f>IF(P20="solid round",Calculations!BT67,"")</f>
        <v/>
      </c>
    </row>
    <row r="21" spans="15:39" x14ac:dyDescent="0.2">
      <c r="O21" s="25">
        <v>9</v>
      </c>
      <c r="P21" s="66" t="str">
        <f>IFERROR(Calculations!BS68,"")</f>
        <v/>
      </c>
      <c r="Q21" s="25" t="str">
        <f>IFERROR((IF(VLOOKUP(Calculations!BQ68,Input!$B$21:$AL$50,19+Calculations!C68,FALSE)="c",Calculations!$D$20/COS(RADIANS(180/$P$7)),Calculations!$D$20)+Calculations!CA68+IF(P21="channel",Calculations!BU68/2-Calculations!DM68,0))*COS(RADIANS(Calculations!D68))+IF(AND(ISNUMBER(VLOOKUP(Calculations!BQ68,Input!$B$21:$AL$50,19+Calculations!C68,FALSE)),$P$7&lt;&gt;0),VLOOKUP(Calculations!BQ68,Input!$B$21:$AL$50,19+Calculations!C68,FALSE)*SIN(RADIANS(Calculations!D68)),0),"")</f>
        <v/>
      </c>
      <c r="R21" s="25" t="str">
        <f>Calculations!N68</f>
        <v/>
      </c>
      <c r="S21" s="25" t="str">
        <f>IFERROR($Q21+(-IF($P21="channel",Calculations!BU68,Calculations!BX68)/2)*COS(RADIANS(Calculations!D68))+(-IF($P21="channel",Calculations!BT68,Calculations!BW68)/2)*SIN(RADIANS(Calculations!D68)),"")</f>
        <v/>
      </c>
      <c r="T21" s="25" t="str">
        <f>IF(P21="channel",Calculations!S68,Calculations!O68)</f>
        <v/>
      </c>
      <c r="U21" s="25" t="str">
        <f>IFERROR($Q21+(IF($P21="channel",Calculations!BU68,Calculations!BX68)/2)*COS(RADIANS(Calculations!D68))+(-IF($P21="channel",Calculations!BT68,Calculations!BW68)/2)*SIN(RADIANS(Calculations!D68)),"")</f>
        <v/>
      </c>
      <c r="V21" s="25" t="str">
        <f>IF(P21="channel",Calculations!T68,Calculations!P68)</f>
        <v/>
      </c>
      <c r="W21" s="25" t="str">
        <f>IFERROR($Q21+(IF($P21="channel",Calculations!BU68,Calculations!BX68)/2)*COS(RADIANS(Calculations!D68))+(IF($P21="channel",Calculations!BT68,Calculations!BW68)/2)*SIN(RADIANS(Calculations!D68)),"")</f>
        <v/>
      </c>
      <c r="X21" s="25" t="str">
        <f>IF(P21="channel",Calculations!U68,Calculations!Q68)</f>
        <v/>
      </c>
      <c r="Y21" s="25" t="str">
        <f>IFERROR($Q21+(-IF($P21="channel",Calculations!BU68,Calculations!BX68)/2)*COS(RADIANS(Calculations!D68))+(IF($P21="channel",Calculations!BT68,Calculations!BW68)/2)*SIN(RADIANS(Calculations!D68)),"")</f>
        <v/>
      </c>
      <c r="Z21" s="25" t="str">
        <f>IF(P21="channel",Calculations!V68,Calculations!R68)</f>
        <v/>
      </c>
      <c r="AA21" s="25" t="str">
        <f>IFERROR($AI21+(-AK21/2)*COS(RADIANS(Calculations!D68))+(-AL21/2)*SIN(RADIANS(Calculations!D68)),"")</f>
        <v/>
      </c>
      <c r="AB21" s="25" t="str">
        <f>IFERROR(AJ21+(-AK21/2)*SIN(RADIANS(Calculations!D68))+(AL21/2)*COS(RADIANS(Calculations!D68)),"")</f>
        <v/>
      </c>
      <c r="AC21" s="25" t="str">
        <f>IFERROR($AI21+(AK21/2)*COS(RADIANS(Calculations!D68))+(-AL21/2)*SIN(RADIANS(Calculations!D68)),"")</f>
        <v/>
      </c>
      <c r="AD21" s="25" t="str">
        <f>IFERROR(AJ21+(AK21/2)*SIN(RADIANS(Calculations!D68))+(AL21/2)*COS(RADIANS(Calculations!D68)),"")</f>
        <v/>
      </c>
      <c r="AE21" s="65" t="str">
        <f>IFERROR($AI21+(AK21/2)*COS(RADIANS(Calculations!D68))+(AL21/2)*SIN(RADIANS(Calculations!D68)),"")</f>
        <v/>
      </c>
      <c r="AF21" s="65" t="str">
        <f>IFERROR(AJ21+(AK21/2)*SIN(RADIANS(Calculations!D68))+(-AL21/2)*COS(RADIANS(Calculations!D68)),"")</f>
        <v/>
      </c>
      <c r="AG21" s="65" t="str">
        <f>IFERROR($AI21+(-AK21/2)*COS(RADIANS(Calculations!D68))+(AL21/2)*SIN(RADIANS(Calculations!D68)),"")</f>
        <v/>
      </c>
      <c r="AH21" s="65" t="str">
        <f>IFERROR(AJ21+(-AK21/2)*SIN(RADIANS(Calculations!D68))+(-AL21/2)*COS(RADIANS(Calculations!D68)),"")</f>
        <v/>
      </c>
      <c r="AI21" s="66" t="str">
        <f>IFERROR((IF(VLOOKUP(Calculations!BQ68,Input!$B$21:$AL$50,19+Calculations!C68,FALSE)="c",Calculations!$D$20/COS(RADIANS(180/$P$7)),Calculations!$D$20)+Calculations!BU68-(Calculations!BU68-Calculations!DI68)/2)*COS(RADIANS(Calculations!D68))+IF(AND(ISNUMBER(VLOOKUP(Calculations!BQ68,Input!$B$21:$AL$50,19+Calculations!C68,FALSE)),$P$7&lt;&gt;0),VLOOKUP(Calculations!BQ68,Input!$B$21:$AL$50,19+Calculations!C68,FALSE)*SIN(RADIANS(Calculations!D68)),0),"")</f>
        <v/>
      </c>
      <c r="AJ21" s="65" t="str">
        <f>IFERROR((IF(VLOOKUP(Calculations!BQ68,Input!$B$21:$AL$50,19+Calculations!C68,FALSE)="c",Calculations!$D$20/COS(RADIANS(180/Calculations!$D$8)),Calculations!$D$20)+Calculations!BU68-(Calculations!BU68-Calculations!DI68)/2)*SIN(RADIANS(Calculations!D68))-IF(AND(ISNUMBER(VLOOKUP(Calculations!BQ68,Input!$B$21:$AL$50,19+Calculations!C68,FALSE)),Calculations!$D$8&lt;&gt;0),VLOOKUP(Calculations!BQ68,Input!$B$21:$AL$50,19+Calculations!C68,FALSE)*COS(RADIANS(Calculations!D68)),0)-Calculations!$D$35,"")</f>
        <v/>
      </c>
      <c r="AK21" s="65" t="e">
        <f>Calculations!BU68-Calculations!DI68</f>
        <v>#N/A</v>
      </c>
      <c r="AL21" s="65" t="e">
        <f>Calculations!BT68-2*Calculations!DL68</f>
        <v>#N/A</v>
      </c>
      <c r="AM21" s="65" t="str">
        <f>IF(P21="solid round",Calculations!BT68,"")</f>
        <v/>
      </c>
    </row>
    <row r="22" spans="15:39" x14ac:dyDescent="0.2">
      <c r="O22" s="25">
        <v>10</v>
      </c>
      <c r="P22" s="66" t="str">
        <f>IFERROR(Calculations!BS69,"")</f>
        <v/>
      </c>
      <c r="Q22" s="25" t="str">
        <f>IFERROR((IF(VLOOKUP(Calculations!BQ69,Input!$B$21:$AL$50,19+Calculations!C69,FALSE)="c",Calculations!$D$20/COS(RADIANS(180/$P$7)),Calculations!$D$20)+Calculations!CA69+IF(P22="channel",Calculations!BU69/2-Calculations!DM69,0))*COS(RADIANS(Calculations!D69))+IF(AND(ISNUMBER(VLOOKUP(Calculations!BQ69,Input!$B$21:$AL$50,19+Calculations!C69,FALSE)),$P$7&lt;&gt;0),VLOOKUP(Calculations!BQ69,Input!$B$21:$AL$50,19+Calculations!C69,FALSE)*SIN(RADIANS(Calculations!D69)),0),"")</f>
        <v/>
      </c>
      <c r="R22" s="25" t="str">
        <f>Calculations!N69</f>
        <v/>
      </c>
      <c r="S22" s="25" t="str">
        <f>IFERROR($Q22+(-IF($P22="channel",Calculations!BU69,Calculations!BX69)/2)*COS(RADIANS(Calculations!D69))+(-IF($P22="channel",Calculations!BT69,Calculations!BW69)/2)*SIN(RADIANS(Calculations!D69)),"")</f>
        <v/>
      </c>
      <c r="T22" s="25" t="str">
        <f>IF(P22="channel",Calculations!S69,Calculations!O69)</f>
        <v/>
      </c>
      <c r="U22" s="25" t="str">
        <f>IFERROR($Q22+(IF($P22="channel",Calculations!BU69,Calculations!BX69)/2)*COS(RADIANS(Calculations!D69))+(-IF($P22="channel",Calculations!BT69,Calculations!BW69)/2)*SIN(RADIANS(Calculations!D69)),"")</f>
        <v/>
      </c>
      <c r="V22" s="25" t="str">
        <f>IF(P22="channel",Calculations!T69,Calculations!P69)</f>
        <v/>
      </c>
      <c r="W22" s="25" t="str">
        <f>IFERROR($Q22+(IF($P22="channel",Calculations!BU69,Calculations!BX69)/2)*COS(RADIANS(Calculations!D69))+(IF($P22="channel",Calculations!BT69,Calculations!BW69)/2)*SIN(RADIANS(Calculations!D69)),"")</f>
        <v/>
      </c>
      <c r="X22" s="25" t="str">
        <f>IF(P22="channel",Calculations!U69,Calculations!Q69)</f>
        <v/>
      </c>
      <c r="Y22" s="25" t="str">
        <f>IFERROR($Q22+(-IF($P22="channel",Calculations!BU69,Calculations!BX69)/2)*COS(RADIANS(Calculations!D69))+(IF($P22="channel",Calculations!BT69,Calculations!BW69)/2)*SIN(RADIANS(Calculations!D69)),"")</f>
        <v/>
      </c>
      <c r="Z22" s="25" t="str">
        <f>IF(P22="channel",Calculations!V69,Calculations!R69)</f>
        <v/>
      </c>
      <c r="AA22" s="25" t="str">
        <f>IFERROR($AI22+(-AK22/2)*COS(RADIANS(Calculations!D69))+(-AL22/2)*SIN(RADIANS(Calculations!D69)),"")</f>
        <v/>
      </c>
      <c r="AB22" s="25" t="str">
        <f>IFERROR(AJ22+(-AK22/2)*SIN(RADIANS(Calculations!D69))+(AL22/2)*COS(RADIANS(Calculations!D69)),"")</f>
        <v/>
      </c>
      <c r="AC22" s="25" t="str">
        <f>IFERROR($AI22+(AK22/2)*COS(RADIANS(Calculations!D69))+(-AL22/2)*SIN(RADIANS(Calculations!D69)),"")</f>
        <v/>
      </c>
      <c r="AD22" s="25" t="str">
        <f>IFERROR(AJ22+(AK22/2)*SIN(RADIANS(Calculations!D69))+(AL22/2)*COS(RADIANS(Calculations!D69)),"")</f>
        <v/>
      </c>
      <c r="AE22" s="65" t="str">
        <f>IFERROR($AI22+(AK22/2)*COS(RADIANS(Calculations!D69))+(AL22/2)*SIN(RADIANS(Calculations!D69)),"")</f>
        <v/>
      </c>
      <c r="AF22" s="65" t="str">
        <f>IFERROR(AJ22+(AK22/2)*SIN(RADIANS(Calculations!D69))+(-AL22/2)*COS(RADIANS(Calculations!D69)),"")</f>
        <v/>
      </c>
      <c r="AG22" s="65" t="str">
        <f>IFERROR($AI22+(-AK22/2)*COS(RADIANS(Calculations!D69))+(AL22/2)*SIN(RADIANS(Calculations!D69)),"")</f>
        <v/>
      </c>
      <c r="AH22" s="65" t="str">
        <f>IFERROR(AJ22+(-AK22/2)*SIN(RADIANS(Calculations!D69))+(-AL22/2)*COS(RADIANS(Calculations!D69)),"")</f>
        <v/>
      </c>
      <c r="AI22" s="66" t="str">
        <f>IFERROR((IF(VLOOKUP(Calculations!BQ69,Input!$B$21:$AL$50,19+Calculations!C69,FALSE)="c",Calculations!$D$20/COS(RADIANS(180/$P$7)),Calculations!$D$20)+Calculations!BU69-(Calculations!BU69-Calculations!DI69)/2)*COS(RADIANS(Calculations!D69))+IF(AND(ISNUMBER(VLOOKUP(Calculations!BQ69,Input!$B$21:$AL$50,19+Calculations!C69,FALSE)),$P$7&lt;&gt;0),VLOOKUP(Calculations!BQ69,Input!$B$21:$AL$50,19+Calculations!C69,FALSE)*SIN(RADIANS(Calculations!D69)),0),"")</f>
        <v/>
      </c>
      <c r="AJ22" s="65" t="str">
        <f>IFERROR((IF(VLOOKUP(Calculations!BQ69,Input!$B$21:$AL$50,19+Calculations!C69,FALSE)="c",Calculations!$D$20/COS(RADIANS(180/Calculations!$D$8)),Calculations!$D$20)+Calculations!BU69-(Calculations!BU69-Calculations!DI69)/2)*SIN(RADIANS(Calculations!D69))-IF(AND(ISNUMBER(VLOOKUP(Calculations!BQ69,Input!$B$21:$AL$50,19+Calculations!C69,FALSE)),Calculations!$D$8&lt;&gt;0),VLOOKUP(Calculations!BQ69,Input!$B$21:$AL$50,19+Calculations!C69,FALSE)*COS(RADIANS(Calculations!D69)),0)-Calculations!$D$35,"")</f>
        <v/>
      </c>
      <c r="AK22" s="65" t="e">
        <f>Calculations!BU69-Calculations!DI69</f>
        <v>#N/A</v>
      </c>
      <c r="AL22" s="65" t="e">
        <f>Calculations!BT69-2*Calculations!DL69</f>
        <v>#N/A</v>
      </c>
      <c r="AM22" s="65" t="str">
        <f>IF(P22="solid round",Calculations!BT69,"")</f>
        <v/>
      </c>
    </row>
    <row r="23" spans="15:39" x14ac:dyDescent="0.2">
      <c r="O23" s="25">
        <v>11</v>
      </c>
      <c r="P23" s="66" t="str">
        <f>IFERROR(Calculations!BS70,"")</f>
        <v/>
      </c>
      <c r="Q23" s="25" t="str">
        <f>IFERROR((IF(VLOOKUP(Calculations!BQ70,Input!$B$21:$AL$50,19+Calculations!C70,FALSE)="c",Calculations!$D$20/COS(RADIANS(180/$P$7)),Calculations!$D$20)+Calculations!CA70+IF(P23="channel",Calculations!BU70/2-Calculations!DM70,0))*COS(RADIANS(Calculations!D70))+IF(AND(ISNUMBER(VLOOKUP(Calculations!BQ70,Input!$B$21:$AL$50,19+Calculations!C70,FALSE)),$P$7&lt;&gt;0),VLOOKUP(Calculations!BQ70,Input!$B$21:$AL$50,19+Calculations!C70,FALSE)*SIN(RADIANS(Calculations!D70)),0),"")</f>
        <v/>
      </c>
      <c r="R23" s="25" t="str">
        <f>Calculations!N70</f>
        <v/>
      </c>
      <c r="S23" s="25" t="str">
        <f>IFERROR($Q23+(-IF($P23="channel",Calculations!BU70,Calculations!BX70)/2)*COS(RADIANS(Calculations!D70))+(-IF($P23="channel",Calculations!BT70,Calculations!BW70)/2)*SIN(RADIANS(Calculations!D70)),"")</f>
        <v/>
      </c>
      <c r="T23" s="25" t="str">
        <f>IF(P23="channel",Calculations!S70,Calculations!O70)</f>
        <v/>
      </c>
      <c r="U23" s="25" t="str">
        <f>IFERROR($Q23+(IF($P23="channel",Calculations!BU70,Calculations!BX70)/2)*COS(RADIANS(Calculations!D70))+(-IF($P23="channel",Calculations!BT70,Calculations!BW70)/2)*SIN(RADIANS(Calculations!D70)),"")</f>
        <v/>
      </c>
      <c r="V23" s="25" t="str">
        <f>IF(P23="channel",Calculations!T70,Calculations!P70)</f>
        <v/>
      </c>
      <c r="W23" s="25" t="str">
        <f>IFERROR($Q23+(IF($P23="channel",Calculations!BU70,Calculations!BX70)/2)*COS(RADIANS(Calculations!D70))+(IF($P23="channel",Calculations!BT70,Calculations!BW70)/2)*SIN(RADIANS(Calculations!D70)),"")</f>
        <v/>
      </c>
      <c r="X23" s="25" t="str">
        <f>IF(P23="channel",Calculations!U70,Calculations!Q70)</f>
        <v/>
      </c>
      <c r="Y23" s="25" t="str">
        <f>IFERROR($Q23+(-IF($P23="channel",Calculations!BU70,Calculations!BX70)/2)*COS(RADIANS(Calculations!D70))+(IF($P23="channel",Calculations!BT70,Calculations!BW70)/2)*SIN(RADIANS(Calculations!D70)),"")</f>
        <v/>
      </c>
      <c r="Z23" s="25" t="str">
        <f>IF(P23="channel",Calculations!V70,Calculations!R70)</f>
        <v/>
      </c>
      <c r="AA23" s="25" t="str">
        <f>IFERROR($AI23+(-AK23/2)*COS(RADIANS(Calculations!D70))+(-AL23/2)*SIN(RADIANS(Calculations!D70)),"")</f>
        <v/>
      </c>
      <c r="AB23" s="25" t="str">
        <f>IFERROR(AJ23+(-AK23/2)*SIN(RADIANS(Calculations!D70))+(AL23/2)*COS(RADIANS(Calculations!D70)),"")</f>
        <v/>
      </c>
      <c r="AC23" s="25" t="str">
        <f>IFERROR($AI23+(AK23/2)*COS(RADIANS(Calculations!D70))+(-AL23/2)*SIN(RADIANS(Calculations!D70)),"")</f>
        <v/>
      </c>
      <c r="AD23" s="25" t="str">
        <f>IFERROR(AJ23+(AK23/2)*SIN(RADIANS(Calculations!D70))+(AL23/2)*COS(RADIANS(Calculations!D70)),"")</f>
        <v/>
      </c>
      <c r="AE23" s="65" t="str">
        <f>IFERROR($AI23+(AK23/2)*COS(RADIANS(Calculations!D70))+(AL23/2)*SIN(RADIANS(Calculations!D70)),"")</f>
        <v/>
      </c>
      <c r="AF23" s="65" t="str">
        <f>IFERROR(AJ23+(AK23/2)*SIN(RADIANS(Calculations!D70))+(-AL23/2)*COS(RADIANS(Calculations!D70)),"")</f>
        <v/>
      </c>
      <c r="AG23" s="65" t="str">
        <f>IFERROR($AI23+(-AK23/2)*COS(RADIANS(Calculations!D70))+(AL23/2)*SIN(RADIANS(Calculations!D70)),"")</f>
        <v/>
      </c>
      <c r="AH23" s="65" t="str">
        <f>IFERROR(AJ23+(-AK23/2)*SIN(RADIANS(Calculations!D70))+(-AL23/2)*COS(RADIANS(Calculations!D70)),"")</f>
        <v/>
      </c>
      <c r="AI23" s="66" t="str">
        <f>IFERROR((IF(VLOOKUP(Calculations!BQ70,Input!$B$21:$AL$50,19+Calculations!C70,FALSE)="c",Calculations!$D$20/COS(RADIANS(180/$P$7)),Calculations!$D$20)+Calculations!BU70-(Calculations!BU70-Calculations!DI70)/2)*COS(RADIANS(Calculations!D70))+IF(AND(ISNUMBER(VLOOKUP(Calculations!BQ70,Input!$B$21:$AL$50,19+Calculations!C70,FALSE)),$P$7&lt;&gt;0),VLOOKUP(Calculations!BQ70,Input!$B$21:$AL$50,19+Calculations!C70,FALSE)*SIN(RADIANS(Calculations!D70)),0),"")</f>
        <v/>
      </c>
      <c r="AJ23" s="65" t="str">
        <f>IFERROR((IF(VLOOKUP(Calculations!BQ70,Input!$B$21:$AL$50,19+Calculations!C70,FALSE)="c",Calculations!$D$20/COS(RADIANS(180/Calculations!$D$8)),Calculations!$D$20)+Calculations!BU70-(Calculations!BU70-Calculations!DI70)/2)*SIN(RADIANS(Calculations!D70))-IF(AND(ISNUMBER(VLOOKUP(Calculations!BQ70,Input!$B$21:$AL$50,19+Calculations!C70,FALSE)),Calculations!$D$8&lt;&gt;0),VLOOKUP(Calculations!BQ70,Input!$B$21:$AL$50,19+Calculations!C70,FALSE)*COS(RADIANS(Calculations!D70)),0)-Calculations!$D$35,"")</f>
        <v/>
      </c>
      <c r="AK23" s="65" t="e">
        <f>Calculations!BU70-Calculations!DI70</f>
        <v>#N/A</v>
      </c>
      <c r="AL23" s="65" t="e">
        <f>Calculations!BT70-2*Calculations!DL70</f>
        <v>#N/A</v>
      </c>
      <c r="AM23" s="65" t="str">
        <f>IF(P23="solid round",Calculations!BT70,"")</f>
        <v/>
      </c>
    </row>
    <row r="24" spans="15:39" x14ac:dyDescent="0.2">
      <c r="O24" s="25">
        <v>12</v>
      </c>
      <c r="P24" s="66" t="str">
        <f>IFERROR(Calculations!BS71,"")</f>
        <v/>
      </c>
      <c r="Q24" s="25" t="str">
        <f>IFERROR((IF(VLOOKUP(Calculations!BQ71,Input!$B$21:$AL$50,19+Calculations!C71,FALSE)="c",Calculations!$D$20/COS(RADIANS(180/$P$7)),Calculations!$D$20)+Calculations!CA71+IF(P24="channel",Calculations!BU71/2-Calculations!DM71,0))*COS(RADIANS(Calculations!D71))+IF(AND(ISNUMBER(VLOOKUP(Calculations!BQ71,Input!$B$21:$AL$50,19+Calculations!C71,FALSE)),$P$7&lt;&gt;0),VLOOKUP(Calculations!BQ71,Input!$B$21:$AL$50,19+Calculations!C71,FALSE)*SIN(RADIANS(Calculations!D71)),0),"")</f>
        <v/>
      </c>
      <c r="R24" s="25" t="str">
        <f>Calculations!N71</f>
        <v/>
      </c>
      <c r="S24" s="25" t="str">
        <f>IFERROR($Q24+(-IF($P24="channel",Calculations!BU71,Calculations!BX71)/2)*COS(RADIANS(Calculations!D71))+(-IF($P24="channel",Calculations!BT71,Calculations!BW71)/2)*SIN(RADIANS(Calculations!D71)),"")</f>
        <v/>
      </c>
      <c r="T24" s="25" t="str">
        <f>IF(P24="channel",Calculations!S71,Calculations!O71)</f>
        <v/>
      </c>
      <c r="U24" s="25" t="str">
        <f>IFERROR($Q24+(IF($P24="channel",Calculations!BU71,Calculations!BX71)/2)*COS(RADIANS(Calculations!D71))+(-IF($P24="channel",Calculations!BT71,Calculations!BW71)/2)*SIN(RADIANS(Calculations!D71)),"")</f>
        <v/>
      </c>
      <c r="V24" s="25" t="str">
        <f>IF(P24="channel",Calculations!T71,Calculations!P71)</f>
        <v/>
      </c>
      <c r="W24" s="25" t="str">
        <f>IFERROR($Q24+(IF($P24="channel",Calculations!BU71,Calculations!BX71)/2)*COS(RADIANS(Calculations!D71))+(IF($P24="channel",Calculations!BT71,Calculations!BW71)/2)*SIN(RADIANS(Calculations!D71)),"")</f>
        <v/>
      </c>
      <c r="X24" s="25" t="str">
        <f>IF(P24="channel",Calculations!U71,Calculations!Q71)</f>
        <v/>
      </c>
      <c r="Y24" s="25" t="str">
        <f>IFERROR($Q24+(-IF($P24="channel",Calculations!BU71,Calculations!BX71)/2)*COS(RADIANS(Calculations!D71))+(IF($P24="channel",Calculations!BT71,Calculations!BW71)/2)*SIN(RADIANS(Calculations!D71)),"")</f>
        <v/>
      </c>
      <c r="Z24" s="25" t="str">
        <f>IF(P24="channel",Calculations!V71,Calculations!R71)</f>
        <v/>
      </c>
      <c r="AA24" s="25" t="str">
        <f>IFERROR($AI24+(-AK24/2)*COS(RADIANS(Calculations!D71))+(-AL24/2)*SIN(RADIANS(Calculations!D71)),"")</f>
        <v/>
      </c>
      <c r="AB24" s="25" t="str">
        <f>IFERROR(AJ24+(-AK24/2)*SIN(RADIANS(Calculations!D71))+(AL24/2)*COS(RADIANS(Calculations!D71)),"")</f>
        <v/>
      </c>
      <c r="AC24" s="25" t="str">
        <f>IFERROR($AI24+(AK24/2)*COS(RADIANS(Calculations!D71))+(-AL24/2)*SIN(RADIANS(Calculations!D71)),"")</f>
        <v/>
      </c>
      <c r="AD24" s="25" t="str">
        <f>IFERROR(AJ24+(AK24/2)*SIN(RADIANS(Calculations!D71))+(AL24/2)*COS(RADIANS(Calculations!D71)),"")</f>
        <v/>
      </c>
      <c r="AE24" s="65" t="str">
        <f>IFERROR($AI24+(AK24/2)*COS(RADIANS(Calculations!D71))+(AL24/2)*SIN(RADIANS(Calculations!D71)),"")</f>
        <v/>
      </c>
      <c r="AF24" s="65" t="str">
        <f>IFERROR(AJ24+(AK24/2)*SIN(RADIANS(Calculations!D71))+(-AL24/2)*COS(RADIANS(Calculations!D71)),"")</f>
        <v/>
      </c>
      <c r="AG24" s="65" t="str">
        <f>IFERROR($AI24+(-AK24/2)*COS(RADIANS(Calculations!D71))+(AL24/2)*SIN(RADIANS(Calculations!D71)),"")</f>
        <v/>
      </c>
      <c r="AH24" s="65" t="str">
        <f>IFERROR(AJ24+(-AK24/2)*SIN(RADIANS(Calculations!D71))+(-AL24/2)*COS(RADIANS(Calculations!D71)),"")</f>
        <v/>
      </c>
      <c r="AI24" s="66" t="str">
        <f>IFERROR((IF(VLOOKUP(Calculations!BQ71,Input!$B$21:$AL$50,19+Calculations!C71,FALSE)="c",Calculations!$D$20/COS(RADIANS(180/$P$7)),Calculations!$D$20)+Calculations!BU71-(Calculations!BU71-Calculations!DI71)/2)*COS(RADIANS(Calculations!D71))+IF(AND(ISNUMBER(VLOOKUP(Calculations!BQ71,Input!$B$21:$AL$50,19+Calculations!C71,FALSE)),$P$7&lt;&gt;0),VLOOKUP(Calculations!BQ71,Input!$B$21:$AL$50,19+Calculations!C71,FALSE)*SIN(RADIANS(Calculations!D71)),0),"")</f>
        <v/>
      </c>
      <c r="AJ24" s="65" t="str">
        <f>IFERROR((IF(VLOOKUP(Calculations!BQ71,Input!$B$21:$AL$50,19+Calculations!C71,FALSE)="c",Calculations!$D$20/COS(RADIANS(180/Calculations!$D$8)),Calculations!$D$20)+Calculations!BU71-(Calculations!BU71-Calculations!DI71)/2)*SIN(RADIANS(Calculations!D71))-IF(AND(ISNUMBER(VLOOKUP(Calculations!BQ71,Input!$B$21:$AL$50,19+Calculations!C71,FALSE)),Calculations!$D$8&lt;&gt;0),VLOOKUP(Calculations!BQ71,Input!$B$21:$AL$50,19+Calculations!C71,FALSE)*COS(RADIANS(Calculations!D71)),0)-Calculations!$D$35,"")</f>
        <v/>
      </c>
      <c r="AK24" s="65" t="e">
        <f>Calculations!BU71-Calculations!DI71</f>
        <v>#N/A</v>
      </c>
      <c r="AL24" s="65" t="e">
        <f>Calculations!BT71-2*Calculations!DL71</f>
        <v>#N/A</v>
      </c>
      <c r="AM24" s="65" t="str">
        <f>IF(P24="solid round",Calculations!BT71,"")</f>
        <v/>
      </c>
    </row>
    <row r="25" spans="15:39" x14ac:dyDescent="0.2">
      <c r="O25" s="25">
        <v>13</v>
      </c>
      <c r="P25" s="66" t="str">
        <f>IFERROR(Calculations!BS72,"")</f>
        <v/>
      </c>
      <c r="Q25" s="25" t="str">
        <f>IFERROR((IF(VLOOKUP(Calculations!BQ72,Input!$B$21:$AL$50,19+Calculations!C72,FALSE)="c",Calculations!$D$20/COS(RADIANS(180/$P$7)),Calculations!$D$20)+Calculations!CA72+IF(P25="channel",Calculations!BU72/2-Calculations!DM72,0))*COS(RADIANS(Calculations!D72))+IF(AND(ISNUMBER(VLOOKUP(Calculations!BQ72,Input!$B$21:$AL$50,19+Calculations!C72,FALSE)),$P$7&lt;&gt;0),VLOOKUP(Calculations!BQ72,Input!$B$21:$AL$50,19+Calculations!C72,FALSE)*SIN(RADIANS(Calculations!D72)),0),"")</f>
        <v/>
      </c>
      <c r="R25" s="25" t="str">
        <f>Calculations!N72</f>
        <v/>
      </c>
      <c r="S25" s="25" t="str">
        <f>IFERROR($Q25+(-IF($P25="channel",Calculations!BU72,Calculations!BX72)/2)*COS(RADIANS(Calculations!D72))+(-IF($P25="channel",Calculations!BT72,Calculations!BW72)/2)*SIN(RADIANS(Calculations!D72)),"")</f>
        <v/>
      </c>
      <c r="T25" s="25" t="str">
        <f>IF(P25="channel",Calculations!S72,Calculations!O72)</f>
        <v/>
      </c>
      <c r="U25" s="25" t="str">
        <f>IFERROR($Q25+(IF($P25="channel",Calculations!BU72,Calculations!BX72)/2)*COS(RADIANS(Calculations!D72))+(-IF($P25="channel",Calculations!BT72,Calculations!BW72)/2)*SIN(RADIANS(Calculations!D72)),"")</f>
        <v/>
      </c>
      <c r="V25" s="25" t="str">
        <f>IF(P25="channel",Calculations!T72,Calculations!P72)</f>
        <v/>
      </c>
      <c r="W25" s="25" t="str">
        <f>IFERROR($Q25+(IF($P25="channel",Calculations!BU72,Calculations!BX72)/2)*COS(RADIANS(Calculations!D72))+(IF($P25="channel",Calculations!BT72,Calculations!BW72)/2)*SIN(RADIANS(Calculations!D72)),"")</f>
        <v/>
      </c>
      <c r="X25" s="25" t="str">
        <f>IF(P25="channel",Calculations!U72,Calculations!Q72)</f>
        <v/>
      </c>
      <c r="Y25" s="25" t="str">
        <f>IFERROR($Q25+(-IF($P25="channel",Calculations!BU72,Calculations!BX72)/2)*COS(RADIANS(Calculations!D72))+(IF($P25="channel",Calculations!BT72,Calculations!BW72)/2)*SIN(RADIANS(Calculations!D72)),"")</f>
        <v/>
      </c>
      <c r="Z25" s="25" t="str">
        <f>IF(P25="channel",Calculations!V72,Calculations!R72)</f>
        <v/>
      </c>
      <c r="AA25" s="25" t="str">
        <f>IFERROR($AI25+(-AK25/2)*COS(RADIANS(Calculations!D72))+(-AL25/2)*SIN(RADIANS(Calculations!D72)),"")</f>
        <v/>
      </c>
      <c r="AB25" s="25" t="str">
        <f>IFERROR(AJ25+(-AK25/2)*SIN(RADIANS(Calculations!D72))+(AL25/2)*COS(RADIANS(Calculations!D72)),"")</f>
        <v/>
      </c>
      <c r="AC25" s="25" t="str">
        <f>IFERROR($AI25+(AK25/2)*COS(RADIANS(Calculations!D72))+(-AL25/2)*SIN(RADIANS(Calculations!D72)),"")</f>
        <v/>
      </c>
      <c r="AD25" s="25" t="str">
        <f>IFERROR(AJ25+(AK25/2)*SIN(RADIANS(Calculations!D72))+(AL25/2)*COS(RADIANS(Calculations!D72)),"")</f>
        <v/>
      </c>
      <c r="AE25" s="65" t="str">
        <f>IFERROR($AI25+(AK25/2)*COS(RADIANS(Calculations!D72))+(AL25/2)*SIN(RADIANS(Calculations!D72)),"")</f>
        <v/>
      </c>
      <c r="AF25" s="65" t="str">
        <f>IFERROR(AJ25+(AK25/2)*SIN(RADIANS(Calculations!D72))+(-AL25/2)*COS(RADIANS(Calculations!D72)),"")</f>
        <v/>
      </c>
      <c r="AG25" s="65" t="str">
        <f>IFERROR($AI25+(-AK25/2)*COS(RADIANS(Calculations!D72))+(AL25/2)*SIN(RADIANS(Calculations!D72)),"")</f>
        <v/>
      </c>
      <c r="AH25" s="65" t="str">
        <f>IFERROR(AJ25+(-AK25/2)*SIN(RADIANS(Calculations!D72))+(-AL25/2)*COS(RADIANS(Calculations!D72)),"")</f>
        <v/>
      </c>
      <c r="AI25" s="66" t="str">
        <f>IFERROR((IF(VLOOKUP(Calculations!BQ72,Input!$B$21:$AL$50,19+Calculations!C72,FALSE)="c",Calculations!$D$20/COS(RADIANS(180/$P$7)),Calculations!$D$20)+Calculations!BU72-(Calculations!BU72-Calculations!DI72)/2)*COS(RADIANS(Calculations!D72))+IF(AND(ISNUMBER(VLOOKUP(Calculations!BQ72,Input!$B$21:$AL$50,19+Calculations!C72,FALSE)),$P$7&lt;&gt;0),VLOOKUP(Calculations!BQ72,Input!$B$21:$AL$50,19+Calculations!C72,FALSE)*SIN(RADIANS(Calculations!D72)),0),"")</f>
        <v/>
      </c>
      <c r="AJ25" s="65" t="str">
        <f>IFERROR((IF(VLOOKUP(Calculations!BQ72,Input!$B$21:$AL$50,19+Calculations!C72,FALSE)="c",Calculations!$D$20/COS(RADIANS(180/Calculations!$D$8)),Calculations!$D$20)+Calculations!BU72-(Calculations!BU72-Calculations!DI72)/2)*SIN(RADIANS(Calculations!D72))-IF(AND(ISNUMBER(VLOOKUP(Calculations!BQ72,Input!$B$21:$AL$50,19+Calculations!C72,FALSE)),Calculations!$D$8&lt;&gt;0),VLOOKUP(Calculations!BQ72,Input!$B$21:$AL$50,19+Calculations!C72,FALSE)*COS(RADIANS(Calculations!D72)),0)-Calculations!$D$35,"")</f>
        <v/>
      </c>
      <c r="AK25" s="65" t="e">
        <f>Calculations!BU72-Calculations!DI72</f>
        <v>#N/A</v>
      </c>
      <c r="AL25" s="65" t="e">
        <f>Calculations!BT72-2*Calculations!DL72</f>
        <v>#N/A</v>
      </c>
      <c r="AM25" s="65" t="str">
        <f>IF(P25="solid round",Calculations!BT72,"")</f>
        <v/>
      </c>
    </row>
    <row r="26" spans="15:39" x14ac:dyDescent="0.2">
      <c r="O26" s="25">
        <v>14</v>
      </c>
      <c r="P26" s="66" t="str">
        <f>IFERROR(Calculations!BS73,"")</f>
        <v/>
      </c>
      <c r="Q26" s="25" t="str">
        <f>IFERROR((IF(VLOOKUP(Calculations!BQ73,Input!$B$21:$AL$50,19+Calculations!C73,FALSE)="c",Calculations!$D$20/COS(RADIANS(180/$P$7)),Calculations!$D$20)+Calculations!CA73+IF(P26="channel",Calculations!BU73/2-Calculations!DM73,0))*COS(RADIANS(Calculations!D73))+IF(AND(ISNUMBER(VLOOKUP(Calculations!BQ73,Input!$B$21:$AL$50,19+Calculations!C73,FALSE)),$P$7&lt;&gt;0),VLOOKUP(Calculations!BQ73,Input!$B$21:$AL$50,19+Calculations!C73,FALSE)*SIN(RADIANS(Calculations!D73)),0),"")</f>
        <v/>
      </c>
      <c r="R26" s="25" t="str">
        <f>Calculations!N73</f>
        <v/>
      </c>
      <c r="S26" s="25" t="str">
        <f>IFERROR($Q26+(-IF($P26="channel",Calculations!BU73,Calculations!BX73)/2)*COS(RADIANS(Calculations!D73))+(-IF($P26="channel",Calculations!BT73,Calculations!BW73)/2)*SIN(RADIANS(Calculations!D73)),"")</f>
        <v/>
      </c>
      <c r="T26" s="25" t="str">
        <f>IF(P26="channel",Calculations!S73,Calculations!O73)</f>
        <v/>
      </c>
      <c r="U26" s="25" t="str">
        <f>IFERROR($Q26+(IF($P26="channel",Calculations!BU73,Calculations!BX73)/2)*COS(RADIANS(Calculations!D73))+(-IF($P26="channel",Calculations!BT73,Calculations!BW73)/2)*SIN(RADIANS(Calculations!D73)),"")</f>
        <v/>
      </c>
      <c r="V26" s="25" t="str">
        <f>IF(P26="channel",Calculations!T73,Calculations!P73)</f>
        <v/>
      </c>
      <c r="W26" s="25" t="str">
        <f>IFERROR($Q26+(IF($P26="channel",Calculations!BU73,Calculations!BX73)/2)*COS(RADIANS(Calculations!D73))+(IF($P26="channel",Calculations!BT73,Calculations!BW73)/2)*SIN(RADIANS(Calculations!D73)),"")</f>
        <v/>
      </c>
      <c r="X26" s="25" t="str">
        <f>IF(P26="channel",Calculations!U73,Calculations!Q73)</f>
        <v/>
      </c>
      <c r="Y26" s="25" t="str">
        <f>IFERROR($Q26+(-IF($P26="channel",Calculations!BU73,Calculations!BX73)/2)*COS(RADIANS(Calculations!D73))+(IF($P26="channel",Calculations!BT73,Calculations!BW73)/2)*SIN(RADIANS(Calculations!D73)),"")</f>
        <v/>
      </c>
      <c r="Z26" s="25" t="str">
        <f>IF(P26="channel",Calculations!V73,Calculations!R73)</f>
        <v/>
      </c>
      <c r="AA26" s="25" t="str">
        <f>IFERROR($AI26+(-AK26/2)*COS(RADIANS(Calculations!D73))+(-AL26/2)*SIN(RADIANS(Calculations!D73)),"")</f>
        <v/>
      </c>
      <c r="AB26" s="25" t="str">
        <f>IFERROR(AJ26+(-AK26/2)*SIN(RADIANS(Calculations!D73))+(AL26/2)*COS(RADIANS(Calculations!D73)),"")</f>
        <v/>
      </c>
      <c r="AC26" s="25" t="str">
        <f>IFERROR($AI26+(AK26/2)*COS(RADIANS(Calculations!D73))+(-AL26/2)*SIN(RADIANS(Calculations!D73)),"")</f>
        <v/>
      </c>
      <c r="AD26" s="25" t="str">
        <f>IFERROR(AJ26+(AK26/2)*SIN(RADIANS(Calculations!D73))+(AL26/2)*COS(RADIANS(Calculations!D73)),"")</f>
        <v/>
      </c>
      <c r="AE26" s="65" t="str">
        <f>IFERROR($AI26+(AK26/2)*COS(RADIANS(Calculations!D73))+(AL26/2)*SIN(RADIANS(Calculations!D73)),"")</f>
        <v/>
      </c>
      <c r="AF26" s="65" t="str">
        <f>IFERROR(AJ26+(AK26/2)*SIN(RADIANS(Calculations!D73))+(-AL26/2)*COS(RADIANS(Calculations!D73)),"")</f>
        <v/>
      </c>
      <c r="AG26" s="65" t="str">
        <f>IFERROR($AI26+(-AK26/2)*COS(RADIANS(Calculations!D73))+(AL26/2)*SIN(RADIANS(Calculations!D73)),"")</f>
        <v/>
      </c>
      <c r="AH26" s="65" t="str">
        <f>IFERROR(AJ26+(-AK26/2)*SIN(RADIANS(Calculations!D73))+(-AL26/2)*COS(RADIANS(Calculations!D73)),"")</f>
        <v/>
      </c>
      <c r="AI26" s="66" t="str">
        <f>IFERROR((IF(VLOOKUP(Calculations!BQ73,Input!$B$21:$AL$50,19+Calculations!C73,FALSE)="c",Calculations!$D$20/COS(RADIANS(180/$P$7)),Calculations!$D$20)+Calculations!BU73-(Calculations!BU73-Calculations!DI73)/2)*COS(RADIANS(Calculations!D73))+IF(AND(ISNUMBER(VLOOKUP(Calculations!BQ73,Input!$B$21:$AL$50,19+Calculations!C73,FALSE)),$P$7&lt;&gt;0),VLOOKUP(Calculations!BQ73,Input!$B$21:$AL$50,19+Calculations!C73,FALSE)*SIN(RADIANS(Calculations!D73)),0),"")</f>
        <v/>
      </c>
      <c r="AJ26" s="65" t="str">
        <f>IFERROR((IF(VLOOKUP(Calculations!BQ73,Input!$B$21:$AL$50,19+Calculations!C73,FALSE)="c",Calculations!$D$20/COS(RADIANS(180/Calculations!$D$8)),Calculations!$D$20)+Calculations!BU73-(Calculations!BU73-Calculations!DI73)/2)*SIN(RADIANS(Calculations!D73))-IF(AND(ISNUMBER(VLOOKUP(Calculations!BQ73,Input!$B$21:$AL$50,19+Calculations!C73,FALSE)),Calculations!$D$8&lt;&gt;0),VLOOKUP(Calculations!BQ73,Input!$B$21:$AL$50,19+Calculations!C73,FALSE)*COS(RADIANS(Calculations!D73)),0)-Calculations!$D$35,"")</f>
        <v/>
      </c>
      <c r="AK26" s="65" t="e">
        <f>Calculations!BU73-Calculations!DI73</f>
        <v>#N/A</v>
      </c>
      <c r="AL26" s="65" t="e">
        <f>Calculations!BT73-2*Calculations!DL73</f>
        <v>#N/A</v>
      </c>
      <c r="AM26" s="65" t="str">
        <f>IF(P26="solid round",Calculations!BT73,"")</f>
        <v/>
      </c>
    </row>
    <row r="27" spans="15:39" x14ac:dyDescent="0.2">
      <c r="O27" s="25">
        <v>15</v>
      </c>
      <c r="P27" s="66" t="str">
        <f>IFERROR(Calculations!BS74,"")</f>
        <v/>
      </c>
      <c r="Q27" s="25" t="str">
        <f>IFERROR((IF(VLOOKUP(Calculations!BQ74,Input!$B$21:$AL$50,19+Calculations!C74,FALSE)="c",Calculations!$D$20/COS(RADIANS(180/$P$7)),Calculations!$D$20)+Calculations!CA74+IF(P27="channel",Calculations!BU74/2-Calculations!DM74,0))*COS(RADIANS(Calculations!D74))+IF(AND(ISNUMBER(VLOOKUP(Calculations!BQ74,Input!$B$21:$AL$50,19+Calculations!C74,FALSE)),$P$7&lt;&gt;0),VLOOKUP(Calculations!BQ74,Input!$B$21:$AL$50,19+Calculations!C74,FALSE)*SIN(RADIANS(Calculations!D74)),0),"")</f>
        <v/>
      </c>
      <c r="R27" s="25" t="str">
        <f>Calculations!N74</f>
        <v/>
      </c>
      <c r="S27" s="25" t="str">
        <f>IFERROR($Q27+(-IF($P27="channel",Calculations!BU74,Calculations!BX74)/2)*COS(RADIANS(Calculations!D74))+(-IF($P27="channel",Calculations!BT74,Calculations!BW74)/2)*SIN(RADIANS(Calculations!D74)),"")</f>
        <v/>
      </c>
      <c r="T27" s="25" t="str">
        <f>IF(P27="channel",Calculations!S74,Calculations!O74)</f>
        <v/>
      </c>
      <c r="U27" s="25" t="str">
        <f>IFERROR($Q27+(IF($P27="channel",Calculations!BU74,Calculations!BX74)/2)*COS(RADIANS(Calculations!D74))+(-IF($P27="channel",Calculations!BT74,Calculations!BW74)/2)*SIN(RADIANS(Calculations!D74)),"")</f>
        <v/>
      </c>
      <c r="V27" s="25" t="str">
        <f>IF(P27="channel",Calculations!T74,Calculations!P74)</f>
        <v/>
      </c>
      <c r="W27" s="25" t="str">
        <f>IFERROR($Q27+(IF($P27="channel",Calculations!BU74,Calculations!BX74)/2)*COS(RADIANS(Calculations!D74))+(IF($P27="channel",Calculations!BT74,Calculations!BW74)/2)*SIN(RADIANS(Calculations!D74)),"")</f>
        <v/>
      </c>
      <c r="X27" s="25" t="str">
        <f>IF(P27="channel",Calculations!U74,Calculations!Q74)</f>
        <v/>
      </c>
      <c r="Y27" s="25" t="str">
        <f>IFERROR($Q27+(-IF($P27="channel",Calculations!BU74,Calculations!BX74)/2)*COS(RADIANS(Calculations!D74))+(IF($P27="channel",Calculations!BT74,Calculations!BW74)/2)*SIN(RADIANS(Calculations!D74)),"")</f>
        <v/>
      </c>
      <c r="Z27" s="25" t="str">
        <f>IF(P27="channel",Calculations!V74,Calculations!R74)</f>
        <v/>
      </c>
      <c r="AA27" s="25" t="str">
        <f>IFERROR($AI27+(-AK27/2)*COS(RADIANS(Calculations!D74))+(-AL27/2)*SIN(RADIANS(Calculations!D74)),"")</f>
        <v/>
      </c>
      <c r="AB27" s="25" t="str">
        <f>IFERROR(AJ27+(-AK27/2)*SIN(RADIANS(Calculations!D74))+(AL27/2)*COS(RADIANS(Calculations!D74)),"")</f>
        <v/>
      </c>
      <c r="AC27" s="25" t="str">
        <f>IFERROR($AI27+(AK27/2)*COS(RADIANS(Calculations!D74))+(-AL27/2)*SIN(RADIANS(Calculations!D74)),"")</f>
        <v/>
      </c>
      <c r="AD27" s="25" t="str">
        <f>IFERROR(AJ27+(AK27/2)*SIN(RADIANS(Calculations!D74))+(AL27/2)*COS(RADIANS(Calculations!D74)),"")</f>
        <v/>
      </c>
      <c r="AE27" s="65" t="str">
        <f>IFERROR($AI27+(AK27/2)*COS(RADIANS(Calculations!D74))+(AL27/2)*SIN(RADIANS(Calculations!D74)),"")</f>
        <v/>
      </c>
      <c r="AF27" s="65" t="str">
        <f>IFERROR(AJ27+(AK27/2)*SIN(RADIANS(Calculations!D74))+(-AL27/2)*COS(RADIANS(Calculations!D74)),"")</f>
        <v/>
      </c>
      <c r="AG27" s="65" t="str">
        <f>IFERROR($AI27+(-AK27/2)*COS(RADIANS(Calculations!D74))+(AL27/2)*SIN(RADIANS(Calculations!D74)),"")</f>
        <v/>
      </c>
      <c r="AH27" s="65" t="str">
        <f>IFERROR(AJ27+(-AK27/2)*SIN(RADIANS(Calculations!D74))+(-AL27/2)*COS(RADIANS(Calculations!D74)),"")</f>
        <v/>
      </c>
      <c r="AI27" s="66" t="str">
        <f>IFERROR((IF(VLOOKUP(Calculations!BQ74,Input!$B$21:$AL$50,19+Calculations!C74,FALSE)="c",Calculations!$D$20/COS(RADIANS(180/$P$7)),Calculations!$D$20)+Calculations!BU74-(Calculations!BU74-Calculations!DI74)/2)*COS(RADIANS(Calculations!D74))+IF(AND(ISNUMBER(VLOOKUP(Calculations!BQ74,Input!$B$21:$AL$50,19+Calculations!C74,FALSE)),$P$7&lt;&gt;0),VLOOKUP(Calculations!BQ74,Input!$B$21:$AL$50,19+Calculations!C74,FALSE)*SIN(RADIANS(Calculations!D74)),0),"")</f>
        <v/>
      </c>
      <c r="AJ27" s="65" t="str">
        <f>IFERROR((IF(VLOOKUP(Calculations!BQ74,Input!$B$21:$AL$50,19+Calculations!C74,FALSE)="c",Calculations!$D$20/COS(RADIANS(180/Calculations!$D$8)),Calculations!$D$20)+Calculations!BU74-(Calculations!BU74-Calculations!DI74)/2)*SIN(RADIANS(Calculations!D74))-IF(AND(ISNUMBER(VLOOKUP(Calculations!BQ74,Input!$B$21:$AL$50,19+Calculations!C74,FALSE)),Calculations!$D$8&lt;&gt;0),VLOOKUP(Calculations!BQ74,Input!$B$21:$AL$50,19+Calculations!C74,FALSE)*COS(RADIANS(Calculations!D74)),0)-Calculations!$D$35,"")</f>
        <v/>
      </c>
      <c r="AK27" s="65" t="e">
        <f>Calculations!BU74-Calculations!DI74</f>
        <v>#N/A</v>
      </c>
      <c r="AL27" s="65" t="e">
        <f>Calculations!BT74-2*Calculations!DL74</f>
        <v>#N/A</v>
      </c>
      <c r="AM27" s="65" t="str">
        <f>IF(P27="solid round",Calculations!BT74,"")</f>
        <v/>
      </c>
    </row>
    <row r="28" spans="15:39" x14ac:dyDescent="0.2">
      <c r="O28" s="25">
        <v>16</v>
      </c>
      <c r="P28" s="66" t="str">
        <f>IFERROR(Calculations!BS75,"")</f>
        <v/>
      </c>
      <c r="Q28" s="25" t="str">
        <f>IFERROR((IF(VLOOKUP(Calculations!BQ75,Input!$B$21:$AL$50,19+Calculations!C75,FALSE)="c",Calculations!$D$20/COS(RADIANS(180/$P$7)),Calculations!$D$20)+Calculations!CA75+IF(P28="channel",Calculations!BU75/2-Calculations!DM75,0))*COS(RADIANS(Calculations!D75))+IF(AND(ISNUMBER(VLOOKUP(Calculations!BQ75,Input!$B$21:$AL$50,19+Calculations!C75,FALSE)),$P$7&lt;&gt;0),VLOOKUP(Calculations!BQ75,Input!$B$21:$AL$50,19+Calculations!C75,FALSE)*SIN(RADIANS(Calculations!D75)),0),"")</f>
        <v/>
      </c>
      <c r="R28" s="25" t="str">
        <f>Calculations!N75</f>
        <v/>
      </c>
      <c r="S28" s="25" t="str">
        <f>IFERROR($Q28+(-IF($P28="channel",Calculations!BU75,Calculations!BX75)/2)*COS(RADIANS(Calculations!D75))+(-IF($P28="channel",Calculations!BT75,Calculations!BW75)/2)*SIN(RADIANS(Calculations!D75)),"")</f>
        <v/>
      </c>
      <c r="T28" s="25" t="str">
        <f>IF(P28="channel",Calculations!S75,Calculations!O75)</f>
        <v/>
      </c>
      <c r="U28" s="25" t="str">
        <f>IFERROR($Q28+(IF($P28="channel",Calculations!BU75,Calculations!BX75)/2)*COS(RADIANS(Calculations!D75))+(-IF($P28="channel",Calculations!BT75,Calculations!BW75)/2)*SIN(RADIANS(Calculations!D75)),"")</f>
        <v/>
      </c>
      <c r="V28" s="25" t="str">
        <f>IF(P28="channel",Calculations!T75,Calculations!P75)</f>
        <v/>
      </c>
      <c r="W28" s="25" t="str">
        <f>IFERROR($Q28+(IF($P28="channel",Calculations!BU75,Calculations!BX75)/2)*COS(RADIANS(Calculations!D75))+(IF($P28="channel",Calculations!BT75,Calculations!BW75)/2)*SIN(RADIANS(Calculations!D75)),"")</f>
        <v/>
      </c>
      <c r="X28" s="25" t="str">
        <f>IF(P28="channel",Calculations!U75,Calculations!Q75)</f>
        <v/>
      </c>
      <c r="Y28" s="25" t="str">
        <f>IFERROR($Q28+(-IF($P28="channel",Calculations!BU75,Calculations!BX75)/2)*COS(RADIANS(Calculations!D75))+(IF($P28="channel",Calculations!BT75,Calculations!BW75)/2)*SIN(RADIANS(Calculations!D75)),"")</f>
        <v/>
      </c>
      <c r="Z28" s="25" t="str">
        <f>IF(P28="channel",Calculations!V75,Calculations!R75)</f>
        <v/>
      </c>
      <c r="AA28" s="25" t="str">
        <f>IFERROR($AI28+(-AK28/2)*COS(RADIANS(Calculations!D75))+(-AL28/2)*SIN(RADIANS(Calculations!D75)),"")</f>
        <v/>
      </c>
      <c r="AB28" s="25" t="str">
        <f>IFERROR(AJ28+(-AK28/2)*SIN(RADIANS(Calculations!D75))+(AL28/2)*COS(RADIANS(Calculations!D75)),"")</f>
        <v/>
      </c>
      <c r="AC28" s="25" t="str">
        <f>IFERROR($AI28+(AK28/2)*COS(RADIANS(Calculations!D75))+(-AL28/2)*SIN(RADIANS(Calculations!D75)),"")</f>
        <v/>
      </c>
      <c r="AD28" s="25" t="str">
        <f>IFERROR(AJ28+(AK28/2)*SIN(RADIANS(Calculations!D75))+(AL28/2)*COS(RADIANS(Calculations!D75)),"")</f>
        <v/>
      </c>
      <c r="AE28" s="65" t="str">
        <f>IFERROR($AI28+(AK28/2)*COS(RADIANS(Calculations!D75))+(AL28/2)*SIN(RADIANS(Calculations!D75)),"")</f>
        <v/>
      </c>
      <c r="AF28" s="65" t="str">
        <f>IFERROR(AJ28+(AK28/2)*SIN(RADIANS(Calculations!D75))+(-AL28/2)*COS(RADIANS(Calculations!D75)),"")</f>
        <v/>
      </c>
      <c r="AG28" s="65" t="str">
        <f>IFERROR($AI28+(-AK28/2)*COS(RADIANS(Calculations!D75))+(AL28/2)*SIN(RADIANS(Calculations!D75)),"")</f>
        <v/>
      </c>
      <c r="AH28" s="65" t="str">
        <f>IFERROR(AJ28+(-AK28/2)*SIN(RADIANS(Calculations!D75))+(-AL28/2)*COS(RADIANS(Calculations!D75)),"")</f>
        <v/>
      </c>
      <c r="AI28" s="66" t="str">
        <f>IFERROR((IF(VLOOKUP(Calculations!BQ75,Input!$B$21:$AL$50,19+Calculations!C75,FALSE)="c",Calculations!$D$20/COS(RADIANS(180/$P$7)),Calculations!$D$20)+Calculations!BU75-(Calculations!BU75-Calculations!DI75)/2)*COS(RADIANS(Calculations!D75))+IF(AND(ISNUMBER(VLOOKUP(Calculations!BQ75,Input!$B$21:$AL$50,19+Calculations!C75,FALSE)),$P$7&lt;&gt;0),VLOOKUP(Calculations!BQ75,Input!$B$21:$AL$50,19+Calculations!C75,FALSE)*SIN(RADIANS(Calculations!D75)),0),"")</f>
        <v/>
      </c>
      <c r="AJ28" s="65" t="str">
        <f>IFERROR((IF(VLOOKUP(Calculations!BQ75,Input!$B$21:$AL$50,19+Calculations!C75,FALSE)="c",Calculations!$D$20/COS(RADIANS(180/Calculations!$D$8)),Calculations!$D$20)+Calculations!BU75-(Calculations!BU75-Calculations!DI75)/2)*SIN(RADIANS(Calculations!D75))-IF(AND(ISNUMBER(VLOOKUP(Calculations!BQ75,Input!$B$21:$AL$50,19+Calculations!C75,FALSE)),Calculations!$D$8&lt;&gt;0),VLOOKUP(Calculations!BQ75,Input!$B$21:$AL$50,19+Calculations!C75,FALSE)*COS(RADIANS(Calculations!D75)),0)-Calculations!$D$35,"")</f>
        <v/>
      </c>
      <c r="AK28" s="65" t="e">
        <f>Calculations!BU75-Calculations!DI75</f>
        <v>#N/A</v>
      </c>
      <c r="AL28" s="65" t="e">
        <f>Calculations!BT75-2*Calculations!DL75</f>
        <v>#N/A</v>
      </c>
      <c r="AM28" s="65" t="str">
        <f>IF(P28="solid round",Calculations!BT75,"")</f>
        <v/>
      </c>
    </row>
    <row r="29" spans="15:39" x14ac:dyDescent="0.2">
      <c r="O29" s="25">
        <v>17</v>
      </c>
      <c r="P29" s="66" t="str">
        <f>IFERROR(Calculations!BS76,"")</f>
        <v/>
      </c>
      <c r="Q29" s="25" t="str">
        <f>IFERROR((IF(VLOOKUP(Calculations!BQ76,Input!$B$21:$AL$50,19+Calculations!C76,FALSE)="c",Calculations!$D$20/COS(RADIANS(180/$P$7)),Calculations!$D$20)+Calculations!CA76+IF(P29="channel",Calculations!BU76/2-Calculations!DM76,0))*COS(RADIANS(Calculations!D76))+IF(AND(ISNUMBER(VLOOKUP(Calculations!BQ76,Input!$B$21:$AL$50,19+Calculations!C76,FALSE)),$P$7&lt;&gt;0),VLOOKUP(Calculations!BQ76,Input!$B$21:$AL$50,19+Calculations!C76,FALSE)*SIN(RADIANS(Calculations!D76)),0),"")</f>
        <v/>
      </c>
      <c r="R29" s="25" t="str">
        <f>Calculations!N76</f>
        <v/>
      </c>
      <c r="S29" s="25" t="str">
        <f>IFERROR($Q29+(-IF($P29="channel",Calculations!BU76,Calculations!BX76)/2)*COS(RADIANS(Calculations!D76))+(-IF($P29="channel",Calculations!BT76,Calculations!BW76)/2)*SIN(RADIANS(Calculations!D76)),"")</f>
        <v/>
      </c>
      <c r="T29" s="25" t="str">
        <f>IF(P29="channel",Calculations!S76,Calculations!O76)</f>
        <v/>
      </c>
      <c r="U29" s="25" t="str">
        <f>IFERROR($Q29+(IF($P29="channel",Calculations!BU76,Calculations!BX76)/2)*COS(RADIANS(Calculations!D76))+(-IF($P29="channel",Calculations!BT76,Calculations!BW76)/2)*SIN(RADIANS(Calculations!D76)),"")</f>
        <v/>
      </c>
      <c r="V29" s="25" t="str">
        <f>IF(P29="channel",Calculations!T76,Calculations!P76)</f>
        <v/>
      </c>
      <c r="W29" s="25" t="str">
        <f>IFERROR($Q29+(IF($P29="channel",Calculations!BU76,Calculations!BX76)/2)*COS(RADIANS(Calculations!D76))+(IF($P29="channel",Calculations!BT76,Calculations!BW76)/2)*SIN(RADIANS(Calculations!D76)),"")</f>
        <v/>
      </c>
      <c r="X29" s="25" t="str">
        <f>IF(P29="channel",Calculations!U76,Calculations!Q76)</f>
        <v/>
      </c>
      <c r="Y29" s="25" t="str">
        <f>IFERROR($Q29+(-IF($P29="channel",Calculations!BU76,Calculations!BX76)/2)*COS(RADIANS(Calculations!D76))+(IF($P29="channel",Calculations!BT76,Calculations!BW76)/2)*SIN(RADIANS(Calculations!D76)),"")</f>
        <v/>
      </c>
      <c r="Z29" s="25" t="str">
        <f>IF(P29="channel",Calculations!V76,Calculations!R76)</f>
        <v/>
      </c>
      <c r="AA29" s="25" t="str">
        <f>IFERROR($AI29+(-AK29/2)*COS(RADIANS(Calculations!D76))+(-AL29/2)*SIN(RADIANS(Calculations!D76)),"")</f>
        <v/>
      </c>
      <c r="AB29" s="25" t="str">
        <f>IFERROR(AJ29+(-AK29/2)*SIN(RADIANS(Calculations!D76))+(AL29/2)*COS(RADIANS(Calculations!D76)),"")</f>
        <v/>
      </c>
      <c r="AC29" s="25" t="str">
        <f>IFERROR($AI29+(AK29/2)*COS(RADIANS(Calculations!D76))+(-AL29/2)*SIN(RADIANS(Calculations!D76)),"")</f>
        <v/>
      </c>
      <c r="AD29" s="25" t="str">
        <f>IFERROR(AJ29+(AK29/2)*SIN(RADIANS(Calculations!D76))+(AL29/2)*COS(RADIANS(Calculations!D76)),"")</f>
        <v/>
      </c>
      <c r="AE29" s="65" t="str">
        <f>IFERROR($AI29+(AK29/2)*COS(RADIANS(Calculations!D76))+(AL29/2)*SIN(RADIANS(Calculations!D76)),"")</f>
        <v/>
      </c>
      <c r="AF29" s="65" t="str">
        <f>IFERROR(AJ29+(AK29/2)*SIN(RADIANS(Calculations!D76))+(-AL29/2)*COS(RADIANS(Calculations!D76)),"")</f>
        <v/>
      </c>
      <c r="AG29" s="65" t="str">
        <f>IFERROR($AI29+(-AK29/2)*COS(RADIANS(Calculations!D76))+(AL29/2)*SIN(RADIANS(Calculations!D76)),"")</f>
        <v/>
      </c>
      <c r="AH29" s="65" t="str">
        <f>IFERROR(AJ29+(-AK29/2)*SIN(RADIANS(Calculations!D76))+(-AL29/2)*COS(RADIANS(Calculations!D76)),"")</f>
        <v/>
      </c>
      <c r="AI29" s="66" t="str">
        <f>IFERROR((IF(VLOOKUP(Calculations!BQ76,Input!$B$21:$AL$50,19+Calculations!C76,FALSE)="c",Calculations!$D$20/COS(RADIANS(180/$P$7)),Calculations!$D$20)+Calculations!BU76-(Calculations!BU76-Calculations!DI76)/2)*COS(RADIANS(Calculations!D76))+IF(AND(ISNUMBER(VLOOKUP(Calculations!BQ76,Input!$B$21:$AL$50,19+Calculations!C76,FALSE)),$P$7&lt;&gt;0),VLOOKUP(Calculations!BQ76,Input!$B$21:$AL$50,19+Calculations!C76,FALSE)*SIN(RADIANS(Calculations!D76)),0),"")</f>
        <v/>
      </c>
      <c r="AJ29" s="65" t="str">
        <f>IFERROR((IF(VLOOKUP(Calculations!BQ76,Input!$B$21:$AL$50,19+Calculations!C76,FALSE)="c",Calculations!$D$20/COS(RADIANS(180/Calculations!$D$8)),Calculations!$D$20)+Calculations!BU76-(Calculations!BU76-Calculations!DI76)/2)*SIN(RADIANS(Calculations!D76))-IF(AND(ISNUMBER(VLOOKUP(Calculations!BQ76,Input!$B$21:$AL$50,19+Calculations!C76,FALSE)),Calculations!$D$8&lt;&gt;0),VLOOKUP(Calculations!BQ76,Input!$B$21:$AL$50,19+Calculations!C76,FALSE)*COS(RADIANS(Calculations!D76)),0)-Calculations!$D$35,"")</f>
        <v/>
      </c>
      <c r="AK29" s="65" t="e">
        <f>Calculations!BU76-Calculations!DI76</f>
        <v>#N/A</v>
      </c>
      <c r="AL29" s="65" t="e">
        <f>Calculations!BT76-2*Calculations!DL76</f>
        <v>#N/A</v>
      </c>
      <c r="AM29" s="65" t="str">
        <f>IF(P29="solid round",Calculations!BT76,"")</f>
        <v/>
      </c>
    </row>
    <row r="30" spans="15:39" x14ac:dyDescent="0.2">
      <c r="O30" s="25">
        <v>18</v>
      </c>
      <c r="P30" s="66" t="str">
        <f>IFERROR(Calculations!BS77,"")</f>
        <v/>
      </c>
      <c r="Q30" s="25" t="str">
        <f>IFERROR((IF(VLOOKUP(Calculations!BQ77,Input!$B$21:$AL$50,19+Calculations!C77,FALSE)="c",Calculations!$D$20/COS(RADIANS(180/$P$7)),Calculations!$D$20)+Calculations!CA77+IF(P30="channel",Calculations!BU77/2-Calculations!DM77,0))*COS(RADIANS(Calculations!D77))+IF(AND(ISNUMBER(VLOOKUP(Calculations!BQ77,Input!$B$21:$AL$50,19+Calculations!C77,FALSE)),$P$7&lt;&gt;0),VLOOKUP(Calculations!BQ77,Input!$B$21:$AL$50,19+Calculations!C77,FALSE)*SIN(RADIANS(Calculations!D77)),0),"")</f>
        <v/>
      </c>
      <c r="R30" s="25" t="str">
        <f>Calculations!N77</f>
        <v/>
      </c>
      <c r="S30" s="25" t="str">
        <f>IFERROR($Q30+(-IF($P30="channel",Calculations!BU77,Calculations!BX77)/2)*COS(RADIANS(Calculations!D77))+(-IF($P30="channel",Calculations!BT77,Calculations!BW77)/2)*SIN(RADIANS(Calculations!D77)),"")</f>
        <v/>
      </c>
      <c r="T30" s="25" t="str">
        <f>IF(P30="channel",Calculations!S77,Calculations!O77)</f>
        <v/>
      </c>
      <c r="U30" s="25" t="str">
        <f>IFERROR($Q30+(IF($P30="channel",Calculations!BU77,Calculations!BX77)/2)*COS(RADIANS(Calculations!D77))+(-IF($P30="channel",Calculations!BT77,Calculations!BW77)/2)*SIN(RADIANS(Calculations!D77)),"")</f>
        <v/>
      </c>
      <c r="V30" s="25" t="str">
        <f>IF(P30="channel",Calculations!T77,Calculations!P77)</f>
        <v/>
      </c>
      <c r="W30" s="25" t="str">
        <f>IFERROR($Q30+(IF($P30="channel",Calculations!BU77,Calculations!BX77)/2)*COS(RADIANS(Calculations!D77))+(IF($P30="channel",Calculations!BT77,Calculations!BW77)/2)*SIN(RADIANS(Calculations!D77)),"")</f>
        <v/>
      </c>
      <c r="X30" s="25" t="str">
        <f>IF(P30="channel",Calculations!U77,Calculations!Q77)</f>
        <v/>
      </c>
      <c r="Y30" s="25" t="str">
        <f>IFERROR($Q30+(-IF($P30="channel",Calculations!BU77,Calculations!BX77)/2)*COS(RADIANS(Calculations!D77))+(IF($P30="channel",Calculations!BT77,Calculations!BW77)/2)*SIN(RADIANS(Calculations!D77)),"")</f>
        <v/>
      </c>
      <c r="Z30" s="25" t="str">
        <f>IF(P30="channel",Calculations!V77,Calculations!R77)</f>
        <v/>
      </c>
      <c r="AA30" s="25" t="str">
        <f>IFERROR($AI30+(-AK30/2)*COS(RADIANS(Calculations!D77))+(-AL30/2)*SIN(RADIANS(Calculations!D77)),"")</f>
        <v/>
      </c>
      <c r="AB30" s="25" t="str">
        <f>IFERROR(AJ30+(-AK30/2)*SIN(RADIANS(Calculations!D77))+(AL30/2)*COS(RADIANS(Calculations!D77)),"")</f>
        <v/>
      </c>
      <c r="AC30" s="25" t="str">
        <f>IFERROR($AI30+(AK30/2)*COS(RADIANS(Calculations!D77))+(-AL30/2)*SIN(RADIANS(Calculations!D77)),"")</f>
        <v/>
      </c>
      <c r="AD30" s="25" t="str">
        <f>IFERROR(AJ30+(AK30/2)*SIN(RADIANS(Calculations!D77))+(AL30/2)*COS(RADIANS(Calculations!D77)),"")</f>
        <v/>
      </c>
      <c r="AE30" s="65" t="str">
        <f>IFERROR($AI30+(AK30/2)*COS(RADIANS(Calculations!D77))+(AL30/2)*SIN(RADIANS(Calculations!D77)),"")</f>
        <v/>
      </c>
      <c r="AF30" s="65" t="str">
        <f>IFERROR(AJ30+(AK30/2)*SIN(RADIANS(Calculations!D77))+(-AL30/2)*COS(RADIANS(Calculations!D77)),"")</f>
        <v/>
      </c>
      <c r="AG30" s="65" t="str">
        <f>IFERROR($AI30+(-AK30/2)*COS(RADIANS(Calculations!D77))+(AL30/2)*SIN(RADIANS(Calculations!D77)),"")</f>
        <v/>
      </c>
      <c r="AH30" s="65" t="str">
        <f>IFERROR(AJ30+(-AK30/2)*SIN(RADIANS(Calculations!D77))+(-AL30/2)*COS(RADIANS(Calculations!D77)),"")</f>
        <v/>
      </c>
      <c r="AI30" s="66" t="str">
        <f>IFERROR((IF(VLOOKUP(Calculations!BQ77,Input!$B$21:$AL$50,19+Calculations!C77,FALSE)="c",Calculations!$D$20/COS(RADIANS(180/$P$7)),Calculations!$D$20)+Calculations!BU77-(Calculations!BU77-Calculations!DI77)/2)*COS(RADIANS(Calculations!D77))+IF(AND(ISNUMBER(VLOOKUP(Calculations!BQ77,Input!$B$21:$AL$50,19+Calculations!C77,FALSE)),$P$7&lt;&gt;0),VLOOKUP(Calculations!BQ77,Input!$B$21:$AL$50,19+Calculations!C77,FALSE)*SIN(RADIANS(Calculations!D77)),0),"")</f>
        <v/>
      </c>
      <c r="AJ30" s="65" t="str">
        <f>IFERROR((IF(VLOOKUP(Calculations!BQ77,Input!$B$21:$AL$50,19+Calculations!C77,FALSE)="c",Calculations!$D$20/COS(RADIANS(180/Calculations!$D$8)),Calculations!$D$20)+Calculations!BU77-(Calculations!BU77-Calculations!DI77)/2)*SIN(RADIANS(Calculations!D77))-IF(AND(ISNUMBER(VLOOKUP(Calculations!BQ77,Input!$B$21:$AL$50,19+Calculations!C77,FALSE)),Calculations!$D$8&lt;&gt;0),VLOOKUP(Calculations!BQ77,Input!$B$21:$AL$50,19+Calculations!C77,FALSE)*COS(RADIANS(Calculations!D77)),0)-Calculations!$D$35,"")</f>
        <v/>
      </c>
      <c r="AK30" s="65" t="e">
        <f>Calculations!BU77-Calculations!DI77</f>
        <v>#N/A</v>
      </c>
      <c r="AL30" s="65" t="e">
        <f>Calculations!BT77-2*Calculations!DL77</f>
        <v>#N/A</v>
      </c>
      <c r="AM30" s="65" t="str">
        <f>IF(P30="solid round",Calculations!BT77,"")</f>
        <v/>
      </c>
    </row>
    <row r="31" spans="15:39" x14ac:dyDescent="0.2">
      <c r="O31" s="25">
        <v>19</v>
      </c>
      <c r="P31" s="66" t="str">
        <f>IFERROR(Calculations!BS79,"")</f>
        <v/>
      </c>
      <c r="Q31" s="25" t="str">
        <f>IFERROR((IF(VLOOKUP(Calculations!BQ79,Input!$B$21:$AL$50,19+Calculations!C79,FALSE)="c",Calculations!$D$20/COS(RADIANS(180/$P$7)),Calculations!$D$20)+Calculations!CA79+IF(P31="channel",Calculations!BU79/2-Calculations!DM79,0))*COS(RADIANS(Calculations!D79))+IF(AND(ISNUMBER(VLOOKUP(Calculations!BQ79,Input!$B$21:$AL$50,19+Calculations!C79,FALSE)),$P$7&lt;&gt;0),VLOOKUP(Calculations!BQ79,Input!$B$21:$AL$50,19+Calculations!C79,FALSE)*SIN(RADIANS(Calculations!D79)),0),"")</f>
        <v/>
      </c>
      <c r="R31" s="25" t="str">
        <f>Calculations!N79</f>
        <v/>
      </c>
      <c r="S31" s="25" t="str">
        <f>IFERROR($Q31+(-IF($P31="channel",Calculations!BU79,Calculations!BX79)/2)*COS(RADIANS(Calculations!D79))+(-IF($P31="channel",Calculations!BT79,Calculations!BW79)/2)*SIN(RADIANS(Calculations!D79)),"")</f>
        <v/>
      </c>
      <c r="T31" s="25" t="str">
        <f>IF(P31="channel",Calculations!S79,Calculations!O79)</f>
        <v/>
      </c>
      <c r="U31" s="25" t="str">
        <f>IFERROR($Q31+(IF($P31="channel",Calculations!BU79,Calculations!BX79)/2)*COS(RADIANS(Calculations!D79))+(-IF($P31="channel",Calculations!BT79,Calculations!BW79)/2)*SIN(RADIANS(Calculations!D79)),"")</f>
        <v/>
      </c>
      <c r="V31" s="25" t="str">
        <f>IF(P31="channel",Calculations!T79,Calculations!P79)</f>
        <v/>
      </c>
      <c r="W31" s="25" t="str">
        <f>IFERROR($Q31+(IF($P31="channel",Calculations!BU79,Calculations!BX79)/2)*COS(RADIANS(Calculations!D79))+(IF($P31="channel",Calculations!BT79,Calculations!BW79)/2)*SIN(RADIANS(Calculations!D79)),"")</f>
        <v/>
      </c>
      <c r="X31" s="25" t="str">
        <f>IF(P31="channel",Calculations!U79,Calculations!Q79)</f>
        <v/>
      </c>
      <c r="Y31" s="25" t="str">
        <f>IFERROR($Q31+(-IF($P31="channel",Calculations!BU79,Calculations!BX79)/2)*COS(RADIANS(Calculations!D79))+(IF($P31="channel",Calculations!BT79,Calculations!BW79)/2)*SIN(RADIANS(Calculations!D79)),"")</f>
        <v/>
      </c>
      <c r="Z31" s="25" t="str">
        <f>IF(P31="channel",Calculations!V79,Calculations!R79)</f>
        <v/>
      </c>
      <c r="AA31" s="25" t="str">
        <f>IFERROR($AI31+(-AK31/2)*COS(RADIANS(Calculations!D79))+(-AL31/2)*SIN(RADIANS(Calculations!D79)),"")</f>
        <v/>
      </c>
      <c r="AB31" s="25" t="str">
        <f>IFERROR(AJ31+(-AK31/2)*SIN(RADIANS(Calculations!D79))+(AL31/2)*COS(RADIANS(Calculations!D79)),"")</f>
        <v/>
      </c>
      <c r="AC31" s="25" t="str">
        <f>IFERROR($AI31+(AK31/2)*COS(RADIANS(Calculations!D79))+(-AL31/2)*SIN(RADIANS(Calculations!D79)),"")</f>
        <v/>
      </c>
      <c r="AD31" s="25" t="str">
        <f>IFERROR(AJ31+(AK31/2)*SIN(RADIANS(Calculations!D79))+(AL31/2)*COS(RADIANS(Calculations!D79)),"")</f>
        <v/>
      </c>
      <c r="AE31" s="65" t="str">
        <f>IFERROR($AI31+(AK31/2)*COS(RADIANS(Calculations!D79))+(AL31/2)*SIN(RADIANS(Calculations!D79)),"")</f>
        <v/>
      </c>
      <c r="AF31" s="65" t="str">
        <f>IFERROR(AJ31+(AK31/2)*SIN(RADIANS(Calculations!D79))+(-AL31/2)*COS(RADIANS(Calculations!D79)),"")</f>
        <v/>
      </c>
      <c r="AG31" s="65" t="str">
        <f>IFERROR($AI31+(-AK31/2)*COS(RADIANS(Calculations!D79))+(AL31/2)*SIN(RADIANS(Calculations!D79)),"")</f>
        <v/>
      </c>
      <c r="AH31" s="65" t="str">
        <f>IFERROR(AJ31+(-AK31/2)*SIN(RADIANS(Calculations!D79))+(-AL31/2)*COS(RADIANS(Calculations!D79)),"")</f>
        <v/>
      </c>
      <c r="AI31" s="66" t="str">
        <f>IFERROR((IF(VLOOKUP(Calculations!BQ79,Input!$B$21:$AL$50,19+Calculations!C79,FALSE)="c",Calculations!$D$20/COS(RADIANS(180/$P$7)),Calculations!$D$20)+Calculations!BU79-(Calculations!BU79-Calculations!DI79)/2)*COS(RADIANS(Calculations!D79))+IF(AND(ISNUMBER(VLOOKUP(Calculations!BQ79,Input!$B$21:$AL$50,19+Calculations!C79,FALSE)),$P$7&lt;&gt;0),VLOOKUP(Calculations!BQ79,Input!$B$21:$AL$50,19+Calculations!C79,FALSE)*SIN(RADIANS(Calculations!D79)),0),"")</f>
        <v/>
      </c>
      <c r="AJ31" s="65" t="str">
        <f>IFERROR((IF(VLOOKUP(Calculations!BQ79,Input!$B$21:$AL$50,19+Calculations!C79,FALSE)="c",Calculations!$D$20/COS(RADIANS(180/Calculations!$D$8)),Calculations!$D$20)+Calculations!BU79-(Calculations!BU79-Calculations!DI79)/2)*SIN(RADIANS(Calculations!D79))-IF(AND(ISNUMBER(VLOOKUP(Calculations!BQ79,Input!$B$21:$AL$50,19+Calculations!C79,FALSE)),Calculations!$D$8&lt;&gt;0),VLOOKUP(Calculations!BQ79,Input!$B$21:$AL$50,19+Calculations!C79,FALSE)*COS(RADIANS(Calculations!D79)),0)-Calculations!$D$35,"")</f>
        <v/>
      </c>
      <c r="AK31" s="65" t="e">
        <f>Calculations!BU79-Calculations!DI79</f>
        <v>#N/A</v>
      </c>
      <c r="AL31" s="65" t="e">
        <f>Calculations!BT79-2*Calculations!DL79</f>
        <v>#N/A</v>
      </c>
      <c r="AM31" s="65" t="str">
        <f>IF(P31="solid round",Calculations!BT79,"")</f>
        <v/>
      </c>
    </row>
    <row r="32" spans="15:39" x14ac:dyDescent="0.2">
      <c r="O32" s="25">
        <v>20</v>
      </c>
      <c r="P32" s="66" t="str">
        <f>IFERROR(Calculations!BS80,"")</f>
        <v/>
      </c>
      <c r="Q32" s="25" t="str">
        <f>IFERROR((IF(VLOOKUP(Calculations!BQ80,Input!$B$21:$AL$50,19+Calculations!C80,FALSE)="c",Calculations!$D$20/COS(RADIANS(180/$P$7)),Calculations!$D$20)+Calculations!CA80+IF(P32="channel",Calculations!BU80/2-Calculations!DM80,0))*COS(RADIANS(Calculations!D80))+IF(AND(ISNUMBER(VLOOKUP(Calculations!BQ80,Input!$B$21:$AL$50,19+Calculations!C80,FALSE)),$P$7&lt;&gt;0),VLOOKUP(Calculations!BQ80,Input!$B$21:$AL$50,19+Calculations!C80,FALSE)*SIN(RADIANS(Calculations!D80)),0),"")</f>
        <v/>
      </c>
      <c r="R32" s="25" t="str">
        <f>Calculations!N80</f>
        <v/>
      </c>
      <c r="S32" s="25" t="str">
        <f>IFERROR($Q32+(-IF($P32="channel",Calculations!BU80,Calculations!BX80)/2)*COS(RADIANS(Calculations!D80))+(-IF($P32="channel",Calculations!BT80,Calculations!BW80)/2)*SIN(RADIANS(Calculations!D80)),"")</f>
        <v/>
      </c>
      <c r="T32" s="25" t="str">
        <f>IF(P32="channel",Calculations!S80,Calculations!O80)</f>
        <v/>
      </c>
      <c r="U32" s="25" t="str">
        <f>IFERROR($Q32+(IF($P32="channel",Calculations!BU80,Calculations!BX80)/2)*COS(RADIANS(Calculations!D80))+(-IF($P32="channel",Calculations!BT80,Calculations!BW80)/2)*SIN(RADIANS(Calculations!D80)),"")</f>
        <v/>
      </c>
      <c r="V32" s="25" t="str">
        <f>IF(P32="channel",Calculations!T80,Calculations!P80)</f>
        <v/>
      </c>
      <c r="W32" s="25" t="str">
        <f>IFERROR($Q32+(IF($P32="channel",Calculations!BU80,Calculations!BX80)/2)*COS(RADIANS(Calculations!D80))+(IF($P32="channel",Calculations!BT80,Calculations!BW80)/2)*SIN(RADIANS(Calculations!D80)),"")</f>
        <v/>
      </c>
      <c r="X32" s="25" t="str">
        <f>IF(P32="channel",Calculations!U80,Calculations!Q80)</f>
        <v/>
      </c>
      <c r="Y32" s="25" t="str">
        <f>IFERROR($Q32+(-IF($P32="channel",Calculations!BU80,Calculations!BX80)/2)*COS(RADIANS(Calculations!D80))+(IF($P32="channel",Calculations!BT80,Calculations!BW80)/2)*SIN(RADIANS(Calculations!D80)),"")</f>
        <v/>
      </c>
      <c r="Z32" s="25" t="str">
        <f>IF(P32="channel",Calculations!V80,Calculations!R80)</f>
        <v/>
      </c>
      <c r="AA32" s="25" t="str">
        <f>IFERROR($AI32+(-AK32/2)*COS(RADIANS(Calculations!D80))+(-AL32/2)*SIN(RADIANS(Calculations!D80)),"")</f>
        <v/>
      </c>
      <c r="AB32" s="25" t="str">
        <f>IFERROR(AJ32+(-AK32/2)*SIN(RADIANS(Calculations!D80))+(AL32/2)*COS(RADIANS(Calculations!D80)),"")</f>
        <v/>
      </c>
      <c r="AC32" s="25" t="str">
        <f>IFERROR($AI32+(AK32/2)*COS(RADIANS(Calculations!D80))+(-AL32/2)*SIN(RADIANS(Calculations!D80)),"")</f>
        <v/>
      </c>
      <c r="AD32" s="25" t="str">
        <f>IFERROR(AJ32+(AK32/2)*SIN(RADIANS(Calculations!D80))+(AL32/2)*COS(RADIANS(Calculations!D80)),"")</f>
        <v/>
      </c>
      <c r="AE32" s="65" t="str">
        <f>IFERROR($AI32+(AK32/2)*COS(RADIANS(Calculations!D80))+(AL32/2)*SIN(RADIANS(Calculations!D80)),"")</f>
        <v/>
      </c>
      <c r="AF32" s="65" t="str">
        <f>IFERROR(AJ32+(AK32/2)*SIN(RADIANS(Calculations!D80))+(-AL32/2)*COS(RADIANS(Calculations!D80)),"")</f>
        <v/>
      </c>
      <c r="AG32" s="65" t="str">
        <f>IFERROR($AI32+(-AK32/2)*COS(RADIANS(Calculations!D80))+(AL32/2)*SIN(RADIANS(Calculations!D80)),"")</f>
        <v/>
      </c>
      <c r="AH32" s="65" t="str">
        <f>IFERROR(AJ32+(-AK32/2)*SIN(RADIANS(Calculations!D80))+(-AL32/2)*COS(RADIANS(Calculations!D80)),"")</f>
        <v/>
      </c>
      <c r="AI32" s="66" t="str">
        <f>IFERROR((IF(VLOOKUP(Calculations!BQ80,Input!$B$21:$AL$50,19+Calculations!C80,FALSE)="c",Calculations!$D$20/COS(RADIANS(180/$P$7)),Calculations!$D$20)+Calculations!BU80-(Calculations!BU80-Calculations!DI80)/2)*COS(RADIANS(Calculations!D80))+IF(AND(ISNUMBER(VLOOKUP(Calculations!BQ80,Input!$B$21:$AL$50,19+Calculations!C80,FALSE)),$P$7&lt;&gt;0),VLOOKUP(Calculations!BQ80,Input!$B$21:$AL$50,19+Calculations!C80,FALSE)*SIN(RADIANS(Calculations!D80)),0),"")</f>
        <v/>
      </c>
      <c r="AJ32" s="65" t="str">
        <f>IFERROR((IF(VLOOKUP(Calculations!BQ80,Input!$B$21:$AL$50,19+Calculations!C80,FALSE)="c",Calculations!$D$20/COS(RADIANS(180/Calculations!$D$8)),Calculations!$D$20)+Calculations!BU80-(Calculations!BU80-Calculations!DI80)/2)*SIN(RADIANS(Calculations!D80))-IF(AND(ISNUMBER(VLOOKUP(Calculations!BQ80,Input!$B$21:$AL$50,19+Calculations!C80,FALSE)),Calculations!$D$8&lt;&gt;0),VLOOKUP(Calculations!BQ80,Input!$B$21:$AL$50,19+Calculations!C80,FALSE)*COS(RADIANS(Calculations!D80)),0)-Calculations!$D$35,"")</f>
        <v/>
      </c>
      <c r="AK32" s="65" t="e">
        <f>Calculations!BU80-Calculations!DI80</f>
        <v>#N/A</v>
      </c>
      <c r="AL32" s="65" t="e">
        <f>Calculations!BT80-2*Calculations!DL80</f>
        <v>#N/A</v>
      </c>
      <c r="AM32" s="65" t="str">
        <f>IF(P32="solid round",Calculations!BT80,"")</f>
        <v/>
      </c>
    </row>
    <row r="33" spans="15:39" x14ac:dyDescent="0.2">
      <c r="O33" s="25">
        <v>21</v>
      </c>
      <c r="P33" s="66" t="str">
        <f>IFERROR(Calculations!BS81,"")</f>
        <v/>
      </c>
      <c r="Q33" s="25" t="str">
        <f>IFERROR((IF(VLOOKUP(Calculations!BQ81,Input!$B$21:$AL$50,19+Calculations!C81,FALSE)="c",Calculations!$D$20/COS(RADIANS(180/$P$7)),Calculations!$D$20)+Calculations!CA81+IF(P33="channel",Calculations!BU81/2-Calculations!DM81,0))*COS(RADIANS(Calculations!D81))+IF(AND(ISNUMBER(VLOOKUP(Calculations!BQ81,Input!$B$21:$AL$50,19+Calculations!C81,FALSE)),$P$7&lt;&gt;0),VLOOKUP(Calculations!BQ81,Input!$B$21:$AL$50,19+Calculations!C81,FALSE)*SIN(RADIANS(Calculations!D81)),0),"")</f>
        <v/>
      </c>
      <c r="R33" s="25" t="str">
        <f>Calculations!N81</f>
        <v/>
      </c>
      <c r="S33" s="25" t="str">
        <f>IFERROR($Q33+(-IF($P33="channel",Calculations!BU81,Calculations!BX81)/2)*COS(RADIANS(Calculations!D81))+(-IF($P33="channel",Calculations!BT81,Calculations!BW81)/2)*SIN(RADIANS(Calculations!D81)),"")</f>
        <v/>
      </c>
      <c r="T33" s="25" t="str">
        <f>IF(P33="channel",Calculations!S81,Calculations!O81)</f>
        <v/>
      </c>
      <c r="U33" s="25" t="str">
        <f>IFERROR($Q33+(IF($P33="channel",Calculations!BU81,Calculations!BX81)/2)*COS(RADIANS(Calculations!D81))+(-IF($P33="channel",Calculations!BT81,Calculations!BW81)/2)*SIN(RADIANS(Calculations!D81)),"")</f>
        <v/>
      </c>
      <c r="V33" s="25" t="str">
        <f>IF(P33="channel",Calculations!T81,Calculations!P81)</f>
        <v/>
      </c>
      <c r="W33" s="25" t="str">
        <f>IFERROR($Q33+(IF($P33="channel",Calculations!BU81,Calculations!BX81)/2)*COS(RADIANS(Calculations!D81))+(IF($P33="channel",Calculations!BT81,Calculations!BW81)/2)*SIN(RADIANS(Calculations!D81)),"")</f>
        <v/>
      </c>
      <c r="X33" s="25" t="str">
        <f>IF(P33="channel",Calculations!U81,Calculations!Q81)</f>
        <v/>
      </c>
      <c r="Y33" s="25" t="str">
        <f>IFERROR($Q33+(-IF($P33="channel",Calculations!BU81,Calculations!BX81)/2)*COS(RADIANS(Calculations!D81))+(IF($P33="channel",Calculations!BT81,Calculations!BW81)/2)*SIN(RADIANS(Calculations!D81)),"")</f>
        <v/>
      </c>
      <c r="Z33" s="25" t="str">
        <f>IF(P33="channel",Calculations!V81,Calculations!R81)</f>
        <v/>
      </c>
      <c r="AA33" s="25" t="str">
        <f>IFERROR($AI33+(-AK33/2)*COS(RADIANS(Calculations!D81))+(-AL33/2)*SIN(RADIANS(Calculations!D81)),"")</f>
        <v/>
      </c>
      <c r="AB33" s="25" t="str">
        <f>IFERROR(AJ33+(-AK33/2)*SIN(RADIANS(Calculations!D81))+(AL33/2)*COS(RADIANS(Calculations!D81)),"")</f>
        <v/>
      </c>
      <c r="AC33" s="25" t="str">
        <f>IFERROR($AI33+(AK33/2)*COS(RADIANS(Calculations!D81))+(-AL33/2)*SIN(RADIANS(Calculations!D81)),"")</f>
        <v/>
      </c>
      <c r="AD33" s="25" t="str">
        <f>IFERROR(AJ33+(AK33/2)*SIN(RADIANS(Calculations!D81))+(AL33/2)*COS(RADIANS(Calculations!D81)),"")</f>
        <v/>
      </c>
      <c r="AE33" s="65" t="str">
        <f>IFERROR($AI33+(AK33/2)*COS(RADIANS(Calculations!D81))+(AL33/2)*SIN(RADIANS(Calculations!D81)),"")</f>
        <v/>
      </c>
      <c r="AF33" s="65" t="str">
        <f>IFERROR(AJ33+(AK33/2)*SIN(RADIANS(Calculations!D81))+(-AL33/2)*COS(RADIANS(Calculations!D81)),"")</f>
        <v/>
      </c>
      <c r="AG33" s="65" t="str">
        <f>IFERROR($AI33+(-AK33/2)*COS(RADIANS(Calculations!D81))+(AL33/2)*SIN(RADIANS(Calculations!D81)),"")</f>
        <v/>
      </c>
      <c r="AH33" s="65" t="str">
        <f>IFERROR(AJ33+(-AK33/2)*SIN(RADIANS(Calculations!D81))+(-AL33/2)*COS(RADIANS(Calculations!D81)),"")</f>
        <v/>
      </c>
      <c r="AI33" s="66" t="str">
        <f>IFERROR((IF(VLOOKUP(Calculations!BQ81,Input!$B$21:$AL$50,19+Calculations!C81,FALSE)="c",Calculations!$D$20/COS(RADIANS(180/$P$7)),Calculations!$D$20)+Calculations!BU81-(Calculations!BU81-Calculations!DI81)/2)*COS(RADIANS(Calculations!D81))+IF(AND(ISNUMBER(VLOOKUP(Calculations!BQ81,Input!$B$21:$AL$50,19+Calculations!C81,FALSE)),$P$7&lt;&gt;0),VLOOKUP(Calculations!BQ81,Input!$B$21:$AL$50,19+Calculations!C81,FALSE)*SIN(RADIANS(Calculations!D81)),0),"")</f>
        <v/>
      </c>
      <c r="AJ33" s="65" t="str">
        <f>IFERROR((IF(VLOOKUP(Calculations!BQ81,Input!$B$21:$AL$50,19+Calculations!C81,FALSE)="c",Calculations!$D$20/COS(RADIANS(180/Calculations!$D$8)),Calculations!$D$20)+Calculations!BU81-(Calculations!BU81-Calculations!DI81)/2)*SIN(RADIANS(Calculations!D81))-IF(AND(ISNUMBER(VLOOKUP(Calculations!BQ81,Input!$B$21:$AL$50,19+Calculations!C81,FALSE)),Calculations!$D$8&lt;&gt;0),VLOOKUP(Calculations!BQ81,Input!$B$21:$AL$50,19+Calculations!C81,FALSE)*COS(RADIANS(Calculations!D81)),0)-Calculations!$D$35,"")</f>
        <v/>
      </c>
      <c r="AK33" s="65" t="e">
        <f>Calculations!BU81-Calculations!DI81</f>
        <v>#N/A</v>
      </c>
      <c r="AL33" s="65" t="e">
        <f>Calculations!BT81-2*Calculations!DL81</f>
        <v>#N/A</v>
      </c>
      <c r="AM33" s="65" t="str">
        <f>IF(P33="solid round",Calculations!BT81,"")</f>
        <v/>
      </c>
    </row>
    <row r="34" spans="15:39" x14ac:dyDescent="0.2">
      <c r="O34" s="25">
        <v>22</v>
      </c>
      <c r="P34" s="66" t="str">
        <f>IFERROR(Calculations!BS82,"")</f>
        <v/>
      </c>
      <c r="Q34" s="25" t="str">
        <f>IFERROR((IF(VLOOKUP(Calculations!BQ82,Input!$B$21:$AL$50,19+Calculations!C82,FALSE)="c",Calculations!$D$20/COS(RADIANS(180/$P$7)),Calculations!$D$20)+Calculations!CA82+IF(P34="channel",Calculations!BU82/2-Calculations!DM82,0))*COS(RADIANS(Calculations!D82))+IF(AND(ISNUMBER(VLOOKUP(Calculations!BQ82,Input!$B$21:$AL$50,19+Calculations!C82,FALSE)),$P$7&lt;&gt;0),VLOOKUP(Calculations!BQ82,Input!$B$21:$AL$50,19+Calculations!C82,FALSE)*SIN(RADIANS(Calculations!D82)),0),"")</f>
        <v/>
      </c>
      <c r="R34" s="25" t="str">
        <f>Calculations!N82</f>
        <v/>
      </c>
      <c r="S34" s="25" t="str">
        <f>IFERROR($Q34+(-IF($P34="channel",Calculations!BU82,Calculations!BX82)/2)*COS(RADIANS(Calculations!D82))+(-IF($P34="channel",Calculations!BT82,Calculations!BW82)/2)*SIN(RADIANS(Calculations!D82)),"")</f>
        <v/>
      </c>
      <c r="T34" s="25" t="str">
        <f>IF(P34="channel",Calculations!S82,Calculations!O82)</f>
        <v/>
      </c>
      <c r="U34" s="25" t="str">
        <f>IFERROR($Q34+(IF($P34="channel",Calculations!BU82,Calculations!BX82)/2)*COS(RADIANS(Calculations!D82))+(-IF($P34="channel",Calculations!BT82,Calculations!BW82)/2)*SIN(RADIANS(Calculations!D82)),"")</f>
        <v/>
      </c>
      <c r="V34" s="25" t="str">
        <f>IF(P34="channel",Calculations!T82,Calculations!P82)</f>
        <v/>
      </c>
      <c r="W34" s="25" t="str">
        <f>IFERROR($Q34+(IF($P34="channel",Calculations!BU82,Calculations!BX82)/2)*COS(RADIANS(Calculations!D82))+(IF($P34="channel",Calculations!BT82,Calculations!BW82)/2)*SIN(RADIANS(Calculations!D82)),"")</f>
        <v/>
      </c>
      <c r="X34" s="25" t="str">
        <f>IF(P34="channel",Calculations!U82,Calculations!Q82)</f>
        <v/>
      </c>
      <c r="Y34" s="25" t="str">
        <f>IFERROR($Q34+(-IF($P34="channel",Calculations!BU82,Calculations!BX82)/2)*COS(RADIANS(Calculations!D82))+(IF($P34="channel",Calculations!BT82,Calculations!BW82)/2)*SIN(RADIANS(Calculations!D82)),"")</f>
        <v/>
      </c>
      <c r="Z34" s="25" t="str">
        <f>IF(P34="channel",Calculations!V82,Calculations!R82)</f>
        <v/>
      </c>
      <c r="AA34" s="25" t="str">
        <f>IFERROR($AI34+(-AK34/2)*COS(RADIANS(Calculations!D82))+(-AL34/2)*SIN(RADIANS(Calculations!D82)),"")</f>
        <v/>
      </c>
      <c r="AB34" s="25" t="str">
        <f>IFERROR(AJ34+(-AK34/2)*SIN(RADIANS(Calculations!D82))+(AL34/2)*COS(RADIANS(Calculations!D82)),"")</f>
        <v/>
      </c>
      <c r="AC34" s="25" t="str">
        <f>IFERROR($AI34+(AK34/2)*COS(RADIANS(Calculations!D82))+(-AL34/2)*SIN(RADIANS(Calculations!D82)),"")</f>
        <v/>
      </c>
      <c r="AD34" s="25" t="str">
        <f>IFERROR(AJ34+(AK34/2)*SIN(RADIANS(Calculations!D82))+(AL34/2)*COS(RADIANS(Calculations!D82)),"")</f>
        <v/>
      </c>
      <c r="AE34" s="65" t="str">
        <f>IFERROR($AI34+(AK34/2)*COS(RADIANS(Calculations!D82))+(AL34/2)*SIN(RADIANS(Calculations!D82)),"")</f>
        <v/>
      </c>
      <c r="AF34" s="65" t="str">
        <f>IFERROR(AJ34+(AK34/2)*SIN(RADIANS(Calculations!D82))+(-AL34/2)*COS(RADIANS(Calculations!D82)),"")</f>
        <v/>
      </c>
      <c r="AG34" s="65" t="str">
        <f>IFERROR($AI34+(-AK34/2)*COS(RADIANS(Calculations!D82))+(AL34/2)*SIN(RADIANS(Calculations!D82)),"")</f>
        <v/>
      </c>
      <c r="AH34" s="65" t="str">
        <f>IFERROR(AJ34+(-AK34/2)*SIN(RADIANS(Calculations!D82))+(-AL34/2)*COS(RADIANS(Calculations!D82)),"")</f>
        <v/>
      </c>
      <c r="AI34" s="66" t="str">
        <f>IFERROR((IF(VLOOKUP(Calculations!BQ82,Input!$B$21:$AL$50,19+Calculations!C82,FALSE)="c",Calculations!$D$20/COS(RADIANS(180/$P$7)),Calculations!$D$20)+Calculations!BU82-(Calculations!BU82-Calculations!DI82)/2)*COS(RADIANS(Calculations!D82))+IF(AND(ISNUMBER(VLOOKUP(Calculations!BQ82,Input!$B$21:$AL$50,19+Calculations!C82,FALSE)),$P$7&lt;&gt;0),VLOOKUP(Calculations!BQ82,Input!$B$21:$AL$50,19+Calculations!C82,FALSE)*SIN(RADIANS(Calculations!D82)),0),"")</f>
        <v/>
      </c>
      <c r="AJ34" s="65" t="str">
        <f>IFERROR((IF(VLOOKUP(Calculations!BQ82,Input!$B$21:$AL$50,19+Calculations!C82,FALSE)="c",Calculations!$D$20/COS(RADIANS(180/Calculations!$D$8)),Calculations!$D$20)+Calculations!BU82-(Calculations!BU82-Calculations!DI82)/2)*SIN(RADIANS(Calculations!D82))-IF(AND(ISNUMBER(VLOOKUP(Calculations!BQ82,Input!$B$21:$AL$50,19+Calculations!C82,FALSE)),Calculations!$D$8&lt;&gt;0),VLOOKUP(Calculations!BQ82,Input!$B$21:$AL$50,19+Calculations!C82,FALSE)*COS(RADIANS(Calculations!D82)),0)-Calculations!$D$35,"")</f>
        <v/>
      </c>
      <c r="AK34" s="65" t="e">
        <f>Calculations!BU82-Calculations!DI82</f>
        <v>#N/A</v>
      </c>
      <c r="AL34" s="65" t="e">
        <f>Calculations!BT82-2*Calculations!DL82</f>
        <v>#N/A</v>
      </c>
      <c r="AM34" s="65" t="str">
        <f>IF(P34="solid round",Calculations!BT82,"")</f>
        <v/>
      </c>
    </row>
    <row r="35" spans="15:39" x14ac:dyDescent="0.2">
      <c r="O35" s="25">
        <v>23</v>
      </c>
      <c r="P35" s="66" t="str">
        <f>IFERROR(Calculations!BS83,"")</f>
        <v/>
      </c>
      <c r="Q35" s="25" t="str">
        <f>IFERROR((IF(VLOOKUP(Calculations!BQ83,Input!$B$21:$AL$50,19+Calculations!C83,FALSE)="c",Calculations!$D$20/COS(RADIANS(180/$P$7)),Calculations!$D$20)+Calculations!CA83+IF(P35="channel",Calculations!BU83/2-Calculations!DM83,0))*COS(RADIANS(Calculations!D83))+IF(AND(ISNUMBER(VLOOKUP(Calculations!BQ83,Input!$B$21:$AL$50,19+Calculations!C83,FALSE)),$P$7&lt;&gt;0),VLOOKUP(Calculations!BQ83,Input!$B$21:$AL$50,19+Calculations!C83,FALSE)*SIN(RADIANS(Calculations!D83)),0),"")</f>
        <v/>
      </c>
      <c r="R35" s="25" t="str">
        <f>Calculations!N83</f>
        <v/>
      </c>
      <c r="S35" s="25" t="str">
        <f>IFERROR($Q35+(-IF($P35="channel",Calculations!BU83,Calculations!BX83)/2)*COS(RADIANS(Calculations!D83))+(-IF($P35="channel",Calculations!BT83,Calculations!BW83)/2)*SIN(RADIANS(Calculations!D83)),"")</f>
        <v/>
      </c>
      <c r="T35" s="25" t="str">
        <f>IF(P35="channel",Calculations!S83,Calculations!O83)</f>
        <v/>
      </c>
      <c r="U35" s="25" t="str">
        <f>IFERROR($Q35+(IF($P35="channel",Calculations!BU83,Calculations!BX83)/2)*COS(RADIANS(Calculations!D83))+(-IF($P35="channel",Calculations!BT83,Calculations!BW83)/2)*SIN(RADIANS(Calculations!D83)),"")</f>
        <v/>
      </c>
      <c r="V35" s="25" t="str">
        <f>IF(P35="channel",Calculations!T83,Calculations!P83)</f>
        <v/>
      </c>
      <c r="W35" s="25" t="str">
        <f>IFERROR($Q35+(IF($P35="channel",Calculations!BU83,Calculations!BX83)/2)*COS(RADIANS(Calculations!D83))+(IF($P35="channel",Calculations!BT83,Calculations!BW83)/2)*SIN(RADIANS(Calculations!D83)),"")</f>
        <v/>
      </c>
      <c r="X35" s="25" t="str">
        <f>IF(P35="channel",Calculations!U83,Calculations!Q83)</f>
        <v/>
      </c>
      <c r="Y35" s="25" t="str">
        <f>IFERROR($Q35+(-IF($P35="channel",Calculations!BU83,Calculations!BX83)/2)*COS(RADIANS(Calculations!D83))+(IF($P35="channel",Calculations!BT83,Calculations!BW83)/2)*SIN(RADIANS(Calculations!D83)),"")</f>
        <v/>
      </c>
      <c r="Z35" s="25" t="str">
        <f>IF(P35="channel",Calculations!V83,Calculations!R83)</f>
        <v/>
      </c>
      <c r="AA35" s="25" t="str">
        <f>IFERROR($AI35+(-AK35/2)*COS(RADIANS(Calculations!D83))+(-AL35/2)*SIN(RADIANS(Calculations!D83)),"")</f>
        <v/>
      </c>
      <c r="AB35" s="25" t="str">
        <f>IFERROR(AJ35+(-AK35/2)*SIN(RADIANS(Calculations!D83))+(AL35/2)*COS(RADIANS(Calculations!D83)),"")</f>
        <v/>
      </c>
      <c r="AC35" s="25" t="str">
        <f>IFERROR($AI35+(AK35/2)*COS(RADIANS(Calculations!D83))+(-AL35/2)*SIN(RADIANS(Calculations!D83)),"")</f>
        <v/>
      </c>
      <c r="AD35" s="25" t="str">
        <f>IFERROR(AJ35+(AK35/2)*SIN(RADIANS(Calculations!D83))+(AL35/2)*COS(RADIANS(Calculations!D83)),"")</f>
        <v/>
      </c>
      <c r="AE35" s="65" t="str">
        <f>IFERROR($AI35+(AK35/2)*COS(RADIANS(Calculations!D83))+(AL35/2)*SIN(RADIANS(Calculations!D83)),"")</f>
        <v/>
      </c>
      <c r="AF35" s="65" t="str">
        <f>IFERROR(AJ35+(AK35/2)*SIN(RADIANS(Calculations!D83))+(-AL35/2)*COS(RADIANS(Calculations!D83)),"")</f>
        <v/>
      </c>
      <c r="AG35" s="65" t="str">
        <f>IFERROR($AI35+(-AK35/2)*COS(RADIANS(Calculations!D83))+(AL35/2)*SIN(RADIANS(Calculations!D83)),"")</f>
        <v/>
      </c>
      <c r="AH35" s="65" t="str">
        <f>IFERROR(AJ35+(-AK35/2)*SIN(RADIANS(Calculations!D83))+(-AL35/2)*COS(RADIANS(Calculations!D83)),"")</f>
        <v/>
      </c>
      <c r="AI35" s="66" t="str">
        <f>IFERROR((IF(VLOOKUP(Calculations!BQ83,Input!$B$21:$AL$50,19+Calculations!C83,FALSE)="c",Calculations!$D$20/COS(RADIANS(180/$P$7)),Calculations!$D$20)+Calculations!BU83-(Calculations!BU83-Calculations!DI83)/2)*COS(RADIANS(Calculations!D83))+IF(AND(ISNUMBER(VLOOKUP(Calculations!BQ83,Input!$B$21:$AL$50,19+Calculations!C83,FALSE)),$P$7&lt;&gt;0),VLOOKUP(Calculations!BQ83,Input!$B$21:$AL$50,19+Calculations!C83,FALSE)*SIN(RADIANS(Calculations!D83)),0),"")</f>
        <v/>
      </c>
      <c r="AJ35" s="65" t="str">
        <f>IFERROR((IF(VLOOKUP(Calculations!BQ83,Input!$B$21:$AL$50,19+Calculations!C83,FALSE)="c",Calculations!$D$20/COS(RADIANS(180/Calculations!$D$8)),Calculations!$D$20)+Calculations!BU83-(Calculations!BU83-Calculations!DI83)/2)*SIN(RADIANS(Calculations!D83))-IF(AND(ISNUMBER(VLOOKUP(Calculations!BQ83,Input!$B$21:$AL$50,19+Calculations!C83,FALSE)),Calculations!$D$8&lt;&gt;0),VLOOKUP(Calculations!BQ83,Input!$B$21:$AL$50,19+Calculations!C83,FALSE)*COS(RADIANS(Calculations!D83)),0)-Calculations!$D$35,"")</f>
        <v/>
      </c>
      <c r="AK35" s="65" t="e">
        <f>Calculations!BU83-Calculations!DI83</f>
        <v>#N/A</v>
      </c>
      <c r="AL35" s="65" t="e">
        <f>Calculations!BT83-2*Calculations!DL83</f>
        <v>#N/A</v>
      </c>
      <c r="AM35" s="65" t="str">
        <f>IF(P35="solid round",Calculations!BT83,"")</f>
        <v/>
      </c>
    </row>
    <row r="36" spans="15:39" x14ac:dyDescent="0.2">
      <c r="O36" s="25">
        <v>24</v>
      </c>
      <c r="P36" s="66" t="str">
        <f>IFERROR(Calculations!BS84,"")</f>
        <v/>
      </c>
      <c r="Q36" s="25" t="str">
        <f>IFERROR((IF(VLOOKUP(Calculations!BQ84,Input!$B$21:$AL$50,19+Calculations!C84,FALSE)="c",Calculations!$D$20/COS(RADIANS(180/$P$7)),Calculations!$D$20)+Calculations!CA84+IF(P36="channel",Calculations!BU84/2-Calculations!DM84,0))*COS(RADIANS(Calculations!D84))+IF(AND(ISNUMBER(VLOOKUP(Calculations!BQ84,Input!$B$21:$AL$50,19+Calculations!C84,FALSE)),$P$7&lt;&gt;0),VLOOKUP(Calculations!BQ84,Input!$B$21:$AL$50,19+Calculations!C84,FALSE)*SIN(RADIANS(Calculations!D84)),0),"")</f>
        <v/>
      </c>
      <c r="R36" s="25" t="str">
        <f>Calculations!N84</f>
        <v/>
      </c>
      <c r="S36" s="25" t="str">
        <f>IFERROR($Q36+(-IF($P36="channel",Calculations!BU84,Calculations!BX84)/2)*COS(RADIANS(Calculations!D84))+(-IF($P36="channel",Calculations!BT84,Calculations!BW84)/2)*SIN(RADIANS(Calculations!D84)),"")</f>
        <v/>
      </c>
      <c r="T36" s="25" t="str">
        <f>IF(P36="channel",Calculations!S84,Calculations!O84)</f>
        <v/>
      </c>
      <c r="U36" s="25" t="str">
        <f>IFERROR($Q36+(IF($P36="channel",Calculations!BU84,Calculations!BX84)/2)*COS(RADIANS(Calculations!D84))+(-IF($P36="channel",Calculations!BT84,Calculations!BW84)/2)*SIN(RADIANS(Calculations!D84)),"")</f>
        <v/>
      </c>
      <c r="V36" s="25" t="str">
        <f>IF(P36="channel",Calculations!T84,Calculations!P84)</f>
        <v/>
      </c>
      <c r="W36" s="25" t="str">
        <f>IFERROR($Q36+(IF($P36="channel",Calculations!BU84,Calculations!BX84)/2)*COS(RADIANS(Calculations!D84))+(IF($P36="channel",Calculations!BT84,Calculations!BW84)/2)*SIN(RADIANS(Calculations!D84)),"")</f>
        <v/>
      </c>
      <c r="X36" s="25" t="str">
        <f>IF(P36="channel",Calculations!U84,Calculations!Q84)</f>
        <v/>
      </c>
      <c r="Y36" s="25" t="str">
        <f>IFERROR($Q36+(-IF($P36="channel",Calculations!BU84,Calculations!BX84)/2)*COS(RADIANS(Calculations!D84))+(IF($P36="channel",Calculations!BT84,Calculations!BW84)/2)*SIN(RADIANS(Calculations!D84)),"")</f>
        <v/>
      </c>
      <c r="Z36" s="25" t="str">
        <f>IF(P36="channel",Calculations!V84,Calculations!R84)</f>
        <v/>
      </c>
      <c r="AA36" s="25" t="str">
        <f>IFERROR($AI36+(-AK36/2)*COS(RADIANS(Calculations!D84))+(-AL36/2)*SIN(RADIANS(Calculations!D84)),"")</f>
        <v/>
      </c>
      <c r="AB36" s="25" t="str">
        <f>IFERROR(AJ36+(-AK36/2)*SIN(RADIANS(Calculations!D84))+(AL36/2)*COS(RADIANS(Calculations!D84)),"")</f>
        <v/>
      </c>
      <c r="AC36" s="25" t="str">
        <f>IFERROR($AI36+(AK36/2)*COS(RADIANS(Calculations!D84))+(-AL36/2)*SIN(RADIANS(Calculations!D84)),"")</f>
        <v/>
      </c>
      <c r="AD36" s="25" t="str">
        <f>IFERROR(AJ36+(AK36/2)*SIN(RADIANS(Calculations!D84))+(AL36/2)*COS(RADIANS(Calculations!D84)),"")</f>
        <v/>
      </c>
      <c r="AE36" s="65" t="str">
        <f>IFERROR($AI36+(AK36/2)*COS(RADIANS(Calculations!D84))+(AL36/2)*SIN(RADIANS(Calculations!D84)),"")</f>
        <v/>
      </c>
      <c r="AF36" s="65" t="str">
        <f>IFERROR(AJ36+(AK36/2)*SIN(RADIANS(Calculations!D84))+(-AL36/2)*COS(RADIANS(Calculations!D84)),"")</f>
        <v/>
      </c>
      <c r="AG36" s="65" t="str">
        <f>IFERROR($AI36+(-AK36/2)*COS(RADIANS(Calculations!D84))+(AL36/2)*SIN(RADIANS(Calculations!D84)),"")</f>
        <v/>
      </c>
      <c r="AH36" s="65" t="str">
        <f>IFERROR(AJ36+(-AK36/2)*SIN(RADIANS(Calculations!D84))+(-AL36/2)*COS(RADIANS(Calculations!D84)),"")</f>
        <v/>
      </c>
      <c r="AI36" s="66" t="str">
        <f>IFERROR((IF(VLOOKUP(Calculations!BQ84,Input!$B$21:$AL$50,19+Calculations!C84,FALSE)="c",Calculations!$D$20/COS(RADIANS(180/$P$7)),Calculations!$D$20)+Calculations!BU84-(Calculations!BU84-Calculations!DI84)/2)*COS(RADIANS(Calculations!D84))+IF(AND(ISNUMBER(VLOOKUP(Calculations!BQ84,Input!$B$21:$AL$50,19+Calculations!C84,FALSE)),$P$7&lt;&gt;0),VLOOKUP(Calculations!BQ84,Input!$B$21:$AL$50,19+Calculations!C84,FALSE)*SIN(RADIANS(Calculations!D84)),0),"")</f>
        <v/>
      </c>
      <c r="AJ36" s="65" t="str">
        <f>IFERROR((IF(VLOOKUP(Calculations!BQ84,Input!$B$21:$AL$50,19+Calculations!C84,FALSE)="c",Calculations!$D$20/COS(RADIANS(180/Calculations!$D$8)),Calculations!$D$20)+Calculations!BU84-(Calculations!BU84-Calculations!DI84)/2)*SIN(RADIANS(Calculations!D84))-IF(AND(ISNUMBER(VLOOKUP(Calculations!BQ84,Input!$B$21:$AL$50,19+Calculations!C84,FALSE)),Calculations!$D$8&lt;&gt;0),VLOOKUP(Calculations!BQ84,Input!$B$21:$AL$50,19+Calculations!C84,FALSE)*COS(RADIANS(Calculations!D84)),0)-Calculations!$D$35,"")</f>
        <v/>
      </c>
      <c r="AK36" s="65" t="e">
        <f>Calculations!BU84-Calculations!DI84</f>
        <v>#N/A</v>
      </c>
      <c r="AL36" s="65" t="e">
        <f>Calculations!BT84-2*Calculations!DL84</f>
        <v>#N/A</v>
      </c>
      <c r="AM36" s="65" t="str">
        <f>IF(P36="solid round",Calculations!BT84,"")</f>
        <v/>
      </c>
    </row>
    <row r="37" spans="15:39" x14ac:dyDescent="0.2">
      <c r="O37" s="25">
        <v>25</v>
      </c>
      <c r="P37" s="66" t="str">
        <f>IFERROR(Calculations!BS85,"")</f>
        <v/>
      </c>
      <c r="Q37" s="25" t="str">
        <f>IFERROR((IF(VLOOKUP(Calculations!BQ85,Input!$B$21:$AL$50,19+Calculations!C85,FALSE)="c",Calculations!$D$20/COS(RADIANS(180/$P$7)),Calculations!$D$20)+Calculations!CA85+IF(P37="channel",Calculations!BU85/2-Calculations!DM85,0))*COS(RADIANS(Calculations!D85))+IF(AND(ISNUMBER(VLOOKUP(Calculations!BQ85,Input!$B$21:$AL$50,19+Calculations!C85,FALSE)),$P$7&lt;&gt;0),VLOOKUP(Calculations!BQ85,Input!$B$21:$AL$50,19+Calculations!C85,FALSE)*SIN(RADIANS(Calculations!D85)),0),"")</f>
        <v/>
      </c>
      <c r="R37" s="25" t="str">
        <f>Calculations!N85</f>
        <v/>
      </c>
      <c r="S37" s="25" t="str">
        <f>IFERROR($Q37+(-IF($P37="channel",Calculations!BU85,Calculations!BX85)/2)*COS(RADIANS(Calculations!D85))+(-IF($P37="channel",Calculations!BT85,Calculations!BW85)/2)*SIN(RADIANS(Calculations!D85)),"")</f>
        <v/>
      </c>
      <c r="T37" s="25" t="str">
        <f>IF(P37="channel",Calculations!S85,Calculations!O85)</f>
        <v/>
      </c>
      <c r="U37" s="25" t="str">
        <f>IFERROR($Q37+(IF($P37="channel",Calculations!BU85,Calculations!BX85)/2)*COS(RADIANS(Calculations!D85))+(-IF($P37="channel",Calculations!BT85,Calculations!BW85)/2)*SIN(RADIANS(Calculations!D85)),"")</f>
        <v/>
      </c>
      <c r="V37" s="25" t="str">
        <f>IF(P37="channel",Calculations!T85,Calculations!P85)</f>
        <v/>
      </c>
      <c r="W37" s="25" t="str">
        <f>IFERROR($Q37+(IF($P37="channel",Calculations!BU85,Calculations!BX85)/2)*COS(RADIANS(Calculations!D85))+(IF($P37="channel",Calculations!BT85,Calculations!BW85)/2)*SIN(RADIANS(Calculations!D85)),"")</f>
        <v/>
      </c>
      <c r="X37" s="25" t="str">
        <f>IF(P37="channel",Calculations!U85,Calculations!Q85)</f>
        <v/>
      </c>
      <c r="Y37" s="25" t="str">
        <f>IFERROR($Q37+(-IF($P37="channel",Calculations!BU85,Calculations!BX85)/2)*COS(RADIANS(Calculations!D85))+(IF($P37="channel",Calculations!BT85,Calculations!BW85)/2)*SIN(RADIANS(Calculations!D85)),"")</f>
        <v/>
      </c>
      <c r="Z37" s="25" t="str">
        <f>IF(P37="channel",Calculations!V85,Calculations!R85)</f>
        <v/>
      </c>
      <c r="AA37" s="25" t="str">
        <f>IFERROR($AI37+(-AK37/2)*COS(RADIANS(Calculations!D85))+(-AL37/2)*SIN(RADIANS(Calculations!D85)),"")</f>
        <v/>
      </c>
      <c r="AB37" s="25" t="str">
        <f>IFERROR(AJ37+(-AK37/2)*SIN(RADIANS(Calculations!D85))+(AL37/2)*COS(RADIANS(Calculations!D85)),"")</f>
        <v/>
      </c>
      <c r="AC37" s="25" t="str">
        <f>IFERROR($AI37+(AK37/2)*COS(RADIANS(Calculations!D85))+(-AL37/2)*SIN(RADIANS(Calculations!D85)),"")</f>
        <v/>
      </c>
      <c r="AD37" s="25" t="str">
        <f>IFERROR(AJ37+(AK37/2)*SIN(RADIANS(Calculations!D85))+(AL37/2)*COS(RADIANS(Calculations!D85)),"")</f>
        <v/>
      </c>
      <c r="AE37" s="65" t="str">
        <f>IFERROR($AI37+(AK37/2)*COS(RADIANS(Calculations!D85))+(AL37/2)*SIN(RADIANS(Calculations!D85)),"")</f>
        <v/>
      </c>
      <c r="AF37" s="65" t="str">
        <f>IFERROR(AJ37+(AK37/2)*SIN(RADIANS(Calculations!D85))+(-AL37/2)*COS(RADIANS(Calculations!D85)),"")</f>
        <v/>
      </c>
      <c r="AG37" s="65" t="str">
        <f>IFERROR($AI37+(-AK37/2)*COS(RADIANS(Calculations!D85))+(AL37/2)*SIN(RADIANS(Calculations!D85)),"")</f>
        <v/>
      </c>
      <c r="AH37" s="65" t="str">
        <f>IFERROR(AJ37+(-AK37/2)*SIN(RADIANS(Calculations!D85))+(-AL37/2)*COS(RADIANS(Calculations!D85)),"")</f>
        <v/>
      </c>
      <c r="AI37" s="66" t="str">
        <f>IFERROR((IF(VLOOKUP(Calculations!BQ85,Input!$B$21:$AL$50,19+Calculations!C85,FALSE)="c",Calculations!$D$20/COS(RADIANS(180/$P$7)),Calculations!$D$20)+Calculations!BU85-(Calculations!BU85-Calculations!DI85)/2)*COS(RADIANS(Calculations!D85))+IF(AND(ISNUMBER(VLOOKUP(Calculations!BQ85,Input!$B$21:$AL$50,19+Calculations!C85,FALSE)),$P$7&lt;&gt;0),VLOOKUP(Calculations!BQ85,Input!$B$21:$AL$50,19+Calculations!C85,FALSE)*SIN(RADIANS(Calculations!D85)),0),"")</f>
        <v/>
      </c>
      <c r="AJ37" s="65" t="str">
        <f>IFERROR((IF(VLOOKUP(Calculations!BQ85,Input!$B$21:$AL$50,19+Calculations!C85,FALSE)="c",Calculations!$D$20/COS(RADIANS(180/Calculations!$D$8)),Calculations!$D$20)+Calculations!BU85-(Calculations!BU85-Calculations!DI85)/2)*SIN(RADIANS(Calculations!D85))-IF(AND(ISNUMBER(VLOOKUP(Calculations!BQ85,Input!$B$21:$AL$50,19+Calculations!C85,FALSE)),Calculations!$D$8&lt;&gt;0),VLOOKUP(Calculations!BQ85,Input!$B$21:$AL$50,19+Calculations!C85,FALSE)*COS(RADIANS(Calculations!D85)),0)-Calculations!$D$35,"")</f>
        <v/>
      </c>
      <c r="AK37" s="65" t="e">
        <f>Calculations!BU85-Calculations!DI85</f>
        <v>#N/A</v>
      </c>
      <c r="AL37" s="65" t="e">
        <f>Calculations!BT85-2*Calculations!DL85</f>
        <v>#N/A</v>
      </c>
      <c r="AM37" s="65" t="str">
        <f>IF(P37="solid round",Calculations!BT85,"")</f>
        <v/>
      </c>
    </row>
    <row r="38" spans="15:39" x14ac:dyDescent="0.2">
      <c r="O38" s="25">
        <v>26</v>
      </c>
      <c r="P38" s="66" t="str">
        <f>IFERROR(Calculations!BS86,"")</f>
        <v/>
      </c>
      <c r="Q38" s="25" t="str">
        <f>IFERROR((IF(VLOOKUP(Calculations!BQ86,Input!$B$21:$AL$50,19+Calculations!C86,FALSE)="c",Calculations!$D$20/COS(RADIANS(180/$P$7)),Calculations!$D$20)+Calculations!CA86+IF(P38="channel",Calculations!BU86/2-Calculations!DM86,0))*COS(RADIANS(Calculations!D86))+IF(AND(ISNUMBER(VLOOKUP(Calculations!BQ86,Input!$B$21:$AL$50,19+Calculations!C86,FALSE)),$P$7&lt;&gt;0),VLOOKUP(Calculations!BQ86,Input!$B$21:$AL$50,19+Calculations!C86,FALSE)*SIN(RADIANS(Calculations!D86)),0),"")</f>
        <v/>
      </c>
      <c r="R38" s="25" t="str">
        <f>Calculations!N86</f>
        <v/>
      </c>
      <c r="S38" s="25" t="str">
        <f>IFERROR($Q38+(-IF($P38="channel",Calculations!BU86,Calculations!BX86)/2)*COS(RADIANS(Calculations!D86))+(-IF($P38="channel",Calculations!BT86,Calculations!BW86)/2)*SIN(RADIANS(Calculations!D86)),"")</f>
        <v/>
      </c>
      <c r="T38" s="25" t="str">
        <f>IF(P38="channel",Calculations!S86,Calculations!O86)</f>
        <v/>
      </c>
      <c r="U38" s="25" t="str">
        <f>IFERROR($Q38+(IF($P38="channel",Calculations!BU86,Calculations!BX86)/2)*COS(RADIANS(Calculations!D86))+(-IF($P38="channel",Calculations!BT86,Calculations!BW86)/2)*SIN(RADIANS(Calculations!D86)),"")</f>
        <v/>
      </c>
      <c r="V38" s="25" t="str">
        <f>IF(P38="channel",Calculations!T86,Calculations!P86)</f>
        <v/>
      </c>
      <c r="W38" s="25" t="str">
        <f>IFERROR($Q38+(IF($P38="channel",Calculations!BU86,Calculations!BX86)/2)*COS(RADIANS(Calculations!D86))+(IF($P38="channel",Calculations!BT86,Calculations!BW86)/2)*SIN(RADIANS(Calculations!D86)),"")</f>
        <v/>
      </c>
      <c r="X38" s="25" t="str">
        <f>IF(P38="channel",Calculations!U86,Calculations!Q86)</f>
        <v/>
      </c>
      <c r="Y38" s="25" t="str">
        <f>IFERROR($Q38+(-IF($P38="channel",Calculations!BU86,Calculations!BX86)/2)*COS(RADIANS(Calculations!D86))+(IF($P38="channel",Calculations!BT86,Calculations!BW86)/2)*SIN(RADIANS(Calculations!D86)),"")</f>
        <v/>
      </c>
      <c r="Z38" s="25" t="str">
        <f>IF(P38="channel",Calculations!V86,Calculations!R86)</f>
        <v/>
      </c>
      <c r="AA38" s="25" t="str">
        <f>IFERROR($AI38+(-AK38/2)*COS(RADIANS(Calculations!D86))+(-AL38/2)*SIN(RADIANS(Calculations!D86)),"")</f>
        <v/>
      </c>
      <c r="AB38" s="25" t="str">
        <f>IFERROR(AJ38+(-AK38/2)*SIN(RADIANS(Calculations!D86))+(AL38/2)*COS(RADIANS(Calculations!D86)),"")</f>
        <v/>
      </c>
      <c r="AC38" s="25" t="str">
        <f>IFERROR($AI38+(AK38/2)*COS(RADIANS(Calculations!D86))+(-AL38/2)*SIN(RADIANS(Calculations!D86)),"")</f>
        <v/>
      </c>
      <c r="AD38" s="25" t="str">
        <f>IFERROR(AJ38+(AK38/2)*SIN(RADIANS(Calculations!D86))+(AL38/2)*COS(RADIANS(Calculations!D86)),"")</f>
        <v/>
      </c>
      <c r="AE38" s="65" t="str">
        <f>IFERROR($AI38+(AK38/2)*COS(RADIANS(Calculations!D86))+(AL38/2)*SIN(RADIANS(Calculations!D86)),"")</f>
        <v/>
      </c>
      <c r="AF38" s="65" t="str">
        <f>IFERROR(AJ38+(AK38/2)*SIN(RADIANS(Calculations!D86))+(-AL38/2)*COS(RADIANS(Calculations!D86)),"")</f>
        <v/>
      </c>
      <c r="AG38" s="65" t="str">
        <f>IFERROR($AI38+(-AK38/2)*COS(RADIANS(Calculations!D86))+(AL38/2)*SIN(RADIANS(Calculations!D86)),"")</f>
        <v/>
      </c>
      <c r="AH38" s="65" t="str">
        <f>IFERROR(AJ38+(-AK38/2)*SIN(RADIANS(Calculations!D86))+(-AL38/2)*COS(RADIANS(Calculations!D86)),"")</f>
        <v/>
      </c>
      <c r="AI38" s="66" t="str">
        <f>IFERROR((IF(VLOOKUP(Calculations!BQ86,Input!$B$21:$AL$50,19+Calculations!C86,FALSE)="c",Calculations!$D$20/COS(RADIANS(180/$P$7)),Calculations!$D$20)+Calculations!BU86-(Calculations!BU86-Calculations!DI86)/2)*COS(RADIANS(Calculations!D86))+IF(AND(ISNUMBER(VLOOKUP(Calculations!BQ86,Input!$B$21:$AL$50,19+Calculations!C86,FALSE)),$P$7&lt;&gt;0),VLOOKUP(Calculations!BQ86,Input!$B$21:$AL$50,19+Calculations!C86,FALSE)*SIN(RADIANS(Calculations!D86)),0),"")</f>
        <v/>
      </c>
      <c r="AJ38" s="65" t="str">
        <f>IFERROR((IF(VLOOKUP(Calculations!BQ86,Input!$B$21:$AL$50,19+Calculations!C86,FALSE)="c",Calculations!$D$20/COS(RADIANS(180/Calculations!$D$8)),Calculations!$D$20)+Calculations!BU86-(Calculations!BU86-Calculations!DI86)/2)*SIN(RADIANS(Calculations!D86))-IF(AND(ISNUMBER(VLOOKUP(Calculations!BQ86,Input!$B$21:$AL$50,19+Calculations!C86,FALSE)),Calculations!$D$8&lt;&gt;0),VLOOKUP(Calculations!BQ86,Input!$B$21:$AL$50,19+Calculations!C86,FALSE)*COS(RADIANS(Calculations!D86)),0)-Calculations!$D$35,"")</f>
        <v/>
      </c>
      <c r="AK38" s="65" t="e">
        <f>Calculations!BU86-Calculations!DI86</f>
        <v>#N/A</v>
      </c>
      <c r="AL38" s="65" t="e">
        <f>Calculations!BT86-2*Calculations!DL86</f>
        <v>#N/A</v>
      </c>
      <c r="AM38" s="65" t="str">
        <f>IF(P38="solid round",Calculations!BT86,"")</f>
        <v/>
      </c>
    </row>
    <row r="39" spans="15:39" x14ac:dyDescent="0.2">
      <c r="O39" s="25">
        <v>27</v>
      </c>
      <c r="P39" s="66" t="str">
        <f>IFERROR(Calculations!BS87,"")</f>
        <v/>
      </c>
      <c r="Q39" s="25" t="str">
        <f>IFERROR((IF(VLOOKUP(Calculations!BQ87,Input!$B$21:$AL$50,19+Calculations!C87,FALSE)="c",Calculations!$D$20/COS(RADIANS(180/$P$7)),Calculations!$D$20)+Calculations!CA87+IF(P39="channel",Calculations!BU87/2-Calculations!DM87,0))*COS(RADIANS(Calculations!D87))+IF(AND(ISNUMBER(VLOOKUP(Calculations!BQ87,Input!$B$21:$AL$50,19+Calculations!C87,FALSE)),$P$7&lt;&gt;0),VLOOKUP(Calculations!BQ87,Input!$B$21:$AL$50,19+Calculations!C87,FALSE)*SIN(RADIANS(Calculations!D87)),0),"")</f>
        <v/>
      </c>
      <c r="R39" s="25" t="str">
        <f>Calculations!N87</f>
        <v/>
      </c>
      <c r="S39" s="25" t="str">
        <f>IFERROR($Q39+(-IF($P39="channel",Calculations!BU87,Calculations!BX87)/2)*COS(RADIANS(Calculations!D87))+(-IF($P39="channel",Calculations!BT87,Calculations!BW87)/2)*SIN(RADIANS(Calculations!D87)),"")</f>
        <v/>
      </c>
      <c r="T39" s="25" t="str">
        <f>IF(P39="channel",Calculations!S87,Calculations!O87)</f>
        <v/>
      </c>
      <c r="U39" s="25" t="str">
        <f>IFERROR($Q39+(IF($P39="channel",Calculations!BU87,Calculations!BX87)/2)*COS(RADIANS(Calculations!D87))+(-IF($P39="channel",Calculations!BT87,Calculations!BW87)/2)*SIN(RADIANS(Calculations!D87)),"")</f>
        <v/>
      </c>
      <c r="V39" s="25" t="str">
        <f>IF(P39="channel",Calculations!T87,Calculations!P87)</f>
        <v/>
      </c>
      <c r="W39" s="25" t="str">
        <f>IFERROR($Q39+(IF($P39="channel",Calculations!BU87,Calculations!BX87)/2)*COS(RADIANS(Calculations!D87))+(IF($P39="channel",Calculations!BT87,Calculations!BW87)/2)*SIN(RADIANS(Calculations!D87)),"")</f>
        <v/>
      </c>
      <c r="X39" s="25" t="str">
        <f>IF(P39="channel",Calculations!U87,Calculations!Q87)</f>
        <v/>
      </c>
      <c r="Y39" s="25" t="str">
        <f>IFERROR($Q39+(-IF($P39="channel",Calculations!BU87,Calculations!BX87)/2)*COS(RADIANS(Calculations!D87))+(IF($P39="channel",Calculations!BT87,Calculations!BW87)/2)*SIN(RADIANS(Calculations!D87)),"")</f>
        <v/>
      </c>
      <c r="Z39" s="25" t="str">
        <f>IF(P39="channel",Calculations!V87,Calculations!R87)</f>
        <v/>
      </c>
      <c r="AA39" s="25" t="str">
        <f>IFERROR($AI39+(-AK39/2)*COS(RADIANS(Calculations!D87))+(-AL39/2)*SIN(RADIANS(Calculations!D87)),"")</f>
        <v/>
      </c>
      <c r="AB39" s="25" t="str">
        <f>IFERROR(AJ39+(-AK39/2)*SIN(RADIANS(Calculations!D87))+(AL39/2)*COS(RADIANS(Calculations!D87)),"")</f>
        <v/>
      </c>
      <c r="AC39" s="25" t="str">
        <f>IFERROR($AI39+(AK39/2)*COS(RADIANS(Calculations!D87))+(-AL39/2)*SIN(RADIANS(Calculations!D87)),"")</f>
        <v/>
      </c>
      <c r="AD39" s="25" t="str">
        <f>IFERROR(AJ39+(AK39/2)*SIN(RADIANS(Calculations!D87))+(AL39/2)*COS(RADIANS(Calculations!D87)),"")</f>
        <v/>
      </c>
      <c r="AE39" s="65" t="str">
        <f>IFERROR($AI39+(AK39/2)*COS(RADIANS(Calculations!D87))+(AL39/2)*SIN(RADIANS(Calculations!D87)),"")</f>
        <v/>
      </c>
      <c r="AF39" s="65" t="str">
        <f>IFERROR(AJ39+(AK39/2)*SIN(RADIANS(Calculations!D87))+(-AL39/2)*COS(RADIANS(Calculations!D87)),"")</f>
        <v/>
      </c>
      <c r="AG39" s="65" t="str">
        <f>IFERROR($AI39+(-AK39/2)*COS(RADIANS(Calculations!D87))+(AL39/2)*SIN(RADIANS(Calculations!D87)),"")</f>
        <v/>
      </c>
      <c r="AH39" s="65" t="str">
        <f>IFERROR(AJ39+(-AK39/2)*SIN(RADIANS(Calculations!D87))+(-AL39/2)*COS(RADIANS(Calculations!D87)),"")</f>
        <v/>
      </c>
      <c r="AI39" s="66" t="str">
        <f>IFERROR((IF(VLOOKUP(Calculations!BQ87,Input!$B$21:$AL$50,19+Calculations!C87,FALSE)="c",Calculations!$D$20/COS(RADIANS(180/$P$7)),Calculations!$D$20)+Calculations!BU87-(Calculations!BU87-Calculations!DI87)/2)*COS(RADIANS(Calculations!D87))+IF(AND(ISNUMBER(VLOOKUP(Calculations!BQ87,Input!$B$21:$AL$50,19+Calculations!C87,FALSE)),$P$7&lt;&gt;0),VLOOKUP(Calculations!BQ87,Input!$B$21:$AL$50,19+Calculations!C87,FALSE)*SIN(RADIANS(Calculations!D87)),0),"")</f>
        <v/>
      </c>
      <c r="AJ39" s="65" t="str">
        <f>IFERROR((IF(VLOOKUP(Calculations!BQ87,Input!$B$21:$AL$50,19+Calculations!C87,FALSE)="c",Calculations!$D$20/COS(RADIANS(180/Calculations!$D$8)),Calculations!$D$20)+Calculations!BU87-(Calculations!BU87-Calculations!DI87)/2)*SIN(RADIANS(Calculations!D87))-IF(AND(ISNUMBER(VLOOKUP(Calculations!BQ87,Input!$B$21:$AL$50,19+Calculations!C87,FALSE)),Calculations!$D$8&lt;&gt;0),VLOOKUP(Calculations!BQ87,Input!$B$21:$AL$50,19+Calculations!C87,FALSE)*COS(RADIANS(Calculations!D87)),0)-Calculations!$D$35,"")</f>
        <v/>
      </c>
      <c r="AK39" s="65" t="e">
        <f>Calculations!BU87-Calculations!DI87</f>
        <v>#N/A</v>
      </c>
      <c r="AL39" s="65" t="e">
        <f>Calculations!BT87-2*Calculations!DL87</f>
        <v>#N/A</v>
      </c>
      <c r="AM39" s="65" t="str">
        <f>IF(P39="solid round",Calculations!BT87,"")</f>
        <v/>
      </c>
    </row>
    <row r="40" spans="15:39" x14ac:dyDescent="0.2">
      <c r="O40" s="25">
        <v>28</v>
      </c>
      <c r="P40" s="66" t="str">
        <f>IFERROR(Calculations!BS88,"")</f>
        <v/>
      </c>
      <c r="Q40" s="25" t="str">
        <f>IFERROR((IF(VLOOKUP(Calculations!BQ88,Input!$B$21:$AL$50,19+Calculations!C88,FALSE)="c",Calculations!$D$20/COS(RADIANS(180/$P$7)),Calculations!$D$20)+Calculations!CA88+IF(P40="channel",Calculations!BU88/2-Calculations!DM88,0))*COS(RADIANS(Calculations!D88))+IF(AND(ISNUMBER(VLOOKUP(Calculations!BQ88,Input!$B$21:$AL$50,19+Calculations!C88,FALSE)),$P$7&lt;&gt;0),VLOOKUP(Calculations!BQ88,Input!$B$21:$AL$50,19+Calculations!C88,FALSE)*SIN(RADIANS(Calculations!D88)),0),"")</f>
        <v/>
      </c>
      <c r="R40" s="25" t="str">
        <f>Calculations!N88</f>
        <v/>
      </c>
      <c r="S40" s="25" t="str">
        <f>IFERROR($Q40+(-IF($P40="channel",Calculations!BU88,Calculations!BX88)/2)*COS(RADIANS(Calculations!D88))+(-IF($P40="channel",Calculations!BT88,Calculations!BW88)/2)*SIN(RADIANS(Calculations!D88)),"")</f>
        <v/>
      </c>
      <c r="T40" s="25" t="str">
        <f>IF(P40="channel",Calculations!S88,Calculations!O88)</f>
        <v/>
      </c>
      <c r="U40" s="25" t="str">
        <f>IFERROR($Q40+(IF($P40="channel",Calculations!BU88,Calculations!BX88)/2)*COS(RADIANS(Calculations!D88))+(-IF($P40="channel",Calculations!BT88,Calculations!BW88)/2)*SIN(RADIANS(Calculations!D88)),"")</f>
        <v/>
      </c>
      <c r="V40" s="25" t="str">
        <f>IF(P40="channel",Calculations!T88,Calculations!P88)</f>
        <v/>
      </c>
      <c r="W40" s="25" t="str">
        <f>IFERROR($Q40+(IF($P40="channel",Calculations!BU88,Calculations!BX88)/2)*COS(RADIANS(Calculations!D88))+(IF($P40="channel",Calculations!BT88,Calculations!BW88)/2)*SIN(RADIANS(Calculations!D88)),"")</f>
        <v/>
      </c>
      <c r="X40" s="25" t="str">
        <f>IF(P40="channel",Calculations!U88,Calculations!Q88)</f>
        <v/>
      </c>
      <c r="Y40" s="25" t="str">
        <f>IFERROR($Q40+(-IF($P40="channel",Calculations!BU88,Calculations!BX88)/2)*COS(RADIANS(Calculations!D88))+(IF($P40="channel",Calculations!BT88,Calculations!BW88)/2)*SIN(RADIANS(Calculations!D88)),"")</f>
        <v/>
      </c>
      <c r="Z40" s="25" t="str">
        <f>IF(P40="channel",Calculations!V88,Calculations!R88)</f>
        <v/>
      </c>
      <c r="AA40" s="25" t="str">
        <f>IFERROR($AI40+(-AK40/2)*COS(RADIANS(Calculations!D88))+(-AL40/2)*SIN(RADIANS(Calculations!D88)),"")</f>
        <v/>
      </c>
      <c r="AB40" s="25" t="str">
        <f>IFERROR(AJ40+(-AK40/2)*SIN(RADIANS(Calculations!D88))+(AL40/2)*COS(RADIANS(Calculations!D88)),"")</f>
        <v/>
      </c>
      <c r="AC40" s="25" t="str">
        <f>IFERROR($AI40+(AK40/2)*COS(RADIANS(Calculations!D88))+(-AL40/2)*SIN(RADIANS(Calculations!D88)),"")</f>
        <v/>
      </c>
      <c r="AD40" s="25" t="str">
        <f>IFERROR(AJ40+(AK40/2)*SIN(RADIANS(Calculations!D88))+(AL40/2)*COS(RADIANS(Calculations!D88)),"")</f>
        <v/>
      </c>
      <c r="AE40" s="65" t="str">
        <f>IFERROR($AI40+(AK40/2)*COS(RADIANS(Calculations!D88))+(AL40/2)*SIN(RADIANS(Calculations!D88)),"")</f>
        <v/>
      </c>
      <c r="AF40" s="65" t="str">
        <f>IFERROR(AJ40+(AK40/2)*SIN(RADIANS(Calculations!D88))+(-AL40/2)*COS(RADIANS(Calculations!D88)),"")</f>
        <v/>
      </c>
      <c r="AG40" s="65" t="str">
        <f>IFERROR($AI40+(-AK40/2)*COS(RADIANS(Calculations!D88))+(AL40/2)*SIN(RADIANS(Calculations!D88)),"")</f>
        <v/>
      </c>
      <c r="AH40" s="65" t="str">
        <f>IFERROR(AJ40+(-AK40/2)*SIN(RADIANS(Calculations!D88))+(-AL40/2)*COS(RADIANS(Calculations!D88)),"")</f>
        <v/>
      </c>
      <c r="AI40" s="66" t="str">
        <f>IFERROR((IF(VLOOKUP(Calculations!BQ88,Input!$B$21:$AL$50,19+Calculations!C88,FALSE)="c",Calculations!$D$20/COS(RADIANS(180/$P$7)),Calculations!$D$20)+Calculations!BU88-(Calculations!BU88-Calculations!DI88)/2)*COS(RADIANS(Calculations!D88))+IF(AND(ISNUMBER(VLOOKUP(Calculations!BQ88,Input!$B$21:$AL$50,19+Calculations!C88,FALSE)),$P$7&lt;&gt;0),VLOOKUP(Calculations!BQ88,Input!$B$21:$AL$50,19+Calculations!C88,FALSE)*SIN(RADIANS(Calculations!D88)),0),"")</f>
        <v/>
      </c>
      <c r="AJ40" s="65" t="str">
        <f>IFERROR((IF(VLOOKUP(Calculations!BQ88,Input!$B$21:$AL$50,19+Calculations!C88,FALSE)="c",Calculations!$D$20/COS(RADIANS(180/Calculations!$D$8)),Calculations!$D$20)+Calculations!BU88-(Calculations!BU88-Calculations!DI88)/2)*SIN(RADIANS(Calculations!D88))-IF(AND(ISNUMBER(VLOOKUP(Calculations!BQ88,Input!$B$21:$AL$50,19+Calculations!C88,FALSE)),Calculations!$D$8&lt;&gt;0),VLOOKUP(Calculations!BQ88,Input!$B$21:$AL$50,19+Calculations!C88,FALSE)*COS(RADIANS(Calculations!D88)),0)-Calculations!$D$35,"")</f>
        <v/>
      </c>
      <c r="AK40" s="65" t="e">
        <f>Calculations!BU88-Calculations!DI88</f>
        <v>#N/A</v>
      </c>
      <c r="AL40" s="65" t="e">
        <f>Calculations!BT88-2*Calculations!DL88</f>
        <v>#N/A</v>
      </c>
      <c r="AM40" s="65" t="str">
        <f>IF(P40="solid round",Calculations!BT88,"")</f>
        <v/>
      </c>
    </row>
    <row r="41" spans="15:39" ht="15" customHeight="1" x14ac:dyDescent="0.2">
      <c r="O41" s="25">
        <v>29</v>
      </c>
      <c r="P41" s="66" t="str">
        <f>IFERROR(Calculations!BS89,"")</f>
        <v/>
      </c>
      <c r="Q41" s="25" t="str">
        <f>IFERROR((IF(VLOOKUP(Calculations!BQ89,Input!$B$21:$AL$50,19+Calculations!C89,FALSE)="c",Calculations!$D$20/COS(RADIANS(180/$P$7)),Calculations!$D$20)+Calculations!CA89+IF(P41="channel",Calculations!BU89/2-Calculations!DM89,0))*COS(RADIANS(Calculations!D89))+IF(AND(ISNUMBER(VLOOKUP(Calculations!BQ89,Input!$B$21:$AL$50,19+Calculations!C89,FALSE)),$P$7&lt;&gt;0),VLOOKUP(Calculations!BQ89,Input!$B$21:$AL$50,19+Calculations!C89,FALSE)*SIN(RADIANS(Calculations!D89)),0),"")</f>
        <v/>
      </c>
      <c r="R41" s="25" t="str">
        <f>Calculations!N89</f>
        <v/>
      </c>
      <c r="S41" s="25" t="str">
        <f>IFERROR($Q41+(-IF($P41="channel",Calculations!BU89,Calculations!BX89)/2)*COS(RADIANS(Calculations!D89))+(-IF($P41="channel",Calculations!BT89,Calculations!BW89)/2)*SIN(RADIANS(Calculations!D89)),"")</f>
        <v/>
      </c>
      <c r="T41" s="25" t="str">
        <f>IF(P41="channel",Calculations!S89,Calculations!O89)</f>
        <v/>
      </c>
      <c r="U41" s="25" t="str">
        <f>IFERROR($Q41+(IF($P41="channel",Calculations!BU89,Calculations!BX89)/2)*COS(RADIANS(Calculations!D89))+(-IF($P41="channel",Calculations!BT89,Calculations!BW89)/2)*SIN(RADIANS(Calculations!D89)),"")</f>
        <v/>
      </c>
      <c r="V41" s="25" t="str">
        <f>IF(P41="channel",Calculations!T89,Calculations!P89)</f>
        <v/>
      </c>
      <c r="W41" s="25" t="str">
        <f>IFERROR($Q41+(IF($P41="channel",Calculations!BU89,Calculations!BX89)/2)*COS(RADIANS(Calculations!D89))+(IF($P41="channel",Calculations!BT89,Calculations!BW89)/2)*SIN(RADIANS(Calculations!D89)),"")</f>
        <v/>
      </c>
      <c r="X41" s="25" t="str">
        <f>IF(P41="channel",Calculations!U89,Calculations!Q89)</f>
        <v/>
      </c>
      <c r="Y41" s="25" t="str">
        <f>IFERROR($Q41+(-IF($P41="channel",Calculations!BU89,Calculations!BX89)/2)*COS(RADIANS(Calculations!D89))+(IF($P41="channel",Calculations!BT89,Calculations!BW89)/2)*SIN(RADIANS(Calculations!D89)),"")</f>
        <v/>
      </c>
      <c r="Z41" s="25" t="str">
        <f>IF(P41="channel",Calculations!V89,Calculations!R89)</f>
        <v/>
      </c>
      <c r="AA41" s="25" t="str">
        <f>IFERROR($AI41+(-AK41/2)*COS(RADIANS(Calculations!D89))+(-AL41/2)*SIN(RADIANS(Calculations!D89)),"")</f>
        <v/>
      </c>
      <c r="AB41" s="25" t="str">
        <f>IFERROR(AJ41+(-AK41/2)*SIN(RADIANS(Calculations!D89))+(AL41/2)*COS(RADIANS(Calculations!D89)),"")</f>
        <v/>
      </c>
      <c r="AC41" s="25" t="str">
        <f>IFERROR($AI41+(AK41/2)*COS(RADIANS(Calculations!D89))+(-AL41/2)*SIN(RADIANS(Calculations!D89)),"")</f>
        <v/>
      </c>
      <c r="AD41" s="25" t="str">
        <f>IFERROR(AJ41+(AK41/2)*SIN(RADIANS(Calculations!D89))+(AL41/2)*COS(RADIANS(Calculations!D89)),"")</f>
        <v/>
      </c>
      <c r="AE41" s="65" t="str">
        <f>IFERROR($AI41+(AK41/2)*COS(RADIANS(Calculations!D89))+(AL41/2)*SIN(RADIANS(Calculations!D89)),"")</f>
        <v/>
      </c>
      <c r="AF41" s="65" t="str">
        <f>IFERROR(AJ41+(AK41/2)*SIN(RADIANS(Calculations!D89))+(-AL41/2)*COS(RADIANS(Calculations!D89)),"")</f>
        <v/>
      </c>
      <c r="AG41" s="65" t="str">
        <f>IFERROR($AI41+(-AK41/2)*COS(RADIANS(Calculations!D89))+(AL41/2)*SIN(RADIANS(Calculations!D89)),"")</f>
        <v/>
      </c>
      <c r="AH41" s="65" t="str">
        <f>IFERROR(AJ41+(-AK41/2)*SIN(RADIANS(Calculations!D89))+(-AL41/2)*COS(RADIANS(Calculations!D89)),"")</f>
        <v/>
      </c>
      <c r="AI41" s="66" t="str">
        <f>IFERROR((IF(VLOOKUP(Calculations!BQ89,Input!$B$21:$AL$50,19+Calculations!C89,FALSE)="c",Calculations!$D$20/COS(RADIANS(180/$P$7)),Calculations!$D$20)+Calculations!BU89-(Calculations!BU89-Calculations!DI89)/2)*COS(RADIANS(Calculations!D89))+IF(AND(ISNUMBER(VLOOKUP(Calculations!BQ89,Input!$B$21:$AL$50,19+Calculations!C89,FALSE)),$P$7&lt;&gt;0),VLOOKUP(Calculations!BQ89,Input!$B$21:$AL$50,19+Calculations!C89,FALSE)*SIN(RADIANS(Calculations!D89)),0),"")</f>
        <v/>
      </c>
      <c r="AJ41" s="65" t="str">
        <f>IFERROR((IF(VLOOKUP(Calculations!BQ89,Input!$B$21:$AL$50,19+Calculations!C89,FALSE)="c",Calculations!$D$20/COS(RADIANS(180/Calculations!$D$8)),Calculations!$D$20)+Calculations!BU89-(Calculations!BU89-Calculations!DI89)/2)*SIN(RADIANS(Calculations!D89))-IF(AND(ISNUMBER(VLOOKUP(Calculations!BQ89,Input!$B$21:$AL$50,19+Calculations!C89,FALSE)),Calculations!$D$8&lt;&gt;0),VLOOKUP(Calculations!BQ89,Input!$B$21:$AL$50,19+Calculations!C89,FALSE)*COS(RADIANS(Calculations!D89)),0)-Calculations!$D$35,"")</f>
        <v/>
      </c>
      <c r="AK41" s="65" t="e">
        <f>Calculations!BU89-Calculations!DI89</f>
        <v>#N/A</v>
      </c>
      <c r="AL41" s="65" t="e">
        <f>Calculations!BT89-2*Calculations!DL89</f>
        <v>#N/A</v>
      </c>
      <c r="AM41" s="65" t="str">
        <f>IF(P41="solid round",Calculations!BT89,"")</f>
        <v/>
      </c>
    </row>
    <row r="42" spans="15:39" x14ac:dyDescent="0.2">
      <c r="O42" s="25">
        <v>30</v>
      </c>
      <c r="P42" s="66" t="str">
        <f>IFERROR(Calculations!BS90,"")</f>
        <v/>
      </c>
      <c r="Q42" s="25" t="str">
        <f>IFERROR((IF(VLOOKUP(Calculations!BQ90,Input!$B$21:$AL$50,19+Calculations!C90,FALSE)="c",Calculations!$D$20/COS(RADIANS(180/$P$7)),Calculations!$D$20)+Calculations!CA90+IF(P42="channel",Calculations!BU90/2-Calculations!DM90,0))*COS(RADIANS(Calculations!D90))+IF(AND(ISNUMBER(VLOOKUP(Calculations!BQ90,Input!$B$21:$AL$50,19+Calculations!C90,FALSE)),$P$7&lt;&gt;0),VLOOKUP(Calculations!BQ90,Input!$B$21:$AL$50,19+Calculations!C90,FALSE)*SIN(RADIANS(Calculations!D90)),0),"")</f>
        <v/>
      </c>
      <c r="R42" s="25" t="str">
        <f>Calculations!N90</f>
        <v/>
      </c>
      <c r="S42" s="25" t="str">
        <f>IFERROR($Q42+(-IF($P42="channel",Calculations!BU90,Calculations!BX90)/2)*COS(RADIANS(Calculations!D90))+(-IF($P42="channel",Calculations!BT90,Calculations!BW90)/2)*SIN(RADIANS(Calculations!D90)),"")</f>
        <v/>
      </c>
      <c r="T42" s="25" t="str">
        <f>IF(P42="channel",Calculations!S90,Calculations!O90)</f>
        <v/>
      </c>
      <c r="U42" s="25" t="str">
        <f>IFERROR($Q42+(IF($P42="channel",Calculations!BU90,Calculations!BX90)/2)*COS(RADIANS(Calculations!D90))+(-IF($P42="channel",Calculations!BT90,Calculations!BW90)/2)*SIN(RADIANS(Calculations!D90)),"")</f>
        <v/>
      </c>
      <c r="V42" s="25" t="str">
        <f>IF(P42="channel",Calculations!T90,Calculations!P90)</f>
        <v/>
      </c>
      <c r="W42" s="25" t="str">
        <f>IFERROR($Q42+(IF($P42="channel",Calculations!BU90,Calculations!BX90)/2)*COS(RADIANS(Calculations!D90))+(IF($P42="channel",Calculations!BT90,Calculations!BW90)/2)*SIN(RADIANS(Calculations!D90)),"")</f>
        <v/>
      </c>
      <c r="X42" s="25" t="str">
        <f>IF(P42="channel",Calculations!U90,Calculations!Q90)</f>
        <v/>
      </c>
      <c r="Y42" s="25" t="str">
        <f>IFERROR($Q42+(-IF($P42="channel",Calculations!BU90,Calculations!BX90)/2)*COS(RADIANS(Calculations!D90))+(IF($P42="channel",Calculations!BT90,Calculations!BW90)/2)*SIN(RADIANS(Calculations!D90)),"")</f>
        <v/>
      </c>
      <c r="Z42" s="25" t="str">
        <f>IF(P42="channel",Calculations!V90,Calculations!R90)</f>
        <v/>
      </c>
      <c r="AA42" s="25" t="str">
        <f>IFERROR($AI42+(-AK42/2)*COS(RADIANS(Calculations!D90))+(-AL42/2)*SIN(RADIANS(Calculations!D90)),"")</f>
        <v/>
      </c>
      <c r="AB42" s="25" t="str">
        <f>IFERROR(AJ42+(-AK42/2)*SIN(RADIANS(Calculations!D90))+(AL42/2)*COS(RADIANS(Calculations!D90)),"")</f>
        <v/>
      </c>
      <c r="AC42" s="25" t="str">
        <f>IFERROR($AI42+(AK42/2)*COS(RADIANS(Calculations!D90))+(-AL42/2)*SIN(RADIANS(Calculations!D90)),"")</f>
        <v/>
      </c>
      <c r="AD42" s="25" t="str">
        <f>IFERROR(AJ42+(AK42/2)*SIN(RADIANS(Calculations!D90))+(AL42/2)*COS(RADIANS(Calculations!D90)),"")</f>
        <v/>
      </c>
      <c r="AE42" s="65" t="str">
        <f>IFERROR($AI42+(AK42/2)*COS(RADIANS(Calculations!D90))+(AL42/2)*SIN(RADIANS(Calculations!D90)),"")</f>
        <v/>
      </c>
      <c r="AF42" s="65" t="str">
        <f>IFERROR(AJ42+(AK42/2)*SIN(RADIANS(Calculations!D90))+(-AL42/2)*COS(RADIANS(Calculations!D90)),"")</f>
        <v/>
      </c>
      <c r="AG42" s="65" t="str">
        <f>IFERROR($AI42+(-AK42/2)*COS(RADIANS(Calculations!D90))+(AL42/2)*SIN(RADIANS(Calculations!D90)),"")</f>
        <v/>
      </c>
      <c r="AH42" s="65" t="str">
        <f>IFERROR(AJ42+(-AK42/2)*SIN(RADIANS(Calculations!D90))+(-AL42/2)*COS(RADIANS(Calculations!D90)),"")</f>
        <v/>
      </c>
      <c r="AI42" s="66" t="str">
        <f>IFERROR((IF(VLOOKUP(Calculations!BQ90,Input!$B$21:$AL$50,19+Calculations!C90,FALSE)="c",Calculations!$D$20/COS(RADIANS(180/$P$7)),Calculations!$D$20)+Calculations!BU90-(Calculations!BU90-Calculations!DI90)/2)*COS(RADIANS(Calculations!D90))+IF(AND(ISNUMBER(VLOOKUP(Calculations!BQ90,Input!$B$21:$AL$50,19+Calculations!C90,FALSE)),$P$7&lt;&gt;0),VLOOKUP(Calculations!BQ90,Input!$B$21:$AL$50,19+Calculations!C90,FALSE)*SIN(RADIANS(Calculations!D90)),0),"")</f>
        <v/>
      </c>
      <c r="AJ42" s="65" t="str">
        <f>IFERROR((IF(VLOOKUP(Calculations!BQ90,Input!$B$21:$AL$50,19+Calculations!C90,FALSE)="c",Calculations!$D$20/COS(RADIANS(180/Calculations!$D$8)),Calculations!$D$20)+Calculations!BU90-(Calculations!BU90-Calculations!DI90)/2)*SIN(RADIANS(Calculations!D90))-IF(AND(ISNUMBER(VLOOKUP(Calculations!BQ90,Input!$B$21:$AL$50,19+Calculations!C90,FALSE)),Calculations!$D$8&lt;&gt;0),VLOOKUP(Calculations!BQ90,Input!$B$21:$AL$50,19+Calculations!C90,FALSE)*COS(RADIANS(Calculations!D90)),0)-Calculations!$D$35,"")</f>
        <v/>
      </c>
      <c r="AK42" s="65" t="e">
        <f>Calculations!BU90-Calculations!DI90</f>
        <v>#N/A</v>
      </c>
      <c r="AL42" s="65" t="e">
        <f>Calculations!BT90-2*Calculations!DL90</f>
        <v>#N/A</v>
      </c>
      <c r="AM42" s="65" t="str">
        <f>IF(P42="solid round",Calculations!BT90,"")</f>
        <v/>
      </c>
    </row>
    <row r="43" spans="15:39" x14ac:dyDescent="0.2">
      <c r="O43" s="25">
        <v>31</v>
      </c>
      <c r="P43" s="66" t="str">
        <f>IFERROR(Calculations!BS91,"")</f>
        <v/>
      </c>
      <c r="Q43" s="25" t="str">
        <f>IFERROR((IF(VLOOKUP(Calculations!BQ91,Input!$B$21:$AL$50,19+Calculations!C91,FALSE)="c",Calculations!$D$20/COS(RADIANS(180/$P$7)),Calculations!$D$20)+Calculations!CA91+IF(P43="channel",Calculations!BU91/2-Calculations!DM91,0))*COS(RADIANS(Calculations!D91))+IF(AND(ISNUMBER(VLOOKUP(Calculations!BQ91,Input!$B$21:$AL$50,19+Calculations!C91,FALSE)),$P$7&lt;&gt;0),VLOOKUP(Calculations!BQ91,Input!$B$21:$AL$50,19+Calculations!C91,FALSE)*SIN(RADIANS(Calculations!D91)),0),"")</f>
        <v/>
      </c>
      <c r="R43" s="25" t="str">
        <f>Calculations!N91</f>
        <v/>
      </c>
      <c r="S43" s="25" t="str">
        <f>IFERROR($Q43+(-IF($P43="channel",Calculations!BU91,Calculations!BX91)/2)*COS(RADIANS(Calculations!D91))+(-IF($P43="channel",Calculations!BT91,Calculations!BW91)/2)*SIN(RADIANS(Calculations!D91)),"")</f>
        <v/>
      </c>
      <c r="T43" s="25" t="str">
        <f>IF(P43="channel",Calculations!S91,Calculations!O91)</f>
        <v/>
      </c>
      <c r="U43" s="25" t="str">
        <f>IFERROR($Q43+(IF($P43="channel",Calculations!BU91,Calculations!BX91)/2)*COS(RADIANS(Calculations!D91))+(-IF($P43="channel",Calculations!BT91,Calculations!BW91)/2)*SIN(RADIANS(Calculations!D91)),"")</f>
        <v/>
      </c>
      <c r="V43" s="25" t="str">
        <f>IF(P43="channel",Calculations!T91,Calculations!P91)</f>
        <v/>
      </c>
      <c r="W43" s="25" t="str">
        <f>IFERROR($Q43+(IF($P43="channel",Calculations!BU91,Calculations!BX91)/2)*COS(RADIANS(Calculations!D91))+(IF($P43="channel",Calculations!BT91,Calculations!BW91)/2)*SIN(RADIANS(Calculations!D91)),"")</f>
        <v/>
      </c>
      <c r="X43" s="25" t="str">
        <f>IF(P43="channel",Calculations!U91,Calculations!Q91)</f>
        <v/>
      </c>
      <c r="Y43" s="25" t="str">
        <f>IFERROR($Q43+(-IF($P43="channel",Calculations!BU91,Calculations!BX91)/2)*COS(RADIANS(Calculations!D91))+(IF($P43="channel",Calculations!BT91,Calculations!BW91)/2)*SIN(RADIANS(Calculations!D91)),"")</f>
        <v/>
      </c>
      <c r="Z43" s="25" t="str">
        <f>IF(P43="channel",Calculations!V91,Calculations!R91)</f>
        <v/>
      </c>
      <c r="AA43" s="25" t="str">
        <f>IFERROR($AI43+(-AK43/2)*COS(RADIANS(Calculations!D91))+(-AL43/2)*SIN(RADIANS(Calculations!D91)),"")</f>
        <v/>
      </c>
      <c r="AB43" s="25" t="str">
        <f>IFERROR(AJ43+(-AK43/2)*SIN(RADIANS(Calculations!D91))+(AL43/2)*COS(RADIANS(Calculations!D91)),"")</f>
        <v/>
      </c>
      <c r="AC43" s="25" t="str">
        <f>IFERROR($AI43+(AK43/2)*COS(RADIANS(Calculations!D91))+(-AL43/2)*SIN(RADIANS(Calculations!D91)),"")</f>
        <v/>
      </c>
      <c r="AD43" s="25" t="str">
        <f>IFERROR(AJ43+(AK43/2)*SIN(RADIANS(Calculations!D91))+(AL43/2)*COS(RADIANS(Calculations!D91)),"")</f>
        <v/>
      </c>
      <c r="AE43" s="65" t="str">
        <f>IFERROR($AI43+(AK43/2)*COS(RADIANS(Calculations!D91))+(AL43/2)*SIN(RADIANS(Calculations!D91)),"")</f>
        <v/>
      </c>
      <c r="AF43" s="65" t="str">
        <f>IFERROR(AJ43+(AK43/2)*SIN(RADIANS(Calculations!D91))+(-AL43/2)*COS(RADIANS(Calculations!D91)),"")</f>
        <v/>
      </c>
      <c r="AG43" s="65" t="str">
        <f>IFERROR($AI43+(-AK43/2)*COS(RADIANS(Calculations!D91))+(AL43/2)*SIN(RADIANS(Calculations!D91)),"")</f>
        <v/>
      </c>
      <c r="AH43" s="65" t="str">
        <f>IFERROR(AJ43+(-AK43/2)*SIN(RADIANS(Calculations!D91))+(-AL43/2)*COS(RADIANS(Calculations!D91)),"")</f>
        <v/>
      </c>
      <c r="AI43" s="66" t="str">
        <f>IFERROR((IF(VLOOKUP(Calculations!BQ91,Input!$B$21:$AL$50,19+Calculations!C91,FALSE)="c",Calculations!$D$20/COS(RADIANS(180/$P$7)),Calculations!$D$20)+Calculations!BU91-(Calculations!BU91-Calculations!DI91)/2)*COS(RADIANS(Calculations!D91))+IF(AND(ISNUMBER(VLOOKUP(Calculations!BQ91,Input!$B$21:$AL$50,19+Calculations!C91,FALSE)),$P$7&lt;&gt;0),VLOOKUP(Calculations!BQ91,Input!$B$21:$AL$50,19+Calculations!C91,FALSE)*SIN(RADIANS(Calculations!D91)),0),"")</f>
        <v/>
      </c>
      <c r="AJ43" s="65" t="str">
        <f>IFERROR((IF(VLOOKUP(Calculations!BQ91,Input!$B$21:$AL$50,19+Calculations!C91,FALSE)="c",Calculations!$D$20/COS(RADIANS(180/Calculations!$D$8)),Calculations!$D$20)+Calculations!BU91-(Calculations!BU91-Calculations!DI91)/2)*SIN(RADIANS(Calculations!D91))-IF(AND(ISNUMBER(VLOOKUP(Calculations!BQ91,Input!$B$21:$AL$50,19+Calculations!C91,FALSE)),Calculations!$D$8&lt;&gt;0),VLOOKUP(Calculations!BQ91,Input!$B$21:$AL$50,19+Calculations!C91,FALSE)*COS(RADIANS(Calculations!D91)),0)-Calculations!$D$35,"")</f>
        <v/>
      </c>
      <c r="AK43" s="65" t="e">
        <f>Calculations!BU91-Calculations!DI91</f>
        <v>#N/A</v>
      </c>
      <c r="AL43" s="65" t="e">
        <f>Calculations!BT91-2*Calculations!DL91</f>
        <v>#N/A</v>
      </c>
      <c r="AM43" s="65" t="str">
        <f>IF(P43="solid round",Calculations!BT91,"")</f>
        <v/>
      </c>
    </row>
    <row r="44" spans="15:39" x14ac:dyDescent="0.2">
      <c r="O44" s="25">
        <v>32</v>
      </c>
      <c r="P44" s="66" t="str">
        <f>IFERROR(Calculations!BS92,"")</f>
        <v/>
      </c>
      <c r="Q44" s="25" t="str">
        <f>IFERROR((IF(VLOOKUP(Calculations!BQ92,Input!$B$21:$AL$50,19+Calculations!C92,FALSE)="c",Calculations!$D$20/COS(RADIANS(180/$P$7)),Calculations!$D$20)+Calculations!CA92+IF(P44="channel",Calculations!BU92/2-Calculations!DM92,0))*COS(RADIANS(Calculations!D92))+IF(AND(ISNUMBER(VLOOKUP(Calculations!BQ92,Input!$B$21:$AL$50,19+Calculations!C92,FALSE)),$P$7&lt;&gt;0),VLOOKUP(Calculations!BQ92,Input!$B$21:$AL$50,19+Calculations!C92,FALSE)*SIN(RADIANS(Calculations!D92)),0),"")</f>
        <v/>
      </c>
      <c r="R44" s="25" t="str">
        <f>Calculations!N92</f>
        <v/>
      </c>
      <c r="S44" s="25" t="str">
        <f>IFERROR($Q44+(-IF($P44="channel",Calculations!BU92,Calculations!BX92)/2)*COS(RADIANS(Calculations!D92))+(-IF($P44="channel",Calculations!BT92,Calculations!BW92)/2)*SIN(RADIANS(Calculations!D92)),"")</f>
        <v/>
      </c>
      <c r="T44" s="25" t="str">
        <f>IF(P44="channel",Calculations!S92,Calculations!O92)</f>
        <v/>
      </c>
      <c r="U44" s="25" t="str">
        <f>IFERROR($Q44+(IF($P44="channel",Calculations!BU92,Calculations!BX92)/2)*COS(RADIANS(Calculations!D92))+(-IF($P44="channel",Calculations!BT92,Calculations!BW92)/2)*SIN(RADIANS(Calculations!D92)),"")</f>
        <v/>
      </c>
      <c r="V44" s="25" t="str">
        <f>IF(P44="channel",Calculations!T92,Calculations!P92)</f>
        <v/>
      </c>
      <c r="W44" s="25" t="str">
        <f>IFERROR($Q44+(IF($P44="channel",Calculations!BU92,Calculations!BX92)/2)*COS(RADIANS(Calculations!D92))+(IF($P44="channel",Calculations!BT92,Calculations!BW92)/2)*SIN(RADIANS(Calculations!D92)),"")</f>
        <v/>
      </c>
      <c r="X44" s="25" t="str">
        <f>IF(P44="channel",Calculations!U92,Calculations!Q92)</f>
        <v/>
      </c>
      <c r="Y44" s="25" t="str">
        <f>IFERROR($Q44+(-IF($P44="channel",Calculations!BU92,Calculations!BX92)/2)*COS(RADIANS(Calculations!D92))+(IF($P44="channel",Calculations!BT92,Calculations!BW92)/2)*SIN(RADIANS(Calculations!D92)),"")</f>
        <v/>
      </c>
      <c r="Z44" s="25" t="str">
        <f>IF(P44="channel",Calculations!V92,Calculations!R92)</f>
        <v/>
      </c>
      <c r="AA44" s="25" t="str">
        <f>IFERROR($AI44+(-AK44/2)*COS(RADIANS(Calculations!D92))+(-AL44/2)*SIN(RADIANS(Calculations!D92)),"")</f>
        <v/>
      </c>
      <c r="AB44" s="25" t="str">
        <f>IFERROR(AJ44+(-AK44/2)*SIN(RADIANS(Calculations!D92))+(AL44/2)*COS(RADIANS(Calculations!D92)),"")</f>
        <v/>
      </c>
      <c r="AC44" s="25" t="str">
        <f>IFERROR($AI44+(AK44/2)*COS(RADIANS(Calculations!D92))+(-AL44/2)*SIN(RADIANS(Calculations!D92)),"")</f>
        <v/>
      </c>
      <c r="AD44" s="25" t="str">
        <f>IFERROR(AJ44+(AK44/2)*SIN(RADIANS(Calculations!D92))+(AL44/2)*COS(RADIANS(Calculations!D92)),"")</f>
        <v/>
      </c>
      <c r="AE44" s="65" t="str">
        <f>IFERROR($AI44+(AK44/2)*COS(RADIANS(Calculations!D92))+(AL44/2)*SIN(RADIANS(Calculations!D92)),"")</f>
        <v/>
      </c>
      <c r="AF44" s="65" t="str">
        <f>IFERROR(AJ44+(AK44/2)*SIN(RADIANS(Calculations!D92))+(-AL44/2)*COS(RADIANS(Calculations!D92)),"")</f>
        <v/>
      </c>
      <c r="AG44" s="65" t="str">
        <f>IFERROR($AI44+(-AK44/2)*COS(RADIANS(Calculations!D92))+(AL44/2)*SIN(RADIANS(Calculations!D92)),"")</f>
        <v/>
      </c>
      <c r="AH44" s="65" t="str">
        <f>IFERROR(AJ44+(-AK44/2)*SIN(RADIANS(Calculations!D92))+(-AL44/2)*COS(RADIANS(Calculations!D92)),"")</f>
        <v/>
      </c>
      <c r="AI44" s="66" t="str">
        <f>IFERROR((IF(VLOOKUP(Calculations!BQ92,Input!$B$21:$AL$50,19+Calculations!C92,FALSE)="c",Calculations!$D$20/COS(RADIANS(180/$P$7)),Calculations!$D$20)+Calculations!BU92-(Calculations!BU92-Calculations!DI92)/2)*COS(RADIANS(Calculations!D92))+IF(AND(ISNUMBER(VLOOKUP(Calculations!BQ92,Input!$B$21:$AL$50,19+Calculations!C92,FALSE)),$P$7&lt;&gt;0),VLOOKUP(Calculations!BQ92,Input!$B$21:$AL$50,19+Calculations!C92,FALSE)*SIN(RADIANS(Calculations!D92)),0),"")</f>
        <v/>
      </c>
      <c r="AJ44" s="65" t="str">
        <f>IFERROR((IF(VLOOKUP(Calculations!BQ92,Input!$B$21:$AL$50,19+Calculations!C92,FALSE)="c",Calculations!$D$20/COS(RADIANS(180/Calculations!$D$8)),Calculations!$D$20)+Calculations!BU92-(Calculations!BU92-Calculations!DI92)/2)*SIN(RADIANS(Calculations!D92))-IF(AND(ISNUMBER(VLOOKUP(Calculations!BQ92,Input!$B$21:$AL$50,19+Calculations!C92,FALSE)),Calculations!$D$8&lt;&gt;0),VLOOKUP(Calculations!BQ92,Input!$B$21:$AL$50,19+Calculations!C92,FALSE)*COS(RADIANS(Calculations!D92)),0)-Calculations!$D$35,"")</f>
        <v/>
      </c>
      <c r="AK44" s="65" t="e">
        <f>Calculations!BU92-Calculations!DI92</f>
        <v>#N/A</v>
      </c>
      <c r="AL44" s="65" t="e">
        <f>Calculations!BT92-2*Calculations!DL92</f>
        <v>#N/A</v>
      </c>
      <c r="AM44" s="65" t="str">
        <f>IF(P44="solid round",Calculations!BT92,"")</f>
        <v/>
      </c>
    </row>
    <row r="45" spans="15:39" x14ac:dyDescent="0.2">
      <c r="O45" s="25">
        <v>33</v>
      </c>
      <c r="P45" s="66" t="str">
        <f>IFERROR(Calculations!BS93,"")</f>
        <v/>
      </c>
      <c r="Q45" s="25" t="str">
        <f>IFERROR((IF(VLOOKUP(Calculations!BQ93,Input!$B$21:$AL$50,19+Calculations!C93,FALSE)="c",Calculations!$D$20/COS(RADIANS(180/$P$7)),Calculations!$D$20)+Calculations!CA93+IF(P45="channel",Calculations!BU93/2-Calculations!DM93,0))*COS(RADIANS(Calculations!D93))+IF(AND(ISNUMBER(VLOOKUP(Calculations!BQ93,Input!$B$21:$AL$50,19+Calculations!C93,FALSE)),$P$7&lt;&gt;0),VLOOKUP(Calculations!BQ93,Input!$B$21:$AL$50,19+Calculations!C93,FALSE)*SIN(RADIANS(Calculations!D93)),0),"")</f>
        <v/>
      </c>
      <c r="R45" s="25" t="str">
        <f>Calculations!N93</f>
        <v/>
      </c>
      <c r="S45" s="25" t="str">
        <f>IFERROR($Q45+(-IF($P45="channel",Calculations!BU93,Calculations!BX93)/2)*COS(RADIANS(Calculations!D93))+(-IF($P45="channel",Calculations!BT93,Calculations!BW93)/2)*SIN(RADIANS(Calculations!D93)),"")</f>
        <v/>
      </c>
      <c r="T45" s="25" t="str">
        <f>IF(P45="channel",Calculations!S93,Calculations!O93)</f>
        <v/>
      </c>
      <c r="U45" s="25" t="str">
        <f>IFERROR($Q45+(IF($P45="channel",Calculations!BU93,Calculations!BX93)/2)*COS(RADIANS(Calculations!D93))+(-IF($P45="channel",Calculations!BT93,Calculations!BW93)/2)*SIN(RADIANS(Calculations!D93)),"")</f>
        <v/>
      </c>
      <c r="V45" s="25" t="str">
        <f>IF(P45="channel",Calculations!T93,Calculations!P93)</f>
        <v/>
      </c>
      <c r="W45" s="25" t="str">
        <f>IFERROR($Q45+(IF($P45="channel",Calculations!BU93,Calculations!BX93)/2)*COS(RADIANS(Calculations!D93))+(IF($P45="channel",Calculations!BT93,Calculations!BW93)/2)*SIN(RADIANS(Calculations!D93)),"")</f>
        <v/>
      </c>
      <c r="X45" s="25" t="str">
        <f>IF(P45="channel",Calculations!U93,Calculations!Q93)</f>
        <v/>
      </c>
      <c r="Y45" s="25" t="str">
        <f>IFERROR($Q45+(-IF($P45="channel",Calculations!BU93,Calculations!BX93)/2)*COS(RADIANS(Calculations!D93))+(IF($P45="channel",Calculations!BT93,Calculations!BW93)/2)*SIN(RADIANS(Calculations!D93)),"")</f>
        <v/>
      </c>
      <c r="Z45" s="25" t="str">
        <f>IF(P45="channel",Calculations!V93,Calculations!R93)</f>
        <v/>
      </c>
      <c r="AA45" s="25" t="str">
        <f>IFERROR($AI45+(-AK45/2)*COS(RADIANS(Calculations!D93))+(-AL45/2)*SIN(RADIANS(Calculations!D93)),"")</f>
        <v/>
      </c>
      <c r="AB45" s="25" t="str">
        <f>IFERROR(AJ45+(-AK45/2)*SIN(RADIANS(Calculations!D93))+(AL45/2)*COS(RADIANS(Calculations!D93)),"")</f>
        <v/>
      </c>
      <c r="AC45" s="25" t="str">
        <f>IFERROR($AI45+(AK45/2)*COS(RADIANS(Calculations!D93))+(-AL45/2)*SIN(RADIANS(Calculations!D93)),"")</f>
        <v/>
      </c>
      <c r="AD45" s="25" t="str">
        <f>IFERROR(AJ45+(AK45/2)*SIN(RADIANS(Calculations!D93))+(AL45/2)*COS(RADIANS(Calculations!D93)),"")</f>
        <v/>
      </c>
      <c r="AE45" s="65" t="str">
        <f>IFERROR($AI45+(AK45/2)*COS(RADIANS(Calculations!D93))+(AL45/2)*SIN(RADIANS(Calculations!D93)),"")</f>
        <v/>
      </c>
      <c r="AF45" s="65" t="str">
        <f>IFERROR(AJ45+(AK45/2)*SIN(RADIANS(Calculations!D93))+(-AL45/2)*COS(RADIANS(Calculations!D93)),"")</f>
        <v/>
      </c>
      <c r="AG45" s="65" t="str">
        <f>IFERROR($AI45+(-AK45/2)*COS(RADIANS(Calculations!D93))+(AL45/2)*SIN(RADIANS(Calculations!D93)),"")</f>
        <v/>
      </c>
      <c r="AH45" s="65" t="str">
        <f>IFERROR(AJ45+(-AK45/2)*SIN(RADIANS(Calculations!D93))+(-AL45/2)*COS(RADIANS(Calculations!D93)),"")</f>
        <v/>
      </c>
      <c r="AI45" s="66" t="str">
        <f>IFERROR((IF(VLOOKUP(Calculations!BQ93,Input!$B$21:$AL$50,19+Calculations!C93,FALSE)="c",Calculations!$D$20/COS(RADIANS(180/$P$7)),Calculations!$D$20)+Calculations!BU93-(Calculations!BU93-Calculations!DI93)/2)*COS(RADIANS(Calculations!D93))+IF(AND(ISNUMBER(VLOOKUP(Calculations!BQ93,Input!$B$21:$AL$50,19+Calculations!C93,FALSE)),$P$7&lt;&gt;0),VLOOKUP(Calculations!BQ93,Input!$B$21:$AL$50,19+Calculations!C93,FALSE)*SIN(RADIANS(Calculations!D93)),0),"")</f>
        <v/>
      </c>
      <c r="AJ45" s="65" t="str">
        <f>IFERROR((IF(VLOOKUP(Calculations!BQ93,Input!$B$21:$AL$50,19+Calculations!C93,FALSE)="c",Calculations!$D$20/COS(RADIANS(180/Calculations!$D$8)),Calculations!$D$20)+Calculations!BU93-(Calculations!BU93-Calculations!DI93)/2)*SIN(RADIANS(Calculations!D93))-IF(AND(ISNUMBER(VLOOKUP(Calculations!BQ93,Input!$B$21:$AL$50,19+Calculations!C93,FALSE)),Calculations!$D$8&lt;&gt;0),VLOOKUP(Calculations!BQ93,Input!$B$21:$AL$50,19+Calculations!C93,FALSE)*COS(RADIANS(Calculations!D93)),0)-Calculations!$D$35,"")</f>
        <v/>
      </c>
      <c r="AK45" s="65" t="e">
        <f>Calculations!BU93-Calculations!DI93</f>
        <v>#N/A</v>
      </c>
      <c r="AL45" s="65" t="e">
        <f>Calculations!BT93-2*Calculations!DL93</f>
        <v>#N/A</v>
      </c>
      <c r="AM45" s="65" t="str">
        <f>IF(P45="solid round",Calculations!BT93,"")</f>
        <v/>
      </c>
    </row>
    <row r="46" spans="15:39" x14ac:dyDescent="0.2">
      <c r="O46" s="25">
        <v>34</v>
      </c>
      <c r="P46" s="66" t="str">
        <f>IFERROR(Calculations!BS94,"")</f>
        <v/>
      </c>
      <c r="Q46" s="25" t="str">
        <f>IFERROR((IF(VLOOKUP(Calculations!BQ94,Input!$B$21:$AL$50,19+Calculations!C94,FALSE)="c",Calculations!$D$20/COS(RADIANS(180/$P$7)),Calculations!$D$20)+Calculations!CA94+IF(P46="channel",Calculations!BU94/2-Calculations!DM94,0))*COS(RADIANS(Calculations!D94))+IF(AND(ISNUMBER(VLOOKUP(Calculations!BQ94,Input!$B$21:$AL$50,19+Calculations!C94,FALSE)),$P$7&lt;&gt;0),VLOOKUP(Calculations!BQ94,Input!$B$21:$AL$50,19+Calculations!C94,FALSE)*SIN(RADIANS(Calculations!D94)),0),"")</f>
        <v/>
      </c>
      <c r="R46" s="25" t="str">
        <f>Calculations!N94</f>
        <v/>
      </c>
      <c r="S46" s="25" t="str">
        <f>IFERROR($Q46+(-IF($P46="channel",Calculations!BU94,Calculations!BX94)/2)*COS(RADIANS(Calculations!D94))+(-IF($P46="channel",Calculations!BT94,Calculations!BW94)/2)*SIN(RADIANS(Calculations!D94)),"")</f>
        <v/>
      </c>
      <c r="T46" s="25" t="str">
        <f>IF(P46="channel",Calculations!S94,Calculations!O94)</f>
        <v/>
      </c>
      <c r="U46" s="25" t="str">
        <f>IFERROR($Q46+(IF($P46="channel",Calculations!BU94,Calculations!BX94)/2)*COS(RADIANS(Calculations!D94))+(-IF($P46="channel",Calculations!BT94,Calculations!BW94)/2)*SIN(RADIANS(Calculations!D94)),"")</f>
        <v/>
      </c>
      <c r="V46" s="25" t="str">
        <f>IF(P46="channel",Calculations!T94,Calculations!P94)</f>
        <v/>
      </c>
      <c r="W46" s="25" t="str">
        <f>IFERROR($Q46+(IF($P46="channel",Calculations!BU94,Calculations!BX94)/2)*COS(RADIANS(Calculations!D94))+(IF($P46="channel",Calculations!BT94,Calculations!BW94)/2)*SIN(RADIANS(Calculations!D94)),"")</f>
        <v/>
      </c>
      <c r="X46" s="25" t="str">
        <f>IF(P46="channel",Calculations!U94,Calculations!Q94)</f>
        <v/>
      </c>
      <c r="Y46" s="25" t="str">
        <f>IFERROR($Q46+(-IF($P46="channel",Calculations!BU94,Calculations!BX94)/2)*COS(RADIANS(Calculations!D94))+(IF($P46="channel",Calculations!BT94,Calculations!BW94)/2)*SIN(RADIANS(Calculations!D94)),"")</f>
        <v/>
      </c>
      <c r="Z46" s="25" t="str">
        <f>IF(P46="channel",Calculations!V94,Calculations!R94)</f>
        <v/>
      </c>
      <c r="AA46" s="25" t="str">
        <f>IFERROR($AI46+(-AK46/2)*COS(RADIANS(Calculations!D94))+(-AL46/2)*SIN(RADIANS(Calculations!D94)),"")</f>
        <v/>
      </c>
      <c r="AB46" s="25" t="str">
        <f>IFERROR(AJ46+(-AK46/2)*SIN(RADIANS(Calculations!D94))+(AL46/2)*COS(RADIANS(Calculations!D94)),"")</f>
        <v/>
      </c>
      <c r="AC46" s="25" t="str">
        <f>IFERROR($AI46+(AK46/2)*COS(RADIANS(Calculations!D94))+(-AL46/2)*SIN(RADIANS(Calculations!D94)),"")</f>
        <v/>
      </c>
      <c r="AD46" s="25" t="str">
        <f>IFERROR(AJ46+(AK46/2)*SIN(RADIANS(Calculations!D94))+(AL46/2)*COS(RADIANS(Calculations!D94)),"")</f>
        <v/>
      </c>
      <c r="AE46" s="65" t="str">
        <f>IFERROR($AI46+(AK46/2)*COS(RADIANS(Calculations!D94))+(AL46/2)*SIN(RADIANS(Calculations!D94)),"")</f>
        <v/>
      </c>
      <c r="AF46" s="65" t="str">
        <f>IFERROR(AJ46+(AK46/2)*SIN(RADIANS(Calculations!D94))+(-AL46/2)*COS(RADIANS(Calculations!D94)),"")</f>
        <v/>
      </c>
      <c r="AG46" s="65" t="str">
        <f>IFERROR($AI46+(-AK46/2)*COS(RADIANS(Calculations!D94))+(AL46/2)*SIN(RADIANS(Calculations!D94)),"")</f>
        <v/>
      </c>
      <c r="AH46" s="65" t="str">
        <f>IFERROR(AJ46+(-AK46/2)*SIN(RADIANS(Calculations!D94))+(-AL46/2)*COS(RADIANS(Calculations!D94)),"")</f>
        <v/>
      </c>
      <c r="AI46" s="66" t="str">
        <f>IFERROR((IF(VLOOKUP(Calculations!BQ94,Input!$B$21:$AL$50,19+Calculations!C94,FALSE)="c",Calculations!$D$20/COS(RADIANS(180/$P$7)),Calculations!$D$20)+Calculations!BU94-(Calculations!BU94-Calculations!DI94)/2)*COS(RADIANS(Calculations!D94))+IF(AND(ISNUMBER(VLOOKUP(Calculations!BQ94,Input!$B$21:$AL$50,19+Calculations!C94,FALSE)),$P$7&lt;&gt;0),VLOOKUP(Calculations!BQ94,Input!$B$21:$AL$50,19+Calculations!C94,FALSE)*SIN(RADIANS(Calculations!D94)),0),"")</f>
        <v/>
      </c>
      <c r="AJ46" s="65" t="str">
        <f>IFERROR((IF(VLOOKUP(Calculations!BQ94,Input!$B$21:$AL$50,19+Calculations!C94,FALSE)="c",Calculations!$D$20/COS(RADIANS(180/Calculations!$D$8)),Calculations!$D$20)+Calculations!BU94-(Calculations!BU94-Calculations!DI94)/2)*SIN(RADIANS(Calculations!D94))-IF(AND(ISNUMBER(VLOOKUP(Calculations!BQ94,Input!$B$21:$AL$50,19+Calculations!C94,FALSE)),Calculations!$D$8&lt;&gt;0),VLOOKUP(Calculations!BQ94,Input!$B$21:$AL$50,19+Calculations!C94,FALSE)*COS(RADIANS(Calculations!D94)),0)-Calculations!$D$35,"")</f>
        <v/>
      </c>
      <c r="AK46" s="65" t="e">
        <f>Calculations!BU94-Calculations!DI94</f>
        <v>#N/A</v>
      </c>
      <c r="AL46" s="65" t="e">
        <f>Calculations!BT94-2*Calculations!DL94</f>
        <v>#N/A</v>
      </c>
      <c r="AM46" s="65" t="str">
        <f>IF(P46="solid round",Calculations!BT94,"")</f>
        <v/>
      </c>
    </row>
    <row r="47" spans="15:39" x14ac:dyDescent="0.2">
      <c r="O47" s="25">
        <v>35</v>
      </c>
      <c r="P47" s="66" t="str">
        <f>IFERROR(Calculations!BS95,"")</f>
        <v/>
      </c>
      <c r="Q47" s="25" t="str">
        <f>IFERROR((IF(VLOOKUP(Calculations!BQ95,Input!$B$21:$AL$50,19+Calculations!C95,FALSE)="c",Calculations!$D$20/COS(RADIANS(180/$P$7)),Calculations!$D$20)+Calculations!CA95+IF(P47="channel",Calculations!BU95/2-Calculations!DM95,0))*COS(RADIANS(Calculations!D95))+IF(AND(ISNUMBER(VLOOKUP(Calculations!BQ95,Input!$B$21:$AL$50,19+Calculations!C95,FALSE)),$P$7&lt;&gt;0),VLOOKUP(Calculations!BQ95,Input!$B$21:$AL$50,19+Calculations!C95,FALSE)*SIN(RADIANS(Calculations!D95)),0),"")</f>
        <v/>
      </c>
      <c r="R47" s="25" t="str">
        <f>Calculations!N95</f>
        <v/>
      </c>
      <c r="S47" s="25" t="str">
        <f>IFERROR($Q47+(-IF($P47="channel",Calculations!BU95,Calculations!BX95)/2)*COS(RADIANS(Calculations!D95))+(-IF($P47="channel",Calculations!BT95,Calculations!BW95)/2)*SIN(RADIANS(Calculations!D95)),"")</f>
        <v/>
      </c>
      <c r="T47" s="25" t="str">
        <f>IF(P47="channel",Calculations!S95,Calculations!O95)</f>
        <v/>
      </c>
      <c r="U47" s="25" t="str">
        <f>IFERROR($Q47+(IF($P47="channel",Calculations!BU95,Calculations!BX95)/2)*COS(RADIANS(Calculations!D95))+(-IF($P47="channel",Calculations!BT95,Calculations!BW95)/2)*SIN(RADIANS(Calculations!D95)),"")</f>
        <v/>
      </c>
      <c r="V47" s="25" t="str">
        <f>IF(P47="channel",Calculations!T95,Calculations!P95)</f>
        <v/>
      </c>
      <c r="W47" s="25" t="str">
        <f>IFERROR($Q47+(IF($P47="channel",Calculations!BU95,Calculations!BX95)/2)*COS(RADIANS(Calculations!D95))+(IF($P47="channel",Calculations!BT95,Calculations!BW95)/2)*SIN(RADIANS(Calculations!D95)),"")</f>
        <v/>
      </c>
      <c r="X47" s="25" t="str">
        <f>IF(P47="channel",Calculations!U95,Calculations!Q95)</f>
        <v/>
      </c>
      <c r="Y47" s="25" t="str">
        <f>IFERROR($Q47+(-IF($P47="channel",Calculations!BU95,Calculations!BX95)/2)*COS(RADIANS(Calculations!D95))+(IF($P47="channel",Calculations!BT95,Calculations!BW95)/2)*SIN(RADIANS(Calculations!D95)),"")</f>
        <v/>
      </c>
      <c r="Z47" s="25" t="str">
        <f>IF(P47="channel",Calculations!V95,Calculations!R95)</f>
        <v/>
      </c>
      <c r="AA47" s="25" t="str">
        <f>IFERROR($AI47+(-AK47/2)*COS(RADIANS(Calculations!D95))+(-AL47/2)*SIN(RADIANS(Calculations!D95)),"")</f>
        <v/>
      </c>
      <c r="AB47" s="25" t="str">
        <f>IFERROR(AJ47+(-AK47/2)*SIN(RADIANS(Calculations!D95))+(AL47/2)*COS(RADIANS(Calculations!D95)),"")</f>
        <v/>
      </c>
      <c r="AC47" s="25" t="str">
        <f>IFERROR($AI47+(AK47/2)*COS(RADIANS(Calculations!D95))+(-AL47/2)*SIN(RADIANS(Calculations!D95)),"")</f>
        <v/>
      </c>
      <c r="AD47" s="25" t="str">
        <f>IFERROR(AJ47+(AK47/2)*SIN(RADIANS(Calculations!D95))+(AL47/2)*COS(RADIANS(Calculations!D95)),"")</f>
        <v/>
      </c>
      <c r="AE47" s="65" t="str">
        <f>IFERROR($AI47+(AK47/2)*COS(RADIANS(Calculations!D95))+(AL47/2)*SIN(RADIANS(Calculations!D95)),"")</f>
        <v/>
      </c>
      <c r="AF47" s="65" t="str">
        <f>IFERROR(AJ47+(AK47/2)*SIN(RADIANS(Calculations!D95))+(-AL47/2)*COS(RADIANS(Calculations!D95)),"")</f>
        <v/>
      </c>
      <c r="AG47" s="65" t="str">
        <f>IFERROR($AI47+(-AK47/2)*COS(RADIANS(Calculations!D95))+(AL47/2)*SIN(RADIANS(Calculations!D95)),"")</f>
        <v/>
      </c>
      <c r="AH47" s="65" t="str">
        <f>IFERROR(AJ47+(-AK47/2)*SIN(RADIANS(Calculations!D95))+(-AL47/2)*COS(RADIANS(Calculations!D95)),"")</f>
        <v/>
      </c>
      <c r="AI47" s="66" t="str">
        <f>IFERROR((IF(VLOOKUP(Calculations!BQ95,Input!$B$21:$AL$50,19+Calculations!C95,FALSE)="c",Calculations!$D$20/COS(RADIANS(180/$P$7)),Calculations!$D$20)+Calculations!BU95-(Calculations!BU95-Calculations!DI95)/2)*COS(RADIANS(Calculations!D95))+IF(AND(ISNUMBER(VLOOKUP(Calculations!BQ95,Input!$B$21:$AL$50,19+Calculations!C95,FALSE)),$P$7&lt;&gt;0),VLOOKUP(Calculations!BQ95,Input!$B$21:$AL$50,19+Calculations!C95,FALSE)*SIN(RADIANS(Calculations!D95)),0),"")</f>
        <v/>
      </c>
      <c r="AJ47" s="65" t="str">
        <f>IFERROR((IF(VLOOKUP(Calculations!BQ95,Input!$B$21:$AL$50,19+Calculations!C95,FALSE)="c",Calculations!$D$20/COS(RADIANS(180/Calculations!$D$8)),Calculations!$D$20)+Calculations!BU95-(Calculations!BU95-Calculations!DI95)/2)*SIN(RADIANS(Calculations!D95))-IF(AND(ISNUMBER(VLOOKUP(Calculations!BQ95,Input!$B$21:$AL$50,19+Calculations!C95,FALSE)),Calculations!$D$8&lt;&gt;0),VLOOKUP(Calculations!BQ95,Input!$B$21:$AL$50,19+Calculations!C95,FALSE)*COS(RADIANS(Calculations!D95)),0)-Calculations!$D$35,"")</f>
        <v/>
      </c>
      <c r="AK47" s="65" t="e">
        <f>Calculations!BU95-Calculations!DI95</f>
        <v>#N/A</v>
      </c>
      <c r="AL47" s="65" t="e">
        <f>Calculations!BT95-2*Calculations!DL95</f>
        <v>#N/A</v>
      </c>
      <c r="AM47" s="65" t="str">
        <f>IF(P47="solid round",Calculations!BT95,"")</f>
        <v/>
      </c>
    </row>
    <row r="48" spans="15:39" x14ac:dyDescent="0.2">
      <c r="O48" s="25">
        <v>36</v>
      </c>
      <c r="P48" s="66" t="str">
        <f>IFERROR(Calculations!BS96,"")</f>
        <v/>
      </c>
      <c r="Q48" s="25" t="str">
        <f>IFERROR((IF(VLOOKUP(Calculations!BQ96,Input!$B$21:$AL$50,19+Calculations!C96,FALSE)="c",Calculations!$D$20/COS(RADIANS(180/$P$7)),Calculations!$D$20)+Calculations!CA96+IF(P48="channel",Calculations!BU96/2-Calculations!DM96,0))*COS(RADIANS(Calculations!D96))+IF(AND(ISNUMBER(VLOOKUP(Calculations!BQ96,Input!$B$21:$AL$50,19+Calculations!C96,FALSE)),$P$7&lt;&gt;0),VLOOKUP(Calculations!BQ96,Input!$B$21:$AL$50,19+Calculations!C96,FALSE)*SIN(RADIANS(Calculations!D96)),0),"")</f>
        <v/>
      </c>
      <c r="R48" s="25" t="str">
        <f>Calculations!N96</f>
        <v/>
      </c>
      <c r="S48" s="25" t="str">
        <f>IFERROR($Q48+(-IF($P48="channel",Calculations!BU96,Calculations!BX96)/2)*COS(RADIANS(Calculations!D96))+(-IF($P48="channel",Calculations!BT96,Calculations!BW96)/2)*SIN(RADIANS(Calculations!D96)),"")</f>
        <v/>
      </c>
      <c r="T48" s="25" t="str">
        <f>IF(P48="channel",Calculations!S96,Calculations!O96)</f>
        <v/>
      </c>
      <c r="U48" s="25" t="str">
        <f>IFERROR($Q48+(IF($P48="channel",Calculations!BU96,Calculations!BX96)/2)*COS(RADIANS(Calculations!D96))+(-IF($P48="channel",Calculations!BT96,Calculations!BW96)/2)*SIN(RADIANS(Calculations!D96)),"")</f>
        <v/>
      </c>
      <c r="V48" s="25" t="str">
        <f>IF(P48="channel",Calculations!T96,Calculations!P96)</f>
        <v/>
      </c>
      <c r="W48" s="25" t="str">
        <f>IFERROR($Q48+(IF($P48="channel",Calculations!BU96,Calculations!BX96)/2)*COS(RADIANS(Calculations!D96))+(IF($P48="channel",Calculations!BT96,Calculations!BW96)/2)*SIN(RADIANS(Calculations!D96)),"")</f>
        <v/>
      </c>
      <c r="X48" s="25" t="str">
        <f>IF(P48="channel",Calculations!U96,Calculations!Q96)</f>
        <v/>
      </c>
      <c r="Y48" s="25" t="str">
        <f>IFERROR($Q48+(-IF($P48="channel",Calculations!BU96,Calculations!BX96)/2)*COS(RADIANS(Calculations!D96))+(IF($P48="channel",Calculations!BT96,Calculations!BW96)/2)*SIN(RADIANS(Calculations!D96)),"")</f>
        <v/>
      </c>
      <c r="Z48" s="25" t="str">
        <f>IF(P48="channel",Calculations!V96,Calculations!R96)</f>
        <v/>
      </c>
      <c r="AA48" s="25" t="str">
        <f>IFERROR($AI48+(-AK48/2)*COS(RADIANS(Calculations!D96))+(-AL48/2)*SIN(RADIANS(Calculations!D96)),"")</f>
        <v/>
      </c>
      <c r="AB48" s="25" t="str">
        <f>IFERROR(AJ48+(-AK48/2)*SIN(RADIANS(Calculations!D96))+(AL48/2)*COS(RADIANS(Calculations!D96)),"")</f>
        <v/>
      </c>
      <c r="AC48" s="25" t="str">
        <f>IFERROR($AI48+(AK48/2)*COS(RADIANS(Calculations!D96))+(-AL48/2)*SIN(RADIANS(Calculations!D96)),"")</f>
        <v/>
      </c>
      <c r="AD48" s="25" t="str">
        <f>IFERROR(AJ48+(AK48/2)*SIN(RADIANS(Calculations!D96))+(AL48/2)*COS(RADIANS(Calculations!D96)),"")</f>
        <v/>
      </c>
      <c r="AE48" s="65" t="str">
        <f>IFERROR($AI48+(AK48/2)*COS(RADIANS(Calculations!D96))+(AL48/2)*SIN(RADIANS(Calculations!D96)),"")</f>
        <v/>
      </c>
      <c r="AF48" s="65" t="str">
        <f>IFERROR(AJ48+(AK48/2)*SIN(RADIANS(Calculations!D96))+(-AL48/2)*COS(RADIANS(Calculations!D96)),"")</f>
        <v/>
      </c>
      <c r="AG48" s="65" t="str">
        <f>IFERROR($AI48+(-AK48/2)*COS(RADIANS(Calculations!D96))+(AL48/2)*SIN(RADIANS(Calculations!D96)),"")</f>
        <v/>
      </c>
      <c r="AH48" s="65" t="str">
        <f>IFERROR(AJ48+(-AK48/2)*SIN(RADIANS(Calculations!D96))+(-AL48/2)*COS(RADIANS(Calculations!D96)),"")</f>
        <v/>
      </c>
      <c r="AI48" s="66" t="str">
        <f>IFERROR((IF(VLOOKUP(Calculations!BQ96,Input!$B$21:$AL$50,19+Calculations!C96,FALSE)="c",Calculations!$D$20/COS(RADIANS(180/$P$7)),Calculations!$D$20)+Calculations!BU96-(Calculations!BU96-Calculations!DI96)/2)*COS(RADIANS(Calculations!D96))+IF(AND(ISNUMBER(VLOOKUP(Calculations!BQ96,Input!$B$21:$AL$50,19+Calculations!C96,FALSE)),$P$7&lt;&gt;0),VLOOKUP(Calculations!BQ96,Input!$B$21:$AL$50,19+Calculations!C96,FALSE)*SIN(RADIANS(Calculations!D96)),0),"")</f>
        <v/>
      </c>
      <c r="AJ48" s="65" t="str">
        <f>IFERROR((IF(VLOOKUP(Calculations!BQ96,Input!$B$21:$AL$50,19+Calculations!C96,FALSE)="c",Calculations!$D$20/COS(RADIANS(180/Calculations!$D$8)),Calculations!$D$20)+Calculations!BU96-(Calculations!BU96-Calculations!DI96)/2)*SIN(RADIANS(Calculations!D96))-IF(AND(ISNUMBER(VLOOKUP(Calculations!BQ96,Input!$B$21:$AL$50,19+Calculations!C96,FALSE)),Calculations!$D$8&lt;&gt;0),VLOOKUP(Calculations!BQ96,Input!$B$21:$AL$50,19+Calculations!C96,FALSE)*COS(RADIANS(Calculations!D96)),0)-Calculations!$D$35,"")</f>
        <v/>
      </c>
      <c r="AK48" s="65" t="e">
        <f>Calculations!BU96-Calculations!DI96</f>
        <v>#N/A</v>
      </c>
      <c r="AL48" s="65" t="e">
        <f>Calculations!BT96-2*Calculations!DL96</f>
        <v>#N/A</v>
      </c>
      <c r="AM48" s="65" t="str">
        <f>IF(P48="solid round",Calculations!BT96,"")</f>
        <v/>
      </c>
    </row>
    <row r="49" spans="15:35" x14ac:dyDescent="0.2">
      <c r="R49" s="25"/>
      <c r="S49" s="25"/>
      <c r="T49" s="25"/>
      <c r="U49" s="25"/>
      <c r="V49" s="25"/>
      <c r="W49" s="25"/>
      <c r="X49" s="25"/>
      <c r="Y49" s="25"/>
      <c r="Z49" s="25"/>
      <c r="AA49" s="25"/>
      <c r="AB49" s="25"/>
      <c r="AC49" s="25"/>
      <c r="AD49" s="25"/>
      <c r="AI49" s="66"/>
    </row>
    <row r="50" spans="15:35" x14ac:dyDescent="0.2">
      <c r="O50" s="222" t="s">
        <v>634</v>
      </c>
      <c r="Q50" s="25"/>
      <c r="R50" s="25"/>
      <c r="S50" s="25"/>
      <c r="T50" s="25"/>
      <c r="U50" s="25"/>
      <c r="V50" s="25"/>
      <c r="W50" s="25"/>
      <c r="X50" s="25"/>
      <c r="Y50" s="25"/>
      <c r="Z50" s="25"/>
      <c r="AA50" s="25"/>
      <c r="AB50" s="25"/>
      <c r="AC50" s="25"/>
      <c r="AD50" s="25"/>
    </row>
    <row r="51" spans="15:35" x14ac:dyDescent="0.2">
      <c r="O51" s="25" t="s">
        <v>657</v>
      </c>
      <c r="Q51" s="25" t="s">
        <v>648</v>
      </c>
      <c r="R51" s="25" t="s">
        <v>649</v>
      </c>
      <c r="S51" s="25" t="s">
        <v>639</v>
      </c>
      <c r="T51" s="25" t="s">
        <v>640</v>
      </c>
      <c r="U51" s="25" t="s">
        <v>641</v>
      </c>
      <c r="V51" s="25" t="s">
        <v>349</v>
      </c>
      <c r="W51" s="25" t="s">
        <v>642</v>
      </c>
      <c r="X51" s="25" t="s">
        <v>643</v>
      </c>
      <c r="Y51" s="25" t="s">
        <v>644</v>
      </c>
      <c r="Z51" s="25" t="s">
        <v>645</v>
      </c>
    </row>
    <row r="52" spans="15:35" x14ac:dyDescent="0.2">
      <c r="O52" s="25">
        <v>1</v>
      </c>
      <c r="Q52" t="str">
        <f>IFERROR((Calculations!$D$20-Calculations!$D$10/2)*COS(RADIANS(Calculations!D40)),"")</f>
        <v/>
      </c>
      <c r="R52" t="str">
        <f>Calculations!N40</f>
        <v/>
      </c>
      <c r="S52" s="25" t="str">
        <f>IFERROR(Q52+(-Calculations!$D$10/2)*COS(RADIANS(Calculations!D40))+(-Calculations!$D$23/2)*SIN(RADIANS(Calculations!D40)),"")</f>
        <v/>
      </c>
      <c r="T52" s="25" t="str">
        <f>Calculations!O40</f>
        <v/>
      </c>
      <c r="U52" t="str">
        <f>IFERROR(Q52+(Calculations!$D$10/2)*COS(RADIANS(Calculations!D40))+(-Calculations!$D$23/2)*SIN(RADIANS(Calculations!D40)),"")</f>
        <v/>
      </c>
      <c r="V52" t="str">
        <f>Calculations!P40</f>
        <v/>
      </c>
      <c r="W52" t="str">
        <f>IFERROR(Q52+(Calculations!$D$10/2)*COS(RADIANS(Calculations!D40))+(Calculations!$D$23/2)*SIN(RADIANS(Calculations!D40)),"")</f>
        <v/>
      </c>
      <c r="X52" t="str">
        <f>Calculations!Q40</f>
        <v/>
      </c>
      <c r="Y52" t="str">
        <f>IFERROR(Q52+(-Calculations!$D$10/2)*COS(RADIANS(Calculations!D40))+(Calculations!$D$23/2)*SIN(RADIANS(Calculations!D40)),"")</f>
        <v/>
      </c>
      <c r="Z52" t="str">
        <f>Calculations!R40</f>
        <v/>
      </c>
    </row>
    <row r="53" spans="15:35" x14ac:dyDescent="0.2">
      <c r="O53" s="25">
        <v>2</v>
      </c>
      <c r="Q53" s="65" t="str">
        <f>IFERROR((Calculations!$D$20-Calculations!$D$10/2)*COS(RADIANS(Calculations!D41)),"")</f>
        <v/>
      </c>
      <c r="R53" s="65" t="str">
        <f>Calculations!N41</f>
        <v/>
      </c>
      <c r="S53" s="25" t="str">
        <f>IFERROR(Q53+(-Calculations!$D$10/2)*COS(RADIANS(Calculations!D41))+(-Calculations!$D$23/2)*SIN(RADIANS(Calculations!D41)),"")</f>
        <v/>
      </c>
      <c r="T53" s="25" t="str">
        <f>Calculations!O41</f>
        <v/>
      </c>
      <c r="U53" s="65" t="str">
        <f>IFERROR(Q53+(Calculations!$D$10/2)*COS(RADIANS(Calculations!D41))+(-Calculations!$D$23/2)*SIN(RADIANS(Calculations!D41)),"")</f>
        <v/>
      </c>
      <c r="V53" s="65" t="str">
        <f>Calculations!P41</f>
        <v/>
      </c>
      <c r="W53" s="65" t="str">
        <f>IFERROR(Q53+(Calculations!$D$10/2)*COS(RADIANS(Calculations!D41))+(Calculations!$D$23/2)*SIN(RADIANS(Calculations!D41)),"")</f>
        <v/>
      </c>
      <c r="X53" s="65" t="str">
        <f>Calculations!Q41</f>
        <v/>
      </c>
      <c r="Y53" s="65" t="str">
        <f>IFERROR(Q53+(-Calculations!$D$10/2)*COS(RADIANS(Calculations!D41))+(Calculations!$D$23/2)*SIN(RADIANS(Calculations!D41)),"")</f>
        <v/>
      </c>
      <c r="Z53" s="65" t="str">
        <f>Calculations!R41</f>
        <v/>
      </c>
    </row>
    <row r="54" spans="15:35" x14ac:dyDescent="0.2">
      <c r="O54" s="25">
        <v>3</v>
      </c>
      <c r="Q54" s="65" t="str">
        <f>IFERROR((Calculations!$D$20-Calculations!$D$10/2)*COS(RADIANS(Calculations!D42)),"")</f>
        <v/>
      </c>
      <c r="R54" s="65" t="str">
        <f>Calculations!N42</f>
        <v/>
      </c>
      <c r="S54" s="25" t="str">
        <f>IFERROR(Q54+(-Calculations!$D$10/2)*COS(RADIANS(Calculations!D42))+(-Calculations!$D$23/2)*SIN(RADIANS(Calculations!D42)),"")</f>
        <v/>
      </c>
      <c r="T54" s="25" t="str">
        <f>Calculations!O42</f>
        <v/>
      </c>
      <c r="U54" s="65" t="str">
        <f>IFERROR(Q54+(Calculations!$D$10/2)*COS(RADIANS(Calculations!D42))+(-Calculations!$D$23/2)*SIN(RADIANS(Calculations!D42)),"")</f>
        <v/>
      </c>
      <c r="V54" s="65" t="str">
        <f>Calculations!P42</f>
        <v/>
      </c>
      <c r="W54" s="65" t="str">
        <f>IFERROR(Q54+(Calculations!$D$10/2)*COS(RADIANS(Calculations!D42))+(Calculations!$D$23/2)*SIN(RADIANS(Calculations!D42)),"")</f>
        <v/>
      </c>
      <c r="X54" s="65" t="str">
        <f>Calculations!Q42</f>
        <v/>
      </c>
      <c r="Y54" s="65" t="str">
        <f>IFERROR(Q54+(-Calculations!$D$10/2)*COS(RADIANS(Calculations!D42))+(Calculations!$D$23/2)*SIN(RADIANS(Calculations!D42)),"")</f>
        <v/>
      </c>
      <c r="Z54" s="65" t="str">
        <f>Calculations!R42</f>
        <v/>
      </c>
    </row>
    <row r="55" spans="15:35" x14ac:dyDescent="0.2">
      <c r="O55" s="25">
        <v>4</v>
      </c>
      <c r="Q55" s="65" t="str">
        <f>IFERROR((Calculations!$D$20-Calculations!$D$10/2)*COS(RADIANS(Calculations!D43)),"")</f>
        <v/>
      </c>
      <c r="R55" s="65" t="str">
        <f>Calculations!N43</f>
        <v/>
      </c>
      <c r="S55" s="25" t="str">
        <f>IFERROR(Q55+(-Calculations!$D$10/2)*COS(RADIANS(Calculations!D43))+(-Calculations!$D$23/2)*SIN(RADIANS(Calculations!D43)),"")</f>
        <v/>
      </c>
      <c r="T55" s="25" t="str">
        <f>Calculations!O43</f>
        <v/>
      </c>
      <c r="U55" s="65" t="str">
        <f>IFERROR(Q55+(Calculations!$D$10/2)*COS(RADIANS(Calculations!D43))+(-Calculations!$D$23/2)*SIN(RADIANS(Calculations!D43)),"")</f>
        <v/>
      </c>
      <c r="V55" s="65" t="str">
        <f>Calculations!P43</f>
        <v/>
      </c>
      <c r="W55" s="65" t="str">
        <f>IFERROR(Q55+(Calculations!$D$10/2)*COS(RADIANS(Calculations!D43))+(Calculations!$D$23/2)*SIN(RADIANS(Calculations!D43)),"")</f>
        <v/>
      </c>
      <c r="X55" s="65" t="str">
        <f>Calculations!Q43</f>
        <v/>
      </c>
      <c r="Y55" s="65" t="str">
        <f>IFERROR(Q55+(-Calculations!$D$10/2)*COS(RADIANS(Calculations!D43))+(Calculations!$D$23/2)*SIN(RADIANS(Calculations!D43)),"")</f>
        <v/>
      </c>
      <c r="Z55" s="65" t="str">
        <f>Calculations!R43</f>
        <v/>
      </c>
    </row>
    <row r="56" spans="15:35" x14ac:dyDescent="0.2">
      <c r="O56" s="25">
        <v>5</v>
      </c>
      <c r="Q56" s="65" t="str">
        <f>IFERROR((Calculations!$D$20-Calculations!$D$10/2)*COS(RADIANS(Calculations!D44)),"")</f>
        <v/>
      </c>
      <c r="R56" s="65" t="str">
        <f>Calculations!N44</f>
        <v/>
      </c>
      <c r="S56" s="25" t="str">
        <f>IFERROR(Q56+(-Calculations!$D$10/2)*COS(RADIANS(Calculations!D44))+(-Calculations!$D$23/2)*SIN(RADIANS(Calculations!D44)),"")</f>
        <v/>
      </c>
      <c r="T56" s="25" t="str">
        <f>Calculations!O44</f>
        <v/>
      </c>
      <c r="U56" s="65" t="str">
        <f>IFERROR(Q56+(Calculations!$D$10/2)*COS(RADIANS(Calculations!D44))+(-Calculations!$D$23/2)*SIN(RADIANS(Calculations!D44)),"")</f>
        <v/>
      </c>
      <c r="V56" s="65" t="str">
        <f>Calculations!P44</f>
        <v/>
      </c>
      <c r="W56" s="65" t="str">
        <f>IFERROR(Q56+(Calculations!$D$10/2)*COS(RADIANS(Calculations!D44))+(Calculations!$D$23/2)*SIN(RADIANS(Calculations!D44)),"")</f>
        <v/>
      </c>
      <c r="X56" s="65" t="str">
        <f>Calculations!Q44</f>
        <v/>
      </c>
      <c r="Y56" s="65" t="str">
        <f>IFERROR(Q56+(-Calculations!$D$10/2)*COS(RADIANS(Calculations!D44))+(Calculations!$D$23/2)*SIN(RADIANS(Calculations!D44)),"")</f>
        <v/>
      </c>
      <c r="Z56" s="65" t="str">
        <f>Calculations!R44</f>
        <v/>
      </c>
    </row>
    <row r="57" spans="15:35" x14ac:dyDescent="0.2">
      <c r="O57" s="25">
        <v>6</v>
      </c>
      <c r="Q57" s="65" t="str">
        <f>IFERROR((Calculations!$D$20-Calculations!$D$10/2)*COS(RADIANS(Calculations!D45)),"")</f>
        <v/>
      </c>
      <c r="R57" s="65" t="str">
        <f>Calculations!N45</f>
        <v/>
      </c>
      <c r="S57" s="25" t="str">
        <f>IFERROR(Q57+(-Calculations!$D$10/2)*COS(RADIANS(Calculations!D45))+(-Calculations!$D$23/2)*SIN(RADIANS(Calculations!D45)),"")</f>
        <v/>
      </c>
      <c r="T57" s="25" t="str">
        <f>Calculations!O45</f>
        <v/>
      </c>
      <c r="U57" s="65" t="str">
        <f>IFERROR(Q57+(Calculations!$D$10/2)*COS(RADIANS(Calculations!D45))+(-Calculations!$D$23/2)*SIN(RADIANS(Calculations!D45)),"")</f>
        <v/>
      </c>
      <c r="V57" s="65" t="str">
        <f>Calculations!P45</f>
        <v/>
      </c>
      <c r="W57" s="65" t="str">
        <f>IFERROR(Q57+(Calculations!$D$10/2)*COS(RADIANS(Calculations!D45))+(Calculations!$D$23/2)*SIN(RADIANS(Calculations!D45)),"")</f>
        <v/>
      </c>
      <c r="X57" s="65" t="str">
        <f>Calculations!Q45</f>
        <v/>
      </c>
      <c r="Y57" s="65" t="str">
        <f>IFERROR(Q57+(-Calculations!$D$10/2)*COS(RADIANS(Calculations!D45))+(Calculations!$D$23/2)*SIN(RADIANS(Calculations!D45)),"")</f>
        <v/>
      </c>
      <c r="Z57" s="65" t="str">
        <f>Calculations!R45</f>
        <v/>
      </c>
    </row>
    <row r="58" spans="15:35" x14ac:dyDescent="0.2">
      <c r="O58" s="25">
        <v>7</v>
      </c>
      <c r="Q58" s="65" t="str">
        <f>IFERROR((Calculations!$D$20-Calculations!$D$10/2)*COS(RADIANS(Calculations!D46)),"")</f>
        <v/>
      </c>
      <c r="R58" s="65" t="str">
        <f>Calculations!N46</f>
        <v/>
      </c>
      <c r="S58" s="25" t="str">
        <f>IFERROR(Q58+(-Calculations!$D$10/2)*COS(RADIANS(Calculations!D46))+(-Calculations!$D$23/2)*SIN(RADIANS(Calculations!D46)),"")</f>
        <v/>
      </c>
      <c r="T58" s="25" t="str">
        <f>Calculations!O46</f>
        <v/>
      </c>
      <c r="U58" s="65" t="str">
        <f>IFERROR(Q58+(Calculations!$D$10/2)*COS(RADIANS(Calculations!D46))+(-Calculations!$D$23/2)*SIN(RADIANS(Calculations!D46)),"")</f>
        <v/>
      </c>
      <c r="V58" s="65" t="str">
        <f>Calculations!P46</f>
        <v/>
      </c>
      <c r="W58" s="65" t="str">
        <f>IFERROR(Q58+(Calculations!$D$10/2)*COS(RADIANS(Calculations!D46))+(Calculations!$D$23/2)*SIN(RADIANS(Calculations!D46)),"")</f>
        <v/>
      </c>
      <c r="X58" s="65" t="str">
        <f>Calculations!Q46</f>
        <v/>
      </c>
      <c r="Y58" s="65" t="str">
        <f>IFERROR(Q58+(-Calculations!$D$10/2)*COS(RADIANS(Calculations!D46))+(Calculations!$D$23/2)*SIN(RADIANS(Calculations!D46)),"")</f>
        <v/>
      </c>
      <c r="Z58" s="65" t="str">
        <f>Calculations!R46</f>
        <v/>
      </c>
    </row>
    <row r="59" spans="15:35" x14ac:dyDescent="0.2">
      <c r="O59" s="25">
        <v>8</v>
      </c>
      <c r="Q59" s="65" t="str">
        <f>IFERROR((Calculations!$D$20-Calculations!$D$10/2)*COS(RADIANS(Calculations!D47)),"")</f>
        <v/>
      </c>
      <c r="R59" s="65" t="str">
        <f>Calculations!N47</f>
        <v/>
      </c>
      <c r="S59" s="25" t="str">
        <f>IFERROR(Q59+(-Calculations!$D$10/2)*COS(RADIANS(Calculations!D47))+(-Calculations!$D$23/2)*SIN(RADIANS(Calculations!D47)),"")</f>
        <v/>
      </c>
      <c r="T59" s="25" t="str">
        <f>Calculations!O47</f>
        <v/>
      </c>
      <c r="U59" s="65" t="str">
        <f>IFERROR(Q59+(Calculations!$D$10/2)*COS(RADIANS(Calculations!D47))+(-Calculations!$D$23/2)*SIN(RADIANS(Calculations!D47)),"")</f>
        <v/>
      </c>
      <c r="V59" s="65" t="str">
        <f>Calculations!P47</f>
        <v/>
      </c>
      <c r="W59" s="65" t="str">
        <f>IFERROR(Q59+(Calculations!$D$10/2)*COS(RADIANS(Calculations!D47))+(Calculations!$D$23/2)*SIN(RADIANS(Calculations!D47)),"")</f>
        <v/>
      </c>
      <c r="X59" s="65" t="str">
        <f>Calculations!Q47</f>
        <v/>
      </c>
      <c r="Y59" s="65" t="str">
        <f>IFERROR(Q59+(-Calculations!$D$10/2)*COS(RADIANS(Calculations!D47))+(Calculations!$D$23/2)*SIN(RADIANS(Calculations!D47)),"")</f>
        <v/>
      </c>
      <c r="Z59" s="65" t="str">
        <f>Calculations!R47</f>
        <v/>
      </c>
    </row>
    <row r="60" spans="15:35" x14ac:dyDescent="0.2">
      <c r="O60" s="25">
        <v>9</v>
      </c>
      <c r="Q60" s="65" t="str">
        <f>IFERROR((Calculations!$D$20-Calculations!$D$10/2)*COS(RADIANS(Calculations!D48)),"")</f>
        <v/>
      </c>
      <c r="R60" s="65" t="str">
        <f>Calculations!N48</f>
        <v/>
      </c>
      <c r="S60" s="25" t="str">
        <f>IFERROR(Q60+(-Calculations!$D$10/2)*COS(RADIANS(Calculations!D48))+(-Calculations!$D$23/2)*SIN(RADIANS(Calculations!D48)),"")</f>
        <v/>
      </c>
      <c r="T60" s="25" t="str">
        <f>Calculations!O48</f>
        <v/>
      </c>
      <c r="U60" s="65" t="str">
        <f>IFERROR(Q60+(Calculations!$D$10/2)*COS(RADIANS(Calculations!D48))+(-Calculations!$D$23/2)*SIN(RADIANS(Calculations!D48)),"")</f>
        <v/>
      </c>
      <c r="V60" s="65" t="str">
        <f>Calculations!P48</f>
        <v/>
      </c>
      <c r="W60" s="65" t="str">
        <f>IFERROR(Q60+(Calculations!$D$10/2)*COS(RADIANS(Calculations!D48))+(Calculations!$D$23/2)*SIN(RADIANS(Calculations!D48)),"")</f>
        <v/>
      </c>
      <c r="X60" s="65" t="str">
        <f>Calculations!Q48</f>
        <v/>
      </c>
      <c r="Y60" s="65" t="str">
        <f>IFERROR(Q60+(-Calculations!$D$10/2)*COS(RADIANS(Calculations!D48))+(Calculations!$D$23/2)*SIN(RADIANS(Calculations!D48)),"")</f>
        <v/>
      </c>
      <c r="Z60" s="65" t="str">
        <f>Calculations!R48</f>
        <v/>
      </c>
    </row>
    <row r="61" spans="15:35" x14ac:dyDescent="0.2">
      <c r="O61" s="25">
        <v>10</v>
      </c>
      <c r="Q61" s="65" t="str">
        <f>IFERROR((Calculations!$D$20-Calculations!$D$10/2)*COS(RADIANS(Calculations!D49)),"")</f>
        <v/>
      </c>
      <c r="R61" s="65" t="str">
        <f>Calculations!N49</f>
        <v/>
      </c>
      <c r="S61" s="25" t="str">
        <f>IFERROR(Q61+(-Calculations!$D$10/2)*COS(RADIANS(Calculations!D49))+(-Calculations!$D$23/2)*SIN(RADIANS(Calculations!D49)),"")</f>
        <v/>
      </c>
      <c r="T61" s="25" t="str">
        <f>Calculations!O49</f>
        <v/>
      </c>
      <c r="U61" s="65" t="str">
        <f>IFERROR(Q61+(Calculations!$D$10/2)*COS(RADIANS(Calculations!D49))+(-Calculations!$D$23/2)*SIN(RADIANS(Calculations!D49)),"")</f>
        <v/>
      </c>
      <c r="V61" s="65" t="str">
        <f>Calculations!P49</f>
        <v/>
      </c>
      <c r="W61" s="65" t="str">
        <f>IFERROR(Q61+(Calculations!$D$10/2)*COS(RADIANS(Calculations!D49))+(Calculations!$D$23/2)*SIN(RADIANS(Calculations!D49)),"")</f>
        <v/>
      </c>
      <c r="X61" s="65" t="str">
        <f>Calculations!Q49</f>
        <v/>
      </c>
      <c r="Y61" s="65" t="str">
        <f>IFERROR(Q61+(-Calculations!$D$10/2)*COS(RADIANS(Calculations!D49))+(Calculations!$D$23/2)*SIN(RADIANS(Calculations!D49)),"")</f>
        <v/>
      </c>
      <c r="Z61" s="65" t="str">
        <f>Calculations!R49</f>
        <v/>
      </c>
    </row>
    <row r="62" spans="15:35" x14ac:dyDescent="0.2">
      <c r="O62" s="25">
        <v>11</v>
      </c>
      <c r="Q62" s="65" t="str">
        <f>IFERROR((Calculations!$D$20-Calculations!$D$10/2)*COS(RADIANS(Calculations!D50)),"")</f>
        <v/>
      </c>
      <c r="R62" s="65" t="str">
        <f>Calculations!N50</f>
        <v/>
      </c>
      <c r="S62" s="25" t="str">
        <f>IFERROR(Q62+(-Calculations!$D$10/2)*COS(RADIANS(Calculations!D50))+(-Calculations!$D$23/2)*SIN(RADIANS(Calculations!D50)),"")</f>
        <v/>
      </c>
      <c r="T62" s="25" t="str">
        <f>Calculations!O50</f>
        <v/>
      </c>
      <c r="U62" s="65" t="str">
        <f>IFERROR(Q62+(Calculations!$D$10/2)*COS(RADIANS(Calculations!D50))+(-Calculations!$D$23/2)*SIN(RADIANS(Calculations!D50)),"")</f>
        <v/>
      </c>
      <c r="V62" s="65" t="str">
        <f>Calculations!P50</f>
        <v/>
      </c>
      <c r="W62" s="65" t="str">
        <f>IFERROR(Q62+(Calculations!$D$10/2)*COS(RADIANS(Calculations!D50))+(Calculations!$D$23/2)*SIN(RADIANS(Calculations!D50)),"")</f>
        <v/>
      </c>
      <c r="X62" s="65" t="str">
        <f>Calculations!Q50</f>
        <v/>
      </c>
      <c r="Y62" s="65" t="str">
        <f>IFERROR(Q62+(-Calculations!$D$10/2)*COS(RADIANS(Calculations!D50))+(Calculations!$D$23/2)*SIN(RADIANS(Calculations!D50)),"")</f>
        <v/>
      </c>
      <c r="Z62" s="65" t="str">
        <f>Calculations!R50</f>
        <v/>
      </c>
    </row>
    <row r="63" spans="15:35" x14ac:dyDescent="0.2">
      <c r="O63" s="25">
        <v>12</v>
      </c>
      <c r="Q63" s="65" t="str">
        <f>IFERROR((Calculations!$D$20-Calculations!$D$10/2)*COS(RADIANS(Calculations!D51)),"")</f>
        <v/>
      </c>
      <c r="R63" s="65" t="str">
        <f>Calculations!N51</f>
        <v/>
      </c>
      <c r="S63" s="25" t="str">
        <f>IFERROR(Q63+(-Calculations!$D$10/2)*COS(RADIANS(Calculations!D51))+(-Calculations!$D$23/2)*SIN(RADIANS(Calculations!D51)),"")</f>
        <v/>
      </c>
      <c r="T63" s="25" t="str">
        <f>Calculations!O51</f>
        <v/>
      </c>
      <c r="U63" s="65" t="str">
        <f>IFERROR(Q63+(Calculations!$D$10/2)*COS(RADIANS(Calculations!D51))+(-Calculations!$D$23/2)*SIN(RADIANS(Calculations!D51)),"")</f>
        <v/>
      </c>
      <c r="V63" s="65" t="str">
        <f>Calculations!P51</f>
        <v/>
      </c>
      <c r="W63" s="65" t="str">
        <f>IFERROR(Q63+(Calculations!$D$10/2)*COS(RADIANS(Calculations!D51))+(Calculations!$D$23/2)*SIN(RADIANS(Calculations!D51)),"")</f>
        <v/>
      </c>
      <c r="X63" s="65" t="str">
        <f>Calculations!Q51</f>
        <v/>
      </c>
      <c r="Y63" s="65" t="str">
        <f>IFERROR(Q63+(-Calculations!$D$10/2)*COS(RADIANS(Calculations!D51))+(Calculations!$D$23/2)*SIN(RADIANS(Calculations!D51)),"")</f>
        <v/>
      </c>
      <c r="Z63" s="65" t="str">
        <f>Calculations!R51</f>
        <v/>
      </c>
    </row>
    <row r="64" spans="15:35" x14ac:dyDescent="0.2">
      <c r="O64" s="25">
        <v>13</v>
      </c>
      <c r="Q64" s="65" t="str">
        <f>IFERROR((Calculations!$D$20-Calculations!$D$10/2)*COS(RADIANS(Calculations!D52)),"")</f>
        <v/>
      </c>
      <c r="R64" s="65" t="str">
        <f>Calculations!N52</f>
        <v/>
      </c>
      <c r="S64" s="25" t="str">
        <f>IFERROR(Q64+(-Calculations!$D$10/2)*COS(RADIANS(Calculations!D52))+(-Calculations!$D$23/2)*SIN(RADIANS(Calculations!D52)),"")</f>
        <v/>
      </c>
      <c r="T64" s="25" t="str">
        <f>Calculations!O52</f>
        <v/>
      </c>
      <c r="U64" s="65" t="str">
        <f>IFERROR(Q64+(Calculations!$D$10/2)*COS(RADIANS(Calculations!D52))+(-Calculations!$D$23/2)*SIN(RADIANS(Calculations!D52)),"")</f>
        <v/>
      </c>
      <c r="V64" s="65" t="str">
        <f>Calculations!P52</f>
        <v/>
      </c>
      <c r="W64" s="65" t="str">
        <f>IFERROR(Q64+(Calculations!$D$10/2)*COS(RADIANS(Calculations!D52))+(Calculations!$D$23/2)*SIN(RADIANS(Calculations!D52)),"")</f>
        <v/>
      </c>
      <c r="X64" s="65" t="str">
        <f>Calculations!Q52</f>
        <v/>
      </c>
      <c r="Y64" s="65" t="str">
        <f>IFERROR(Q64+(-Calculations!$D$10/2)*COS(RADIANS(Calculations!D52))+(Calculations!$D$23/2)*SIN(RADIANS(Calculations!D52)),"")</f>
        <v/>
      </c>
      <c r="Z64" s="65" t="str">
        <f>Calculations!R52</f>
        <v/>
      </c>
    </row>
    <row r="65" spans="15:26" x14ac:dyDescent="0.2">
      <c r="O65" s="25">
        <v>14</v>
      </c>
      <c r="Q65" s="65" t="str">
        <f>IFERROR((Calculations!$D$20-Calculations!$D$10/2)*COS(RADIANS(Calculations!D53)),"")</f>
        <v/>
      </c>
      <c r="R65" s="65" t="str">
        <f>Calculations!N53</f>
        <v/>
      </c>
      <c r="S65" s="25" t="str">
        <f>IFERROR(Q65+(-Calculations!$D$10/2)*COS(RADIANS(Calculations!D53))+(-Calculations!$D$23/2)*SIN(RADIANS(Calculations!D53)),"")</f>
        <v/>
      </c>
      <c r="T65" s="25" t="str">
        <f>Calculations!O53</f>
        <v/>
      </c>
      <c r="U65" s="65" t="str">
        <f>IFERROR(Q65+(Calculations!$D$10/2)*COS(RADIANS(Calculations!D53))+(-Calculations!$D$23/2)*SIN(RADIANS(Calculations!D53)),"")</f>
        <v/>
      </c>
      <c r="V65" s="65" t="str">
        <f>Calculations!P53</f>
        <v/>
      </c>
      <c r="W65" s="65" t="str">
        <f>IFERROR(Q65+(Calculations!$D$10/2)*COS(RADIANS(Calculations!D53))+(Calculations!$D$23/2)*SIN(RADIANS(Calculations!D53)),"")</f>
        <v/>
      </c>
      <c r="X65" s="65" t="str">
        <f>Calculations!Q53</f>
        <v/>
      </c>
      <c r="Y65" s="65" t="str">
        <f>IFERROR(Q65+(-Calculations!$D$10/2)*COS(RADIANS(Calculations!D53))+(Calculations!$D$23/2)*SIN(RADIANS(Calculations!D53)),"")</f>
        <v/>
      </c>
      <c r="Z65" s="65" t="str">
        <f>Calculations!R53</f>
        <v/>
      </c>
    </row>
    <row r="66" spans="15:26" x14ac:dyDescent="0.2">
      <c r="O66" s="25">
        <v>15</v>
      </c>
      <c r="Q66" s="65" t="str">
        <f>IFERROR((Calculations!$D$20-Calculations!$D$10/2)*COS(RADIANS(Calculations!D54)),"")</f>
        <v/>
      </c>
      <c r="R66" s="65" t="str">
        <f>Calculations!N54</f>
        <v/>
      </c>
      <c r="S66" s="25" t="str">
        <f>IFERROR(Q66+(-Calculations!$D$10/2)*COS(RADIANS(Calculations!D54))+(-Calculations!$D$23/2)*SIN(RADIANS(Calculations!D54)),"")</f>
        <v/>
      </c>
      <c r="T66" s="25" t="str">
        <f>Calculations!O54</f>
        <v/>
      </c>
      <c r="U66" s="65" t="str">
        <f>IFERROR(Q66+(Calculations!$D$10/2)*COS(RADIANS(Calculations!D54))+(-Calculations!$D$23/2)*SIN(RADIANS(Calculations!D54)),"")</f>
        <v/>
      </c>
      <c r="V66" s="65" t="str">
        <f>Calculations!P54</f>
        <v/>
      </c>
      <c r="W66" s="65" t="str">
        <f>IFERROR(Q66+(Calculations!$D$10/2)*COS(RADIANS(Calculations!D54))+(Calculations!$D$23/2)*SIN(RADIANS(Calculations!D54)),"")</f>
        <v/>
      </c>
      <c r="X66" s="65" t="str">
        <f>Calculations!Q54</f>
        <v/>
      </c>
      <c r="Y66" s="65" t="str">
        <f>IFERROR(Q66+(-Calculations!$D$10/2)*COS(RADIANS(Calculations!D54))+(Calculations!$D$23/2)*SIN(RADIANS(Calculations!D54)),"")</f>
        <v/>
      </c>
      <c r="Z66" s="65" t="str">
        <f>Calculations!R54</f>
        <v/>
      </c>
    </row>
    <row r="67" spans="15:26" x14ac:dyDescent="0.2">
      <c r="O67" s="25">
        <v>16</v>
      </c>
      <c r="Q67" s="65" t="str">
        <f>IFERROR((Calculations!$D$20-Calculations!$D$10/2)*COS(RADIANS(Calculations!D55)),"")</f>
        <v/>
      </c>
      <c r="R67" s="65" t="str">
        <f>Calculations!N55</f>
        <v/>
      </c>
      <c r="S67" s="25" t="str">
        <f>IFERROR(Q67+(-Calculations!$D$10/2)*COS(RADIANS(Calculations!D55))+(-Calculations!$D$23/2)*SIN(RADIANS(Calculations!D55)),"")</f>
        <v/>
      </c>
      <c r="T67" s="25" t="str">
        <f>Calculations!O55</f>
        <v/>
      </c>
      <c r="U67" s="65" t="str">
        <f>IFERROR(Q67+(Calculations!$D$10/2)*COS(RADIANS(Calculations!D55))+(-Calculations!$D$23/2)*SIN(RADIANS(Calculations!D55)),"")</f>
        <v/>
      </c>
      <c r="V67" s="65" t="str">
        <f>Calculations!P55</f>
        <v/>
      </c>
      <c r="W67" s="65" t="str">
        <f>IFERROR(Q67+(Calculations!$D$10/2)*COS(RADIANS(Calculations!D55))+(Calculations!$D$23/2)*SIN(RADIANS(Calculations!D55)),"")</f>
        <v/>
      </c>
      <c r="X67" s="65" t="str">
        <f>Calculations!Q55</f>
        <v/>
      </c>
      <c r="Y67" s="65" t="str">
        <f>IFERROR(Q67+(-Calculations!$D$10/2)*COS(RADIANS(Calculations!D55))+(Calculations!$D$23/2)*SIN(RADIANS(Calculations!D55)),"")</f>
        <v/>
      </c>
      <c r="Z67" s="65" t="str">
        <f>Calculations!R55</f>
        <v/>
      </c>
    </row>
    <row r="68" spans="15:26" x14ac:dyDescent="0.2">
      <c r="O68" s="25">
        <v>17</v>
      </c>
      <c r="Q68" s="65" t="str">
        <f>IFERROR((Calculations!$D$20-Calculations!$D$10/2)*COS(RADIANS(Calculations!D56)),"")</f>
        <v/>
      </c>
      <c r="R68" s="65" t="str">
        <f>Calculations!N56</f>
        <v/>
      </c>
      <c r="S68" s="25" t="str">
        <f>IFERROR(Q68+(-Calculations!$D$10/2)*COS(RADIANS(Calculations!D56))+(-Calculations!$D$23/2)*SIN(RADIANS(Calculations!D56)),"")</f>
        <v/>
      </c>
      <c r="T68" s="25" t="str">
        <f>Calculations!O56</f>
        <v/>
      </c>
      <c r="U68" s="65" t="str">
        <f>IFERROR(Q68+(Calculations!$D$10/2)*COS(RADIANS(Calculations!D56))+(-Calculations!$D$23/2)*SIN(RADIANS(Calculations!D56)),"")</f>
        <v/>
      </c>
      <c r="V68" s="65" t="str">
        <f>Calculations!P56</f>
        <v/>
      </c>
      <c r="W68" s="65" t="str">
        <f>IFERROR(Q68+(Calculations!$D$10/2)*COS(RADIANS(Calculations!D56))+(Calculations!$D$23/2)*SIN(RADIANS(Calculations!D56)),"")</f>
        <v/>
      </c>
      <c r="X68" s="65" t="str">
        <f>Calculations!Q56</f>
        <v/>
      </c>
      <c r="Y68" s="65" t="str">
        <f>IFERROR(Q68+(-Calculations!$D$10/2)*COS(RADIANS(Calculations!D56))+(Calculations!$D$23/2)*SIN(RADIANS(Calculations!D56)),"")</f>
        <v/>
      </c>
      <c r="Z68" s="65" t="str">
        <f>Calculations!R56</f>
        <v/>
      </c>
    </row>
    <row r="69" spans="15:26" x14ac:dyDescent="0.2">
      <c r="O69" s="25">
        <v>18</v>
      </c>
      <c r="Q69" s="65" t="str">
        <f>IFERROR((Calculations!$D$20-Calculations!$D$10/2)*COS(RADIANS(Calculations!D57)),"")</f>
        <v/>
      </c>
      <c r="R69" s="65" t="str">
        <f>Calculations!N57</f>
        <v/>
      </c>
      <c r="S69" s="25" t="str">
        <f>IFERROR(Q69+(-Calculations!$D$10/2)*COS(RADIANS(Calculations!D57))+(-Calculations!$D$23/2)*SIN(RADIANS(Calculations!D57)),"")</f>
        <v/>
      </c>
      <c r="T69" s="25" t="str">
        <f>Calculations!O57</f>
        <v/>
      </c>
      <c r="U69" s="65" t="str">
        <f>IFERROR(Q69+(Calculations!$D$10/2)*COS(RADIANS(Calculations!D57))+(-Calculations!$D$23/2)*SIN(RADIANS(Calculations!D57)),"")</f>
        <v/>
      </c>
      <c r="V69" s="65" t="str">
        <f>Calculations!P57</f>
        <v/>
      </c>
      <c r="W69" s="65" t="str">
        <f>IFERROR(Q69+(Calculations!$D$10/2)*COS(RADIANS(Calculations!D57))+(Calculations!$D$23/2)*SIN(RADIANS(Calculations!D57)),"")</f>
        <v/>
      </c>
      <c r="X69" s="65" t="str">
        <f>Calculations!Q57</f>
        <v/>
      </c>
      <c r="Y69" s="65" t="str">
        <f>IFERROR(Q69+(-Calculations!$D$10/2)*COS(RADIANS(Calculations!D57))+(Calculations!$D$23/2)*SIN(RADIANS(Calculations!D57)),"")</f>
        <v/>
      </c>
      <c r="Z69" s="65" t="str">
        <f>Calculations!R57</f>
        <v/>
      </c>
    </row>
  </sheetData>
  <sheetProtection algorithmName="SHA-512" hashValue="4DWAbOr7QpAEIgHU4Af/CbrHJ8JM+K0bG6AHnxieMYUwNgPojDS8yxSTaxKueSp4O/t0V5aIZ7LC1lMLoq9nUw==" saltValue="vyx4h9MMrqfA5OsypzINqA==" spinCount="100000" sheet="1" objects="1" scenarios="1"/>
  <mergeCells count="1">
    <mergeCell ref="AI11:AL11"/>
  </mergeCells>
  <pageMargins left="0.7" right="0.7" top="0.75" bottom="0.75" header="0.3" footer="0.3"/>
  <pageSetup scale="90"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dimension ref="A1:S33"/>
  <sheetViews>
    <sheetView workbookViewId="0"/>
  </sheetViews>
  <sheetFormatPr defaultRowHeight="12.75" x14ac:dyDescent="0.2"/>
  <cols>
    <col min="1" max="1" width="12.5703125" customWidth="1"/>
    <col min="2" max="2" width="9" customWidth="1"/>
    <col min="3" max="3" width="9.28515625" customWidth="1"/>
    <col min="4" max="4" width="7.5703125" customWidth="1"/>
    <col min="5" max="5" width="6.7109375" customWidth="1"/>
    <col min="6" max="6" width="13.5703125" bestFit="1" customWidth="1"/>
  </cols>
  <sheetData>
    <row r="1" spans="1:19" ht="43.5" customHeight="1" x14ac:dyDescent="0.2"/>
    <row r="2" spans="1:19" x14ac:dyDescent="0.2">
      <c r="B2" s="155" t="s">
        <v>489</v>
      </c>
      <c r="C2">
        <v>2</v>
      </c>
    </row>
    <row r="3" spans="1:19" x14ac:dyDescent="0.2">
      <c r="B3" s="155" t="s">
        <v>493</v>
      </c>
      <c r="C3" t="e">
        <f>Calculations!D8</f>
        <v>#N/A</v>
      </c>
    </row>
    <row r="4" spans="1:19" ht="15" customHeight="1" x14ac:dyDescent="0.25">
      <c r="A4" s="66"/>
      <c r="B4" s="155" t="s">
        <v>495</v>
      </c>
      <c r="C4" s="156">
        <v>2</v>
      </c>
    </row>
    <row r="5" spans="1:19" ht="15" x14ac:dyDescent="0.25">
      <c r="B5" s="158" t="s">
        <v>497</v>
      </c>
      <c r="C5" s="156">
        <v>18</v>
      </c>
    </row>
    <row r="6" spans="1:19" x14ac:dyDescent="0.2">
      <c r="B6" s="157" t="s">
        <v>496</v>
      </c>
      <c r="C6" t="b">
        <f ca="1">AND(OFFSET(Calculations!$BQ$60,IF('Detailed Plot'!C4=1,'Detailed Plot'!C5-1,C5+18),0)&lt;&gt;"")</f>
        <v>0</v>
      </c>
      <c r="D6" t="str">
        <f ca="1">OFFSET(Calculations!$BQ$60,IF('Detailed Plot'!C4=1,'Detailed Plot'!C5-1,C5+18),0)</f>
        <v/>
      </c>
    </row>
    <row r="7" spans="1:19" x14ac:dyDescent="0.2">
      <c r="B7" s="921" t="s">
        <v>165</v>
      </c>
      <c r="C7" s="921"/>
    </row>
    <row r="8" spans="1:19" x14ac:dyDescent="0.2">
      <c r="B8" s="155" t="s">
        <v>490</v>
      </c>
      <c r="C8" t="e">
        <f>Calculations!D9</f>
        <v>#N/A</v>
      </c>
      <c r="D8" s="66" t="s">
        <v>501</v>
      </c>
      <c r="E8" t="e">
        <f>C8*$C$17</f>
        <v>#N/A</v>
      </c>
      <c r="F8" s="66" t="s">
        <v>504</v>
      </c>
    </row>
    <row r="9" spans="1:19" x14ac:dyDescent="0.2">
      <c r="B9" s="155" t="s">
        <v>491</v>
      </c>
      <c r="C9" t="e">
        <f>C8*TAN(RADIANS(180/C3))</f>
        <v>#N/A</v>
      </c>
      <c r="D9" s="66" t="s">
        <v>501</v>
      </c>
      <c r="E9" s="65" t="e">
        <f>C9*$C$17</f>
        <v>#N/A</v>
      </c>
      <c r="F9" s="66" t="s">
        <v>504</v>
      </c>
    </row>
    <row r="10" spans="1:19" x14ac:dyDescent="0.2">
      <c r="B10" s="159" t="s">
        <v>498</v>
      </c>
      <c r="C10" t="e">
        <f>360/C3*(C5-1)</f>
        <v>#N/A</v>
      </c>
      <c r="D10" s="66" t="s">
        <v>502</v>
      </c>
    </row>
    <row r="11" spans="1:19" x14ac:dyDescent="0.2">
      <c r="C11" s="160" t="s">
        <v>510</v>
      </c>
      <c r="D11" s="66" t="s">
        <v>146</v>
      </c>
      <c r="K11" s="155"/>
    </row>
    <row r="12" spans="1:19" x14ac:dyDescent="0.2">
      <c r="B12" s="159" t="s">
        <v>499</v>
      </c>
      <c r="C12" t="e">
        <f ca="1">OFFSET(Calculations!$BT$60,IF('Detailed Plot'!C4=1,'Detailed Plot'!C5-1,C5+18),0)</f>
        <v>#N/A</v>
      </c>
      <c r="D12" s="66" t="s">
        <v>501</v>
      </c>
      <c r="E12" s="65" t="e">
        <f ca="1">C12*$C$17</f>
        <v>#N/A</v>
      </c>
      <c r="F12" s="66" t="s">
        <v>504</v>
      </c>
    </row>
    <row r="13" spans="1:19" x14ac:dyDescent="0.2">
      <c r="B13" s="159" t="s">
        <v>500</v>
      </c>
      <c r="C13" t="e">
        <f ca="1">OFFSET(Calculations!$BU$60,IF('Detailed Plot'!C4=1,'Detailed Plot'!C5-1,C5+18),0)</f>
        <v>#N/A</v>
      </c>
      <c r="D13" s="66" t="s">
        <v>501</v>
      </c>
      <c r="E13" s="65" t="e">
        <f ca="1">C13*$C$17</f>
        <v>#N/A</v>
      </c>
      <c r="F13" s="66" t="s">
        <v>504</v>
      </c>
    </row>
    <row r="14" spans="1:19" x14ac:dyDescent="0.2">
      <c r="B14" s="161" t="s">
        <v>509</v>
      </c>
      <c r="C14" t="e">
        <f ca="1">(Calculations!$D$20+OFFSET(Calculations!$CA$60,IF('Detailed Plot'!C4=1,'Detailed Plot'!C5-1,C5+18),0))*COS(RADIANS(C10))</f>
        <v>#N/A</v>
      </c>
    </row>
    <row r="15" spans="1:19" x14ac:dyDescent="0.2">
      <c r="B15" s="161" t="s">
        <v>494</v>
      </c>
      <c r="C15" t="e">
        <f ca="1">(Calculations!$D$20+OFFSET(Calculations!$CA$60,IF('Detailed Plot'!C4=1,'Detailed Plot'!C5-1,C5+18),0))*SIN(RADIANS(C10))</f>
        <v>#N/A</v>
      </c>
      <c r="S15" t="s">
        <v>492</v>
      </c>
    </row>
    <row r="16" spans="1:19" x14ac:dyDescent="0.2">
      <c r="B16" s="921" t="s">
        <v>507</v>
      </c>
      <c r="C16" s="921"/>
    </row>
    <row r="17" spans="2:4" x14ac:dyDescent="0.2">
      <c r="B17" s="161" t="s">
        <v>508</v>
      </c>
      <c r="C17" s="65" t="e">
        <f>IF(C3=18,C21/C8,"")</f>
        <v>#N/A</v>
      </c>
      <c r="D17" s="65"/>
    </row>
    <row r="18" spans="2:4" x14ac:dyDescent="0.2">
      <c r="B18" s="922" t="s">
        <v>503</v>
      </c>
      <c r="C18" s="922"/>
      <c r="D18" s="65"/>
    </row>
    <row r="19" spans="2:4" x14ac:dyDescent="0.2">
      <c r="B19" s="159" t="s">
        <v>505</v>
      </c>
      <c r="C19" s="65">
        <v>340</v>
      </c>
      <c r="D19" s="66" t="s">
        <v>504</v>
      </c>
    </row>
    <row r="20" spans="2:4" x14ac:dyDescent="0.2">
      <c r="B20" s="159" t="s">
        <v>506</v>
      </c>
      <c r="C20" s="65">
        <v>345.2</v>
      </c>
      <c r="D20" s="66" t="s">
        <v>504</v>
      </c>
    </row>
    <row r="21" spans="2:4" x14ac:dyDescent="0.2">
      <c r="B21" s="161" t="s">
        <v>511</v>
      </c>
      <c r="C21" s="65">
        <v>318</v>
      </c>
      <c r="D21" s="66" t="s">
        <v>504</v>
      </c>
    </row>
    <row r="22" spans="2:4" x14ac:dyDescent="0.2">
      <c r="B22" s="161" t="s">
        <v>512</v>
      </c>
      <c r="C22">
        <v>334</v>
      </c>
      <c r="D22" s="66" t="s">
        <v>504</v>
      </c>
    </row>
    <row r="25" spans="2:4" x14ac:dyDescent="0.2">
      <c r="B25" s="155"/>
    </row>
    <row r="26" spans="2:4" x14ac:dyDescent="0.2">
      <c r="B26" s="155"/>
    </row>
    <row r="33" spans="2:2" x14ac:dyDescent="0.2">
      <c r="B33" s="65"/>
    </row>
  </sheetData>
  <mergeCells count="3">
    <mergeCell ref="B7:C7"/>
    <mergeCell ref="B16:C16"/>
    <mergeCell ref="B18:C18"/>
  </mergeCells>
  <dataValidations count="1">
    <dataValidation type="list" allowBlank="1" showInputMessage="1" showErrorMessage="1" sqref="C2" xr:uid="{00000000-0002-0000-0E00-000000000000}">
      <formula1>elev_list</formula1>
    </dataValidation>
  </dataValidation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1"/>
  <dimension ref="A1:LR30"/>
  <sheetViews>
    <sheetView workbookViewId="0"/>
  </sheetViews>
  <sheetFormatPr defaultRowHeight="12.75" x14ac:dyDescent="0.2"/>
  <sheetData>
    <row r="1" spans="1:330" x14ac:dyDescent="0.2">
      <c r="A1" s="173"/>
      <c r="B1" s="174"/>
      <c r="C1" s="94"/>
      <c r="D1" s="173"/>
      <c r="E1" s="174"/>
      <c r="F1" s="94"/>
      <c r="G1" s="173"/>
      <c r="H1" s="174"/>
      <c r="I1" s="94"/>
      <c r="J1" s="173"/>
      <c r="K1" s="174"/>
      <c r="L1" s="94"/>
      <c r="M1" s="173"/>
      <c r="N1" s="174"/>
      <c r="O1" s="94"/>
      <c r="P1" s="173"/>
      <c r="Q1" s="174"/>
      <c r="R1" s="94"/>
      <c r="S1" s="173"/>
      <c r="T1" s="174"/>
      <c r="U1" s="94"/>
      <c r="V1" s="173"/>
      <c r="W1" s="174"/>
      <c r="X1" s="94"/>
      <c r="Y1" s="173"/>
      <c r="Z1" s="174"/>
      <c r="AA1" s="94"/>
      <c r="AB1" s="173"/>
      <c r="AC1" s="174"/>
      <c r="AD1" s="94"/>
      <c r="AE1" s="173"/>
      <c r="AF1" s="174"/>
      <c r="AG1" s="94"/>
      <c r="AH1" s="173"/>
      <c r="AI1" s="174"/>
      <c r="AJ1" s="94"/>
      <c r="AK1" s="173"/>
      <c r="AL1" s="174"/>
      <c r="AM1" s="94"/>
      <c r="AN1" s="173"/>
      <c r="AO1" s="174"/>
      <c r="AP1" s="94"/>
      <c r="AQ1" s="173"/>
      <c r="AR1" s="174"/>
      <c r="AS1" s="94"/>
      <c r="AT1" s="173"/>
      <c r="AU1" s="174"/>
      <c r="AV1" s="94"/>
      <c r="AW1" s="173"/>
      <c r="AX1" s="174"/>
      <c r="AY1" s="94"/>
      <c r="AZ1" s="173"/>
      <c r="BA1" s="174"/>
      <c r="BB1" s="94"/>
      <c r="BC1" s="173"/>
      <c r="BD1" s="174"/>
      <c r="BE1" s="94"/>
      <c r="BF1" s="173">
        <v>0.31180232716874484</v>
      </c>
      <c r="BG1" s="174">
        <v>10</v>
      </c>
      <c r="BH1" s="94">
        <v>2.3828128685818686</v>
      </c>
      <c r="BI1" s="173">
        <v>0.25304456099174738</v>
      </c>
      <c r="BJ1" s="174">
        <v>10</v>
      </c>
      <c r="BK1" s="94">
        <v>2.4156771004922759</v>
      </c>
      <c r="BL1" s="173">
        <v>0.16463987869560834</v>
      </c>
      <c r="BM1" s="174">
        <v>5</v>
      </c>
      <c r="BN1" s="94">
        <v>2.7998960526052659</v>
      </c>
      <c r="BO1" s="173">
        <v>0.15566610621431465</v>
      </c>
      <c r="BP1" s="174">
        <v>5</v>
      </c>
      <c r="BQ1" s="94">
        <v>2.8990225677874508</v>
      </c>
      <c r="BR1" s="173">
        <v>0.14738596841472759</v>
      </c>
      <c r="BS1" s="174">
        <v>5</v>
      </c>
      <c r="BT1" s="94">
        <v>2.9960874601719656</v>
      </c>
      <c r="BU1" s="173">
        <v>0.13973813517657413</v>
      </c>
      <c r="BV1" s="174">
        <v>5</v>
      </c>
      <c r="BW1" s="94">
        <v>3.0911543839422566</v>
      </c>
      <c r="BX1" s="173">
        <v>0.13864192648402249</v>
      </c>
      <c r="BY1" s="174">
        <v>5</v>
      </c>
      <c r="BZ1" s="94">
        <v>3.1052459049768943</v>
      </c>
      <c r="CA1" s="173">
        <v>0.20704181284054463</v>
      </c>
      <c r="CB1" s="174">
        <v>10</v>
      </c>
      <c r="CC1" s="94">
        <v>2.6392264923826736</v>
      </c>
      <c r="CD1" s="173">
        <v>0.19535269011343415</v>
      </c>
      <c r="CE1" s="174">
        <v>10</v>
      </c>
      <c r="CF1" s="94">
        <v>2.7034871991658522</v>
      </c>
      <c r="CG1" s="173">
        <v>0.18462128646508602</v>
      </c>
      <c r="CH1" s="174">
        <v>10</v>
      </c>
      <c r="CI1" s="94">
        <v>2.7657894073461833</v>
      </c>
      <c r="CJ1" s="173">
        <v>0.22029271891000946</v>
      </c>
      <c r="CK1" s="174">
        <v>10</v>
      </c>
      <c r="CL1" s="94">
        <v>2.7688547119761635</v>
      </c>
      <c r="CM1" s="173"/>
      <c r="CN1" s="174"/>
      <c r="CO1" s="94"/>
      <c r="CP1" s="173"/>
      <c r="CQ1" s="174"/>
      <c r="CR1" s="94"/>
      <c r="CS1" s="173"/>
      <c r="CT1" s="174"/>
      <c r="CU1" s="94"/>
      <c r="CV1" s="173"/>
      <c r="CW1" s="174"/>
      <c r="CX1" s="94"/>
      <c r="CY1" s="173"/>
      <c r="CZ1" s="174"/>
      <c r="DA1" s="94"/>
      <c r="DB1" s="173"/>
      <c r="DC1" s="174"/>
      <c r="DD1" s="94"/>
      <c r="DE1" s="173"/>
      <c r="DF1" s="174"/>
      <c r="DG1" s="94"/>
      <c r="DH1" s="173"/>
      <c r="DI1" s="174"/>
      <c r="DJ1" s="94"/>
      <c r="DK1" s="173"/>
      <c r="DL1" s="174"/>
      <c r="DM1" s="94"/>
      <c r="DN1" s="173"/>
      <c r="DO1" s="174"/>
      <c r="DP1" s="94"/>
      <c r="DQ1" s="173"/>
      <c r="DR1" s="174"/>
      <c r="DS1" s="94"/>
      <c r="DT1" s="173"/>
      <c r="DU1" s="174"/>
      <c r="DV1" s="94"/>
      <c r="DW1" s="173"/>
      <c r="DX1" s="174"/>
      <c r="DY1" s="94"/>
      <c r="DZ1" s="173"/>
      <c r="EA1" s="174"/>
      <c r="EB1" s="94"/>
      <c r="EC1" s="173"/>
      <c r="ED1" s="174"/>
      <c r="EE1" s="94"/>
      <c r="EF1" s="173"/>
      <c r="EG1" s="174"/>
      <c r="EH1" s="94"/>
      <c r="EI1" s="173"/>
      <c r="EJ1" s="174"/>
      <c r="EK1" s="94"/>
      <c r="EL1" s="173"/>
      <c r="EM1" s="174"/>
      <c r="EN1" s="94"/>
      <c r="EO1" s="173"/>
      <c r="EP1" s="174"/>
      <c r="EQ1" s="94"/>
      <c r="ER1" s="173"/>
      <c r="ES1" s="174"/>
      <c r="ET1" s="94"/>
      <c r="EU1" s="173"/>
      <c r="EV1" s="174"/>
      <c r="EW1" s="94"/>
      <c r="EX1" s="173"/>
      <c r="EY1" s="174"/>
      <c r="EZ1" s="94"/>
      <c r="FA1" s="173"/>
      <c r="FB1" s="174"/>
      <c r="FC1" s="94"/>
      <c r="FD1" s="173"/>
      <c r="FE1" s="174"/>
      <c r="FF1" s="94"/>
      <c r="FG1" s="173"/>
      <c r="FH1" s="174"/>
      <c r="FI1" s="94"/>
      <c r="FJ1" s="173"/>
      <c r="FK1" s="174"/>
      <c r="FL1" s="94"/>
      <c r="FM1" s="173"/>
      <c r="FN1" s="174"/>
      <c r="FO1" s="94"/>
      <c r="FP1" s="173"/>
      <c r="FQ1" s="174"/>
      <c r="FR1" s="94"/>
      <c r="FS1" s="173"/>
      <c r="FT1" s="174"/>
      <c r="FU1" s="94"/>
      <c r="FV1" s="173"/>
      <c r="FW1" s="174"/>
      <c r="FX1" s="94"/>
      <c r="FY1" s="173"/>
      <c r="FZ1" s="174"/>
      <c r="GA1" s="94"/>
      <c r="GB1" s="173"/>
      <c r="GC1" s="174"/>
      <c r="GD1" s="94"/>
      <c r="GE1" s="173"/>
      <c r="GF1" s="174"/>
      <c r="GG1" s="94"/>
      <c r="GH1" s="173"/>
      <c r="GI1" s="174"/>
      <c r="GJ1" s="94"/>
      <c r="GK1" s="173"/>
      <c r="GL1" s="174"/>
      <c r="GM1" s="94"/>
      <c r="GN1" s="173"/>
      <c r="GO1" s="174"/>
      <c r="GP1" s="94"/>
      <c r="GQ1" s="173"/>
      <c r="GR1" s="174"/>
      <c r="GS1" s="94"/>
      <c r="GT1" s="173"/>
      <c r="GU1" s="174"/>
      <c r="GV1" s="94"/>
      <c r="GW1" s="173"/>
      <c r="GX1" s="174"/>
      <c r="GY1" s="94"/>
      <c r="GZ1" s="173"/>
      <c r="HA1" s="174"/>
      <c r="HB1" s="94"/>
      <c r="HC1" s="173"/>
      <c r="HD1" s="174"/>
      <c r="HE1" s="94"/>
      <c r="HF1" s="173"/>
      <c r="HG1" s="174"/>
      <c r="HH1" s="94"/>
      <c r="HI1" s="173"/>
      <c r="HJ1" s="174"/>
      <c r="HK1" s="94"/>
      <c r="HL1" s="173"/>
      <c r="HM1" s="174"/>
      <c r="HN1" s="94"/>
      <c r="HO1" s="173"/>
      <c r="HP1" s="174"/>
      <c r="HQ1" s="94"/>
      <c r="HR1" s="173"/>
      <c r="HS1" s="174"/>
      <c r="HT1" s="94"/>
      <c r="HU1" s="173"/>
      <c r="HV1" s="174"/>
      <c r="HW1" s="94"/>
      <c r="HX1" s="173"/>
      <c r="HY1" s="174"/>
      <c r="HZ1" s="94"/>
      <c r="IA1" s="173"/>
      <c r="IB1" s="174"/>
      <c r="IC1" s="94"/>
      <c r="ID1" s="173"/>
      <c r="IE1" s="174"/>
      <c r="IF1" s="94"/>
      <c r="IG1" s="173"/>
      <c r="IH1" s="174"/>
      <c r="II1" s="94"/>
      <c r="IJ1" s="173"/>
      <c r="IK1" s="174"/>
      <c r="IL1" s="94"/>
      <c r="IM1" s="173"/>
      <c r="IN1" s="174"/>
      <c r="IO1" s="94"/>
      <c r="IP1" s="173"/>
      <c r="IQ1" s="174"/>
      <c r="IR1" s="94"/>
      <c r="IS1" s="173"/>
      <c r="IT1" s="174"/>
      <c r="IU1" s="94"/>
      <c r="IV1" s="173"/>
      <c r="IW1" s="174"/>
      <c r="IX1" s="94"/>
      <c r="IY1" s="173"/>
      <c r="IZ1" s="174"/>
      <c r="JA1" s="94"/>
      <c r="JB1" s="173"/>
      <c r="JC1" s="174"/>
      <c r="JD1" s="94"/>
      <c r="JE1" s="173"/>
      <c r="JF1" s="174"/>
      <c r="JG1" s="94"/>
      <c r="JH1" s="173"/>
      <c r="JI1" s="174"/>
      <c r="JJ1" s="94"/>
      <c r="JK1" s="173"/>
      <c r="JL1" s="174"/>
      <c r="JM1" s="94"/>
      <c r="JN1" s="173"/>
      <c r="JO1" s="174"/>
      <c r="JP1" s="94"/>
      <c r="JQ1" s="173"/>
      <c r="JR1" s="174"/>
      <c r="JS1" s="94"/>
      <c r="JT1" s="173"/>
      <c r="JU1" s="174"/>
      <c r="JV1" s="94"/>
      <c r="JW1" s="173"/>
      <c r="JX1" s="174"/>
      <c r="JY1" s="94"/>
      <c r="JZ1" s="173"/>
      <c r="KA1" s="174"/>
      <c r="KB1" s="94"/>
      <c r="KC1" s="173"/>
      <c r="KD1" s="174"/>
      <c r="KE1" s="94"/>
      <c r="KF1" s="173"/>
      <c r="KG1" s="174"/>
      <c r="KH1" s="94"/>
      <c r="KI1" s="173"/>
      <c r="KJ1" s="174"/>
      <c r="KK1" s="94"/>
      <c r="KL1" s="173"/>
      <c r="KM1" s="174"/>
      <c r="KN1" s="94"/>
      <c r="KO1" s="89"/>
      <c r="KP1" s="65"/>
      <c r="KQ1" s="65"/>
      <c r="KR1" s="89"/>
      <c r="KS1" s="65"/>
      <c r="KT1" s="65"/>
      <c r="KU1" s="89"/>
      <c r="KV1" s="65"/>
      <c r="KW1" s="65"/>
      <c r="KX1" s="89"/>
      <c r="KY1" s="65"/>
      <c r="KZ1" s="65"/>
      <c r="LA1" s="89"/>
      <c r="LB1" s="65"/>
      <c r="LC1" s="65"/>
      <c r="LD1" s="89"/>
      <c r="LE1" s="65"/>
      <c r="LF1" s="65"/>
      <c r="LG1" s="89"/>
      <c r="LH1" s="65"/>
      <c r="LI1" s="65"/>
      <c r="LJ1" s="89"/>
      <c r="LK1" s="65"/>
      <c r="LL1" s="65"/>
      <c r="LM1" s="89"/>
      <c r="LN1" s="65"/>
      <c r="LO1" s="65"/>
      <c r="LP1" s="89"/>
      <c r="LQ1" s="65"/>
      <c r="LR1" s="65"/>
    </row>
    <row r="2" spans="1:330" x14ac:dyDescent="0.2">
      <c r="A2" s="91"/>
      <c r="B2" s="172"/>
      <c r="C2" s="95"/>
      <c r="D2" s="91"/>
      <c r="E2" s="172"/>
      <c r="F2" s="95"/>
      <c r="G2" s="91"/>
      <c r="H2" s="172"/>
      <c r="I2" s="95"/>
      <c r="J2" s="91"/>
      <c r="K2" s="172"/>
      <c r="L2" s="95"/>
      <c r="M2" s="91"/>
      <c r="N2" s="172"/>
      <c r="O2" s="95"/>
      <c r="P2" s="91"/>
      <c r="Q2" s="172"/>
      <c r="R2" s="95"/>
      <c r="S2" s="91"/>
      <c r="T2" s="172"/>
      <c r="U2" s="95"/>
      <c r="V2" s="91"/>
      <c r="W2" s="172"/>
      <c r="X2" s="95"/>
      <c r="Y2" s="91"/>
      <c r="Z2" s="172"/>
      <c r="AA2" s="95"/>
      <c r="AB2" s="91"/>
      <c r="AC2" s="172"/>
      <c r="AD2" s="95"/>
      <c r="AE2" s="91"/>
      <c r="AF2" s="172"/>
      <c r="AG2" s="95"/>
      <c r="AH2" s="91"/>
      <c r="AI2" s="172"/>
      <c r="AJ2" s="95"/>
      <c r="AK2" s="91"/>
      <c r="AL2" s="172"/>
      <c r="AM2" s="95"/>
      <c r="AN2" s="91"/>
      <c r="AO2" s="172"/>
      <c r="AP2" s="95"/>
      <c r="AQ2" s="91"/>
      <c r="AR2" s="172"/>
      <c r="AS2" s="95"/>
      <c r="AT2" s="91">
        <v>0.36458643283321562</v>
      </c>
      <c r="AU2" s="172">
        <v>120</v>
      </c>
      <c r="AV2" s="95">
        <v>-1.3857865210848782E-15</v>
      </c>
      <c r="AW2" s="91">
        <v>0.34944482373814889</v>
      </c>
      <c r="AX2" s="172">
        <v>130</v>
      </c>
      <c r="AY2" s="95">
        <v>-2.0366714543736126</v>
      </c>
      <c r="AZ2" s="91">
        <v>0.32344798486493753</v>
      </c>
      <c r="BA2" s="172">
        <v>130</v>
      </c>
      <c r="BB2" s="95">
        <v>-2.092753971315227</v>
      </c>
      <c r="BC2" s="91">
        <v>0.36682734579944909</v>
      </c>
      <c r="BD2" s="172">
        <v>130</v>
      </c>
      <c r="BE2" s="95">
        <v>-2.1041100415695877</v>
      </c>
      <c r="BF2" s="91"/>
      <c r="BG2" s="172"/>
      <c r="BH2" s="95"/>
      <c r="BI2" s="91"/>
      <c r="BJ2" s="172"/>
      <c r="BK2" s="95"/>
      <c r="BL2" s="91"/>
      <c r="BM2" s="172"/>
      <c r="BN2" s="95"/>
      <c r="BO2" s="91"/>
      <c r="BP2" s="172"/>
      <c r="BQ2" s="95"/>
      <c r="BR2" s="91"/>
      <c r="BS2" s="172"/>
      <c r="BT2" s="95"/>
      <c r="BU2" s="91"/>
      <c r="BV2" s="172"/>
      <c r="BW2" s="95"/>
      <c r="BX2" s="91"/>
      <c r="BY2" s="172"/>
      <c r="BZ2" s="95"/>
      <c r="CA2" s="91"/>
      <c r="CB2" s="172"/>
      <c r="CC2" s="95"/>
      <c r="CD2" s="91"/>
      <c r="CE2" s="172"/>
      <c r="CF2" s="95"/>
      <c r="CG2" s="91"/>
      <c r="CH2" s="172"/>
      <c r="CI2" s="95"/>
      <c r="CJ2" s="91"/>
      <c r="CK2" s="172"/>
      <c r="CL2" s="95"/>
      <c r="CM2" s="91"/>
      <c r="CN2" s="172"/>
      <c r="CO2" s="95"/>
      <c r="CP2" s="91"/>
      <c r="CQ2" s="172"/>
      <c r="CR2" s="95"/>
      <c r="CS2" s="91"/>
      <c r="CT2" s="172"/>
      <c r="CU2" s="95"/>
      <c r="CV2" s="91"/>
      <c r="CW2" s="172"/>
      <c r="CX2" s="95"/>
      <c r="CY2" s="91"/>
      <c r="CZ2" s="172"/>
      <c r="DA2" s="95"/>
      <c r="DB2" s="91"/>
      <c r="DC2" s="172"/>
      <c r="DD2" s="95"/>
      <c r="DE2" s="91"/>
      <c r="DF2" s="172"/>
      <c r="DG2" s="95"/>
      <c r="DH2" s="91"/>
      <c r="DI2" s="172"/>
      <c r="DJ2" s="95"/>
      <c r="DK2" s="91"/>
      <c r="DL2" s="172"/>
      <c r="DM2" s="95"/>
      <c r="DN2" s="91"/>
      <c r="DO2" s="172"/>
      <c r="DP2" s="95"/>
      <c r="DQ2" s="91"/>
      <c r="DR2" s="172"/>
      <c r="DS2" s="95"/>
      <c r="DT2" s="91"/>
      <c r="DU2" s="172"/>
      <c r="DV2" s="95"/>
      <c r="DW2" s="91"/>
      <c r="DX2" s="172"/>
      <c r="DY2" s="95"/>
      <c r="DZ2" s="91"/>
      <c r="EA2" s="172"/>
      <c r="EB2" s="95"/>
      <c r="EC2" s="91"/>
      <c r="ED2" s="172"/>
      <c r="EE2" s="95"/>
      <c r="EF2" s="91"/>
      <c r="EG2" s="172"/>
      <c r="EH2" s="95"/>
      <c r="EI2" s="91"/>
      <c r="EJ2" s="172"/>
      <c r="EK2" s="95"/>
      <c r="EL2" s="91"/>
      <c r="EM2" s="172"/>
      <c r="EN2" s="95"/>
      <c r="EO2" s="91"/>
      <c r="EP2" s="172"/>
      <c r="EQ2" s="95"/>
      <c r="ER2" s="91"/>
      <c r="ES2" s="172"/>
      <c r="ET2" s="95"/>
      <c r="EU2" s="91"/>
      <c r="EV2" s="172"/>
      <c r="EW2" s="95"/>
      <c r="EX2" s="91"/>
      <c r="EY2" s="172"/>
      <c r="EZ2" s="95"/>
      <c r="FA2" s="91"/>
      <c r="FB2" s="172"/>
      <c r="FC2" s="95"/>
      <c r="FD2" s="91"/>
      <c r="FE2" s="172"/>
      <c r="FF2" s="95"/>
      <c r="FG2" s="91"/>
      <c r="FH2" s="172"/>
      <c r="FI2" s="95"/>
      <c r="FJ2" s="91"/>
      <c r="FK2" s="172"/>
      <c r="FL2" s="95"/>
      <c r="FM2" s="91"/>
      <c r="FN2" s="172"/>
      <c r="FO2" s="95"/>
      <c r="FP2" s="91"/>
      <c r="FQ2" s="172"/>
      <c r="FR2" s="95"/>
      <c r="FS2" s="91"/>
      <c r="FT2" s="172"/>
      <c r="FU2" s="95"/>
      <c r="FV2" s="91"/>
      <c r="FW2" s="172"/>
      <c r="FX2" s="95"/>
      <c r="FY2" s="91"/>
      <c r="FZ2" s="172"/>
      <c r="GA2" s="95"/>
      <c r="GB2" s="91"/>
      <c r="GC2" s="172"/>
      <c r="GD2" s="95"/>
      <c r="GE2" s="91"/>
      <c r="GF2" s="172"/>
      <c r="GG2" s="95"/>
      <c r="GH2" s="91"/>
      <c r="GI2" s="172"/>
      <c r="GJ2" s="95"/>
      <c r="GK2" s="91"/>
      <c r="GL2" s="172"/>
      <c r="GM2" s="95"/>
      <c r="GN2" s="91"/>
      <c r="GO2" s="172"/>
      <c r="GP2" s="95"/>
      <c r="GQ2" s="91"/>
      <c r="GR2" s="172"/>
      <c r="GS2" s="95"/>
      <c r="GT2" s="91"/>
      <c r="GU2" s="172"/>
      <c r="GV2" s="95"/>
      <c r="GW2" s="91"/>
      <c r="GX2" s="172"/>
      <c r="GY2" s="95"/>
      <c r="GZ2" s="91"/>
      <c r="HA2" s="172"/>
      <c r="HB2" s="95"/>
      <c r="HC2" s="91"/>
      <c r="HD2" s="172"/>
      <c r="HE2" s="95"/>
      <c r="HF2" s="91"/>
      <c r="HG2" s="172"/>
      <c r="HH2" s="95"/>
      <c r="HI2" s="91"/>
      <c r="HJ2" s="172"/>
      <c r="HK2" s="95"/>
      <c r="HL2" s="91"/>
      <c r="HM2" s="172"/>
      <c r="HN2" s="95"/>
      <c r="HO2" s="91"/>
      <c r="HP2" s="172"/>
      <c r="HQ2" s="95"/>
      <c r="HR2" s="91"/>
      <c r="HS2" s="172"/>
      <c r="HT2" s="95"/>
      <c r="HU2" s="91"/>
      <c r="HV2" s="172"/>
      <c r="HW2" s="95"/>
      <c r="HX2" s="91"/>
      <c r="HY2" s="172"/>
      <c r="HZ2" s="95"/>
      <c r="IA2" s="91"/>
      <c r="IB2" s="172"/>
      <c r="IC2" s="95"/>
      <c r="ID2" s="91"/>
      <c r="IE2" s="172"/>
      <c r="IF2" s="95"/>
      <c r="IG2" s="91"/>
      <c r="IH2" s="172"/>
      <c r="II2" s="95"/>
      <c r="IJ2" s="91"/>
      <c r="IK2" s="172"/>
      <c r="IL2" s="95"/>
      <c r="IM2" s="91"/>
      <c r="IN2" s="172"/>
      <c r="IO2" s="95"/>
      <c r="IP2" s="91"/>
      <c r="IQ2" s="172"/>
      <c r="IR2" s="95"/>
      <c r="IS2" s="91"/>
      <c r="IT2" s="172"/>
      <c r="IU2" s="95"/>
      <c r="IV2" s="91"/>
      <c r="IW2" s="172"/>
      <c r="IX2" s="95"/>
      <c r="IY2" s="91"/>
      <c r="IZ2" s="172"/>
      <c r="JA2" s="95"/>
      <c r="JB2" s="91"/>
      <c r="JC2" s="172"/>
      <c r="JD2" s="95"/>
      <c r="JE2" s="91"/>
      <c r="JF2" s="172"/>
      <c r="JG2" s="95"/>
      <c r="JH2" s="91"/>
      <c r="JI2" s="172"/>
      <c r="JJ2" s="95"/>
      <c r="JK2" s="91"/>
      <c r="JL2" s="172"/>
      <c r="JM2" s="95"/>
      <c r="JN2" s="91"/>
      <c r="JO2" s="172"/>
      <c r="JP2" s="95"/>
      <c r="JQ2" s="91"/>
      <c r="JR2" s="172"/>
      <c r="JS2" s="95"/>
      <c r="JT2" s="91"/>
      <c r="JU2" s="172"/>
      <c r="JV2" s="95"/>
      <c r="JW2" s="91"/>
      <c r="JX2" s="172"/>
      <c r="JY2" s="95"/>
      <c r="JZ2" s="91"/>
      <c r="KA2" s="172"/>
      <c r="KB2" s="95"/>
      <c r="KC2" s="91"/>
      <c r="KD2" s="172"/>
      <c r="KE2" s="95"/>
      <c r="KF2" s="91"/>
      <c r="KG2" s="172"/>
      <c r="KH2" s="95"/>
      <c r="KI2" s="91"/>
      <c r="KJ2" s="172"/>
      <c r="KK2" s="95"/>
      <c r="KL2" s="91"/>
      <c r="KM2" s="172"/>
      <c r="KN2" s="95"/>
    </row>
    <row r="3" spans="1:330" x14ac:dyDescent="0.2">
      <c r="A3" s="91"/>
      <c r="B3" s="172"/>
      <c r="C3" s="95"/>
      <c r="D3" s="91"/>
      <c r="E3" s="172"/>
      <c r="F3" s="95"/>
      <c r="G3" s="91"/>
      <c r="H3" s="172"/>
      <c r="I3" s="95"/>
      <c r="J3" s="91"/>
      <c r="K3" s="172"/>
      <c r="L3" s="95"/>
      <c r="M3" s="91"/>
      <c r="N3" s="172"/>
      <c r="O3" s="95"/>
      <c r="P3" s="91"/>
      <c r="Q3" s="172"/>
      <c r="R3" s="95"/>
      <c r="S3" s="91"/>
      <c r="T3" s="172"/>
      <c r="U3" s="95"/>
      <c r="V3" s="91"/>
      <c r="W3" s="172"/>
      <c r="X3" s="95"/>
      <c r="Y3" s="91">
        <v>0.45408993240059481</v>
      </c>
      <c r="Z3" s="172">
        <v>0</v>
      </c>
      <c r="AA3" s="95">
        <v>0</v>
      </c>
      <c r="AB3" s="91">
        <v>0.35809130911582809</v>
      </c>
      <c r="AC3" s="172">
        <v>0</v>
      </c>
      <c r="AD3" s="95">
        <v>0</v>
      </c>
      <c r="AE3" s="91">
        <v>0.33435435873905495</v>
      </c>
      <c r="AF3" s="172">
        <v>0</v>
      </c>
      <c r="AG3" s="95">
        <v>0</v>
      </c>
      <c r="AH3" s="91">
        <v>0.31293235595973123</v>
      </c>
      <c r="AI3" s="172">
        <v>0</v>
      </c>
      <c r="AJ3" s="95">
        <v>0</v>
      </c>
      <c r="AK3" s="91">
        <v>0.29354146169507628</v>
      </c>
      <c r="AL3" s="172">
        <v>0</v>
      </c>
      <c r="AM3" s="95">
        <v>0</v>
      </c>
      <c r="AN3" s="91">
        <v>0.27593677999210853</v>
      </c>
      <c r="AO3" s="172">
        <v>120</v>
      </c>
      <c r="AP3" s="95">
        <v>0</v>
      </c>
      <c r="AQ3" s="91">
        <v>0.30784510683510841</v>
      </c>
      <c r="AR3" s="172">
        <v>0</v>
      </c>
      <c r="AS3" s="95">
        <v>0</v>
      </c>
      <c r="AT3" s="91"/>
      <c r="AU3" s="172"/>
      <c r="AV3" s="95"/>
      <c r="AW3" s="91"/>
      <c r="AX3" s="172"/>
      <c r="AY3" s="95"/>
      <c r="AZ3" s="91"/>
      <c r="BA3" s="172"/>
      <c r="BB3" s="95"/>
      <c r="BC3" s="91"/>
      <c r="BD3" s="172"/>
      <c r="BE3" s="95"/>
      <c r="BF3" s="91"/>
      <c r="BG3" s="172"/>
      <c r="BH3" s="95"/>
      <c r="BI3" s="91"/>
      <c r="BJ3" s="172"/>
      <c r="BK3" s="95"/>
      <c r="BL3" s="91"/>
      <c r="BM3" s="172"/>
      <c r="BN3" s="95"/>
      <c r="BO3" s="91"/>
      <c r="BP3" s="172"/>
      <c r="BQ3" s="95"/>
      <c r="BR3" s="91"/>
      <c r="BS3" s="172"/>
      <c r="BT3" s="95"/>
      <c r="BU3" s="91"/>
      <c r="BV3" s="172"/>
      <c r="BW3" s="95"/>
      <c r="BX3" s="91"/>
      <c r="BY3" s="172"/>
      <c r="BZ3" s="95"/>
      <c r="CA3" s="91"/>
      <c r="CB3" s="172"/>
      <c r="CC3" s="95"/>
      <c r="CD3" s="91"/>
      <c r="CE3" s="172"/>
      <c r="CF3" s="95"/>
      <c r="CG3" s="91"/>
      <c r="CH3" s="172"/>
      <c r="CI3" s="95"/>
      <c r="CJ3" s="91"/>
      <c r="CK3" s="172"/>
      <c r="CL3" s="95"/>
      <c r="CM3" s="91"/>
      <c r="CN3" s="172"/>
      <c r="CO3" s="95"/>
      <c r="CP3" s="91"/>
      <c r="CQ3" s="172"/>
      <c r="CR3" s="95"/>
      <c r="CS3" s="91"/>
      <c r="CT3" s="172"/>
      <c r="CU3" s="95"/>
      <c r="CV3" s="91"/>
      <c r="CW3" s="172"/>
      <c r="CX3" s="95"/>
      <c r="CY3" s="91"/>
      <c r="CZ3" s="172"/>
      <c r="DA3" s="95"/>
      <c r="DB3" s="91"/>
      <c r="DC3" s="172"/>
      <c r="DD3" s="95"/>
      <c r="DE3" s="91"/>
      <c r="DF3" s="172"/>
      <c r="DG3" s="95"/>
      <c r="DH3" s="91"/>
      <c r="DI3" s="172"/>
      <c r="DJ3" s="95"/>
      <c r="DK3" s="91"/>
      <c r="DL3" s="172"/>
      <c r="DM3" s="95"/>
      <c r="DN3" s="91"/>
      <c r="DO3" s="172"/>
      <c r="DP3" s="95"/>
      <c r="DQ3" s="91"/>
      <c r="DR3" s="172"/>
      <c r="DS3" s="95"/>
      <c r="DT3" s="91"/>
      <c r="DU3" s="172"/>
      <c r="DV3" s="95"/>
      <c r="DW3" s="91"/>
      <c r="DX3" s="172"/>
      <c r="DY3" s="95"/>
      <c r="DZ3" s="91"/>
      <c r="EA3" s="172"/>
      <c r="EB3" s="95"/>
      <c r="EC3" s="91"/>
      <c r="ED3" s="172"/>
      <c r="EE3" s="95"/>
      <c r="EF3" s="91"/>
      <c r="EG3" s="172"/>
      <c r="EH3" s="95"/>
      <c r="EI3" s="91"/>
      <c r="EJ3" s="172"/>
      <c r="EK3" s="95"/>
      <c r="EL3" s="91"/>
      <c r="EM3" s="172"/>
      <c r="EN3" s="95"/>
      <c r="EO3" s="91"/>
      <c r="EP3" s="172"/>
      <c r="EQ3" s="95"/>
      <c r="ER3" s="91"/>
      <c r="ES3" s="172"/>
      <c r="ET3" s="95"/>
      <c r="EU3" s="91"/>
      <c r="EV3" s="172"/>
      <c r="EW3" s="95"/>
      <c r="EX3" s="91"/>
      <c r="EY3" s="172"/>
      <c r="EZ3" s="95"/>
      <c r="FA3" s="91"/>
      <c r="FB3" s="172"/>
      <c r="FC3" s="95"/>
      <c r="FD3" s="91"/>
      <c r="FE3" s="172"/>
      <c r="FF3" s="95"/>
      <c r="FG3" s="91"/>
      <c r="FH3" s="172"/>
      <c r="FI3" s="95"/>
      <c r="FJ3" s="91"/>
      <c r="FK3" s="172"/>
      <c r="FL3" s="95"/>
      <c r="FM3" s="91"/>
      <c r="FN3" s="172"/>
      <c r="FO3" s="95"/>
      <c r="FP3" s="91"/>
      <c r="FQ3" s="172"/>
      <c r="FR3" s="95"/>
      <c r="FS3" s="91"/>
      <c r="FT3" s="172"/>
      <c r="FU3" s="95"/>
      <c r="FV3" s="91"/>
      <c r="FW3" s="172"/>
      <c r="FX3" s="95"/>
      <c r="FY3" s="91"/>
      <c r="FZ3" s="172"/>
      <c r="GA3" s="95"/>
      <c r="GB3" s="91"/>
      <c r="GC3" s="172"/>
      <c r="GD3" s="95"/>
      <c r="GE3" s="91"/>
      <c r="GF3" s="172"/>
      <c r="GG3" s="95"/>
      <c r="GH3" s="91"/>
      <c r="GI3" s="172"/>
      <c r="GJ3" s="95"/>
      <c r="GK3" s="91"/>
      <c r="GL3" s="172"/>
      <c r="GM3" s="95"/>
      <c r="GN3" s="91"/>
      <c r="GO3" s="172"/>
      <c r="GP3" s="95"/>
      <c r="GQ3" s="91"/>
      <c r="GR3" s="172"/>
      <c r="GS3" s="95"/>
      <c r="GT3" s="91"/>
      <c r="GU3" s="172"/>
      <c r="GV3" s="95"/>
      <c r="GW3" s="91"/>
      <c r="GX3" s="172"/>
      <c r="GY3" s="95"/>
      <c r="GZ3" s="91"/>
      <c r="HA3" s="172"/>
      <c r="HB3" s="95"/>
      <c r="HC3" s="91"/>
      <c r="HD3" s="172"/>
      <c r="HE3" s="95"/>
      <c r="HF3" s="91"/>
      <c r="HG3" s="172"/>
      <c r="HH3" s="95"/>
      <c r="HI3" s="91"/>
      <c r="HJ3" s="172"/>
      <c r="HK3" s="95"/>
      <c r="HL3" s="91"/>
      <c r="HM3" s="172"/>
      <c r="HN3" s="95"/>
      <c r="HO3" s="91"/>
      <c r="HP3" s="172"/>
      <c r="HQ3" s="95"/>
      <c r="HR3" s="91"/>
      <c r="HS3" s="172"/>
      <c r="HT3" s="95"/>
      <c r="HU3" s="91"/>
      <c r="HV3" s="172"/>
      <c r="HW3" s="95"/>
      <c r="HX3" s="91"/>
      <c r="HY3" s="172"/>
      <c r="HZ3" s="95"/>
      <c r="IA3" s="91"/>
      <c r="IB3" s="172"/>
      <c r="IC3" s="95"/>
      <c r="ID3" s="91"/>
      <c r="IE3" s="172"/>
      <c r="IF3" s="95"/>
      <c r="IG3" s="91"/>
      <c r="IH3" s="172"/>
      <c r="II3" s="95"/>
      <c r="IJ3" s="91"/>
      <c r="IK3" s="172"/>
      <c r="IL3" s="95"/>
      <c r="IM3" s="91"/>
      <c r="IN3" s="172"/>
      <c r="IO3" s="95"/>
      <c r="IP3" s="91"/>
      <c r="IQ3" s="172"/>
      <c r="IR3" s="95"/>
      <c r="IS3" s="91"/>
      <c r="IT3" s="172"/>
      <c r="IU3" s="95"/>
      <c r="IV3" s="91"/>
      <c r="IW3" s="172"/>
      <c r="IX3" s="95"/>
      <c r="IY3" s="91"/>
      <c r="IZ3" s="172"/>
      <c r="JA3" s="95"/>
      <c r="JB3" s="91"/>
      <c r="JC3" s="172"/>
      <c r="JD3" s="95"/>
      <c r="JE3" s="91"/>
      <c r="JF3" s="172"/>
      <c r="JG3" s="95"/>
      <c r="JH3" s="91"/>
      <c r="JI3" s="172"/>
      <c r="JJ3" s="95"/>
      <c r="JK3" s="91"/>
      <c r="JL3" s="172"/>
      <c r="JM3" s="95"/>
      <c r="JN3" s="91"/>
      <c r="JO3" s="172"/>
      <c r="JP3" s="95"/>
      <c r="JQ3" s="91"/>
      <c r="JR3" s="172"/>
      <c r="JS3" s="95"/>
      <c r="JT3" s="91"/>
      <c r="JU3" s="172"/>
      <c r="JV3" s="95"/>
      <c r="JW3" s="91"/>
      <c r="JX3" s="172"/>
      <c r="JY3" s="95"/>
      <c r="JZ3" s="91"/>
      <c r="KA3" s="172"/>
      <c r="KB3" s="95"/>
      <c r="KC3" s="91"/>
      <c r="KD3" s="172"/>
      <c r="KE3" s="95"/>
      <c r="KF3" s="91"/>
      <c r="KG3" s="172"/>
      <c r="KH3" s="95"/>
      <c r="KI3" s="91"/>
      <c r="KJ3" s="172"/>
      <c r="KK3" s="95"/>
      <c r="KL3" s="91"/>
      <c r="KM3" s="172"/>
      <c r="KN3" s="95"/>
    </row>
    <row r="4" spans="1:330" x14ac:dyDescent="0.2">
      <c r="A4" s="91"/>
      <c r="B4" s="172"/>
      <c r="C4" s="95"/>
      <c r="D4" s="91"/>
      <c r="E4" s="172"/>
      <c r="F4" s="95"/>
      <c r="G4" s="91"/>
      <c r="H4" s="172"/>
      <c r="I4" s="95"/>
      <c r="J4" s="91"/>
      <c r="K4" s="172"/>
      <c r="L4" s="95"/>
      <c r="M4" s="91"/>
      <c r="N4" s="172"/>
      <c r="O4" s="95"/>
      <c r="P4" s="91">
        <v>0.7674500211368559</v>
      </c>
      <c r="Q4" s="172">
        <v>0</v>
      </c>
      <c r="R4" s="95">
        <v>0</v>
      </c>
      <c r="S4" s="91">
        <v>0.52389200406965286</v>
      </c>
      <c r="T4" s="172">
        <v>0</v>
      </c>
      <c r="U4" s="95">
        <v>0</v>
      </c>
      <c r="V4" s="91">
        <v>0.868106239836688</v>
      </c>
      <c r="W4" s="172">
        <v>0</v>
      </c>
      <c r="X4" s="95">
        <v>0</v>
      </c>
      <c r="Y4" s="91"/>
      <c r="Z4" s="172"/>
      <c r="AA4" s="95"/>
      <c r="AB4" s="91"/>
      <c r="AC4" s="172"/>
      <c r="AD4" s="95"/>
      <c r="AE4" s="91"/>
      <c r="AF4" s="172"/>
      <c r="AG4" s="95"/>
      <c r="AH4" s="91"/>
      <c r="AI4" s="172"/>
      <c r="AJ4" s="95"/>
      <c r="AK4" s="91"/>
      <c r="AL4" s="172"/>
      <c r="AM4" s="95"/>
      <c r="AN4" s="91"/>
      <c r="AO4" s="172"/>
      <c r="AP4" s="95"/>
      <c r="AQ4" s="91"/>
      <c r="AR4" s="172"/>
      <c r="AS4" s="95"/>
      <c r="AT4" s="91"/>
      <c r="AU4" s="172"/>
      <c r="AV4" s="95"/>
      <c r="AW4" s="91"/>
      <c r="AX4" s="172"/>
      <c r="AY4" s="95"/>
      <c r="AZ4" s="91"/>
      <c r="BA4" s="172"/>
      <c r="BB4" s="95"/>
      <c r="BC4" s="91"/>
      <c r="BD4" s="172"/>
      <c r="BE4" s="95"/>
      <c r="BF4" s="91"/>
      <c r="BG4" s="172"/>
      <c r="BH4" s="95"/>
      <c r="BI4" s="91"/>
      <c r="BJ4" s="172"/>
      <c r="BK4" s="95"/>
      <c r="BL4" s="91"/>
      <c r="BM4" s="172"/>
      <c r="BN4" s="95"/>
      <c r="BO4" s="91"/>
      <c r="BP4" s="172"/>
      <c r="BQ4" s="95"/>
      <c r="BR4" s="91"/>
      <c r="BS4" s="172"/>
      <c r="BT4" s="95"/>
      <c r="BU4" s="91"/>
      <c r="BV4" s="172"/>
      <c r="BW4" s="95"/>
      <c r="BX4" s="91"/>
      <c r="BY4" s="172"/>
      <c r="BZ4" s="95"/>
      <c r="CA4" s="91"/>
      <c r="CB4" s="172"/>
      <c r="CC4" s="95"/>
      <c r="CD4" s="91"/>
      <c r="CE4" s="172"/>
      <c r="CF4" s="95"/>
      <c r="CG4" s="91"/>
      <c r="CH4" s="172"/>
      <c r="CI4" s="95"/>
      <c r="CJ4" s="91"/>
      <c r="CK4" s="172"/>
      <c r="CL4" s="95"/>
      <c r="CM4" s="91"/>
      <c r="CN4" s="172"/>
      <c r="CO4" s="95"/>
      <c r="CP4" s="91"/>
      <c r="CQ4" s="172"/>
      <c r="CR4" s="95"/>
      <c r="CS4" s="91"/>
      <c r="CT4" s="172"/>
      <c r="CU4" s="95"/>
      <c r="CV4" s="91"/>
      <c r="CW4" s="172"/>
      <c r="CX4" s="95"/>
      <c r="CY4" s="91"/>
      <c r="CZ4" s="172"/>
      <c r="DA4" s="95"/>
      <c r="DB4" s="91"/>
      <c r="DC4" s="172"/>
      <c r="DD4" s="95"/>
      <c r="DE4" s="91"/>
      <c r="DF4" s="172"/>
      <c r="DG4" s="95"/>
      <c r="DH4" s="91"/>
      <c r="DI4" s="172"/>
      <c r="DJ4" s="95"/>
      <c r="DK4" s="91"/>
      <c r="DL4" s="172"/>
      <c r="DM4" s="95"/>
      <c r="DN4" s="91"/>
      <c r="DO4" s="172"/>
      <c r="DP4" s="95"/>
      <c r="DQ4" s="91"/>
      <c r="DR4" s="172"/>
      <c r="DS4" s="95"/>
      <c r="DT4" s="91"/>
      <c r="DU4" s="172"/>
      <c r="DV4" s="95"/>
      <c r="DW4" s="91"/>
      <c r="DX4" s="172"/>
      <c r="DY4" s="95"/>
      <c r="DZ4" s="91"/>
      <c r="EA4" s="172"/>
      <c r="EB4" s="95"/>
      <c r="EC4" s="91"/>
      <c r="ED4" s="172"/>
      <c r="EE4" s="95"/>
      <c r="EF4" s="91"/>
      <c r="EG4" s="172"/>
      <c r="EH4" s="95"/>
      <c r="EI4" s="91"/>
      <c r="EJ4" s="172"/>
      <c r="EK4" s="95"/>
      <c r="EL4" s="91"/>
      <c r="EM4" s="172"/>
      <c r="EN4" s="95"/>
      <c r="EO4" s="91"/>
      <c r="EP4" s="172"/>
      <c r="EQ4" s="95"/>
      <c r="ER4" s="91"/>
      <c r="ES4" s="172"/>
      <c r="ET4" s="95"/>
      <c r="EU4" s="91"/>
      <c r="EV4" s="172"/>
      <c r="EW4" s="95"/>
      <c r="EX4" s="91"/>
      <c r="EY4" s="172"/>
      <c r="EZ4" s="95"/>
      <c r="FA4" s="91"/>
      <c r="FB4" s="172"/>
      <c r="FC4" s="95"/>
      <c r="FD4" s="91"/>
      <c r="FE4" s="172"/>
      <c r="FF4" s="95"/>
      <c r="FG4" s="91"/>
      <c r="FH4" s="172"/>
      <c r="FI4" s="95"/>
      <c r="FJ4" s="91"/>
      <c r="FK4" s="172"/>
      <c r="FL4" s="95"/>
      <c r="FM4" s="91"/>
      <c r="FN4" s="172"/>
      <c r="FO4" s="95"/>
      <c r="FP4" s="91"/>
      <c r="FQ4" s="172"/>
      <c r="FR4" s="95"/>
      <c r="FS4" s="91"/>
      <c r="FT4" s="172"/>
      <c r="FU4" s="95"/>
      <c r="FV4" s="91"/>
      <c r="FW4" s="172"/>
      <c r="FX4" s="95"/>
      <c r="FY4" s="91"/>
      <c r="FZ4" s="172"/>
      <c r="GA4" s="95"/>
      <c r="GB4" s="91"/>
      <c r="GC4" s="172"/>
      <c r="GD4" s="95"/>
      <c r="GE4" s="91"/>
      <c r="GF4" s="172"/>
      <c r="GG4" s="95"/>
      <c r="GH4" s="91"/>
      <c r="GI4" s="172"/>
      <c r="GJ4" s="95"/>
      <c r="GK4" s="91"/>
      <c r="GL4" s="172"/>
      <c r="GM4" s="95"/>
      <c r="GN4" s="91"/>
      <c r="GO4" s="172"/>
      <c r="GP4" s="95"/>
      <c r="GQ4" s="91"/>
      <c r="GR4" s="172"/>
      <c r="GS4" s="95"/>
      <c r="GT4" s="91"/>
      <c r="GU4" s="172"/>
      <c r="GV4" s="95"/>
      <c r="GW4" s="91"/>
      <c r="GX4" s="172"/>
      <c r="GY4" s="95"/>
      <c r="GZ4" s="91"/>
      <c r="HA4" s="172"/>
      <c r="HB4" s="95"/>
      <c r="HC4" s="91"/>
      <c r="HD4" s="172"/>
      <c r="HE4" s="95"/>
      <c r="HF4" s="91"/>
      <c r="HG4" s="172"/>
      <c r="HH4" s="95"/>
      <c r="HI4" s="91"/>
      <c r="HJ4" s="172"/>
      <c r="HK4" s="95"/>
      <c r="HL4" s="91"/>
      <c r="HM4" s="172"/>
      <c r="HN4" s="95"/>
      <c r="HO4" s="91"/>
      <c r="HP4" s="172"/>
      <c r="HQ4" s="95"/>
      <c r="HR4" s="91"/>
      <c r="HS4" s="172"/>
      <c r="HT4" s="95"/>
      <c r="HU4" s="91"/>
      <c r="HV4" s="172"/>
      <c r="HW4" s="95"/>
      <c r="HX4" s="91"/>
      <c r="HY4" s="172"/>
      <c r="HZ4" s="95"/>
      <c r="IA4" s="91"/>
      <c r="IB4" s="172"/>
      <c r="IC4" s="95"/>
      <c r="ID4" s="91"/>
      <c r="IE4" s="172"/>
      <c r="IF4" s="95"/>
      <c r="IG4" s="91"/>
      <c r="IH4" s="172"/>
      <c r="II4" s="95"/>
      <c r="IJ4" s="91"/>
      <c r="IK4" s="172"/>
      <c r="IL4" s="95"/>
      <c r="IM4" s="91"/>
      <c r="IN4" s="172"/>
      <c r="IO4" s="95"/>
      <c r="IP4" s="91"/>
      <c r="IQ4" s="172"/>
      <c r="IR4" s="95"/>
      <c r="IS4" s="91"/>
      <c r="IT4" s="172"/>
      <c r="IU4" s="95"/>
      <c r="IV4" s="91"/>
      <c r="IW4" s="172"/>
      <c r="IX4" s="95"/>
      <c r="IY4" s="91"/>
      <c r="IZ4" s="172"/>
      <c r="JA4" s="95"/>
      <c r="JB4" s="91"/>
      <c r="JC4" s="172"/>
      <c r="JD4" s="95"/>
      <c r="JE4" s="91"/>
      <c r="JF4" s="172"/>
      <c r="JG4" s="95"/>
      <c r="JH4" s="91"/>
      <c r="JI4" s="172"/>
      <c r="JJ4" s="95"/>
      <c r="JK4" s="91"/>
      <c r="JL4" s="172"/>
      <c r="JM4" s="95"/>
      <c r="JN4" s="91"/>
      <c r="JO4" s="172"/>
      <c r="JP4" s="95"/>
      <c r="JQ4" s="91"/>
      <c r="JR4" s="172"/>
      <c r="JS4" s="95"/>
      <c r="JT4" s="91"/>
      <c r="JU4" s="172"/>
      <c r="JV4" s="95"/>
      <c r="JW4" s="91"/>
      <c r="JX4" s="172"/>
      <c r="JY4" s="95"/>
      <c r="JZ4" s="91"/>
      <c r="KA4" s="172"/>
      <c r="KB4" s="95"/>
      <c r="KC4" s="91"/>
      <c r="KD4" s="172"/>
      <c r="KE4" s="95"/>
      <c r="KF4" s="91"/>
      <c r="KG4" s="172"/>
      <c r="KH4" s="95"/>
      <c r="KI4" s="91"/>
      <c r="KJ4" s="172"/>
      <c r="KK4" s="95"/>
      <c r="KL4" s="91"/>
      <c r="KM4" s="172"/>
      <c r="KN4" s="95"/>
    </row>
    <row r="5" spans="1:330" x14ac:dyDescent="0.2">
      <c r="A5" s="91"/>
      <c r="B5" s="172"/>
      <c r="C5" s="95"/>
      <c r="D5" s="91"/>
      <c r="E5" s="172"/>
      <c r="F5" s="95"/>
      <c r="G5" s="91"/>
      <c r="H5" s="172"/>
      <c r="I5" s="95"/>
      <c r="J5" s="91"/>
      <c r="K5" s="172"/>
      <c r="L5" s="95"/>
      <c r="M5" s="91"/>
      <c r="N5" s="172"/>
      <c r="O5" s="95"/>
      <c r="P5" s="91"/>
      <c r="Q5" s="172"/>
      <c r="R5" s="95"/>
      <c r="S5" s="91"/>
      <c r="T5" s="172"/>
      <c r="U5" s="95"/>
      <c r="V5" s="91"/>
      <c r="W5" s="172"/>
      <c r="X5" s="95"/>
      <c r="Y5" s="91"/>
      <c r="Z5" s="172"/>
      <c r="AA5" s="95"/>
      <c r="AB5" s="91"/>
      <c r="AC5" s="172"/>
      <c r="AD5" s="95"/>
      <c r="AE5" s="91"/>
      <c r="AF5" s="172"/>
      <c r="AG5" s="95"/>
      <c r="AH5" s="91"/>
      <c r="AI5" s="172"/>
      <c r="AJ5" s="95"/>
      <c r="AK5" s="91"/>
      <c r="AL5" s="172"/>
      <c r="AM5" s="95"/>
      <c r="AN5" s="91"/>
      <c r="AO5" s="172"/>
      <c r="AP5" s="95"/>
      <c r="AQ5" s="91"/>
      <c r="AR5" s="172"/>
      <c r="AS5" s="95"/>
      <c r="AT5" s="91"/>
      <c r="AU5" s="172"/>
      <c r="AV5" s="95"/>
      <c r="AW5" s="91"/>
      <c r="AX5" s="172"/>
      <c r="AY5" s="95"/>
      <c r="AZ5" s="91"/>
      <c r="BA5" s="172"/>
      <c r="BB5" s="95"/>
      <c r="BC5" s="91"/>
      <c r="BD5" s="172"/>
      <c r="BE5" s="95"/>
      <c r="BF5" s="91"/>
      <c r="BG5" s="172"/>
      <c r="BH5" s="95"/>
      <c r="BI5" s="91"/>
      <c r="BJ5" s="172"/>
      <c r="BK5" s="95"/>
      <c r="BL5" s="91">
        <v>0.22229388475839021</v>
      </c>
      <c r="BM5" s="172">
        <v>175</v>
      </c>
      <c r="BN5" s="95">
        <v>-2.8030325754488929</v>
      </c>
      <c r="BO5" s="91">
        <v>0.18266215399407398</v>
      </c>
      <c r="BP5" s="172">
        <v>175</v>
      </c>
      <c r="BQ5" s="95">
        <v>-2.9017660786719635</v>
      </c>
      <c r="BR5" s="91">
        <v>0.17273562840053253</v>
      </c>
      <c r="BS5" s="172">
        <v>175</v>
      </c>
      <c r="BT5" s="95">
        <v>-2.9984461329185974</v>
      </c>
      <c r="BU5" s="91">
        <v>0.16359159718558</v>
      </c>
      <c r="BV5" s="172">
        <v>175</v>
      </c>
      <c r="BW5" s="95">
        <v>-3.0931361399992499</v>
      </c>
      <c r="BX5" s="91">
        <v>0.18646861979742202</v>
      </c>
      <c r="BY5" s="172">
        <v>175</v>
      </c>
      <c r="BZ5" s="95">
        <v>-3.1071717916605053</v>
      </c>
      <c r="CA5" s="91"/>
      <c r="CB5" s="172"/>
      <c r="CC5" s="95"/>
      <c r="CD5" s="91"/>
      <c r="CE5" s="172"/>
      <c r="CF5" s="95"/>
      <c r="CG5" s="91"/>
      <c r="CH5" s="172"/>
      <c r="CI5" s="95"/>
      <c r="CJ5" s="91"/>
      <c r="CK5" s="172"/>
      <c r="CL5" s="95"/>
      <c r="CM5" s="91"/>
      <c r="CN5" s="172"/>
      <c r="CO5" s="95"/>
      <c r="CP5" s="91"/>
      <c r="CQ5" s="172"/>
      <c r="CR5" s="95"/>
      <c r="CS5" s="91"/>
      <c r="CT5" s="172"/>
      <c r="CU5" s="95"/>
      <c r="CV5" s="91"/>
      <c r="CW5" s="172"/>
      <c r="CX5" s="95"/>
      <c r="CY5" s="91"/>
      <c r="CZ5" s="172"/>
      <c r="DA5" s="95"/>
      <c r="DB5" s="91"/>
      <c r="DC5" s="172"/>
      <c r="DD5" s="95"/>
      <c r="DE5" s="91"/>
      <c r="DF5" s="172"/>
      <c r="DG5" s="95"/>
      <c r="DH5" s="91"/>
      <c r="DI5" s="172"/>
      <c r="DJ5" s="95"/>
      <c r="DK5" s="91"/>
      <c r="DL5" s="172"/>
      <c r="DM5" s="95"/>
      <c r="DN5" s="91"/>
      <c r="DO5" s="172"/>
      <c r="DP5" s="95"/>
      <c r="DQ5" s="91"/>
      <c r="DR5" s="172"/>
      <c r="DS5" s="95"/>
      <c r="DT5" s="91"/>
      <c r="DU5" s="172"/>
      <c r="DV5" s="95"/>
      <c r="DW5" s="91"/>
      <c r="DX5" s="172"/>
      <c r="DY5" s="95"/>
      <c r="DZ5" s="91"/>
      <c r="EA5" s="172"/>
      <c r="EB5" s="95"/>
      <c r="EC5" s="91"/>
      <c r="ED5" s="172"/>
      <c r="EE5" s="95"/>
      <c r="EF5" s="91"/>
      <c r="EG5" s="172"/>
      <c r="EH5" s="95"/>
      <c r="EI5" s="91"/>
      <c r="EJ5" s="172"/>
      <c r="EK5" s="95"/>
      <c r="EL5" s="91"/>
      <c r="EM5" s="172"/>
      <c r="EN5" s="95"/>
      <c r="EO5" s="91"/>
      <c r="EP5" s="172"/>
      <c r="EQ5" s="95"/>
      <c r="ER5" s="91"/>
      <c r="ES5" s="172"/>
      <c r="ET5" s="95"/>
      <c r="EU5" s="91"/>
      <c r="EV5" s="172"/>
      <c r="EW5" s="95"/>
      <c r="EX5" s="91"/>
      <c r="EY5" s="172"/>
      <c r="EZ5" s="95"/>
      <c r="FA5" s="91"/>
      <c r="FB5" s="172"/>
      <c r="FC5" s="95"/>
      <c r="FD5" s="91"/>
      <c r="FE5" s="172"/>
      <c r="FF5" s="95"/>
      <c r="FG5" s="91"/>
      <c r="FH5" s="172"/>
      <c r="FI5" s="95"/>
      <c r="FJ5" s="91"/>
      <c r="FK5" s="172"/>
      <c r="FL5" s="95"/>
      <c r="FM5" s="91"/>
      <c r="FN5" s="172"/>
      <c r="FO5" s="95"/>
      <c r="FP5" s="91"/>
      <c r="FQ5" s="172"/>
      <c r="FR5" s="95"/>
      <c r="FS5" s="91"/>
      <c r="FT5" s="172"/>
      <c r="FU5" s="95"/>
      <c r="FV5" s="91"/>
      <c r="FW5" s="172"/>
      <c r="FX5" s="95"/>
      <c r="FY5" s="91"/>
      <c r="FZ5" s="172"/>
      <c r="GA5" s="95"/>
      <c r="GB5" s="91"/>
      <c r="GC5" s="172"/>
      <c r="GD5" s="95"/>
      <c r="GE5" s="91"/>
      <c r="GF5" s="172"/>
      <c r="GG5" s="95"/>
      <c r="GH5" s="91"/>
      <c r="GI5" s="172"/>
      <c r="GJ5" s="95"/>
      <c r="GK5" s="91"/>
      <c r="GL5" s="172"/>
      <c r="GM5" s="95"/>
      <c r="GN5" s="91"/>
      <c r="GO5" s="172"/>
      <c r="GP5" s="95"/>
      <c r="GQ5" s="91"/>
      <c r="GR5" s="172"/>
      <c r="GS5" s="95"/>
      <c r="GT5" s="91"/>
      <c r="GU5" s="172"/>
      <c r="GV5" s="95"/>
      <c r="GW5" s="91"/>
      <c r="GX5" s="172"/>
      <c r="GY5" s="95"/>
      <c r="GZ5" s="91"/>
      <c r="HA5" s="172"/>
      <c r="HB5" s="95"/>
      <c r="HC5" s="91"/>
      <c r="HD5" s="172"/>
      <c r="HE5" s="95"/>
      <c r="HF5" s="91"/>
      <c r="HG5" s="172"/>
      <c r="HH5" s="95"/>
      <c r="HI5" s="91"/>
      <c r="HJ5" s="172"/>
      <c r="HK5" s="95"/>
      <c r="HL5" s="91"/>
      <c r="HM5" s="172"/>
      <c r="HN5" s="95"/>
      <c r="HO5" s="91"/>
      <c r="HP5" s="172"/>
      <c r="HQ5" s="95"/>
      <c r="HR5" s="91"/>
      <c r="HS5" s="172"/>
      <c r="HT5" s="95"/>
      <c r="HU5" s="91"/>
      <c r="HV5" s="172"/>
      <c r="HW5" s="95"/>
      <c r="HX5" s="91"/>
      <c r="HY5" s="172"/>
      <c r="HZ5" s="95"/>
      <c r="IA5" s="91"/>
      <c r="IB5" s="172"/>
      <c r="IC5" s="95"/>
      <c r="ID5" s="91"/>
      <c r="IE5" s="172"/>
      <c r="IF5" s="95"/>
      <c r="IG5" s="91"/>
      <c r="IH5" s="172"/>
      <c r="II5" s="95"/>
      <c r="IJ5" s="91"/>
      <c r="IK5" s="172"/>
      <c r="IL5" s="95"/>
      <c r="IM5" s="91"/>
      <c r="IN5" s="172"/>
      <c r="IO5" s="95"/>
      <c r="IP5" s="91"/>
      <c r="IQ5" s="172"/>
      <c r="IR5" s="95"/>
      <c r="IS5" s="91"/>
      <c r="IT5" s="172"/>
      <c r="IU5" s="95"/>
      <c r="IV5" s="91"/>
      <c r="IW5" s="172"/>
      <c r="IX5" s="95"/>
      <c r="IY5" s="91"/>
      <c r="IZ5" s="172"/>
      <c r="JA5" s="95"/>
      <c r="JB5" s="91"/>
      <c r="JC5" s="172"/>
      <c r="JD5" s="95"/>
      <c r="JE5" s="91"/>
      <c r="JF5" s="172"/>
      <c r="JG5" s="95"/>
      <c r="JH5" s="91"/>
      <c r="JI5" s="172"/>
      <c r="JJ5" s="95"/>
      <c r="JK5" s="91"/>
      <c r="JL5" s="172"/>
      <c r="JM5" s="95"/>
      <c r="JN5" s="91"/>
      <c r="JO5" s="172"/>
      <c r="JP5" s="95"/>
      <c r="JQ5" s="91"/>
      <c r="JR5" s="172"/>
      <c r="JS5" s="95"/>
      <c r="JT5" s="91"/>
      <c r="JU5" s="172"/>
      <c r="JV5" s="95"/>
      <c r="JW5" s="91"/>
      <c r="JX5" s="172"/>
      <c r="JY5" s="95"/>
      <c r="JZ5" s="91"/>
      <c r="KA5" s="172"/>
      <c r="KB5" s="95"/>
      <c r="KC5" s="91"/>
      <c r="KD5" s="172"/>
      <c r="KE5" s="95"/>
      <c r="KF5" s="91"/>
      <c r="KG5" s="172"/>
      <c r="KH5" s="95"/>
      <c r="KI5" s="91"/>
      <c r="KJ5" s="172"/>
      <c r="KK5" s="95"/>
      <c r="KL5" s="91"/>
      <c r="KM5" s="172"/>
      <c r="KN5" s="95"/>
    </row>
    <row r="6" spans="1:330" x14ac:dyDescent="0.2">
      <c r="A6" s="91">
        <v>0.37827215385174662</v>
      </c>
      <c r="B6" s="172">
        <v>30</v>
      </c>
      <c r="C6" s="95">
        <v>0</v>
      </c>
      <c r="D6" s="91">
        <v>0.37827215385174662</v>
      </c>
      <c r="E6" s="172">
        <v>30</v>
      </c>
      <c r="F6" s="95">
        <v>0</v>
      </c>
      <c r="G6" s="91">
        <v>0.37827215385174662</v>
      </c>
      <c r="H6" s="172">
        <v>30</v>
      </c>
      <c r="I6" s="95">
        <v>0</v>
      </c>
      <c r="J6" s="91"/>
      <c r="K6" s="172"/>
      <c r="L6" s="95"/>
      <c r="M6" s="91"/>
      <c r="N6" s="172"/>
      <c r="O6" s="95"/>
      <c r="P6" s="91"/>
      <c r="Q6" s="172"/>
      <c r="R6" s="95"/>
      <c r="S6" s="91"/>
      <c r="T6" s="172"/>
      <c r="U6" s="95"/>
      <c r="V6" s="91"/>
      <c r="W6" s="172"/>
      <c r="X6" s="95"/>
      <c r="Y6" s="91"/>
      <c r="Z6" s="172"/>
      <c r="AA6" s="95"/>
      <c r="AB6" s="91"/>
      <c r="AC6" s="172"/>
      <c r="AD6" s="95"/>
      <c r="AE6" s="91"/>
      <c r="AF6" s="172"/>
      <c r="AG6" s="95"/>
      <c r="AH6" s="91"/>
      <c r="AI6" s="172"/>
      <c r="AJ6" s="95"/>
      <c r="AK6" s="91"/>
      <c r="AL6" s="172"/>
      <c r="AM6" s="95"/>
      <c r="AN6" s="91"/>
      <c r="AO6" s="172"/>
      <c r="AP6" s="95"/>
      <c r="AQ6" s="91"/>
      <c r="AR6" s="172"/>
      <c r="AS6" s="95"/>
      <c r="AT6" s="91"/>
      <c r="AU6" s="172"/>
      <c r="AV6" s="95"/>
      <c r="AW6" s="91"/>
      <c r="AX6" s="172"/>
      <c r="AY6" s="95"/>
      <c r="AZ6" s="91"/>
      <c r="BA6" s="172"/>
      <c r="BB6" s="95"/>
      <c r="BC6" s="91"/>
      <c r="BD6" s="172"/>
      <c r="BE6" s="95"/>
      <c r="BF6" s="91"/>
      <c r="BG6" s="172"/>
      <c r="BH6" s="95"/>
      <c r="BI6" s="91"/>
      <c r="BJ6" s="172"/>
      <c r="BK6" s="95"/>
      <c r="BL6" s="91"/>
      <c r="BM6" s="172"/>
      <c r="BN6" s="95"/>
      <c r="BO6" s="91"/>
      <c r="BP6" s="172"/>
      <c r="BQ6" s="95"/>
      <c r="BR6" s="91"/>
      <c r="BS6" s="172"/>
      <c r="BT6" s="95"/>
      <c r="BU6" s="91"/>
      <c r="BV6" s="172"/>
      <c r="BW6" s="95"/>
      <c r="BX6" s="91"/>
      <c r="BY6" s="172"/>
      <c r="BZ6" s="95"/>
      <c r="CA6" s="91"/>
      <c r="CB6" s="172"/>
      <c r="CC6" s="95"/>
      <c r="CD6" s="91"/>
      <c r="CE6" s="172"/>
      <c r="CF6" s="95"/>
      <c r="CG6" s="91"/>
      <c r="CH6" s="172"/>
      <c r="CI6" s="95"/>
      <c r="CJ6" s="91"/>
      <c r="CK6" s="172"/>
      <c r="CL6" s="95"/>
      <c r="CM6" s="91"/>
      <c r="CN6" s="172"/>
      <c r="CO6" s="95"/>
      <c r="CP6" s="91"/>
      <c r="CQ6" s="172"/>
      <c r="CR6" s="95"/>
      <c r="CS6" s="91"/>
      <c r="CT6" s="172"/>
      <c r="CU6" s="95"/>
      <c r="CV6" s="91"/>
      <c r="CW6" s="172"/>
      <c r="CX6" s="95"/>
      <c r="CY6" s="91"/>
      <c r="CZ6" s="172"/>
      <c r="DA6" s="95"/>
      <c r="DB6" s="91"/>
      <c r="DC6" s="172"/>
      <c r="DD6" s="95"/>
      <c r="DE6" s="91"/>
      <c r="DF6" s="172"/>
      <c r="DG6" s="95"/>
      <c r="DH6" s="91"/>
      <c r="DI6" s="172"/>
      <c r="DJ6" s="95"/>
      <c r="DK6" s="91"/>
      <c r="DL6" s="172"/>
      <c r="DM6" s="95"/>
      <c r="DN6" s="91"/>
      <c r="DO6" s="172"/>
      <c r="DP6" s="95"/>
      <c r="DQ6" s="91"/>
      <c r="DR6" s="172"/>
      <c r="DS6" s="95"/>
      <c r="DT6" s="91"/>
      <c r="DU6" s="172"/>
      <c r="DV6" s="95"/>
      <c r="DW6" s="91"/>
      <c r="DX6" s="172"/>
      <c r="DY6" s="95"/>
      <c r="DZ6" s="91"/>
      <c r="EA6" s="172"/>
      <c r="EB6" s="95"/>
      <c r="EC6" s="91"/>
      <c r="ED6" s="172"/>
      <c r="EE6" s="95"/>
      <c r="EF6" s="91"/>
      <c r="EG6" s="172"/>
      <c r="EH6" s="95"/>
      <c r="EI6" s="91"/>
      <c r="EJ6" s="172"/>
      <c r="EK6" s="95"/>
      <c r="EL6" s="91"/>
      <c r="EM6" s="172"/>
      <c r="EN6" s="95"/>
      <c r="EO6" s="91"/>
      <c r="EP6" s="172"/>
      <c r="EQ6" s="95"/>
      <c r="ER6" s="91"/>
      <c r="ES6" s="172"/>
      <c r="ET6" s="95"/>
      <c r="EU6" s="91"/>
      <c r="EV6" s="172"/>
      <c r="EW6" s="95"/>
      <c r="EX6" s="91"/>
      <c r="EY6" s="172"/>
      <c r="EZ6" s="95"/>
      <c r="FA6" s="91"/>
      <c r="FB6" s="172"/>
      <c r="FC6" s="95"/>
      <c r="FD6" s="91"/>
      <c r="FE6" s="172"/>
      <c r="FF6" s="95"/>
      <c r="FG6" s="91"/>
      <c r="FH6" s="172"/>
      <c r="FI6" s="95"/>
      <c r="FJ6" s="91"/>
      <c r="FK6" s="172"/>
      <c r="FL6" s="95"/>
      <c r="FM6" s="91"/>
      <c r="FN6" s="172"/>
      <c r="FO6" s="95"/>
      <c r="FP6" s="91"/>
      <c r="FQ6" s="172"/>
      <c r="FR6" s="95"/>
      <c r="FS6" s="91"/>
      <c r="FT6" s="172"/>
      <c r="FU6" s="95"/>
      <c r="FV6" s="91"/>
      <c r="FW6" s="172"/>
      <c r="FX6" s="95"/>
      <c r="FY6" s="91"/>
      <c r="FZ6" s="172"/>
      <c r="GA6" s="95"/>
      <c r="GB6" s="91"/>
      <c r="GC6" s="172"/>
      <c r="GD6" s="95"/>
      <c r="GE6" s="91"/>
      <c r="GF6" s="172"/>
      <c r="GG6" s="95"/>
      <c r="GH6" s="91"/>
      <c r="GI6" s="172"/>
      <c r="GJ6" s="95"/>
      <c r="GK6" s="91"/>
      <c r="GL6" s="172"/>
      <c r="GM6" s="95"/>
      <c r="GN6" s="91"/>
      <c r="GO6" s="172"/>
      <c r="GP6" s="95"/>
      <c r="GQ6" s="91"/>
      <c r="GR6" s="172"/>
      <c r="GS6" s="95"/>
      <c r="GT6" s="91"/>
      <c r="GU6" s="172"/>
      <c r="GV6" s="95"/>
      <c r="GW6" s="91"/>
      <c r="GX6" s="172"/>
      <c r="GY6" s="95"/>
      <c r="GZ6" s="91"/>
      <c r="HA6" s="172"/>
      <c r="HB6" s="95"/>
      <c r="HC6" s="91"/>
      <c r="HD6" s="172"/>
      <c r="HE6" s="95"/>
      <c r="HF6" s="91"/>
      <c r="HG6" s="172"/>
      <c r="HH6" s="95"/>
      <c r="HI6" s="91"/>
      <c r="HJ6" s="172"/>
      <c r="HK6" s="95"/>
      <c r="HL6" s="91"/>
      <c r="HM6" s="172"/>
      <c r="HN6" s="95"/>
      <c r="HO6" s="91"/>
      <c r="HP6" s="172"/>
      <c r="HQ6" s="95"/>
      <c r="HR6" s="91"/>
      <c r="HS6" s="172"/>
      <c r="HT6" s="95"/>
      <c r="HU6" s="91"/>
      <c r="HV6" s="172"/>
      <c r="HW6" s="95"/>
      <c r="HX6" s="91"/>
      <c r="HY6" s="172"/>
      <c r="HZ6" s="95"/>
      <c r="IA6" s="91"/>
      <c r="IB6" s="172"/>
      <c r="IC6" s="95"/>
      <c r="ID6" s="91"/>
      <c r="IE6" s="172"/>
      <c r="IF6" s="95"/>
      <c r="IG6" s="91"/>
      <c r="IH6" s="172"/>
      <c r="II6" s="95"/>
      <c r="IJ6" s="91"/>
      <c r="IK6" s="172"/>
      <c r="IL6" s="95"/>
      <c r="IM6" s="91"/>
      <c r="IN6" s="172"/>
      <c r="IO6" s="95"/>
      <c r="IP6" s="91"/>
      <c r="IQ6" s="172"/>
      <c r="IR6" s="95"/>
      <c r="IS6" s="91"/>
      <c r="IT6" s="172"/>
      <c r="IU6" s="95"/>
      <c r="IV6" s="91"/>
      <c r="IW6" s="172"/>
      <c r="IX6" s="95"/>
      <c r="IY6" s="91"/>
      <c r="IZ6" s="172"/>
      <c r="JA6" s="95"/>
      <c r="JB6" s="91"/>
      <c r="JC6" s="172"/>
      <c r="JD6" s="95"/>
      <c r="JE6" s="91"/>
      <c r="JF6" s="172"/>
      <c r="JG6" s="95"/>
      <c r="JH6" s="91"/>
      <c r="JI6" s="172"/>
      <c r="JJ6" s="95"/>
      <c r="JK6" s="91"/>
      <c r="JL6" s="172"/>
      <c r="JM6" s="95"/>
      <c r="JN6" s="91"/>
      <c r="JO6" s="172"/>
      <c r="JP6" s="95"/>
      <c r="JQ6" s="91"/>
      <c r="JR6" s="172"/>
      <c r="JS6" s="95"/>
      <c r="JT6" s="91"/>
      <c r="JU6" s="172"/>
      <c r="JV6" s="95"/>
      <c r="JW6" s="91"/>
      <c r="JX6" s="172"/>
      <c r="JY6" s="95"/>
      <c r="JZ6" s="91"/>
      <c r="KA6" s="172"/>
      <c r="KB6" s="95"/>
      <c r="KC6" s="91"/>
      <c r="KD6" s="172"/>
      <c r="KE6" s="95"/>
      <c r="KF6" s="91"/>
      <c r="KG6" s="172"/>
      <c r="KH6" s="95"/>
      <c r="KI6" s="91"/>
      <c r="KJ6" s="172"/>
      <c r="KK6" s="95"/>
      <c r="KL6" s="91"/>
      <c r="KM6" s="172"/>
      <c r="KN6" s="95"/>
    </row>
    <row r="7" spans="1:330" x14ac:dyDescent="0.2">
      <c r="A7" s="91"/>
      <c r="B7" s="172"/>
      <c r="C7" s="95"/>
      <c r="D7" s="91"/>
      <c r="E7" s="172"/>
      <c r="F7" s="95"/>
      <c r="G7" s="91"/>
      <c r="H7" s="172"/>
      <c r="I7" s="95"/>
      <c r="J7" s="91"/>
      <c r="K7" s="172"/>
      <c r="L7" s="95"/>
      <c r="M7" s="91"/>
      <c r="N7" s="172"/>
      <c r="O7" s="95"/>
      <c r="P7" s="91"/>
      <c r="Q7" s="172"/>
      <c r="R7" s="95"/>
      <c r="S7" s="91"/>
      <c r="T7" s="172"/>
      <c r="U7" s="95"/>
      <c r="V7" s="91"/>
      <c r="W7" s="172"/>
      <c r="X7" s="95"/>
      <c r="Y7" s="91"/>
      <c r="Z7" s="172"/>
      <c r="AA7" s="95"/>
      <c r="AB7" s="91"/>
      <c r="AC7" s="172"/>
      <c r="AD7" s="95"/>
      <c r="AE7" s="91"/>
      <c r="AF7" s="172"/>
      <c r="AG7" s="95"/>
      <c r="AH7" s="91"/>
      <c r="AI7" s="172"/>
      <c r="AJ7" s="95"/>
      <c r="AK7" s="91"/>
      <c r="AL7" s="172"/>
      <c r="AM7" s="95"/>
      <c r="AN7" s="91"/>
      <c r="AO7" s="172"/>
      <c r="AP7" s="95"/>
      <c r="AQ7" s="91"/>
      <c r="AR7" s="172"/>
      <c r="AS7" s="95"/>
      <c r="AT7" s="91"/>
      <c r="AU7" s="172"/>
      <c r="AV7" s="95"/>
      <c r="AW7" s="91"/>
      <c r="AX7" s="172"/>
      <c r="AY7" s="95"/>
      <c r="AZ7" s="91"/>
      <c r="BA7" s="172"/>
      <c r="BB7" s="95"/>
      <c r="BC7" s="91"/>
      <c r="BD7" s="172"/>
      <c r="BE7" s="95"/>
      <c r="BF7" s="91"/>
      <c r="BG7" s="172"/>
      <c r="BH7" s="95"/>
      <c r="BI7" s="91"/>
      <c r="BJ7" s="172"/>
      <c r="BK7" s="95"/>
      <c r="BL7" s="91"/>
      <c r="BM7" s="172"/>
      <c r="BN7" s="95"/>
      <c r="BO7" s="91"/>
      <c r="BP7" s="172"/>
      <c r="BQ7" s="95"/>
      <c r="BR7" s="91"/>
      <c r="BS7" s="172"/>
      <c r="BT7" s="95"/>
      <c r="BU7" s="91"/>
      <c r="BV7" s="172"/>
      <c r="BW7" s="95"/>
      <c r="BX7" s="91"/>
      <c r="BY7" s="172"/>
      <c r="BZ7" s="95"/>
      <c r="CA7" s="91"/>
      <c r="CB7" s="172"/>
      <c r="CC7" s="95"/>
      <c r="CD7" s="91"/>
      <c r="CE7" s="172"/>
      <c r="CF7" s="95"/>
      <c r="CG7" s="91"/>
      <c r="CH7" s="172"/>
      <c r="CI7" s="95"/>
      <c r="CJ7" s="91"/>
      <c r="CK7" s="172"/>
      <c r="CL7" s="95"/>
      <c r="CM7" s="91"/>
      <c r="CN7" s="172"/>
      <c r="CO7" s="95"/>
      <c r="CP7" s="91"/>
      <c r="CQ7" s="172"/>
      <c r="CR7" s="95"/>
      <c r="CS7" s="91"/>
      <c r="CT7" s="172"/>
      <c r="CU7" s="95"/>
      <c r="CV7" s="91"/>
      <c r="CW7" s="172"/>
      <c r="CX7" s="95"/>
      <c r="CY7" s="91"/>
      <c r="CZ7" s="172"/>
      <c r="DA7" s="95"/>
      <c r="DB7" s="91"/>
      <c r="DC7" s="172"/>
      <c r="DD7" s="95"/>
      <c r="DE7" s="91"/>
      <c r="DF7" s="172"/>
      <c r="DG7" s="95"/>
      <c r="DH7" s="91"/>
      <c r="DI7" s="172"/>
      <c r="DJ7" s="95"/>
      <c r="DK7" s="91"/>
      <c r="DL7" s="172"/>
      <c r="DM7" s="95"/>
      <c r="DN7" s="91"/>
      <c r="DO7" s="172"/>
      <c r="DP7" s="95"/>
      <c r="DQ7" s="91"/>
      <c r="DR7" s="172"/>
      <c r="DS7" s="95"/>
      <c r="DT7" s="91"/>
      <c r="DU7" s="172"/>
      <c r="DV7" s="95"/>
      <c r="DW7" s="91"/>
      <c r="DX7" s="172"/>
      <c r="DY7" s="95"/>
      <c r="DZ7" s="91"/>
      <c r="EA7" s="172"/>
      <c r="EB7" s="95"/>
      <c r="EC7" s="91"/>
      <c r="ED7" s="172"/>
      <c r="EE7" s="95"/>
      <c r="EF7" s="91"/>
      <c r="EG7" s="172"/>
      <c r="EH7" s="95"/>
      <c r="EI7" s="91"/>
      <c r="EJ7" s="172"/>
      <c r="EK7" s="95"/>
      <c r="EL7" s="91"/>
      <c r="EM7" s="172"/>
      <c r="EN7" s="95"/>
      <c r="EO7" s="91"/>
      <c r="EP7" s="172"/>
      <c r="EQ7" s="95"/>
      <c r="ER7" s="91"/>
      <c r="ES7" s="172"/>
      <c r="ET7" s="95"/>
      <c r="EU7" s="91"/>
      <c r="EV7" s="172"/>
      <c r="EW7" s="95"/>
      <c r="EX7" s="91"/>
      <c r="EY7" s="172"/>
      <c r="EZ7" s="95"/>
      <c r="FA7" s="91"/>
      <c r="FB7" s="172"/>
      <c r="FC7" s="95"/>
      <c r="FD7" s="91"/>
      <c r="FE7" s="172"/>
      <c r="FF7" s="95"/>
      <c r="FG7" s="91"/>
      <c r="FH7" s="172"/>
      <c r="FI7" s="95"/>
      <c r="FJ7" s="91"/>
      <c r="FK7" s="172"/>
      <c r="FL7" s="95"/>
      <c r="FM7" s="91"/>
      <c r="FN7" s="172"/>
      <c r="FO7" s="95"/>
      <c r="FP7" s="91"/>
      <c r="FQ7" s="172"/>
      <c r="FR7" s="95"/>
      <c r="FS7" s="91"/>
      <c r="FT7" s="172"/>
      <c r="FU7" s="95"/>
      <c r="FV7" s="91"/>
      <c r="FW7" s="172"/>
      <c r="FX7" s="95"/>
      <c r="FY7" s="91"/>
      <c r="FZ7" s="172"/>
      <c r="GA7" s="95"/>
      <c r="GB7" s="91"/>
      <c r="GC7" s="172"/>
      <c r="GD7" s="95"/>
      <c r="GE7" s="91"/>
      <c r="GF7" s="172"/>
      <c r="GG7" s="95"/>
      <c r="GH7" s="91"/>
      <c r="GI7" s="172"/>
      <c r="GJ7" s="95"/>
      <c r="GK7" s="91"/>
      <c r="GL7" s="172"/>
      <c r="GM7" s="95"/>
      <c r="GN7" s="91"/>
      <c r="GO7" s="172"/>
      <c r="GP7" s="95"/>
      <c r="GQ7" s="91"/>
      <c r="GR7" s="172"/>
      <c r="GS7" s="95"/>
      <c r="GT7" s="91"/>
      <c r="GU7" s="172"/>
      <c r="GV7" s="95"/>
      <c r="GW7" s="91"/>
      <c r="GX7" s="172"/>
      <c r="GY7" s="95"/>
      <c r="GZ7" s="91"/>
      <c r="HA7" s="172"/>
      <c r="HB7" s="95"/>
      <c r="HC7" s="91"/>
      <c r="HD7" s="172"/>
      <c r="HE7" s="95"/>
      <c r="HF7" s="91"/>
      <c r="HG7" s="172"/>
      <c r="HH7" s="95"/>
      <c r="HI7" s="91"/>
      <c r="HJ7" s="172"/>
      <c r="HK7" s="95"/>
      <c r="HL7" s="91"/>
      <c r="HM7" s="172"/>
      <c r="HN7" s="95"/>
      <c r="HO7" s="91"/>
      <c r="HP7" s="172"/>
      <c r="HQ7" s="95"/>
      <c r="HR7" s="91"/>
      <c r="HS7" s="172"/>
      <c r="HT7" s="95"/>
      <c r="HU7" s="91"/>
      <c r="HV7" s="172"/>
      <c r="HW7" s="95"/>
      <c r="HX7" s="91"/>
      <c r="HY7" s="172"/>
      <c r="HZ7" s="95"/>
      <c r="IA7" s="91"/>
      <c r="IB7" s="172"/>
      <c r="IC7" s="95"/>
      <c r="ID7" s="91"/>
      <c r="IE7" s="172"/>
      <c r="IF7" s="95"/>
      <c r="IG7" s="91"/>
      <c r="IH7" s="172"/>
      <c r="II7" s="95"/>
      <c r="IJ7" s="91"/>
      <c r="IK7" s="172"/>
      <c r="IL7" s="95"/>
      <c r="IM7" s="91"/>
      <c r="IN7" s="172"/>
      <c r="IO7" s="95"/>
      <c r="IP7" s="91"/>
      <c r="IQ7" s="172"/>
      <c r="IR7" s="95"/>
      <c r="IS7" s="91"/>
      <c r="IT7" s="172"/>
      <c r="IU7" s="95"/>
      <c r="IV7" s="91"/>
      <c r="IW7" s="172"/>
      <c r="IX7" s="95"/>
      <c r="IY7" s="91"/>
      <c r="IZ7" s="172"/>
      <c r="JA7" s="95"/>
      <c r="JB7" s="91"/>
      <c r="JC7" s="172"/>
      <c r="JD7" s="95"/>
      <c r="JE7" s="91"/>
      <c r="JF7" s="172"/>
      <c r="JG7" s="95"/>
      <c r="JH7" s="91"/>
      <c r="JI7" s="172"/>
      <c r="JJ7" s="95"/>
      <c r="JK7" s="91"/>
      <c r="JL7" s="172"/>
      <c r="JM7" s="95"/>
      <c r="JN7" s="91"/>
      <c r="JO7" s="172"/>
      <c r="JP7" s="95"/>
      <c r="JQ7" s="91"/>
      <c r="JR7" s="172"/>
      <c r="JS7" s="95"/>
      <c r="JT7" s="91"/>
      <c r="JU7" s="172"/>
      <c r="JV7" s="95"/>
      <c r="JW7" s="91"/>
      <c r="JX7" s="172"/>
      <c r="JY7" s="95"/>
      <c r="JZ7" s="91"/>
      <c r="KA7" s="172"/>
      <c r="KB7" s="95"/>
      <c r="KC7" s="91"/>
      <c r="KD7" s="172"/>
      <c r="KE7" s="95"/>
      <c r="KF7" s="91"/>
      <c r="KG7" s="172"/>
      <c r="KH7" s="95"/>
      <c r="KI7" s="91"/>
      <c r="KJ7" s="172"/>
      <c r="KK7" s="95"/>
      <c r="KL7" s="91"/>
      <c r="KM7" s="172"/>
      <c r="KN7" s="95"/>
    </row>
    <row r="8" spans="1:330" x14ac:dyDescent="0.2">
      <c r="A8" s="91"/>
      <c r="B8" s="172"/>
      <c r="C8" s="95"/>
      <c r="D8" s="91"/>
      <c r="E8" s="172"/>
      <c r="F8" s="95"/>
      <c r="G8" s="91"/>
      <c r="H8" s="172"/>
      <c r="I8" s="95"/>
      <c r="J8" s="91"/>
      <c r="K8" s="172"/>
      <c r="L8" s="95"/>
      <c r="M8" s="91"/>
      <c r="N8" s="172"/>
      <c r="O8" s="95"/>
      <c r="P8" s="91"/>
      <c r="Q8" s="172"/>
      <c r="R8" s="95"/>
      <c r="S8" s="91"/>
      <c r="T8" s="172"/>
      <c r="U8" s="95"/>
      <c r="V8" s="91"/>
      <c r="W8" s="172"/>
      <c r="X8" s="95"/>
      <c r="Y8" s="91"/>
      <c r="Z8" s="172"/>
      <c r="AA8" s="95"/>
      <c r="AB8" s="91"/>
      <c r="AC8" s="172"/>
      <c r="AD8" s="95"/>
      <c r="AE8" s="91"/>
      <c r="AF8" s="172"/>
      <c r="AG8" s="95"/>
      <c r="AH8" s="91"/>
      <c r="AI8" s="172"/>
      <c r="AJ8" s="95"/>
      <c r="AK8" s="91"/>
      <c r="AL8" s="172"/>
      <c r="AM8" s="95"/>
      <c r="AN8" s="91"/>
      <c r="AO8" s="172"/>
      <c r="AP8" s="95"/>
      <c r="AQ8" s="91"/>
      <c r="AR8" s="172"/>
      <c r="AS8" s="95"/>
      <c r="AT8" s="91"/>
      <c r="AU8" s="172"/>
      <c r="AV8" s="95"/>
      <c r="AW8" s="91"/>
      <c r="AX8" s="172"/>
      <c r="AY8" s="95"/>
      <c r="AZ8" s="91"/>
      <c r="BA8" s="172"/>
      <c r="BB8" s="95"/>
      <c r="BC8" s="91"/>
      <c r="BD8" s="172"/>
      <c r="BE8" s="95"/>
      <c r="BF8" s="91"/>
      <c r="BG8" s="172"/>
      <c r="BH8" s="95"/>
      <c r="BI8" s="91"/>
      <c r="BJ8" s="172"/>
      <c r="BK8" s="95"/>
      <c r="BL8" s="91"/>
      <c r="BM8" s="172"/>
      <c r="BN8" s="95"/>
      <c r="BO8" s="91"/>
      <c r="BP8" s="172"/>
      <c r="BQ8" s="95"/>
      <c r="BR8" s="91"/>
      <c r="BS8" s="172"/>
      <c r="BT8" s="95"/>
      <c r="BU8" s="91"/>
      <c r="BV8" s="172"/>
      <c r="BW8" s="95"/>
      <c r="BX8" s="91"/>
      <c r="BY8" s="172"/>
      <c r="BZ8" s="95"/>
      <c r="CA8" s="91"/>
      <c r="CB8" s="172"/>
      <c r="CC8" s="95"/>
      <c r="CD8" s="91"/>
      <c r="CE8" s="172"/>
      <c r="CF8" s="95"/>
      <c r="CG8" s="91"/>
      <c r="CH8" s="172"/>
      <c r="CI8" s="95"/>
      <c r="CJ8" s="91"/>
      <c r="CK8" s="172"/>
      <c r="CL8" s="95"/>
      <c r="CM8" s="91"/>
      <c r="CN8" s="172"/>
      <c r="CO8" s="95"/>
      <c r="CP8" s="91"/>
      <c r="CQ8" s="172"/>
      <c r="CR8" s="95"/>
      <c r="CS8" s="91"/>
      <c r="CT8" s="172"/>
      <c r="CU8" s="95"/>
      <c r="CV8" s="91"/>
      <c r="CW8" s="172"/>
      <c r="CX8" s="95"/>
      <c r="CY8" s="91"/>
      <c r="CZ8" s="172"/>
      <c r="DA8" s="95"/>
      <c r="DB8" s="91"/>
      <c r="DC8" s="172"/>
      <c r="DD8" s="95"/>
      <c r="DE8" s="91"/>
      <c r="DF8" s="172"/>
      <c r="DG8" s="95"/>
      <c r="DH8" s="91"/>
      <c r="DI8" s="172"/>
      <c r="DJ8" s="95"/>
      <c r="DK8" s="91"/>
      <c r="DL8" s="172"/>
      <c r="DM8" s="95"/>
      <c r="DN8" s="91"/>
      <c r="DO8" s="172"/>
      <c r="DP8" s="95"/>
      <c r="DQ8" s="91"/>
      <c r="DR8" s="172"/>
      <c r="DS8" s="95"/>
      <c r="DT8" s="91"/>
      <c r="DU8" s="172"/>
      <c r="DV8" s="95"/>
      <c r="DW8" s="91"/>
      <c r="DX8" s="172"/>
      <c r="DY8" s="95"/>
      <c r="DZ8" s="91"/>
      <c r="EA8" s="172"/>
      <c r="EB8" s="95"/>
      <c r="EC8" s="91"/>
      <c r="ED8" s="172"/>
      <c r="EE8" s="95"/>
      <c r="EF8" s="91"/>
      <c r="EG8" s="172"/>
      <c r="EH8" s="95"/>
      <c r="EI8" s="91"/>
      <c r="EJ8" s="172"/>
      <c r="EK8" s="95"/>
      <c r="EL8" s="91"/>
      <c r="EM8" s="172"/>
      <c r="EN8" s="95"/>
      <c r="EO8" s="91"/>
      <c r="EP8" s="172"/>
      <c r="EQ8" s="95"/>
      <c r="ER8" s="91"/>
      <c r="ES8" s="172"/>
      <c r="ET8" s="95"/>
      <c r="EU8" s="91"/>
      <c r="EV8" s="172"/>
      <c r="EW8" s="95"/>
      <c r="EX8" s="91"/>
      <c r="EY8" s="172"/>
      <c r="EZ8" s="95"/>
      <c r="FA8" s="91"/>
      <c r="FB8" s="172"/>
      <c r="FC8" s="95"/>
      <c r="FD8" s="91"/>
      <c r="FE8" s="172"/>
      <c r="FF8" s="95"/>
      <c r="FG8" s="91"/>
      <c r="FH8" s="172"/>
      <c r="FI8" s="95"/>
      <c r="FJ8" s="91"/>
      <c r="FK8" s="172"/>
      <c r="FL8" s="95"/>
      <c r="FM8" s="91"/>
      <c r="FN8" s="172"/>
      <c r="FO8" s="95"/>
      <c r="FP8" s="91"/>
      <c r="FQ8" s="172"/>
      <c r="FR8" s="95"/>
      <c r="FS8" s="91"/>
      <c r="FT8" s="172"/>
      <c r="FU8" s="95"/>
      <c r="FV8" s="91"/>
      <c r="FW8" s="172"/>
      <c r="FX8" s="95"/>
      <c r="FY8" s="91"/>
      <c r="FZ8" s="172"/>
      <c r="GA8" s="95"/>
      <c r="GB8" s="91"/>
      <c r="GC8" s="172"/>
      <c r="GD8" s="95"/>
      <c r="GE8" s="91"/>
      <c r="GF8" s="172"/>
      <c r="GG8" s="95"/>
      <c r="GH8" s="91"/>
      <c r="GI8" s="172"/>
      <c r="GJ8" s="95"/>
      <c r="GK8" s="91"/>
      <c r="GL8" s="172"/>
      <c r="GM8" s="95"/>
      <c r="GN8" s="91"/>
      <c r="GO8" s="172"/>
      <c r="GP8" s="95"/>
      <c r="GQ8" s="91"/>
      <c r="GR8" s="172"/>
      <c r="GS8" s="95"/>
      <c r="GT8" s="91"/>
      <c r="GU8" s="172"/>
      <c r="GV8" s="95"/>
      <c r="GW8" s="91"/>
      <c r="GX8" s="172"/>
      <c r="GY8" s="95"/>
      <c r="GZ8" s="91"/>
      <c r="HA8" s="172"/>
      <c r="HB8" s="95"/>
      <c r="HC8" s="91"/>
      <c r="HD8" s="172"/>
      <c r="HE8" s="95"/>
      <c r="HF8" s="91"/>
      <c r="HG8" s="172"/>
      <c r="HH8" s="95"/>
      <c r="HI8" s="91"/>
      <c r="HJ8" s="172"/>
      <c r="HK8" s="95"/>
      <c r="HL8" s="91"/>
      <c r="HM8" s="172"/>
      <c r="HN8" s="95"/>
      <c r="HO8" s="91"/>
      <c r="HP8" s="172"/>
      <c r="HQ8" s="95"/>
      <c r="HR8" s="91"/>
      <c r="HS8" s="172"/>
      <c r="HT8" s="95"/>
      <c r="HU8" s="91"/>
      <c r="HV8" s="172"/>
      <c r="HW8" s="95"/>
      <c r="HX8" s="91"/>
      <c r="HY8" s="172"/>
      <c r="HZ8" s="95"/>
      <c r="IA8" s="91"/>
      <c r="IB8" s="172"/>
      <c r="IC8" s="95"/>
      <c r="ID8" s="91"/>
      <c r="IE8" s="172"/>
      <c r="IF8" s="95"/>
      <c r="IG8" s="91"/>
      <c r="IH8" s="172"/>
      <c r="II8" s="95"/>
      <c r="IJ8" s="91"/>
      <c r="IK8" s="172"/>
      <c r="IL8" s="95"/>
      <c r="IM8" s="91"/>
      <c r="IN8" s="172"/>
      <c r="IO8" s="95"/>
      <c r="IP8" s="91"/>
      <c r="IQ8" s="172"/>
      <c r="IR8" s="95"/>
      <c r="IS8" s="91"/>
      <c r="IT8" s="172"/>
      <c r="IU8" s="95"/>
      <c r="IV8" s="91"/>
      <c r="IW8" s="172"/>
      <c r="IX8" s="95"/>
      <c r="IY8" s="91"/>
      <c r="IZ8" s="172"/>
      <c r="JA8" s="95"/>
      <c r="JB8" s="91"/>
      <c r="JC8" s="172"/>
      <c r="JD8" s="95"/>
      <c r="JE8" s="91"/>
      <c r="JF8" s="172"/>
      <c r="JG8" s="95"/>
      <c r="JH8" s="91"/>
      <c r="JI8" s="172"/>
      <c r="JJ8" s="95"/>
      <c r="JK8" s="91"/>
      <c r="JL8" s="172"/>
      <c r="JM8" s="95"/>
      <c r="JN8" s="91"/>
      <c r="JO8" s="172"/>
      <c r="JP8" s="95"/>
      <c r="JQ8" s="91"/>
      <c r="JR8" s="172"/>
      <c r="JS8" s="95"/>
      <c r="JT8" s="91"/>
      <c r="JU8" s="172"/>
      <c r="JV8" s="95"/>
      <c r="JW8" s="91"/>
      <c r="JX8" s="172"/>
      <c r="JY8" s="95"/>
      <c r="JZ8" s="91"/>
      <c r="KA8" s="172"/>
      <c r="KB8" s="95"/>
      <c r="KC8" s="91"/>
      <c r="KD8" s="172"/>
      <c r="KE8" s="95"/>
      <c r="KF8" s="91"/>
      <c r="KG8" s="172"/>
      <c r="KH8" s="95"/>
      <c r="KI8" s="91"/>
      <c r="KJ8" s="172"/>
      <c r="KK8" s="95"/>
      <c r="KL8" s="91"/>
      <c r="KM8" s="172"/>
      <c r="KN8" s="95"/>
    </row>
    <row r="9" spans="1:330" x14ac:dyDescent="0.2">
      <c r="A9" s="91"/>
      <c r="B9" s="172"/>
      <c r="C9" s="95"/>
      <c r="D9" s="91"/>
      <c r="E9" s="172"/>
      <c r="F9" s="95"/>
      <c r="G9" s="91"/>
      <c r="H9" s="172"/>
      <c r="I9" s="95"/>
      <c r="J9" s="91"/>
      <c r="K9" s="172"/>
      <c r="L9" s="95"/>
      <c r="M9" s="91"/>
      <c r="N9" s="172"/>
      <c r="O9" s="95"/>
      <c r="P9" s="91"/>
      <c r="Q9" s="172"/>
      <c r="R9" s="95"/>
      <c r="S9" s="91"/>
      <c r="T9" s="172"/>
      <c r="U9" s="95"/>
      <c r="V9" s="91"/>
      <c r="W9" s="172"/>
      <c r="X9" s="95"/>
      <c r="Y9" s="91"/>
      <c r="Z9" s="172"/>
      <c r="AA9" s="95"/>
      <c r="AB9" s="91"/>
      <c r="AC9" s="172"/>
      <c r="AD9" s="95"/>
      <c r="AE9" s="91"/>
      <c r="AF9" s="172"/>
      <c r="AG9" s="95"/>
      <c r="AH9" s="91"/>
      <c r="AI9" s="172"/>
      <c r="AJ9" s="95"/>
      <c r="AK9" s="91"/>
      <c r="AL9" s="172"/>
      <c r="AM9" s="95"/>
      <c r="AN9" s="91"/>
      <c r="AO9" s="172"/>
      <c r="AP9" s="95"/>
      <c r="AQ9" s="91"/>
      <c r="AR9" s="172"/>
      <c r="AS9" s="95"/>
      <c r="AT9" s="91"/>
      <c r="AU9" s="172"/>
      <c r="AV9" s="95"/>
      <c r="AW9" s="91"/>
      <c r="AX9" s="172"/>
      <c r="AY9" s="95"/>
      <c r="AZ9" s="91"/>
      <c r="BA9" s="172"/>
      <c r="BB9" s="95"/>
      <c r="BC9" s="91"/>
      <c r="BD9" s="172"/>
      <c r="BE9" s="95"/>
      <c r="BF9" s="91"/>
      <c r="BG9" s="172"/>
      <c r="BH9" s="95"/>
      <c r="BI9" s="91"/>
      <c r="BJ9" s="172"/>
      <c r="BK9" s="95"/>
      <c r="BL9" s="91"/>
      <c r="BM9" s="172"/>
      <c r="BN9" s="95"/>
      <c r="BO9" s="91"/>
      <c r="BP9" s="172"/>
      <c r="BQ9" s="95"/>
      <c r="BR9" s="91"/>
      <c r="BS9" s="172"/>
      <c r="BT9" s="95"/>
      <c r="BU9" s="91"/>
      <c r="BV9" s="172"/>
      <c r="BW9" s="95"/>
      <c r="BX9" s="91"/>
      <c r="BY9" s="172"/>
      <c r="BZ9" s="95"/>
      <c r="CA9" s="91"/>
      <c r="CB9" s="172"/>
      <c r="CC9" s="95"/>
      <c r="CD9" s="91"/>
      <c r="CE9" s="172"/>
      <c r="CF9" s="95"/>
      <c r="CG9" s="91"/>
      <c r="CH9" s="172"/>
      <c r="CI9" s="95"/>
      <c r="CJ9" s="91"/>
      <c r="CK9" s="172"/>
      <c r="CL9" s="95"/>
      <c r="CM9" s="91"/>
      <c r="CN9" s="172"/>
      <c r="CO9" s="95"/>
      <c r="CP9" s="91"/>
      <c r="CQ9" s="172"/>
      <c r="CR9" s="95"/>
      <c r="CS9" s="91"/>
      <c r="CT9" s="172"/>
      <c r="CU9" s="95"/>
      <c r="CV9" s="91"/>
      <c r="CW9" s="172"/>
      <c r="CX9" s="95"/>
      <c r="CY9" s="91"/>
      <c r="CZ9" s="172"/>
      <c r="DA9" s="95"/>
      <c r="DB9" s="91"/>
      <c r="DC9" s="172"/>
      <c r="DD9" s="95"/>
      <c r="DE9" s="91"/>
      <c r="DF9" s="172"/>
      <c r="DG9" s="95"/>
      <c r="DH9" s="91"/>
      <c r="DI9" s="172"/>
      <c r="DJ9" s="95"/>
      <c r="DK9" s="91"/>
      <c r="DL9" s="172"/>
      <c r="DM9" s="95"/>
      <c r="DN9" s="91"/>
      <c r="DO9" s="172"/>
      <c r="DP9" s="95"/>
      <c r="DQ9" s="91"/>
      <c r="DR9" s="172"/>
      <c r="DS9" s="95"/>
      <c r="DT9" s="91"/>
      <c r="DU9" s="172"/>
      <c r="DV9" s="95"/>
      <c r="DW9" s="91"/>
      <c r="DX9" s="172"/>
      <c r="DY9" s="95"/>
      <c r="DZ9" s="91"/>
      <c r="EA9" s="172"/>
      <c r="EB9" s="95"/>
      <c r="EC9" s="91"/>
      <c r="ED9" s="172"/>
      <c r="EE9" s="95"/>
      <c r="EF9" s="91"/>
      <c r="EG9" s="172"/>
      <c r="EH9" s="95"/>
      <c r="EI9" s="91"/>
      <c r="EJ9" s="172"/>
      <c r="EK9" s="95"/>
      <c r="EL9" s="91"/>
      <c r="EM9" s="172"/>
      <c r="EN9" s="95"/>
      <c r="EO9" s="91"/>
      <c r="EP9" s="172"/>
      <c r="EQ9" s="95"/>
      <c r="ER9" s="91"/>
      <c r="ES9" s="172"/>
      <c r="ET9" s="95"/>
      <c r="EU9" s="91"/>
      <c r="EV9" s="172"/>
      <c r="EW9" s="95"/>
      <c r="EX9" s="91"/>
      <c r="EY9" s="172"/>
      <c r="EZ9" s="95"/>
      <c r="FA9" s="91"/>
      <c r="FB9" s="172"/>
      <c r="FC9" s="95"/>
      <c r="FD9" s="91"/>
      <c r="FE9" s="172"/>
      <c r="FF9" s="95"/>
      <c r="FG9" s="91"/>
      <c r="FH9" s="172"/>
      <c r="FI9" s="95"/>
      <c r="FJ9" s="91"/>
      <c r="FK9" s="172"/>
      <c r="FL9" s="95"/>
      <c r="FM9" s="91"/>
      <c r="FN9" s="172"/>
      <c r="FO9" s="95"/>
      <c r="FP9" s="91"/>
      <c r="FQ9" s="172"/>
      <c r="FR9" s="95"/>
      <c r="FS9" s="91"/>
      <c r="FT9" s="172"/>
      <c r="FU9" s="95"/>
      <c r="FV9" s="91"/>
      <c r="FW9" s="172"/>
      <c r="FX9" s="95"/>
      <c r="FY9" s="91"/>
      <c r="FZ9" s="172"/>
      <c r="GA9" s="95"/>
      <c r="GB9" s="91"/>
      <c r="GC9" s="172"/>
      <c r="GD9" s="95"/>
      <c r="GE9" s="91"/>
      <c r="GF9" s="172"/>
      <c r="GG9" s="95"/>
      <c r="GH9" s="91"/>
      <c r="GI9" s="172"/>
      <c r="GJ9" s="95"/>
      <c r="GK9" s="91"/>
      <c r="GL9" s="172"/>
      <c r="GM9" s="95"/>
      <c r="GN9" s="91"/>
      <c r="GO9" s="172"/>
      <c r="GP9" s="95"/>
      <c r="GQ9" s="91"/>
      <c r="GR9" s="172"/>
      <c r="GS9" s="95"/>
      <c r="GT9" s="91"/>
      <c r="GU9" s="172"/>
      <c r="GV9" s="95"/>
      <c r="GW9" s="91"/>
      <c r="GX9" s="172"/>
      <c r="GY9" s="95"/>
      <c r="GZ9" s="91"/>
      <c r="HA9" s="172"/>
      <c r="HB9" s="95"/>
      <c r="HC9" s="91"/>
      <c r="HD9" s="172"/>
      <c r="HE9" s="95"/>
      <c r="HF9" s="91"/>
      <c r="HG9" s="172"/>
      <c r="HH9" s="95"/>
      <c r="HI9" s="91"/>
      <c r="HJ9" s="172"/>
      <c r="HK9" s="95"/>
      <c r="HL9" s="91"/>
      <c r="HM9" s="172"/>
      <c r="HN9" s="95"/>
      <c r="HO9" s="91"/>
      <c r="HP9" s="172"/>
      <c r="HQ9" s="95"/>
      <c r="HR9" s="91"/>
      <c r="HS9" s="172"/>
      <c r="HT9" s="95"/>
      <c r="HU9" s="91"/>
      <c r="HV9" s="172"/>
      <c r="HW9" s="95"/>
      <c r="HX9" s="91"/>
      <c r="HY9" s="172"/>
      <c r="HZ9" s="95"/>
      <c r="IA9" s="91"/>
      <c r="IB9" s="172"/>
      <c r="IC9" s="95"/>
      <c r="ID9" s="91"/>
      <c r="IE9" s="172"/>
      <c r="IF9" s="95"/>
      <c r="IG9" s="91"/>
      <c r="IH9" s="172"/>
      <c r="II9" s="95"/>
      <c r="IJ9" s="91"/>
      <c r="IK9" s="172"/>
      <c r="IL9" s="95"/>
      <c r="IM9" s="91"/>
      <c r="IN9" s="172"/>
      <c r="IO9" s="95"/>
      <c r="IP9" s="91"/>
      <c r="IQ9" s="172"/>
      <c r="IR9" s="95"/>
      <c r="IS9" s="91"/>
      <c r="IT9" s="172"/>
      <c r="IU9" s="95"/>
      <c r="IV9" s="91"/>
      <c r="IW9" s="172"/>
      <c r="IX9" s="95"/>
      <c r="IY9" s="91"/>
      <c r="IZ9" s="172"/>
      <c r="JA9" s="95"/>
      <c r="JB9" s="91"/>
      <c r="JC9" s="172"/>
      <c r="JD9" s="95"/>
      <c r="JE9" s="91"/>
      <c r="JF9" s="172"/>
      <c r="JG9" s="95"/>
      <c r="JH9" s="91"/>
      <c r="JI9" s="172"/>
      <c r="JJ9" s="95"/>
      <c r="JK9" s="91"/>
      <c r="JL9" s="172"/>
      <c r="JM9" s="95"/>
      <c r="JN9" s="91"/>
      <c r="JO9" s="172"/>
      <c r="JP9" s="95"/>
      <c r="JQ9" s="91"/>
      <c r="JR9" s="172"/>
      <c r="JS9" s="95"/>
      <c r="JT9" s="91"/>
      <c r="JU9" s="172"/>
      <c r="JV9" s="95"/>
      <c r="JW9" s="91"/>
      <c r="JX9" s="172"/>
      <c r="JY9" s="95"/>
      <c r="JZ9" s="91"/>
      <c r="KA9" s="172"/>
      <c r="KB9" s="95"/>
      <c r="KC9" s="91"/>
      <c r="KD9" s="172"/>
      <c r="KE9" s="95"/>
      <c r="KF9" s="91"/>
      <c r="KG9" s="172"/>
      <c r="KH9" s="95"/>
      <c r="KI9" s="91"/>
      <c r="KJ9" s="172"/>
      <c r="KK9" s="95"/>
      <c r="KL9" s="91"/>
      <c r="KM9" s="172"/>
      <c r="KN9" s="95"/>
    </row>
    <row r="10" spans="1:330" x14ac:dyDescent="0.2">
      <c r="A10" s="91"/>
      <c r="B10" s="172"/>
      <c r="C10" s="95"/>
      <c r="D10" s="91"/>
      <c r="E10" s="172"/>
      <c r="F10" s="95"/>
      <c r="G10" s="91"/>
      <c r="H10" s="172"/>
      <c r="I10" s="95"/>
      <c r="J10" s="91"/>
      <c r="K10" s="172"/>
      <c r="L10" s="95"/>
      <c r="M10" s="91"/>
      <c r="N10" s="172"/>
      <c r="O10" s="95"/>
      <c r="P10" s="91"/>
      <c r="Q10" s="172"/>
      <c r="R10" s="95"/>
      <c r="S10" s="91"/>
      <c r="T10" s="172"/>
      <c r="U10" s="95"/>
      <c r="V10" s="91"/>
      <c r="W10" s="172"/>
      <c r="X10" s="95"/>
      <c r="Y10" s="91"/>
      <c r="Z10" s="172"/>
      <c r="AA10" s="95"/>
      <c r="AB10" s="91"/>
      <c r="AC10" s="172"/>
      <c r="AD10" s="95"/>
      <c r="AE10" s="91"/>
      <c r="AF10" s="172"/>
      <c r="AG10" s="95"/>
      <c r="AH10" s="91"/>
      <c r="AI10" s="172"/>
      <c r="AJ10" s="95"/>
      <c r="AK10" s="91"/>
      <c r="AL10" s="172"/>
      <c r="AM10" s="95"/>
      <c r="AN10" s="91"/>
      <c r="AO10" s="172"/>
      <c r="AP10" s="95"/>
      <c r="AQ10" s="91"/>
      <c r="AR10" s="172"/>
      <c r="AS10" s="95"/>
      <c r="AT10" s="91"/>
      <c r="AU10" s="172"/>
      <c r="AV10" s="95"/>
      <c r="AW10" s="91"/>
      <c r="AX10" s="172"/>
      <c r="AY10" s="95"/>
      <c r="AZ10" s="91"/>
      <c r="BA10" s="172"/>
      <c r="BB10" s="95"/>
      <c r="BC10" s="91"/>
      <c r="BD10" s="172"/>
      <c r="BE10" s="95"/>
      <c r="BF10" s="91"/>
      <c r="BG10" s="172"/>
      <c r="BH10" s="95"/>
      <c r="BI10" s="91"/>
      <c r="BJ10" s="172"/>
      <c r="BK10" s="95"/>
      <c r="BL10" s="91"/>
      <c r="BM10" s="172"/>
      <c r="BN10" s="95"/>
      <c r="BO10" s="91"/>
      <c r="BP10" s="172"/>
      <c r="BQ10" s="95"/>
      <c r="BR10" s="91"/>
      <c r="BS10" s="172"/>
      <c r="BT10" s="95"/>
      <c r="BU10" s="91"/>
      <c r="BV10" s="172"/>
      <c r="BW10" s="95"/>
      <c r="BX10" s="91"/>
      <c r="BY10" s="172"/>
      <c r="BZ10" s="95"/>
      <c r="CA10" s="91"/>
      <c r="CB10" s="172"/>
      <c r="CC10" s="95"/>
      <c r="CD10" s="91"/>
      <c r="CE10" s="172"/>
      <c r="CF10" s="95"/>
      <c r="CG10" s="91"/>
      <c r="CH10" s="172"/>
      <c r="CI10" s="95"/>
      <c r="CJ10" s="91"/>
      <c r="CK10" s="172"/>
      <c r="CL10" s="95"/>
      <c r="CM10" s="91"/>
      <c r="CN10" s="172"/>
      <c r="CO10" s="95"/>
      <c r="CP10" s="91"/>
      <c r="CQ10" s="172"/>
      <c r="CR10" s="95"/>
      <c r="CS10" s="91"/>
      <c r="CT10" s="172"/>
      <c r="CU10" s="95"/>
      <c r="CV10" s="91"/>
      <c r="CW10" s="172"/>
      <c r="CX10" s="95"/>
      <c r="CY10" s="91"/>
      <c r="CZ10" s="172"/>
      <c r="DA10" s="95"/>
      <c r="DB10" s="91"/>
      <c r="DC10" s="172"/>
      <c r="DD10" s="95"/>
      <c r="DE10" s="91"/>
      <c r="DF10" s="172"/>
      <c r="DG10" s="95"/>
      <c r="DH10" s="91"/>
      <c r="DI10" s="172"/>
      <c r="DJ10" s="95"/>
      <c r="DK10" s="91"/>
      <c r="DL10" s="172"/>
      <c r="DM10" s="95"/>
      <c r="DN10" s="91"/>
      <c r="DO10" s="172"/>
      <c r="DP10" s="95"/>
      <c r="DQ10" s="91"/>
      <c r="DR10" s="172"/>
      <c r="DS10" s="95"/>
      <c r="DT10" s="91"/>
      <c r="DU10" s="172"/>
      <c r="DV10" s="95"/>
      <c r="DW10" s="91"/>
      <c r="DX10" s="172"/>
      <c r="DY10" s="95"/>
      <c r="DZ10" s="91"/>
      <c r="EA10" s="172"/>
      <c r="EB10" s="95"/>
      <c r="EC10" s="91"/>
      <c r="ED10" s="172"/>
      <c r="EE10" s="95"/>
      <c r="EF10" s="91"/>
      <c r="EG10" s="172"/>
      <c r="EH10" s="95"/>
      <c r="EI10" s="91"/>
      <c r="EJ10" s="172"/>
      <c r="EK10" s="95"/>
      <c r="EL10" s="91"/>
      <c r="EM10" s="172"/>
      <c r="EN10" s="95"/>
      <c r="EO10" s="91"/>
      <c r="EP10" s="172"/>
      <c r="EQ10" s="95"/>
      <c r="ER10" s="91"/>
      <c r="ES10" s="172"/>
      <c r="ET10" s="95"/>
      <c r="EU10" s="91"/>
      <c r="EV10" s="172"/>
      <c r="EW10" s="95"/>
      <c r="EX10" s="91"/>
      <c r="EY10" s="172"/>
      <c r="EZ10" s="95"/>
      <c r="FA10" s="91"/>
      <c r="FB10" s="172"/>
      <c r="FC10" s="95"/>
      <c r="FD10" s="91"/>
      <c r="FE10" s="172"/>
      <c r="FF10" s="95"/>
      <c r="FG10" s="91"/>
      <c r="FH10" s="172"/>
      <c r="FI10" s="95"/>
      <c r="FJ10" s="91"/>
      <c r="FK10" s="172"/>
      <c r="FL10" s="95"/>
      <c r="FM10" s="91"/>
      <c r="FN10" s="172"/>
      <c r="FO10" s="95"/>
      <c r="FP10" s="91"/>
      <c r="FQ10" s="172"/>
      <c r="FR10" s="95"/>
      <c r="FS10" s="91"/>
      <c r="FT10" s="172"/>
      <c r="FU10" s="95"/>
      <c r="FV10" s="91"/>
      <c r="FW10" s="172"/>
      <c r="FX10" s="95"/>
      <c r="FY10" s="91"/>
      <c r="FZ10" s="172"/>
      <c r="GA10" s="95"/>
      <c r="GB10" s="91"/>
      <c r="GC10" s="172"/>
      <c r="GD10" s="95"/>
      <c r="GE10" s="91"/>
      <c r="GF10" s="172"/>
      <c r="GG10" s="95"/>
      <c r="GH10" s="91"/>
      <c r="GI10" s="172"/>
      <c r="GJ10" s="95"/>
      <c r="GK10" s="91"/>
      <c r="GL10" s="172"/>
      <c r="GM10" s="95"/>
      <c r="GN10" s="91"/>
      <c r="GO10" s="172"/>
      <c r="GP10" s="95"/>
      <c r="GQ10" s="91"/>
      <c r="GR10" s="172"/>
      <c r="GS10" s="95"/>
      <c r="GT10" s="91"/>
      <c r="GU10" s="172"/>
      <c r="GV10" s="95"/>
      <c r="GW10" s="91"/>
      <c r="GX10" s="172"/>
      <c r="GY10" s="95"/>
      <c r="GZ10" s="91"/>
      <c r="HA10" s="172"/>
      <c r="HB10" s="95"/>
      <c r="HC10" s="91"/>
      <c r="HD10" s="172"/>
      <c r="HE10" s="95"/>
      <c r="HF10" s="91"/>
      <c r="HG10" s="172"/>
      <c r="HH10" s="95"/>
      <c r="HI10" s="91"/>
      <c r="HJ10" s="172"/>
      <c r="HK10" s="95"/>
      <c r="HL10" s="91"/>
      <c r="HM10" s="172"/>
      <c r="HN10" s="95"/>
      <c r="HO10" s="91"/>
      <c r="HP10" s="172"/>
      <c r="HQ10" s="95"/>
      <c r="HR10" s="91"/>
      <c r="HS10" s="172"/>
      <c r="HT10" s="95"/>
      <c r="HU10" s="91"/>
      <c r="HV10" s="172"/>
      <c r="HW10" s="95"/>
      <c r="HX10" s="91"/>
      <c r="HY10" s="172"/>
      <c r="HZ10" s="95"/>
      <c r="IA10" s="91"/>
      <c r="IB10" s="172"/>
      <c r="IC10" s="95"/>
      <c r="ID10" s="91"/>
      <c r="IE10" s="172"/>
      <c r="IF10" s="95"/>
      <c r="IG10" s="91"/>
      <c r="IH10" s="172"/>
      <c r="II10" s="95"/>
      <c r="IJ10" s="91"/>
      <c r="IK10" s="172"/>
      <c r="IL10" s="95"/>
      <c r="IM10" s="91"/>
      <c r="IN10" s="172"/>
      <c r="IO10" s="95"/>
      <c r="IP10" s="91"/>
      <c r="IQ10" s="172"/>
      <c r="IR10" s="95"/>
      <c r="IS10" s="91"/>
      <c r="IT10" s="172"/>
      <c r="IU10" s="95"/>
      <c r="IV10" s="91"/>
      <c r="IW10" s="172"/>
      <c r="IX10" s="95"/>
      <c r="IY10" s="91"/>
      <c r="IZ10" s="172"/>
      <c r="JA10" s="95"/>
      <c r="JB10" s="91"/>
      <c r="JC10" s="172"/>
      <c r="JD10" s="95"/>
      <c r="JE10" s="91"/>
      <c r="JF10" s="172"/>
      <c r="JG10" s="95"/>
      <c r="JH10" s="91"/>
      <c r="JI10" s="172"/>
      <c r="JJ10" s="95"/>
      <c r="JK10" s="91"/>
      <c r="JL10" s="172"/>
      <c r="JM10" s="95"/>
      <c r="JN10" s="91"/>
      <c r="JO10" s="172"/>
      <c r="JP10" s="95"/>
      <c r="JQ10" s="91"/>
      <c r="JR10" s="172"/>
      <c r="JS10" s="95"/>
      <c r="JT10" s="91"/>
      <c r="JU10" s="172"/>
      <c r="JV10" s="95"/>
      <c r="JW10" s="91"/>
      <c r="JX10" s="172"/>
      <c r="JY10" s="95"/>
      <c r="JZ10" s="91"/>
      <c r="KA10" s="172"/>
      <c r="KB10" s="95"/>
      <c r="KC10" s="91"/>
      <c r="KD10" s="172"/>
      <c r="KE10" s="95"/>
      <c r="KF10" s="91"/>
      <c r="KG10" s="172"/>
      <c r="KH10" s="95"/>
      <c r="KI10" s="91"/>
      <c r="KJ10" s="172"/>
      <c r="KK10" s="95"/>
      <c r="KL10" s="91"/>
      <c r="KM10" s="172"/>
      <c r="KN10" s="95"/>
    </row>
    <row r="11" spans="1:330" x14ac:dyDescent="0.2">
      <c r="A11" s="91"/>
      <c r="B11" s="172"/>
      <c r="C11" s="95"/>
      <c r="D11" s="91"/>
      <c r="E11" s="172"/>
      <c r="F11" s="95"/>
      <c r="G11" s="91"/>
      <c r="H11" s="172"/>
      <c r="I11" s="95"/>
      <c r="J11" s="91"/>
      <c r="K11" s="172"/>
      <c r="L11" s="95"/>
      <c r="M11" s="91"/>
      <c r="N11" s="172"/>
      <c r="O11" s="95"/>
      <c r="P11" s="91"/>
      <c r="Q11" s="172"/>
      <c r="R11" s="95"/>
      <c r="S11" s="91"/>
      <c r="T11" s="172"/>
      <c r="U11" s="95"/>
      <c r="V11" s="91"/>
      <c r="W11" s="172"/>
      <c r="X11" s="95"/>
      <c r="Y11" s="91"/>
      <c r="Z11" s="172"/>
      <c r="AA11" s="95"/>
      <c r="AB11" s="91"/>
      <c r="AC11" s="172"/>
      <c r="AD11" s="95"/>
      <c r="AE11" s="91"/>
      <c r="AF11" s="172"/>
      <c r="AG11" s="95"/>
      <c r="AH11" s="91"/>
      <c r="AI11" s="172"/>
      <c r="AJ11" s="95"/>
      <c r="AK11" s="91"/>
      <c r="AL11" s="172"/>
      <c r="AM11" s="95"/>
      <c r="AN11" s="91"/>
      <c r="AO11" s="172"/>
      <c r="AP11" s="95"/>
      <c r="AQ11" s="91"/>
      <c r="AR11" s="172"/>
      <c r="AS11" s="95"/>
      <c r="AT11" s="91"/>
      <c r="AU11" s="172"/>
      <c r="AV11" s="95"/>
      <c r="AW11" s="91"/>
      <c r="AX11" s="172"/>
      <c r="AY11" s="95"/>
      <c r="AZ11" s="91"/>
      <c r="BA11" s="172"/>
      <c r="BB11" s="95"/>
      <c r="BC11" s="91"/>
      <c r="BD11" s="172"/>
      <c r="BE11" s="95"/>
      <c r="BF11" s="91"/>
      <c r="BG11" s="172"/>
      <c r="BH11" s="95"/>
      <c r="BI11" s="91"/>
      <c r="BJ11" s="172"/>
      <c r="BK11" s="95"/>
      <c r="BL11" s="91"/>
      <c r="BM11" s="172"/>
      <c r="BN11" s="95"/>
      <c r="BO11" s="91"/>
      <c r="BP11" s="172"/>
      <c r="BQ11" s="95"/>
      <c r="BR11" s="91"/>
      <c r="BS11" s="172"/>
      <c r="BT11" s="95"/>
      <c r="BU11" s="91"/>
      <c r="BV11" s="172"/>
      <c r="BW11" s="95"/>
      <c r="BX11" s="91"/>
      <c r="BY11" s="172"/>
      <c r="BZ11" s="95"/>
      <c r="CA11" s="91"/>
      <c r="CB11" s="172"/>
      <c r="CC11" s="95"/>
      <c r="CD11" s="91"/>
      <c r="CE11" s="172"/>
      <c r="CF11" s="95"/>
      <c r="CG11" s="91"/>
      <c r="CH11" s="172"/>
      <c r="CI11" s="95"/>
      <c r="CJ11" s="91"/>
      <c r="CK11" s="172"/>
      <c r="CL11" s="95"/>
      <c r="CM11" s="91"/>
      <c r="CN11" s="172"/>
      <c r="CO11" s="95"/>
      <c r="CP11" s="91"/>
      <c r="CQ11" s="172"/>
      <c r="CR11" s="95"/>
      <c r="CS11" s="91"/>
      <c r="CT11" s="172"/>
      <c r="CU11" s="95"/>
      <c r="CV11" s="91"/>
      <c r="CW11" s="172"/>
      <c r="CX11" s="95"/>
      <c r="CY11" s="91"/>
      <c r="CZ11" s="172"/>
      <c r="DA11" s="95"/>
      <c r="DB11" s="91"/>
      <c r="DC11" s="172"/>
      <c r="DD11" s="95"/>
      <c r="DE11" s="91"/>
      <c r="DF11" s="172"/>
      <c r="DG11" s="95"/>
      <c r="DH11" s="91"/>
      <c r="DI11" s="172"/>
      <c r="DJ11" s="95"/>
      <c r="DK11" s="91"/>
      <c r="DL11" s="172"/>
      <c r="DM11" s="95"/>
      <c r="DN11" s="91"/>
      <c r="DO11" s="172"/>
      <c r="DP11" s="95"/>
      <c r="DQ11" s="91"/>
      <c r="DR11" s="172"/>
      <c r="DS11" s="95"/>
      <c r="DT11" s="91"/>
      <c r="DU11" s="172"/>
      <c r="DV11" s="95"/>
      <c r="DW11" s="91"/>
      <c r="DX11" s="172"/>
      <c r="DY11" s="95"/>
      <c r="DZ11" s="91"/>
      <c r="EA11" s="172"/>
      <c r="EB11" s="95"/>
      <c r="EC11" s="91"/>
      <c r="ED11" s="172"/>
      <c r="EE11" s="95"/>
      <c r="EF11" s="91"/>
      <c r="EG11" s="172"/>
      <c r="EH11" s="95"/>
      <c r="EI11" s="91"/>
      <c r="EJ11" s="172"/>
      <c r="EK11" s="95"/>
      <c r="EL11" s="91"/>
      <c r="EM11" s="172"/>
      <c r="EN11" s="95"/>
      <c r="EO11" s="91"/>
      <c r="EP11" s="172"/>
      <c r="EQ11" s="95"/>
      <c r="ER11" s="91"/>
      <c r="ES11" s="172"/>
      <c r="ET11" s="95"/>
      <c r="EU11" s="91"/>
      <c r="EV11" s="172"/>
      <c r="EW11" s="95"/>
      <c r="EX11" s="91"/>
      <c r="EY11" s="172"/>
      <c r="EZ11" s="95"/>
      <c r="FA11" s="91"/>
      <c r="FB11" s="172"/>
      <c r="FC11" s="95"/>
      <c r="FD11" s="91"/>
      <c r="FE11" s="172"/>
      <c r="FF11" s="95"/>
      <c r="FG11" s="91"/>
      <c r="FH11" s="172"/>
      <c r="FI11" s="95"/>
      <c r="FJ11" s="91"/>
      <c r="FK11" s="172"/>
      <c r="FL11" s="95"/>
      <c r="FM11" s="91"/>
      <c r="FN11" s="172"/>
      <c r="FO11" s="95"/>
      <c r="FP11" s="91"/>
      <c r="FQ11" s="172"/>
      <c r="FR11" s="95"/>
      <c r="FS11" s="91"/>
      <c r="FT11" s="172"/>
      <c r="FU11" s="95"/>
      <c r="FV11" s="91"/>
      <c r="FW11" s="172"/>
      <c r="FX11" s="95"/>
      <c r="FY11" s="91"/>
      <c r="FZ11" s="172"/>
      <c r="GA11" s="95"/>
      <c r="GB11" s="91"/>
      <c r="GC11" s="172"/>
      <c r="GD11" s="95"/>
      <c r="GE11" s="91"/>
      <c r="GF11" s="172"/>
      <c r="GG11" s="95"/>
      <c r="GH11" s="91"/>
      <c r="GI11" s="172"/>
      <c r="GJ11" s="95"/>
      <c r="GK11" s="91"/>
      <c r="GL11" s="172"/>
      <c r="GM11" s="95"/>
      <c r="GN11" s="91"/>
      <c r="GO11" s="172"/>
      <c r="GP11" s="95"/>
      <c r="GQ11" s="91"/>
      <c r="GR11" s="172"/>
      <c r="GS11" s="95"/>
      <c r="GT11" s="91"/>
      <c r="GU11" s="172"/>
      <c r="GV11" s="95"/>
      <c r="GW11" s="91"/>
      <c r="GX11" s="172"/>
      <c r="GY11" s="95"/>
      <c r="GZ11" s="91"/>
      <c r="HA11" s="172"/>
      <c r="HB11" s="95"/>
      <c r="HC11" s="91"/>
      <c r="HD11" s="172"/>
      <c r="HE11" s="95"/>
      <c r="HF11" s="91"/>
      <c r="HG11" s="172"/>
      <c r="HH11" s="95"/>
      <c r="HI11" s="91"/>
      <c r="HJ11" s="172"/>
      <c r="HK11" s="95"/>
      <c r="HL11" s="91"/>
      <c r="HM11" s="172"/>
      <c r="HN11" s="95"/>
      <c r="HO11" s="91"/>
      <c r="HP11" s="172"/>
      <c r="HQ11" s="95"/>
      <c r="HR11" s="91"/>
      <c r="HS11" s="172"/>
      <c r="HT11" s="95"/>
      <c r="HU11" s="91"/>
      <c r="HV11" s="172"/>
      <c r="HW11" s="95"/>
      <c r="HX11" s="91"/>
      <c r="HY11" s="172"/>
      <c r="HZ11" s="95"/>
      <c r="IA11" s="91"/>
      <c r="IB11" s="172"/>
      <c r="IC11" s="95"/>
      <c r="ID11" s="91"/>
      <c r="IE11" s="172"/>
      <c r="IF11" s="95"/>
      <c r="IG11" s="91"/>
      <c r="IH11" s="172"/>
      <c r="II11" s="95"/>
      <c r="IJ11" s="91"/>
      <c r="IK11" s="172"/>
      <c r="IL11" s="95"/>
      <c r="IM11" s="91"/>
      <c r="IN11" s="172"/>
      <c r="IO11" s="95"/>
      <c r="IP11" s="91"/>
      <c r="IQ11" s="172"/>
      <c r="IR11" s="95"/>
      <c r="IS11" s="91"/>
      <c r="IT11" s="172"/>
      <c r="IU11" s="95"/>
      <c r="IV11" s="91"/>
      <c r="IW11" s="172"/>
      <c r="IX11" s="95"/>
      <c r="IY11" s="91"/>
      <c r="IZ11" s="172"/>
      <c r="JA11" s="95"/>
      <c r="JB11" s="91"/>
      <c r="JC11" s="172"/>
      <c r="JD11" s="95"/>
      <c r="JE11" s="91"/>
      <c r="JF11" s="172"/>
      <c r="JG11" s="95"/>
      <c r="JH11" s="91"/>
      <c r="JI11" s="172"/>
      <c r="JJ11" s="95"/>
      <c r="JK11" s="91"/>
      <c r="JL11" s="172"/>
      <c r="JM11" s="95"/>
      <c r="JN11" s="91"/>
      <c r="JO11" s="172"/>
      <c r="JP11" s="95"/>
      <c r="JQ11" s="91"/>
      <c r="JR11" s="172"/>
      <c r="JS11" s="95"/>
      <c r="JT11" s="91"/>
      <c r="JU11" s="172"/>
      <c r="JV11" s="95"/>
      <c r="JW11" s="91"/>
      <c r="JX11" s="172"/>
      <c r="JY11" s="95"/>
      <c r="JZ11" s="91"/>
      <c r="KA11" s="172"/>
      <c r="KB11" s="95"/>
      <c r="KC11" s="91"/>
      <c r="KD11" s="172"/>
      <c r="KE11" s="95"/>
      <c r="KF11" s="91"/>
      <c r="KG11" s="172"/>
      <c r="KH11" s="95"/>
      <c r="KI11" s="91"/>
      <c r="KJ11" s="172"/>
      <c r="KK11" s="95"/>
      <c r="KL11" s="91"/>
      <c r="KM11" s="172"/>
      <c r="KN11" s="95"/>
    </row>
    <row r="12" spans="1:330" x14ac:dyDescent="0.2">
      <c r="A12" s="91"/>
      <c r="B12" s="172"/>
      <c r="C12" s="95"/>
      <c r="D12" s="91"/>
      <c r="E12" s="172"/>
      <c r="F12" s="95"/>
      <c r="G12" s="91"/>
      <c r="H12" s="172"/>
      <c r="I12" s="95"/>
      <c r="J12" s="91"/>
      <c r="K12" s="172"/>
      <c r="L12" s="95"/>
      <c r="M12" s="91"/>
      <c r="N12" s="172"/>
      <c r="O12" s="95"/>
      <c r="P12" s="91"/>
      <c r="Q12" s="172"/>
      <c r="R12" s="95"/>
      <c r="S12" s="91"/>
      <c r="T12" s="172"/>
      <c r="U12" s="95"/>
      <c r="V12" s="91"/>
      <c r="W12" s="172"/>
      <c r="X12" s="95"/>
      <c r="Y12" s="91"/>
      <c r="Z12" s="172"/>
      <c r="AA12" s="95"/>
      <c r="AB12" s="91"/>
      <c r="AC12" s="172"/>
      <c r="AD12" s="95"/>
      <c r="AE12" s="91"/>
      <c r="AF12" s="172"/>
      <c r="AG12" s="95"/>
      <c r="AH12" s="91"/>
      <c r="AI12" s="172"/>
      <c r="AJ12" s="95"/>
      <c r="AK12" s="91"/>
      <c r="AL12" s="172"/>
      <c r="AM12" s="95"/>
      <c r="AN12" s="91"/>
      <c r="AO12" s="172"/>
      <c r="AP12" s="95"/>
      <c r="AQ12" s="91"/>
      <c r="AR12" s="172"/>
      <c r="AS12" s="95"/>
      <c r="AT12" s="91"/>
      <c r="AU12" s="172"/>
      <c r="AV12" s="95"/>
      <c r="AW12" s="91"/>
      <c r="AX12" s="172"/>
      <c r="AY12" s="95"/>
      <c r="AZ12" s="91"/>
      <c r="BA12" s="172"/>
      <c r="BB12" s="95"/>
      <c r="BC12" s="91"/>
      <c r="BD12" s="172"/>
      <c r="BE12" s="95"/>
      <c r="BF12" s="91"/>
      <c r="BG12" s="172"/>
      <c r="BH12" s="95"/>
      <c r="BI12" s="91"/>
      <c r="BJ12" s="172"/>
      <c r="BK12" s="95"/>
      <c r="BL12" s="91"/>
      <c r="BM12" s="172"/>
      <c r="BN12" s="95"/>
      <c r="BO12" s="91"/>
      <c r="BP12" s="172"/>
      <c r="BQ12" s="95"/>
      <c r="BR12" s="91"/>
      <c r="BS12" s="172"/>
      <c r="BT12" s="95"/>
      <c r="BU12" s="91"/>
      <c r="BV12" s="172"/>
      <c r="BW12" s="95"/>
      <c r="BX12" s="91"/>
      <c r="BY12" s="172"/>
      <c r="BZ12" s="95"/>
      <c r="CA12" s="91"/>
      <c r="CB12" s="172"/>
      <c r="CC12" s="95"/>
      <c r="CD12" s="91"/>
      <c r="CE12" s="172"/>
      <c r="CF12" s="95"/>
      <c r="CG12" s="91"/>
      <c r="CH12" s="172"/>
      <c r="CI12" s="95"/>
      <c r="CJ12" s="91"/>
      <c r="CK12" s="172"/>
      <c r="CL12" s="95"/>
      <c r="CM12" s="91"/>
      <c r="CN12" s="172"/>
      <c r="CO12" s="95"/>
      <c r="CP12" s="91"/>
      <c r="CQ12" s="172"/>
      <c r="CR12" s="95"/>
      <c r="CS12" s="91"/>
      <c r="CT12" s="172"/>
      <c r="CU12" s="95"/>
      <c r="CV12" s="91"/>
      <c r="CW12" s="172"/>
      <c r="CX12" s="95"/>
      <c r="CY12" s="91"/>
      <c r="CZ12" s="172"/>
      <c r="DA12" s="95"/>
      <c r="DB12" s="91"/>
      <c r="DC12" s="172"/>
      <c r="DD12" s="95"/>
      <c r="DE12" s="91"/>
      <c r="DF12" s="172"/>
      <c r="DG12" s="95"/>
      <c r="DH12" s="91"/>
      <c r="DI12" s="172"/>
      <c r="DJ12" s="95"/>
      <c r="DK12" s="91"/>
      <c r="DL12" s="172"/>
      <c r="DM12" s="95"/>
      <c r="DN12" s="91"/>
      <c r="DO12" s="172"/>
      <c r="DP12" s="95"/>
      <c r="DQ12" s="91"/>
      <c r="DR12" s="172"/>
      <c r="DS12" s="95"/>
      <c r="DT12" s="91"/>
      <c r="DU12" s="172"/>
      <c r="DV12" s="95"/>
      <c r="DW12" s="91"/>
      <c r="DX12" s="172"/>
      <c r="DY12" s="95"/>
      <c r="DZ12" s="91"/>
      <c r="EA12" s="172"/>
      <c r="EB12" s="95"/>
      <c r="EC12" s="91"/>
      <c r="ED12" s="172"/>
      <c r="EE12" s="95"/>
      <c r="EF12" s="91"/>
      <c r="EG12" s="172"/>
      <c r="EH12" s="95"/>
      <c r="EI12" s="91"/>
      <c r="EJ12" s="172"/>
      <c r="EK12" s="95"/>
      <c r="EL12" s="91"/>
      <c r="EM12" s="172"/>
      <c r="EN12" s="95"/>
      <c r="EO12" s="91"/>
      <c r="EP12" s="172"/>
      <c r="EQ12" s="95"/>
      <c r="ER12" s="91"/>
      <c r="ES12" s="172"/>
      <c r="ET12" s="95"/>
      <c r="EU12" s="91"/>
      <c r="EV12" s="172"/>
      <c r="EW12" s="95"/>
      <c r="EX12" s="91"/>
      <c r="EY12" s="172"/>
      <c r="EZ12" s="95"/>
      <c r="FA12" s="91"/>
      <c r="FB12" s="172"/>
      <c r="FC12" s="95"/>
      <c r="FD12" s="91"/>
      <c r="FE12" s="172"/>
      <c r="FF12" s="95"/>
      <c r="FG12" s="91"/>
      <c r="FH12" s="172"/>
      <c r="FI12" s="95"/>
      <c r="FJ12" s="91"/>
      <c r="FK12" s="172"/>
      <c r="FL12" s="95"/>
      <c r="FM12" s="91"/>
      <c r="FN12" s="172"/>
      <c r="FO12" s="95"/>
      <c r="FP12" s="91"/>
      <c r="FQ12" s="172"/>
      <c r="FR12" s="95"/>
      <c r="FS12" s="91"/>
      <c r="FT12" s="172"/>
      <c r="FU12" s="95"/>
      <c r="FV12" s="91"/>
      <c r="FW12" s="172"/>
      <c r="FX12" s="95"/>
      <c r="FY12" s="91"/>
      <c r="FZ12" s="172"/>
      <c r="GA12" s="95"/>
      <c r="GB12" s="91"/>
      <c r="GC12" s="172"/>
      <c r="GD12" s="95"/>
      <c r="GE12" s="91"/>
      <c r="GF12" s="172"/>
      <c r="GG12" s="95"/>
      <c r="GH12" s="91"/>
      <c r="GI12" s="172"/>
      <c r="GJ12" s="95"/>
      <c r="GK12" s="91"/>
      <c r="GL12" s="172"/>
      <c r="GM12" s="95"/>
      <c r="GN12" s="91"/>
      <c r="GO12" s="172"/>
      <c r="GP12" s="95"/>
      <c r="GQ12" s="91"/>
      <c r="GR12" s="172"/>
      <c r="GS12" s="95"/>
      <c r="GT12" s="91"/>
      <c r="GU12" s="172"/>
      <c r="GV12" s="95"/>
      <c r="GW12" s="91"/>
      <c r="GX12" s="172"/>
      <c r="GY12" s="95"/>
      <c r="GZ12" s="91"/>
      <c r="HA12" s="172"/>
      <c r="HB12" s="95"/>
      <c r="HC12" s="91"/>
      <c r="HD12" s="172"/>
      <c r="HE12" s="95"/>
      <c r="HF12" s="91"/>
      <c r="HG12" s="172"/>
      <c r="HH12" s="95"/>
      <c r="HI12" s="91"/>
      <c r="HJ12" s="172"/>
      <c r="HK12" s="95"/>
      <c r="HL12" s="91"/>
      <c r="HM12" s="172"/>
      <c r="HN12" s="95"/>
      <c r="HO12" s="91"/>
      <c r="HP12" s="172"/>
      <c r="HQ12" s="95"/>
      <c r="HR12" s="91"/>
      <c r="HS12" s="172"/>
      <c r="HT12" s="95"/>
      <c r="HU12" s="91"/>
      <c r="HV12" s="172"/>
      <c r="HW12" s="95"/>
      <c r="HX12" s="91"/>
      <c r="HY12" s="172"/>
      <c r="HZ12" s="95"/>
      <c r="IA12" s="91"/>
      <c r="IB12" s="172"/>
      <c r="IC12" s="95"/>
      <c r="ID12" s="91"/>
      <c r="IE12" s="172"/>
      <c r="IF12" s="95"/>
      <c r="IG12" s="91"/>
      <c r="IH12" s="172"/>
      <c r="II12" s="95"/>
      <c r="IJ12" s="91"/>
      <c r="IK12" s="172"/>
      <c r="IL12" s="95"/>
      <c r="IM12" s="91"/>
      <c r="IN12" s="172"/>
      <c r="IO12" s="95"/>
      <c r="IP12" s="91"/>
      <c r="IQ12" s="172"/>
      <c r="IR12" s="95"/>
      <c r="IS12" s="91"/>
      <c r="IT12" s="172"/>
      <c r="IU12" s="95"/>
      <c r="IV12" s="91"/>
      <c r="IW12" s="172"/>
      <c r="IX12" s="95"/>
      <c r="IY12" s="91"/>
      <c r="IZ12" s="172"/>
      <c r="JA12" s="95"/>
      <c r="JB12" s="91"/>
      <c r="JC12" s="172"/>
      <c r="JD12" s="95"/>
      <c r="JE12" s="91"/>
      <c r="JF12" s="172"/>
      <c r="JG12" s="95"/>
      <c r="JH12" s="91"/>
      <c r="JI12" s="172"/>
      <c r="JJ12" s="95"/>
      <c r="JK12" s="91"/>
      <c r="JL12" s="172"/>
      <c r="JM12" s="95"/>
      <c r="JN12" s="91"/>
      <c r="JO12" s="172"/>
      <c r="JP12" s="95"/>
      <c r="JQ12" s="91"/>
      <c r="JR12" s="172"/>
      <c r="JS12" s="95"/>
      <c r="JT12" s="91"/>
      <c r="JU12" s="172"/>
      <c r="JV12" s="95"/>
      <c r="JW12" s="91"/>
      <c r="JX12" s="172"/>
      <c r="JY12" s="95"/>
      <c r="JZ12" s="91"/>
      <c r="KA12" s="172"/>
      <c r="KB12" s="95"/>
      <c r="KC12" s="91"/>
      <c r="KD12" s="172"/>
      <c r="KE12" s="95"/>
      <c r="KF12" s="91"/>
      <c r="KG12" s="172"/>
      <c r="KH12" s="95"/>
      <c r="KI12" s="91"/>
      <c r="KJ12" s="172"/>
      <c r="KK12" s="95"/>
      <c r="KL12" s="91"/>
      <c r="KM12" s="172"/>
      <c r="KN12" s="95"/>
    </row>
    <row r="13" spans="1:330" x14ac:dyDescent="0.2">
      <c r="A13" s="91"/>
      <c r="B13" s="172"/>
      <c r="C13" s="95"/>
      <c r="D13" s="91"/>
      <c r="E13" s="172"/>
      <c r="F13" s="95"/>
      <c r="G13" s="91"/>
      <c r="H13" s="172"/>
      <c r="I13" s="95"/>
      <c r="J13" s="91"/>
      <c r="K13" s="172"/>
      <c r="L13" s="95"/>
      <c r="M13" s="91"/>
      <c r="N13" s="172"/>
      <c r="O13" s="95"/>
      <c r="P13" s="91"/>
      <c r="Q13" s="172"/>
      <c r="R13" s="95"/>
      <c r="S13" s="91"/>
      <c r="T13" s="172"/>
      <c r="U13" s="95"/>
      <c r="V13" s="91"/>
      <c r="W13" s="172"/>
      <c r="X13" s="95"/>
      <c r="Y13" s="91"/>
      <c r="Z13" s="172"/>
      <c r="AA13" s="95"/>
      <c r="AB13" s="91"/>
      <c r="AC13" s="172"/>
      <c r="AD13" s="95"/>
      <c r="AE13" s="91"/>
      <c r="AF13" s="172"/>
      <c r="AG13" s="95"/>
      <c r="AH13" s="91"/>
      <c r="AI13" s="172"/>
      <c r="AJ13" s="95"/>
      <c r="AK13" s="91"/>
      <c r="AL13" s="172"/>
      <c r="AM13" s="95"/>
      <c r="AN13" s="91"/>
      <c r="AO13" s="172"/>
      <c r="AP13" s="95"/>
      <c r="AQ13" s="91"/>
      <c r="AR13" s="172"/>
      <c r="AS13" s="95"/>
      <c r="AT13" s="91"/>
      <c r="AU13" s="172"/>
      <c r="AV13" s="95"/>
      <c r="AW13" s="91"/>
      <c r="AX13" s="172"/>
      <c r="AY13" s="95"/>
      <c r="AZ13" s="91"/>
      <c r="BA13" s="172"/>
      <c r="BB13" s="95"/>
      <c r="BC13" s="91"/>
      <c r="BD13" s="172"/>
      <c r="BE13" s="95"/>
      <c r="BF13" s="91"/>
      <c r="BG13" s="172"/>
      <c r="BH13" s="95"/>
      <c r="BI13" s="91"/>
      <c r="BJ13" s="172"/>
      <c r="BK13" s="95"/>
      <c r="BL13" s="91"/>
      <c r="BM13" s="172"/>
      <c r="BN13" s="95"/>
      <c r="BO13" s="91"/>
      <c r="BP13" s="172"/>
      <c r="BQ13" s="95"/>
      <c r="BR13" s="91"/>
      <c r="BS13" s="172"/>
      <c r="BT13" s="95"/>
      <c r="BU13" s="91"/>
      <c r="BV13" s="172"/>
      <c r="BW13" s="95"/>
      <c r="BX13" s="91"/>
      <c r="BY13" s="172"/>
      <c r="BZ13" s="95"/>
      <c r="CA13" s="91"/>
      <c r="CB13" s="172"/>
      <c r="CC13" s="95"/>
      <c r="CD13" s="91"/>
      <c r="CE13" s="172"/>
      <c r="CF13" s="95"/>
      <c r="CG13" s="91"/>
      <c r="CH13" s="172"/>
      <c r="CI13" s="95"/>
      <c r="CJ13" s="91"/>
      <c r="CK13" s="172"/>
      <c r="CL13" s="95"/>
      <c r="CM13" s="91"/>
      <c r="CN13" s="172"/>
      <c r="CO13" s="95"/>
      <c r="CP13" s="91"/>
      <c r="CQ13" s="172"/>
      <c r="CR13" s="95"/>
      <c r="CS13" s="91"/>
      <c r="CT13" s="172"/>
      <c r="CU13" s="95"/>
      <c r="CV13" s="91"/>
      <c r="CW13" s="172"/>
      <c r="CX13" s="95"/>
      <c r="CY13" s="91"/>
      <c r="CZ13" s="172"/>
      <c r="DA13" s="95"/>
      <c r="DB13" s="91"/>
      <c r="DC13" s="172"/>
      <c r="DD13" s="95"/>
      <c r="DE13" s="91"/>
      <c r="DF13" s="172"/>
      <c r="DG13" s="95"/>
      <c r="DH13" s="91"/>
      <c r="DI13" s="172"/>
      <c r="DJ13" s="95"/>
      <c r="DK13" s="91"/>
      <c r="DL13" s="172"/>
      <c r="DM13" s="95"/>
      <c r="DN13" s="91"/>
      <c r="DO13" s="172"/>
      <c r="DP13" s="95"/>
      <c r="DQ13" s="91"/>
      <c r="DR13" s="172"/>
      <c r="DS13" s="95"/>
      <c r="DT13" s="91"/>
      <c r="DU13" s="172"/>
      <c r="DV13" s="95"/>
      <c r="DW13" s="91"/>
      <c r="DX13" s="172"/>
      <c r="DY13" s="95"/>
      <c r="DZ13" s="91"/>
      <c r="EA13" s="172"/>
      <c r="EB13" s="95"/>
      <c r="EC13" s="91"/>
      <c r="ED13" s="172"/>
      <c r="EE13" s="95"/>
      <c r="EF13" s="91"/>
      <c r="EG13" s="172"/>
      <c r="EH13" s="95"/>
      <c r="EI13" s="91"/>
      <c r="EJ13" s="172"/>
      <c r="EK13" s="95"/>
      <c r="EL13" s="91"/>
      <c r="EM13" s="172"/>
      <c r="EN13" s="95"/>
      <c r="EO13" s="91"/>
      <c r="EP13" s="172"/>
      <c r="EQ13" s="95"/>
      <c r="ER13" s="91"/>
      <c r="ES13" s="172"/>
      <c r="ET13" s="95"/>
      <c r="EU13" s="91"/>
      <c r="EV13" s="172"/>
      <c r="EW13" s="95"/>
      <c r="EX13" s="91"/>
      <c r="EY13" s="172"/>
      <c r="EZ13" s="95"/>
      <c r="FA13" s="91"/>
      <c r="FB13" s="172"/>
      <c r="FC13" s="95"/>
      <c r="FD13" s="91"/>
      <c r="FE13" s="172"/>
      <c r="FF13" s="95"/>
      <c r="FG13" s="91"/>
      <c r="FH13" s="172"/>
      <c r="FI13" s="95"/>
      <c r="FJ13" s="91"/>
      <c r="FK13" s="172"/>
      <c r="FL13" s="95"/>
      <c r="FM13" s="91"/>
      <c r="FN13" s="172"/>
      <c r="FO13" s="95"/>
      <c r="FP13" s="91"/>
      <c r="FQ13" s="172"/>
      <c r="FR13" s="95"/>
      <c r="FS13" s="91"/>
      <c r="FT13" s="172"/>
      <c r="FU13" s="95"/>
      <c r="FV13" s="91"/>
      <c r="FW13" s="172"/>
      <c r="FX13" s="95"/>
      <c r="FY13" s="91"/>
      <c r="FZ13" s="172"/>
      <c r="GA13" s="95"/>
      <c r="GB13" s="91"/>
      <c r="GC13" s="172"/>
      <c r="GD13" s="95"/>
      <c r="GE13" s="91"/>
      <c r="GF13" s="172"/>
      <c r="GG13" s="95"/>
      <c r="GH13" s="91"/>
      <c r="GI13" s="172"/>
      <c r="GJ13" s="95"/>
      <c r="GK13" s="91"/>
      <c r="GL13" s="172"/>
      <c r="GM13" s="95"/>
      <c r="GN13" s="91"/>
      <c r="GO13" s="172"/>
      <c r="GP13" s="95"/>
      <c r="GQ13" s="91"/>
      <c r="GR13" s="172"/>
      <c r="GS13" s="95"/>
      <c r="GT13" s="91"/>
      <c r="GU13" s="172"/>
      <c r="GV13" s="95"/>
      <c r="GW13" s="91"/>
      <c r="GX13" s="172"/>
      <c r="GY13" s="95"/>
      <c r="GZ13" s="91"/>
      <c r="HA13" s="172"/>
      <c r="HB13" s="95"/>
      <c r="HC13" s="91"/>
      <c r="HD13" s="172"/>
      <c r="HE13" s="95"/>
      <c r="HF13" s="91"/>
      <c r="HG13" s="172"/>
      <c r="HH13" s="95"/>
      <c r="HI13" s="91"/>
      <c r="HJ13" s="172"/>
      <c r="HK13" s="95"/>
      <c r="HL13" s="91"/>
      <c r="HM13" s="172"/>
      <c r="HN13" s="95"/>
      <c r="HO13" s="91"/>
      <c r="HP13" s="172"/>
      <c r="HQ13" s="95"/>
      <c r="HR13" s="91"/>
      <c r="HS13" s="172"/>
      <c r="HT13" s="95"/>
      <c r="HU13" s="91"/>
      <c r="HV13" s="172"/>
      <c r="HW13" s="95"/>
      <c r="HX13" s="91"/>
      <c r="HY13" s="172"/>
      <c r="HZ13" s="95"/>
      <c r="IA13" s="91"/>
      <c r="IB13" s="172"/>
      <c r="IC13" s="95"/>
      <c r="ID13" s="91"/>
      <c r="IE13" s="172"/>
      <c r="IF13" s="95"/>
      <c r="IG13" s="91"/>
      <c r="IH13" s="172"/>
      <c r="II13" s="95"/>
      <c r="IJ13" s="91"/>
      <c r="IK13" s="172"/>
      <c r="IL13" s="95"/>
      <c r="IM13" s="91"/>
      <c r="IN13" s="172"/>
      <c r="IO13" s="95"/>
      <c r="IP13" s="91"/>
      <c r="IQ13" s="172"/>
      <c r="IR13" s="95"/>
      <c r="IS13" s="91"/>
      <c r="IT13" s="172"/>
      <c r="IU13" s="95"/>
      <c r="IV13" s="91"/>
      <c r="IW13" s="172"/>
      <c r="IX13" s="95"/>
      <c r="IY13" s="91"/>
      <c r="IZ13" s="172"/>
      <c r="JA13" s="95"/>
      <c r="JB13" s="91"/>
      <c r="JC13" s="172"/>
      <c r="JD13" s="95"/>
      <c r="JE13" s="91"/>
      <c r="JF13" s="172"/>
      <c r="JG13" s="95"/>
      <c r="JH13" s="91"/>
      <c r="JI13" s="172"/>
      <c r="JJ13" s="95"/>
      <c r="JK13" s="91"/>
      <c r="JL13" s="172"/>
      <c r="JM13" s="95"/>
      <c r="JN13" s="91"/>
      <c r="JO13" s="172"/>
      <c r="JP13" s="95"/>
      <c r="JQ13" s="91"/>
      <c r="JR13" s="172"/>
      <c r="JS13" s="95"/>
      <c r="JT13" s="91"/>
      <c r="JU13" s="172"/>
      <c r="JV13" s="95"/>
      <c r="JW13" s="91"/>
      <c r="JX13" s="172"/>
      <c r="JY13" s="95"/>
      <c r="JZ13" s="91"/>
      <c r="KA13" s="172"/>
      <c r="KB13" s="95"/>
      <c r="KC13" s="91"/>
      <c r="KD13" s="172"/>
      <c r="KE13" s="95"/>
      <c r="KF13" s="91"/>
      <c r="KG13" s="172"/>
      <c r="KH13" s="95"/>
      <c r="KI13" s="91"/>
      <c r="KJ13" s="172"/>
      <c r="KK13" s="95"/>
      <c r="KL13" s="91"/>
      <c r="KM13" s="172"/>
      <c r="KN13" s="95"/>
    </row>
    <row r="14" spans="1:330" x14ac:dyDescent="0.2">
      <c r="A14" s="91"/>
      <c r="B14" s="172"/>
      <c r="C14" s="95"/>
      <c r="D14" s="91"/>
      <c r="E14" s="172"/>
      <c r="F14" s="95"/>
      <c r="G14" s="91"/>
      <c r="H14" s="172"/>
      <c r="I14" s="95"/>
      <c r="J14" s="91"/>
      <c r="K14" s="172"/>
      <c r="L14" s="95"/>
      <c r="M14" s="91"/>
      <c r="N14" s="172"/>
      <c r="O14" s="95"/>
      <c r="P14" s="91"/>
      <c r="Q14" s="172"/>
      <c r="R14" s="95"/>
      <c r="S14" s="91"/>
      <c r="T14" s="172"/>
      <c r="U14" s="95"/>
      <c r="V14" s="91"/>
      <c r="W14" s="172"/>
      <c r="X14" s="95"/>
      <c r="Y14" s="91"/>
      <c r="Z14" s="172"/>
      <c r="AA14" s="95"/>
      <c r="AB14" s="91"/>
      <c r="AC14" s="172"/>
      <c r="AD14" s="95"/>
      <c r="AE14" s="91"/>
      <c r="AF14" s="172"/>
      <c r="AG14" s="95"/>
      <c r="AH14" s="91"/>
      <c r="AI14" s="172"/>
      <c r="AJ14" s="95"/>
      <c r="AK14" s="91"/>
      <c r="AL14" s="172"/>
      <c r="AM14" s="95"/>
      <c r="AN14" s="91"/>
      <c r="AO14" s="172"/>
      <c r="AP14" s="95"/>
      <c r="AQ14" s="91"/>
      <c r="AR14" s="172"/>
      <c r="AS14" s="95"/>
      <c r="AT14" s="91"/>
      <c r="AU14" s="172"/>
      <c r="AV14" s="95"/>
      <c r="AW14" s="91"/>
      <c r="AX14" s="172"/>
      <c r="AY14" s="95"/>
      <c r="AZ14" s="91"/>
      <c r="BA14" s="172"/>
      <c r="BB14" s="95"/>
      <c r="BC14" s="91"/>
      <c r="BD14" s="172"/>
      <c r="BE14" s="95"/>
      <c r="BF14" s="91"/>
      <c r="BG14" s="172"/>
      <c r="BH14" s="95"/>
      <c r="BI14" s="91"/>
      <c r="BJ14" s="172"/>
      <c r="BK14" s="95"/>
      <c r="BL14" s="91"/>
      <c r="BM14" s="172"/>
      <c r="BN14" s="95"/>
      <c r="BO14" s="91"/>
      <c r="BP14" s="172"/>
      <c r="BQ14" s="95"/>
      <c r="BR14" s="91"/>
      <c r="BS14" s="172"/>
      <c r="BT14" s="95"/>
      <c r="BU14" s="91"/>
      <c r="BV14" s="172"/>
      <c r="BW14" s="95"/>
      <c r="BX14" s="91"/>
      <c r="BY14" s="172"/>
      <c r="BZ14" s="95"/>
      <c r="CA14" s="91"/>
      <c r="CB14" s="172"/>
      <c r="CC14" s="95"/>
      <c r="CD14" s="91"/>
      <c r="CE14" s="172"/>
      <c r="CF14" s="95"/>
      <c r="CG14" s="91"/>
      <c r="CH14" s="172"/>
      <c r="CI14" s="95"/>
      <c r="CJ14" s="91"/>
      <c r="CK14" s="172"/>
      <c r="CL14" s="95"/>
      <c r="CM14" s="91"/>
      <c r="CN14" s="172"/>
      <c r="CO14" s="95"/>
      <c r="CP14" s="91"/>
      <c r="CQ14" s="172"/>
      <c r="CR14" s="95"/>
      <c r="CS14" s="91"/>
      <c r="CT14" s="172"/>
      <c r="CU14" s="95"/>
      <c r="CV14" s="91"/>
      <c r="CW14" s="172"/>
      <c r="CX14" s="95"/>
      <c r="CY14" s="91"/>
      <c r="CZ14" s="172"/>
      <c r="DA14" s="95"/>
      <c r="DB14" s="91"/>
      <c r="DC14" s="172"/>
      <c r="DD14" s="95"/>
      <c r="DE14" s="91"/>
      <c r="DF14" s="172"/>
      <c r="DG14" s="95"/>
      <c r="DH14" s="91"/>
      <c r="DI14" s="172"/>
      <c r="DJ14" s="95"/>
      <c r="DK14" s="91"/>
      <c r="DL14" s="172"/>
      <c r="DM14" s="95"/>
      <c r="DN14" s="91"/>
      <c r="DO14" s="172"/>
      <c r="DP14" s="95"/>
      <c r="DQ14" s="91"/>
      <c r="DR14" s="172"/>
      <c r="DS14" s="95"/>
      <c r="DT14" s="91"/>
      <c r="DU14" s="172"/>
      <c r="DV14" s="95"/>
      <c r="DW14" s="91"/>
      <c r="DX14" s="172"/>
      <c r="DY14" s="95"/>
      <c r="DZ14" s="91"/>
      <c r="EA14" s="172"/>
      <c r="EB14" s="95"/>
      <c r="EC14" s="91"/>
      <c r="ED14" s="172"/>
      <c r="EE14" s="95"/>
      <c r="EF14" s="91"/>
      <c r="EG14" s="172"/>
      <c r="EH14" s="95"/>
      <c r="EI14" s="91"/>
      <c r="EJ14" s="172"/>
      <c r="EK14" s="95"/>
      <c r="EL14" s="91"/>
      <c r="EM14" s="172"/>
      <c r="EN14" s="95"/>
      <c r="EO14" s="91"/>
      <c r="EP14" s="172"/>
      <c r="EQ14" s="95"/>
      <c r="ER14" s="91"/>
      <c r="ES14" s="172"/>
      <c r="ET14" s="95"/>
      <c r="EU14" s="91"/>
      <c r="EV14" s="172"/>
      <c r="EW14" s="95"/>
      <c r="EX14" s="91"/>
      <c r="EY14" s="172"/>
      <c r="EZ14" s="95"/>
      <c r="FA14" s="91"/>
      <c r="FB14" s="172"/>
      <c r="FC14" s="95"/>
      <c r="FD14" s="91"/>
      <c r="FE14" s="172"/>
      <c r="FF14" s="95"/>
      <c r="FG14" s="91"/>
      <c r="FH14" s="172"/>
      <c r="FI14" s="95"/>
      <c r="FJ14" s="91"/>
      <c r="FK14" s="172"/>
      <c r="FL14" s="95"/>
      <c r="FM14" s="91"/>
      <c r="FN14" s="172"/>
      <c r="FO14" s="95"/>
      <c r="FP14" s="91"/>
      <c r="FQ14" s="172"/>
      <c r="FR14" s="95"/>
      <c r="FS14" s="91"/>
      <c r="FT14" s="172"/>
      <c r="FU14" s="95"/>
      <c r="FV14" s="91"/>
      <c r="FW14" s="172"/>
      <c r="FX14" s="95"/>
      <c r="FY14" s="91"/>
      <c r="FZ14" s="172"/>
      <c r="GA14" s="95"/>
      <c r="GB14" s="91"/>
      <c r="GC14" s="172"/>
      <c r="GD14" s="95"/>
      <c r="GE14" s="91"/>
      <c r="GF14" s="172"/>
      <c r="GG14" s="95"/>
      <c r="GH14" s="91"/>
      <c r="GI14" s="172"/>
      <c r="GJ14" s="95"/>
      <c r="GK14" s="91"/>
      <c r="GL14" s="172"/>
      <c r="GM14" s="95"/>
      <c r="GN14" s="91"/>
      <c r="GO14" s="172"/>
      <c r="GP14" s="95"/>
      <c r="GQ14" s="91"/>
      <c r="GR14" s="172"/>
      <c r="GS14" s="95"/>
      <c r="GT14" s="91"/>
      <c r="GU14" s="172"/>
      <c r="GV14" s="95"/>
      <c r="GW14" s="91"/>
      <c r="GX14" s="172"/>
      <c r="GY14" s="95"/>
      <c r="GZ14" s="91"/>
      <c r="HA14" s="172"/>
      <c r="HB14" s="95"/>
      <c r="HC14" s="91"/>
      <c r="HD14" s="172"/>
      <c r="HE14" s="95"/>
      <c r="HF14" s="91"/>
      <c r="HG14" s="172"/>
      <c r="HH14" s="95"/>
      <c r="HI14" s="91"/>
      <c r="HJ14" s="172"/>
      <c r="HK14" s="95"/>
      <c r="HL14" s="91"/>
      <c r="HM14" s="172"/>
      <c r="HN14" s="95"/>
      <c r="HO14" s="91"/>
      <c r="HP14" s="172"/>
      <c r="HQ14" s="95"/>
      <c r="HR14" s="91"/>
      <c r="HS14" s="172"/>
      <c r="HT14" s="95"/>
      <c r="HU14" s="91"/>
      <c r="HV14" s="172"/>
      <c r="HW14" s="95"/>
      <c r="HX14" s="91"/>
      <c r="HY14" s="172"/>
      <c r="HZ14" s="95"/>
      <c r="IA14" s="91"/>
      <c r="IB14" s="172"/>
      <c r="IC14" s="95"/>
      <c r="ID14" s="91"/>
      <c r="IE14" s="172"/>
      <c r="IF14" s="95"/>
      <c r="IG14" s="91"/>
      <c r="IH14" s="172"/>
      <c r="II14" s="95"/>
      <c r="IJ14" s="91"/>
      <c r="IK14" s="172"/>
      <c r="IL14" s="95"/>
      <c r="IM14" s="91"/>
      <c r="IN14" s="172"/>
      <c r="IO14" s="95"/>
      <c r="IP14" s="91"/>
      <c r="IQ14" s="172"/>
      <c r="IR14" s="95"/>
      <c r="IS14" s="91"/>
      <c r="IT14" s="172"/>
      <c r="IU14" s="95"/>
      <c r="IV14" s="91"/>
      <c r="IW14" s="172"/>
      <c r="IX14" s="95"/>
      <c r="IY14" s="91"/>
      <c r="IZ14" s="172"/>
      <c r="JA14" s="95"/>
      <c r="JB14" s="91"/>
      <c r="JC14" s="172"/>
      <c r="JD14" s="95"/>
      <c r="JE14" s="91"/>
      <c r="JF14" s="172"/>
      <c r="JG14" s="95"/>
      <c r="JH14" s="91"/>
      <c r="JI14" s="172"/>
      <c r="JJ14" s="95"/>
      <c r="JK14" s="91"/>
      <c r="JL14" s="172"/>
      <c r="JM14" s="95"/>
      <c r="JN14" s="91"/>
      <c r="JO14" s="172"/>
      <c r="JP14" s="95"/>
      <c r="JQ14" s="91"/>
      <c r="JR14" s="172"/>
      <c r="JS14" s="95"/>
      <c r="JT14" s="91"/>
      <c r="JU14" s="172"/>
      <c r="JV14" s="95"/>
      <c r="JW14" s="91"/>
      <c r="JX14" s="172"/>
      <c r="JY14" s="95"/>
      <c r="JZ14" s="91"/>
      <c r="KA14" s="172"/>
      <c r="KB14" s="95"/>
      <c r="KC14" s="91"/>
      <c r="KD14" s="172"/>
      <c r="KE14" s="95"/>
      <c r="KF14" s="91"/>
      <c r="KG14" s="172"/>
      <c r="KH14" s="95"/>
      <c r="KI14" s="91"/>
      <c r="KJ14" s="172"/>
      <c r="KK14" s="95"/>
      <c r="KL14" s="91"/>
      <c r="KM14" s="172"/>
      <c r="KN14" s="95"/>
    </row>
    <row r="15" spans="1:330" x14ac:dyDescent="0.2">
      <c r="A15" s="91"/>
      <c r="B15" s="172"/>
      <c r="C15" s="95"/>
      <c r="D15" s="91"/>
      <c r="E15" s="172"/>
      <c r="F15" s="95"/>
      <c r="G15" s="91"/>
      <c r="H15" s="172"/>
      <c r="I15" s="95"/>
      <c r="J15" s="91"/>
      <c r="K15" s="172"/>
      <c r="L15" s="95"/>
      <c r="M15" s="91"/>
      <c r="N15" s="172"/>
      <c r="O15" s="95"/>
      <c r="P15" s="91"/>
      <c r="Q15" s="172"/>
      <c r="R15" s="95"/>
      <c r="S15" s="91"/>
      <c r="T15" s="172"/>
      <c r="U15" s="95"/>
      <c r="V15" s="91"/>
      <c r="W15" s="172"/>
      <c r="X15" s="95"/>
      <c r="Y15" s="91"/>
      <c r="Z15" s="172"/>
      <c r="AA15" s="95"/>
      <c r="AB15" s="91"/>
      <c r="AC15" s="172"/>
      <c r="AD15" s="95"/>
      <c r="AE15" s="91"/>
      <c r="AF15" s="172"/>
      <c r="AG15" s="95"/>
      <c r="AH15" s="91"/>
      <c r="AI15" s="172"/>
      <c r="AJ15" s="95"/>
      <c r="AK15" s="91"/>
      <c r="AL15" s="172"/>
      <c r="AM15" s="95"/>
      <c r="AN15" s="91"/>
      <c r="AO15" s="172"/>
      <c r="AP15" s="95"/>
      <c r="AQ15" s="91"/>
      <c r="AR15" s="172"/>
      <c r="AS15" s="95"/>
      <c r="AT15" s="91"/>
      <c r="AU15" s="172"/>
      <c r="AV15" s="95"/>
      <c r="AW15" s="91"/>
      <c r="AX15" s="172"/>
      <c r="AY15" s="95"/>
      <c r="AZ15" s="91"/>
      <c r="BA15" s="172"/>
      <c r="BB15" s="95"/>
      <c r="BC15" s="91"/>
      <c r="BD15" s="172"/>
      <c r="BE15" s="95"/>
      <c r="BF15" s="91"/>
      <c r="BG15" s="172"/>
      <c r="BH15" s="95"/>
      <c r="BI15" s="91"/>
      <c r="BJ15" s="172"/>
      <c r="BK15" s="95"/>
      <c r="BL15" s="91"/>
      <c r="BM15" s="172"/>
      <c r="BN15" s="95"/>
      <c r="BO15" s="91"/>
      <c r="BP15" s="172"/>
      <c r="BQ15" s="95"/>
      <c r="BR15" s="91"/>
      <c r="BS15" s="172"/>
      <c r="BT15" s="95"/>
      <c r="BU15" s="91"/>
      <c r="BV15" s="172"/>
      <c r="BW15" s="95"/>
      <c r="BX15" s="91"/>
      <c r="BY15" s="172"/>
      <c r="BZ15" s="95"/>
      <c r="CA15" s="91"/>
      <c r="CB15" s="172"/>
      <c r="CC15" s="95"/>
      <c r="CD15" s="91"/>
      <c r="CE15" s="172"/>
      <c r="CF15" s="95"/>
      <c r="CG15" s="91"/>
      <c r="CH15" s="172"/>
      <c r="CI15" s="95"/>
      <c r="CJ15" s="91"/>
      <c r="CK15" s="172"/>
      <c r="CL15" s="95"/>
      <c r="CM15" s="91"/>
      <c r="CN15" s="172"/>
      <c r="CO15" s="95"/>
      <c r="CP15" s="91"/>
      <c r="CQ15" s="172"/>
      <c r="CR15" s="95"/>
      <c r="CS15" s="91"/>
      <c r="CT15" s="172"/>
      <c r="CU15" s="95"/>
      <c r="CV15" s="91"/>
      <c r="CW15" s="172"/>
      <c r="CX15" s="95"/>
      <c r="CY15" s="91"/>
      <c r="CZ15" s="172"/>
      <c r="DA15" s="95"/>
      <c r="DB15" s="91"/>
      <c r="DC15" s="172"/>
      <c r="DD15" s="95"/>
      <c r="DE15" s="91"/>
      <c r="DF15" s="172"/>
      <c r="DG15" s="95"/>
      <c r="DH15" s="91"/>
      <c r="DI15" s="172"/>
      <c r="DJ15" s="95"/>
      <c r="DK15" s="91"/>
      <c r="DL15" s="172"/>
      <c r="DM15" s="95"/>
      <c r="DN15" s="91"/>
      <c r="DO15" s="172"/>
      <c r="DP15" s="95"/>
      <c r="DQ15" s="91"/>
      <c r="DR15" s="172"/>
      <c r="DS15" s="95"/>
      <c r="DT15" s="91"/>
      <c r="DU15" s="172"/>
      <c r="DV15" s="95"/>
      <c r="DW15" s="91"/>
      <c r="DX15" s="172"/>
      <c r="DY15" s="95"/>
      <c r="DZ15" s="91"/>
      <c r="EA15" s="172"/>
      <c r="EB15" s="95"/>
      <c r="EC15" s="91"/>
      <c r="ED15" s="172"/>
      <c r="EE15" s="95"/>
      <c r="EF15" s="91"/>
      <c r="EG15" s="172"/>
      <c r="EH15" s="95"/>
      <c r="EI15" s="91"/>
      <c r="EJ15" s="172"/>
      <c r="EK15" s="95"/>
      <c r="EL15" s="91"/>
      <c r="EM15" s="172"/>
      <c r="EN15" s="95"/>
      <c r="EO15" s="91"/>
      <c r="EP15" s="172"/>
      <c r="EQ15" s="95"/>
      <c r="ER15" s="91"/>
      <c r="ES15" s="172"/>
      <c r="ET15" s="95"/>
      <c r="EU15" s="91"/>
      <c r="EV15" s="172"/>
      <c r="EW15" s="95"/>
      <c r="EX15" s="91"/>
      <c r="EY15" s="172"/>
      <c r="EZ15" s="95"/>
      <c r="FA15" s="91"/>
      <c r="FB15" s="172"/>
      <c r="FC15" s="95"/>
      <c r="FD15" s="91"/>
      <c r="FE15" s="172"/>
      <c r="FF15" s="95"/>
      <c r="FG15" s="91"/>
      <c r="FH15" s="172"/>
      <c r="FI15" s="95"/>
      <c r="FJ15" s="91"/>
      <c r="FK15" s="172"/>
      <c r="FL15" s="95"/>
      <c r="FM15" s="91"/>
      <c r="FN15" s="172"/>
      <c r="FO15" s="95"/>
      <c r="FP15" s="91"/>
      <c r="FQ15" s="172"/>
      <c r="FR15" s="95"/>
      <c r="FS15" s="91"/>
      <c r="FT15" s="172"/>
      <c r="FU15" s="95"/>
      <c r="FV15" s="91"/>
      <c r="FW15" s="172"/>
      <c r="FX15" s="95"/>
      <c r="FY15" s="91"/>
      <c r="FZ15" s="172"/>
      <c r="GA15" s="95"/>
      <c r="GB15" s="91"/>
      <c r="GC15" s="172"/>
      <c r="GD15" s="95"/>
      <c r="GE15" s="91"/>
      <c r="GF15" s="172"/>
      <c r="GG15" s="95"/>
      <c r="GH15" s="91"/>
      <c r="GI15" s="172"/>
      <c r="GJ15" s="95"/>
      <c r="GK15" s="91"/>
      <c r="GL15" s="172"/>
      <c r="GM15" s="95"/>
      <c r="GN15" s="91"/>
      <c r="GO15" s="172"/>
      <c r="GP15" s="95"/>
      <c r="GQ15" s="91"/>
      <c r="GR15" s="172"/>
      <c r="GS15" s="95"/>
      <c r="GT15" s="91"/>
      <c r="GU15" s="172"/>
      <c r="GV15" s="95"/>
      <c r="GW15" s="91"/>
      <c r="GX15" s="172"/>
      <c r="GY15" s="95"/>
      <c r="GZ15" s="91"/>
      <c r="HA15" s="172"/>
      <c r="HB15" s="95"/>
      <c r="HC15" s="91"/>
      <c r="HD15" s="172"/>
      <c r="HE15" s="95"/>
      <c r="HF15" s="91"/>
      <c r="HG15" s="172"/>
      <c r="HH15" s="95"/>
      <c r="HI15" s="91"/>
      <c r="HJ15" s="172"/>
      <c r="HK15" s="95"/>
      <c r="HL15" s="91"/>
      <c r="HM15" s="172"/>
      <c r="HN15" s="95"/>
      <c r="HO15" s="91"/>
      <c r="HP15" s="172"/>
      <c r="HQ15" s="95"/>
      <c r="HR15" s="91"/>
      <c r="HS15" s="172"/>
      <c r="HT15" s="95"/>
      <c r="HU15" s="91"/>
      <c r="HV15" s="172"/>
      <c r="HW15" s="95"/>
      <c r="HX15" s="91"/>
      <c r="HY15" s="172"/>
      <c r="HZ15" s="95"/>
      <c r="IA15" s="91"/>
      <c r="IB15" s="172"/>
      <c r="IC15" s="95"/>
      <c r="ID15" s="91"/>
      <c r="IE15" s="172"/>
      <c r="IF15" s="95"/>
      <c r="IG15" s="91"/>
      <c r="IH15" s="172"/>
      <c r="II15" s="95"/>
      <c r="IJ15" s="91"/>
      <c r="IK15" s="172"/>
      <c r="IL15" s="95"/>
      <c r="IM15" s="91"/>
      <c r="IN15" s="172"/>
      <c r="IO15" s="95"/>
      <c r="IP15" s="91"/>
      <c r="IQ15" s="172"/>
      <c r="IR15" s="95"/>
      <c r="IS15" s="91"/>
      <c r="IT15" s="172"/>
      <c r="IU15" s="95"/>
      <c r="IV15" s="91"/>
      <c r="IW15" s="172"/>
      <c r="IX15" s="95"/>
      <c r="IY15" s="91"/>
      <c r="IZ15" s="172"/>
      <c r="JA15" s="95"/>
      <c r="JB15" s="91"/>
      <c r="JC15" s="172"/>
      <c r="JD15" s="95"/>
      <c r="JE15" s="91"/>
      <c r="JF15" s="172"/>
      <c r="JG15" s="95"/>
      <c r="JH15" s="91"/>
      <c r="JI15" s="172"/>
      <c r="JJ15" s="95"/>
      <c r="JK15" s="91"/>
      <c r="JL15" s="172"/>
      <c r="JM15" s="95"/>
      <c r="JN15" s="91"/>
      <c r="JO15" s="172"/>
      <c r="JP15" s="95"/>
      <c r="JQ15" s="91"/>
      <c r="JR15" s="172"/>
      <c r="JS15" s="95"/>
      <c r="JT15" s="91"/>
      <c r="JU15" s="172"/>
      <c r="JV15" s="95"/>
      <c r="JW15" s="91"/>
      <c r="JX15" s="172"/>
      <c r="JY15" s="95"/>
      <c r="JZ15" s="91"/>
      <c r="KA15" s="172"/>
      <c r="KB15" s="95"/>
      <c r="KC15" s="91"/>
      <c r="KD15" s="172"/>
      <c r="KE15" s="95"/>
      <c r="KF15" s="91"/>
      <c r="KG15" s="172"/>
      <c r="KH15" s="95"/>
      <c r="KI15" s="91"/>
      <c r="KJ15" s="172"/>
      <c r="KK15" s="95"/>
      <c r="KL15" s="91"/>
      <c r="KM15" s="172"/>
      <c r="KN15" s="95"/>
    </row>
    <row r="16" spans="1:330" x14ac:dyDescent="0.2">
      <c r="A16" s="91"/>
      <c r="B16" s="172"/>
      <c r="C16" s="95"/>
      <c r="D16" s="91"/>
      <c r="E16" s="172"/>
      <c r="F16" s="95"/>
      <c r="G16" s="91"/>
      <c r="H16" s="172"/>
      <c r="I16" s="95"/>
      <c r="J16" s="91"/>
      <c r="K16" s="172"/>
      <c r="L16" s="95"/>
      <c r="M16" s="91"/>
      <c r="N16" s="172"/>
      <c r="O16" s="95"/>
      <c r="P16" s="91"/>
      <c r="Q16" s="172"/>
      <c r="R16" s="95"/>
      <c r="S16" s="91"/>
      <c r="T16" s="172"/>
      <c r="U16" s="95"/>
      <c r="V16" s="91"/>
      <c r="W16" s="172"/>
      <c r="X16" s="95"/>
      <c r="Y16" s="91"/>
      <c r="Z16" s="172"/>
      <c r="AA16" s="95"/>
      <c r="AB16" s="91"/>
      <c r="AC16" s="172"/>
      <c r="AD16" s="95"/>
      <c r="AE16" s="91"/>
      <c r="AF16" s="172"/>
      <c r="AG16" s="95"/>
      <c r="AH16" s="91"/>
      <c r="AI16" s="172"/>
      <c r="AJ16" s="95"/>
      <c r="AK16" s="91"/>
      <c r="AL16" s="172"/>
      <c r="AM16" s="95"/>
      <c r="AN16" s="91"/>
      <c r="AO16" s="172"/>
      <c r="AP16" s="95"/>
      <c r="AQ16" s="91"/>
      <c r="AR16" s="172"/>
      <c r="AS16" s="95"/>
      <c r="AT16" s="91"/>
      <c r="AU16" s="172"/>
      <c r="AV16" s="95"/>
      <c r="AW16" s="91"/>
      <c r="AX16" s="172"/>
      <c r="AY16" s="95"/>
      <c r="AZ16" s="91"/>
      <c r="BA16" s="172"/>
      <c r="BB16" s="95"/>
      <c r="BC16" s="91"/>
      <c r="BD16" s="172"/>
      <c r="BE16" s="95"/>
      <c r="BF16" s="91"/>
      <c r="BG16" s="172"/>
      <c r="BH16" s="95"/>
      <c r="BI16" s="91"/>
      <c r="BJ16" s="172"/>
      <c r="BK16" s="95"/>
      <c r="BL16" s="91"/>
      <c r="BM16" s="172"/>
      <c r="BN16" s="95"/>
      <c r="BO16" s="91"/>
      <c r="BP16" s="172"/>
      <c r="BQ16" s="95"/>
      <c r="BR16" s="91"/>
      <c r="BS16" s="172"/>
      <c r="BT16" s="95"/>
      <c r="BU16" s="91"/>
      <c r="BV16" s="172"/>
      <c r="BW16" s="95"/>
      <c r="BX16" s="91"/>
      <c r="BY16" s="172"/>
      <c r="BZ16" s="95"/>
      <c r="CA16" s="91"/>
      <c r="CB16" s="172"/>
      <c r="CC16" s="95"/>
      <c r="CD16" s="91"/>
      <c r="CE16" s="172"/>
      <c r="CF16" s="95"/>
      <c r="CG16" s="91"/>
      <c r="CH16" s="172"/>
      <c r="CI16" s="95"/>
      <c r="CJ16" s="91"/>
      <c r="CK16" s="172"/>
      <c r="CL16" s="95"/>
      <c r="CM16" s="91"/>
      <c r="CN16" s="172"/>
      <c r="CO16" s="95"/>
      <c r="CP16" s="91"/>
      <c r="CQ16" s="172"/>
      <c r="CR16" s="95"/>
      <c r="CS16" s="91"/>
      <c r="CT16" s="172"/>
      <c r="CU16" s="95"/>
      <c r="CV16" s="91"/>
      <c r="CW16" s="172"/>
      <c r="CX16" s="95"/>
      <c r="CY16" s="91"/>
      <c r="CZ16" s="172"/>
      <c r="DA16" s="95"/>
      <c r="DB16" s="91"/>
      <c r="DC16" s="172"/>
      <c r="DD16" s="95"/>
      <c r="DE16" s="91"/>
      <c r="DF16" s="172"/>
      <c r="DG16" s="95"/>
      <c r="DH16" s="91"/>
      <c r="DI16" s="172"/>
      <c r="DJ16" s="95"/>
      <c r="DK16" s="91"/>
      <c r="DL16" s="172"/>
      <c r="DM16" s="95"/>
      <c r="DN16" s="91"/>
      <c r="DO16" s="172"/>
      <c r="DP16" s="95"/>
      <c r="DQ16" s="91"/>
      <c r="DR16" s="172"/>
      <c r="DS16" s="95"/>
      <c r="DT16" s="91"/>
      <c r="DU16" s="172"/>
      <c r="DV16" s="95"/>
      <c r="DW16" s="91"/>
      <c r="DX16" s="172"/>
      <c r="DY16" s="95"/>
      <c r="DZ16" s="91"/>
      <c r="EA16" s="172"/>
      <c r="EB16" s="95"/>
      <c r="EC16" s="91"/>
      <c r="ED16" s="172"/>
      <c r="EE16" s="95"/>
      <c r="EF16" s="91"/>
      <c r="EG16" s="172"/>
      <c r="EH16" s="95"/>
      <c r="EI16" s="91"/>
      <c r="EJ16" s="172"/>
      <c r="EK16" s="95"/>
      <c r="EL16" s="91"/>
      <c r="EM16" s="172"/>
      <c r="EN16" s="95"/>
      <c r="EO16" s="91"/>
      <c r="EP16" s="172"/>
      <c r="EQ16" s="95"/>
      <c r="ER16" s="91"/>
      <c r="ES16" s="172"/>
      <c r="ET16" s="95"/>
      <c r="EU16" s="91"/>
      <c r="EV16" s="172"/>
      <c r="EW16" s="95"/>
      <c r="EX16" s="91"/>
      <c r="EY16" s="172"/>
      <c r="EZ16" s="95"/>
      <c r="FA16" s="91"/>
      <c r="FB16" s="172"/>
      <c r="FC16" s="95"/>
      <c r="FD16" s="91"/>
      <c r="FE16" s="172"/>
      <c r="FF16" s="95"/>
      <c r="FG16" s="91"/>
      <c r="FH16" s="172"/>
      <c r="FI16" s="95"/>
      <c r="FJ16" s="91"/>
      <c r="FK16" s="172"/>
      <c r="FL16" s="95"/>
      <c r="FM16" s="91"/>
      <c r="FN16" s="172"/>
      <c r="FO16" s="95"/>
      <c r="FP16" s="91"/>
      <c r="FQ16" s="172"/>
      <c r="FR16" s="95"/>
      <c r="FS16" s="91"/>
      <c r="FT16" s="172"/>
      <c r="FU16" s="95"/>
      <c r="FV16" s="91"/>
      <c r="FW16" s="172"/>
      <c r="FX16" s="95"/>
      <c r="FY16" s="91"/>
      <c r="FZ16" s="172"/>
      <c r="GA16" s="95"/>
      <c r="GB16" s="91"/>
      <c r="GC16" s="172"/>
      <c r="GD16" s="95"/>
      <c r="GE16" s="91"/>
      <c r="GF16" s="172"/>
      <c r="GG16" s="95"/>
      <c r="GH16" s="91"/>
      <c r="GI16" s="172"/>
      <c r="GJ16" s="95"/>
      <c r="GK16" s="91"/>
      <c r="GL16" s="172"/>
      <c r="GM16" s="95"/>
      <c r="GN16" s="91"/>
      <c r="GO16" s="172"/>
      <c r="GP16" s="95"/>
      <c r="GQ16" s="91"/>
      <c r="GR16" s="172"/>
      <c r="GS16" s="95"/>
      <c r="GT16" s="91"/>
      <c r="GU16" s="172"/>
      <c r="GV16" s="95"/>
      <c r="GW16" s="91"/>
      <c r="GX16" s="172"/>
      <c r="GY16" s="95"/>
      <c r="GZ16" s="91"/>
      <c r="HA16" s="172"/>
      <c r="HB16" s="95"/>
      <c r="HC16" s="91"/>
      <c r="HD16" s="172"/>
      <c r="HE16" s="95"/>
      <c r="HF16" s="91"/>
      <c r="HG16" s="172"/>
      <c r="HH16" s="95"/>
      <c r="HI16" s="91"/>
      <c r="HJ16" s="172"/>
      <c r="HK16" s="95"/>
      <c r="HL16" s="91"/>
      <c r="HM16" s="172"/>
      <c r="HN16" s="95"/>
      <c r="HO16" s="91"/>
      <c r="HP16" s="172"/>
      <c r="HQ16" s="95"/>
      <c r="HR16" s="91"/>
      <c r="HS16" s="172"/>
      <c r="HT16" s="95"/>
      <c r="HU16" s="91"/>
      <c r="HV16" s="172"/>
      <c r="HW16" s="95"/>
      <c r="HX16" s="91"/>
      <c r="HY16" s="172"/>
      <c r="HZ16" s="95"/>
      <c r="IA16" s="91"/>
      <c r="IB16" s="172"/>
      <c r="IC16" s="95"/>
      <c r="ID16" s="91"/>
      <c r="IE16" s="172"/>
      <c r="IF16" s="95"/>
      <c r="IG16" s="91"/>
      <c r="IH16" s="172"/>
      <c r="II16" s="95"/>
      <c r="IJ16" s="91"/>
      <c r="IK16" s="172"/>
      <c r="IL16" s="95"/>
      <c r="IM16" s="91"/>
      <c r="IN16" s="172"/>
      <c r="IO16" s="95"/>
      <c r="IP16" s="91"/>
      <c r="IQ16" s="172"/>
      <c r="IR16" s="95"/>
      <c r="IS16" s="91"/>
      <c r="IT16" s="172"/>
      <c r="IU16" s="95"/>
      <c r="IV16" s="91"/>
      <c r="IW16" s="172"/>
      <c r="IX16" s="95"/>
      <c r="IY16" s="91"/>
      <c r="IZ16" s="172"/>
      <c r="JA16" s="95"/>
      <c r="JB16" s="91"/>
      <c r="JC16" s="172"/>
      <c r="JD16" s="95"/>
      <c r="JE16" s="91"/>
      <c r="JF16" s="172"/>
      <c r="JG16" s="95"/>
      <c r="JH16" s="91"/>
      <c r="JI16" s="172"/>
      <c r="JJ16" s="95"/>
      <c r="JK16" s="91"/>
      <c r="JL16" s="172"/>
      <c r="JM16" s="95"/>
      <c r="JN16" s="91"/>
      <c r="JO16" s="172"/>
      <c r="JP16" s="95"/>
      <c r="JQ16" s="91"/>
      <c r="JR16" s="172"/>
      <c r="JS16" s="95"/>
      <c r="JT16" s="91"/>
      <c r="JU16" s="172"/>
      <c r="JV16" s="95"/>
      <c r="JW16" s="91"/>
      <c r="JX16" s="172"/>
      <c r="JY16" s="95"/>
      <c r="JZ16" s="91"/>
      <c r="KA16" s="172"/>
      <c r="KB16" s="95"/>
      <c r="KC16" s="91"/>
      <c r="KD16" s="172"/>
      <c r="KE16" s="95"/>
      <c r="KF16" s="91"/>
      <c r="KG16" s="172"/>
      <c r="KH16" s="95"/>
      <c r="KI16" s="91"/>
      <c r="KJ16" s="172"/>
      <c r="KK16" s="95"/>
      <c r="KL16" s="91"/>
      <c r="KM16" s="172"/>
      <c r="KN16" s="95"/>
    </row>
    <row r="17" spans="1:300" x14ac:dyDescent="0.2">
      <c r="A17" s="91"/>
      <c r="B17" s="172"/>
      <c r="C17" s="95"/>
      <c r="D17" s="91"/>
      <c r="E17" s="172"/>
      <c r="F17" s="95"/>
      <c r="G17" s="91"/>
      <c r="H17" s="172"/>
      <c r="I17" s="95"/>
      <c r="J17" s="91"/>
      <c r="K17" s="172"/>
      <c r="L17" s="95"/>
      <c r="M17" s="91"/>
      <c r="N17" s="172"/>
      <c r="O17" s="95"/>
      <c r="P17" s="91"/>
      <c r="Q17" s="172"/>
      <c r="R17" s="95"/>
      <c r="S17" s="91"/>
      <c r="T17" s="172"/>
      <c r="U17" s="95"/>
      <c r="V17" s="91"/>
      <c r="W17" s="172"/>
      <c r="X17" s="95"/>
      <c r="Y17" s="91"/>
      <c r="Z17" s="172"/>
      <c r="AA17" s="95"/>
      <c r="AB17" s="91"/>
      <c r="AC17" s="172"/>
      <c r="AD17" s="95"/>
      <c r="AE17" s="91"/>
      <c r="AF17" s="172"/>
      <c r="AG17" s="95"/>
      <c r="AH17" s="91"/>
      <c r="AI17" s="172"/>
      <c r="AJ17" s="95"/>
      <c r="AK17" s="91"/>
      <c r="AL17" s="172"/>
      <c r="AM17" s="95"/>
      <c r="AN17" s="91"/>
      <c r="AO17" s="172"/>
      <c r="AP17" s="95"/>
      <c r="AQ17" s="91"/>
      <c r="AR17" s="172"/>
      <c r="AS17" s="95"/>
      <c r="AT17" s="91"/>
      <c r="AU17" s="172"/>
      <c r="AV17" s="95"/>
      <c r="AW17" s="91"/>
      <c r="AX17" s="172"/>
      <c r="AY17" s="95"/>
      <c r="AZ17" s="91"/>
      <c r="BA17" s="172"/>
      <c r="BB17" s="95"/>
      <c r="BC17" s="91"/>
      <c r="BD17" s="172"/>
      <c r="BE17" s="95"/>
      <c r="BF17" s="91"/>
      <c r="BG17" s="172"/>
      <c r="BH17" s="95"/>
      <c r="BI17" s="91"/>
      <c r="BJ17" s="172"/>
      <c r="BK17" s="95"/>
      <c r="BL17" s="91"/>
      <c r="BM17" s="172"/>
      <c r="BN17" s="95"/>
      <c r="BO17" s="91"/>
      <c r="BP17" s="172"/>
      <c r="BQ17" s="95"/>
      <c r="BR17" s="91"/>
      <c r="BS17" s="172"/>
      <c r="BT17" s="95"/>
      <c r="BU17" s="91"/>
      <c r="BV17" s="172"/>
      <c r="BW17" s="95"/>
      <c r="BX17" s="91"/>
      <c r="BY17" s="172"/>
      <c r="BZ17" s="95"/>
      <c r="CA17" s="91"/>
      <c r="CB17" s="172"/>
      <c r="CC17" s="95"/>
      <c r="CD17" s="91"/>
      <c r="CE17" s="172"/>
      <c r="CF17" s="95"/>
      <c r="CG17" s="91"/>
      <c r="CH17" s="172"/>
      <c r="CI17" s="95"/>
      <c r="CJ17" s="91"/>
      <c r="CK17" s="172"/>
      <c r="CL17" s="95"/>
      <c r="CM17" s="91"/>
      <c r="CN17" s="172"/>
      <c r="CO17" s="95"/>
      <c r="CP17" s="91"/>
      <c r="CQ17" s="172"/>
      <c r="CR17" s="95"/>
      <c r="CS17" s="91"/>
      <c r="CT17" s="172"/>
      <c r="CU17" s="95"/>
      <c r="CV17" s="91"/>
      <c r="CW17" s="172"/>
      <c r="CX17" s="95"/>
      <c r="CY17" s="91"/>
      <c r="CZ17" s="172"/>
      <c r="DA17" s="95"/>
      <c r="DB17" s="91"/>
      <c r="DC17" s="172"/>
      <c r="DD17" s="95"/>
      <c r="DE17" s="91"/>
      <c r="DF17" s="172"/>
      <c r="DG17" s="95"/>
      <c r="DH17" s="91"/>
      <c r="DI17" s="172"/>
      <c r="DJ17" s="95"/>
      <c r="DK17" s="91"/>
      <c r="DL17" s="172"/>
      <c r="DM17" s="95"/>
      <c r="DN17" s="91"/>
      <c r="DO17" s="172"/>
      <c r="DP17" s="95"/>
      <c r="DQ17" s="91"/>
      <c r="DR17" s="172"/>
      <c r="DS17" s="95"/>
      <c r="DT17" s="91"/>
      <c r="DU17" s="172"/>
      <c r="DV17" s="95"/>
      <c r="DW17" s="91"/>
      <c r="DX17" s="172"/>
      <c r="DY17" s="95"/>
      <c r="DZ17" s="91"/>
      <c r="EA17" s="172"/>
      <c r="EB17" s="95"/>
      <c r="EC17" s="91"/>
      <c r="ED17" s="172"/>
      <c r="EE17" s="95"/>
      <c r="EF17" s="91"/>
      <c r="EG17" s="172"/>
      <c r="EH17" s="95"/>
      <c r="EI17" s="91"/>
      <c r="EJ17" s="172"/>
      <c r="EK17" s="95"/>
      <c r="EL17" s="91"/>
      <c r="EM17" s="172"/>
      <c r="EN17" s="95"/>
      <c r="EO17" s="91"/>
      <c r="EP17" s="172"/>
      <c r="EQ17" s="95"/>
      <c r="ER17" s="91"/>
      <c r="ES17" s="172"/>
      <c r="ET17" s="95"/>
      <c r="EU17" s="91"/>
      <c r="EV17" s="172"/>
      <c r="EW17" s="95"/>
      <c r="EX17" s="91"/>
      <c r="EY17" s="172"/>
      <c r="EZ17" s="95"/>
      <c r="FA17" s="91"/>
      <c r="FB17" s="172"/>
      <c r="FC17" s="95"/>
      <c r="FD17" s="91"/>
      <c r="FE17" s="172"/>
      <c r="FF17" s="95"/>
      <c r="FG17" s="91"/>
      <c r="FH17" s="172"/>
      <c r="FI17" s="95"/>
      <c r="FJ17" s="91"/>
      <c r="FK17" s="172"/>
      <c r="FL17" s="95"/>
      <c r="FM17" s="91"/>
      <c r="FN17" s="172"/>
      <c r="FO17" s="95"/>
      <c r="FP17" s="91"/>
      <c r="FQ17" s="172"/>
      <c r="FR17" s="95"/>
      <c r="FS17" s="91"/>
      <c r="FT17" s="172"/>
      <c r="FU17" s="95"/>
      <c r="FV17" s="91"/>
      <c r="FW17" s="172"/>
      <c r="FX17" s="95"/>
      <c r="FY17" s="91"/>
      <c r="FZ17" s="172"/>
      <c r="GA17" s="95"/>
      <c r="GB17" s="91"/>
      <c r="GC17" s="172"/>
      <c r="GD17" s="95"/>
      <c r="GE17" s="91"/>
      <c r="GF17" s="172"/>
      <c r="GG17" s="95"/>
      <c r="GH17" s="91"/>
      <c r="GI17" s="172"/>
      <c r="GJ17" s="95"/>
      <c r="GK17" s="91"/>
      <c r="GL17" s="172"/>
      <c r="GM17" s="95"/>
      <c r="GN17" s="91"/>
      <c r="GO17" s="172"/>
      <c r="GP17" s="95"/>
      <c r="GQ17" s="91"/>
      <c r="GR17" s="172"/>
      <c r="GS17" s="95"/>
      <c r="GT17" s="91"/>
      <c r="GU17" s="172"/>
      <c r="GV17" s="95"/>
      <c r="GW17" s="91"/>
      <c r="GX17" s="172"/>
      <c r="GY17" s="95"/>
      <c r="GZ17" s="91"/>
      <c r="HA17" s="172"/>
      <c r="HB17" s="95"/>
      <c r="HC17" s="91"/>
      <c r="HD17" s="172"/>
      <c r="HE17" s="95"/>
      <c r="HF17" s="91"/>
      <c r="HG17" s="172"/>
      <c r="HH17" s="95"/>
      <c r="HI17" s="91"/>
      <c r="HJ17" s="172"/>
      <c r="HK17" s="95"/>
      <c r="HL17" s="91"/>
      <c r="HM17" s="172"/>
      <c r="HN17" s="95"/>
      <c r="HO17" s="91"/>
      <c r="HP17" s="172"/>
      <c r="HQ17" s="95"/>
      <c r="HR17" s="91"/>
      <c r="HS17" s="172"/>
      <c r="HT17" s="95"/>
      <c r="HU17" s="91"/>
      <c r="HV17" s="172"/>
      <c r="HW17" s="95"/>
      <c r="HX17" s="91"/>
      <c r="HY17" s="172"/>
      <c r="HZ17" s="95"/>
      <c r="IA17" s="91"/>
      <c r="IB17" s="172"/>
      <c r="IC17" s="95"/>
      <c r="ID17" s="91"/>
      <c r="IE17" s="172"/>
      <c r="IF17" s="95"/>
      <c r="IG17" s="91"/>
      <c r="IH17" s="172"/>
      <c r="II17" s="95"/>
      <c r="IJ17" s="91"/>
      <c r="IK17" s="172"/>
      <c r="IL17" s="95"/>
      <c r="IM17" s="91"/>
      <c r="IN17" s="172"/>
      <c r="IO17" s="95"/>
      <c r="IP17" s="91"/>
      <c r="IQ17" s="172"/>
      <c r="IR17" s="95"/>
      <c r="IS17" s="91"/>
      <c r="IT17" s="172"/>
      <c r="IU17" s="95"/>
      <c r="IV17" s="91"/>
      <c r="IW17" s="172"/>
      <c r="IX17" s="95"/>
      <c r="IY17" s="91"/>
      <c r="IZ17" s="172"/>
      <c r="JA17" s="95"/>
      <c r="JB17" s="91"/>
      <c r="JC17" s="172"/>
      <c r="JD17" s="95"/>
      <c r="JE17" s="91"/>
      <c r="JF17" s="172"/>
      <c r="JG17" s="95"/>
      <c r="JH17" s="91"/>
      <c r="JI17" s="172"/>
      <c r="JJ17" s="95"/>
      <c r="JK17" s="91"/>
      <c r="JL17" s="172"/>
      <c r="JM17" s="95"/>
      <c r="JN17" s="91"/>
      <c r="JO17" s="172"/>
      <c r="JP17" s="95"/>
      <c r="JQ17" s="91"/>
      <c r="JR17" s="172"/>
      <c r="JS17" s="95"/>
      <c r="JT17" s="91"/>
      <c r="JU17" s="172"/>
      <c r="JV17" s="95"/>
      <c r="JW17" s="91"/>
      <c r="JX17" s="172"/>
      <c r="JY17" s="95"/>
      <c r="JZ17" s="91"/>
      <c r="KA17" s="172"/>
      <c r="KB17" s="95"/>
      <c r="KC17" s="91"/>
      <c r="KD17" s="172"/>
      <c r="KE17" s="95"/>
      <c r="KF17" s="91"/>
      <c r="KG17" s="172"/>
      <c r="KH17" s="95"/>
      <c r="KI17" s="91"/>
      <c r="KJ17" s="172"/>
      <c r="KK17" s="95"/>
      <c r="KL17" s="91"/>
      <c r="KM17" s="172"/>
      <c r="KN17" s="95"/>
    </row>
    <row r="18" spans="1:300" x14ac:dyDescent="0.2">
      <c r="A18" s="91"/>
      <c r="B18" s="172"/>
      <c r="C18" s="95"/>
      <c r="D18" s="91"/>
      <c r="E18" s="172"/>
      <c r="F18" s="95"/>
      <c r="G18" s="91"/>
      <c r="H18" s="172"/>
      <c r="I18" s="95"/>
      <c r="J18" s="91"/>
      <c r="K18" s="172"/>
      <c r="L18" s="95"/>
      <c r="M18" s="91"/>
      <c r="N18" s="172"/>
      <c r="O18" s="95"/>
      <c r="P18" s="91"/>
      <c r="Q18" s="172"/>
      <c r="R18" s="95"/>
      <c r="S18" s="91"/>
      <c r="T18" s="172"/>
      <c r="U18" s="95"/>
      <c r="V18" s="91"/>
      <c r="W18" s="172"/>
      <c r="X18" s="95"/>
      <c r="Y18" s="91"/>
      <c r="Z18" s="172"/>
      <c r="AA18" s="95"/>
      <c r="AB18" s="91"/>
      <c r="AC18" s="172"/>
      <c r="AD18" s="95"/>
      <c r="AE18" s="91"/>
      <c r="AF18" s="172"/>
      <c r="AG18" s="95"/>
      <c r="AH18" s="91"/>
      <c r="AI18" s="172"/>
      <c r="AJ18" s="95"/>
      <c r="AK18" s="91"/>
      <c r="AL18" s="172"/>
      <c r="AM18" s="95"/>
      <c r="AN18" s="91"/>
      <c r="AO18" s="172"/>
      <c r="AP18" s="95"/>
      <c r="AQ18" s="91"/>
      <c r="AR18" s="172"/>
      <c r="AS18" s="95"/>
      <c r="AT18" s="91"/>
      <c r="AU18" s="172"/>
      <c r="AV18" s="95"/>
      <c r="AW18" s="91"/>
      <c r="AX18" s="172"/>
      <c r="AY18" s="95"/>
      <c r="AZ18" s="91"/>
      <c r="BA18" s="172"/>
      <c r="BB18" s="95"/>
      <c r="BC18" s="91"/>
      <c r="BD18" s="172"/>
      <c r="BE18" s="95"/>
      <c r="BF18" s="91"/>
      <c r="BG18" s="172"/>
      <c r="BH18" s="95"/>
      <c r="BI18" s="91"/>
      <c r="BJ18" s="172"/>
      <c r="BK18" s="95"/>
      <c r="BL18" s="91"/>
      <c r="BM18" s="172"/>
      <c r="BN18" s="95"/>
      <c r="BO18" s="91"/>
      <c r="BP18" s="172"/>
      <c r="BQ18" s="95"/>
      <c r="BR18" s="91"/>
      <c r="BS18" s="172"/>
      <c r="BT18" s="95"/>
      <c r="BU18" s="91"/>
      <c r="BV18" s="172"/>
      <c r="BW18" s="95"/>
      <c r="BX18" s="91"/>
      <c r="BY18" s="172"/>
      <c r="BZ18" s="95"/>
      <c r="CA18" s="91"/>
      <c r="CB18" s="172"/>
      <c r="CC18" s="95"/>
      <c r="CD18" s="91"/>
      <c r="CE18" s="172"/>
      <c r="CF18" s="95"/>
      <c r="CG18" s="91"/>
      <c r="CH18" s="172"/>
      <c r="CI18" s="95"/>
      <c r="CJ18" s="91"/>
      <c r="CK18" s="172"/>
      <c r="CL18" s="95"/>
      <c r="CM18" s="91"/>
      <c r="CN18" s="172"/>
      <c r="CO18" s="95"/>
      <c r="CP18" s="91"/>
      <c r="CQ18" s="172"/>
      <c r="CR18" s="95"/>
      <c r="CS18" s="91"/>
      <c r="CT18" s="172"/>
      <c r="CU18" s="95"/>
      <c r="CV18" s="91"/>
      <c r="CW18" s="172"/>
      <c r="CX18" s="95"/>
      <c r="CY18" s="91"/>
      <c r="CZ18" s="172"/>
      <c r="DA18" s="95"/>
      <c r="DB18" s="91"/>
      <c r="DC18" s="172"/>
      <c r="DD18" s="95"/>
      <c r="DE18" s="91"/>
      <c r="DF18" s="172"/>
      <c r="DG18" s="95"/>
      <c r="DH18" s="91"/>
      <c r="DI18" s="172"/>
      <c r="DJ18" s="95"/>
      <c r="DK18" s="91"/>
      <c r="DL18" s="172"/>
      <c r="DM18" s="95"/>
      <c r="DN18" s="91"/>
      <c r="DO18" s="172"/>
      <c r="DP18" s="95"/>
      <c r="DQ18" s="91"/>
      <c r="DR18" s="172"/>
      <c r="DS18" s="95"/>
      <c r="DT18" s="91"/>
      <c r="DU18" s="172"/>
      <c r="DV18" s="95"/>
      <c r="DW18" s="91"/>
      <c r="DX18" s="172"/>
      <c r="DY18" s="95"/>
      <c r="DZ18" s="91"/>
      <c r="EA18" s="172"/>
      <c r="EB18" s="95"/>
      <c r="EC18" s="91"/>
      <c r="ED18" s="172"/>
      <c r="EE18" s="95"/>
      <c r="EF18" s="91"/>
      <c r="EG18" s="172"/>
      <c r="EH18" s="95"/>
      <c r="EI18" s="91"/>
      <c r="EJ18" s="172"/>
      <c r="EK18" s="95"/>
      <c r="EL18" s="91"/>
      <c r="EM18" s="172"/>
      <c r="EN18" s="95"/>
      <c r="EO18" s="91"/>
      <c r="EP18" s="172"/>
      <c r="EQ18" s="95"/>
      <c r="ER18" s="91"/>
      <c r="ES18" s="172"/>
      <c r="ET18" s="95"/>
      <c r="EU18" s="91"/>
      <c r="EV18" s="172"/>
      <c r="EW18" s="95"/>
      <c r="EX18" s="91"/>
      <c r="EY18" s="172"/>
      <c r="EZ18" s="95"/>
      <c r="FA18" s="91"/>
      <c r="FB18" s="172"/>
      <c r="FC18" s="95"/>
      <c r="FD18" s="91"/>
      <c r="FE18" s="172"/>
      <c r="FF18" s="95"/>
      <c r="FG18" s="91"/>
      <c r="FH18" s="172"/>
      <c r="FI18" s="95"/>
      <c r="FJ18" s="91"/>
      <c r="FK18" s="172"/>
      <c r="FL18" s="95"/>
      <c r="FM18" s="91"/>
      <c r="FN18" s="172"/>
      <c r="FO18" s="95"/>
      <c r="FP18" s="91"/>
      <c r="FQ18" s="172"/>
      <c r="FR18" s="95"/>
      <c r="FS18" s="91"/>
      <c r="FT18" s="172"/>
      <c r="FU18" s="95"/>
      <c r="FV18" s="91"/>
      <c r="FW18" s="172"/>
      <c r="FX18" s="95"/>
      <c r="FY18" s="91"/>
      <c r="FZ18" s="172"/>
      <c r="GA18" s="95"/>
      <c r="GB18" s="91"/>
      <c r="GC18" s="172"/>
      <c r="GD18" s="95"/>
      <c r="GE18" s="91"/>
      <c r="GF18" s="172"/>
      <c r="GG18" s="95"/>
      <c r="GH18" s="91"/>
      <c r="GI18" s="172"/>
      <c r="GJ18" s="95"/>
      <c r="GK18" s="91"/>
      <c r="GL18" s="172"/>
      <c r="GM18" s="95"/>
      <c r="GN18" s="91"/>
      <c r="GO18" s="172"/>
      <c r="GP18" s="95"/>
      <c r="GQ18" s="91"/>
      <c r="GR18" s="172"/>
      <c r="GS18" s="95"/>
      <c r="GT18" s="91"/>
      <c r="GU18" s="172"/>
      <c r="GV18" s="95"/>
      <c r="GW18" s="91"/>
      <c r="GX18" s="172"/>
      <c r="GY18" s="95"/>
      <c r="GZ18" s="91"/>
      <c r="HA18" s="172"/>
      <c r="HB18" s="95"/>
      <c r="HC18" s="91"/>
      <c r="HD18" s="172"/>
      <c r="HE18" s="95"/>
      <c r="HF18" s="91"/>
      <c r="HG18" s="172"/>
      <c r="HH18" s="95"/>
      <c r="HI18" s="91"/>
      <c r="HJ18" s="172"/>
      <c r="HK18" s="95"/>
      <c r="HL18" s="91"/>
      <c r="HM18" s="172"/>
      <c r="HN18" s="95"/>
      <c r="HO18" s="91"/>
      <c r="HP18" s="172"/>
      <c r="HQ18" s="95"/>
      <c r="HR18" s="91"/>
      <c r="HS18" s="172"/>
      <c r="HT18" s="95"/>
      <c r="HU18" s="91"/>
      <c r="HV18" s="172"/>
      <c r="HW18" s="95"/>
      <c r="HX18" s="91"/>
      <c r="HY18" s="172"/>
      <c r="HZ18" s="95"/>
      <c r="IA18" s="91"/>
      <c r="IB18" s="172"/>
      <c r="IC18" s="95"/>
      <c r="ID18" s="91"/>
      <c r="IE18" s="172"/>
      <c r="IF18" s="95"/>
      <c r="IG18" s="91"/>
      <c r="IH18" s="172"/>
      <c r="II18" s="95"/>
      <c r="IJ18" s="91"/>
      <c r="IK18" s="172"/>
      <c r="IL18" s="95"/>
      <c r="IM18" s="91"/>
      <c r="IN18" s="172"/>
      <c r="IO18" s="95"/>
      <c r="IP18" s="91"/>
      <c r="IQ18" s="172"/>
      <c r="IR18" s="95"/>
      <c r="IS18" s="91"/>
      <c r="IT18" s="172"/>
      <c r="IU18" s="95"/>
      <c r="IV18" s="91"/>
      <c r="IW18" s="172"/>
      <c r="IX18" s="95"/>
      <c r="IY18" s="91"/>
      <c r="IZ18" s="172"/>
      <c r="JA18" s="95"/>
      <c r="JB18" s="91"/>
      <c r="JC18" s="172"/>
      <c r="JD18" s="95"/>
      <c r="JE18" s="91"/>
      <c r="JF18" s="172"/>
      <c r="JG18" s="95"/>
      <c r="JH18" s="91"/>
      <c r="JI18" s="172"/>
      <c r="JJ18" s="95"/>
      <c r="JK18" s="91"/>
      <c r="JL18" s="172"/>
      <c r="JM18" s="95"/>
      <c r="JN18" s="91"/>
      <c r="JO18" s="172"/>
      <c r="JP18" s="95"/>
      <c r="JQ18" s="91"/>
      <c r="JR18" s="172"/>
      <c r="JS18" s="95"/>
      <c r="JT18" s="91"/>
      <c r="JU18" s="172"/>
      <c r="JV18" s="95"/>
      <c r="JW18" s="91"/>
      <c r="JX18" s="172"/>
      <c r="JY18" s="95"/>
      <c r="JZ18" s="91"/>
      <c r="KA18" s="172"/>
      <c r="KB18" s="95"/>
      <c r="KC18" s="91"/>
      <c r="KD18" s="172"/>
      <c r="KE18" s="95"/>
      <c r="KF18" s="91"/>
      <c r="KG18" s="172"/>
      <c r="KH18" s="95"/>
      <c r="KI18" s="91"/>
      <c r="KJ18" s="172"/>
      <c r="KK18" s="95"/>
      <c r="KL18" s="91"/>
      <c r="KM18" s="172"/>
      <c r="KN18" s="95"/>
    </row>
    <row r="19" spans="1:300" x14ac:dyDescent="0.2">
      <c r="A19" s="91"/>
      <c r="B19" s="172"/>
      <c r="C19" s="95"/>
      <c r="D19" s="91"/>
      <c r="E19" s="172"/>
      <c r="F19" s="95"/>
      <c r="G19" s="91"/>
      <c r="H19" s="172"/>
      <c r="I19" s="95"/>
      <c r="J19" s="91"/>
      <c r="K19" s="172"/>
      <c r="L19" s="95"/>
      <c r="M19" s="91"/>
      <c r="N19" s="172"/>
      <c r="O19" s="95"/>
      <c r="P19" s="91"/>
      <c r="Q19" s="172"/>
      <c r="R19" s="95"/>
      <c r="S19" s="91"/>
      <c r="T19" s="172"/>
      <c r="U19" s="95"/>
      <c r="V19" s="91"/>
      <c r="W19" s="172"/>
      <c r="X19" s="95"/>
      <c r="Y19" s="91"/>
      <c r="Z19" s="172"/>
      <c r="AA19" s="95"/>
      <c r="AB19" s="91"/>
      <c r="AC19" s="172"/>
      <c r="AD19" s="95"/>
      <c r="AE19" s="91"/>
      <c r="AF19" s="172"/>
      <c r="AG19" s="95"/>
      <c r="AH19" s="91"/>
      <c r="AI19" s="172"/>
      <c r="AJ19" s="95"/>
      <c r="AK19" s="91"/>
      <c r="AL19" s="172"/>
      <c r="AM19" s="95"/>
      <c r="AN19" s="91"/>
      <c r="AO19" s="172"/>
      <c r="AP19" s="95"/>
      <c r="AQ19" s="91"/>
      <c r="AR19" s="172"/>
      <c r="AS19" s="95"/>
      <c r="AT19" s="91"/>
      <c r="AU19" s="172"/>
      <c r="AV19" s="95"/>
      <c r="AW19" s="91"/>
      <c r="AX19" s="172"/>
      <c r="AY19" s="95"/>
      <c r="AZ19" s="91"/>
      <c r="BA19" s="172"/>
      <c r="BB19" s="95"/>
      <c r="BC19" s="91"/>
      <c r="BD19" s="172"/>
      <c r="BE19" s="95"/>
      <c r="BF19" s="91"/>
      <c r="BG19" s="172"/>
      <c r="BH19" s="95"/>
      <c r="BI19" s="91"/>
      <c r="BJ19" s="172"/>
      <c r="BK19" s="95"/>
      <c r="BL19" s="91"/>
      <c r="BM19" s="172"/>
      <c r="BN19" s="95"/>
      <c r="BO19" s="91"/>
      <c r="BP19" s="172"/>
      <c r="BQ19" s="95"/>
      <c r="BR19" s="91"/>
      <c r="BS19" s="172"/>
      <c r="BT19" s="95"/>
      <c r="BU19" s="91"/>
      <c r="BV19" s="172"/>
      <c r="BW19" s="95"/>
      <c r="BX19" s="91"/>
      <c r="BY19" s="172"/>
      <c r="BZ19" s="95"/>
      <c r="CA19" s="91"/>
      <c r="CB19" s="172"/>
      <c r="CC19" s="95"/>
      <c r="CD19" s="91"/>
      <c r="CE19" s="172"/>
      <c r="CF19" s="95"/>
      <c r="CG19" s="91"/>
      <c r="CH19" s="172"/>
      <c r="CI19" s="95"/>
      <c r="CJ19" s="91"/>
      <c r="CK19" s="172"/>
      <c r="CL19" s="95"/>
      <c r="CM19" s="91"/>
      <c r="CN19" s="172"/>
      <c r="CO19" s="95"/>
      <c r="CP19" s="91"/>
      <c r="CQ19" s="172"/>
      <c r="CR19" s="95"/>
      <c r="CS19" s="91"/>
      <c r="CT19" s="172"/>
      <c r="CU19" s="95"/>
      <c r="CV19" s="91"/>
      <c r="CW19" s="172"/>
      <c r="CX19" s="95"/>
      <c r="CY19" s="91"/>
      <c r="CZ19" s="172"/>
      <c r="DA19" s="95"/>
      <c r="DB19" s="91"/>
      <c r="DC19" s="172"/>
      <c r="DD19" s="95"/>
      <c r="DE19" s="91"/>
      <c r="DF19" s="172"/>
      <c r="DG19" s="95"/>
      <c r="DH19" s="91"/>
      <c r="DI19" s="172"/>
      <c r="DJ19" s="95"/>
      <c r="DK19" s="91"/>
      <c r="DL19" s="172"/>
      <c r="DM19" s="95"/>
      <c r="DN19" s="91"/>
      <c r="DO19" s="172"/>
      <c r="DP19" s="95"/>
      <c r="DQ19" s="91"/>
      <c r="DR19" s="172"/>
      <c r="DS19" s="95"/>
      <c r="DT19" s="91"/>
      <c r="DU19" s="172"/>
      <c r="DV19" s="95"/>
      <c r="DW19" s="91"/>
      <c r="DX19" s="172"/>
      <c r="DY19" s="95"/>
      <c r="DZ19" s="91"/>
      <c r="EA19" s="172"/>
      <c r="EB19" s="95"/>
      <c r="EC19" s="91"/>
      <c r="ED19" s="172"/>
      <c r="EE19" s="95"/>
      <c r="EF19" s="91"/>
      <c r="EG19" s="172"/>
      <c r="EH19" s="95"/>
      <c r="EI19" s="91"/>
      <c r="EJ19" s="172"/>
      <c r="EK19" s="95"/>
      <c r="EL19" s="91"/>
      <c r="EM19" s="172"/>
      <c r="EN19" s="95"/>
      <c r="EO19" s="91"/>
      <c r="EP19" s="172"/>
      <c r="EQ19" s="95"/>
      <c r="ER19" s="91"/>
      <c r="ES19" s="172"/>
      <c r="ET19" s="95"/>
      <c r="EU19" s="91"/>
      <c r="EV19" s="172"/>
      <c r="EW19" s="95"/>
      <c r="EX19" s="91"/>
      <c r="EY19" s="172"/>
      <c r="EZ19" s="95"/>
      <c r="FA19" s="91"/>
      <c r="FB19" s="172"/>
      <c r="FC19" s="95"/>
      <c r="FD19" s="91"/>
      <c r="FE19" s="172"/>
      <c r="FF19" s="95"/>
      <c r="FG19" s="91"/>
      <c r="FH19" s="172"/>
      <c r="FI19" s="95"/>
      <c r="FJ19" s="91"/>
      <c r="FK19" s="172"/>
      <c r="FL19" s="95"/>
      <c r="FM19" s="91"/>
      <c r="FN19" s="172"/>
      <c r="FO19" s="95"/>
      <c r="FP19" s="91"/>
      <c r="FQ19" s="172"/>
      <c r="FR19" s="95"/>
      <c r="FS19" s="91"/>
      <c r="FT19" s="172"/>
      <c r="FU19" s="95"/>
      <c r="FV19" s="91"/>
      <c r="FW19" s="172"/>
      <c r="FX19" s="95"/>
      <c r="FY19" s="91"/>
      <c r="FZ19" s="172"/>
      <c r="GA19" s="95"/>
      <c r="GB19" s="91"/>
      <c r="GC19" s="172"/>
      <c r="GD19" s="95"/>
      <c r="GE19" s="91"/>
      <c r="GF19" s="172"/>
      <c r="GG19" s="95"/>
      <c r="GH19" s="91"/>
      <c r="GI19" s="172"/>
      <c r="GJ19" s="95"/>
      <c r="GK19" s="91"/>
      <c r="GL19" s="172"/>
      <c r="GM19" s="95"/>
      <c r="GN19" s="91"/>
      <c r="GO19" s="172"/>
      <c r="GP19" s="95"/>
      <c r="GQ19" s="91"/>
      <c r="GR19" s="172"/>
      <c r="GS19" s="95"/>
      <c r="GT19" s="91"/>
      <c r="GU19" s="172"/>
      <c r="GV19" s="95"/>
      <c r="GW19" s="91"/>
      <c r="GX19" s="172"/>
      <c r="GY19" s="95"/>
      <c r="GZ19" s="91"/>
      <c r="HA19" s="172"/>
      <c r="HB19" s="95"/>
      <c r="HC19" s="91"/>
      <c r="HD19" s="172"/>
      <c r="HE19" s="95"/>
      <c r="HF19" s="91"/>
      <c r="HG19" s="172"/>
      <c r="HH19" s="95"/>
      <c r="HI19" s="91"/>
      <c r="HJ19" s="172"/>
      <c r="HK19" s="95"/>
      <c r="HL19" s="91"/>
      <c r="HM19" s="172"/>
      <c r="HN19" s="95"/>
      <c r="HO19" s="91"/>
      <c r="HP19" s="172"/>
      <c r="HQ19" s="95"/>
      <c r="HR19" s="91"/>
      <c r="HS19" s="172"/>
      <c r="HT19" s="95"/>
      <c r="HU19" s="91"/>
      <c r="HV19" s="172"/>
      <c r="HW19" s="95"/>
      <c r="HX19" s="91"/>
      <c r="HY19" s="172"/>
      <c r="HZ19" s="95"/>
      <c r="IA19" s="91"/>
      <c r="IB19" s="172"/>
      <c r="IC19" s="95"/>
      <c r="ID19" s="91"/>
      <c r="IE19" s="172"/>
      <c r="IF19" s="95"/>
      <c r="IG19" s="91"/>
      <c r="IH19" s="172"/>
      <c r="II19" s="95"/>
      <c r="IJ19" s="91"/>
      <c r="IK19" s="172"/>
      <c r="IL19" s="95"/>
      <c r="IM19" s="91"/>
      <c r="IN19" s="172"/>
      <c r="IO19" s="95"/>
      <c r="IP19" s="91"/>
      <c r="IQ19" s="172"/>
      <c r="IR19" s="95"/>
      <c r="IS19" s="91"/>
      <c r="IT19" s="172"/>
      <c r="IU19" s="95"/>
      <c r="IV19" s="91"/>
      <c r="IW19" s="172"/>
      <c r="IX19" s="95"/>
      <c r="IY19" s="91"/>
      <c r="IZ19" s="172"/>
      <c r="JA19" s="95"/>
      <c r="JB19" s="91"/>
      <c r="JC19" s="172"/>
      <c r="JD19" s="95"/>
      <c r="JE19" s="91"/>
      <c r="JF19" s="172"/>
      <c r="JG19" s="95"/>
      <c r="JH19" s="91"/>
      <c r="JI19" s="172"/>
      <c r="JJ19" s="95"/>
      <c r="JK19" s="91"/>
      <c r="JL19" s="172"/>
      <c r="JM19" s="95"/>
      <c r="JN19" s="91"/>
      <c r="JO19" s="172"/>
      <c r="JP19" s="95"/>
      <c r="JQ19" s="91"/>
      <c r="JR19" s="172"/>
      <c r="JS19" s="95"/>
      <c r="JT19" s="91"/>
      <c r="JU19" s="172"/>
      <c r="JV19" s="95"/>
      <c r="JW19" s="91"/>
      <c r="JX19" s="172"/>
      <c r="JY19" s="95"/>
      <c r="JZ19" s="91"/>
      <c r="KA19" s="172"/>
      <c r="KB19" s="95"/>
      <c r="KC19" s="91"/>
      <c r="KD19" s="172"/>
      <c r="KE19" s="95"/>
      <c r="KF19" s="91"/>
      <c r="KG19" s="172"/>
      <c r="KH19" s="95"/>
      <c r="KI19" s="91"/>
      <c r="KJ19" s="172"/>
      <c r="KK19" s="95"/>
      <c r="KL19" s="91"/>
      <c r="KM19" s="172"/>
      <c r="KN19" s="95"/>
    </row>
    <row r="20" spans="1:300" x14ac:dyDescent="0.2">
      <c r="A20" s="91"/>
      <c r="B20" s="172"/>
      <c r="C20" s="95"/>
      <c r="D20" s="91"/>
      <c r="E20" s="172"/>
      <c r="F20" s="95"/>
      <c r="G20" s="91"/>
      <c r="H20" s="172"/>
      <c r="I20" s="95"/>
      <c r="J20" s="91"/>
      <c r="K20" s="172"/>
      <c r="L20" s="95"/>
      <c r="M20" s="91"/>
      <c r="N20" s="172"/>
      <c r="O20" s="95"/>
      <c r="P20" s="91"/>
      <c r="Q20" s="172"/>
      <c r="R20" s="95"/>
      <c r="S20" s="91"/>
      <c r="T20" s="172"/>
      <c r="U20" s="95"/>
      <c r="V20" s="91"/>
      <c r="W20" s="172"/>
      <c r="X20" s="95"/>
      <c r="Y20" s="91"/>
      <c r="Z20" s="172"/>
      <c r="AA20" s="95"/>
      <c r="AB20" s="91"/>
      <c r="AC20" s="172"/>
      <c r="AD20" s="95"/>
      <c r="AE20" s="91"/>
      <c r="AF20" s="172"/>
      <c r="AG20" s="95"/>
      <c r="AH20" s="91"/>
      <c r="AI20" s="172"/>
      <c r="AJ20" s="95"/>
      <c r="AK20" s="91"/>
      <c r="AL20" s="172"/>
      <c r="AM20" s="95"/>
      <c r="AN20" s="91"/>
      <c r="AO20" s="172"/>
      <c r="AP20" s="95"/>
      <c r="AQ20" s="91"/>
      <c r="AR20" s="172"/>
      <c r="AS20" s="95"/>
      <c r="AT20" s="91"/>
      <c r="AU20" s="172"/>
      <c r="AV20" s="95"/>
      <c r="AW20" s="91"/>
      <c r="AX20" s="172"/>
      <c r="AY20" s="95"/>
      <c r="AZ20" s="91"/>
      <c r="BA20" s="172"/>
      <c r="BB20" s="95"/>
      <c r="BC20" s="91"/>
      <c r="BD20" s="172"/>
      <c r="BE20" s="95"/>
      <c r="BF20" s="91"/>
      <c r="BG20" s="172"/>
      <c r="BH20" s="95"/>
      <c r="BI20" s="91"/>
      <c r="BJ20" s="172"/>
      <c r="BK20" s="95"/>
      <c r="BL20" s="91"/>
      <c r="BM20" s="172"/>
      <c r="BN20" s="95"/>
      <c r="BO20" s="91"/>
      <c r="BP20" s="172"/>
      <c r="BQ20" s="95"/>
      <c r="BR20" s="91"/>
      <c r="BS20" s="172"/>
      <c r="BT20" s="95"/>
      <c r="BU20" s="91"/>
      <c r="BV20" s="172"/>
      <c r="BW20" s="95"/>
      <c r="BX20" s="91"/>
      <c r="BY20" s="172"/>
      <c r="BZ20" s="95"/>
      <c r="CA20" s="91"/>
      <c r="CB20" s="172"/>
      <c r="CC20" s="95"/>
      <c r="CD20" s="91"/>
      <c r="CE20" s="172"/>
      <c r="CF20" s="95"/>
      <c r="CG20" s="91"/>
      <c r="CH20" s="172"/>
      <c r="CI20" s="95"/>
      <c r="CJ20" s="91"/>
      <c r="CK20" s="172"/>
      <c r="CL20" s="95"/>
      <c r="CM20" s="91"/>
      <c r="CN20" s="172"/>
      <c r="CO20" s="95"/>
      <c r="CP20" s="91"/>
      <c r="CQ20" s="172"/>
      <c r="CR20" s="95"/>
      <c r="CS20" s="91"/>
      <c r="CT20" s="172"/>
      <c r="CU20" s="95"/>
      <c r="CV20" s="91"/>
      <c r="CW20" s="172"/>
      <c r="CX20" s="95"/>
      <c r="CY20" s="91"/>
      <c r="CZ20" s="172"/>
      <c r="DA20" s="95"/>
      <c r="DB20" s="91"/>
      <c r="DC20" s="172"/>
      <c r="DD20" s="95"/>
      <c r="DE20" s="91"/>
      <c r="DF20" s="172"/>
      <c r="DG20" s="95"/>
      <c r="DH20" s="91"/>
      <c r="DI20" s="172"/>
      <c r="DJ20" s="95"/>
      <c r="DK20" s="91"/>
      <c r="DL20" s="172"/>
      <c r="DM20" s="95"/>
      <c r="DN20" s="91"/>
      <c r="DO20" s="172"/>
      <c r="DP20" s="95"/>
      <c r="DQ20" s="91"/>
      <c r="DR20" s="172"/>
      <c r="DS20" s="95"/>
      <c r="DT20" s="91"/>
      <c r="DU20" s="172"/>
      <c r="DV20" s="95"/>
      <c r="DW20" s="91"/>
      <c r="DX20" s="172"/>
      <c r="DY20" s="95"/>
      <c r="DZ20" s="91"/>
      <c r="EA20" s="172"/>
      <c r="EB20" s="95"/>
      <c r="EC20" s="91"/>
      <c r="ED20" s="172"/>
      <c r="EE20" s="95"/>
      <c r="EF20" s="91"/>
      <c r="EG20" s="172"/>
      <c r="EH20" s="95"/>
      <c r="EI20" s="91"/>
      <c r="EJ20" s="172"/>
      <c r="EK20" s="95"/>
      <c r="EL20" s="91"/>
      <c r="EM20" s="172"/>
      <c r="EN20" s="95"/>
      <c r="EO20" s="91"/>
      <c r="EP20" s="172"/>
      <c r="EQ20" s="95"/>
      <c r="ER20" s="91"/>
      <c r="ES20" s="172"/>
      <c r="ET20" s="95"/>
      <c r="EU20" s="91"/>
      <c r="EV20" s="172"/>
      <c r="EW20" s="95"/>
      <c r="EX20" s="91"/>
      <c r="EY20" s="172"/>
      <c r="EZ20" s="95"/>
      <c r="FA20" s="91"/>
      <c r="FB20" s="172"/>
      <c r="FC20" s="95"/>
      <c r="FD20" s="91"/>
      <c r="FE20" s="172"/>
      <c r="FF20" s="95"/>
      <c r="FG20" s="91"/>
      <c r="FH20" s="172"/>
      <c r="FI20" s="95"/>
      <c r="FJ20" s="91"/>
      <c r="FK20" s="172"/>
      <c r="FL20" s="95"/>
      <c r="FM20" s="91"/>
      <c r="FN20" s="172"/>
      <c r="FO20" s="95"/>
      <c r="FP20" s="91"/>
      <c r="FQ20" s="172"/>
      <c r="FR20" s="95"/>
      <c r="FS20" s="91"/>
      <c r="FT20" s="172"/>
      <c r="FU20" s="95"/>
      <c r="FV20" s="91"/>
      <c r="FW20" s="172"/>
      <c r="FX20" s="95"/>
      <c r="FY20" s="91"/>
      <c r="FZ20" s="172"/>
      <c r="GA20" s="95"/>
      <c r="GB20" s="91"/>
      <c r="GC20" s="172"/>
      <c r="GD20" s="95"/>
      <c r="GE20" s="91"/>
      <c r="GF20" s="172"/>
      <c r="GG20" s="95"/>
      <c r="GH20" s="91"/>
      <c r="GI20" s="172"/>
      <c r="GJ20" s="95"/>
      <c r="GK20" s="91"/>
      <c r="GL20" s="172"/>
      <c r="GM20" s="95"/>
      <c r="GN20" s="91"/>
      <c r="GO20" s="172"/>
      <c r="GP20" s="95"/>
      <c r="GQ20" s="91"/>
      <c r="GR20" s="172"/>
      <c r="GS20" s="95"/>
      <c r="GT20" s="91"/>
      <c r="GU20" s="172"/>
      <c r="GV20" s="95"/>
      <c r="GW20" s="91"/>
      <c r="GX20" s="172"/>
      <c r="GY20" s="95"/>
      <c r="GZ20" s="91"/>
      <c r="HA20" s="172"/>
      <c r="HB20" s="95"/>
      <c r="HC20" s="91"/>
      <c r="HD20" s="172"/>
      <c r="HE20" s="95"/>
      <c r="HF20" s="91"/>
      <c r="HG20" s="172"/>
      <c r="HH20" s="95"/>
      <c r="HI20" s="91"/>
      <c r="HJ20" s="172"/>
      <c r="HK20" s="95"/>
      <c r="HL20" s="91"/>
      <c r="HM20" s="172"/>
      <c r="HN20" s="95"/>
      <c r="HO20" s="91"/>
      <c r="HP20" s="172"/>
      <c r="HQ20" s="95"/>
      <c r="HR20" s="91"/>
      <c r="HS20" s="172"/>
      <c r="HT20" s="95"/>
      <c r="HU20" s="91"/>
      <c r="HV20" s="172"/>
      <c r="HW20" s="95"/>
      <c r="HX20" s="91"/>
      <c r="HY20" s="172"/>
      <c r="HZ20" s="95"/>
      <c r="IA20" s="91"/>
      <c r="IB20" s="172"/>
      <c r="IC20" s="95"/>
      <c r="ID20" s="91"/>
      <c r="IE20" s="172"/>
      <c r="IF20" s="95"/>
      <c r="IG20" s="91"/>
      <c r="IH20" s="172"/>
      <c r="II20" s="95"/>
      <c r="IJ20" s="91"/>
      <c r="IK20" s="172"/>
      <c r="IL20" s="95"/>
      <c r="IM20" s="91"/>
      <c r="IN20" s="172"/>
      <c r="IO20" s="95"/>
      <c r="IP20" s="91"/>
      <c r="IQ20" s="172"/>
      <c r="IR20" s="95"/>
      <c r="IS20" s="91"/>
      <c r="IT20" s="172"/>
      <c r="IU20" s="95"/>
      <c r="IV20" s="91"/>
      <c r="IW20" s="172"/>
      <c r="IX20" s="95"/>
      <c r="IY20" s="91"/>
      <c r="IZ20" s="172"/>
      <c r="JA20" s="95"/>
      <c r="JB20" s="91"/>
      <c r="JC20" s="172"/>
      <c r="JD20" s="95"/>
      <c r="JE20" s="91"/>
      <c r="JF20" s="172"/>
      <c r="JG20" s="95"/>
      <c r="JH20" s="91"/>
      <c r="JI20" s="172"/>
      <c r="JJ20" s="95"/>
      <c r="JK20" s="91"/>
      <c r="JL20" s="172"/>
      <c r="JM20" s="95"/>
      <c r="JN20" s="91"/>
      <c r="JO20" s="172"/>
      <c r="JP20" s="95"/>
      <c r="JQ20" s="91"/>
      <c r="JR20" s="172"/>
      <c r="JS20" s="95"/>
      <c r="JT20" s="91"/>
      <c r="JU20" s="172"/>
      <c r="JV20" s="95"/>
      <c r="JW20" s="91"/>
      <c r="JX20" s="172"/>
      <c r="JY20" s="95"/>
      <c r="JZ20" s="91"/>
      <c r="KA20" s="172"/>
      <c r="KB20" s="95"/>
      <c r="KC20" s="91"/>
      <c r="KD20" s="172"/>
      <c r="KE20" s="95"/>
      <c r="KF20" s="91"/>
      <c r="KG20" s="172"/>
      <c r="KH20" s="95"/>
      <c r="KI20" s="91"/>
      <c r="KJ20" s="172"/>
      <c r="KK20" s="95"/>
      <c r="KL20" s="91"/>
      <c r="KM20" s="172"/>
      <c r="KN20" s="95"/>
    </row>
    <row r="21" spans="1:300" x14ac:dyDescent="0.2">
      <c r="A21" s="91"/>
      <c r="B21" s="172"/>
      <c r="C21" s="95"/>
      <c r="D21" s="91"/>
      <c r="E21" s="172"/>
      <c r="F21" s="95"/>
      <c r="G21" s="91"/>
      <c r="H21" s="172"/>
      <c r="I21" s="95"/>
      <c r="J21" s="91"/>
      <c r="K21" s="172"/>
      <c r="L21" s="95"/>
      <c r="M21" s="91"/>
      <c r="N21" s="172"/>
      <c r="O21" s="95"/>
      <c r="P21" s="91"/>
      <c r="Q21" s="172"/>
      <c r="R21" s="95"/>
      <c r="S21" s="91"/>
      <c r="T21" s="172"/>
      <c r="U21" s="95"/>
      <c r="V21" s="91"/>
      <c r="W21" s="172"/>
      <c r="X21" s="95"/>
      <c r="Y21" s="91"/>
      <c r="Z21" s="172"/>
      <c r="AA21" s="95"/>
      <c r="AB21" s="91"/>
      <c r="AC21" s="172"/>
      <c r="AD21" s="95"/>
      <c r="AE21" s="91"/>
      <c r="AF21" s="172"/>
      <c r="AG21" s="95"/>
      <c r="AH21" s="91"/>
      <c r="AI21" s="172"/>
      <c r="AJ21" s="95"/>
      <c r="AK21" s="91"/>
      <c r="AL21" s="172"/>
      <c r="AM21" s="95"/>
      <c r="AN21" s="91"/>
      <c r="AO21" s="172"/>
      <c r="AP21" s="95"/>
      <c r="AQ21" s="91"/>
      <c r="AR21" s="172"/>
      <c r="AS21" s="95"/>
      <c r="AT21" s="91"/>
      <c r="AU21" s="172"/>
      <c r="AV21" s="95"/>
      <c r="AW21" s="91"/>
      <c r="AX21" s="172"/>
      <c r="AY21" s="95"/>
      <c r="AZ21" s="91"/>
      <c r="BA21" s="172"/>
      <c r="BB21" s="95"/>
      <c r="BC21" s="91"/>
      <c r="BD21" s="172"/>
      <c r="BE21" s="95"/>
      <c r="BF21" s="91"/>
      <c r="BG21" s="172"/>
      <c r="BH21" s="95"/>
      <c r="BI21" s="91"/>
      <c r="BJ21" s="172"/>
      <c r="BK21" s="95"/>
      <c r="BL21" s="91"/>
      <c r="BM21" s="172"/>
      <c r="BN21" s="95"/>
      <c r="BO21" s="91"/>
      <c r="BP21" s="172"/>
      <c r="BQ21" s="95"/>
      <c r="BR21" s="91"/>
      <c r="BS21" s="172"/>
      <c r="BT21" s="95"/>
      <c r="BU21" s="91"/>
      <c r="BV21" s="172"/>
      <c r="BW21" s="95"/>
      <c r="BX21" s="91"/>
      <c r="BY21" s="172"/>
      <c r="BZ21" s="95"/>
      <c r="CA21" s="91"/>
      <c r="CB21" s="172"/>
      <c r="CC21" s="95"/>
      <c r="CD21" s="91"/>
      <c r="CE21" s="172"/>
      <c r="CF21" s="95"/>
      <c r="CG21" s="91"/>
      <c r="CH21" s="172"/>
      <c r="CI21" s="95"/>
      <c r="CJ21" s="91"/>
      <c r="CK21" s="172"/>
      <c r="CL21" s="95"/>
      <c r="CM21" s="91"/>
      <c r="CN21" s="172"/>
      <c r="CO21" s="95"/>
      <c r="CP21" s="91"/>
      <c r="CQ21" s="172"/>
      <c r="CR21" s="95"/>
      <c r="CS21" s="91"/>
      <c r="CT21" s="172"/>
      <c r="CU21" s="95"/>
      <c r="CV21" s="91"/>
      <c r="CW21" s="172"/>
      <c r="CX21" s="95"/>
      <c r="CY21" s="91"/>
      <c r="CZ21" s="172"/>
      <c r="DA21" s="95"/>
      <c r="DB21" s="91"/>
      <c r="DC21" s="172"/>
      <c r="DD21" s="95"/>
      <c r="DE21" s="91"/>
      <c r="DF21" s="172"/>
      <c r="DG21" s="95"/>
      <c r="DH21" s="91"/>
      <c r="DI21" s="172"/>
      <c r="DJ21" s="95"/>
      <c r="DK21" s="91"/>
      <c r="DL21" s="172"/>
      <c r="DM21" s="95"/>
      <c r="DN21" s="91"/>
      <c r="DO21" s="172"/>
      <c r="DP21" s="95"/>
      <c r="DQ21" s="91"/>
      <c r="DR21" s="172"/>
      <c r="DS21" s="95"/>
      <c r="DT21" s="91"/>
      <c r="DU21" s="172"/>
      <c r="DV21" s="95"/>
      <c r="DW21" s="91"/>
      <c r="DX21" s="172"/>
      <c r="DY21" s="95"/>
      <c r="DZ21" s="91"/>
      <c r="EA21" s="172"/>
      <c r="EB21" s="95"/>
      <c r="EC21" s="91"/>
      <c r="ED21" s="172"/>
      <c r="EE21" s="95"/>
      <c r="EF21" s="91"/>
      <c r="EG21" s="172"/>
      <c r="EH21" s="95"/>
      <c r="EI21" s="91"/>
      <c r="EJ21" s="172"/>
      <c r="EK21" s="95"/>
      <c r="EL21" s="91"/>
      <c r="EM21" s="172"/>
      <c r="EN21" s="95"/>
      <c r="EO21" s="91"/>
      <c r="EP21" s="172"/>
      <c r="EQ21" s="95"/>
      <c r="ER21" s="91"/>
      <c r="ES21" s="172"/>
      <c r="ET21" s="95"/>
      <c r="EU21" s="91"/>
      <c r="EV21" s="172"/>
      <c r="EW21" s="95"/>
      <c r="EX21" s="91"/>
      <c r="EY21" s="172"/>
      <c r="EZ21" s="95"/>
      <c r="FA21" s="91"/>
      <c r="FB21" s="172"/>
      <c r="FC21" s="95"/>
      <c r="FD21" s="91"/>
      <c r="FE21" s="172"/>
      <c r="FF21" s="95"/>
      <c r="FG21" s="91"/>
      <c r="FH21" s="172"/>
      <c r="FI21" s="95"/>
      <c r="FJ21" s="91"/>
      <c r="FK21" s="172"/>
      <c r="FL21" s="95"/>
      <c r="FM21" s="91"/>
      <c r="FN21" s="172"/>
      <c r="FO21" s="95"/>
      <c r="FP21" s="91"/>
      <c r="FQ21" s="172"/>
      <c r="FR21" s="95"/>
      <c r="FS21" s="91"/>
      <c r="FT21" s="172"/>
      <c r="FU21" s="95"/>
      <c r="FV21" s="91"/>
      <c r="FW21" s="172"/>
      <c r="FX21" s="95"/>
      <c r="FY21" s="91"/>
      <c r="FZ21" s="172"/>
      <c r="GA21" s="95"/>
      <c r="GB21" s="91"/>
      <c r="GC21" s="172"/>
      <c r="GD21" s="95"/>
      <c r="GE21" s="91"/>
      <c r="GF21" s="172"/>
      <c r="GG21" s="95"/>
      <c r="GH21" s="91"/>
      <c r="GI21" s="172"/>
      <c r="GJ21" s="95"/>
      <c r="GK21" s="91"/>
      <c r="GL21" s="172"/>
      <c r="GM21" s="95"/>
      <c r="GN21" s="91"/>
      <c r="GO21" s="172"/>
      <c r="GP21" s="95"/>
      <c r="GQ21" s="91"/>
      <c r="GR21" s="172"/>
      <c r="GS21" s="95"/>
      <c r="GT21" s="91"/>
      <c r="GU21" s="172"/>
      <c r="GV21" s="95"/>
      <c r="GW21" s="91"/>
      <c r="GX21" s="172"/>
      <c r="GY21" s="95"/>
      <c r="GZ21" s="91"/>
      <c r="HA21" s="172"/>
      <c r="HB21" s="95"/>
      <c r="HC21" s="91"/>
      <c r="HD21" s="172"/>
      <c r="HE21" s="95"/>
      <c r="HF21" s="91"/>
      <c r="HG21" s="172"/>
      <c r="HH21" s="95"/>
      <c r="HI21" s="91"/>
      <c r="HJ21" s="172"/>
      <c r="HK21" s="95"/>
      <c r="HL21" s="91"/>
      <c r="HM21" s="172"/>
      <c r="HN21" s="95"/>
      <c r="HO21" s="91"/>
      <c r="HP21" s="172"/>
      <c r="HQ21" s="95"/>
      <c r="HR21" s="91"/>
      <c r="HS21" s="172"/>
      <c r="HT21" s="95"/>
      <c r="HU21" s="91"/>
      <c r="HV21" s="172"/>
      <c r="HW21" s="95"/>
      <c r="HX21" s="91"/>
      <c r="HY21" s="172"/>
      <c r="HZ21" s="95"/>
      <c r="IA21" s="91"/>
      <c r="IB21" s="172"/>
      <c r="IC21" s="95"/>
      <c r="ID21" s="91"/>
      <c r="IE21" s="172"/>
      <c r="IF21" s="95"/>
      <c r="IG21" s="91"/>
      <c r="IH21" s="172"/>
      <c r="II21" s="95"/>
      <c r="IJ21" s="91"/>
      <c r="IK21" s="172"/>
      <c r="IL21" s="95"/>
      <c r="IM21" s="91"/>
      <c r="IN21" s="172"/>
      <c r="IO21" s="95"/>
      <c r="IP21" s="91"/>
      <c r="IQ21" s="172"/>
      <c r="IR21" s="95"/>
      <c r="IS21" s="91"/>
      <c r="IT21" s="172"/>
      <c r="IU21" s="95"/>
      <c r="IV21" s="91"/>
      <c r="IW21" s="172"/>
      <c r="IX21" s="95"/>
      <c r="IY21" s="91"/>
      <c r="IZ21" s="172"/>
      <c r="JA21" s="95"/>
      <c r="JB21" s="91"/>
      <c r="JC21" s="172"/>
      <c r="JD21" s="95"/>
      <c r="JE21" s="91"/>
      <c r="JF21" s="172"/>
      <c r="JG21" s="95"/>
      <c r="JH21" s="91"/>
      <c r="JI21" s="172"/>
      <c r="JJ21" s="95"/>
      <c r="JK21" s="91"/>
      <c r="JL21" s="172"/>
      <c r="JM21" s="95"/>
      <c r="JN21" s="91"/>
      <c r="JO21" s="172"/>
      <c r="JP21" s="95"/>
      <c r="JQ21" s="91"/>
      <c r="JR21" s="172"/>
      <c r="JS21" s="95"/>
      <c r="JT21" s="91"/>
      <c r="JU21" s="172"/>
      <c r="JV21" s="95"/>
      <c r="JW21" s="91"/>
      <c r="JX21" s="172"/>
      <c r="JY21" s="95"/>
      <c r="JZ21" s="91"/>
      <c r="KA21" s="172"/>
      <c r="KB21" s="95"/>
      <c r="KC21" s="91"/>
      <c r="KD21" s="172"/>
      <c r="KE21" s="95"/>
      <c r="KF21" s="91"/>
      <c r="KG21" s="172"/>
      <c r="KH21" s="95"/>
      <c r="KI21" s="91"/>
      <c r="KJ21" s="172"/>
      <c r="KK21" s="95"/>
      <c r="KL21" s="91"/>
      <c r="KM21" s="172"/>
      <c r="KN21" s="95"/>
    </row>
    <row r="22" spans="1:300" x14ac:dyDescent="0.2">
      <c r="A22" s="91"/>
      <c r="B22" s="172"/>
      <c r="C22" s="95"/>
      <c r="D22" s="91"/>
      <c r="E22" s="172"/>
      <c r="F22" s="95"/>
      <c r="G22" s="91"/>
      <c r="H22" s="172"/>
      <c r="I22" s="95"/>
      <c r="J22" s="91"/>
      <c r="K22" s="172"/>
      <c r="L22" s="95"/>
      <c r="M22" s="91"/>
      <c r="N22" s="172"/>
      <c r="O22" s="95"/>
      <c r="P22" s="91"/>
      <c r="Q22" s="172"/>
      <c r="R22" s="95"/>
      <c r="S22" s="91"/>
      <c r="T22" s="172"/>
      <c r="U22" s="95"/>
      <c r="V22" s="91"/>
      <c r="W22" s="172"/>
      <c r="X22" s="95"/>
      <c r="Y22" s="91"/>
      <c r="Z22" s="172"/>
      <c r="AA22" s="95"/>
      <c r="AB22" s="91"/>
      <c r="AC22" s="172"/>
      <c r="AD22" s="95"/>
      <c r="AE22" s="91"/>
      <c r="AF22" s="172"/>
      <c r="AG22" s="95"/>
      <c r="AH22" s="91"/>
      <c r="AI22" s="172"/>
      <c r="AJ22" s="95"/>
      <c r="AK22" s="91"/>
      <c r="AL22" s="172"/>
      <c r="AM22" s="95"/>
      <c r="AN22" s="91"/>
      <c r="AO22" s="172"/>
      <c r="AP22" s="95"/>
      <c r="AQ22" s="91"/>
      <c r="AR22" s="172"/>
      <c r="AS22" s="95"/>
      <c r="AT22" s="91"/>
      <c r="AU22" s="172"/>
      <c r="AV22" s="95"/>
      <c r="AW22" s="91"/>
      <c r="AX22" s="172"/>
      <c r="AY22" s="95"/>
      <c r="AZ22" s="91"/>
      <c r="BA22" s="172"/>
      <c r="BB22" s="95"/>
      <c r="BC22" s="91"/>
      <c r="BD22" s="172"/>
      <c r="BE22" s="95"/>
      <c r="BF22" s="91"/>
      <c r="BG22" s="172"/>
      <c r="BH22" s="95"/>
      <c r="BI22" s="91"/>
      <c r="BJ22" s="172"/>
      <c r="BK22" s="95"/>
      <c r="BL22" s="91"/>
      <c r="BM22" s="172"/>
      <c r="BN22" s="95"/>
      <c r="BO22" s="91"/>
      <c r="BP22" s="172"/>
      <c r="BQ22" s="95"/>
      <c r="BR22" s="91"/>
      <c r="BS22" s="172"/>
      <c r="BT22" s="95"/>
      <c r="BU22" s="91"/>
      <c r="BV22" s="172"/>
      <c r="BW22" s="95"/>
      <c r="BX22" s="91"/>
      <c r="BY22" s="172"/>
      <c r="BZ22" s="95"/>
      <c r="CA22" s="91"/>
      <c r="CB22" s="172"/>
      <c r="CC22" s="95"/>
      <c r="CD22" s="91"/>
      <c r="CE22" s="172"/>
      <c r="CF22" s="95"/>
      <c r="CG22" s="91"/>
      <c r="CH22" s="172"/>
      <c r="CI22" s="95"/>
      <c r="CJ22" s="91"/>
      <c r="CK22" s="172"/>
      <c r="CL22" s="95"/>
      <c r="CM22" s="91"/>
      <c r="CN22" s="172"/>
      <c r="CO22" s="95"/>
      <c r="CP22" s="91"/>
      <c r="CQ22" s="172"/>
      <c r="CR22" s="95"/>
      <c r="CS22" s="91"/>
      <c r="CT22" s="172"/>
      <c r="CU22" s="95"/>
      <c r="CV22" s="91"/>
      <c r="CW22" s="172"/>
      <c r="CX22" s="95"/>
      <c r="CY22" s="91"/>
      <c r="CZ22" s="172"/>
      <c r="DA22" s="95"/>
      <c r="DB22" s="91"/>
      <c r="DC22" s="172"/>
      <c r="DD22" s="95"/>
      <c r="DE22" s="91"/>
      <c r="DF22" s="172"/>
      <c r="DG22" s="95"/>
      <c r="DH22" s="91"/>
      <c r="DI22" s="172"/>
      <c r="DJ22" s="95"/>
      <c r="DK22" s="91"/>
      <c r="DL22" s="172"/>
      <c r="DM22" s="95"/>
      <c r="DN22" s="91"/>
      <c r="DO22" s="172"/>
      <c r="DP22" s="95"/>
      <c r="DQ22" s="91"/>
      <c r="DR22" s="172"/>
      <c r="DS22" s="95"/>
      <c r="DT22" s="91"/>
      <c r="DU22" s="172"/>
      <c r="DV22" s="95"/>
      <c r="DW22" s="91"/>
      <c r="DX22" s="172"/>
      <c r="DY22" s="95"/>
      <c r="DZ22" s="91"/>
      <c r="EA22" s="172"/>
      <c r="EB22" s="95"/>
      <c r="EC22" s="91"/>
      <c r="ED22" s="172"/>
      <c r="EE22" s="95"/>
      <c r="EF22" s="91"/>
      <c r="EG22" s="172"/>
      <c r="EH22" s="95"/>
      <c r="EI22" s="91"/>
      <c r="EJ22" s="172"/>
      <c r="EK22" s="95"/>
      <c r="EL22" s="91"/>
      <c r="EM22" s="172"/>
      <c r="EN22" s="95"/>
      <c r="EO22" s="91"/>
      <c r="EP22" s="172"/>
      <c r="EQ22" s="95"/>
      <c r="ER22" s="91"/>
      <c r="ES22" s="172"/>
      <c r="ET22" s="95"/>
      <c r="EU22" s="91"/>
      <c r="EV22" s="172"/>
      <c r="EW22" s="95"/>
      <c r="EX22" s="91"/>
      <c r="EY22" s="172"/>
      <c r="EZ22" s="95"/>
      <c r="FA22" s="91"/>
      <c r="FB22" s="172"/>
      <c r="FC22" s="95"/>
      <c r="FD22" s="91"/>
      <c r="FE22" s="172"/>
      <c r="FF22" s="95"/>
      <c r="FG22" s="91"/>
      <c r="FH22" s="172"/>
      <c r="FI22" s="95"/>
      <c r="FJ22" s="91"/>
      <c r="FK22" s="172"/>
      <c r="FL22" s="95"/>
      <c r="FM22" s="91"/>
      <c r="FN22" s="172"/>
      <c r="FO22" s="95"/>
      <c r="FP22" s="91"/>
      <c r="FQ22" s="172"/>
      <c r="FR22" s="95"/>
      <c r="FS22" s="91"/>
      <c r="FT22" s="172"/>
      <c r="FU22" s="95"/>
      <c r="FV22" s="91"/>
      <c r="FW22" s="172"/>
      <c r="FX22" s="95"/>
      <c r="FY22" s="91"/>
      <c r="FZ22" s="172"/>
      <c r="GA22" s="95"/>
      <c r="GB22" s="91"/>
      <c r="GC22" s="172"/>
      <c r="GD22" s="95"/>
      <c r="GE22" s="91"/>
      <c r="GF22" s="172"/>
      <c r="GG22" s="95"/>
      <c r="GH22" s="91"/>
      <c r="GI22" s="172"/>
      <c r="GJ22" s="95"/>
      <c r="GK22" s="91"/>
      <c r="GL22" s="172"/>
      <c r="GM22" s="95"/>
      <c r="GN22" s="91"/>
      <c r="GO22" s="172"/>
      <c r="GP22" s="95"/>
      <c r="GQ22" s="91"/>
      <c r="GR22" s="172"/>
      <c r="GS22" s="95"/>
      <c r="GT22" s="91"/>
      <c r="GU22" s="172"/>
      <c r="GV22" s="95"/>
      <c r="GW22" s="91"/>
      <c r="GX22" s="172"/>
      <c r="GY22" s="95"/>
      <c r="GZ22" s="91"/>
      <c r="HA22" s="172"/>
      <c r="HB22" s="95"/>
      <c r="HC22" s="91"/>
      <c r="HD22" s="172"/>
      <c r="HE22" s="95"/>
      <c r="HF22" s="91"/>
      <c r="HG22" s="172"/>
      <c r="HH22" s="95"/>
      <c r="HI22" s="91"/>
      <c r="HJ22" s="172"/>
      <c r="HK22" s="95"/>
      <c r="HL22" s="91"/>
      <c r="HM22" s="172"/>
      <c r="HN22" s="95"/>
      <c r="HO22" s="91"/>
      <c r="HP22" s="172"/>
      <c r="HQ22" s="95"/>
      <c r="HR22" s="91"/>
      <c r="HS22" s="172"/>
      <c r="HT22" s="95"/>
      <c r="HU22" s="91"/>
      <c r="HV22" s="172"/>
      <c r="HW22" s="95"/>
      <c r="HX22" s="91"/>
      <c r="HY22" s="172"/>
      <c r="HZ22" s="95"/>
      <c r="IA22" s="91"/>
      <c r="IB22" s="172"/>
      <c r="IC22" s="95"/>
      <c r="ID22" s="91"/>
      <c r="IE22" s="172"/>
      <c r="IF22" s="95"/>
      <c r="IG22" s="91"/>
      <c r="IH22" s="172"/>
      <c r="II22" s="95"/>
      <c r="IJ22" s="91"/>
      <c r="IK22" s="172"/>
      <c r="IL22" s="95"/>
      <c r="IM22" s="91"/>
      <c r="IN22" s="172"/>
      <c r="IO22" s="95"/>
      <c r="IP22" s="91"/>
      <c r="IQ22" s="172"/>
      <c r="IR22" s="95"/>
      <c r="IS22" s="91"/>
      <c r="IT22" s="172"/>
      <c r="IU22" s="95"/>
      <c r="IV22" s="91"/>
      <c r="IW22" s="172"/>
      <c r="IX22" s="95"/>
      <c r="IY22" s="91"/>
      <c r="IZ22" s="172"/>
      <c r="JA22" s="95"/>
      <c r="JB22" s="91"/>
      <c r="JC22" s="172"/>
      <c r="JD22" s="95"/>
      <c r="JE22" s="91"/>
      <c r="JF22" s="172"/>
      <c r="JG22" s="95"/>
      <c r="JH22" s="91"/>
      <c r="JI22" s="172"/>
      <c r="JJ22" s="95"/>
      <c r="JK22" s="91"/>
      <c r="JL22" s="172"/>
      <c r="JM22" s="95"/>
      <c r="JN22" s="91"/>
      <c r="JO22" s="172"/>
      <c r="JP22" s="95"/>
      <c r="JQ22" s="91"/>
      <c r="JR22" s="172"/>
      <c r="JS22" s="95"/>
      <c r="JT22" s="91"/>
      <c r="JU22" s="172"/>
      <c r="JV22" s="95"/>
      <c r="JW22" s="91"/>
      <c r="JX22" s="172"/>
      <c r="JY22" s="95"/>
      <c r="JZ22" s="91"/>
      <c r="KA22" s="172"/>
      <c r="KB22" s="95"/>
      <c r="KC22" s="91"/>
      <c r="KD22" s="172"/>
      <c r="KE22" s="95"/>
      <c r="KF22" s="91"/>
      <c r="KG22" s="172"/>
      <c r="KH22" s="95"/>
      <c r="KI22" s="91"/>
      <c r="KJ22" s="172"/>
      <c r="KK22" s="95"/>
      <c r="KL22" s="91"/>
      <c r="KM22" s="172"/>
      <c r="KN22" s="95"/>
    </row>
    <row r="23" spans="1:300" x14ac:dyDescent="0.2">
      <c r="A23" s="91"/>
      <c r="B23" s="172"/>
      <c r="C23" s="95"/>
      <c r="D23" s="91"/>
      <c r="E23" s="172"/>
      <c r="F23" s="95"/>
      <c r="G23" s="91"/>
      <c r="H23" s="172"/>
      <c r="I23" s="95"/>
      <c r="J23" s="91"/>
      <c r="K23" s="172"/>
      <c r="L23" s="95"/>
      <c r="M23" s="91"/>
      <c r="N23" s="172"/>
      <c r="O23" s="95"/>
      <c r="P23" s="91"/>
      <c r="Q23" s="172"/>
      <c r="R23" s="95"/>
      <c r="S23" s="91"/>
      <c r="T23" s="172"/>
      <c r="U23" s="95"/>
      <c r="V23" s="91"/>
      <c r="W23" s="172"/>
      <c r="X23" s="95"/>
      <c r="Y23" s="91"/>
      <c r="Z23" s="172"/>
      <c r="AA23" s="95"/>
      <c r="AB23" s="91"/>
      <c r="AC23" s="172"/>
      <c r="AD23" s="95"/>
      <c r="AE23" s="91"/>
      <c r="AF23" s="172"/>
      <c r="AG23" s="95"/>
      <c r="AH23" s="91"/>
      <c r="AI23" s="172"/>
      <c r="AJ23" s="95"/>
      <c r="AK23" s="91"/>
      <c r="AL23" s="172"/>
      <c r="AM23" s="95"/>
      <c r="AN23" s="91"/>
      <c r="AO23" s="172"/>
      <c r="AP23" s="95"/>
      <c r="AQ23" s="91"/>
      <c r="AR23" s="172"/>
      <c r="AS23" s="95"/>
      <c r="AT23" s="91"/>
      <c r="AU23" s="172"/>
      <c r="AV23" s="95"/>
      <c r="AW23" s="91"/>
      <c r="AX23" s="172"/>
      <c r="AY23" s="95"/>
      <c r="AZ23" s="91"/>
      <c r="BA23" s="172"/>
      <c r="BB23" s="95"/>
      <c r="BC23" s="91"/>
      <c r="BD23" s="172"/>
      <c r="BE23" s="95"/>
      <c r="BF23" s="91"/>
      <c r="BG23" s="172"/>
      <c r="BH23" s="95"/>
      <c r="BI23" s="91"/>
      <c r="BJ23" s="172"/>
      <c r="BK23" s="95"/>
      <c r="BL23" s="91"/>
      <c r="BM23" s="172"/>
      <c r="BN23" s="95"/>
      <c r="BO23" s="91"/>
      <c r="BP23" s="172"/>
      <c r="BQ23" s="95"/>
      <c r="BR23" s="91"/>
      <c r="BS23" s="172"/>
      <c r="BT23" s="95"/>
      <c r="BU23" s="91"/>
      <c r="BV23" s="172"/>
      <c r="BW23" s="95"/>
      <c r="BX23" s="91"/>
      <c r="BY23" s="172"/>
      <c r="BZ23" s="95"/>
      <c r="CA23" s="91"/>
      <c r="CB23" s="172"/>
      <c r="CC23" s="95"/>
      <c r="CD23" s="91"/>
      <c r="CE23" s="172"/>
      <c r="CF23" s="95"/>
      <c r="CG23" s="91"/>
      <c r="CH23" s="172"/>
      <c r="CI23" s="95"/>
      <c r="CJ23" s="91"/>
      <c r="CK23" s="172"/>
      <c r="CL23" s="95"/>
      <c r="CM23" s="91"/>
      <c r="CN23" s="172"/>
      <c r="CO23" s="95"/>
      <c r="CP23" s="91"/>
      <c r="CQ23" s="172"/>
      <c r="CR23" s="95"/>
      <c r="CS23" s="91"/>
      <c r="CT23" s="172"/>
      <c r="CU23" s="95"/>
      <c r="CV23" s="91"/>
      <c r="CW23" s="172"/>
      <c r="CX23" s="95"/>
      <c r="CY23" s="91"/>
      <c r="CZ23" s="172"/>
      <c r="DA23" s="95"/>
      <c r="DB23" s="91"/>
      <c r="DC23" s="172"/>
      <c r="DD23" s="95"/>
      <c r="DE23" s="91"/>
      <c r="DF23" s="172"/>
      <c r="DG23" s="95"/>
      <c r="DH23" s="91"/>
      <c r="DI23" s="172"/>
      <c r="DJ23" s="95"/>
      <c r="DK23" s="91"/>
      <c r="DL23" s="172"/>
      <c r="DM23" s="95"/>
      <c r="DN23" s="91"/>
      <c r="DO23" s="172"/>
      <c r="DP23" s="95"/>
      <c r="DQ23" s="91"/>
      <c r="DR23" s="172"/>
      <c r="DS23" s="95"/>
      <c r="DT23" s="91"/>
      <c r="DU23" s="172"/>
      <c r="DV23" s="95"/>
      <c r="DW23" s="91"/>
      <c r="DX23" s="172"/>
      <c r="DY23" s="95"/>
      <c r="DZ23" s="91"/>
      <c r="EA23" s="172"/>
      <c r="EB23" s="95"/>
      <c r="EC23" s="91"/>
      <c r="ED23" s="172"/>
      <c r="EE23" s="95"/>
      <c r="EF23" s="91"/>
      <c r="EG23" s="172"/>
      <c r="EH23" s="95"/>
      <c r="EI23" s="91"/>
      <c r="EJ23" s="172"/>
      <c r="EK23" s="95"/>
      <c r="EL23" s="91"/>
      <c r="EM23" s="172"/>
      <c r="EN23" s="95"/>
      <c r="EO23" s="91"/>
      <c r="EP23" s="172"/>
      <c r="EQ23" s="95"/>
      <c r="ER23" s="91"/>
      <c r="ES23" s="172"/>
      <c r="ET23" s="95"/>
      <c r="EU23" s="91"/>
      <c r="EV23" s="172"/>
      <c r="EW23" s="95"/>
      <c r="EX23" s="91"/>
      <c r="EY23" s="172"/>
      <c r="EZ23" s="95"/>
      <c r="FA23" s="91"/>
      <c r="FB23" s="172"/>
      <c r="FC23" s="95"/>
      <c r="FD23" s="91"/>
      <c r="FE23" s="172"/>
      <c r="FF23" s="95"/>
      <c r="FG23" s="91"/>
      <c r="FH23" s="172"/>
      <c r="FI23" s="95"/>
      <c r="FJ23" s="91"/>
      <c r="FK23" s="172"/>
      <c r="FL23" s="95"/>
      <c r="FM23" s="91"/>
      <c r="FN23" s="172"/>
      <c r="FO23" s="95"/>
      <c r="FP23" s="91"/>
      <c r="FQ23" s="172"/>
      <c r="FR23" s="95"/>
      <c r="FS23" s="91"/>
      <c r="FT23" s="172"/>
      <c r="FU23" s="95"/>
      <c r="FV23" s="91"/>
      <c r="FW23" s="172"/>
      <c r="FX23" s="95"/>
      <c r="FY23" s="91"/>
      <c r="FZ23" s="172"/>
      <c r="GA23" s="95"/>
      <c r="GB23" s="91"/>
      <c r="GC23" s="172"/>
      <c r="GD23" s="95"/>
      <c r="GE23" s="91"/>
      <c r="GF23" s="172"/>
      <c r="GG23" s="95"/>
      <c r="GH23" s="91"/>
      <c r="GI23" s="172"/>
      <c r="GJ23" s="95"/>
      <c r="GK23" s="91"/>
      <c r="GL23" s="172"/>
      <c r="GM23" s="95"/>
      <c r="GN23" s="91"/>
      <c r="GO23" s="172"/>
      <c r="GP23" s="95"/>
      <c r="GQ23" s="91"/>
      <c r="GR23" s="172"/>
      <c r="GS23" s="95"/>
      <c r="GT23" s="91"/>
      <c r="GU23" s="172"/>
      <c r="GV23" s="95"/>
      <c r="GW23" s="91"/>
      <c r="GX23" s="172"/>
      <c r="GY23" s="95"/>
      <c r="GZ23" s="91"/>
      <c r="HA23" s="172"/>
      <c r="HB23" s="95"/>
      <c r="HC23" s="91"/>
      <c r="HD23" s="172"/>
      <c r="HE23" s="95"/>
      <c r="HF23" s="91"/>
      <c r="HG23" s="172"/>
      <c r="HH23" s="95"/>
      <c r="HI23" s="91"/>
      <c r="HJ23" s="172"/>
      <c r="HK23" s="95"/>
      <c r="HL23" s="91"/>
      <c r="HM23" s="172"/>
      <c r="HN23" s="95"/>
      <c r="HO23" s="91"/>
      <c r="HP23" s="172"/>
      <c r="HQ23" s="95"/>
      <c r="HR23" s="91"/>
      <c r="HS23" s="172"/>
      <c r="HT23" s="95"/>
      <c r="HU23" s="91"/>
      <c r="HV23" s="172"/>
      <c r="HW23" s="95"/>
      <c r="HX23" s="91"/>
      <c r="HY23" s="172"/>
      <c r="HZ23" s="95"/>
      <c r="IA23" s="91"/>
      <c r="IB23" s="172"/>
      <c r="IC23" s="95"/>
      <c r="ID23" s="91"/>
      <c r="IE23" s="172"/>
      <c r="IF23" s="95"/>
      <c r="IG23" s="91"/>
      <c r="IH23" s="172"/>
      <c r="II23" s="95"/>
      <c r="IJ23" s="91"/>
      <c r="IK23" s="172"/>
      <c r="IL23" s="95"/>
      <c r="IM23" s="91"/>
      <c r="IN23" s="172"/>
      <c r="IO23" s="95"/>
      <c r="IP23" s="91"/>
      <c r="IQ23" s="172"/>
      <c r="IR23" s="95"/>
      <c r="IS23" s="91"/>
      <c r="IT23" s="172"/>
      <c r="IU23" s="95"/>
      <c r="IV23" s="91"/>
      <c r="IW23" s="172"/>
      <c r="IX23" s="95"/>
      <c r="IY23" s="91"/>
      <c r="IZ23" s="172"/>
      <c r="JA23" s="95"/>
      <c r="JB23" s="91"/>
      <c r="JC23" s="172"/>
      <c r="JD23" s="95"/>
      <c r="JE23" s="91"/>
      <c r="JF23" s="172"/>
      <c r="JG23" s="95"/>
      <c r="JH23" s="91"/>
      <c r="JI23" s="172"/>
      <c r="JJ23" s="95"/>
      <c r="JK23" s="91"/>
      <c r="JL23" s="172"/>
      <c r="JM23" s="95"/>
      <c r="JN23" s="91"/>
      <c r="JO23" s="172"/>
      <c r="JP23" s="95"/>
      <c r="JQ23" s="91"/>
      <c r="JR23" s="172"/>
      <c r="JS23" s="95"/>
      <c r="JT23" s="91"/>
      <c r="JU23" s="172"/>
      <c r="JV23" s="95"/>
      <c r="JW23" s="91"/>
      <c r="JX23" s="172"/>
      <c r="JY23" s="95"/>
      <c r="JZ23" s="91"/>
      <c r="KA23" s="172"/>
      <c r="KB23" s="95"/>
      <c r="KC23" s="91"/>
      <c r="KD23" s="172"/>
      <c r="KE23" s="95"/>
      <c r="KF23" s="91"/>
      <c r="KG23" s="172"/>
      <c r="KH23" s="95"/>
      <c r="KI23" s="91"/>
      <c r="KJ23" s="172"/>
      <c r="KK23" s="95"/>
      <c r="KL23" s="91"/>
      <c r="KM23" s="172"/>
      <c r="KN23" s="95"/>
    </row>
    <row r="24" spans="1:300" x14ac:dyDescent="0.2">
      <c r="A24" s="91"/>
      <c r="B24" s="172"/>
      <c r="C24" s="95"/>
      <c r="D24" s="91"/>
      <c r="E24" s="172"/>
      <c r="F24" s="95"/>
      <c r="G24" s="91"/>
      <c r="H24" s="172"/>
      <c r="I24" s="95"/>
      <c r="J24" s="91"/>
      <c r="K24" s="172"/>
      <c r="L24" s="95"/>
      <c r="M24" s="91"/>
      <c r="N24" s="172"/>
      <c r="O24" s="95"/>
      <c r="P24" s="91"/>
      <c r="Q24" s="172"/>
      <c r="R24" s="95"/>
      <c r="S24" s="91"/>
      <c r="T24" s="172"/>
      <c r="U24" s="95"/>
      <c r="V24" s="91"/>
      <c r="W24" s="172"/>
      <c r="X24" s="95"/>
      <c r="Y24" s="91"/>
      <c r="Z24" s="172"/>
      <c r="AA24" s="95"/>
      <c r="AB24" s="91"/>
      <c r="AC24" s="172"/>
      <c r="AD24" s="95"/>
      <c r="AE24" s="91"/>
      <c r="AF24" s="172"/>
      <c r="AG24" s="95"/>
      <c r="AH24" s="91"/>
      <c r="AI24" s="172"/>
      <c r="AJ24" s="95"/>
      <c r="AK24" s="91"/>
      <c r="AL24" s="172"/>
      <c r="AM24" s="95"/>
      <c r="AN24" s="91"/>
      <c r="AO24" s="172"/>
      <c r="AP24" s="95"/>
      <c r="AQ24" s="91"/>
      <c r="AR24" s="172"/>
      <c r="AS24" s="95"/>
      <c r="AT24" s="91"/>
      <c r="AU24" s="172"/>
      <c r="AV24" s="95"/>
      <c r="AW24" s="91"/>
      <c r="AX24" s="172"/>
      <c r="AY24" s="95"/>
      <c r="AZ24" s="91"/>
      <c r="BA24" s="172"/>
      <c r="BB24" s="95"/>
      <c r="BC24" s="91"/>
      <c r="BD24" s="172"/>
      <c r="BE24" s="95"/>
      <c r="BF24" s="91"/>
      <c r="BG24" s="172"/>
      <c r="BH24" s="95"/>
      <c r="BI24" s="91"/>
      <c r="BJ24" s="172"/>
      <c r="BK24" s="95"/>
      <c r="BL24" s="91"/>
      <c r="BM24" s="172"/>
      <c r="BN24" s="95"/>
      <c r="BO24" s="91"/>
      <c r="BP24" s="172"/>
      <c r="BQ24" s="95"/>
      <c r="BR24" s="91"/>
      <c r="BS24" s="172"/>
      <c r="BT24" s="95"/>
      <c r="BU24" s="91"/>
      <c r="BV24" s="172"/>
      <c r="BW24" s="95"/>
      <c r="BX24" s="91"/>
      <c r="BY24" s="172"/>
      <c r="BZ24" s="95"/>
      <c r="CA24" s="91"/>
      <c r="CB24" s="172"/>
      <c r="CC24" s="95"/>
      <c r="CD24" s="91"/>
      <c r="CE24" s="172"/>
      <c r="CF24" s="95"/>
      <c r="CG24" s="91"/>
      <c r="CH24" s="172"/>
      <c r="CI24" s="95"/>
      <c r="CJ24" s="91"/>
      <c r="CK24" s="172"/>
      <c r="CL24" s="95"/>
      <c r="CM24" s="91"/>
      <c r="CN24" s="172"/>
      <c r="CO24" s="95"/>
      <c r="CP24" s="91"/>
      <c r="CQ24" s="172"/>
      <c r="CR24" s="95"/>
      <c r="CS24" s="91"/>
      <c r="CT24" s="172"/>
      <c r="CU24" s="95"/>
      <c r="CV24" s="91"/>
      <c r="CW24" s="172"/>
      <c r="CX24" s="95"/>
      <c r="CY24" s="91"/>
      <c r="CZ24" s="172"/>
      <c r="DA24" s="95"/>
      <c r="DB24" s="91"/>
      <c r="DC24" s="172"/>
      <c r="DD24" s="95"/>
      <c r="DE24" s="91"/>
      <c r="DF24" s="172"/>
      <c r="DG24" s="95"/>
      <c r="DH24" s="91"/>
      <c r="DI24" s="172"/>
      <c r="DJ24" s="95"/>
      <c r="DK24" s="91"/>
      <c r="DL24" s="172"/>
      <c r="DM24" s="95"/>
      <c r="DN24" s="91"/>
      <c r="DO24" s="172"/>
      <c r="DP24" s="95"/>
      <c r="DQ24" s="91"/>
      <c r="DR24" s="172"/>
      <c r="DS24" s="95"/>
      <c r="DT24" s="91"/>
      <c r="DU24" s="172"/>
      <c r="DV24" s="95"/>
      <c r="DW24" s="91"/>
      <c r="DX24" s="172"/>
      <c r="DY24" s="95"/>
      <c r="DZ24" s="91"/>
      <c r="EA24" s="172"/>
      <c r="EB24" s="95"/>
      <c r="EC24" s="91"/>
      <c r="ED24" s="172"/>
      <c r="EE24" s="95"/>
      <c r="EF24" s="91"/>
      <c r="EG24" s="172"/>
      <c r="EH24" s="95"/>
      <c r="EI24" s="91"/>
      <c r="EJ24" s="172"/>
      <c r="EK24" s="95"/>
      <c r="EL24" s="91"/>
      <c r="EM24" s="172"/>
      <c r="EN24" s="95"/>
      <c r="EO24" s="91"/>
      <c r="EP24" s="172"/>
      <c r="EQ24" s="95"/>
      <c r="ER24" s="91"/>
      <c r="ES24" s="172"/>
      <c r="ET24" s="95"/>
      <c r="EU24" s="91"/>
      <c r="EV24" s="172"/>
      <c r="EW24" s="95"/>
      <c r="EX24" s="91"/>
      <c r="EY24" s="172"/>
      <c r="EZ24" s="95"/>
      <c r="FA24" s="91"/>
      <c r="FB24" s="172"/>
      <c r="FC24" s="95"/>
      <c r="FD24" s="91"/>
      <c r="FE24" s="172"/>
      <c r="FF24" s="95"/>
      <c r="FG24" s="91"/>
      <c r="FH24" s="172"/>
      <c r="FI24" s="95"/>
      <c r="FJ24" s="91"/>
      <c r="FK24" s="172"/>
      <c r="FL24" s="95"/>
      <c r="FM24" s="91"/>
      <c r="FN24" s="172"/>
      <c r="FO24" s="95"/>
      <c r="FP24" s="91"/>
      <c r="FQ24" s="172"/>
      <c r="FR24" s="95"/>
      <c r="FS24" s="91"/>
      <c r="FT24" s="172"/>
      <c r="FU24" s="95"/>
      <c r="FV24" s="91"/>
      <c r="FW24" s="172"/>
      <c r="FX24" s="95"/>
      <c r="FY24" s="91"/>
      <c r="FZ24" s="172"/>
      <c r="GA24" s="95"/>
      <c r="GB24" s="91"/>
      <c r="GC24" s="172"/>
      <c r="GD24" s="95"/>
      <c r="GE24" s="91"/>
      <c r="GF24" s="172"/>
      <c r="GG24" s="95"/>
      <c r="GH24" s="91"/>
      <c r="GI24" s="172"/>
      <c r="GJ24" s="95"/>
      <c r="GK24" s="91"/>
      <c r="GL24" s="172"/>
      <c r="GM24" s="95"/>
      <c r="GN24" s="91"/>
      <c r="GO24" s="172"/>
      <c r="GP24" s="95"/>
      <c r="GQ24" s="91"/>
      <c r="GR24" s="172"/>
      <c r="GS24" s="95"/>
      <c r="GT24" s="91"/>
      <c r="GU24" s="172"/>
      <c r="GV24" s="95"/>
      <c r="GW24" s="91"/>
      <c r="GX24" s="172"/>
      <c r="GY24" s="95"/>
      <c r="GZ24" s="91"/>
      <c r="HA24" s="172"/>
      <c r="HB24" s="95"/>
      <c r="HC24" s="91"/>
      <c r="HD24" s="172"/>
      <c r="HE24" s="95"/>
      <c r="HF24" s="91"/>
      <c r="HG24" s="172"/>
      <c r="HH24" s="95"/>
      <c r="HI24" s="91"/>
      <c r="HJ24" s="172"/>
      <c r="HK24" s="95"/>
      <c r="HL24" s="91"/>
      <c r="HM24" s="172"/>
      <c r="HN24" s="95"/>
      <c r="HO24" s="91"/>
      <c r="HP24" s="172"/>
      <c r="HQ24" s="95"/>
      <c r="HR24" s="91"/>
      <c r="HS24" s="172"/>
      <c r="HT24" s="95"/>
      <c r="HU24" s="91"/>
      <c r="HV24" s="172"/>
      <c r="HW24" s="95"/>
      <c r="HX24" s="91"/>
      <c r="HY24" s="172"/>
      <c r="HZ24" s="95"/>
      <c r="IA24" s="91"/>
      <c r="IB24" s="172"/>
      <c r="IC24" s="95"/>
      <c r="ID24" s="91"/>
      <c r="IE24" s="172"/>
      <c r="IF24" s="95"/>
      <c r="IG24" s="91"/>
      <c r="IH24" s="172"/>
      <c r="II24" s="95"/>
      <c r="IJ24" s="91"/>
      <c r="IK24" s="172"/>
      <c r="IL24" s="95"/>
      <c r="IM24" s="91"/>
      <c r="IN24" s="172"/>
      <c r="IO24" s="95"/>
      <c r="IP24" s="91"/>
      <c r="IQ24" s="172"/>
      <c r="IR24" s="95"/>
      <c r="IS24" s="91"/>
      <c r="IT24" s="172"/>
      <c r="IU24" s="95"/>
      <c r="IV24" s="91"/>
      <c r="IW24" s="172"/>
      <c r="IX24" s="95"/>
      <c r="IY24" s="91"/>
      <c r="IZ24" s="172"/>
      <c r="JA24" s="95"/>
      <c r="JB24" s="91"/>
      <c r="JC24" s="172"/>
      <c r="JD24" s="95"/>
      <c r="JE24" s="91"/>
      <c r="JF24" s="172"/>
      <c r="JG24" s="95"/>
      <c r="JH24" s="91"/>
      <c r="JI24" s="172"/>
      <c r="JJ24" s="95"/>
      <c r="JK24" s="91"/>
      <c r="JL24" s="172"/>
      <c r="JM24" s="95"/>
      <c r="JN24" s="91"/>
      <c r="JO24" s="172"/>
      <c r="JP24" s="95"/>
      <c r="JQ24" s="91"/>
      <c r="JR24" s="172"/>
      <c r="JS24" s="95"/>
      <c r="JT24" s="91"/>
      <c r="JU24" s="172"/>
      <c r="JV24" s="95"/>
      <c r="JW24" s="91"/>
      <c r="JX24" s="172"/>
      <c r="JY24" s="95"/>
      <c r="JZ24" s="91"/>
      <c r="KA24" s="172"/>
      <c r="KB24" s="95"/>
      <c r="KC24" s="91"/>
      <c r="KD24" s="172"/>
      <c r="KE24" s="95"/>
      <c r="KF24" s="91"/>
      <c r="KG24" s="172"/>
      <c r="KH24" s="95"/>
      <c r="KI24" s="91"/>
      <c r="KJ24" s="172"/>
      <c r="KK24" s="95"/>
      <c r="KL24" s="91"/>
      <c r="KM24" s="172"/>
      <c r="KN24" s="95"/>
    </row>
    <row r="25" spans="1:300" x14ac:dyDescent="0.2">
      <c r="A25" s="91"/>
      <c r="B25" s="172"/>
      <c r="C25" s="95"/>
      <c r="D25" s="91"/>
      <c r="E25" s="172"/>
      <c r="F25" s="95"/>
      <c r="G25" s="91"/>
      <c r="H25" s="172"/>
      <c r="I25" s="95"/>
      <c r="J25" s="91"/>
      <c r="K25" s="172"/>
      <c r="L25" s="95"/>
      <c r="M25" s="91"/>
      <c r="N25" s="172"/>
      <c r="O25" s="95"/>
      <c r="P25" s="91"/>
      <c r="Q25" s="172"/>
      <c r="R25" s="95"/>
      <c r="S25" s="91"/>
      <c r="T25" s="172"/>
      <c r="U25" s="95"/>
      <c r="V25" s="91"/>
      <c r="W25" s="172"/>
      <c r="X25" s="95"/>
      <c r="Y25" s="91"/>
      <c r="Z25" s="172"/>
      <c r="AA25" s="95"/>
      <c r="AB25" s="91"/>
      <c r="AC25" s="172"/>
      <c r="AD25" s="95"/>
      <c r="AE25" s="91"/>
      <c r="AF25" s="172"/>
      <c r="AG25" s="95"/>
      <c r="AH25" s="91"/>
      <c r="AI25" s="172"/>
      <c r="AJ25" s="95"/>
      <c r="AK25" s="91"/>
      <c r="AL25" s="172"/>
      <c r="AM25" s="95"/>
      <c r="AN25" s="91"/>
      <c r="AO25" s="172"/>
      <c r="AP25" s="95"/>
      <c r="AQ25" s="91"/>
      <c r="AR25" s="172"/>
      <c r="AS25" s="95"/>
      <c r="AT25" s="91"/>
      <c r="AU25" s="172"/>
      <c r="AV25" s="95"/>
      <c r="AW25" s="91"/>
      <c r="AX25" s="172"/>
      <c r="AY25" s="95"/>
      <c r="AZ25" s="91"/>
      <c r="BA25" s="172"/>
      <c r="BB25" s="95"/>
      <c r="BC25" s="91"/>
      <c r="BD25" s="172"/>
      <c r="BE25" s="95"/>
      <c r="BF25" s="91"/>
      <c r="BG25" s="172"/>
      <c r="BH25" s="95"/>
      <c r="BI25" s="91"/>
      <c r="BJ25" s="172"/>
      <c r="BK25" s="95"/>
      <c r="BL25" s="91"/>
      <c r="BM25" s="172"/>
      <c r="BN25" s="95"/>
      <c r="BO25" s="91"/>
      <c r="BP25" s="172"/>
      <c r="BQ25" s="95"/>
      <c r="BR25" s="91"/>
      <c r="BS25" s="172"/>
      <c r="BT25" s="95"/>
      <c r="BU25" s="91"/>
      <c r="BV25" s="172"/>
      <c r="BW25" s="95"/>
      <c r="BX25" s="91"/>
      <c r="BY25" s="172"/>
      <c r="BZ25" s="95"/>
      <c r="CA25" s="91"/>
      <c r="CB25" s="172"/>
      <c r="CC25" s="95"/>
      <c r="CD25" s="91"/>
      <c r="CE25" s="172"/>
      <c r="CF25" s="95"/>
      <c r="CG25" s="91"/>
      <c r="CH25" s="172"/>
      <c r="CI25" s="95"/>
      <c r="CJ25" s="91"/>
      <c r="CK25" s="172"/>
      <c r="CL25" s="95"/>
      <c r="CM25" s="91"/>
      <c r="CN25" s="172"/>
      <c r="CO25" s="95"/>
      <c r="CP25" s="91"/>
      <c r="CQ25" s="172"/>
      <c r="CR25" s="95"/>
      <c r="CS25" s="91"/>
      <c r="CT25" s="172"/>
      <c r="CU25" s="95"/>
      <c r="CV25" s="91"/>
      <c r="CW25" s="172"/>
      <c r="CX25" s="95"/>
      <c r="CY25" s="91"/>
      <c r="CZ25" s="172"/>
      <c r="DA25" s="95"/>
      <c r="DB25" s="91"/>
      <c r="DC25" s="172"/>
      <c r="DD25" s="95"/>
      <c r="DE25" s="91"/>
      <c r="DF25" s="172"/>
      <c r="DG25" s="95"/>
      <c r="DH25" s="91"/>
      <c r="DI25" s="172"/>
      <c r="DJ25" s="95"/>
      <c r="DK25" s="91"/>
      <c r="DL25" s="172"/>
      <c r="DM25" s="95"/>
      <c r="DN25" s="91"/>
      <c r="DO25" s="172"/>
      <c r="DP25" s="95"/>
      <c r="DQ25" s="91"/>
      <c r="DR25" s="172"/>
      <c r="DS25" s="95"/>
      <c r="DT25" s="91"/>
      <c r="DU25" s="172"/>
      <c r="DV25" s="95"/>
      <c r="DW25" s="91"/>
      <c r="DX25" s="172"/>
      <c r="DY25" s="95"/>
      <c r="DZ25" s="91"/>
      <c r="EA25" s="172"/>
      <c r="EB25" s="95"/>
      <c r="EC25" s="91"/>
      <c r="ED25" s="172"/>
      <c r="EE25" s="95"/>
      <c r="EF25" s="91"/>
      <c r="EG25" s="172"/>
      <c r="EH25" s="95"/>
      <c r="EI25" s="91"/>
      <c r="EJ25" s="172"/>
      <c r="EK25" s="95"/>
      <c r="EL25" s="91"/>
      <c r="EM25" s="172"/>
      <c r="EN25" s="95"/>
      <c r="EO25" s="91"/>
      <c r="EP25" s="172"/>
      <c r="EQ25" s="95"/>
      <c r="ER25" s="91"/>
      <c r="ES25" s="172"/>
      <c r="ET25" s="95"/>
      <c r="EU25" s="91"/>
      <c r="EV25" s="172"/>
      <c r="EW25" s="95"/>
      <c r="EX25" s="91"/>
      <c r="EY25" s="172"/>
      <c r="EZ25" s="95"/>
      <c r="FA25" s="91"/>
      <c r="FB25" s="172"/>
      <c r="FC25" s="95"/>
      <c r="FD25" s="91"/>
      <c r="FE25" s="172"/>
      <c r="FF25" s="95"/>
      <c r="FG25" s="91"/>
      <c r="FH25" s="172"/>
      <c r="FI25" s="95"/>
      <c r="FJ25" s="91"/>
      <c r="FK25" s="172"/>
      <c r="FL25" s="95"/>
      <c r="FM25" s="91"/>
      <c r="FN25" s="172"/>
      <c r="FO25" s="95"/>
      <c r="FP25" s="91"/>
      <c r="FQ25" s="172"/>
      <c r="FR25" s="95"/>
      <c r="FS25" s="91"/>
      <c r="FT25" s="172"/>
      <c r="FU25" s="95"/>
      <c r="FV25" s="91"/>
      <c r="FW25" s="172"/>
      <c r="FX25" s="95"/>
      <c r="FY25" s="91"/>
      <c r="FZ25" s="172"/>
      <c r="GA25" s="95"/>
      <c r="GB25" s="91"/>
      <c r="GC25" s="172"/>
      <c r="GD25" s="95"/>
      <c r="GE25" s="91"/>
      <c r="GF25" s="172"/>
      <c r="GG25" s="95"/>
      <c r="GH25" s="91"/>
      <c r="GI25" s="172"/>
      <c r="GJ25" s="95"/>
      <c r="GK25" s="91"/>
      <c r="GL25" s="172"/>
      <c r="GM25" s="95"/>
      <c r="GN25" s="91"/>
      <c r="GO25" s="172"/>
      <c r="GP25" s="95"/>
      <c r="GQ25" s="91"/>
      <c r="GR25" s="172"/>
      <c r="GS25" s="95"/>
      <c r="GT25" s="91"/>
      <c r="GU25" s="172"/>
      <c r="GV25" s="95"/>
      <c r="GW25" s="91"/>
      <c r="GX25" s="172"/>
      <c r="GY25" s="95"/>
      <c r="GZ25" s="91"/>
      <c r="HA25" s="172"/>
      <c r="HB25" s="95"/>
      <c r="HC25" s="91"/>
      <c r="HD25" s="172"/>
      <c r="HE25" s="95"/>
      <c r="HF25" s="91"/>
      <c r="HG25" s="172"/>
      <c r="HH25" s="95"/>
      <c r="HI25" s="91"/>
      <c r="HJ25" s="172"/>
      <c r="HK25" s="95"/>
      <c r="HL25" s="91"/>
      <c r="HM25" s="172"/>
      <c r="HN25" s="95"/>
      <c r="HO25" s="91"/>
      <c r="HP25" s="172"/>
      <c r="HQ25" s="95"/>
      <c r="HR25" s="91"/>
      <c r="HS25" s="172"/>
      <c r="HT25" s="95"/>
      <c r="HU25" s="91"/>
      <c r="HV25" s="172"/>
      <c r="HW25" s="95"/>
      <c r="HX25" s="91"/>
      <c r="HY25" s="172"/>
      <c r="HZ25" s="95"/>
      <c r="IA25" s="91"/>
      <c r="IB25" s="172"/>
      <c r="IC25" s="95"/>
      <c r="ID25" s="91"/>
      <c r="IE25" s="172"/>
      <c r="IF25" s="95"/>
      <c r="IG25" s="91"/>
      <c r="IH25" s="172"/>
      <c r="II25" s="95"/>
      <c r="IJ25" s="91"/>
      <c r="IK25" s="172"/>
      <c r="IL25" s="95"/>
      <c r="IM25" s="91"/>
      <c r="IN25" s="172"/>
      <c r="IO25" s="95"/>
      <c r="IP25" s="91"/>
      <c r="IQ25" s="172"/>
      <c r="IR25" s="95"/>
      <c r="IS25" s="91"/>
      <c r="IT25" s="172"/>
      <c r="IU25" s="95"/>
      <c r="IV25" s="91"/>
      <c r="IW25" s="172"/>
      <c r="IX25" s="95"/>
      <c r="IY25" s="91"/>
      <c r="IZ25" s="172"/>
      <c r="JA25" s="95"/>
      <c r="JB25" s="91"/>
      <c r="JC25" s="172"/>
      <c r="JD25" s="95"/>
      <c r="JE25" s="91"/>
      <c r="JF25" s="172"/>
      <c r="JG25" s="95"/>
      <c r="JH25" s="91"/>
      <c r="JI25" s="172"/>
      <c r="JJ25" s="95"/>
      <c r="JK25" s="91"/>
      <c r="JL25" s="172"/>
      <c r="JM25" s="95"/>
      <c r="JN25" s="91"/>
      <c r="JO25" s="172"/>
      <c r="JP25" s="95"/>
      <c r="JQ25" s="91"/>
      <c r="JR25" s="172"/>
      <c r="JS25" s="95"/>
      <c r="JT25" s="91"/>
      <c r="JU25" s="172"/>
      <c r="JV25" s="95"/>
      <c r="JW25" s="91"/>
      <c r="JX25" s="172"/>
      <c r="JY25" s="95"/>
      <c r="JZ25" s="91"/>
      <c r="KA25" s="172"/>
      <c r="KB25" s="95"/>
      <c r="KC25" s="91"/>
      <c r="KD25" s="172"/>
      <c r="KE25" s="95"/>
      <c r="KF25" s="91"/>
      <c r="KG25" s="172"/>
      <c r="KH25" s="95"/>
      <c r="KI25" s="91"/>
      <c r="KJ25" s="172"/>
      <c r="KK25" s="95"/>
      <c r="KL25" s="91"/>
      <c r="KM25" s="172"/>
      <c r="KN25" s="95"/>
    </row>
    <row r="26" spans="1:300" x14ac:dyDescent="0.2">
      <c r="A26" s="91"/>
      <c r="B26" s="172"/>
      <c r="C26" s="95"/>
      <c r="D26" s="91"/>
      <c r="E26" s="172"/>
      <c r="F26" s="95"/>
      <c r="G26" s="91"/>
      <c r="H26" s="172"/>
      <c r="I26" s="95"/>
      <c r="J26" s="91"/>
      <c r="K26" s="172"/>
      <c r="L26" s="95"/>
      <c r="M26" s="91"/>
      <c r="N26" s="172"/>
      <c r="O26" s="95"/>
      <c r="P26" s="91"/>
      <c r="Q26" s="172"/>
      <c r="R26" s="95"/>
      <c r="S26" s="91"/>
      <c r="T26" s="172"/>
      <c r="U26" s="95"/>
      <c r="V26" s="91"/>
      <c r="W26" s="172"/>
      <c r="X26" s="95"/>
      <c r="Y26" s="91"/>
      <c r="Z26" s="172"/>
      <c r="AA26" s="95"/>
      <c r="AB26" s="91"/>
      <c r="AC26" s="172"/>
      <c r="AD26" s="95"/>
      <c r="AE26" s="91"/>
      <c r="AF26" s="172"/>
      <c r="AG26" s="95"/>
      <c r="AH26" s="91"/>
      <c r="AI26" s="172"/>
      <c r="AJ26" s="95"/>
      <c r="AK26" s="91"/>
      <c r="AL26" s="172"/>
      <c r="AM26" s="95"/>
      <c r="AN26" s="91"/>
      <c r="AO26" s="172"/>
      <c r="AP26" s="95"/>
      <c r="AQ26" s="91"/>
      <c r="AR26" s="172"/>
      <c r="AS26" s="95"/>
      <c r="AT26" s="91"/>
      <c r="AU26" s="172"/>
      <c r="AV26" s="95"/>
      <c r="AW26" s="91"/>
      <c r="AX26" s="172"/>
      <c r="AY26" s="95"/>
      <c r="AZ26" s="91"/>
      <c r="BA26" s="172"/>
      <c r="BB26" s="95"/>
      <c r="BC26" s="91"/>
      <c r="BD26" s="172"/>
      <c r="BE26" s="95"/>
      <c r="BF26" s="91"/>
      <c r="BG26" s="172"/>
      <c r="BH26" s="95"/>
      <c r="BI26" s="91"/>
      <c r="BJ26" s="172"/>
      <c r="BK26" s="95"/>
      <c r="BL26" s="91"/>
      <c r="BM26" s="172"/>
      <c r="BN26" s="95"/>
      <c r="BO26" s="91"/>
      <c r="BP26" s="172"/>
      <c r="BQ26" s="95"/>
      <c r="BR26" s="91"/>
      <c r="BS26" s="172"/>
      <c r="BT26" s="95"/>
      <c r="BU26" s="91"/>
      <c r="BV26" s="172"/>
      <c r="BW26" s="95"/>
      <c r="BX26" s="91"/>
      <c r="BY26" s="172"/>
      <c r="BZ26" s="95"/>
      <c r="CA26" s="91"/>
      <c r="CB26" s="172"/>
      <c r="CC26" s="95"/>
      <c r="CD26" s="91"/>
      <c r="CE26" s="172"/>
      <c r="CF26" s="95"/>
      <c r="CG26" s="91"/>
      <c r="CH26" s="172"/>
      <c r="CI26" s="95"/>
      <c r="CJ26" s="91"/>
      <c r="CK26" s="172"/>
      <c r="CL26" s="95"/>
      <c r="CM26" s="91"/>
      <c r="CN26" s="172"/>
      <c r="CO26" s="95"/>
      <c r="CP26" s="91"/>
      <c r="CQ26" s="172"/>
      <c r="CR26" s="95"/>
      <c r="CS26" s="91"/>
      <c r="CT26" s="172"/>
      <c r="CU26" s="95"/>
      <c r="CV26" s="91"/>
      <c r="CW26" s="172"/>
      <c r="CX26" s="95"/>
      <c r="CY26" s="91"/>
      <c r="CZ26" s="172"/>
      <c r="DA26" s="95"/>
      <c r="DB26" s="91"/>
      <c r="DC26" s="172"/>
      <c r="DD26" s="95"/>
      <c r="DE26" s="91"/>
      <c r="DF26" s="172"/>
      <c r="DG26" s="95"/>
      <c r="DH26" s="91"/>
      <c r="DI26" s="172"/>
      <c r="DJ26" s="95"/>
      <c r="DK26" s="91"/>
      <c r="DL26" s="172"/>
      <c r="DM26" s="95"/>
      <c r="DN26" s="91"/>
      <c r="DO26" s="172"/>
      <c r="DP26" s="95"/>
      <c r="DQ26" s="91"/>
      <c r="DR26" s="172"/>
      <c r="DS26" s="95"/>
      <c r="DT26" s="91"/>
      <c r="DU26" s="172"/>
      <c r="DV26" s="95"/>
      <c r="DW26" s="91"/>
      <c r="DX26" s="172"/>
      <c r="DY26" s="95"/>
      <c r="DZ26" s="91"/>
      <c r="EA26" s="172"/>
      <c r="EB26" s="95"/>
      <c r="EC26" s="91"/>
      <c r="ED26" s="172"/>
      <c r="EE26" s="95"/>
      <c r="EF26" s="91"/>
      <c r="EG26" s="172"/>
      <c r="EH26" s="95"/>
      <c r="EI26" s="91"/>
      <c r="EJ26" s="172"/>
      <c r="EK26" s="95"/>
      <c r="EL26" s="91"/>
      <c r="EM26" s="172"/>
      <c r="EN26" s="95"/>
      <c r="EO26" s="91"/>
      <c r="EP26" s="172"/>
      <c r="EQ26" s="95"/>
      <c r="ER26" s="91"/>
      <c r="ES26" s="172"/>
      <c r="ET26" s="95"/>
      <c r="EU26" s="91"/>
      <c r="EV26" s="172"/>
      <c r="EW26" s="95"/>
      <c r="EX26" s="91"/>
      <c r="EY26" s="172"/>
      <c r="EZ26" s="95"/>
      <c r="FA26" s="91"/>
      <c r="FB26" s="172"/>
      <c r="FC26" s="95"/>
      <c r="FD26" s="91"/>
      <c r="FE26" s="172"/>
      <c r="FF26" s="95"/>
      <c r="FG26" s="91"/>
      <c r="FH26" s="172"/>
      <c r="FI26" s="95"/>
      <c r="FJ26" s="91"/>
      <c r="FK26" s="172"/>
      <c r="FL26" s="95"/>
      <c r="FM26" s="91"/>
      <c r="FN26" s="172"/>
      <c r="FO26" s="95"/>
      <c r="FP26" s="91"/>
      <c r="FQ26" s="172"/>
      <c r="FR26" s="95"/>
      <c r="FS26" s="91"/>
      <c r="FT26" s="172"/>
      <c r="FU26" s="95"/>
      <c r="FV26" s="91"/>
      <c r="FW26" s="172"/>
      <c r="FX26" s="95"/>
      <c r="FY26" s="91"/>
      <c r="FZ26" s="172"/>
      <c r="GA26" s="95"/>
      <c r="GB26" s="91"/>
      <c r="GC26" s="172"/>
      <c r="GD26" s="95"/>
      <c r="GE26" s="91"/>
      <c r="GF26" s="172"/>
      <c r="GG26" s="95"/>
      <c r="GH26" s="91"/>
      <c r="GI26" s="172"/>
      <c r="GJ26" s="95"/>
      <c r="GK26" s="91"/>
      <c r="GL26" s="172"/>
      <c r="GM26" s="95"/>
      <c r="GN26" s="91"/>
      <c r="GO26" s="172"/>
      <c r="GP26" s="95"/>
      <c r="GQ26" s="91"/>
      <c r="GR26" s="172"/>
      <c r="GS26" s="95"/>
      <c r="GT26" s="91"/>
      <c r="GU26" s="172"/>
      <c r="GV26" s="95"/>
      <c r="GW26" s="91"/>
      <c r="GX26" s="172"/>
      <c r="GY26" s="95"/>
      <c r="GZ26" s="91"/>
      <c r="HA26" s="172"/>
      <c r="HB26" s="95"/>
      <c r="HC26" s="91"/>
      <c r="HD26" s="172"/>
      <c r="HE26" s="95"/>
      <c r="HF26" s="91"/>
      <c r="HG26" s="172"/>
      <c r="HH26" s="95"/>
      <c r="HI26" s="91"/>
      <c r="HJ26" s="172"/>
      <c r="HK26" s="95"/>
      <c r="HL26" s="91"/>
      <c r="HM26" s="172"/>
      <c r="HN26" s="95"/>
      <c r="HO26" s="91"/>
      <c r="HP26" s="172"/>
      <c r="HQ26" s="95"/>
      <c r="HR26" s="91"/>
      <c r="HS26" s="172"/>
      <c r="HT26" s="95"/>
      <c r="HU26" s="91"/>
      <c r="HV26" s="172"/>
      <c r="HW26" s="95"/>
      <c r="HX26" s="91"/>
      <c r="HY26" s="172"/>
      <c r="HZ26" s="95"/>
      <c r="IA26" s="91"/>
      <c r="IB26" s="172"/>
      <c r="IC26" s="95"/>
      <c r="ID26" s="91"/>
      <c r="IE26" s="172"/>
      <c r="IF26" s="95"/>
      <c r="IG26" s="91"/>
      <c r="IH26" s="172"/>
      <c r="II26" s="95"/>
      <c r="IJ26" s="91"/>
      <c r="IK26" s="172"/>
      <c r="IL26" s="95"/>
      <c r="IM26" s="91"/>
      <c r="IN26" s="172"/>
      <c r="IO26" s="95"/>
      <c r="IP26" s="91"/>
      <c r="IQ26" s="172"/>
      <c r="IR26" s="95"/>
      <c r="IS26" s="91"/>
      <c r="IT26" s="172"/>
      <c r="IU26" s="95"/>
      <c r="IV26" s="91"/>
      <c r="IW26" s="172"/>
      <c r="IX26" s="95"/>
      <c r="IY26" s="91"/>
      <c r="IZ26" s="172"/>
      <c r="JA26" s="95"/>
      <c r="JB26" s="91"/>
      <c r="JC26" s="172"/>
      <c r="JD26" s="95"/>
      <c r="JE26" s="91"/>
      <c r="JF26" s="172"/>
      <c r="JG26" s="95"/>
      <c r="JH26" s="91"/>
      <c r="JI26" s="172"/>
      <c r="JJ26" s="95"/>
      <c r="JK26" s="91"/>
      <c r="JL26" s="172"/>
      <c r="JM26" s="95"/>
      <c r="JN26" s="91"/>
      <c r="JO26" s="172"/>
      <c r="JP26" s="95"/>
      <c r="JQ26" s="91"/>
      <c r="JR26" s="172"/>
      <c r="JS26" s="95"/>
      <c r="JT26" s="91"/>
      <c r="JU26" s="172"/>
      <c r="JV26" s="95"/>
      <c r="JW26" s="91"/>
      <c r="JX26" s="172"/>
      <c r="JY26" s="95"/>
      <c r="JZ26" s="91"/>
      <c r="KA26" s="172"/>
      <c r="KB26" s="95"/>
      <c r="KC26" s="91"/>
      <c r="KD26" s="172"/>
      <c r="KE26" s="95"/>
      <c r="KF26" s="91"/>
      <c r="KG26" s="172"/>
      <c r="KH26" s="95"/>
      <c r="KI26" s="91"/>
      <c r="KJ26" s="172"/>
      <c r="KK26" s="95"/>
      <c r="KL26" s="91"/>
      <c r="KM26" s="172"/>
      <c r="KN26" s="95"/>
    </row>
    <row r="27" spans="1:300" x14ac:dyDescent="0.2">
      <c r="A27" s="91"/>
      <c r="B27" s="172"/>
      <c r="C27" s="95"/>
      <c r="D27" s="91"/>
      <c r="E27" s="172"/>
      <c r="F27" s="95"/>
      <c r="G27" s="91"/>
      <c r="H27" s="172"/>
      <c r="I27" s="95"/>
      <c r="J27" s="91"/>
      <c r="K27" s="172"/>
      <c r="L27" s="95"/>
      <c r="M27" s="91"/>
      <c r="N27" s="172"/>
      <c r="O27" s="95"/>
      <c r="P27" s="91"/>
      <c r="Q27" s="172"/>
      <c r="R27" s="95"/>
      <c r="S27" s="91"/>
      <c r="T27" s="172"/>
      <c r="U27" s="95"/>
      <c r="V27" s="91"/>
      <c r="W27" s="172"/>
      <c r="X27" s="95"/>
      <c r="Y27" s="91"/>
      <c r="Z27" s="172"/>
      <c r="AA27" s="95"/>
      <c r="AB27" s="91"/>
      <c r="AC27" s="172"/>
      <c r="AD27" s="95"/>
      <c r="AE27" s="91"/>
      <c r="AF27" s="172"/>
      <c r="AG27" s="95"/>
      <c r="AH27" s="91"/>
      <c r="AI27" s="172"/>
      <c r="AJ27" s="95"/>
      <c r="AK27" s="91"/>
      <c r="AL27" s="172"/>
      <c r="AM27" s="95"/>
      <c r="AN27" s="91"/>
      <c r="AO27" s="172"/>
      <c r="AP27" s="95"/>
      <c r="AQ27" s="91"/>
      <c r="AR27" s="172"/>
      <c r="AS27" s="95"/>
      <c r="AT27" s="91"/>
      <c r="AU27" s="172"/>
      <c r="AV27" s="95"/>
      <c r="AW27" s="91"/>
      <c r="AX27" s="172"/>
      <c r="AY27" s="95"/>
      <c r="AZ27" s="91"/>
      <c r="BA27" s="172"/>
      <c r="BB27" s="95"/>
      <c r="BC27" s="91"/>
      <c r="BD27" s="172"/>
      <c r="BE27" s="95"/>
      <c r="BF27" s="91"/>
      <c r="BG27" s="172"/>
      <c r="BH27" s="95"/>
      <c r="BI27" s="91"/>
      <c r="BJ27" s="172"/>
      <c r="BK27" s="95"/>
      <c r="BL27" s="91"/>
      <c r="BM27" s="172"/>
      <c r="BN27" s="95"/>
      <c r="BO27" s="91"/>
      <c r="BP27" s="172"/>
      <c r="BQ27" s="95"/>
      <c r="BR27" s="91"/>
      <c r="BS27" s="172"/>
      <c r="BT27" s="95"/>
      <c r="BU27" s="91"/>
      <c r="BV27" s="172"/>
      <c r="BW27" s="95"/>
      <c r="BX27" s="91"/>
      <c r="BY27" s="172"/>
      <c r="BZ27" s="95"/>
      <c r="CA27" s="91"/>
      <c r="CB27" s="172"/>
      <c r="CC27" s="95"/>
      <c r="CD27" s="91"/>
      <c r="CE27" s="172"/>
      <c r="CF27" s="95"/>
      <c r="CG27" s="91"/>
      <c r="CH27" s="172"/>
      <c r="CI27" s="95"/>
      <c r="CJ27" s="91"/>
      <c r="CK27" s="172"/>
      <c r="CL27" s="95"/>
      <c r="CM27" s="91"/>
      <c r="CN27" s="172"/>
      <c r="CO27" s="95"/>
      <c r="CP27" s="91"/>
      <c r="CQ27" s="172"/>
      <c r="CR27" s="95"/>
      <c r="CS27" s="91"/>
      <c r="CT27" s="172"/>
      <c r="CU27" s="95"/>
      <c r="CV27" s="91"/>
      <c r="CW27" s="172"/>
      <c r="CX27" s="95"/>
      <c r="CY27" s="91"/>
      <c r="CZ27" s="172"/>
      <c r="DA27" s="95"/>
      <c r="DB27" s="91"/>
      <c r="DC27" s="172"/>
      <c r="DD27" s="95"/>
      <c r="DE27" s="91"/>
      <c r="DF27" s="172"/>
      <c r="DG27" s="95"/>
      <c r="DH27" s="91"/>
      <c r="DI27" s="172"/>
      <c r="DJ27" s="95"/>
      <c r="DK27" s="91"/>
      <c r="DL27" s="172"/>
      <c r="DM27" s="95"/>
      <c r="DN27" s="91"/>
      <c r="DO27" s="172"/>
      <c r="DP27" s="95"/>
      <c r="DQ27" s="91"/>
      <c r="DR27" s="172"/>
      <c r="DS27" s="95"/>
      <c r="DT27" s="91"/>
      <c r="DU27" s="172"/>
      <c r="DV27" s="95"/>
      <c r="DW27" s="91"/>
      <c r="DX27" s="172"/>
      <c r="DY27" s="95"/>
      <c r="DZ27" s="91"/>
      <c r="EA27" s="172"/>
      <c r="EB27" s="95"/>
      <c r="EC27" s="91"/>
      <c r="ED27" s="172"/>
      <c r="EE27" s="95"/>
      <c r="EF27" s="91"/>
      <c r="EG27" s="172"/>
      <c r="EH27" s="95"/>
      <c r="EI27" s="91"/>
      <c r="EJ27" s="172"/>
      <c r="EK27" s="95"/>
      <c r="EL27" s="91"/>
      <c r="EM27" s="172"/>
      <c r="EN27" s="95"/>
      <c r="EO27" s="91"/>
      <c r="EP27" s="172"/>
      <c r="EQ27" s="95"/>
      <c r="ER27" s="91"/>
      <c r="ES27" s="172"/>
      <c r="ET27" s="95"/>
      <c r="EU27" s="91"/>
      <c r="EV27" s="172"/>
      <c r="EW27" s="95"/>
      <c r="EX27" s="91"/>
      <c r="EY27" s="172"/>
      <c r="EZ27" s="95"/>
      <c r="FA27" s="91"/>
      <c r="FB27" s="172"/>
      <c r="FC27" s="95"/>
      <c r="FD27" s="91"/>
      <c r="FE27" s="172"/>
      <c r="FF27" s="95"/>
      <c r="FG27" s="91"/>
      <c r="FH27" s="172"/>
      <c r="FI27" s="95"/>
      <c r="FJ27" s="91"/>
      <c r="FK27" s="172"/>
      <c r="FL27" s="95"/>
      <c r="FM27" s="91"/>
      <c r="FN27" s="172"/>
      <c r="FO27" s="95"/>
      <c r="FP27" s="91"/>
      <c r="FQ27" s="172"/>
      <c r="FR27" s="95"/>
      <c r="FS27" s="91"/>
      <c r="FT27" s="172"/>
      <c r="FU27" s="95"/>
      <c r="FV27" s="91"/>
      <c r="FW27" s="172"/>
      <c r="FX27" s="95"/>
      <c r="FY27" s="91"/>
      <c r="FZ27" s="172"/>
      <c r="GA27" s="95"/>
      <c r="GB27" s="91"/>
      <c r="GC27" s="172"/>
      <c r="GD27" s="95"/>
      <c r="GE27" s="91"/>
      <c r="GF27" s="172"/>
      <c r="GG27" s="95"/>
      <c r="GH27" s="91"/>
      <c r="GI27" s="172"/>
      <c r="GJ27" s="95"/>
      <c r="GK27" s="91"/>
      <c r="GL27" s="172"/>
      <c r="GM27" s="95"/>
      <c r="GN27" s="91"/>
      <c r="GO27" s="172"/>
      <c r="GP27" s="95"/>
      <c r="GQ27" s="91"/>
      <c r="GR27" s="172"/>
      <c r="GS27" s="95"/>
      <c r="GT27" s="91"/>
      <c r="GU27" s="172"/>
      <c r="GV27" s="95"/>
      <c r="GW27" s="91"/>
      <c r="GX27" s="172"/>
      <c r="GY27" s="95"/>
      <c r="GZ27" s="91"/>
      <c r="HA27" s="172"/>
      <c r="HB27" s="95"/>
      <c r="HC27" s="91"/>
      <c r="HD27" s="172"/>
      <c r="HE27" s="95"/>
      <c r="HF27" s="91"/>
      <c r="HG27" s="172"/>
      <c r="HH27" s="95"/>
      <c r="HI27" s="91"/>
      <c r="HJ27" s="172"/>
      <c r="HK27" s="95"/>
      <c r="HL27" s="91"/>
      <c r="HM27" s="172"/>
      <c r="HN27" s="95"/>
      <c r="HO27" s="91"/>
      <c r="HP27" s="172"/>
      <c r="HQ27" s="95"/>
      <c r="HR27" s="91"/>
      <c r="HS27" s="172"/>
      <c r="HT27" s="95"/>
      <c r="HU27" s="91"/>
      <c r="HV27" s="172"/>
      <c r="HW27" s="95"/>
      <c r="HX27" s="91"/>
      <c r="HY27" s="172"/>
      <c r="HZ27" s="95"/>
      <c r="IA27" s="91"/>
      <c r="IB27" s="172"/>
      <c r="IC27" s="95"/>
      <c r="ID27" s="91"/>
      <c r="IE27" s="172"/>
      <c r="IF27" s="95"/>
      <c r="IG27" s="91"/>
      <c r="IH27" s="172"/>
      <c r="II27" s="95"/>
      <c r="IJ27" s="91"/>
      <c r="IK27" s="172"/>
      <c r="IL27" s="95"/>
      <c r="IM27" s="91"/>
      <c r="IN27" s="172"/>
      <c r="IO27" s="95"/>
      <c r="IP27" s="91"/>
      <c r="IQ27" s="172"/>
      <c r="IR27" s="95"/>
      <c r="IS27" s="91"/>
      <c r="IT27" s="172"/>
      <c r="IU27" s="95"/>
      <c r="IV27" s="91"/>
      <c r="IW27" s="172"/>
      <c r="IX27" s="95"/>
      <c r="IY27" s="91"/>
      <c r="IZ27" s="172"/>
      <c r="JA27" s="95"/>
      <c r="JB27" s="91"/>
      <c r="JC27" s="172"/>
      <c r="JD27" s="95"/>
      <c r="JE27" s="91"/>
      <c r="JF27" s="172"/>
      <c r="JG27" s="95"/>
      <c r="JH27" s="91"/>
      <c r="JI27" s="172"/>
      <c r="JJ27" s="95"/>
      <c r="JK27" s="91"/>
      <c r="JL27" s="172"/>
      <c r="JM27" s="95"/>
      <c r="JN27" s="91"/>
      <c r="JO27" s="172"/>
      <c r="JP27" s="95"/>
      <c r="JQ27" s="91"/>
      <c r="JR27" s="172"/>
      <c r="JS27" s="95"/>
      <c r="JT27" s="91"/>
      <c r="JU27" s="172"/>
      <c r="JV27" s="95"/>
      <c r="JW27" s="91"/>
      <c r="JX27" s="172"/>
      <c r="JY27" s="95"/>
      <c r="JZ27" s="91"/>
      <c r="KA27" s="172"/>
      <c r="KB27" s="95"/>
      <c r="KC27" s="91"/>
      <c r="KD27" s="172"/>
      <c r="KE27" s="95"/>
      <c r="KF27" s="91"/>
      <c r="KG27" s="172"/>
      <c r="KH27" s="95"/>
      <c r="KI27" s="91"/>
      <c r="KJ27" s="172"/>
      <c r="KK27" s="95"/>
      <c r="KL27" s="91"/>
      <c r="KM27" s="172"/>
      <c r="KN27" s="95"/>
    </row>
    <row r="28" spans="1:300" x14ac:dyDescent="0.2">
      <c r="A28" s="91"/>
      <c r="B28" s="172"/>
      <c r="C28" s="95"/>
      <c r="D28" s="91"/>
      <c r="E28" s="172"/>
      <c r="F28" s="95"/>
      <c r="G28" s="91"/>
      <c r="H28" s="172"/>
      <c r="I28" s="95"/>
      <c r="J28" s="91"/>
      <c r="K28" s="172"/>
      <c r="L28" s="95"/>
      <c r="M28" s="91"/>
      <c r="N28" s="172"/>
      <c r="O28" s="95"/>
      <c r="P28" s="91"/>
      <c r="Q28" s="172"/>
      <c r="R28" s="95"/>
      <c r="S28" s="91"/>
      <c r="T28" s="172"/>
      <c r="U28" s="95"/>
      <c r="V28" s="91"/>
      <c r="W28" s="172"/>
      <c r="X28" s="95"/>
      <c r="Y28" s="91"/>
      <c r="Z28" s="172"/>
      <c r="AA28" s="95"/>
      <c r="AB28" s="91"/>
      <c r="AC28" s="172"/>
      <c r="AD28" s="95"/>
      <c r="AE28" s="91"/>
      <c r="AF28" s="172"/>
      <c r="AG28" s="95"/>
      <c r="AH28" s="91"/>
      <c r="AI28" s="172"/>
      <c r="AJ28" s="95"/>
      <c r="AK28" s="91"/>
      <c r="AL28" s="172"/>
      <c r="AM28" s="95"/>
      <c r="AN28" s="91"/>
      <c r="AO28" s="172"/>
      <c r="AP28" s="95"/>
      <c r="AQ28" s="91"/>
      <c r="AR28" s="172"/>
      <c r="AS28" s="95"/>
      <c r="AT28" s="91"/>
      <c r="AU28" s="172"/>
      <c r="AV28" s="95"/>
      <c r="AW28" s="91"/>
      <c r="AX28" s="172"/>
      <c r="AY28" s="95"/>
      <c r="AZ28" s="91"/>
      <c r="BA28" s="172"/>
      <c r="BB28" s="95"/>
      <c r="BC28" s="91"/>
      <c r="BD28" s="172"/>
      <c r="BE28" s="95"/>
      <c r="BF28" s="91"/>
      <c r="BG28" s="172"/>
      <c r="BH28" s="95"/>
      <c r="BI28" s="91"/>
      <c r="BJ28" s="172"/>
      <c r="BK28" s="95"/>
      <c r="BL28" s="91"/>
      <c r="BM28" s="172"/>
      <c r="BN28" s="95"/>
      <c r="BO28" s="91"/>
      <c r="BP28" s="172"/>
      <c r="BQ28" s="95"/>
      <c r="BR28" s="91"/>
      <c r="BS28" s="172"/>
      <c r="BT28" s="95"/>
      <c r="BU28" s="91"/>
      <c r="BV28" s="172"/>
      <c r="BW28" s="95"/>
      <c r="BX28" s="91"/>
      <c r="BY28" s="172"/>
      <c r="BZ28" s="95"/>
      <c r="CA28" s="91"/>
      <c r="CB28" s="172"/>
      <c r="CC28" s="95"/>
      <c r="CD28" s="91"/>
      <c r="CE28" s="172"/>
      <c r="CF28" s="95"/>
      <c r="CG28" s="91"/>
      <c r="CH28" s="172"/>
      <c r="CI28" s="95"/>
      <c r="CJ28" s="91"/>
      <c r="CK28" s="172"/>
      <c r="CL28" s="95"/>
      <c r="CM28" s="91"/>
      <c r="CN28" s="172"/>
      <c r="CO28" s="95"/>
      <c r="CP28" s="91"/>
      <c r="CQ28" s="172"/>
      <c r="CR28" s="95"/>
      <c r="CS28" s="91"/>
      <c r="CT28" s="172"/>
      <c r="CU28" s="95"/>
      <c r="CV28" s="91"/>
      <c r="CW28" s="172"/>
      <c r="CX28" s="95"/>
      <c r="CY28" s="91"/>
      <c r="CZ28" s="172"/>
      <c r="DA28" s="95"/>
      <c r="DB28" s="91"/>
      <c r="DC28" s="172"/>
      <c r="DD28" s="95"/>
      <c r="DE28" s="91"/>
      <c r="DF28" s="172"/>
      <c r="DG28" s="95"/>
      <c r="DH28" s="91"/>
      <c r="DI28" s="172"/>
      <c r="DJ28" s="95"/>
      <c r="DK28" s="91"/>
      <c r="DL28" s="172"/>
      <c r="DM28" s="95"/>
      <c r="DN28" s="91"/>
      <c r="DO28" s="172"/>
      <c r="DP28" s="95"/>
      <c r="DQ28" s="91"/>
      <c r="DR28" s="172"/>
      <c r="DS28" s="95"/>
      <c r="DT28" s="91"/>
      <c r="DU28" s="172"/>
      <c r="DV28" s="95"/>
      <c r="DW28" s="91"/>
      <c r="DX28" s="172"/>
      <c r="DY28" s="95"/>
      <c r="DZ28" s="91"/>
      <c r="EA28" s="172"/>
      <c r="EB28" s="95"/>
      <c r="EC28" s="91"/>
      <c r="ED28" s="172"/>
      <c r="EE28" s="95"/>
      <c r="EF28" s="91"/>
      <c r="EG28" s="172"/>
      <c r="EH28" s="95"/>
      <c r="EI28" s="91"/>
      <c r="EJ28" s="172"/>
      <c r="EK28" s="95"/>
      <c r="EL28" s="91"/>
      <c r="EM28" s="172"/>
      <c r="EN28" s="95"/>
      <c r="EO28" s="91"/>
      <c r="EP28" s="172"/>
      <c r="EQ28" s="95"/>
      <c r="ER28" s="91"/>
      <c r="ES28" s="172"/>
      <c r="ET28" s="95"/>
      <c r="EU28" s="91"/>
      <c r="EV28" s="172"/>
      <c r="EW28" s="95"/>
      <c r="EX28" s="91"/>
      <c r="EY28" s="172"/>
      <c r="EZ28" s="95"/>
      <c r="FA28" s="91"/>
      <c r="FB28" s="172"/>
      <c r="FC28" s="95"/>
      <c r="FD28" s="91"/>
      <c r="FE28" s="172"/>
      <c r="FF28" s="95"/>
      <c r="FG28" s="91"/>
      <c r="FH28" s="172"/>
      <c r="FI28" s="95"/>
      <c r="FJ28" s="91"/>
      <c r="FK28" s="172"/>
      <c r="FL28" s="95"/>
      <c r="FM28" s="91"/>
      <c r="FN28" s="172"/>
      <c r="FO28" s="95"/>
      <c r="FP28" s="91"/>
      <c r="FQ28" s="172"/>
      <c r="FR28" s="95"/>
      <c r="FS28" s="91"/>
      <c r="FT28" s="172"/>
      <c r="FU28" s="95"/>
      <c r="FV28" s="91"/>
      <c r="FW28" s="172"/>
      <c r="FX28" s="95"/>
      <c r="FY28" s="91"/>
      <c r="FZ28" s="172"/>
      <c r="GA28" s="95"/>
      <c r="GB28" s="91"/>
      <c r="GC28" s="172"/>
      <c r="GD28" s="95"/>
      <c r="GE28" s="91"/>
      <c r="GF28" s="172"/>
      <c r="GG28" s="95"/>
      <c r="GH28" s="91"/>
      <c r="GI28" s="172"/>
      <c r="GJ28" s="95"/>
      <c r="GK28" s="91"/>
      <c r="GL28" s="172"/>
      <c r="GM28" s="95"/>
      <c r="GN28" s="91"/>
      <c r="GO28" s="172"/>
      <c r="GP28" s="95"/>
      <c r="GQ28" s="91"/>
      <c r="GR28" s="172"/>
      <c r="GS28" s="95"/>
      <c r="GT28" s="91"/>
      <c r="GU28" s="172"/>
      <c r="GV28" s="95"/>
      <c r="GW28" s="91"/>
      <c r="GX28" s="172"/>
      <c r="GY28" s="95"/>
      <c r="GZ28" s="91"/>
      <c r="HA28" s="172"/>
      <c r="HB28" s="95"/>
      <c r="HC28" s="91"/>
      <c r="HD28" s="172"/>
      <c r="HE28" s="95"/>
      <c r="HF28" s="91"/>
      <c r="HG28" s="172"/>
      <c r="HH28" s="95"/>
      <c r="HI28" s="91"/>
      <c r="HJ28" s="172"/>
      <c r="HK28" s="95"/>
      <c r="HL28" s="91"/>
      <c r="HM28" s="172"/>
      <c r="HN28" s="95"/>
      <c r="HO28" s="91"/>
      <c r="HP28" s="172"/>
      <c r="HQ28" s="95"/>
      <c r="HR28" s="91"/>
      <c r="HS28" s="172"/>
      <c r="HT28" s="95"/>
      <c r="HU28" s="91"/>
      <c r="HV28" s="172"/>
      <c r="HW28" s="95"/>
      <c r="HX28" s="91"/>
      <c r="HY28" s="172"/>
      <c r="HZ28" s="95"/>
      <c r="IA28" s="91"/>
      <c r="IB28" s="172"/>
      <c r="IC28" s="95"/>
      <c r="ID28" s="91"/>
      <c r="IE28" s="172"/>
      <c r="IF28" s="95"/>
      <c r="IG28" s="91"/>
      <c r="IH28" s="172"/>
      <c r="II28" s="95"/>
      <c r="IJ28" s="91"/>
      <c r="IK28" s="172"/>
      <c r="IL28" s="95"/>
      <c r="IM28" s="91"/>
      <c r="IN28" s="172"/>
      <c r="IO28" s="95"/>
      <c r="IP28" s="91"/>
      <c r="IQ28" s="172"/>
      <c r="IR28" s="95"/>
      <c r="IS28" s="91"/>
      <c r="IT28" s="172"/>
      <c r="IU28" s="95"/>
      <c r="IV28" s="91"/>
      <c r="IW28" s="172"/>
      <c r="IX28" s="95"/>
      <c r="IY28" s="91"/>
      <c r="IZ28" s="172"/>
      <c r="JA28" s="95"/>
      <c r="JB28" s="91"/>
      <c r="JC28" s="172"/>
      <c r="JD28" s="95"/>
      <c r="JE28" s="91"/>
      <c r="JF28" s="172"/>
      <c r="JG28" s="95"/>
      <c r="JH28" s="91"/>
      <c r="JI28" s="172"/>
      <c r="JJ28" s="95"/>
      <c r="JK28" s="91"/>
      <c r="JL28" s="172"/>
      <c r="JM28" s="95"/>
      <c r="JN28" s="91"/>
      <c r="JO28" s="172"/>
      <c r="JP28" s="95"/>
      <c r="JQ28" s="91"/>
      <c r="JR28" s="172"/>
      <c r="JS28" s="95"/>
      <c r="JT28" s="91"/>
      <c r="JU28" s="172"/>
      <c r="JV28" s="95"/>
      <c r="JW28" s="91"/>
      <c r="JX28" s="172"/>
      <c r="JY28" s="95"/>
      <c r="JZ28" s="91"/>
      <c r="KA28" s="172"/>
      <c r="KB28" s="95"/>
      <c r="KC28" s="91"/>
      <c r="KD28" s="172"/>
      <c r="KE28" s="95"/>
      <c r="KF28" s="91"/>
      <c r="KG28" s="172"/>
      <c r="KH28" s="95"/>
      <c r="KI28" s="91"/>
      <c r="KJ28" s="172"/>
      <c r="KK28" s="95"/>
      <c r="KL28" s="91"/>
      <c r="KM28" s="172"/>
      <c r="KN28" s="95"/>
    </row>
    <row r="29" spans="1:300" x14ac:dyDescent="0.2">
      <c r="A29" s="91"/>
      <c r="B29" s="172"/>
      <c r="C29" s="95"/>
      <c r="D29" s="91"/>
      <c r="E29" s="172"/>
      <c r="F29" s="95"/>
      <c r="G29" s="91"/>
      <c r="H29" s="172"/>
      <c r="I29" s="95"/>
      <c r="J29" s="91"/>
      <c r="K29" s="172"/>
      <c r="L29" s="95"/>
      <c r="M29" s="91"/>
      <c r="N29" s="172"/>
      <c r="O29" s="95"/>
      <c r="P29" s="91"/>
      <c r="Q29" s="172"/>
      <c r="R29" s="95"/>
      <c r="S29" s="91"/>
      <c r="T29" s="172"/>
      <c r="U29" s="95"/>
      <c r="V29" s="91"/>
      <c r="W29" s="172"/>
      <c r="X29" s="95"/>
      <c r="Y29" s="91"/>
      <c r="Z29" s="172"/>
      <c r="AA29" s="95"/>
      <c r="AB29" s="91"/>
      <c r="AC29" s="172"/>
      <c r="AD29" s="95"/>
      <c r="AE29" s="91"/>
      <c r="AF29" s="172"/>
      <c r="AG29" s="95"/>
      <c r="AH29" s="91"/>
      <c r="AI29" s="172"/>
      <c r="AJ29" s="95"/>
      <c r="AK29" s="91"/>
      <c r="AL29" s="172"/>
      <c r="AM29" s="95"/>
      <c r="AN29" s="91"/>
      <c r="AO29" s="172"/>
      <c r="AP29" s="95"/>
      <c r="AQ29" s="91"/>
      <c r="AR29" s="172"/>
      <c r="AS29" s="95"/>
      <c r="AT29" s="91"/>
      <c r="AU29" s="172"/>
      <c r="AV29" s="95"/>
      <c r="AW29" s="91"/>
      <c r="AX29" s="172"/>
      <c r="AY29" s="95"/>
      <c r="AZ29" s="91"/>
      <c r="BA29" s="172"/>
      <c r="BB29" s="95"/>
      <c r="BC29" s="91"/>
      <c r="BD29" s="172"/>
      <c r="BE29" s="95"/>
      <c r="BF29" s="91"/>
      <c r="BG29" s="172"/>
      <c r="BH29" s="95"/>
      <c r="BI29" s="91"/>
      <c r="BJ29" s="172"/>
      <c r="BK29" s="95"/>
      <c r="BL29" s="91"/>
      <c r="BM29" s="172"/>
      <c r="BN29" s="95"/>
      <c r="BO29" s="91"/>
      <c r="BP29" s="172"/>
      <c r="BQ29" s="95"/>
      <c r="BR29" s="91"/>
      <c r="BS29" s="172"/>
      <c r="BT29" s="95"/>
      <c r="BU29" s="91"/>
      <c r="BV29" s="172"/>
      <c r="BW29" s="95"/>
      <c r="BX29" s="91"/>
      <c r="BY29" s="172"/>
      <c r="BZ29" s="95"/>
      <c r="CA29" s="91"/>
      <c r="CB29" s="172"/>
      <c r="CC29" s="95"/>
      <c r="CD29" s="91"/>
      <c r="CE29" s="172"/>
      <c r="CF29" s="95"/>
      <c r="CG29" s="91"/>
      <c r="CH29" s="172"/>
      <c r="CI29" s="95"/>
      <c r="CJ29" s="91"/>
      <c r="CK29" s="172"/>
      <c r="CL29" s="95"/>
      <c r="CM29" s="91"/>
      <c r="CN29" s="172"/>
      <c r="CO29" s="95"/>
      <c r="CP29" s="91"/>
      <c r="CQ29" s="172"/>
      <c r="CR29" s="95"/>
      <c r="CS29" s="91"/>
      <c r="CT29" s="172"/>
      <c r="CU29" s="95"/>
      <c r="CV29" s="91"/>
      <c r="CW29" s="172"/>
      <c r="CX29" s="95"/>
      <c r="CY29" s="91"/>
      <c r="CZ29" s="172"/>
      <c r="DA29" s="95"/>
      <c r="DB29" s="91"/>
      <c r="DC29" s="172"/>
      <c r="DD29" s="95"/>
      <c r="DE29" s="91"/>
      <c r="DF29" s="172"/>
      <c r="DG29" s="95"/>
      <c r="DH29" s="91"/>
      <c r="DI29" s="172"/>
      <c r="DJ29" s="95"/>
      <c r="DK29" s="91"/>
      <c r="DL29" s="172"/>
      <c r="DM29" s="95"/>
      <c r="DN29" s="91"/>
      <c r="DO29" s="172"/>
      <c r="DP29" s="95"/>
      <c r="DQ29" s="91"/>
      <c r="DR29" s="172"/>
      <c r="DS29" s="95"/>
      <c r="DT29" s="91"/>
      <c r="DU29" s="172"/>
      <c r="DV29" s="95"/>
      <c r="DW29" s="91"/>
      <c r="DX29" s="172"/>
      <c r="DY29" s="95"/>
      <c r="DZ29" s="91"/>
      <c r="EA29" s="172"/>
      <c r="EB29" s="95"/>
      <c r="EC29" s="91"/>
      <c r="ED29" s="172"/>
      <c r="EE29" s="95"/>
      <c r="EF29" s="91"/>
      <c r="EG29" s="172"/>
      <c r="EH29" s="95"/>
      <c r="EI29" s="91"/>
      <c r="EJ29" s="172"/>
      <c r="EK29" s="95"/>
      <c r="EL29" s="91"/>
      <c r="EM29" s="172"/>
      <c r="EN29" s="95"/>
      <c r="EO29" s="91"/>
      <c r="EP29" s="172"/>
      <c r="EQ29" s="95"/>
      <c r="ER29" s="91"/>
      <c r="ES29" s="172"/>
      <c r="ET29" s="95"/>
      <c r="EU29" s="91"/>
      <c r="EV29" s="172"/>
      <c r="EW29" s="95"/>
      <c r="EX29" s="91"/>
      <c r="EY29" s="172"/>
      <c r="EZ29" s="95"/>
      <c r="FA29" s="91"/>
      <c r="FB29" s="172"/>
      <c r="FC29" s="95"/>
      <c r="FD29" s="91"/>
      <c r="FE29" s="172"/>
      <c r="FF29" s="95"/>
      <c r="FG29" s="91"/>
      <c r="FH29" s="172"/>
      <c r="FI29" s="95"/>
      <c r="FJ29" s="91"/>
      <c r="FK29" s="172"/>
      <c r="FL29" s="95"/>
      <c r="FM29" s="91"/>
      <c r="FN29" s="172"/>
      <c r="FO29" s="95"/>
      <c r="FP29" s="91"/>
      <c r="FQ29" s="172"/>
      <c r="FR29" s="95"/>
      <c r="FS29" s="91"/>
      <c r="FT29" s="172"/>
      <c r="FU29" s="95"/>
      <c r="FV29" s="91"/>
      <c r="FW29" s="172"/>
      <c r="FX29" s="95"/>
      <c r="FY29" s="91"/>
      <c r="FZ29" s="172"/>
      <c r="GA29" s="95"/>
      <c r="GB29" s="91"/>
      <c r="GC29" s="172"/>
      <c r="GD29" s="95"/>
      <c r="GE29" s="91"/>
      <c r="GF29" s="172"/>
      <c r="GG29" s="95"/>
      <c r="GH29" s="91"/>
      <c r="GI29" s="172"/>
      <c r="GJ29" s="95"/>
      <c r="GK29" s="91"/>
      <c r="GL29" s="172"/>
      <c r="GM29" s="95"/>
      <c r="GN29" s="91"/>
      <c r="GO29" s="172"/>
      <c r="GP29" s="95"/>
      <c r="GQ29" s="91"/>
      <c r="GR29" s="172"/>
      <c r="GS29" s="95"/>
      <c r="GT29" s="91"/>
      <c r="GU29" s="172"/>
      <c r="GV29" s="95"/>
      <c r="GW29" s="91"/>
      <c r="GX29" s="172"/>
      <c r="GY29" s="95"/>
      <c r="GZ29" s="91"/>
      <c r="HA29" s="172"/>
      <c r="HB29" s="95"/>
      <c r="HC29" s="91"/>
      <c r="HD29" s="172"/>
      <c r="HE29" s="95"/>
      <c r="HF29" s="91"/>
      <c r="HG29" s="172"/>
      <c r="HH29" s="95"/>
      <c r="HI29" s="91"/>
      <c r="HJ29" s="172"/>
      <c r="HK29" s="95"/>
      <c r="HL29" s="91"/>
      <c r="HM29" s="172"/>
      <c r="HN29" s="95"/>
      <c r="HO29" s="91"/>
      <c r="HP29" s="172"/>
      <c r="HQ29" s="95"/>
      <c r="HR29" s="91"/>
      <c r="HS29" s="172"/>
      <c r="HT29" s="95"/>
      <c r="HU29" s="91"/>
      <c r="HV29" s="172"/>
      <c r="HW29" s="95"/>
      <c r="HX29" s="91"/>
      <c r="HY29" s="172"/>
      <c r="HZ29" s="95"/>
      <c r="IA29" s="91"/>
      <c r="IB29" s="172"/>
      <c r="IC29" s="95"/>
      <c r="ID29" s="91"/>
      <c r="IE29" s="172"/>
      <c r="IF29" s="95"/>
      <c r="IG29" s="91"/>
      <c r="IH29" s="172"/>
      <c r="II29" s="95"/>
      <c r="IJ29" s="91"/>
      <c r="IK29" s="172"/>
      <c r="IL29" s="95"/>
      <c r="IM29" s="91"/>
      <c r="IN29" s="172"/>
      <c r="IO29" s="95"/>
      <c r="IP29" s="91"/>
      <c r="IQ29" s="172"/>
      <c r="IR29" s="95"/>
      <c r="IS29" s="91"/>
      <c r="IT29" s="172"/>
      <c r="IU29" s="95"/>
      <c r="IV29" s="91"/>
      <c r="IW29" s="172"/>
      <c r="IX29" s="95"/>
      <c r="IY29" s="91"/>
      <c r="IZ29" s="172"/>
      <c r="JA29" s="95"/>
      <c r="JB29" s="91"/>
      <c r="JC29" s="172"/>
      <c r="JD29" s="95"/>
      <c r="JE29" s="91"/>
      <c r="JF29" s="172"/>
      <c r="JG29" s="95"/>
      <c r="JH29" s="91"/>
      <c r="JI29" s="172"/>
      <c r="JJ29" s="95"/>
      <c r="JK29" s="91"/>
      <c r="JL29" s="172"/>
      <c r="JM29" s="95"/>
      <c r="JN29" s="91"/>
      <c r="JO29" s="172"/>
      <c r="JP29" s="95"/>
      <c r="JQ29" s="91"/>
      <c r="JR29" s="172"/>
      <c r="JS29" s="95"/>
      <c r="JT29" s="91"/>
      <c r="JU29" s="172"/>
      <c r="JV29" s="95"/>
      <c r="JW29" s="91"/>
      <c r="JX29" s="172"/>
      <c r="JY29" s="95"/>
      <c r="JZ29" s="91"/>
      <c r="KA29" s="172"/>
      <c r="KB29" s="95"/>
      <c r="KC29" s="91"/>
      <c r="KD29" s="172"/>
      <c r="KE29" s="95"/>
      <c r="KF29" s="91"/>
      <c r="KG29" s="172"/>
      <c r="KH29" s="95"/>
      <c r="KI29" s="91"/>
      <c r="KJ29" s="172"/>
      <c r="KK29" s="95"/>
      <c r="KL29" s="91"/>
      <c r="KM29" s="172"/>
      <c r="KN29" s="95"/>
    </row>
    <row r="30" spans="1:300" x14ac:dyDescent="0.2">
      <c r="A30" s="96"/>
      <c r="B30" s="175"/>
      <c r="C30" s="97"/>
      <c r="D30" s="96"/>
      <c r="E30" s="175"/>
      <c r="F30" s="97"/>
      <c r="G30" s="96"/>
      <c r="H30" s="175"/>
      <c r="I30" s="97"/>
      <c r="J30" s="96"/>
      <c r="K30" s="175"/>
      <c r="L30" s="97"/>
      <c r="M30" s="96"/>
      <c r="N30" s="175"/>
      <c r="O30" s="97"/>
      <c r="P30" s="96"/>
      <c r="Q30" s="175"/>
      <c r="R30" s="97"/>
      <c r="S30" s="96"/>
      <c r="T30" s="175"/>
      <c r="U30" s="97"/>
      <c r="V30" s="96"/>
      <c r="W30" s="175"/>
      <c r="X30" s="97"/>
      <c r="Y30" s="96"/>
      <c r="Z30" s="175"/>
      <c r="AA30" s="97"/>
      <c r="AB30" s="96"/>
      <c r="AC30" s="175"/>
      <c r="AD30" s="97"/>
      <c r="AE30" s="96"/>
      <c r="AF30" s="175"/>
      <c r="AG30" s="97"/>
      <c r="AH30" s="96"/>
      <c r="AI30" s="175"/>
      <c r="AJ30" s="97"/>
      <c r="AK30" s="96"/>
      <c r="AL30" s="175"/>
      <c r="AM30" s="97"/>
      <c r="AN30" s="96"/>
      <c r="AO30" s="175"/>
      <c r="AP30" s="97"/>
      <c r="AQ30" s="96"/>
      <c r="AR30" s="175"/>
      <c r="AS30" s="97"/>
      <c r="AT30" s="96"/>
      <c r="AU30" s="175"/>
      <c r="AV30" s="97"/>
      <c r="AW30" s="96"/>
      <c r="AX30" s="175"/>
      <c r="AY30" s="97"/>
      <c r="AZ30" s="96"/>
      <c r="BA30" s="175"/>
      <c r="BB30" s="97"/>
      <c r="BC30" s="96"/>
      <c r="BD30" s="175"/>
      <c r="BE30" s="97"/>
      <c r="BF30" s="96"/>
      <c r="BG30" s="175"/>
      <c r="BH30" s="97"/>
      <c r="BI30" s="96"/>
      <c r="BJ30" s="175"/>
      <c r="BK30" s="97"/>
      <c r="BL30" s="96"/>
      <c r="BM30" s="175"/>
      <c r="BN30" s="97"/>
      <c r="BO30" s="96"/>
      <c r="BP30" s="175"/>
      <c r="BQ30" s="97"/>
      <c r="BR30" s="96"/>
      <c r="BS30" s="175"/>
      <c r="BT30" s="97"/>
      <c r="BU30" s="96"/>
      <c r="BV30" s="175"/>
      <c r="BW30" s="97"/>
      <c r="BX30" s="96"/>
      <c r="BY30" s="175"/>
      <c r="BZ30" s="97"/>
      <c r="CA30" s="96"/>
      <c r="CB30" s="175"/>
      <c r="CC30" s="97"/>
      <c r="CD30" s="96"/>
      <c r="CE30" s="175"/>
      <c r="CF30" s="97"/>
      <c r="CG30" s="96"/>
      <c r="CH30" s="175"/>
      <c r="CI30" s="97"/>
      <c r="CJ30" s="96"/>
      <c r="CK30" s="175"/>
      <c r="CL30" s="97"/>
      <c r="CM30" s="96"/>
      <c r="CN30" s="175"/>
      <c r="CO30" s="97"/>
      <c r="CP30" s="96"/>
      <c r="CQ30" s="175"/>
      <c r="CR30" s="97"/>
      <c r="CS30" s="96"/>
      <c r="CT30" s="175"/>
      <c r="CU30" s="97"/>
      <c r="CV30" s="96"/>
      <c r="CW30" s="175"/>
      <c r="CX30" s="97"/>
      <c r="CY30" s="96"/>
      <c r="CZ30" s="175"/>
      <c r="DA30" s="97"/>
      <c r="DB30" s="96"/>
      <c r="DC30" s="175"/>
      <c r="DD30" s="97"/>
      <c r="DE30" s="96"/>
      <c r="DF30" s="175"/>
      <c r="DG30" s="97"/>
      <c r="DH30" s="96"/>
      <c r="DI30" s="175"/>
      <c r="DJ30" s="97"/>
      <c r="DK30" s="96"/>
      <c r="DL30" s="175"/>
      <c r="DM30" s="97"/>
      <c r="DN30" s="96"/>
      <c r="DO30" s="175"/>
      <c r="DP30" s="97"/>
      <c r="DQ30" s="96"/>
      <c r="DR30" s="175"/>
      <c r="DS30" s="97"/>
      <c r="DT30" s="96"/>
      <c r="DU30" s="175"/>
      <c r="DV30" s="97"/>
      <c r="DW30" s="96"/>
      <c r="DX30" s="175"/>
      <c r="DY30" s="97"/>
      <c r="DZ30" s="96"/>
      <c r="EA30" s="175"/>
      <c r="EB30" s="97"/>
      <c r="EC30" s="96"/>
      <c r="ED30" s="175"/>
      <c r="EE30" s="97"/>
      <c r="EF30" s="96"/>
      <c r="EG30" s="175"/>
      <c r="EH30" s="97"/>
      <c r="EI30" s="96"/>
      <c r="EJ30" s="175"/>
      <c r="EK30" s="97"/>
      <c r="EL30" s="96"/>
      <c r="EM30" s="175"/>
      <c r="EN30" s="97"/>
      <c r="EO30" s="96"/>
      <c r="EP30" s="175"/>
      <c r="EQ30" s="97"/>
      <c r="ER30" s="96"/>
      <c r="ES30" s="175"/>
      <c r="ET30" s="97"/>
      <c r="EU30" s="96"/>
      <c r="EV30" s="175"/>
      <c r="EW30" s="97"/>
      <c r="EX30" s="96"/>
      <c r="EY30" s="175"/>
      <c r="EZ30" s="97"/>
      <c r="FA30" s="96"/>
      <c r="FB30" s="175"/>
      <c r="FC30" s="97"/>
      <c r="FD30" s="96"/>
      <c r="FE30" s="175"/>
      <c r="FF30" s="97"/>
      <c r="FG30" s="96"/>
      <c r="FH30" s="175"/>
      <c r="FI30" s="97"/>
      <c r="FJ30" s="96"/>
      <c r="FK30" s="175"/>
      <c r="FL30" s="97"/>
      <c r="FM30" s="96"/>
      <c r="FN30" s="175"/>
      <c r="FO30" s="97"/>
      <c r="FP30" s="96"/>
      <c r="FQ30" s="175"/>
      <c r="FR30" s="97"/>
      <c r="FS30" s="96"/>
      <c r="FT30" s="175"/>
      <c r="FU30" s="97"/>
      <c r="FV30" s="96"/>
      <c r="FW30" s="175"/>
      <c r="FX30" s="97"/>
      <c r="FY30" s="96"/>
      <c r="FZ30" s="175"/>
      <c r="GA30" s="97"/>
      <c r="GB30" s="96"/>
      <c r="GC30" s="175"/>
      <c r="GD30" s="97"/>
      <c r="GE30" s="96"/>
      <c r="GF30" s="175"/>
      <c r="GG30" s="97"/>
      <c r="GH30" s="96"/>
      <c r="GI30" s="175"/>
      <c r="GJ30" s="97"/>
      <c r="GK30" s="96"/>
      <c r="GL30" s="175"/>
      <c r="GM30" s="97"/>
      <c r="GN30" s="96"/>
      <c r="GO30" s="175"/>
      <c r="GP30" s="97"/>
      <c r="GQ30" s="96"/>
      <c r="GR30" s="175"/>
      <c r="GS30" s="97"/>
      <c r="GT30" s="96"/>
      <c r="GU30" s="175"/>
      <c r="GV30" s="97"/>
      <c r="GW30" s="96"/>
      <c r="GX30" s="175"/>
      <c r="GY30" s="97"/>
      <c r="GZ30" s="96"/>
      <c r="HA30" s="175"/>
      <c r="HB30" s="97"/>
      <c r="HC30" s="96"/>
      <c r="HD30" s="175"/>
      <c r="HE30" s="97"/>
      <c r="HF30" s="96"/>
      <c r="HG30" s="175"/>
      <c r="HH30" s="97"/>
      <c r="HI30" s="96"/>
      <c r="HJ30" s="175"/>
      <c r="HK30" s="97"/>
      <c r="HL30" s="96"/>
      <c r="HM30" s="175"/>
      <c r="HN30" s="97"/>
      <c r="HO30" s="96"/>
      <c r="HP30" s="175"/>
      <c r="HQ30" s="97"/>
      <c r="HR30" s="96"/>
      <c r="HS30" s="175"/>
      <c r="HT30" s="97"/>
      <c r="HU30" s="96"/>
      <c r="HV30" s="175"/>
      <c r="HW30" s="97"/>
      <c r="HX30" s="96"/>
      <c r="HY30" s="175"/>
      <c r="HZ30" s="97"/>
      <c r="IA30" s="96"/>
      <c r="IB30" s="175"/>
      <c r="IC30" s="97"/>
      <c r="ID30" s="96"/>
      <c r="IE30" s="175"/>
      <c r="IF30" s="97"/>
      <c r="IG30" s="96"/>
      <c r="IH30" s="175"/>
      <c r="II30" s="97"/>
      <c r="IJ30" s="96"/>
      <c r="IK30" s="175"/>
      <c r="IL30" s="97"/>
      <c r="IM30" s="96"/>
      <c r="IN30" s="175"/>
      <c r="IO30" s="97"/>
      <c r="IP30" s="96"/>
      <c r="IQ30" s="175"/>
      <c r="IR30" s="97"/>
      <c r="IS30" s="96"/>
      <c r="IT30" s="175"/>
      <c r="IU30" s="97"/>
      <c r="IV30" s="96"/>
      <c r="IW30" s="175"/>
      <c r="IX30" s="97"/>
      <c r="IY30" s="96"/>
      <c r="IZ30" s="175"/>
      <c r="JA30" s="97"/>
      <c r="JB30" s="96"/>
      <c r="JC30" s="175"/>
      <c r="JD30" s="97"/>
      <c r="JE30" s="96"/>
      <c r="JF30" s="175"/>
      <c r="JG30" s="97"/>
      <c r="JH30" s="96"/>
      <c r="JI30" s="175"/>
      <c r="JJ30" s="97"/>
      <c r="JK30" s="96"/>
      <c r="JL30" s="175"/>
      <c r="JM30" s="97"/>
      <c r="JN30" s="96"/>
      <c r="JO30" s="175"/>
      <c r="JP30" s="97"/>
      <c r="JQ30" s="96"/>
      <c r="JR30" s="175"/>
      <c r="JS30" s="97"/>
      <c r="JT30" s="96"/>
      <c r="JU30" s="175"/>
      <c r="JV30" s="97"/>
      <c r="JW30" s="96"/>
      <c r="JX30" s="175"/>
      <c r="JY30" s="97"/>
      <c r="JZ30" s="96"/>
      <c r="KA30" s="175"/>
      <c r="KB30" s="97"/>
      <c r="KC30" s="96"/>
      <c r="KD30" s="175"/>
      <c r="KE30" s="97"/>
      <c r="KF30" s="96"/>
      <c r="KG30" s="175"/>
      <c r="KH30" s="97"/>
      <c r="KI30" s="96"/>
      <c r="KJ30" s="175"/>
      <c r="KK30" s="97"/>
      <c r="KL30" s="96"/>
      <c r="KM30" s="175"/>
      <c r="KN30" s="97"/>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CE38B-4A47-47F2-8C8B-D643D77035EB}">
  <sheetPr codeName="Sheet19"/>
  <dimension ref="A1:Y37"/>
  <sheetViews>
    <sheetView showGridLines="0" workbookViewId="0">
      <selection activeCell="O37" sqref="O37"/>
    </sheetView>
  </sheetViews>
  <sheetFormatPr defaultRowHeight="12.75" x14ac:dyDescent="0.2"/>
  <cols>
    <col min="1" max="1" width="29.85546875" style="65" bestFit="1" customWidth="1"/>
    <col min="2" max="2" width="21.85546875" style="65" customWidth="1"/>
    <col min="3" max="22" width="10.5703125" style="65" customWidth="1"/>
    <col min="23" max="23" width="24.5703125" style="65" bestFit="1" customWidth="1"/>
    <col min="24" max="24" width="44.28515625" style="65" bestFit="1" customWidth="1"/>
    <col min="25" max="25" width="48.28515625" style="65" customWidth="1"/>
    <col min="26" max="26" width="48.140625" style="65" customWidth="1"/>
    <col min="27" max="16384" width="9.140625" style="65"/>
  </cols>
  <sheetData>
    <row r="1" spans="1:25" x14ac:dyDescent="0.2">
      <c r="B1" s="536" t="s">
        <v>939</v>
      </c>
      <c r="C1" s="537" t="s">
        <v>877</v>
      </c>
      <c r="D1" s="537"/>
      <c r="E1" s="537"/>
      <c r="F1" s="537"/>
      <c r="G1" s="537"/>
      <c r="H1" s="537"/>
      <c r="I1" s="537"/>
      <c r="J1" s="537"/>
      <c r="K1" s="537"/>
      <c r="L1" s="537"/>
      <c r="U1" s="536" t="s">
        <v>926</v>
      </c>
      <c r="V1" s="65" t="s">
        <v>878</v>
      </c>
    </row>
    <row r="2" spans="1:25" x14ac:dyDescent="0.2">
      <c r="A2" s="543" t="s">
        <v>933</v>
      </c>
      <c r="B2" s="65" t="s">
        <v>879</v>
      </c>
      <c r="C2" s="66" t="s">
        <v>1213</v>
      </c>
      <c r="D2" s="66" t="s">
        <v>3243</v>
      </c>
      <c r="E2" s="66" t="s">
        <v>1025</v>
      </c>
      <c r="F2" s="66" t="s">
        <v>1023</v>
      </c>
      <c r="G2" s="66" t="s">
        <v>1017</v>
      </c>
      <c r="H2" s="66" t="s">
        <v>1014</v>
      </c>
      <c r="I2" s="66" t="s">
        <v>1012</v>
      </c>
      <c r="J2" s="66" t="s">
        <v>990</v>
      </c>
      <c r="K2" s="66" t="s">
        <v>978</v>
      </c>
      <c r="L2" s="66" t="s">
        <v>896</v>
      </c>
      <c r="M2" s="66" t="s">
        <v>876</v>
      </c>
      <c r="N2" s="66" t="s">
        <v>872</v>
      </c>
      <c r="O2" s="66" t="s">
        <v>863</v>
      </c>
      <c r="P2" s="66" t="s">
        <v>860</v>
      </c>
      <c r="Q2" s="66" t="s">
        <v>856</v>
      </c>
      <c r="R2" s="66" t="s">
        <v>854</v>
      </c>
      <c r="S2" s="66" t="s">
        <v>852</v>
      </c>
      <c r="T2" s="66" t="s">
        <v>849</v>
      </c>
      <c r="U2" s="66" t="s">
        <v>847</v>
      </c>
      <c r="W2" s="20" t="s">
        <v>880</v>
      </c>
      <c r="X2" s="20" t="s">
        <v>881</v>
      </c>
      <c r="Y2" s="20" t="s">
        <v>882</v>
      </c>
    </row>
    <row r="3" spans="1:25" x14ac:dyDescent="0.2">
      <c r="A3" s="544" t="s">
        <v>929</v>
      </c>
      <c r="B3" s="540" t="s">
        <v>890</v>
      </c>
      <c r="C3" s="540" t="s">
        <v>930</v>
      </c>
      <c r="D3" s="540" t="s">
        <v>930</v>
      </c>
      <c r="E3" s="540" t="s">
        <v>930</v>
      </c>
      <c r="F3" s="540" t="s">
        <v>930</v>
      </c>
      <c r="G3" s="540" t="s">
        <v>930</v>
      </c>
      <c r="H3" s="540" t="s">
        <v>930</v>
      </c>
      <c r="I3" s="540" t="s">
        <v>930</v>
      </c>
      <c r="J3" s="540" t="s">
        <v>930</v>
      </c>
      <c r="K3" s="540" t="s">
        <v>930</v>
      </c>
      <c r="L3" s="540" t="s">
        <v>930</v>
      </c>
      <c r="M3" s="540" t="s">
        <v>930</v>
      </c>
      <c r="N3" s="540" t="s">
        <v>930</v>
      </c>
      <c r="O3" s="540" t="s">
        <v>930</v>
      </c>
      <c r="P3" s="540" t="s">
        <v>930</v>
      </c>
      <c r="Q3" s="540" t="s">
        <v>930</v>
      </c>
      <c r="R3" s="540" t="s">
        <v>930</v>
      </c>
      <c r="S3" s="540" t="s">
        <v>930</v>
      </c>
      <c r="T3" s="540" t="s">
        <v>930</v>
      </c>
      <c r="U3" s="540" t="s">
        <v>930</v>
      </c>
      <c r="W3" s="539" t="s">
        <v>883</v>
      </c>
      <c r="X3" s="539" t="s">
        <v>884</v>
      </c>
      <c r="Y3" s="20"/>
    </row>
    <row r="4" spans="1:25" x14ac:dyDescent="0.2">
      <c r="A4" s="544" t="s">
        <v>902</v>
      </c>
      <c r="B4" s="540" t="s">
        <v>890</v>
      </c>
      <c r="C4" s="540" t="s">
        <v>920</v>
      </c>
      <c r="D4" s="540" t="s">
        <v>920</v>
      </c>
      <c r="E4" s="540" t="s">
        <v>920</v>
      </c>
      <c r="F4" s="540" t="s">
        <v>920</v>
      </c>
      <c r="G4" s="540" t="s">
        <v>920</v>
      </c>
      <c r="H4" s="540" t="s">
        <v>920</v>
      </c>
      <c r="I4" s="540" t="s">
        <v>920</v>
      </c>
      <c r="J4" s="540" t="s">
        <v>920</v>
      </c>
      <c r="K4" s="540" t="s">
        <v>920</v>
      </c>
      <c r="L4" s="540" t="s">
        <v>920</v>
      </c>
      <c r="M4" s="540" t="s">
        <v>920</v>
      </c>
      <c r="N4" s="540" t="s">
        <v>920</v>
      </c>
      <c r="O4" s="540" t="s">
        <v>920</v>
      </c>
      <c r="P4" s="540" t="s">
        <v>920</v>
      </c>
      <c r="Q4" s="540" t="s">
        <v>920</v>
      </c>
      <c r="R4" s="540" t="s">
        <v>920</v>
      </c>
      <c r="S4" s="540" t="s">
        <v>920</v>
      </c>
      <c r="T4" s="540" t="s">
        <v>920</v>
      </c>
      <c r="U4" s="540" t="s">
        <v>920</v>
      </c>
      <c r="W4" s="539" t="s">
        <v>885</v>
      </c>
      <c r="X4" s="539" t="s">
        <v>886</v>
      </c>
      <c r="Y4" s="20"/>
    </row>
    <row r="5" spans="1:25" x14ac:dyDescent="0.2">
      <c r="A5" s="544" t="s">
        <v>903</v>
      </c>
      <c r="B5" s="540" t="s">
        <v>890</v>
      </c>
      <c r="C5" s="540" t="s">
        <v>921</v>
      </c>
      <c r="D5" s="540" t="s">
        <v>921</v>
      </c>
      <c r="E5" s="540" t="s">
        <v>921</v>
      </c>
      <c r="F5" s="540" t="s">
        <v>921</v>
      </c>
      <c r="G5" s="540" t="s">
        <v>921</v>
      </c>
      <c r="H5" s="540" t="s">
        <v>921</v>
      </c>
      <c r="I5" s="540" t="s">
        <v>921</v>
      </c>
      <c r="J5" s="540" t="s">
        <v>921</v>
      </c>
      <c r="K5" s="540" t="s">
        <v>921</v>
      </c>
      <c r="L5" s="540" t="s">
        <v>921</v>
      </c>
      <c r="M5" s="540" t="s">
        <v>921</v>
      </c>
      <c r="N5" s="540" t="s">
        <v>921</v>
      </c>
      <c r="O5" s="540" t="s">
        <v>921</v>
      </c>
      <c r="P5" s="540" t="s">
        <v>921</v>
      </c>
      <c r="Q5" s="540" t="s">
        <v>921</v>
      </c>
      <c r="R5" s="540" t="s">
        <v>921</v>
      </c>
      <c r="S5" s="540" t="s">
        <v>921</v>
      </c>
      <c r="T5" s="540" t="s">
        <v>921</v>
      </c>
      <c r="U5" s="540" t="s">
        <v>921</v>
      </c>
      <c r="W5" s="20" t="s">
        <v>887</v>
      </c>
      <c r="X5" s="20" t="s">
        <v>260</v>
      </c>
      <c r="Y5" s="20" t="s">
        <v>888</v>
      </c>
    </row>
    <row r="6" spans="1:25" x14ac:dyDescent="0.2">
      <c r="A6" s="544" t="s">
        <v>891</v>
      </c>
      <c r="B6" s="540" t="s">
        <v>890</v>
      </c>
      <c r="C6" s="540" t="s">
        <v>908</v>
      </c>
      <c r="D6" s="540" t="s">
        <v>908</v>
      </c>
      <c r="E6" s="540" t="s">
        <v>908</v>
      </c>
      <c r="F6" s="540" t="s">
        <v>908</v>
      </c>
      <c r="G6" s="540" t="s">
        <v>908</v>
      </c>
      <c r="H6" s="540" t="s">
        <v>908</v>
      </c>
      <c r="I6" s="540" t="s">
        <v>908</v>
      </c>
      <c r="J6" s="540" t="s">
        <v>908</v>
      </c>
      <c r="K6" s="540" t="s">
        <v>908</v>
      </c>
      <c r="L6" s="540" t="s">
        <v>908</v>
      </c>
      <c r="M6" s="540" t="s">
        <v>908</v>
      </c>
      <c r="N6" s="540" t="s">
        <v>908</v>
      </c>
      <c r="O6" s="540" t="s">
        <v>908</v>
      </c>
      <c r="P6" s="540" t="s">
        <v>908</v>
      </c>
      <c r="Q6" s="540" t="s">
        <v>908</v>
      </c>
      <c r="R6" s="540" t="s">
        <v>908</v>
      </c>
      <c r="S6" s="540" t="s">
        <v>908</v>
      </c>
      <c r="T6" s="540" t="s">
        <v>908</v>
      </c>
      <c r="U6" s="540" t="s">
        <v>908</v>
      </c>
    </row>
    <row r="7" spans="1:25" x14ac:dyDescent="0.2">
      <c r="A7" s="544" t="s">
        <v>892</v>
      </c>
      <c r="B7" s="540" t="s">
        <v>890</v>
      </c>
      <c r="C7" s="540" t="s">
        <v>922</v>
      </c>
      <c r="D7" s="540" t="s">
        <v>922</v>
      </c>
      <c r="E7" s="540" t="s">
        <v>922</v>
      </c>
      <c r="F7" s="540" t="s">
        <v>922</v>
      </c>
      <c r="G7" s="540" t="s">
        <v>922</v>
      </c>
      <c r="H7" s="540" t="s">
        <v>922</v>
      </c>
      <c r="I7" s="540" t="s">
        <v>922</v>
      </c>
      <c r="J7" s="540" t="s">
        <v>922</v>
      </c>
      <c r="K7" s="540" t="s">
        <v>922</v>
      </c>
      <c r="L7" s="540" t="s">
        <v>922</v>
      </c>
      <c r="M7" s="540" t="s">
        <v>922</v>
      </c>
      <c r="N7" s="540" t="s">
        <v>922</v>
      </c>
      <c r="O7" s="540" t="s">
        <v>922</v>
      </c>
      <c r="P7" s="540" t="s">
        <v>922</v>
      </c>
      <c r="Q7" s="540" t="s">
        <v>922</v>
      </c>
      <c r="R7" s="540" t="s">
        <v>922</v>
      </c>
      <c r="S7" s="540" t="s">
        <v>922</v>
      </c>
      <c r="T7" s="540" t="s">
        <v>922</v>
      </c>
      <c r="U7" s="540" t="s">
        <v>922</v>
      </c>
      <c r="W7" s="923" t="s">
        <v>889</v>
      </c>
      <c r="X7" s="923"/>
      <c r="Y7" s="923"/>
    </row>
    <row r="8" spans="1:25" x14ac:dyDescent="0.2">
      <c r="A8" s="544" t="s">
        <v>893</v>
      </c>
      <c r="B8" s="540" t="s">
        <v>890</v>
      </c>
      <c r="C8" s="540" t="s">
        <v>909</v>
      </c>
      <c r="D8" s="540" t="s">
        <v>909</v>
      </c>
      <c r="E8" s="540" t="s">
        <v>909</v>
      </c>
      <c r="F8" s="540" t="s">
        <v>909</v>
      </c>
      <c r="G8" s="540" t="s">
        <v>909</v>
      </c>
      <c r="H8" s="540" t="s">
        <v>909</v>
      </c>
      <c r="I8" s="540" t="s">
        <v>909</v>
      </c>
      <c r="J8" s="540" t="s">
        <v>909</v>
      </c>
      <c r="K8" s="540" t="s">
        <v>909</v>
      </c>
      <c r="L8" s="540" t="s">
        <v>909</v>
      </c>
      <c r="M8" s="540" t="s">
        <v>909</v>
      </c>
      <c r="N8" s="540" t="s">
        <v>909</v>
      </c>
      <c r="O8" s="540" t="s">
        <v>909</v>
      </c>
      <c r="P8" s="540" t="s">
        <v>909</v>
      </c>
      <c r="Q8" s="540" t="s">
        <v>909</v>
      </c>
      <c r="R8" s="540" t="s">
        <v>909</v>
      </c>
      <c r="S8" s="540" t="s">
        <v>909</v>
      </c>
      <c r="T8" s="540" t="s">
        <v>909</v>
      </c>
      <c r="U8" s="540" t="s">
        <v>909</v>
      </c>
      <c r="W8" s="923"/>
      <c r="X8" s="923"/>
      <c r="Y8" s="923"/>
    </row>
    <row r="9" spans="1:25" x14ac:dyDescent="0.2">
      <c r="A9" s="544" t="s">
        <v>894</v>
      </c>
      <c r="B9" s="540" t="s">
        <v>890</v>
      </c>
      <c r="C9" s="540" t="s">
        <v>910</v>
      </c>
      <c r="D9" s="540" t="s">
        <v>910</v>
      </c>
      <c r="E9" s="540" t="s">
        <v>910</v>
      </c>
      <c r="F9" s="540" t="s">
        <v>910</v>
      </c>
      <c r="G9" s="540" t="s">
        <v>910</v>
      </c>
      <c r="H9" s="540" t="s">
        <v>910</v>
      </c>
      <c r="I9" s="540" t="s">
        <v>910</v>
      </c>
      <c r="J9" s="540" t="s">
        <v>910</v>
      </c>
      <c r="K9" s="540" t="s">
        <v>910</v>
      </c>
      <c r="L9" s="540" t="s">
        <v>910</v>
      </c>
      <c r="M9" s="540" t="s">
        <v>910</v>
      </c>
      <c r="N9" s="540" t="s">
        <v>910</v>
      </c>
      <c r="O9" s="540" t="s">
        <v>910</v>
      </c>
      <c r="P9" s="540" t="s">
        <v>910</v>
      </c>
      <c r="Q9" s="540" t="s">
        <v>910</v>
      </c>
      <c r="R9" s="540" t="s">
        <v>910</v>
      </c>
      <c r="S9" s="540" t="s">
        <v>910</v>
      </c>
      <c r="T9" s="540" t="s">
        <v>910</v>
      </c>
      <c r="U9" s="540" t="s">
        <v>910</v>
      </c>
      <c r="W9" s="923"/>
      <c r="X9" s="923"/>
      <c r="Y9" s="923"/>
    </row>
    <row r="10" spans="1:25" x14ac:dyDescent="0.2">
      <c r="A10" s="544" t="s">
        <v>895</v>
      </c>
      <c r="B10" s="540" t="s">
        <v>890</v>
      </c>
      <c r="C10" s="540" t="s">
        <v>911</v>
      </c>
      <c r="D10" s="540" t="s">
        <v>911</v>
      </c>
      <c r="E10" s="540" t="s">
        <v>911</v>
      </c>
      <c r="F10" s="540" t="s">
        <v>911</v>
      </c>
      <c r="G10" s="540" t="s">
        <v>911</v>
      </c>
      <c r="H10" s="540" t="s">
        <v>911</v>
      </c>
      <c r="I10" s="540" t="s">
        <v>911</v>
      </c>
      <c r="J10" s="540" t="s">
        <v>911</v>
      </c>
      <c r="K10" s="540" t="s">
        <v>911</v>
      </c>
      <c r="L10" s="540" t="s">
        <v>911</v>
      </c>
      <c r="M10" s="540" t="s">
        <v>911</v>
      </c>
      <c r="N10" s="540" t="s">
        <v>911</v>
      </c>
      <c r="O10" s="540" t="s">
        <v>911</v>
      </c>
      <c r="P10" s="540" t="s">
        <v>911</v>
      </c>
      <c r="Q10" s="540" t="s">
        <v>911</v>
      </c>
      <c r="R10" s="540" t="s">
        <v>911</v>
      </c>
      <c r="S10" s="540" t="s">
        <v>911</v>
      </c>
      <c r="T10" s="540" t="s">
        <v>911</v>
      </c>
      <c r="U10" s="540" t="s">
        <v>911</v>
      </c>
      <c r="W10" s="923"/>
      <c r="X10" s="923"/>
      <c r="Y10" s="923"/>
    </row>
    <row r="11" spans="1:25" x14ac:dyDescent="0.2">
      <c r="A11" s="544" t="s">
        <v>897</v>
      </c>
      <c r="B11" s="540" t="s">
        <v>890</v>
      </c>
      <c r="C11" s="540" t="s">
        <v>912</v>
      </c>
      <c r="D11" s="540" t="s">
        <v>912</v>
      </c>
      <c r="E11" s="540" t="s">
        <v>912</v>
      </c>
      <c r="F11" s="540" t="s">
        <v>912</v>
      </c>
      <c r="G11" s="540" t="s">
        <v>912</v>
      </c>
      <c r="H11" s="540" t="s">
        <v>912</v>
      </c>
      <c r="I11" s="540" t="s">
        <v>912</v>
      </c>
      <c r="J11" s="540" t="s">
        <v>912</v>
      </c>
      <c r="K11" s="540" t="s">
        <v>912</v>
      </c>
      <c r="L11" s="540" t="s">
        <v>912</v>
      </c>
      <c r="M11" s="540" t="s">
        <v>912</v>
      </c>
      <c r="N11" s="540" t="s">
        <v>912</v>
      </c>
      <c r="O11" s="540" t="s">
        <v>912</v>
      </c>
      <c r="P11" s="540" t="s">
        <v>912</v>
      </c>
      <c r="Q11" s="540" t="s">
        <v>912</v>
      </c>
      <c r="R11" s="540" t="s">
        <v>912</v>
      </c>
      <c r="S11" s="540" t="s">
        <v>912</v>
      </c>
      <c r="T11" s="540" t="s">
        <v>912</v>
      </c>
      <c r="U11" s="540" t="s">
        <v>912</v>
      </c>
    </row>
    <row r="12" spans="1:25" x14ac:dyDescent="0.2">
      <c r="A12" s="544" t="s">
        <v>898</v>
      </c>
      <c r="B12" s="540" t="s">
        <v>890</v>
      </c>
      <c r="C12" s="540" t="s">
        <v>913</v>
      </c>
      <c r="D12" s="540" t="s">
        <v>913</v>
      </c>
      <c r="E12" s="540" t="s">
        <v>913</v>
      </c>
      <c r="F12" s="540" t="s">
        <v>913</v>
      </c>
      <c r="G12" s="540" t="s">
        <v>913</v>
      </c>
      <c r="H12" s="540" t="s">
        <v>913</v>
      </c>
      <c r="I12" s="540" t="s">
        <v>913</v>
      </c>
      <c r="J12" s="540" t="s">
        <v>913</v>
      </c>
      <c r="K12" s="540" t="s">
        <v>913</v>
      </c>
      <c r="L12" s="540" t="s">
        <v>913</v>
      </c>
      <c r="M12" s="540" t="s">
        <v>913</v>
      </c>
      <c r="N12" s="540" t="s">
        <v>913</v>
      </c>
      <c r="O12" s="540" t="s">
        <v>913</v>
      </c>
      <c r="P12" s="540" t="s">
        <v>913</v>
      </c>
      <c r="Q12" s="540" t="s">
        <v>913</v>
      </c>
      <c r="R12" s="540" t="s">
        <v>913</v>
      </c>
      <c r="S12" s="540" t="s">
        <v>913</v>
      </c>
      <c r="T12" s="540" t="s">
        <v>913</v>
      </c>
      <c r="U12" s="540" t="s">
        <v>913</v>
      </c>
    </row>
    <row r="13" spans="1:25" x14ac:dyDescent="0.2">
      <c r="A13" s="544" t="s">
        <v>899</v>
      </c>
      <c r="B13" s="540" t="s">
        <v>890</v>
      </c>
      <c r="C13" s="540" t="s">
        <v>914</v>
      </c>
      <c r="D13" s="540" t="s">
        <v>914</v>
      </c>
      <c r="E13" s="540" t="s">
        <v>914</v>
      </c>
      <c r="F13" s="540" t="s">
        <v>914</v>
      </c>
      <c r="G13" s="540" t="s">
        <v>914</v>
      </c>
      <c r="H13" s="540" t="s">
        <v>914</v>
      </c>
      <c r="I13" s="540" t="s">
        <v>914</v>
      </c>
      <c r="J13" s="540" t="s">
        <v>914</v>
      </c>
      <c r="K13" s="540" t="s">
        <v>914</v>
      </c>
      <c r="L13" s="540" t="s">
        <v>914</v>
      </c>
      <c r="M13" s="540" t="s">
        <v>914</v>
      </c>
      <c r="N13" s="540" t="s">
        <v>914</v>
      </c>
      <c r="O13" s="540" t="s">
        <v>914</v>
      </c>
      <c r="P13" s="540" t="s">
        <v>914</v>
      </c>
      <c r="Q13" s="540" t="s">
        <v>914</v>
      </c>
      <c r="R13" s="540" t="s">
        <v>914</v>
      </c>
      <c r="S13" s="540" t="s">
        <v>914</v>
      </c>
      <c r="T13" s="540" t="s">
        <v>914</v>
      </c>
      <c r="U13" s="540" t="s">
        <v>914</v>
      </c>
    </row>
    <row r="14" spans="1:25" x14ac:dyDescent="0.2">
      <c r="A14" s="544" t="s">
        <v>900</v>
      </c>
      <c r="B14" s="540" t="s">
        <v>890</v>
      </c>
      <c r="C14" s="540" t="s">
        <v>915</v>
      </c>
      <c r="D14" s="540" t="s">
        <v>915</v>
      </c>
      <c r="E14" s="540" t="s">
        <v>915</v>
      </c>
      <c r="F14" s="540" t="s">
        <v>915</v>
      </c>
      <c r="G14" s="540" t="s">
        <v>915</v>
      </c>
      <c r="H14" s="540" t="s">
        <v>915</v>
      </c>
      <c r="I14" s="540" t="s">
        <v>915</v>
      </c>
      <c r="J14" s="540" t="s">
        <v>915</v>
      </c>
      <c r="K14" s="540" t="s">
        <v>915</v>
      </c>
      <c r="L14" s="540" t="s">
        <v>915</v>
      </c>
      <c r="M14" s="540" t="s">
        <v>915</v>
      </c>
      <c r="N14" s="540" t="s">
        <v>915</v>
      </c>
      <c r="O14" s="540" t="s">
        <v>915</v>
      </c>
      <c r="P14" s="540" t="s">
        <v>915</v>
      </c>
      <c r="Q14" s="540" t="s">
        <v>915</v>
      </c>
      <c r="R14" s="540" t="s">
        <v>915</v>
      </c>
      <c r="S14" s="540" t="s">
        <v>915</v>
      </c>
      <c r="T14" s="540" t="s">
        <v>915</v>
      </c>
      <c r="U14" s="540" t="s">
        <v>915</v>
      </c>
    </row>
    <row r="15" spans="1:25" x14ac:dyDescent="0.2">
      <c r="A15" s="544" t="s">
        <v>901</v>
      </c>
      <c r="B15" s="540" t="s">
        <v>890</v>
      </c>
      <c r="C15" s="540" t="s">
        <v>916</v>
      </c>
      <c r="D15" s="540" t="s">
        <v>916</v>
      </c>
      <c r="E15" s="540" t="s">
        <v>916</v>
      </c>
      <c r="F15" s="540" t="s">
        <v>916</v>
      </c>
      <c r="G15" s="540" t="s">
        <v>916</v>
      </c>
      <c r="H15" s="540" t="s">
        <v>916</v>
      </c>
      <c r="I15" s="540" t="s">
        <v>916</v>
      </c>
      <c r="J15" s="540" t="s">
        <v>916</v>
      </c>
      <c r="K15" s="540" t="s">
        <v>916</v>
      </c>
      <c r="L15" s="540" t="s">
        <v>916</v>
      </c>
      <c r="M15" s="540" t="s">
        <v>916</v>
      </c>
      <c r="N15" s="540" t="s">
        <v>916</v>
      </c>
      <c r="O15" s="540" t="s">
        <v>916</v>
      </c>
      <c r="P15" s="540" t="s">
        <v>916</v>
      </c>
      <c r="Q15" s="540" t="s">
        <v>916</v>
      </c>
      <c r="R15" s="540" t="s">
        <v>916</v>
      </c>
      <c r="S15" s="540" t="s">
        <v>916</v>
      </c>
      <c r="T15" s="540" t="s">
        <v>916</v>
      </c>
      <c r="U15" s="540" t="s">
        <v>916</v>
      </c>
    </row>
    <row r="16" spans="1:25" x14ac:dyDescent="0.2">
      <c r="A16" s="544" t="s">
        <v>940</v>
      </c>
      <c r="B16" s="540" t="s">
        <v>890</v>
      </c>
      <c r="C16" s="540" t="s">
        <v>923</v>
      </c>
      <c r="D16" s="540" t="s">
        <v>923</v>
      </c>
      <c r="E16" s="540" t="s">
        <v>923</v>
      </c>
      <c r="F16" s="540" t="s">
        <v>923</v>
      </c>
      <c r="G16" s="540" t="s">
        <v>923</v>
      </c>
      <c r="H16" s="540" t="s">
        <v>923</v>
      </c>
      <c r="I16" s="540" t="s">
        <v>923</v>
      </c>
      <c r="J16" s="540" t="s">
        <v>923</v>
      </c>
      <c r="K16" s="540" t="s">
        <v>923</v>
      </c>
      <c r="L16" s="540" t="s">
        <v>923</v>
      </c>
      <c r="M16" s="540" t="s">
        <v>923</v>
      </c>
      <c r="N16" s="540" t="s">
        <v>923</v>
      </c>
      <c r="O16" s="540" t="s">
        <v>923</v>
      </c>
      <c r="P16" s="540" t="s">
        <v>923</v>
      </c>
      <c r="Q16" s="540" t="s">
        <v>923</v>
      </c>
      <c r="R16" s="540" t="s">
        <v>923</v>
      </c>
      <c r="S16" s="540" t="s">
        <v>923</v>
      </c>
      <c r="T16" s="540" t="s">
        <v>923</v>
      </c>
      <c r="U16" s="540" t="s">
        <v>923</v>
      </c>
    </row>
    <row r="17" spans="1:22" x14ac:dyDescent="0.2">
      <c r="A17" s="544" t="s">
        <v>941</v>
      </c>
      <c r="B17" s="540" t="s">
        <v>890</v>
      </c>
      <c r="C17" s="540" t="s">
        <v>1010</v>
      </c>
      <c r="D17" s="540" t="s">
        <v>1010</v>
      </c>
      <c r="E17" s="540" t="s">
        <v>1010</v>
      </c>
      <c r="F17" s="540" t="s">
        <v>1010</v>
      </c>
      <c r="G17" s="540" t="s">
        <v>1010</v>
      </c>
      <c r="H17" s="540" t="s">
        <v>1010</v>
      </c>
      <c r="I17" s="540" t="s">
        <v>1010</v>
      </c>
      <c r="J17" s="540" t="s">
        <v>1010</v>
      </c>
      <c r="K17" s="540" t="s">
        <v>931</v>
      </c>
      <c r="L17" s="540" t="s">
        <v>931</v>
      </c>
      <c r="M17" s="540" t="s">
        <v>931</v>
      </c>
      <c r="N17" s="540" t="s">
        <v>931</v>
      </c>
      <c r="O17" s="540" t="s">
        <v>931</v>
      </c>
      <c r="P17" s="540" t="s">
        <v>931</v>
      </c>
      <c r="Q17" s="540" t="s">
        <v>931</v>
      </c>
      <c r="R17" s="540" t="s">
        <v>931</v>
      </c>
      <c r="S17" s="540" t="s">
        <v>931</v>
      </c>
      <c r="T17" s="540" t="s">
        <v>931</v>
      </c>
      <c r="U17" s="540" t="s">
        <v>931</v>
      </c>
    </row>
    <row r="18" spans="1:22" x14ac:dyDescent="0.2">
      <c r="A18" s="544" t="s">
        <v>907</v>
      </c>
      <c r="B18" s="540" t="s">
        <v>904</v>
      </c>
      <c r="C18" s="540" t="s">
        <v>906</v>
      </c>
      <c r="D18" s="540" t="s">
        <v>906</v>
      </c>
      <c r="E18" s="540" t="s">
        <v>906</v>
      </c>
      <c r="F18" s="540" t="s">
        <v>906</v>
      </c>
      <c r="G18" s="540" t="s">
        <v>906</v>
      </c>
      <c r="H18" s="540" t="s">
        <v>906</v>
      </c>
      <c r="I18" s="540" t="s">
        <v>906</v>
      </c>
      <c r="J18" s="540" t="s">
        <v>906</v>
      </c>
      <c r="K18" s="540" t="s">
        <v>906</v>
      </c>
      <c r="L18" s="540" t="s">
        <v>906</v>
      </c>
      <c r="M18" s="540" t="s">
        <v>906</v>
      </c>
      <c r="N18" s="540" t="s">
        <v>906</v>
      </c>
      <c r="O18" s="540" t="s">
        <v>906</v>
      </c>
      <c r="P18" s="540" t="s">
        <v>906</v>
      </c>
      <c r="Q18" s="540" t="s">
        <v>906</v>
      </c>
      <c r="R18" s="540" t="s">
        <v>906</v>
      </c>
      <c r="S18" s="540" t="s">
        <v>906</v>
      </c>
      <c r="T18" s="540" t="s">
        <v>906</v>
      </c>
      <c r="U18" s="540" t="s">
        <v>906</v>
      </c>
      <c r="V18" s="66"/>
    </row>
    <row r="19" spans="1:22" x14ac:dyDescent="0.2">
      <c r="A19" s="545" t="s">
        <v>966</v>
      </c>
      <c r="B19" s="540" t="s">
        <v>905</v>
      </c>
      <c r="C19" s="540" t="s">
        <v>967</v>
      </c>
      <c r="D19" s="540" t="s">
        <v>967</v>
      </c>
      <c r="E19" s="540" t="s">
        <v>967</v>
      </c>
      <c r="F19" s="540" t="s">
        <v>967</v>
      </c>
      <c r="G19" s="540" t="s">
        <v>967</v>
      </c>
      <c r="H19" s="540" t="s">
        <v>967</v>
      </c>
      <c r="I19" s="540" t="s">
        <v>967</v>
      </c>
      <c r="J19" s="540" t="s">
        <v>967</v>
      </c>
      <c r="K19" s="540" t="s">
        <v>967</v>
      </c>
      <c r="L19" s="540" t="s">
        <v>967</v>
      </c>
      <c r="M19" s="540" t="s">
        <v>967</v>
      </c>
      <c r="N19" s="540" t="s">
        <v>967</v>
      </c>
      <c r="O19" s="540" t="s">
        <v>968</v>
      </c>
      <c r="P19" s="540" t="s">
        <v>968</v>
      </c>
      <c r="Q19" s="540" t="s">
        <v>968</v>
      </c>
      <c r="R19" s="540" t="s">
        <v>968</v>
      </c>
      <c r="S19" s="540" t="s">
        <v>968</v>
      </c>
      <c r="T19" s="540" t="s">
        <v>968</v>
      </c>
      <c r="U19" s="540" t="s">
        <v>968</v>
      </c>
      <c r="V19" s="66"/>
    </row>
    <row r="20" spans="1:22" x14ac:dyDescent="0.2">
      <c r="A20" s="545" t="s">
        <v>935</v>
      </c>
      <c r="B20" s="540" t="s">
        <v>905</v>
      </c>
      <c r="C20" s="540" t="s">
        <v>917</v>
      </c>
      <c r="D20" s="540" t="s">
        <v>917</v>
      </c>
      <c r="E20" s="540" t="s">
        <v>917</v>
      </c>
      <c r="F20" s="540" t="s">
        <v>917</v>
      </c>
      <c r="G20" s="540" t="s">
        <v>917</v>
      </c>
      <c r="H20" s="540" t="s">
        <v>917</v>
      </c>
      <c r="I20" s="540" t="s">
        <v>917</v>
      </c>
      <c r="J20" s="540" t="s">
        <v>917</v>
      </c>
      <c r="K20" s="540" t="s">
        <v>917</v>
      </c>
      <c r="L20" s="540" t="s">
        <v>917</v>
      </c>
      <c r="M20" s="540" t="s">
        <v>917</v>
      </c>
      <c r="N20" s="540" t="s">
        <v>917</v>
      </c>
      <c r="O20" s="540" t="s">
        <v>969</v>
      </c>
      <c r="P20" s="540" t="s">
        <v>969</v>
      </c>
      <c r="Q20" s="540" t="s">
        <v>969</v>
      </c>
      <c r="R20" s="540" t="s">
        <v>969</v>
      </c>
      <c r="S20" s="540" t="s">
        <v>969</v>
      </c>
      <c r="T20" s="540" t="s">
        <v>969</v>
      </c>
      <c r="U20" s="540" t="s">
        <v>969</v>
      </c>
      <c r="V20" s="66"/>
    </row>
    <row r="21" spans="1:22" x14ac:dyDescent="0.2">
      <c r="A21" s="545" t="s">
        <v>937</v>
      </c>
      <c r="B21" s="540" t="s">
        <v>936</v>
      </c>
      <c r="C21" s="540" t="s">
        <v>938</v>
      </c>
      <c r="D21" s="540" t="s">
        <v>938</v>
      </c>
      <c r="E21" s="540" t="s">
        <v>938</v>
      </c>
      <c r="F21" s="540" t="s">
        <v>938</v>
      </c>
      <c r="G21" s="540" t="s">
        <v>938</v>
      </c>
      <c r="H21" s="540" t="s">
        <v>938</v>
      </c>
      <c r="I21" s="540" t="s">
        <v>938</v>
      </c>
      <c r="J21" s="540" t="s">
        <v>938</v>
      </c>
      <c r="K21" s="540" t="s">
        <v>938</v>
      </c>
      <c r="L21" s="540" t="s">
        <v>938</v>
      </c>
      <c r="M21" s="540" t="s">
        <v>938</v>
      </c>
      <c r="N21" s="540" t="s">
        <v>938</v>
      </c>
      <c r="O21" s="540" t="s">
        <v>938</v>
      </c>
      <c r="P21" s="540" t="s">
        <v>938</v>
      </c>
      <c r="Q21" s="540" t="s">
        <v>938</v>
      </c>
      <c r="R21" s="540" t="s">
        <v>938</v>
      </c>
      <c r="S21" s="540" t="s">
        <v>938</v>
      </c>
      <c r="T21" s="540" t="s">
        <v>938</v>
      </c>
      <c r="U21" s="540" t="s">
        <v>938</v>
      </c>
      <c r="V21" s="66"/>
    </row>
    <row r="22" spans="1:22" x14ac:dyDescent="0.2">
      <c r="A22" s="544" t="s">
        <v>942</v>
      </c>
      <c r="B22" s="540" t="s">
        <v>81</v>
      </c>
      <c r="C22" s="538" t="s">
        <v>924</v>
      </c>
      <c r="D22" s="538" t="s">
        <v>924</v>
      </c>
      <c r="E22" s="538" t="s">
        <v>924</v>
      </c>
      <c r="F22" s="538" t="s">
        <v>924</v>
      </c>
      <c r="G22" s="538" t="s">
        <v>924</v>
      </c>
      <c r="H22" s="538" t="s">
        <v>924</v>
      </c>
      <c r="I22" s="538" t="s">
        <v>924</v>
      </c>
      <c r="J22" s="538" t="s">
        <v>924</v>
      </c>
      <c r="K22" s="538" t="s">
        <v>924</v>
      </c>
      <c r="L22" s="538" t="s">
        <v>924</v>
      </c>
      <c r="M22" s="538" t="s">
        <v>924</v>
      </c>
      <c r="N22" s="538" t="s">
        <v>924</v>
      </c>
      <c r="O22" s="538" t="s">
        <v>924</v>
      </c>
      <c r="P22" s="538" t="s">
        <v>924</v>
      </c>
      <c r="Q22" s="538" t="s">
        <v>924</v>
      </c>
      <c r="R22" s="538" t="s">
        <v>924</v>
      </c>
      <c r="S22" s="538" t="s">
        <v>924</v>
      </c>
      <c r="T22" s="538" t="s">
        <v>924</v>
      </c>
      <c r="U22" s="538" t="s">
        <v>924</v>
      </c>
      <c r="V22" s="66"/>
    </row>
    <row r="23" spans="1:22" x14ac:dyDescent="0.2">
      <c r="A23" s="544" t="s">
        <v>943</v>
      </c>
      <c r="B23" s="540" t="s">
        <v>81</v>
      </c>
      <c r="C23" s="538" t="s">
        <v>925</v>
      </c>
      <c r="D23" s="538" t="s">
        <v>925</v>
      </c>
      <c r="E23" s="538" t="s">
        <v>925</v>
      </c>
      <c r="F23" s="538" t="s">
        <v>925</v>
      </c>
      <c r="G23" s="538" t="s">
        <v>925</v>
      </c>
      <c r="H23" s="538" t="s">
        <v>925</v>
      </c>
      <c r="I23" s="538" t="s">
        <v>925</v>
      </c>
      <c r="J23" s="538" t="s">
        <v>925</v>
      </c>
      <c r="K23" s="538" t="s">
        <v>925</v>
      </c>
      <c r="L23" s="538" t="s">
        <v>925</v>
      </c>
      <c r="M23" s="538" t="s">
        <v>925</v>
      </c>
      <c r="N23" s="538" t="s">
        <v>925</v>
      </c>
      <c r="O23" s="538" t="s">
        <v>925</v>
      </c>
      <c r="P23" s="538" t="s">
        <v>925</v>
      </c>
      <c r="Q23" s="538" t="s">
        <v>925</v>
      </c>
      <c r="R23" s="538" t="s">
        <v>925</v>
      </c>
      <c r="S23" s="538" t="s">
        <v>925</v>
      </c>
      <c r="T23" s="538" t="s">
        <v>925</v>
      </c>
      <c r="U23" s="538" t="s">
        <v>925</v>
      </c>
      <c r="V23" s="66"/>
    </row>
    <row r="24" spans="1:22" x14ac:dyDescent="0.2">
      <c r="A24" s="544" t="s">
        <v>919</v>
      </c>
      <c r="B24" s="540" t="s">
        <v>457</v>
      </c>
      <c r="C24" s="540" t="s">
        <v>977</v>
      </c>
      <c r="D24" s="540" t="s">
        <v>977</v>
      </c>
      <c r="E24" s="540" t="s">
        <v>977</v>
      </c>
      <c r="F24" s="540" t="s">
        <v>977</v>
      </c>
      <c r="G24" s="540" t="s">
        <v>977</v>
      </c>
      <c r="H24" s="540" t="s">
        <v>977</v>
      </c>
      <c r="I24" s="540" t="s">
        <v>977</v>
      </c>
      <c r="J24" s="540" t="s">
        <v>977</v>
      </c>
      <c r="K24" s="540" t="s">
        <v>977</v>
      </c>
      <c r="L24" s="540" t="s">
        <v>977</v>
      </c>
      <c r="M24" s="538" t="s">
        <v>918</v>
      </c>
      <c r="N24" s="538" t="s">
        <v>918</v>
      </c>
      <c r="O24" s="538" t="s">
        <v>918</v>
      </c>
      <c r="P24" s="538" t="s">
        <v>918</v>
      </c>
      <c r="Q24" s="538" t="s">
        <v>918</v>
      </c>
      <c r="R24" s="538" t="s">
        <v>918</v>
      </c>
      <c r="S24" s="538" t="s">
        <v>918</v>
      </c>
      <c r="T24" s="538" t="s">
        <v>918</v>
      </c>
      <c r="U24" s="538" t="s">
        <v>918</v>
      </c>
    </row>
    <row r="25" spans="1:22" x14ac:dyDescent="0.2">
      <c r="A25" s="545" t="s">
        <v>3247</v>
      </c>
      <c r="B25" s="540" t="s">
        <v>3249</v>
      </c>
      <c r="C25" s="540" t="s">
        <v>3250</v>
      </c>
      <c r="D25" s="540" t="s">
        <v>3250</v>
      </c>
      <c r="E25" s="540" t="s">
        <v>3250</v>
      </c>
      <c r="F25" s="540" t="s">
        <v>3250</v>
      </c>
      <c r="G25" s="540" t="s">
        <v>3250</v>
      </c>
      <c r="H25" s="540" t="s">
        <v>3250</v>
      </c>
      <c r="I25" s="540" t="s">
        <v>3250</v>
      </c>
      <c r="J25" s="540" t="s">
        <v>3250</v>
      </c>
      <c r="K25" s="540" t="s">
        <v>3250</v>
      </c>
      <c r="L25" s="540" t="s">
        <v>3250</v>
      </c>
      <c r="M25" s="540" t="s">
        <v>3250</v>
      </c>
      <c r="N25" s="540" t="s">
        <v>3250</v>
      </c>
      <c r="O25" s="540" t="s">
        <v>3250</v>
      </c>
      <c r="P25" s="540" t="s">
        <v>3250</v>
      </c>
      <c r="Q25" s="540" t="s">
        <v>3250</v>
      </c>
      <c r="R25" s="540" t="s">
        <v>3250</v>
      </c>
      <c r="S25" s="540" t="s">
        <v>3250</v>
      </c>
      <c r="T25" s="540" t="s">
        <v>3250</v>
      </c>
      <c r="U25" s="540" t="s">
        <v>3250</v>
      </c>
    </row>
    <row r="26" spans="1:22" x14ac:dyDescent="0.2">
      <c r="A26" s="545" t="s">
        <v>3245</v>
      </c>
      <c r="B26" s="540" t="s">
        <v>3249</v>
      </c>
      <c r="C26" s="540" t="s">
        <v>3251</v>
      </c>
      <c r="D26" s="540" t="s">
        <v>3251</v>
      </c>
      <c r="E26" s="540" t="s">
        <v>3251</v>
      </c>
      <c r="F26" s="540" t="s">
        <v>3251</v>
      </c>
      <c r="G26" s="540" t="s">
        <v>3251</v>
      </c>
      <c r="H26" s="540" t="s">
        <v>3251</v>
      </c>
      <c r="I26" s="540" t="s">
        <v>3251</v>
      </c>
      <c r="J26" s="540" t="s">
        <v>3251</v>
      </c>
      <c r="K26" s="540" t="s">
        <v>3251</v>
      </c>
      <c r="L26" s="540" t="s">
        <v>3251</v>
      </c>
      <c r="M26" s="540" t="s">
        <v>3251</v>
      </c>
      <c r="N26" s="540" t="s">
        <v>3251</v>
      </c>
      <c r="O26" s="540" t="s">
        <v>3251</v>
      </c>
      <c r="P26" s="540" t="s">
        <v>3251</v>
      </c>
      <c r="Q26" s="540" t="s">
        <v>3251</v>
      </c>
      <c r="R26" s="540" t="s">
        <v>3251</v>
      </c>
      <c r="S26" s="540" t="s">
        <v>3251</v>
      </c>
      <c r="T26" s="540" t="s">
        <v>3251</v>
      </c>
      <c r="U26" s="540" t="s">
        <v>3251</v>
      </c>
    </row>
    <row r="27" spans="1:22" x14ac:dyDescent="0.2">
      <c r="A27" s="545" t="s">
        <v>3246</v>
      </c>
      <c r="B27" s="540" t="s">
        <v>3249</v>
      </c>
      <c r="C27" s="540" t="s">
        <v>3252</v>
      </c>
      <c r="D27" s="540" t="s">
        <v>3252</v>
      </c>
      <c r="E27" s="540" t="s">
        <v>3252</v>
      </c>
      <c r="F27" s="540" t="s">
        <v>3252</v>
      </c>
      <c r="G27" s="540" t="s">
        <v>3252</v>
      </c>
      <c r="H27" s="540" t="s">
        <v>3252</v>
      </c>
      <c r="I27" s="540" t="s">
        <v>3252</v>
      </c>
      <c r="J27" s="540" t="s">
        <v>3252</v>
      </c>
      <c r="K27" s="540" t="s">
        <v>3252</v>
      </c>
      <c r="L27" s="540" t="s">
        <v>3252</v>
      </c>
      <c r="M27" s="540" t="s">
        <v>3252</v>
      </c>
      <c r="N27" s="540" t="s">
        <v>3252</v>
      </c>
      <c r="O27" s="540" t="s">
        <v>3252</v>
      </c>
      <c r="P27" s="540" t="s">
        <v>3252</v>
      </c>
      <c r="Q27" s="540" t="s">
        <v>3252</v>
      </c>
      <c r="R27" s="540" t="s">
        <v>3252</v>
      </c>
      <c r="S27" s="540" t="s">
        <v>3252</v>
      </c>
      <c r="T27" s="540" t="s">
        <v>3252</v>
      </c>
      <c r="U27" s="540" t="s">
        <v>3252</v>
      </c>
    </row>
    <row r="28" spans="1:22" x14ac:dyDescent="0.2">
      <c r="A28" s="545" t="s">
        <v>3248</v>
      </c>
      <c r="B28" s="540" t="s">
        <v>3249</v>
      </c>
      <c r="C28" s="540" t="s">
        <v>3253</v>
      </c>
      <c r="D28" s="540" t="s">
        <v>3253</v>
      </c>
      <c r="E28" s="540" t="s">
        <v>3253</v>
      </c>
      <c r="F28" s="540" t="s">
        <v>3253</v>
      </c>
      <c r="G28" s="540" t="s">
        <v>3253</v>
      </c>
      <c r="H28" s="540" t="s">
        <v>3253</v>
      </c>
      <c r="I28" s="540" t="s">
        <v>3253</v>
      </c>
      <c r="J28" s="540" t="s">
        <v>3253</v>
      </c>
      <c r="K28" s="540" t="s">
        <v>3253</v>
      </c>
      <c r="L28" s="540" t="s">
        <v>3253</v>
      </c>
      <c r="M28" s="540" t="s">
        <v>3253</v>
      </c>
      <c r="N28" s="540" t="s">
        <v>3253</v>
      </c>
      <c r="O28" s="540" t="s">
        <v>3253</v>
      </c>
      <c r="P28" s="540" t="s">
        <v>3253</v>
      </c>
      <c r="Q28" s="540" t="s">
        <v>3253</v>
      </c>
      <c r="R28" s="540" t="s">
        <v>3253</v>
      </c>
      <c r="S28" s="540" t="s">
        <v>3253</v>
      </c>
      <c r="T28" s="540" t="s">
        <v>3253</v>
      </c>
      <c r="U28" s="540" t="s">
        <v>3253</v>
      </c>
    </row>
    <row r="29" spans="1:22" x14ac:dyDescent="0.2">
      <c r="A29" s="545" t="s">
        <v>3257</v>
      </c>
      <c r="B29" s="540" t="s">
        <v>3249</v>
      </c>
      <c r="C29" s="540" t="s">
        <v>3254</v>
      </c>
      <c r="D29" s="540"/>
      <c r="E29" s="540"/>
      <c r="F29" s="540"/>
      <c r="G29" s="540"/>
      <c r="H29" s="540"/>
      <c r="I29" s="540"/>
      <c r="J29" s="540"/>
      <c r="K29" s="540"/>
      <c r="L29" s="540"/>
      <c r="M29" s="538"/>
      <c r="N29" s="538"/>
      <c r="O29" s="538"/>
      <c r="P29" s="538"/>
      <c r="Q29" s="538"/>
      <c r="R29" s="538"/>
      <c r="S29" s="538"/>
      <c r="T29" s="538"/>
      <c r="U29" s="538"/>
    </row>
    <row r="30" spans="1:22" x14ac:dyDescent="0.2">
      <c r="A30" s="545" t="s">
        <v>3255</v>
      </c>
      <c r="B30" s="540" t="s">
        <v>3249</v>
      </c>
      <c r="C30" s="540" t="s">
        <v>3256</v>
      </c>
      <c r="D30" s="540"/>
      <c r="E30" s="540"/>
      <c r="F30" s="540"/>
      <c r="G30" s="540"/>
      <c r="H30" s="540"/>
      <c r="I30" s="540"/>
      <c r="J30" s="540"/>
      <c r="K30" s="540"/>
      <c r="L30" s="540"/>
      <c r="M30" s="538"/>
      <c r="N30" s="538"/>
      <c r="O30" s="538"/>
      <c r="P30" s="538"/>
      <c r="Q30" s="538"/>
      <c r="R30" s="538"/>
      <c r="S30" s="538"/>
      <c r="T30" s="538"/>
      <c r="U30" s="538"/>
    </row>
    <row r="31" spans="1:22" x14ac:dyDescent="0.2">
      <c r="A31" s="545" t="s">
        <v>944</v>
      </c>
      <c r="B31" s="540" t="s">
        <v>945</v>
      </c>
      <c r="C31" s="540" t="s">
        <v>946</v>
      </c>
      <c r="D31" s="540" t="s">
        <v>946</v>
      </c>
      <c r="E31" s="540" t="s">
        <v>946</v>
      </c>
      <c r="F31" s="540" t="s">
        <v>946</v>
      </c>
      <c r="G31" s="540" t="s">
        <v>946</v>
      </c>
      <c r="H31" s="540" t="s">
        <v>946</v>
      </c>
      <c r="I31" s="540" t="s">
        <v>946</v>
      </c>
      <c r="J31" s="540" t="s">
        <v>946</v>
      </c>
      <c r="K31" s="540" t="s">
        <v>946</v>
      </c>
      <c r="L31" s="540" t="s">
        <v>946</v>
      </c>
      <c r="M31" s="540" t="s">
        <v>946</v>
      </c>
      <c r="N31" s="540" t="s">
        <v>946</v>
      </c>
      <c r="O31" s="540" t="s">
        <v>946</v>
      </c>
      <c r="P31" s="540" t="s">
        <v>946</v>
      </c>
      <c r="Q31" s="540" t="s">
        <v>946</v>
      </c>
      <c r="R31" s="540" t="s">
        <v>946</v>
      </c>
      <c r="S31" s="540" t="s">
        <v>946</v>
      </c>
      <c r="T31" s="540" t="s">
        <v>946</v>
      </c>
      <c r="U31" s="540" t="s">
        <v>946</v>
      </c>
    </row>
    <row r="33" spans="11:18" x14ac:dyDescent="0.2">
      <c r="K33" s="538"/>
      <c r="L33" s="538"/>
    </row>
    <row r="37" spans="11:18" x14ac:dyDescent="0.2">
      <c r="R37" s="538"/>
    </row>
  </sheetData>
  <mergeCells count="1">
    <mergeCell ref="W7:Y10"/>
  </mergeCells>
  <phoneticPr fontId="43" type="noConversion"/>
  <pageMargins left="0.7" right="0.7" top="0.75" bottom="0.75" header="0.3" footer="0.3"/>
  <pageSetup orientation="portrait" horizontalDpi="90" verticalDpi="90"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
  <dimension ref="B1:I61"/>
  <sheetViews>
    <sheetView showGridLines="0" topLeftCell="A55" workbookViewId="0">
      <selection activeCell="C58" sqref="C58"/>
    </sheetView>
  </sheetViews>
  <sheetFormatPr defaultRowHeight="12.75" x14ac:dyDescent="0.2"/>
  <cols>
    <col min="2" max="2" width="11" style="25" customWidth="1"/>
    <col min="3" max="3" width="45.7109375" customWidth="1"/>
    <col min="4" max="5" width="20.7109375" style="25" customWidth="1"/>
    <col min="6" max="6" width="20.7109375" style="25" hidden="1" customWidth="1"/>
    <col min="8" max="8" width="14.5703125" bestFit="1" customWidth="1"/>
  </cols>
  <sheetData>
    <row r="1" spans="2:9" ht="26.25" customHeight="1" thickBot="1" x14ac:dyDescent="0.25"/>
    <row r="2" spans="2:9" ht="30" customHeight="1" thickBot="1" x14ac:dyDescent="0.25">
      <c r="B2" s="566" t="s">
        <v>260</v>
      </c>
      <c r="C2" s="566" t="s">
        <v>261</v>
      </c>
      <c r="D2" s="566" t="s">
        <v>262</v>
      </c>
      <c r="E2" s="566" t="s">
        <v>263</v>
      </c>
      <c r="F2" s="84" t="s">
        <v>264</v>
      </c>
      <c r="H2" s="541" t="s">
        <v>932</v>
      </c>
      <c r="I2" s="563" t="str" cm="1">
        <f t="array" ref="I2">(LOOKUP(2,1/(B:B&lt;&gt;""),B:B))</f>
        <v>4.6.0</v>
      </c>
    </row>
    <row r="3" spans="2:9" x14ac:dyDescent="0.2">
      <c r="B3" s="85" t="s">
        <v>267</v>
      </c>
      <c r="C3" s="86" t="s">
        <v>268</v>
      </c>
      <c r="D3" s="87">
        <v>41386</v>
      </c>
      <c r="E3" s="88" t="s">
        <v>265</v>
      </c>
      <c r="F3" s="88" t="s">
        <v>266</v>
      </c>
    </row>
    <row r="4" spans="2:9" x14ac:dyDescent="0.2">
      <c r="B4" s="931">
        <v>1.1000000000000001</v>
      </c>
      <c r="C4" s="82" t="s">
        <v>270</v>
      </c>
      <c r="D4" s="932">
        <v>41396</v>
      </c>
      <c r="E4" s="924" t="s">
        <v>265</v>
      </c>
      <c r="F4" s="924" t="s">
        <v>266</v>
      </c>
    </row>
    <row r="5" spans="2:9" ht="51" x14ac:dyDescent="0.2">
      <c r="B5" s="925"/>
      <c r="C5" s="83" t="s">
        <v>271</v>
      </c>
      <c r="D5" s="925"/>
      <c r="E5" s="933"/>
      <c r="F5" s="925"/>
    </row>
    <row r="6" spans="2:9" x14ac:dyDescent="0.2">
      <c r="B6" s="926"/>
      <c r="C6" s="82" t="s">
        <v>269</v>
      </c>
      <c r="D6" s="926"/>
      <c r="E6" s="934"/>
      <c r="F6" s="926"/>
    </row>
    <row r="7" spans="2:9" ht="12.75" customHeight="1" x14ac:dyDescent="0.2">
      <c r="B7" s="928">
        <v>1.2</v>
      </c>
      <c r="C7" s="927" t="s">
        <v>294</v>
      </c>
      <c r="D7" s="930">
        <v>41449</v>
      </c>
      <c r="E7" s="928" t="s">
        <v>265</v>
      </c>
      <c r="F7" s="928" t="s">
        <v>266</v>
      </c>
    </row>
    <row r="8" spans="2:9" x14ac:dyDescent="0.2">
      <c r="B8" s="929"/>
      <c r="C8" s="927"/>
      <c r="D8" s="929"/>
      <c r="E8" s="929"/>
      <c r="F8" s="929"/>
    </row>
    <row r="9" spans="2:9" ht="51" x14ac:dyDescent="0.2">
      <c r="B9" s="945">
        <v>2</v>
      </c>
      <c r="C9" s="83" t="s">
        <v>383</v>
      </c>
      <c r="D9" s="948">
        <v>41668</v>
      </c>
      <c r="E9" s="937" t="s">
        <v>265</v>
      </c>
      <c r="F9" s="937" t="s">
        <v>375</v>
      </c>
    </row>
    <row r="10" spans="2:9" ht="63.75" x14ac:dyDescent="0.2">
      <c r="B10" s="946"/>
      <c r="C10" s="83" t="s">
        <v>384</v>
      </c>
      <c r="D10" s="948"/>
      <c r="E10" s="937"/>
      <c r="F10" s="937"/>
    </row>
    <row r="11" spans="2:9" x14ac:dyDescent="0.2">
      <c r="B11" s="946"/>
      <c r="C11" s="83" t="s">
        <v>387</v>
      </c>
      <c r="D11" s="948"/>
      <c r="E11" s="937"/>
      <c r="F11" s="937"/>
    </row>
    <row r="12" spans="2:9" ht="63.75" x14ac:dyDescent="0.2">
      <c r="B12" s="946"/>
      <c r="C12" s="83" t="s">
        <v>386</v>
      </c>
      <c r="D12" s="948"/>
      <c r="E12" s="937"/>
      <c r="F12" s="937"/>
    </row>
    <row r="13" spans="2:9" ht="38.25" x14ac:dyDescent="0.2">
      <c r="B13" s="946"/>
      <c r="C13" s="83" t="s">
        <v>385</v>
      </c>
      <c r="D13" s="948"/>
      <c r="E13" s="937"/>
      <c r="F13" s="937"/>
    </row>
    <row r="14" spans="2:9" ht="25.5" x14ac:dyDescent="0.2">
      <c r="B14" s="947"/>
      <c r="C14" s="83" t="s">
        <v>388</v>
      </c>
      <c r="D14" s="948"/>
      <c r="E14" s="937"/>
      <c r="F14" s="937"/>
    </row>
    <row r="15" spans="2:9" ht="51" x14ac:dyDescent="0.2">
      <c r="B15" s="938">
        <v>2.1</v>
      </c>
      <c r="C15" s="180" t="s">
        <v>389</v>
      </c>
      <c r="D15" s="930">
        <v>41716</v>
      </c>
      <c r="E15" s="944" t="s">
        <v>265</v>
      </c>
      <c r="F15" s="944" t="s">
        <v>375</v>
      </c>
    </row>
    <row r="16" spans="2:9" ht="51" x14ac:dyDescent="0.2">
      <c r="B16" s="938"/>
      <c r="C16" s="180" t="s">
        <v>390</v>
      </c>
      <c r="D16" s="940"/>
      <c r="E16" s="944"/>
      <c r="F16" s="944"/>
    </row>
    <row r="17" spans="2:6" ht="76.5" x14ac:dyDescent="0.2">
      <c r="B17" s="138">
        <v>2.2000000000000002</v>
      </c>
      <c r="C17" s="179" t="s">
        <v>601</v>
      </c>
      <c r="D17" s="137">
        <v>41725</v>
      </c>
      <c r="E17" s="176" t="s">
        <v>265</v>
      </c>
      <c r="F17" s="167" t="s">
        <v>375</v>
      </c>
    </row>
    <row r="18" spans="2:6" ht="211.9" customHeight="1" x14ac:dyDescent="0.2">
      <c r="B18" s="938">
        <v>2.2999999999999998</v>
      </c>
      <c r="C18" s="182" t="s">
        <v>595</v>
      </c>
      <c r="D18" s="930">
        <v>41893</v>
      </c>
      <c r="E18" s="928" t="s">
        <v>265</v>
      </c>
      <c r="F18" s="183"/>
    </row>
    <row r="19" spans="2:6" x14ac:dyDescent="0.2">
      <c r="B19" s="938"/>
      <c r="C19" s="184" t="s">
        <v>596</v>
      </c>
      <c r="D19" s="939"/>
      <c r="E19" s="941"/>
      <c r="F19" s="183"/>
    </row>
    <row r="20" spans="2:6" ht="87.6" customHeight="1" x14ac:dyDescent="0.2">
      <c r="B20" s="938"/>
      <c r="C20" s="182" t="s">
        <v>600</v>
      </c>
      <c r="D20" s="939"/>
      <c r="E20" s="941"/>
      <c r="F20" s="183"/>
    </row>
    <row r="21" spans="2:6" ht="51" x14ac:dyDescent="0.2">
      <c r="B21" s="938"/>
      <c r="C21" s="182" t="s">
        <v>597</v>
      </c>
      <c r="D21" s="939"/>
      <c r="E21" s="941"/>
      <c r="F21" s="183"/>
    </row>
    <row r="22" spans="2:6" ht="38.25" x14ac:dyDescent="0.2">
      <c r="B22" s="938"/>
      <c r="C22" s="182" t="s">
        <v>598</v>
      </c>
      <c r="D22" s="940"/>
      <c r="E22" s="929"/>
      <c r="F22" s="183"/>
    </row>
    <row r="23" spans="2:6" x14ac:dyDescent="0.2">
      <c r="B23" s="935">
        <v>2.4</v>
      </c>
      <c r="C23" s="178" t="s">
        <v>599</v>
      </c>
      <c r="D23" s="932">
        <v>41921</v>
      </c>
      <c r="E23" s="924" t="s">
        <v>265</v>
      </c>
    </row>
    <row r="24" spans="2:6" ht="51" x14ac:dyDescent="0.2">
      <c r="B24" s="935"/>
      <c r="C24" s="181" t="s">
        <v>602</v>
      </c>
      <c r="D24" s="949"/>
      <c r="E24" s="926"/>
    </row>
    <row r="25" spans="2:6" ht="67.7" customHeight="1" x14ac:dyDescent="0.2">
      <c r="B25" s="938">
        <v>2.5</v>
      </c>
      <c r="C25" s="182" t="s">
        <v>618</v>
      </c>
      <c r="D25" s="930">
        <v>42187</v>
      </c>
      <c r="E25" s="928" t="s">
        <v>265</v>
      </c>
    </row>
    <row r="26" spans="2:6" ht="25.5" x14ac:dyDescent="0.2">
      <c r="B26" s="938"/>
      <c r="C26" s="182" t="s">
        <v>617</v>
      </c>
      <c r="D26" s="939"/>
      <c r="E26" s="941"/>
    </row>
    <row r="27" spans="2:6" ht="25.5" x14ac:dyDescent="0.2">
      <c r="B27" s="938"/>
      <c r="C27" s="182" t="s">
        <v>621</v>
      </c>
      <c r="D27" s="939"/>
      <c r="E27" s="941"/>
    </row>
    <row r="28" spans="2:6" x14ac:dyDescent="0.2">
      <c r="B28" s="938"/>
      <c r="C28" s="182" t="s">
        <v>620</v>
      </c>
      <c r="D28" s="939"/>
      <c r="E28" s="941"/>
    </row>
    <row r="29" spans="2:6" x14ac:dyDescent="0.2">
      <c r="B29" s="938"/>
      <c r="C29" s="182" t="s">
        <v>619</v>
      </c>
      <c r="D29" s="940"/>
      <c r="E29" s="929"/>
    </row>
    <row r="30" spans="2:6" ht="15.75" customHeight="1" x14ac:dyDescent="0.2">
      <c r="B30" s="209" t="s">
        <v>622</v>
      </c>
      <c r="C30" s="208" t="s">
        <v>623</v>
      </c>
      <c r="D30" s="210">
        <v>42229</v>
      </c>
      <c r="E30" s="209" t="s">
        <v>265</v>
      </c>
    </row>
    <row r="31" spans="2:6" ht="81" customHeight="1" x14ac:dyDescent="0.2">
      <c r="B31" s="216" t="s">
        <v>633</v>
      </c>
      <c r="C31" s="180" t="s">
        <v>632</v>
      </c>
      <c r="D31" s="213">
        <v>42635</v>
      </c>
      <c r="E31" s="211" t="s">
        <v>265</v>
      </c>
    </row>
    <row r="32" spans="2:6" ht="25.5" x14ac:dyDescent="0.2">
      <c r="B32" s="935" t="s">
        <v>659</v>
      </c>
      <c r="C32" s="208" t="s">
        <v>660</v>
      </c>
      <c r="D32" s="936">
        <v>42979</v>
      </c>
      <c r="E32" s="937" t="s">
        <v>265</v>
      </c>
    </row>
    <row r="33" spans="2:5" ht="25.5" x14ac:dyDescent="0.2">
      <c r="B33" s="935"/>
      <c r="C33" s="208" t="s">
        <v>661</v>
      </c>
      <c r="D33" s="935"/>
      <c r="E33" s="935"/>
    </row>
    <row r="34" spans="2:5" ht="25.5" x14ac:dyDescent="0.2">
      <c r="B34" s="935"/>
      <c r="C34" s="208" t="s">
        <v>662</v>
      </c>
      <c r="D34" s="935"/>
      <c r="E34" s="935"/>
    </row>
    <row r="35" spans="2:5" ht="38.25" x14ac:dyDescent="0.2">
      <c r="B35" s="942" t="s">
        <v>683</v>
      </c>
      <c r="C35" s="182" t="s">
        <v>684</v>
      </c>
      <c r="D35" s="930">
        <v>42999</v>
      </c>
      <c r="E35" s="942" t="s">
        <v>265</v>
      </c>
    </row>
    <row r="36" spans="2:5" ht="38.25" x14ac:dyDescent="0.2">
      <c r="B36" s="943"/>
      <c r="C36" s="182" t="s">
        <v>685</v>
      </c>
      <c r="D36" s="940"/>
      <c r="E36" s="943"/>
    </row>
    <row r="37" spans="2:5" ht="38.25" x14ac:dyDescent="0.2">
      <c r="B37" s="230" t="s">
        <v>686</v>
      </c>
      <c r="C37" s="208" t="s">
        <v>687</v>
      </c>
      <c r="D37" s="231">
        <v>43013</v>
      </c>
      <c r="E37" s="230" t="s">
        <v>265</v>
      </c>
    </row>
    <row r="38" spans="2:5" ht="27" customHeight="1" x14ac:dyDescent="0.2">
      <c r="B38" s="232" t="s">
        <v>688</v>
      </c>
      <c r="C38" s="182" t="s">
        <v>689</v>
      </c>
      <c r="D38" s="87">
        <v>43132</v>
      </c>
      <c r="E38" s="88" t="s">
        <v>265</v>
      </c>
    </row>
    <row r="39" spans="2:5" ht="25.5" x14ac:dyDescent="0.2">
      <c r="B39" s="233" t="s">
        <v>690</v>
      </c>
      <c r="C39" s="208" t="s">
        <v>691</v>
      </c>
      <c r="D39" s="234">
        <v>43181</v>
      </c>
      <c r="E39" s="233" t="s">
        <v>265</v>
      </c>
    </row>
    <row r="40" spans="2:5" ht="51" x14ac:dyDescent="0.2">
      <c r="B40" s="457" t="s">
        <v>837</v>
      </c>
      <c r="C40" s="496" t="s">
        <v>928</v>
      </c>
      <c r="D40" s="213">
        <v>43252</v>
      </c>
      <c r="E40" s="457" t="s">
        <v>838</v>
      </c>
    </row>
    <row r="41" spans="2:5" ht="25.5" x14ac:dyDescent="0.2">
      <c r="B41" s="504" t="s">
        <v>847</v>
      </c>
      <c r="C41" s="208" t="s">
        <v>848</v>
      </c>
      <c r="D41" s="505">
        <v>43306</v>
      </c>
      <c r="E41" s="504" t="s">
        <v>265</v>
      </c>
    </row>
    <row r="42" spans="2:5" ht="102" x14ac:dyDescent="0.2">
      <c r="B42" s="509" t="s">
        <v>849</v>
      </c>
      <c r="C42" s="496" t="s">
        <v>850</v>
      </c>
      <c r="D42" s="213">
        <v>43321</v>
      </c>
      <c r="E42" s="509" t="s">
        <v>265</v>
      </c>
    </row>
    <row r="43" spans="2:5" ht="38.25" x14ac:dyDescent="0.2">
      <c r="B43" s="512" t="s">
        <v>852</v>
      </c>
      <c r="C43" s="208" t="s">
        <v>853</v>
      </c>
      <c r="D43" s="511">
        <v>43326</v>
      </c>
      <c r="E43" s="510" t="s">
        <v>265</v>
      </c>
    </row>
    <row r="44" spans="2:5" ht="108" customHeight="1" x14ac:dyDescent="0.2">
      <c r="B44" s="515" t="s">
        <v>854</v>
      </c>
      <c r="C44" s="496" t="s">
        <v>855</v>
      </c>
      <c r="D44" s="213">
        <v>43405</v>
      </c>
      <c r="E44" s="515" t="s">
        <v>265</v>
      </c>
    </row>
    <row r="45" spans="2:5" ht="54" customHeight="1" x14ac:dyDescent="0.2">
      <c r="B45" s="518" t="s">
        <v>856</v>
      </c>
      <c r="C45" s="520" t="s">
        <v>857</v>
      </c>
      <c r="D45" s="517">
        <v>43502</v>
      </c>
      <c r="E45" s="516" t="s">
        <v>265</v>
      </c>
    </row>
    <row r="46" spans="2:5" ht="38.25" x14ac:dyDescent="0.2">
      <c r="B46" s="519" t="s">
        <v>860</v>
      </c>
      <c r="C46" s="496" t="s">
        <v>859</v>
      </c>
      <c r="D46" s="213">
        <v>43507</v>
      </c>
      <c r="E46" s="519" t="s">
        <v>265</v>
      </c>
    </row>
    <row r="47" spans="2:5" ht="18.75" customHeight="1" x14ac:dyDescent="0.2">
      <c r="B47" s="521" t="s">
        <v>863</v>
      </c>
      <c r="C47" s="520" t="s">
        <v>862</v>
      </c>
      <c r="D47" s="523">
        <v>43524</v>
      </c>
      <c r="E47" s="522" t="s">
        <v>265</v>
      </c>
    </row>
    <row r="48" spans="2:5" ht="38.25" x14ac:dyDescent="0.2">
      <c r="B48" s="526" t="s">
        <v>872</v>
      </c>
      <c r="C48" s="496" t="s">
        <v>873</v>
      </c>
      <c r="D48" s="213">
        <v>43531</v>
      </c>
      <c r="E48" s="526" t="s">
        <v>265</v>
      </c>
    </row>
    <row r="49" spans="2:6" ht="25.5" x14ac:dyDescent="0.2">
      <c r="B49" s="530" t="s">
        <v>876</v>
      </c>
      <c r="C49" s="520" t="s">
        <v>874</v>
      </c>
      <c r="D49" s="529">
        <v>43888</v>
      </c>
      <c r="E49" s="530" t="s">
        <v>875</v>
      </c>
    </row>
    <row r="50" spans="2:6" ht="191.25" x14ac:dyDescent="0.2">
      <c r="B50" s="531" t="s">
        <v>896</v>
      </c>
      <c r="C50" s="496" t="s">
        <v>975</v>
      </c>
      <c r="D50" s="213">
        <v>44074</v>
      </c>
      <c r="E50" s="531" t="s">
        <v>927</v>
      </c>
    </row>
    <row r="51" spans="2:6" s="65" customFormat="1" ht="76.5" x14ac:dyDescent="0.2">
      <c r="B51" s="534" t="s">
        <v>978</v>
      </c>
      <c r="C51" s="520" t="s">
        <v>979</v>
      </c>
      <c r="D51" s="561">
        <v>44091</v>
      </c>
      <c r="E51" s="534" t="s">
        <v>927</v>
      </c>
      <c r="F51" s="532"/>
    </row>
    <row r="52" spans="2:6" ht="89.25" x14ac:dyDescent="0.2">
      <c r="B52" s="535" t="s">
        <v>990</v>
      </c>
      <c r="C52" s="496" t="s">
        <v>1011</v>
      </c>
      <c r="D52" s="213">
        <v>44148</v>
      </c>
      <c r="E52" s="535" t="s">
        <v>927</v>
      </c>
    </row>
    <row r="53" spans="2:6" ht="89.25" x14ac:dyDescent="0.2">
      <c r="B53" s="534" t="s">
        <v>1012</v>
      </c>
      <c r="C53" s="520" t="s">
        <v>1013</v>
      </c>
      <c r="D53" s="533">
        <v>44189</v>
      </c>
      <c r="E53" s="534" t="s">
        <v>927</v>
      </c>
    </row>
    <row r="54" spans="2:6" ht="140.25" x14ac:dyDescent="0.2">
      <c r="B54" s="535" t="s">
        <v>1014</v>
      </c>
      <c r="C54" s="496" t="s">
        <v>1015</v>
      </c>
      <c r="D54" s="213">
        <v>44244</v>
      </c>
      <c r="E54" s="535" t="s">
        <v>927</v>
      </c>
    </row>
    <row r="55" spans="2:6" ht="191.25" x14ac:dyDescent="0.2">
      <c r="B55" s="534" t="s">
        <v>1017</v>
      </c>
      <c r="C55" s="520" t="s">
        <v>1022</v>
      </c>
      <c r="D55" s="533">
        <v>44291</v>
      </c>
      <c r="E55" s="534" t="s">
        <v>927</v>
      </c>
    </row>
    <row r="56" spans="2:6" s="65" customFormat="1" ht="25.5" x14ac:dyDescent="0.2">
      <c r="B56" s="568" t="s">
        <v>1023</v>
      </c>
      <c r="C56" s="496" t="s">
        <v>1024</v>
      </c>
      <c r="D56" s="213">
        <v>44298</v>
      </c>
      <c r="E56" s="568" t="s">
        <v>927</v>
      </c>
      <c r="F56" s="567"/>
    </row>
    <row r="57" spans="2:6" s="65" customFormat="1" ht="38.25" x14ac:dyDescent="0.2">
      <c r="B57" s="569" t="s">
        <v>1025</v>
      </c>
      <c r="C57" s="520" t="s">
        <v>1026</v>
      </c>
      <c r="D57" s="570">
        <v>44337</v>
      </c>
      <c r="E57" s="569" t="s">
        <v>927</v>
      </c>
      <c r="F57" s="567"/>
    </row>
    <row r="58" spans="2:6" s="65" customFormat="1" ht="178.5" x14ac:dyDescent="0.2">
      <c r="B58" s="568" t="s">
        <v>1213</v>
      </c>
      <c r="C58" s="496" t="s">
        <v>3259</v>
      </c>
      <c r="D58" s="213">
        <v>45027</v>
      </c>
      <c r="E58" s="568" t="s">
        <v>927</v>
      </c>
      <c r="F58" s="567"/>
    </row>
    <row r="59" spans="2:6" s="65" customFormat="1" x14ac:dyDescent="0.2">
      <c r="B59" s="569"/>
      <c r="C59" s="520"/>
      <c r="D59" s="570"/>
      <c r="E59" s="569"/>
      <c r="F59" s="567"/>
    </row>
    <row r="60" spans="2:6" s="65" customFormat="1" x14ac:dyDescent="0.2">
      <c r="B60" s="568"/>
      <c r="C60" s="496"/>
      <c r="D60" s="213"/>
      <c r="E60" s="568"/>
      <c r="F60" s="567"/>
    </row>
    <row r="61" spans="2:6" x14ac:dyDescent="0.2">
      <c r="B61" s="569"/>
      <c r="C61" s="520"/>
      <c r="D61" s="570"/>
      <c r="E61" s="569"/>
    </row>
  </sheetData>
  <sheetProtection algorithmName="SHA-512" hashValue="itpOyFhRdp9EstwF4fQVJDzr7afA8rBo9IH0pb65DJrnbVV63ey+Tc26FNQc7lauJe2enZhCgnw8Fupn5pJJWg==" saltValue="y8NppBLr+mXq1Wlcww53Lg==" spinCount="100000" sheet="1" objects="1" scenarios="1"/>
  <mergeCells count="32">
    <mergeCell ref="B35:B36"/>
    <mergeCell ref="D35:D36"/>
    <mergeCell ref="E35:E36"/>
    <mergeCell ref="F15:F16"/>
    <mergeCell ref="B9:B14"/>
    <mergeCell ref="D9:D14"/>
    <mergeCell ref="E9:E14"/>
    <mergeCell ref="B18:B22"/>
    <mergeCell ref="D18:D22"/>
    <mergeCell ref="E18:E22"/>
    <mergeCell ref="B15:B16"/>
    <mergeCell ref="D15:D16"/>
    <mergeCell ref="E15:E16"/>
    <mergeCell ref="F9:F14"/>
    <mergeCell ref="B23:B24"/>
    <mergeCell ref="D23:D24"/>
    <mergeCell ref="E23:E24"/>
    <mergeCell ref="B32:B34"/>
    <mergeCell ref="D32:D34"/>
    <mergeCell ref="E32:E34"/>
    <mergeCell ref="B25:B29"/>
    <mergeCell ref="D25:D29"/>
    <mergeCell ref="E25:E29"/>
    <mergeCell ref="F4:F6"/>
    <mergeCell ref="C7:C8"/>
    <mergeCell ref="B7:B8"/>
    <mergeCell ref="D7:D8"/>
    <mergeCell ref="E7:E8"/>
    <mergeCell ref="F7:F8"/>
    <mergeCell ref="B4:B6"/>
    <mergeCell ref="D4:D6"/>
    <mergeCell ref="E4:E6"/>
  </mergeCells>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63671E-70A7-4F25-8305-C7BCAEE124F1}">
  <sheetPr codeName="Sheet32">
    <tabColor rgb="FFFFFF00"/>
  </sheetPr>
  <dimension ref="A1:G25"/>
  <sheetViews>
    <sheetView workbookViewId="0">
      <selection activeCell="B2" sqref="B2"/>
    </sheetView>
  </sheetViews>
  <sheetFormatPr defaultRowHeight="12.75" x14ac:dyDescent="0.2"/>
  <cols>
    <col min="1" max="1" width="13.7109375" style="595" customWidth="1"/>
    <col min="2" max="2" width="12.5703125" style="595" customWidth="1"/>
    <col min="3" max="3" width="15.85546875" style="595" bestFit="1" customWidth="1"/>
    <col min="4" max="4" width="11" style="595" customWidth="1"/>
    <col min="5" max="16384" width="9.140625" style="594"/>
  </cols>
  <sheetData>
    <row r="1" spans="1:7" x14ac:dyDescent="0.2">
      <c r="A1" s="598" t="s">
        <v>1212</v>
      </c>
      <c r="B1" s="598" t="s">
        <v>1211</v>
      </c>
      <c r="C1" s="598" t="s">
        <v>1210</v>
      </c>
      <c r="D1" s="598" t="s">
        <v>1209</v>
      </c>
      <c r="G1" s="597" t="s">
        <v>1208</v>
      </c>
    </row>
    <row r="2" spans="1:7" x14ac:dyDescent="0.2">
      <c r="D2" s="596"/>
      <c r="G2" s="594" cm="1">
        <f t="array" ref="G2">SUMPRODUCT(MAX((A:A&lt;&gt;"")*ROW(A:A)))</f>
        <v>1</v>
      </c>
    </row>
    <row r="3" spans="1:7" x14ac:dyDescent="0.2">
      <c r="D3" s="596"/>
    </row>
    <row r="4" spans="1:7" x14ac:dyDescent="0.2">
      <c r="D4" s="596"/>
    </row>
    <row r="5" spans="1:7" x14ac:dyDescent="0.2">
      <c r="D5" s="596"/>
    </row>
    <row r="6" spans="1:7" x14ac:dyDescent="0.2">
      <c r="D6" s="596"/>
    </row>
    <row r="7" spans="1:7" x14ac:dyDescent="0.2">
      <c r="D7" s="596"/>
    </row>
    <row r="8" spans="1:7" x14ac:dyDescent="0.2">
      <c r="D8" s="596"/>
    </row>
    <row r="9" spans="1:7" x14ac:dyDescent="0.2">
      <c r="D9" s="596"/>
    </row>
    <row r="10" spans="1:7" x14ac:dyDescent="0.2">
      <c r="D10" s="596"/>
    </row>
    <row r="11" spans="1:7" x14ac:dyDescent="0.2">
      <c r="D11" s="596"/>
    </row>
    <row r="12" spans="1:7" x14ac:dyDescent="0.2">
      <c r="D12" s="622"/>
    </row>
    <row r="13" spans="1:7" x14ac:dyDescent="0.2">
      <c r="D13" s="624"/>
    </row>
    <row r="14" spans="1:7" x14ac:dyDescent="0.2">
      <c r="D14" s="624"/>
    </row>
    <row r="15" spans="1:7" x14ac:dyDescent="0.2">
      <c r="D15" s="624"/>
    </row>
    <row r="16" spans="1:7" x14ac:dyDescent="0.2">
      <c r="D16" s="624"/>
    </row>
    <row r="17" spans="4:4" x14ac:dyDescent="0.2">
      <c r="D17" s="624"/>
    </row>
    <row r="18" spans="4:4" x14ac:dyDescent="0.2">
      <c r="D18" s="624"/>
    </row>
    <row r="19" spans="4:4" x14ac:dyDescent="0.2">
      <c r="D19" s="624"/>
    </row>
    <row r="20" spans="4:4" x14ac:dyDescent="0.2">
      <c r="D20" s="624"/>
    </row>
    <row r="21" spans="4:4" x14ac:dyDescent="0.2">
      <c r="D21" s="624"/>
    </row>
    <row r="22" spans="4:4" x14ac:dyDescent="0.2">
      <c r="D22" s="624"/>
    </row>
    <row r="23" spans="4:4" x14ac:dyDescent="0.2">
      <c r="D23" s="624"/>
    </row>
    <row r="24" spans="4:4" x14ac:dyDescent="0.2">
      <c r="D24" s="624"/>
    </row>
    <row r="25" spans="4:4" x14ac:dyDescent="0.2">
      <c r="D25" s="624"/>
    </row>
  </sheetData>
  <pageMargins left="0.7" right="0.7" top="0.75" bottom="0.75" header="0.3" footer="0.3"/>
  <pageSetup orientation="portrait" horizontalDpi="90" verticalDpi="90" r:id="rId1"/>
  <tableParts count="1">
    <tablePart r:id="rId2"/>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971E6C-E732-4BB7-8A4F-B02F0770C146}">
  <sheetPr codeName="Sheet23">
    <tabColor theme="6" tint="0.79998168889431442"/>
  </sheetPr>
  <dimension ref="A1:T5"/>
  <sheetViews>
    <sheetView workbookViewId="0">
      <selection activeCell="H24" sqref="H24"/>
    </sheetView>
  </sheetViews>
  <sheetFormatPr defaultRowHeight="12.75" x14ac:dyDescent="0.2"/>
  <cols>
    <col min="1" max="1" width="9.28515625" style="65" bestFit="1" customWidth="1"/>
    <col min="2" max="2" width="11.28515625" style="65" bestFit="1" customWidth="1"/>
    <col min="3" max="3" width="7.42578125" style="65" bestFit="1" customWidth="1"/>
    <col min="4" max="4" width="19.140625" style="65" bestFit="1" customWidth="1"/>
    <col min="5" max="5" width="12.28515625" style="65" bestFit="1" customWidth="1"/>
    <col min="6" max="6" width="21.7109375" style="65" bestFit="1" customWidth="1"/>
    <col min="7" max="7" width="11.42578125" style="65" bestFit="1" customWidth="1"/>
    <col min="8" max="8" width="18" style="65" bestFit="1" customWidth="1"/>
    <col min="9" max="9" width="15.85546875" style="65" bestFit="1" customWidth="1"/>
    <col min="10" max="10" width="16" style="65" bestFit="1" customWidth="1"/>
    <col min="11" max="11" width="8.5703125" style="65" bestFit="1" customWidth="1"/>
    <col min="12" max="12" width="11.140625" style="65" bestFit="1" customWidth="1"/>
    <col min="13" max="16" width="9.140625" style="65" customWidth="1"/>
    <col min="17" max="17" width="10.7109375" style="65" customWidth="1"/>
    <col min="18" max="18" width="9.140625" style="65" customWidth="1"/>
    <col min="19" max="19" width="14.42578125" style="65" bestFit="1" customWidth="1"/>
    <col min="20" max="23" width="9.140625" style="65" customWidth="1"/>
    <col min="24" max="16384" width="9.140625" style="65"/>
  </cols>
  <sheetData>
    <row r="1" spans="1:20" x14ac:dyDescent="0.2">
      <c r="A1" s="950" t="s">
        <v>1275</v>
      </c>
      <c r="B1" s="950"/>
      <c r="C1" s="950"/>
      <c r="D1" s="950"/>
      <c r="E1" s="950"/>
      <c r="F1" s="950"/>
      <c r="G1" s="950"/>
      <c r="H1" s="950"/>
      <c r="I1" s="950"/>
      <c r="J1" s="950"/>
      <c r="K1" s="951"/>
      <c r="L1" s="626"/>
    </row>
    <row r="2" spans="1:20" x14ac:dyDescent="0.2">
      <c r="A2" s="593" t="s">
        <v>1278</v>
      </c>
      <c r="B2" s="593" t="s">
        <v>1277</v>
      </c>
      <c r="C2" s="593" t="s">
        <v>638</v>
      </c>
      <c r="D2" s="582" t="s">
        <v>1046</v>
      </c>
      <c r="E2" s="582" t="s">
        <v>1047</v>
      </c>
      <c r="F2" s="582" t="s">
        <v>1048</v>
      </c>
      <c r="G2" s="582" t="s">
        <v>1292</v>
      </c>
      <c r="H2" s="588" t="s">
        <v>1063</v>
      </c>
      <c r="I2" s="588" t="s">
        <v>1064</v>
      </c>
      <c r="J2" s="588" t="s">
        <v>1065</v>
      </c>
      <c r="K2" s="588" t="s">
        <v>1225</v>
      </c>
      <c r="L2" s="588" t="s">
        <v>3258</v>
      </c>
      <c r="M2" s="588" t="s">
        <v>1279</v>
      </c>
      <c r="N2" s="588" t="s">
        <v>1280</v>
      </c>
      <c r="O2" s="588" t="s">
        <v>1281</v>
      </c>
      <c r="P2" s="588" t="s">
        <v>1282</v>
      </c>
      <c r="Q2" s="593" t="s">
        <v>1230</v>
      </c>
      <c r="R2" s="593" t="s">
        <v>1231</v>
      </c>
      <c r="S2" s="593" t="s">
        <v>1232</v>
      </c>
      <c r="T2" s="593" t="s">
        <v>903</v>
      </c>
    </row>
    <row r="3" spans="1:20" x14ac:dyDescent="0.2">
      <c r="A3" s="583"/>
      <c r="B3" s="583"/>
      <c r="C3" s="583" t="str">
        <f>IF(ISBLANK(ID_pole),"",ID_pole)</f>
        <v/>
      </c>
      <c r="D3" s="20"/>
      <c r="E3" s="20"/>
      <c r="F3" s="20"/>
      <c r="G3" s="20"/>
      <c r="H3" s="580"/>
      <c r="I3" s="580"/>
      <c r="J3" s="580"/>
      <c r="K3" s="580"/>
      <c r="L3" s="580"/>
      <c r="M3" s="580"/>
      <c r="N3" s="580"/>
      <c r="O3" s="580"/>
      <c r="P3" s="580"/>
      <c r="Q3" s="621"/>
      <c r="R3" s="583"/>
      <c r="S3" s="583"/>
      <c r="T3" s="583"/>
    </row>
    <row r="5" spans="1:20" x14ac:dyDescent="0.2">
      <c r="D5" s="66" t="s">
        <v>1240</v>
      </c>
      <c r="Q5" s="66" t="s">
        <v>1291</v>
      </c>
    </row>
  </sheetData>
  <mergeCells count="1">
    <mergeCell ref="A1:K1"/>
  </mergeCells>
  <pageMargins left="0.7" right="0.7" top="0.75" bottom="0.75" header="0.3" footer="0.3"/>
  <legacyDrawing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5FCCF5-2345-40CB-B992-90E65CC2BB8A}">
  <sheetPr codeName="Sheet21">
    <tabColor theme="6" tint="0.79998168889431442"/>
  </sheetPr>
  <dimension ref="A1:Y32"/>
  <sheetViews>
    <sheetView workbookViewId="0">
      <selection activeCell="A3" sqref="A3"/>
    </sheetView>
  </sheetViews>
  <sheetFormatPr defaultRowHeight="12.75" x14ac:dyDescent="0.2"/>
  <cols>
    <col min="1" max="1" width="10" bestFit="1" customWidth="1"/>
    <col min="2" max="2" width="7.42578125" style="65" bestFit="1" customWidth="1"/>
    <col min="3" max="3" width="15" bestFit="1" customWidth="1"/>
    <col min="4" max="4" width="8.5703125" bestFit="1" customWidth="1"/>
    <col min="5" max="5" width="8.42578125" bestFit="1" customWidth="1"/>
    <col min="6" max="6" width="13.7109375" bestFit="1" customWidth="1"/>
    <col min="7" max="7" width="12.42578125" bestFit="1" customWidth="1"/>
    <col min="8" max="8" width="10.5703125" bestFit="1" customWidth="1"/>
    <col min="9" max="9" width="9.28515625" bestFit="1" customWidth="1"/>
    <col min="10" max="10" width="9.140625" bestFit="1" customWidth="1"/>
    <col min="11" max="11" width="13.85546875" bestFit="1" customWidth="1"/>
    <col min="12" max="12" width="11.7109375" bestFit="1" customWidth="1"/>
    <col min="13" max="13" width="7.5703125" style="65" bestFit="1" customWidth="1"/>
    <col min="14" max="14" width="12.42578125" bestFit="1" customWidth="1"/>
    <col min="15" max="15" width="9.42578125" bestFit="1" customWidth="1"/>
    <col min="16" max="16" width="13.140625" bestFit="1" customWidth="1"/>
    <col min="17" max="17" width="13.42578125" bestFit="1" customWidth="1"/>
    <col min="18" max="18" width="11.28515625" bestFit="1" customWidth="1"/>
    <col min="19" max="19" width="8.28515625" bestFit="1" customWidth="1"/>
    <col min="20" max="21" width="8.85546875" bestFit="1" customWidth="1"/>
    <col min="22" max="22" width="15.42578125" bestFit="1" customWidth="1"/>
    <col min="23" max="23" width="13.42578125" bestFit="1" customWidth="1"/>
  </cols>
  <sheetData>
    <row r="1" spans="1:25" x14ac:dyDescent="0.2">
      <c r="A1" s="950" t="s">
        <v>1296</v>
      </c>
      <c r="B1" s="950"/>
      <c r="C1" s="950"/>
      <c r="D1" s="950"/>
      <c r="E1" s="950"/>
      <c r="F1" s="950"/>
      <c r="G1" s="950"/>
      <c r="H1" s="950"/>
      <c r="I1" s="950"/>
      <c r="J1" s="950"/>
      <c r="K1" s="950"/>
      <c r="L1" s="950"/>
      <c r="M1" s="950"/>
      <c r="N1" s="950"/>
      <c r="O1" s="950"/>
      <c r="P1" s="950"/>
      <c r="Q1" s="950"/>
      <c r="R1" s="950"/>
      <c r="S1" s="950"/>
      <c r="T1" s="950"/>
      <c r="U1" s="950"/>
      <c r="V1" s="950"/>
      <c r="W1" s="950"/>
    </row>
    <row r="2" spans="1:25" x14ac:dyDescent="0.2">
      <c r="A2" s="593" t="s">
        <v>638</v>
      </c>
      <c r="B2" s="593" t="s">
        <v>1276</v>
      </c>
      <c r="C2" s="613" t="s">
        <v>1243</v>
      </c>
      <c r="D2" s="582" t="s">
        <v>1028</v>
      </c>
      <c r="E2" s="582" t="s">
        <v>1029</v>
      </c>
      <c r="F2" s="582" t="s">
        <v>1030</v>
      </c>
      <c r="G2" s="582" t="s">
        <v>1031</v>
      </c>
      <c r="H2" s="582" t="s">
        <v>1032</v>
      </c>
      <c r="I2" s="582" t="s">
        <v>1033</v>
      </c>
      <c r="J2" s="582" t="s">
        <v>1034</v>
      </c>
      <c r="K2" s="582" t="s">
        <v>1035</v>
      </c>
      <c r="L2" s="582" t="s">
        <v>1036</v>
      </c>
      <c r="M2" s="593" t="s">
        <v>1216</v>
      </c>
      <c r="N2" s="613" t="s">
        <v>1244</v>
      </c>
      <c r="O2" s="586" t="s">
        <v>1037</v>
      </c>
      <c r="P2" s="582" t="s">
        <v>1038</v>
      </c>
      <c r="Q2" s="586" t="s">
        <v>1039</v>
      </c>
      <c r="R2" s="582" t="s">
        <v>1040</v>
      </c>
      <c r="S2" s="582" t="s">
        <v>1041</v>
      </c>
      <c r="T2" s="582" t="s">
        <v>1042</v>
      </c>
      <c r="U2" s="582" t="s">
        <v>1043</v>
      </c>
      <c r="V2" s="582" t="s">
        <v>1044</v>
      </c>
      <c r="W2" s="582" t="s">
        <v>1045</v>
      </c>
    </row>
    <row r="3" spans="1:25" x14ac:dyDescent="0.2">
      <c r="A3" s="20"/>
      <c r="B3" s="20"/>
      <c r="C3" s="580"/>
      <c r="D3" s="580"/>
      <c r="E3" s="20"/>
      <c r="F3" s="20"/>
      <c r="G3" s="20"/>
      <c r="H3" s="20"/>
      <c r="I3" s="20"/>
      <c r="J3" s="20"/>
      <c r="K3" s="20"/>
      <c r="L3" s="20"/>
      <c r="M3" s="20"/>
      <c r="N3" s="20"/>
      <c r="O3" s="612"/>
      <c r="P3" s="612"/>
      <c r="Q3" s="612"/>
      <c r="R3" s="612"/>
      <c r="S3" s="612"/>
      <c r="T3" s="612"/>
      <c r="U3" s="612"/>
      <c r="V3" s="612"/>
      <c r="W3" s="612"/>
      <c r="Y3" s="545" t="s">
        <v>1239</v>
      </c>
    </row>
    <row r="4" spans="1:25" x14ac:dyDescent="0.2">
      <c r="A4" s="20"/>
      <c r="B4" s="20"/>
      <c r="C4" s="580"/>
      <c r="D4" s="580"/>
      <c r="E4" s="20"/>
      <c r="F4" s="20"/>
      <c r="G4" s="20"/>
      <c r="H4" s="20"/>
      <c r="I4" s="20"/>
      <c r="J4" s="20"/>
      <c r="K4" s="20"/>
      <c r="L4" s="20"/>
      <c r="M4" s="20"/>
      <c r="N4" s="20"/>
      <c r="O4" s="612"/>
      <c r="P4" s="612"/>
      <c r="Q4" s="612"/>
      <c r="R4" s="612"/>
      <c r="S4" s="612"/>
      <c r="T4" s="612"/>
      <c r="U4" s="612"/>
      <c r="V4" s="612"/>
      <c r="W4" s="612"/>
    </row>
    <row r="5" spans="1:25" x14ac:dyDescent="0.2">
      <c r="A5" s="20"/>
      <c r="B5" s="20"/>
      <c r="C5" s="580"/>
      <c r="D5" s="580"/>
      <c r="E5" s="20"/>
      <c r="F5" s="20"/>
      <c r="G5" s="20"/>
      <c r="H5" s="20"/>
      <c r="I5" s="20"/>
      <c r="J5" s="20"/>
      <c r="K5" s="20"/>
      <c r="L5" s="20"/>
      <c r="M5" s="20"/>
      <c r="N5" s="20"/>
      <c r="O5" s="612"/>
      <c r="P5" s="612"/>
      <c r="Q5" s="612"/>
      <c r="R5" s="612"/>
      <c r="S5" s="612"/>
      <c r="T5" s="612"/>
      <c r="U5" s="612"/>
      <c r="V5" s="612"/>
      <c r="W5" s="612"/>
    </row>
    <row r="6" spans="1:25" x14ac:dyDescent="0.2">
      <c r="A6" s="20"/>
      <c r="B6" s="20"/>
      <c r="C6" s="580"/>
      <c r="D6" s="580"/>
      <c r="E6" s="20"/>
      <c r="F6" s="20"/>
      <c r="G6" s="20"/>
      <c r="H6" s="20"/>
      <c r="I6" s="20"/>
      <c r="J6" s="20"/>
      <c r="K6" s="20"/>
      <c r="L6" s="20"/>
      <c r="M6" s="20"/>
      <c r="N6" s="20"/>
      <c r="O6" s="612"/>
      <c r="P6" s="612"/>
      <c r="Q6" s="612"/>
      <c r="R6" s="612"/>
      <c r="S6" s="612"/>
      <c r="T6" s="612"/>
      <c r="U6" s="612"/>
      <c r="V6" s="612"/>
      <c r="W6" s="612"/>
    </row>
    <row r="7" spans="1:25" x14ac:dyDescent="0.2">
      <c r="A7" s="20"/>
      <c r="B7" s="20"/>
      <c r="C7" s="580"/>
      <c r="D7" s="580"/>
      <c r="E7" s="20"/>
      <c r="F7" s="20"/>
      <c r="G7" s="20"/>
      <c r="H7" s="20"/>
      <c r="I7" s="20"/>
      <c r="J7" s="20"/>
      <c r="K7" s="20"/>
      <c r="L7" s="20"/>
      <c r="M7" s="20"/>
      <c r="N7" s="20"/>
      <c r="O7" s="612"/>
      <c r="P7" s="612"/>
      <c r="Q7" s="612"/>
      <c r="R7" s="612"/>
      <c r="S7" s="612"/>
      <c r="T7" s="612"/>
      <c r="U7" s="612"/>
      <c r="V7" s="612"/>
      <c r="W7" s="612"/>
    </row>
    <row r="8" spans="1:25" x14ac:dyDescent="0.2">
      <c r="A8" s="20"/>
      <c r="B8" s="20"/>
      <c r="C8" s="580"/>
      <c r="D8" s="580"/>
      <c r="E8" s="20"/>
      <c r="F8" s="20"/>
      <c r="G8" s="20"/>
      <c r="H8" s="20"/>
      <c r="I8" s="20"/>
      <c r="J8" s="20"/>
      <c r="K8" s="20"/>
      <c r="L8" s="20"/>
      <c r="M8" s="20"/>
      <c r="N8" s="20"/>
      <c r="O8" s="612"/>
      <c r="P8" s="612"/>
      <c r="Q8" s="612"/>
      <c r="R8" s="612"/>
      <c r="S8" s="612"/>
      <c r="T8" s="612"/>
      <c r="U8" s="612"/>
      <c r="V8" s="612"/>
      <c r="W8" s="612"/>
    </row>
    <row r="9" spans="1:25" x14ac:dyDescent="0.2">
      <c r="A9" s="20"/>
      <c r="B9" s="20"/>
      <c r="C9" s="580"/>
      <c r="D9" s="580"/>
      <c r="E9" s="20"/>
      <c r="F9" s="20"/>
      <c r="G9" s="20"/>
      <c r="H9" s="20"/>
      <c r="I9" s="20"/>
      <c r="J9" s="20"/>
      <c r="K9" s="20"/>
      <c r="L9" s="20"/>
      <c r="M9" s="20"/>
      <c r="N9" s="20"/>
      <c r="O9" s="612"/>
      <c r="P9" s="612"/>
      <c r="Q9" s="612"/>
      <c r="R9" s="612"/>
      <c r="S9" s="612"/>
      <c r="T9" s="612"/>
      <c r="U9" s="612"/>
      <c r="V9" s="612"/>
      <c r="W9" s="612"/>
    </row>
    <row r="10" spans="1:25" x14ac:dyDescent="0.2">
      <c r="A10" s="20"/>
      <c r="B10" s="20"/>
      <c r="C10" s="580"/>
      <c r="D10" s="580"/>
      <c r="E10" s="20"/>
      <c r="F10" s="20"/>
      <c r="G10" s="20"/>
      <c r="H10" s="20"/>
      <c r="I10" s="20"/>
      <c r="J10" s="20"/>
      <c r="K10" s="20"/>
      <c r="L10" s="20"/>
      <c r="M10" s="20"/>
      <c r="N10" s="20"/>
      <c r="O10" s="612"/>
      <c r="P10" s="612"/>
      <c r="Q10" s="612"/>
      <c r="R10" s="612"/>
      <c r="S10" s="612"/>
      <c r="T10" s="612"/>
      <c r="U10" s="612"/>
      <c r="V10" s="612"/>
      <c r="W10" s="612"/>
    </row>
    <row r="11" spans="1:25" x14ac:dyDescent="0.2">
      <c r="A11" s="20"/>
      <c r="B11" s="20"/>
      <c r="C11" s="580"/>
      <c r="D11" s="580"/>
      <c r="E11" s="20"/>
      <c r="F11" s="20"/>
      <c r="G11" s="20"/>
      <c r="H11" s="20"/>
      <c r="I11" s="20"/>
      <c r="J11" s="20"/>
      <c r="K11" s="20"/>
      <c r="L11" s="20"/>
      <c r="M11" s="20"/>
      <c r="N11" s="20"/>
      <c r="O11" s="612"/>
      <c r="P11" s="612"/>
      <c r="Q11" s="612"/>
      <c r="R11" s="612"/>
      <c r="S11" s="612"/>
      <c r="T11" s="612"/>
      <c r="U11" s="612"/>
      <c r="V11" s="612"/>
      <c r="W11" s="612"/>
    </row>
    <row r="12" spans="1:25" x14ac:dyDescent="0.2">
      <c r="A12" s="20"/>
      <c r="B12" s="20"/>
      <c r="C12" s="580"/>
      <c r="D12" s="580"/>
      <c r="E12" s="20"/>
      <c r="F12" s="20"/>
      <c r="G12" s="20"/>
      <c r="H12" s="20"/>
      <c r="I12" s="20"/>
      <c r="J12" s="20"/>
      <c r="K12" s="20"/>
      <c r="L12" s="20"/>
      <c r="M12" s="20"/>
      <c r="N12" s="20"/>
      <c r="O12" s="612"/>
      <c r="P12" s="612"/>
      <c r="Q12" s="612"/>
      <c r="R12" s="612"/>
      <c r="S12" s="612"/>
      <c r="T12" s="612"/>
      <c r="U12" s="612"/>
      <c r="V12" s="612"/>
      <c r="W12" s="612"/>
    </row>
    <row r="13" spans="1:25" x14ac:dyDescent="0.2">
      <c r="A13" s="20"/>
      <c r="B13" s="20"/>
      <c r="C13" s="580"/>
      <c r="D13" s="580"/>
      <c r="E13" s="20"/>
      <c r="F13" s="20"/>
      <c r="G13" s="20"/>
      <c r="H13" s="20"/>
      <c r="I13" s="20"/>
      <c r="J13" s="20"/>
      <c r="K13" s="20"/>
      <c r="L13" s="20"/>
      <c r="M13" s="20"/>
      <c r="N13" s="20"/>
      <c r="O13" s="612"/>
      <c r="P13" s="612"/>
      <c r="Q13" s="612"/>
      <c r="R13" s="612"/>
      <c r="S13" s="612"/>
      <c r="T13" s="612"/>
      <c r="U13" s="612"/>
      <c r="V13" s="612"/>
      <c r="W13" s="612"/>
    </row>
    <row r="14" spans="1:25" x14ac:dyDescent="0.2">
      <c r="A14" s="20"/>
      <c r="B14" s="20"/>
      <c r="C14" s="580"/>
      <c r="D14" s="580"/>
      <c r="E14" s="20"/>
      <c r="F14" s="20"/>
      <c r="G14" s="20"/>
      <c r="H14" s="20"/>
      <c r="I14" s="20"/>
      <c r="J14" s="20"/>
      <c r="K14" s="20"/>
      <c r="L14" s="20"/>
      <c r="M14" s="20"/>
      <c r="N14" s="20"/>
      <c r="O14" s="612"/>
      <c r="P14" s="612"/>
      <c r="Q14" s="612"/>
      <c r="R14" s="612"/>
      <c r="S14" s="612"/>
      <c r="T14" s="612"/>
      <c r="U14" s="612"/>
      <c r="V14" s="612"/>
      <c r="W14" s="612"/>
    </row>
    <row r="15" spans="1:25" x14ac:dyDescent="0.2">
      <c r="A15" s="20"/>
      <c r="B15" s="20"/>
      <c r="C15" s="580"/>
      <c r="D15" s="580"/>
      <c r="E15" s="20"/>
      <c r="F15" s="20"/>
      <c r="G15" s="20"/>
      <c r="H15" s="20"/>
      <c r="I15" s="20"/>
      <c r="J15" s="20"/>
      <c r="K15" s="20"/>
      <c r="L15" s="20"/>
      <c r="M15" s="20"/>
      <c r="N15" s="20"/>
      <c r="O15" s="612"/>
      <c r="P15" s="612"/>
      <c r="Q15" s="612"/>
      <c r="R15" s="612"/>
      <c r="S15" s="612"/>
      <c r="T15" s="612"/>
      <c r="U15" s="612"/>
      <c r="V15" s="612"/>
      <c r="W15" s="612"/>
    </row>
    <row r="16" spans="1:25" x14ac:dyDescent="0.2">
      <c r="A16" s="20"/>
      <c r="B16" s="20"/>
      <c r="C16" s="580"/>
      <c r="D16" s="580"/>
      <c r="E16" s="20"/>
      <c r="F16" s="20"/>
      <c r="G16" s="20"/>
      <c r="H16" s="20"/>
      <c r="I16" s="20"/>
      <c r="J16" s="20"/>
      <c r="K16" s="20"/>
      <c r="L16" s="20"/>
      <c r="M16" s="20"/>
      <c r="N16" s="20"/>
      <c r="O16" s="612"/>
      <c r="P16" s="612"/>
      <c r="Q16" s="612"/>
      <c r="R16" s="612"/>
      <c r="S16" s="612"/>
      <c r="T16" s="612"/>
      <c r="U16" s="612"/>
      <c r="V16" s="612"/>
      <c r="W16" s="612"/>
    </row>
    <row r="17" spans="1:23" x14ac:dyDescent="0.2">
      <c r="A17" s="20"/>
      <c r="B17" s="20"/>
      <c r="C17" s="580"/>
      <c r="D17" s="580"/>
      <c r="E17" s="20"/>
      <c r="F17" s="20"/>
      <c r="G17" s="20"/>
      <c r="H17" s="20"/>
      <c r="I17" s="20"/>
      <c r="J17" s="20"/>
      <c r="K17" s="20"/>
      <c r="L17" s="20"/>
      <c r="M17" s="20"/>
      <c r="N17" s="20"/>
      <c r="O17" s="612"/>
      <c r="P17" s="612"/>
      <c r="Q17" s="612"/>
      <c r="R17" s="612"/>
      <c r="S17" s="612"/>
      <c r="T17" s="612"/>
      <c r="U17" s="612"/>
      <c r="V17" s="612"/>
      <c r="W17" s="612"/>
    </row>
    <row r="18" spans="1:23" x14ac:dyDescent="0.2">
      <c r="A18" s="20"/>
      <c r="B18" s="20"/>
      <c r="C18" s="580"/>
      <c r="D18" s="580"/>
      <c r="E18" s="20"/>
      <c r="F18" s="20"/>
      <c r="G18" s="20"/>
      <c r="H18" s="20"/>
      <c r="I18" s="20"/>
      <c r="J18" s="20"/>
      <c r="K18" s="20"/>
      <c r="L18" s="20"/>
      <c r="M18" s="20"/>
      <c r="N18" s="20"/>
      <c r="O18" s="612"/>
      <c r="P18" s="612"/>
      <c r="Q18" s="612"/>
      <c r="R18" s="612"/>
      <c r="S18" s="612"/>
      <c r="T18" s="612"/>
      <c r="U18" s="612"/>
      <c r="V18" s="612"/>
      <c r="W18" s="612"/>
    </row>
    <row r="19" spans="1:23" x14ac:dyDescent="0.2">
      <c r="A19" s="20"/>
      <c r="B19" s="20"/>
      <c r="C19" s="580"/>
      <c r="D19" s="580"/>
      <c r="E19" s="20"/>
      <c r="F19" s="20"/>
      <c r="G19" s="20"/>
      <c r="H19" s="20"/>
      <c r="I19" s="20"/>
      <c r="J19" s="20"/>
      <c r="K19" s="20"/>
      <c r="L19" s="20"/>
      <c r="M19" s="20"/>
      <c r="N19" s="20"/>
      <c r="O19" s="612"/>
      <c r="P19" s="612"/>
      <c r="Q19" s="612"/>
      <c r="R19" s="612"/>
      <c r="S19" s="612"/>
      <c r="T19" s="612"/>
      <c r="U19" s="612"/>
      <c r="V19" s="612"/>
      <c r="W19" s="612"/>
    </row>
    <row r="20" spans="1:23" x14ac:dyDescent="0.2">
      <c r="A20" s="20"/>
      <c r="B20" s="20"/>
      <c r="C20" s="580"/>
      <c r="D20" s="580"/>
      <c r="E20" s="20"/>
      <c r="F20" s="20"/>
      <c r="G20" s="20"/>
      <c r="H20" s="20"/>
      <c r="I20" s="20"/>
      <c r="J20" s="20"/>
      <c r="K20" s="20"/>
      <c r="L20" s="20"/>
      <c r="M20" s="20"/>
      <c r="N20" s="20"/>
      <c r="O20" s="612"/>
      <c r="P20" s="612"/>
      <c r="Q20" s="612"/>
      <c r="R20" s="612"/>
      <c r="S20" s="612"/>
      <c r="T20" s="612"/>
      <c r="U20" s="612"/>
      <c r="V20" s="612"/>
      <c r="W20" s="612"/>
    </row>
    <row r="23" spans="1:23" x14ac:dyDescent="0.2">
      <c r="S23" s="65"/>
    </row>
    <row r="24" spans="1:23" x14ac:dyDescent="0.2">
      <c r="S24" s="65"/>
    </row>
    <row r="25" spans="1:23" x14ac:dyDescent="0.2">
      <c r="S25" s="65"/>
    </row>
    <row r="26" spans="1:23" x14ac:dyDescent="0.2">
      <c r="S26" s="65"/>
    </row>
    <row r="27" spans="1:23" x14ac:dyDescent="0.2">
      <c r="S27" s="65"/>
    </row>
    <row r="28" spans="1:23" x14ac:dyDescent="0.2">
      <c r="S28" s="65"/>
    </row>
    <row r="29" spans="1:23" x14ac:dyDescent="0.2">
      <c r="S29" s="65"/>
    </row>
    <row r="30" spans="1:23" x14ac:dyDescent="0.2">
      <c r="S30" s="65"/>
    </row>
    <row r="31" spans="1:23" x14ac:dyDescent="0.2">
      <c r="S31" s="65"/>
    </row>
    <row r="32" spans="1:23" x14ac:dyDescent="0.2">
      <c r="S32" s="65"/>
    </row>
  </sheetData>
  <mergeCells count="1">
    <mergeCell ref="A1:W1"/>
  </mergeCells>
  <pageMargins left="0.7" right="0.7" top="0.75" bottom="0.75" header="0.3" footer="0.3"/>
  <legacy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84109-A230-485B-A96F-36A2552F360D}">
  <sheetPr codeName="Sheet22">
    <tabColor theme="6" tint="0.79998168889431442"/>
  </sheetPr>
  <dimension ref="A1:Y104"/>
  <sheetViews>
    <sheetView workbookViewId="0">
      <selection activeCell="A3" sqref="A3"/>
    </sheetView>
  </sheetViews>
  <sheetFormatPr defaultRowHeight="12.75" x14ac:dyDescent="0.2"/>
  <cols>
    <col min="1" max="1" width="10.42578125" style="65" bestFit="1" customWidth="1"/>
    <col min="2" max="2" width="7.42578125" style="65" bestFit="1" customWidth="1"/>
    <col min="3" max="3" width="15" style="65" bestFit="1" customWidth="1"/>
    <col min="4" max="4" width="8.5703125" style="65" bestFit="1" customWidth="1"/>
    <col min="5" max="5" width="8.42578125" style="65" bestFit="1" customWidth="1"/>
    <col min="6" max="6" width="13.7109375" style="65" bestFit="1" customWidth="1"/>
    <col min="7" max="7" width="12.42578125" style="65" bestFit="1" customWidth="1"/>
    <col min="8" max="8" width="10.5703125" style="65" bestFit="1" customWidth="1"/>
    <col min="9" max="9" width="9.28515625" style="65" bestFit="1" customWidth="1"/>
    <col min="10" max="10" width="9.140625" style="65" bestFit="1" customWidth="1"/>
    <col min="11" max="11" width="13.85546875" style="65" bestFit="1" customWidth="1"/>
    <col min="12" max="12" width="11.7109375" style="65" bestFit="1" customWidth="1"/>
    <col min="13" max="13" width="7.5703125" style="65" bestFit="1" customWidth="1"/>
    <col min="14" max="14" width="12.42578125" style="65" bestFit="1" customWidth="1"/>
    <col min="15" max="15" width="9.42578125" style="65" bestFit="1" customWidth="1"/>
    <col min="16" max="16" width="11.28515625" style="65" bestFit="1" customWidth="1"/>
    <col min="17" max="17" width="13.140625" style="65" bestFit="1" customWidth="1"/>
    <col min="18" max="18" width="13.42578125" style="65" bestFit="1" customWidth="1"/>
    <col min="19" max="19" width="8.28515625" style="65" bestFit="1" customWidth="1"/>
    <col min="20" max="21" width="8.85546875" style="65" bestFit="1" customWidth="1"/>
    <col min="22" max="22" width="15.42578125" style="65" bestFit="1" customWidth="1"/>
    <col min="23" max="23" width="13.42578125" style="65" bestFit="1" customWidth="1"/>
    <col min="24" max="16384" width="9.140625" style="65"/>
  </cols>
  <sheetData>
    <row r="1" spans="1:25" x14ac:dyDescent="0.2">
      <c r="A1" s="952" t="s">
        <v>1297</v>
      </c>
      <c r="B1" s="952"/>
      <c r="C1" s="952"/>
      <c r="D1" s="952"/>
      <c r="E1" s="952"/>
      <c r="F1" s="952"/>
      <c r="G1" s="952"/>
      <c r="H1" s="952"/>
      <c r="I1" s="952"/>
      <c r="J1" s="952"/>
      <c r="K1" s="952"/>
      <c r="L1" s="952"/>
      <c r="M1" s="952"/>
      <c r="N1" s="952"/>
      <c r="O1" s="952"/>
      <c r="P1" s="952"/>
      <c r="Q1" s="952"/>
      <c r="R1" s="952"/>
      <c r="S1" s="952"/>
      <c r="T1" s="952"/>
      <c r="U1" s="952"/>
      <c r="V1" s="952"/>
      <c r="W1" s="952"/>
    </row>
    <row r="2" spans="1:25" x14ac:dyDescent="0.2">
      <c r="A2" s="593" t="s">
        <v>638</v>
      </c>
      <c r="B2" s="593" t="s">
        <v>1276</v>
      </c>
      <c r="C2" s="613" t="s">
        <v>1243</v>
      </c>
      <c r="D2" s="582" t="s">
        <v>1028</v>
      </c>
      <c r="E2" s="582" t="s">
        <v>1029</v>
      </c>
      <c r="F2" s="582" t="s">
        <v>1030</v>
      </c>
      <c r="G2" s="582" t="s">
        <v>1031</v>
      </c>
      <c r="H2" s="582" t="s">
        <v>1032</v>
      </c>
      <c r="I2" s="582" t="s">
        <v>1033</v>
      </c>
      <c r="J2" s="582" t="s">
        <v>1034</v>
      </c>
      <c r="K2" s="582" t="s">
        <v>1035</v>
      </c>
      <c r="L2" s="582" t="s">
        <v>1036</v>
      </c>
      <c r="M2" s="593" t="s">
        <v>1216</v>
      </c>
      <c r="N2" s="613" t="s">
        <v>1244</v>
      </c>
      <c r="O2" s="586" t="s">
        <v>1037</v>
      </c>
      <c r="P2" s="582" t="s">
        <v>1040</v>
      </c>
      <c r="Q2" s="582" t="s">
        <v>1038</v>
      </c>
      <c r="R2" s="586" t="s">
        <v>1039</v>
      </c>
      <c r="S2" s="582" t="s">
        <v>1041</v>
      </c>
      <c r="T2" s="582" t="s">
        <v>1042</v>
      </c>
      <c r="U2" s="582" t="s">
        <v>1043</v>
      </c>
      <c r="V2" s="582" t="s">
        <v>1044</v>
      </c>
      <c r="W2" s="582" t="s">
        <v>1045</v>
      </c>
    </row>
    <row r="3" spans="1:25" x14ac:dyDescent="0.2">
      <c r="A3" s="20"/>
      <c r="B3" s="20"/>
      <c r="C3" s="20"/>
      <c r="D3" s="580"/>
      <c r="E3" s="580"/>
      <c r="F3" s="580"/>
      <c r="G3" s="580"/>
      <c r="H3" s="580"/>
      <c r="I3" s="580"/>
      <c r="J3" s="580"/>
      <c r="K3" s="580"/>
      <c r="L3" s="611"/>
      <c r="M3" s="580"/>
      <c r="N3" s="580"/>
      <c r="O3" s="611"/>
      <c r="P3" s="580"/>
      <c r="Q3" s="580"/>
      <c r="R3" s="612"/>
      <c r="S3" s="612"/>
      <c r="T3" s="612"/>
      <c r="U3" s="612"/>
      <c r="V3" s="612"/>
      <c r="W3" s="612"/>
      <c r="Y3" s="608" t="s">
        <v>1235</v>
      </c>
    </row>
    <row r="4" spans="1:25" x14ac:dyDescent="0.2">
      <c r="A4" s="20"/>
      <c r="B4" s="20"/>
      <c r="C4" s="20"/>
      <c r="D4" s="580"/>
      <c r="E4" s="580"/>
      <c r="F4" s="580"/>
      <c r="G4" s="580"/>
      <c r="H4" s="580"/>
      <c r="I4" s="580"/>
      <c r="J4" s="580"/>
      <c r="K4" s="580"/>
      <c r="L4" s="611"/>
      <c r="M4" s="580"/>
      <c r="N4" s="580"/>
      <c r="O4" s="611"/>
      <c r="P4" s="580"/>
      <c r="Q4" s="580"/>
      <c r="R4" s="612"/>
      <c r="S4" s="612"/>
      <c r="T4" s="612"/>
      <c r="U4" s="612"/>
      <c r="V4" s="612"/>
      <c r="W4" s="612"/>
      <c r="Y4" s="545" t="s">
        <v>1239</v>
      </c>
    </row>
    <row r="5" spans="1:25" x14ac:dyDescent="0.2">
      <c r="A5" s="20"/>
      <c r="B5" s="20"/>
      <c r="C5" s="20"/>
      <c r="D5" s="580"/>
      <c r="E5" s="580"/>
      <c r="F5" s="580"/>
      <c r="G5" s="580"/>
      <c r="H5" s="580"/>
      <c r="I5" s="580"/>
      <c r="J5" s="580"/>
      <c r="K5" s="580"/>
      <c r="L5" s="611"/>
      <c r="M5" s="580"/>
      <c r="N5" s="580"/>
      <c r="O5" s="611"/>
      <c r="P5" s="580"/>
      <c r="Q5" s="580"/>
      <c r="R5" s="612"/>
      <c r="S5" s="612"/>
      <c r="T5" s="612"/>
      <c r="U5" s="612"/>
      <c r="V5" s="612"/>
      <c r="W5" s="612"/>
    </row>
    <row r="6" spans="1:25" x14ac:dyDescent="0.2">
      <c r="A6" s="20"/>
      <c r="B6" s="20"/>
      <c r="C6" s="20"/>
      <c r="D6" s="580"/>
      <c r="E6" s="580"/>
      <c r="F6" s="580"/>
      <c r="G6" s="580"/>
      <c r="H6" s="580"/>
      <c r="I6" s="580"/>
      <c r="J6" s="580"/>
      <c r="K6" s="580"/>
      <c r="L6" s="611"/>
      <c r="M6" s="580"/>
      <c r="N6" s="580"/>
      <c r="O6" s="611"/>
      <c r="P6" s="580"/>
      <c r="Q6" s="580"/>
      <c r="R6" s="612"/>
      <c r="S6" s="612"/>
      <c r="T6" s="612"/>
      <c r="U6" s="612"/>
      <c r="V6" s="612"/>
      <c r="W6" s="612"/>
      <c r="Y6" s="584" t="s">
        <v>1238</v>
      </c>
    </row>
    <row r="7" spans="1:25" x14ac:dyDescent="0.2">
      <c r="A7" s="20"/>
      <c r="B7" s="20"/>
      <c r="C7" s="20"/>
      <c r="D7" s="580"/>
      <c r="E7" s="580"/>
      <c r="F7" s="580"/>
      <c r="G7" s="580"/>
      <c r="H7" s="580"/>
      <c r="I7" s="580"/>
      <c r="J7" s="580"/>
      <c r="K7" s="580"/>
      <c r="L7" s="611"/>
      <c r="M7" s="580"/>
      <c r="N7" s="580"/>
      <c r="O7" s="611"/>
      <c r="P7" s="580"/>
      <c r="Q7" s="580"/>
      <c r="R7" s="612"/>
      <c r="S7" s="612"/>
      <c r="T7" s="612"/>
      <c r="U7" s="612"/>
      <c r="V7" s="612"/>
      <c r="W7" s="612"/>
    </row>
    <row r="8" spans="1:25" x14ac:dyDescent="0.2">
      <c r="A8" s="20"/>
      <c r="B8" s="20"/>
      <c r="C8" s="20"/>
      <c r="D8" s="580"/>
      <c r="E8" s="580"/>
      <c r="F8" s="580"/>
      <c r="G8" s="580"/>
      <c r="H8" s="580"/>
      <c r="I8" s="580"/>
      <c r="J8" s="580"/>
      <c r="K8" s="580"/>
      <c r="L8" s="611"/>
      <c r="M8" s="580"/>
      <c r="N8" s="580"/>
      <c r="O8" s="611"/>
      <c r="P8" s="580"/>
      <c r="Q8" s="580"/>
      <c r="R8" s="612"/>
      <c r="S8" s="612"/>
      <c r="T8" s="612"/>
      <c r="U8" s="612"/>
      <c r="V8" s="612"/>
      <c r="W8" s="612"/>
      <c r="Y8" s="611" t="s">
        <v>1062</v>
      </c>
    </row>
    <row r="9" spans="1:25" x14ac:dyDescent="0.2">
      <c r="A9" s="20"/>
      <c r="B9" s="20"/>
      <c r="C9" s="20"/>
      <c r="D9" s="580"/>
      <c r="E9" s="580"/>
      <c r="F9" s="580"/>
      <c r="G9" s="580"/>
      <c r="H9" s="580"/>
      <c r="I9" s="580"/>
      <c r="J9" s="580"/>
      <c r="K9" s="580"/>
      <c r="L9" s="611"/>
      <c r="M9" s="580"/>
      <c r="N9" s="580"/>
      <c r="O9" s="611"/>
      <c r="P9" s="580"/>
      <c r="Q9" s="580"/>
      <c r="R9" s="612"/>
      <c r="S9" s="612"/>
      <c r="T9" s="612"/>
      <c r="U9" s="612"/>
      <c r="V9" s="612"/>
      <c r="W9" s="612"/>
    </row>
    <row r="10" spans="1:25" x14ac:dyDescent="0.2">
      <c r="A10" s="20"/>
      <c r="B10" s="20"/>
      <c r="C10" s="20"/>
      <c r="D10" s="580"/>
      <c r="E10" s="580"/>
      <c r="F10" s="580"/>
      <c r="G10" s="580"/>
      <c r="H10" s="580"/>
      <c r="I10" s="580"/>
      <c r="J10" s="580"/>
      <c r="K10" s="580"/>
      <c r="L10" s="611"/>
      <c r="M10" s="580"/>
      <c r="N10" s="580"/>
      <c r="O10" s="611"/>
      <c r="P10" s="580"/>
      <c r="Q10" s="580"/>
      <c r="R10" s="612"/>
      <c r="S10" s="612"/>
      <c r="T10" s="612"/>
      <c r="U10" s="612"/>
      <c r="V10" s="612"/>
      <c r="W10" s="612"/>
    </row>
    <row r="11" spans="1:25" x14ac:dyDescent="0.2">
      <c r="A11" s="20"/>
      <c r="B11" s="20"/>
      <c r="C11" s="20"/>
      <c r="D11" s="580"/>
      <c r="E11" s="580"/>
      <c r="F11" s="580"/>
      <c r="G11" s="580"/>
      <c r="H11" s="580"/>
      <c r="I11" s="580"/>
      <c r="J11" s="580"/>
      <c r="K11" s="580"/>
      <c r="L11" s="611"/>
      <c r="M11" s="580"/>
      <c r="N11" s="580"/>
      <c r="O11" s="611"/>
      <c r="P11" s="580"/>
      <c r="Q11" s="580"/>
      <c r="R11" s="612"/>
      <c r="S11" s="612"/>
      <c r="T11" s="612"/>
      <c r="U11" s="612"/>
      <c r="V11" s="612"/>
      <c r="W11" s="612"/>
    </row>
    <row r="12" spans="1:25" x14ac:dyDescent="0.2">
      <c r="A12" s="20"/>
      <c r="B12" s="20"/>
      <c r="C12" s="20"/>
      <c r="D12" s="580"/>
      <c r="E12" s="580"/>
      <c r="F12" s="580"/>
      <c r="G12" s="580"/>
      <c r="H12" s="580"/>
      <c r="I12" s="580"/>
      <c r="J12" s="580"/>
      <c r="K12" s="580"/>
      <c r="L12" s="611"/>
      <c r="M12" s="580"/>
      <c r="N12" s="580"/>
      <c r="O12" s="611"/>
      <c r="P12" s="580"/>
      <c r="Q12" s="580"/>
      <c r="R12" s="612"/>
      <c r="S12" s="612"/>
      <c r="T12" s="612"/>
      <c r="U12" s="612"/>
      <c r="V12" s="612"/>
      <c r="W12" s="612"/>
    </row>
    <row r="13" spans="1:25" x14ac:dyDescent="0.2">
      <c r="A13" s="20"/>
      <c r="B13" s="20"/>
      <c r="C13" s="20"/>
      <c r="D13" s="580"/>
      <c r="E13" s="580"/>
      <c r="F13" s="580"/>
      <c r="G13" s="580"/>
      <c r="H13" s="580"/>
      <c r="I13" s="580"/>
      <c r="J13" s="580"/>
      <c r="K13" s="580"/>
      <c r="L13" s="611"/>
      <c r="M13" s="580"/>
      <c r="N13" s="580"/>
      <c r="O13" s="611"/>
      <c r="P13" s="580"/>
      <c r="Q13" s="580"/>
      <c r="R13" s="612"/>
      <c r="S13" s="612"/>
      <c r="T13" s="612"/>
      <c r="U13" s="612"/>
      <c r="V13" s="612"/>
      <c r="W13" s="612"/>
    </row>
    <row r="14" spans="1:25" x14ac:dyDescent="0.2">
      <c r="A14" s="20"/>
      <c r="B14" s="20"/>
      <c r="C14" s="20"/>
      <c r="D14" s="580"/>
      <c r="E14" s="580"/>
      <c r="F14" s="580"/>
      <c r="G14" s="580"/>
      <c r="H14" s="580"/>
      <c r="I14" s="580"/>
      <c r="J14" s="580"/>
      <c r="K14" s="580"/>
      <c r="L14" s="611"/>
      <c r="M14" s="580"/>
      <c r="N14" s="580"/>
      <c r="O14" s="611"/>
      <c r="P14" s="580"/>
      <c r="Q14" s="580"/>
      <c r="R14" s="612"/>
      <c r="S14" s="612"/>
      <c r="T14" s="612"/>
      <c r="U14" s="612"/>
      <c r="V14" s="612"/>
      <c r="W14" s="612"/>
    </row>
    <row r="15" spans="1:25" x14ac:dyDescent="0.2">
      <c r="A15" s="20"/>
      <c r="B15" s="20"/>
      <c r="C15" s="20"/>
      <c r="D15" s="580"/>
      <c r="E15" s="580"/>
      <c r="F15" s="580"/>
      <c r="G15" s="580"/>
      <c r="H15" s="580"/>
      <c r="I15" s="580"/>
      <c r="J15" s="580"/>
      <c r="K15" s="580"/>
      <c r="L15" s="611"/>
      <c r="M15" s="580"/>
      <c r="N15" s="580"/>
      <c r="O15" s="611"/>
      <c r="P15" s="580"/>
      <c r="Q15" s="580"/>
      <c r="R15" s="612"/>
      <c r="S15" s="612"/>
      <c r="T15" s="612"/>
      <c r="U15" s="612"/>
      <c r="V15" s="612"/>
      <c r="W15" s="612"/>
    </row>
    <row r="16" spans="1:25" x14ac:dyDescent="0.2">
      <c r="A16" s="20"/>
      <c r="B16" s="20"/>
      <c r="C16" s="20"/>
      <c r="D16" s="580"/>
      <c r="E16" s="580"/>
      <c r="F16" s="580"/>
      <c r="G16" s="580"/>
      <c r="H16" s="580"/>
      <c r="I16" s="580"/>
      <c r="J16" s="580"/>
      <c r="K16" s="580"/>
      <c r="L16" s="611"/>
      <c r="M16" s="580"/>
      <c r="N16" s="580"/>
      <c r="O16" s="611"/>
      <c r="P16" s="580"/>
      <c r="Q16" s="580"/>
      <c r="R16" s="612"/>
      <c r="S16" s="612"/>
      <c r="T16" s="612"/>
      <c r="U16" s="612"/>
      <c r="V16" s="612"/>
      <c r="W16" s="612"/>
    </row>
    <row r="17" spans="1:23" x14ac:dyDescent="0.2">
      <c r="A17" s="20"/>
      <c r="B17" s="20"/>
      <c r="C17" s="20"/>
      <c r="D17" s="580"/>
      <c r="E17" s="580"/>
      <c r="F17" s="580"/>
      <c r="G17" s="580"/>
      <c r="H17" s="580"/>
      <c r="I17" s="580"/>
      <c r="J17" s="580"/>
      <c r="K17" s="580"/>
      <c r="L17" s="611"/>
      <c r="M17" s="580"/>
      <c r="N17" s="580"/>
      <c r="O17" s="611"/>
      <c r="P17" s="580"/>
      <c r="Q17" s="580"/>
      <c r="R17" s="612"/>
      <c r="S17" s="612"/>
      <c r="T17" s="612"/>
      <c r="U17" s="612"/>
      <c r="V17" s="612"/>
      <c r="W17" s="612"/>
    </row>
    <row r="18" spans="1:23" x14ac:dyDescent="0.2">
      <c r="A18" s="20"/>
      <c r="B18" s="20"/>
      <c r="C18" s="20"/>
      <c r="D18" s="580"/>
      <c r="E18" s="580"/>
      <c r="F18" s="580"/>
      <c r="G18" s="580"/>
      <c r="H18" s="580"/>
      <c r="I18" s="580"/>
      <c r="J18" s="580"/>
      <c r="K18" s="580"/>
      <c r="L18" s="611"/>
      <c r="M18" s="580"/>
      <c r="N18" s="580"/>
      <c r="O18" s="611"/>
      <c r="P18" s="580"/>
      <c r="Q18" s="580"/>
      <c r="R18" s="612"/>
      <c r="S18" s="612"/>
      <c r="T18" s="612"/>
      <c r="U18" s="612"/>
      <c r="V18" s="612"/>
      <c r="W18" s="612"/>
    </row>
    <row r="19" spans="1:23" x14ac:dyDescent="0.2">
      <c r="A19" s="20"/>
      <c r="B19" s="20"/>
      <c r="C19" s="20"/>
      <c r="D19" s="580"/>
      <c r="E19" s="580"/>
      <c r="F19" s="580"/>
      <c r="G19" s="580"/>
      <c r="H19" s="580"/>
      <c r="I19" s="580"/>
      <c r="J19" s="580"/>
      <c r="K19" s="580"/>
      <c r="L19" s="611"/>
      <c r="M19" s="580"/>
      <c r="N19" s="580"/>
      <c r="O19" s="611"/>
      <c r="P19" s="580"/>
      <c r="Q19" s="580"/>
      <c r="R19" s="612"/>
      <c r="S19" s="612"/>
      <c r="T19" s="612"/>
      <c r="U19" s="612"/>
      <c r="V19" s="612"/>
      <c r="W19" s="612"/>
    </row>
    <row r="20" spans="1:23" x14ac:dyDescent="0.2">
      <c r="A20" s="20"/>
      <c r="B20" s="20"/>
      <c r="C20" s="20"/>
      <c r="D20" s="580"/>
      <c r="E20" s="580"/>
      <c r="F20" s="580"/>
      <c r="G20" s="580"/>
      <c r="H20" s="580"/>
      <c r="I20" s="580"/>
      <c r="J20" s="580"/>
      <c r="K20" s="580"/>
      <c r="L20" s="611"/>
      <c r="M20" s="580"/>
      <c r="N20" s="580"/>
      <c r="O20" s="611"/>
      <c r="P20" s="580"/>
      <c r="Q20" s="580"/>
      <c r="R20" s="612"/>
      <c r="S20" s="612"/>
      <c r="T20" s="612"/>
      <c r="U20" s="612"/>
      <c r="V20" s="612"/>
      <c r="W20" s="612"/>
    </row>
    <row r="21" spans="1:23" x14ac:dyDescent="0.2">
      <c r="A21" s="20"/>
      <c r="B21" s="20"/>
      <c r="C21" s="20"/>
      <c r="D21" s="580"/>
      <c r="E21" s="580"/>
      <c r="F21" s="580"/>
      <c r="G21" s="580"/>
      <c r="H21" s="580"/>
      <c r="I21" s="580"/>
      <c r="J21" s="580"/>
      <c r="K21" s="580"/>
      <c r="L21" s="611"/>
      <c r="M21" s="580"/>
      <c r="N21" s="580"/>
      <c r="O21" s="611"/>
      <c r="P21" s="580"/>
      <c r="Q21" s="580"/>
      <c r="R21" s="612"/>
      <c r="S21" s="612"/>
      <c r="T21" s="612"/>
      <c r="U21" s="612"/>
      <c r="V21" s="612"/>
      <c r="W21" s="612"/>
    </row>
    <row r="22" spans="1:23" x14ac:dyDescent="0.2">
      <c r="A22" s="20"/>
      <c r="B22" s="20"/>
      <c r="C22" s="20"/>
      <c r="D22" s="580"/>
      <c r="E22" s="580"/>
      <c r="F22" s="580"/>
      <c r="G22" s="580"/>
      <c r="H22" s="580"/>
      <c r="I22" s="580"/>
      <c r="J22" s="580"/>
      <c r="K22" s="580"/>
      <c r="L22" s="611"/>
      <c r="M22" s="580"/>
      <c r="N22" s="580"/>
      <c r="O22" s="611"/>
      <c r="P22" s="580"/>
      <c r="Q22" s="580"/>
      <c r="R22" s="612"/>
      <c r="S22" s="612"/>
      <c r="T22" s="612"/>
      <c r="U22" s="612"/>
      <c r="V22" s="612"/>
      <c r="W22" s="612"/>
    </row>
    <row r="23" spans="1:23" x14ac:dyDescent="0.2">
      <c r="A23" s="20"/>
      <c r="B23" s="20"/>
      <c r="C23" s="20"/>
      <c r="D23" s="580"/>
      <c r="E23" s="580"/>
      <c r="F23" s="580"/>
      <c r="G23" s="580"/>
      <c r="H23" s="580"/>
      <c r="I23" s="580"/>
      <c r="J23" s="580"/>
      <c r="K23" s="580"/>
      <c r="L23" s="611"/>
      <c r="M23" s="580"/>
      <c r="N23" s="580"/>
      <c r="O23" s="611"/>
      <c r="P23" s="580"/>
      <c r="Q23" s="580"/>
      <c r="R23" s="612"/>
      <c r="S23" s="612"/>
      <c r="T23" s="612"/>
      <c r="U23" s="612"/>
      <c r="V23" s="612"/>
      <c r="W23" s="612"/>
    </row>
    <row r="24" spans="1:23" x14ac:dyDescent="0.2">
      <c r="A24" s="20"/>
      <c r="B24" s="20"/>
      <c r="C24" s="20"/>
      <c r="D24" s="580"/>
      <c r="E24" s="580"/>
      <c r="F24" s="580"/>
      <c r="G24" s="580"/>
      <c r="H24" s="580"/>
      <c r="I24" s="580"/>
      <c r="J24" s="580"/>
      <c r="K24" s="580"/>
      <c r="L24" s="611"/>
      <c r="M24" s="580"/>
      <c r="N24" s="580"/>
      <c r="O24" s="611"/>
      <c r="P24" s="580"/>
      <c r="Q24" s="580"/>
      <c r="R24" s="612"/>
      <c r="S24" s="612"/>
      <c r="T24" s="612"/>
      <c r="U24" s="612"/>
      <c r="V24" s="612"/>
      <c r="W24" s="612"/>
    </row>
    <row r="25" spans="1:23" x14ac:dyDescent="0.2">
      <c r="A25" s="20"/>
      <c r="B25" s="20"/>
      <c r="C25" s="20"/>
      <c r="D25" s="580"/>
      <c r="E25" s="580"/>
      <c r="F25" s="580"/>
      <c r="G25" s="580"/>
      <c r="H25" s="580"/>
      <c r="I25" s="580"/>
      <c r="J25" s="580"/>
      <c r="K25" s="580"/>
      <c r="L25" s="611"/>
      <c r="M25" s="580"/>
      <c r="N25" s="580"/>
      <c r="O25" s="611"/>
      <c r="P25" s="580"/>
      <c r="Q25" s="580"/>
      <c r="R25" s="612"/>
      <c r="S25" s="612"/>
      <c r="T25" s="612"/>
      <c r="U25" s="612"/>
      <c r="V25" s="612"/>
      <c r="W25" s="612"/>
    </row>
    <row r="26" spans="1:23" x14ac:dyDescent="0.2">
      <c r="A26" s="20"/>
      <c r="B26" s="20"/>
      <c r="C26" s="20"/>
      <c r="D26" s="580"/>
      <c r="E26" s="580"/>
      <c r="F26" s="580"/>
      <c r="G26" s="580"/>
      <c r="H26" s="580"/>
      <c r="I26" s="580"/>
      <c r="J26" s="580"/>
      <c r="K26" s="580"/>
      <c r="L26" s="611"/>
      <c r="M26" s="580"/>
      <c r="N26" s="580"/>
      <c r="O26" s="611"/>
      <c r="P26" s="580"/>
      <c r="Q26" s="580"/>
      <c r="R26" s="612"/>
      <c r="S26" s="612"/>
      <c r="T26" s="612"/>
      <c r="U26" s="612"/>
      <c r="V26" s="612"/>
      <c r="W26" s="612"/>
    </row>
    <row r="27" spans="1:23" x14ac:dyDescent="0.2">
      <c r="A27" s="20"/>
      <c r="B27" s="20"/>
      <c r="C27" s="20"/>
      <c r="D27" s="580"/>
      <c r="E27" s="580"/>
      <c r="F27" s="580"/>
      <c r="G27" s="580"/>
      <c r="H27" s="580"/>
      <c r="I27" s="580"/>
      <c r="J27" s="580"/>
      <c r="K27" s="580"/>
      <c r="L27" s="611"/>
      <c r="M27" s="580"/>
      <c r="N27" s="580"/>
      <c r="O27" s="611"/>
      <c r="P27" s="580"/>
      <c r="Q27" s="580"/>
      <c r="R27" s="612"/>
      <c r="S27" s="612"/>
      <c r="T27" s="612"/>
      <c r="U27" s="612"/>
      <c r="V27" s="612"/>
      <c r="W27" s="612"/>
    </row>
    <row r="28" spans="1:23" x14ac:dyDescent="0.2">
      <c r="A28" s="20"/>
      <c r="B28" s="20"/>
      <c r="C28" s="20"/>
      <c r="D28" s="580"/>
      <c r="E28" s="580"/>
      <c r="F28" s="580"/>
      <c r="G28" s="580"/>
      <c r="H28" s="580"/>
      <c r="I28" s="580"/>
      <c r="J28" s="580"/>
      <c r="K28" s="580"/>
      <c r="L28" s="611"/>
      <c r="M28" s="580"/>
      <c r="N28" s="580"/>
      <c r="O28" s="611"/>
      <c r="P28" s="580"/>
      <c r="Q28" s="580"/>
      <c r="R28" s="612"/>
      <c r="S28" s="612"/>
      <c r="T28" s="612"/>
      <c r="U28" s="612"/>
      <c r="V28" s="612"/>
      <c r="W28" s="612"/>
    </row>
    <row r="29" spans="1:23" x14ac:dyDescent="0.2">
      <c r="A29" s="20"/>
      <c r="B29" s="20"/>
      <c r="C29" s="20"/>
      <c r="D29" s="580"/>
      <c r="E29" s="580"/>
      <c r="F29" s="580"/>
      <c r="G29" s="580"/>
      <c r="H29" s="580"/>
      <c r="I29" s="580"/>
      <c r="J29" s="580"/>
      <c r="K29" s="580"/>
      <c r="L29" s="611"/>
      <c r="M29" s="580"/>
      <c r="N29" s="580"/>
      <c r="O29" s="611"/>
      <c r="P29" s="580"/>
      <c r="Q29" s="580"/>
      <c r="R29" s="612"/>
      <c r="S29" s="612"/>
      <c r="T29" s="612"/>
      <c r="U29" s="612"/>
      <c r="V29" s="612"/>
      <c r="W29" s="612"/>
    </row>
    <row r="30" spans="1:23" x14ac:dyDescent="0.2">
      <c r="A30" s="20"/>
      <c r="B30" s="20"/>
      <c r="C30" s="20"/>
      <c r="D30" s="580"/>
      <c r="E30" s="580"/>
      <c r="F30" s="580"/>
      <c r="G30" s="580"/>
      <c r="H30" s="580"/>
      <c r="I30" s="580"/>
      <c r="J30" s="580"/>
      <c r="K30" s="580"/>
      <c r="L30" s="611"/>
      <c r="M30" s="580"/>
      <c r="N30" s="580"/>
      <c r="O30" s="611"/>
      <c r="P30" s="580"/>
      <c r="Q30" s="580"/>
      <c r="R30" s="612"/>
      <c r="S30" s="612"/>
      <c r="T30" s="612"/>
      <c r="U30" s="612"/>
      <c r="V30" s="612"/>
      <c r="W30" s="612"/>
    </row>
    <row r="31" spans="1:23" x14ac:dyDescent="0.2">
      <c r="A31" s="20"/>
      <c r="B31" s="20"/>
      <c r="C31" s="20"/>
      <c r="D31" s="580"/>
      <c r="E31" s="580"/>
      <c r="F31" s="580"/>
      <c r="G31" s="580"/>
      <c r="H31" s="580"/>
      <c r="I31" s="580"/>
      <c r="J31" s="580"/>
      <c r="K31" s="580"/>
      <c r="L31" s="611"/>
      <c r="M31" s="580"/>
      <c r="N31" s="580"/>
      <c r="O31" s="611"/>
      <c r="P31" s="580"/>
      <c r="Q31" s="580"/>
      <c r="R31" s="612"/>
      <c r="S31" s="612"/>
      <c r="T31" s="612"/>
      <c r="U31" s="612"/>
      <c r="V31" s="612"/>
      <c r="W31" s="612"/>
    </row>
    <row r="32" spans="1:23" x14ac:dyDescent="0.2">
      <c r="A32" s="20"/>
      <c r="B32" s="20"/>
      <c r="C32" s="20"/>
      <c r="D32" s="580"/>
      <c r="E32" s="580"/>
      <c r="F32" s="580"/>
      <c r="G32" s="580"/>
      <c r="H32" s="580"/>
      <c r="I32" s="580"/>
      <c r="J32" s="580"/>
      <c r="K32" s="580"/>
      <c r="L32" s="611"/>
      <c r="M32" s="580"/>
      <c r="N32" s="580"/>
      <c r="O32" s="611"/>
      <c r="P32" s="580"/>
      <c r="Q32" s="580"/>
      <c r="R32" s="612"/>
      <c r="S32" s="612"/>
      <c r="T32" s="612"/>
      <c r="U32" s="612"/>
      <c r="V32" s="612"/>
      <c r="W32" s="612"/>
    </row>
    <row r="33" spans="1:23" x14ac:dyDescent="0.2">
      <c r="A33" s="20"/>
      <c r="B33" s="20"/>
      <c r="C33" s="20"/>
      <c r="D33" s="580"/>
      <c r="E33" s="580"/>
      <c r="F33" s="580"/>
      <c r="G33" s="580"/>
      <c r="H33" s="580"/>
      <c r="I33" s="580"/>
      <c r="J33" s="580"/>
      <c r="K33" s="580"/>
      <c r="L33" s="611"/>
      <c r="M33" s="580"/>
      <c r="N33" s="580"/>
      <c r="O33" s="611"/>
      <c r="P33" s="580"/>
      <c r="Q33" s="580"/>
      <c r="R33" s="612"/>
      <c r="S33" s="612"/>
      <c r="T33" s="612"/>
      <c r="U33" s="612"/>
      <c r="V33" s="612"/>
      <c r="W33" s="612"/>
    </row>
    <row r="34" spans="1:23" x14ac:dyDescent="0.2">
      <c r="A34" s="20"/>
      <c r="B34" s="20"/>
      <c r="C34" s="20"/>
      <c r="D34" s="580"/>
      <c r="E34" s="580"/>
      <c r="F34" s="580"/>
      <c r="G34" s="580"/>
      <c r="H34" s="580"/>
      <c r="I34" s="580"/>
      <c r="J34" s="580"/>
      <c r="K34" s="580"/>
      <c r="L34" s="611"/>
      <c r="M34" s="580"/>
      <c r="N34" s="580"/>
      <c r="O34" s="611"/>
      <c r="P34" s="580"/>
      <c r="Q34" s="580"/>
      <c r="R34" s="612"/>
      <c r="S34" s="612"/>
      <c r="T34" s="612"/>
      <c r="U34" s="612"/>
      <c r="V34" s="612"/>
      <c r="W34" s="612"/>
    </row>
    <row r="35" spans="1:23" x14ac:dyDescent="0.2">
      <c r="A35" s="20"/>
      <c r="B35" s="20"/>
      <c r="C35" s="20"/>
      <c r="D35" s="580"/>
      <c r="E35" s="580"/>
      <c r="F35" s="580"/>
      <c r="G35" s="580"/>
      <c r="H35" s="580"/>
      <c r="I35" s="580"/>
      <c r="J35" s="580"/>
      <c r="K35" s="580"/>
      <c r="L35" s="611"/>
      <c r="M35" s="580"/>
      <c r="N35" s="580"/>
      <c r="O35" s="611"/>
      <c r="P35" s="580"/>
      <c r="Q35" s="580"/>
      <c r="R35" s="612"/>
      <c r="S35" s="612"/>
      <c r="T35" s="612"/>
      <c r="U35" s="612"/>
      <c r="V35" s="612"/>
      <c r="W35" s="612"/>
    </row>
    <row r="36" spans="1:23" x14ac:dyDescent="0.2">
      <c r="A36" s="20"/>
      <c r="B36" s="20"/>
      <c r="C36" s="20"/>
      <c r="D36" s="580"/>
      <c r="E36" s="580"/>
      <c r="F36" s="580"/>
      <c r="G36" s="580"/>
      <c r="H36" s="580"/>
      <c r="I36" s="580"/>
      <c r="J36" s="580"/>
      <c r="K36" s="580"/>
      <c r="L36" s="611"/>
      <c r="M36" s="580"/>
      <c r="N36" s="580"/>
      <c r="O36" s="611"/>
      <c r="P36" s="580"/>
      <c r="Q36" s="580"/>
      <c r="R36" s="612"/>
      <c r="S36" s="612"/>
      <c r="T36" s="612"/>
      <c r="U36" s="612"/>
      <c r="V36" s="612"/>
      <c r="W36" s="612"/>
    </row>
    <row r="37" spans="1:23" x14ac:dyDescent="0.2">
      <c r="A37" s="20"/>
      <c r="B37" s="20"/>
      <c r="C37" s="20"/>
      <c r="D37" s="580"/>
      <c r="E37" s="580"/>
      <c r="F37" s="580"/>
      <c r="G37" s="580"/>
      <c r="H37" s="580"/>
      <c r="I37" s="580"/>
      <c r="J37" s="580"/>
      <c r="K37" s="580"/>
      <c r="L37" s="611"/>
      <c r="M37" s="580"/>
      <c r="N37" s="580"/>
      <c r="O37" s="611"/>
      <c r="P37" s="580"/>
      <c r="Q37" s="580"/>
      <c r="R37" s="612"/>
      <c r="S37" s="612"/>
      <c r="T37" s="612"/>
      <c r="U37" s="612"/>
      <c r="V37" s="612"/>
      <c r="W37" s="612"/>
    </row>
    <row r="38" spans="1:23" x14ac:dyDescent="0.2">
      <c r="A38" s="20"/>
      <c r="B38" s="20"/>
      <c r="C38" s="20"/>
      <c r="D38" s="580"/>
      <c r="E38" s="580"/>
      <c r="F38" s="580"/>
      <c r="G38" s="580"/>
      <c r="H38" s="580"/>
      <c r="I38" s="580"/>
      <c r="J38" s="580"/>
      <c r="K38" s="580"/>
      <c r="L38" s="611"/>
      <c r="M38" s="580"/>
      <c r="N38" s="580"/>
      <c r="O38" s="611"/>
      <c r="P38" s="580"/>
      <c r="Q38" s="580"/>
      <c r="R38" s="612"/>
      <c r="S38" s="612"/>
      <c r="T38" s="612"/>
      <c r="U38" s="612"/>
      <c r="V38" s="612"/>
      <c r="W38" s="612"/>
    </row>
    <row r="39" spans="1:23" x14ac:dyDescent="0.2">
      <c r="A39" s="20"/>
      <c r="B39" s="20"/>
      <c r="C39" s="20"/>
      <c r="D39" s="580"/>
      <c r="E39" s="580"/>
      <c r="F39" s="580"/>
      <c r="G39" s="580"/>
      <c r="H39" s="580"/>
      <c r="I39" s="580"/>
      <c r="J39" s="580"/>
      <c r="K39" s="580"/>
      <c r="L39" s="611"/>
      <c r="M39" s="580"/>
      <c r="N39" s="580"/>
      <c r="O39" s="611"/>
      <c r="P39" s="580"/>
      <c r="Q39" s="580"/>
      <c r="R39" s="612"/>
      <c r="S39" s="612"/>
      <c r="T39" s="612"/>
      <c r="U39" s="612"/>
      <c r="V39" s="612"/>
      <c r="W39" s="612"/>
    </row>
    <row r="40" spans="1:23" x14ac:dyDescent="0.2">
      <c r="A40" s="20"/>
      <c r="B40" s="20"/>
      <c r="C40" s="20"/>
      <c r="D40" s="580"/>
      <c r="E40" s="580"/>
      <c r="F40" s="580"/>
      <c r="G40" s="580"/>
      <c r="H40" s="580"/>
      <c r="I40" s="580"/>
      <c r="J40" s="580"/>
      <c r="K40" s="580"/>
      <c r="L40" s="611"/>
      <c r="M40" s="580"/>
      <c r="N40" s="580"/>
      <c r="O40" s="611"/>
      <c r="P40" s="580"/>
      <c r="Q40" s="580"/>
      <c r="R40" s="612"/>
      <c r="S40" s="612"/>
      <c r="T40" s="612"/>
      <c r="U40" s="612"/>
      <c r="V40" s="612"/>
      <c r="W40" s="612"/>
    </row>
    <row r="41" spans="1:23" x14ac:dyDescent="0.2">
      <c r="A41" s="20"/>
      <c r="B41" s="20"/>
      <c r="C41" s="20"/>
      <c r="D41" s="580"/>
      <c r="E41" s="580"/>
      <c r="F41" s="580"/>
      <c r="G41" s="580"/>
      <c r="H41" s="580"/>
      <c r="I41" s="580"/>
      <c r="J41" s="580"/>
      <c r="K41" s="580"/>
      <c r="L41" s="611"/>
      <c r="M41" s="580"/>
      <c r="N41" s="580"/>
      <c r="O41" s="611"/>
      <c r="P41" s="580"/>
      <c r="Q41" s="580"/>
      <c r="R41" s="612"/>
      <c r="S41" s="612"/>
      <c r="T41" s="612"/>
      <c r="U41" s="612"/>
      <c r="V41" s="612"/>
      <c r="W41" s="612"/>
    </row>
    <row r="42" spans="1:23" x14ac:dyDescent="0.2">
      <c r="A42" s="20"/>
      <c r="B42" s="20"/>
      <c r="C42" s="20"/>
      <c r="D42" s="580"/>
      <c r="E42" s="580"/>
      <c r="F42" s="580"/>
      <c r="G42" s="580"/>
      <c r="H42" s="580"/>
      <c r="I42" s="580"/>
      <c r="J42" s="580"/>
      <c r="K42" s="580"/>
      <c r="L42" s="611"/>
      <c r="M42" s="580"/>
      <c r="N42" s="580"/>
      <c r="O42" s="611"/>
      <c r="P42" s="580"/>
      <c r="Q42" s="580"/>
      <c r="R42" s="612"/>
      <c r="S42" s="612"/>
      <c r="T42" s="612"/>
      <c r="U42" s="612"/>
      <c r="V42" s="612"/>
      <c r="W42" s="612"/>
    </row>
    <row r="43" spans="1:23" x14ac:dyDescent="0.2">
      <c r="A43" s="20"/>
      <c r="B43" s="20"/>
      <c r="C43" s="20"/>
      <c r="D43" s="580"/>
      <c r="E43" s="580"/>
      <c r="F43" s="580"/>
      <c r="G43" s="580"/>
      <c r="H43" s="580"/>
      <c r="I43" s="580"/>
      <c r="J43" s="580"/>
      <c r="K43" s="580"/>
      <c r="L43" s="611"/>
      <c r="M43" s="580"/>
      <c r="N43" s="580"/>
      <c r="O43" s="611"/>
      <c r="P43" s="580"/>
      <c r="Q43" s="580"/>
      <c r="R43" s="612"/>
      <c r="S43" s="612"/>
      <c r="T43" s="612"/>
      <c r="U43" s="612"/>
      <c r="V43" s="612"/>
      <c r="W43" s="612"/>
    </row>
    <row r="44" spans="1:23" x14ac:dyDescent="0.2">
      <c r="A44" s="20"/>
      <c r="B44" s="20"/>
      <c r="C44" s="20"/>
      <c r="D44" s="580"/>
      <c r="E44" s="580"/>
      <c r="F44" s="580"/>
      <c r="G44" s="580"/>
      <c r="H44" s="580"/>
      <c r="I44" s="580"/>
      <c r="J44" s="580"/>
      <c r="K44" s="580"/>
      <c r="L44" s="611"/>
      <c r="M44" s="580"/>
      <c r="N44" s="580"/>
      <c r="O44" s="611"/>
      <c r="P44" s="580"/>
      <c r="Q44" s="580"/>
      <c r="R44" s="612"/>
      <c r="S44" s="612"/>
      <c r="T44" s="612"/>
      <c r="U44" s="612"/>
      <c r="V44" s="612"/>
      <c r="W44" s="612"/>
    </row>
    <row r="45" spans="1:23" x14ac:dyDescent="0.2">
      <c r="A45" s="20"/>
      <c r="B45" s="20"/>
      <c r="C45" s="20"/>
      <c r="D45" s="580"/>
      <c r="E45" s="580"/>
      <c r="F45" s="580"/>
      <c r="G45" s="580"/>
      <c r="H45" s="580"/>
      <c r="I45" s="580"/>
      <c r="J45" s="580"/>
      <c r="K45" s="580"/>
      <c r="L45" s="611"/>
      <c r="M45" s="580"/>
      <c r="N45" s="580"/>
      <c r="O45" s="611"/>
      <c r="P45" s="580"/>
      <c r="Q45" s="580"/>
      <c r="R45" s="612"/>
      <c r="S45" s="612"/>
      <c r="T45" s="612"/>
      <c r="U45" s="612"/>
      <c r="V45" s="612"/>
      <c r="W45" s="612"/>
    </row>
    <row r="46" spans="1:23" x14ac:dyDescent="0.2">
      <c r="A46" s="20"/>
      <c r="B46" s="20"/>
      <c r="C46" s="20"/>
      <c r="D46" s="580"/>
      <c r="E46" s="580"/>
      <c r="F46" s="580"/>
      <c r="G46" s="580"/>
      <c r="H46" s="580"/>
      <c r="I46" s="580"/>
      <c r="J46" s="580"/>
      <c r="K46" s="580"/>
      <c r="L46" s="611"/>
      <c r="M46" s="580"/>
      <c r="N46" s="580"/>
      <c r="O46" s="611"/>
      <c r="P46" s="580"/>
      <c r="Q46" s="580"/>
      <c r="R46" s="612"/>
      <c r="S46" s="612"/>
      <c r="T46" s="612"/>
      <c r="U46" s="612"/>
      <c r="V46" s="612"/>
      <c r="W46" s="612"/>
    </row>
    <row r="47" spans="1:23" x14ac:dyDescent="0.2">
      <c r="A47" s="20"/>
      <c r="B47" s="20"/>
      <c r="C47" s="20"/>
      <c r="D47" s="580"/>
      <c r="E47" s="580"/>
      <c r="F47" s="580"/>
      <c r="G47" s="580"/>
      <c r="H47" s="580"/>
      <c r="I47" s="580"/>
      <c r="J47" s="580"/>
      <c r="K47" s="580"/>
      <c r="L47" s="611"/>
      <c r="M47" s="580"/>
      <c r="N47" s="580"/>
      <c r="O47" s="611"/>
      <c r="P47" s="580"/>
      <c r="Q47" s="580"/>
      <c r="R47" s="612"/>
      <c r="S47" s="612"/>
      <c r="T47" s="612"/>
      <c r="U47" s="612"/>
      <c r="V47" s="612"/>
      <c r="W47" s="612"/>
    </row>
    <row r="48" spans="1:23" x14ac:dyDescent="0.2">
      <c r="A48" s="20"/>
      <c r="B48" s="20"/>
      <c r="C48" s="20"/>
      <c r="D48" s="580"/>
      <c r="E48" s="580"/>
      <c r="F48" s="580"/>
      <c r="G48" s="580"/>
      <c r="H48" s="580"/>
      <c r="I48" s="580"/>
      <c r="J48" s="580"/>
      <c r="K48" s="580"/>
      <c r="L48" s="611"/>
      <c r="M48" s="580"/>
      <c r="N48" s="580"/>
      <c r="O48" s="611"/>
      <c r="P48" s="580"/>
      <c r="Q48" s="580"/>
      <c r="R48" s="612"/>
      <c r="S48" s="612"/>
      <c r="T48" s="612"/>
      <c r="U48" s="612"/>
      <c r="V48" s="612"/>
      <c r="W48" s="612"/>
    </row>
    <row r="49" spans="1:23" x14ac:dyDescent="0.2">
      <c r="A49" s="20"/>
      <c r="B49" s="20"/>
      <c r="C49" s="20"/>
      <c r="D49" s="580"/>
      <c r="E49" s="580"/>
      <c r="F49" s="580"/>
      <c r="G49" s="580"/>
      <c r="H49" s="580"/>
      <c r="I49" s="580"/>
      <c r="J49" s="580"/>
      <c r="K49" s="580"/>
      <c r="L49" s="611"/>
      <c r="M49" s="580"/>
      <c r="N49" s="580"/>
      <c r="O49" s="611"/>
      <c r="P49" s="580"/>
      <c r="Q49" s="580"/>
      <c r="R49" s="612"/>
      <c r="S49" s="612"/>
      <c r="T49" s="612"/>
      <c r="U49" s="612"/>
      <c r="V49" s="612"/>
      <c r="W49" s="612"/>
    </row>
    <row r="50" spans="1:23" x14ac:dyDescent="0.2">
      <c r="A50" s="20"/>
      <c r="B50" s="20"/>
      <c r="C50" s="20"/>
      <c r="D50" s="580"/>
      <c r="E50" s="580"/>
      <c r="F50" s="580"/>
      <c r="G50" s="580"/>
      <c r="H50" s="580"/>
      <c r="I50" s="580"/>
      <c r="J50" s="580"/>
      <c r="K50" s="580"/>
      <c r="L50" s="611"/>
      <c r="M50" s="580"/>
      <c r="N50" s="580"/>
      <c r="O50" s="611"/>
      <c r="P50" s="580"/>
      <c r="Q50" s="580"/>
      <c r="R50" s="612"/>
      <c r="S50" s="612"/>
      <c r="T50" s="612"/>
      <c r="U50" s="612"/>
      <c r="V50" s="612"/>
      <c r="W50" s="612"/>
    </row>
    <row r="51" spans="1:23" x14ac:dyDescent="0.2">
      <c r="A51" s="20"/>
      <c r="B51" s="20"/>
      <c r="C51" s="20"/>
      <c r="D51" s="580"/>
      <c r="E51" s="580"/>
      <c r="F51" s="580"/>
      <c r="G51" s="580"/>
      <c r="H51" s="580"/>
      <c r="I51" s="580"/>
      <c r="J51" s="580"/>
      <c r="K51" s="580"/>
      <c r="L51" s="611"/>
      <c r="M51" s="580"/>
      <c r="N51" s="580"/>
      <c r="O51" s="611"/>
      <c r="P51" s="580"/>
      <c r="Q51" s="580"/>
      <c r="R51" s="612"/>
      <c r="S51" s="612"/>
      <c r="T51" s="612"/>
      <c r="U51" s="612"/>
      <c r="V51" s="612"/>
      <c r="W51" s="612"/>
    </row>
    <row r="52" spans="1:23" x14ac:dyDescent="0.2">
      <c r="A52" s="20"/>
      <c r="B52" s="20"/>
      <c r="C52" s="20"/>
      <c r="D52" s="580"/>
      <c r="E52" s="580"/>
      <c r="F52" s="580"/>
      <c r="G52" s="580"/>
      <c r="H52" s="580"/>
      <c r="I52" s="580"/>
      <c r="J52" s="580"/>
      <c r="K52" s="580"/>
      <c r="L52" s="611"/>
      <c r="M52" s="580"/>
      <c r="N52" s="580"/>
      <c r="O52" s="611"/>
      <c r="P52" s="580"/>
      <c r="Q52" s="580"/>
      <c r="R52" s="612"/>
      <c r="S52" s="612"/>
      <c r="T52" s="612"/>
      <c r="U52" s="612"/>
      <c r="V52" s="612"/>
      <c r="W52" s="612"/>
    </row>
    <row r="53" spans="1:23" x14ac:dyDescent="0.2">
      <c r="A53" s="20"/>
      <c r="B53" s="20"/>
      <c r="C53" s="20"/>
      <c r="D53" s="580"/>
      <c r="E53" s="580"/>
      <c r="F53" s="580"/>
      <c r="G53" s="580"/>
      <c r="H53" s="580"/>
      <c r="I53" s="580"/>
      <c r="J53" s="580"/>
      <c r="K53" s="580"/>
      <c r="L53" s="611"/>
      <c r="M53" s="580"/>
      <c r="N53" s="580"/>
      <c r="O53" s="611"/>
      <c r="P53" s="580"/>
      <c r="Q53" s="580"/>
      <c r="R53" s="612"/>
      <c r="S53" s="612"/>
      <c r="T53" s="612"/>
      <c r="U53" s="612"/>
      <c r="V53" s="612"/>
      <c r="W53" s="612"/>
    </row>
    <row r="54" spans="1:23" x14ac:dyDescent="0.2">
      <c r="A54" s="20"/>
      <c r="B54" s="20"/>
      <c r="C54" s="20"/>
      <c r="D54" s="580"/>
      <c r="E54" s="580"/>
      <c r="F54" s="580"/>
      <c r="G54" s="580"/>
      <c r="H54" s="580"/>
      <c r="I54" s="580"/>
      <c r="J54" s="580"/>
      <c r="K54" s="580"/>
      <c r="L54" s="611"/>
      <c r="M54" s="580"/>
      <c r="N54" s="580"/>
      <c r="O54" s="611"/>
      <c r="P54" s="580"/>
      <c r="Q54" s="580"/>
      <c r="R54" s="612"/>
      <c r="S54" s="612"/>
      <c r="T54" s="612"/>
      <c r="U54" s="612"/>
      <c r="V54" s="612"/>
      <c r="W54" s="612"/>
    </row>
    <row r="55" spans="1:23" x14ac:dyDescent="0.2">
      <c r="A55" s="20"/>
      <c r="B55" s="20"/>
      <c r="C55" s="20"/>
      <c r="D55" s="580"/>
      <c r="E55" s="580"/>
      <c r="F55" s="580"/>
      <c r="G55" s="580"/>
      <c r="H55" s="580"/>
      <c r="I55" s="580"/>
      <c r="J55" s="580"/>
      <c r="K55" s="580"/>
      <c r="L55" s="611"/>
      <c r="M55" s="580"/>
      <c r="N55" s="580"/>
      <c r="O55" s="611"/>
      <c r="P55" s="580"/>
      <c r="Q55" s="580"/>
      <c r="R55" s="612"/>
      <c r="S55" s="612"/>
      <c r="T55" s="612"/>
      <c r="U55" s="612"/>
      <c r="V55" s="612"/>
      <c r="W55" s="612"/>
    </row>
    <row r="56" spans="1:23" x14ac:dyDescent="0.2">
      <c r="A56" s="20"/>
      <c r="B56" s="20"/>
      <c r="C56" s="20"/>
      <c r="D56" s="580"/>
      <c r="E56" s="580"/>
      <c r="F56" s="580"/>
      <c r="G56" s="580"/>
      <c r="H56" s="580"/>
      <c r="I56" s="580"/>
      <c r="J56" s="580"/>
      <c r="K56" s="580"/>
      <c r="L56" s="611"/>
      <c r="M56" s="580"/>
      <c r="N56" s="580"/>
      <c r="O56" s="611"/>
      <c r="P56" s="580"/>
      <c r="Q56" s="580"/>
      <c r="R56" s="612"/>
      <c r="S56" s="612"/>
      <c r="T56" s="612"/>
      <c r="U56" s="612"/>
      <c r="V56" s="612"/>
      <c r="W56" s="612"/>
    </row>
    <row r="57" spans="1:23" x14ac:dyDescent="0.2">
      <c r="A57" s="20"/>
      <c r="B57" s="20"/>
      <c r="C57" s="20"/>
      <c r="D57" s="580"/>
      <c r="E57" s="580"/>
      <c r="F57" s="580"/>
      <c r="G57" s="580"/>
      <c r="H57" s="580"/>
      <c r="I57" s="580"/>
      <c r="J57" s="580"/>
      <c r="K57" s="580"/>
      <c r="L57" s="611"/>
      <c r="M57" s="580"/>
      <c r="N57" s="580"/>
      <c r="O57" s="611"/>
      <c r="P57" s="580"/>
      <c r="Q57" s="580"/>
      <c r="R57" s="612"/>
      <c r="S57" s="612"/>
      <c r="T57" s="612"/>
      <c r="U57" s="612"/>
      <c r="V57" s="612"/>
      <c r="W57" s="612"/>
    </row>
    <row r="58" spans="1:23" x14ac:dyDescent="0.2">
      <c r="A58" s="20"/>
      <c r="B58" s="20"/>
      <c r="C58" s="20"/>
      <c r="D58" s="580"/>
      <c r="E58" s="580"/>
      <c r="F58" s="580"/>
      <c r="G58" s="580"/>
      <c r="H58" s="580"/>
      <c r="I58" s="580"/>
      <c r="J58" s="580"/>
      <c r="K58" s="580"/>
      <c r="L58" s="611"/>
      <c r="M58" s="580"/>
      <c r="N58" s="580"/>
      <c r="O58" s="611"/>
      <c r="P58" s="580"/>
      <c r="Q58" s="580"/>
      <c r="R58" s="612"/>
      <c r="S58" s="612"/>
      <c r="T58" s="612"/>
      <c r="U58" s="612"/>
      <c r="V58" s="612"/>
      <c r="W58" s="612"/>
    </row>
    <row r="59" spans="1:23" x14ac:dyDescent="0.2">
      <c r="A59" s="20"/>
      <c r="B59" s="20"/>
      <c r="C59" s="20"/>
      <c r="D59" s="580"/>
      <c r="E59" s="580"/>
      <c r="F59" s="580"/>
      <c r="G59" s="580"/>
      <c r="H59" s="580"/>
      <c r="I59" s="580"/>
      <c r="J59" s="580"/>
      <c r="K59" s="580"/>
      <c r="L59" s="611"/>
      <c r="M59" s="580"/>
      <c r="N59" s="580"/>
      <c r="O59" s="611"/>
      <c r="P59" s="580"/>
      <c r="Q59" s="580"/>
      <c r="R59" s="612"/>
      <c r="S59" s="612"/>
      <c r="T59" s="612"/>
      <c r="U59" s="612"/>
      <c r="V59" s="612"/>
      <c r="W59" s="612"/>
    </row>
    <row r="60" spans="1:23" x14ac:dyDescent="0.2">
      <c r="A60" s="20"/>
      <c r="B60" s="20"/>
      <c r="C60" s="20"/>
      <c r="D60" s="580"/>
      <c r="E60" s="580"/>
      <c r="F60" s="580"/>
      <c r="G60" s="580"/>
      <c r="H60" s="580"/>
      <c r="I60" s="580"/>
      <c r="J60" s="580"/>
      <c r="K60" s="580"/>
      <c r="L60" s="611"/>
      <c r="M60" s="580"/>
      <c r="N60" s="580"/>
      <c r="O60" s="611"/>
      <c r="P60" s="580"/>
      <c r="Q60" s="580"/>
      <c r="R60" s="612"/>
      <c r="S60" s="612"/>
      <c r="T60" s="612"/>
      <c r="U60" s="612"/>
      <c r="V60" s="612"/>
      <c r="W60" s="612"/>
    </row>
    <row r="61" spans="1:23" x14ac:dyDescent="0.2">
      <c r="A61" s="20"/>
      <c r="B61" s="20"/>
      <c r="C61" s="20"/>
      <c r="D61" s="580"/>
      <c r="E61" s="580"/>
      <c r="F61" s="580"/>
      <c r="G61" s="580"/>
      <c r="H61" s="580"/>
      <c r="I61" s="580"/>
      <c r="J61" s="580"/>
      <c r="K61" s="580"/>
      <c r="L61" s="611"/>
      <c r="M61" s="580"/>
      <c r="N61" s="580"/>
      <c r="O61" s="611"/>
      <c r="P61" s="580"/>
      <c r="Q61" s="580"/>
      <c r="R61" s="612"/>
      <c r="S61" s="612"/>
      <c r="T61" s="612"/>
      <c r="U61" s="612"/>
      <c r="V61" s="612"/>
      <c r="W61" s="612"/>
    </row>
    <row r="62" spans="1:23" x14ac:dyDescent="0.2">
      <c r="A62" s="20"/>
      <c r="B62" s="20"/>
      <c r="C62" s="20"/>
      <c r="D62" s="580"/>
      <c r="E62" s="580"/>
      <c r="F62" s="580"/>
      <c r="G62" s="580"/>
      <c r="H62" s="580"/>
      <c r="I62" s="580"/>
      <c r="J62" s="580"/>
      <c r="K62" s="580"/>
      <c r="L62" s="611"/>
      <c r="M62" s="580"/>
      <c r="N62" s="580"/>
      <c r="O62" s="611"/>
      <c r="P62" s="580"/>
      <c r="Q62" s="580"/>
      <c r="R62" s="612"/>
      <c r="S62" s="612"/>
      <c r="T62" s="612"/>
      <c r="U62" s="612"/>
      <c r="V62" s="612"/>
      <c r="W62" s="612"/>
    </row>
    <row r="63" spans="1:23" x14ac:dyDescent="0.2">
      <c r="A63" s="20"/>
      <c r="B63" s="20"/>
      <c r="C63" s="20"/>
      <c r="D63" s="580"/>
      <c r="E63" s="580"/>
      <c r="F63" s="580"/>
      <c r="G63" s="580"/>
      <c r="H63" s="580"/>
      <c r="I63" s="580"/>
      <c r="J63" s="580"/>
      <c r="K63" s="580"/>
      <c r="L63" s="611"/>
      <c r="M63" s="580"/>
      <c r="N63" s="580"/>
      <c r="O63" s="611"/>
      <c r="P63" s="580"/>
      <c r="Q63" s="580"/>
      <c r="R63" s="612"/>
      <c r="S63" s="612"/>
      <c r="T63" s="612"/>
      <c r="U63" s="612"/>
      <c r="V63" s="612"/>
      <c r="W63" s="612"/>
    </row>
    <row r="64" spans="1:23" x14ac:dyDescent="0.2">
      <c r="A64" s="20"/>
      <c r="B64" s="20"/>
      <c r="C64" s="20"/>
      <c r="D64" s="580"/>
      <c r="E64" s="580"/>
      <c r="F64" s="580"/>
      <c r="G64" s="580"/>
      <c r="H64" s="580"/>
      <c r="I64" s="580"/>
      <c r="J64" s="580"/>
      <c r="K64" s="580"/>
      <c r="L64" s="611"/>
      <c r="M64" s="580"/>
      <c r="N64" s="580"/>
      <c r="O64" s="611"/>
      <c r="P64" s="580"/>
      <c r="Q64" s="580"/>
      <c r="R64" s="612"/>
      <c r="S64" s="612"/>
      <c r="T64" s="612"/>
      <c r="U64" s="612"/>
      <c r="V64" s="612"/>
      <c r="W64" s="612"/>
    </row>
    <row r="65" spans="1:23" x14ac:dyDescent="0.2">
      <c r="A65" s="20"/>
      <c r="B65" s="20"/>
      <c r="C65" s="20"/>
      <c r="D65" s="580"/>
      <c r="E65" s="580"/>
      <c r="F65" s="580"/>
      <c r="G65" s="580"/>
      <c r="H65" s="580"/>
      <c r="I65" s="580"/>
      <c r="J65" s="580"/>
      <c r="K65" s="580"/>
      <c r="L65" s="611"/>
      <c r="M65" s="580"/>
      <c r="N65" s="580"/>
      <c r="O65" s="611"/>
      <c r="P65" s="580"/>
      <c r="Q65" s="580"/>
      <c r="R65" s="612"/>
      <c r="S65" s="612"/>
      <c r="T65" s="612"/>
      <c r="U65" s="612"/>
      <c r="V65" s="612"/>
      <c r="W65" s="612"/>
    </row>
    <row r="66" spans="1:23" x14ac:dyDescent="0.2">
      <c r="A66" s="20"/>
      <c r="B66" s="20"/>
      <c r="C66" s="20"/>
      <c r="D66" s="580"/>
      <c r="E66" s="580"/>
      <c r="F66" s="580"/>
      <c r="G66" s="580"/>
      <c r="H66" s="580"/>
      <c r="I66" s="580"/>
      <c r="J66" s="580"/>
      <c r="K66" s="580"/>
      <c r="L66" s="611"/>
      <c r="M66" s="580"/>
      <c r="N66" s="580"/>
      <c r="O66" s="611"/>
      <c r="P66" s="580"/>
      <c r="Q66" s="580"/>
      <c r="R66" s="612"/>
      <c r="S66" s="612"/>
      <c r="T66" s="612"/>
      <c r="U66" s="612"/>
      <c r="V66" s="612"/>
      <c r="W66" s="612"/>
    </row>
    <row r="67" spans="1:23" x14ac:dyDescent="0.2">
      <c r="A67" s="20"/>
      <c r="B67" s="20"/>
      <c r="C67" s="20"/>
      <c r="D67" s="580"/>
      <c r="E67" s="580"/>
      <c r="F67" s="580"/>
      <c r="G67" s="580"/>
      <c r="H67" s="580"/>
      <c r="I67" s="580"/>
      <c r="J67" s="580"/>
      <c r="K67" s="580"/>
      <c r="L67" s="611"/>
      <c r="M67" s="580"/>
      <c r="N67" s="580"/>
      <c r="O67" s="611"/>
      <c r="P67" s="580"/>
      <c r="Q67" s="580"/>
      <c r="R67" s="612"/>
      <c r="S67" s="612"/>
      <c r="T67" s="612"/>
      <c r="U67" s="612"/>
      <c r="V67" s="612"/>
      <c r="W67" s="612"/>
    </row>
    <row r="68" spans="1:23" x14ac:dyDescent="0.2">
      <c r="A68" s="20"/>
      <c r="B68" s="20"/>
      <c r="C68" s="20"/>
      <c r="D68" s="580"/>
      <c r="E68" s="580"/>
      <c r="F68" s="580"/>
      <c r="G68" s="580"/>
      <c r="H68" s="580"/>
      <c r="I68" s="580"/>
      <c r="J68" s="580"/>
      <c r="K68" s="580"/>
      <c r="L68" s="611"/>
      <c r="M68" s="580"/>
      <c r="N68" s="580"/>
      <c r="O68" s="611"/>
      <c r="P68" s="580"/>
      <c r="Q68" s="580"/>
      <c r="R68" s="612"/>
      <c r="S68" s="612"/>
      <c r="T68" s="612"/>
      <c r="U68" s="612"/>
      <c r="V68" s="612"/>
      <c r="W68" s="612"/>
    </row>
    <row r="69" spans="1:23" x14ac:dyDescent="0.2">
      <c r="A69" s="20"/>
      <c r="B69" s="20"/>
      <c r="C69" s="20"/>
      <c r="D69" s="580"/>
      <c r="E69" s="580"/>
      <c r="F69" s="580"/>
      <c r="G69" s="580"/>
      <c r="H69" s="580"/>
      <c r="I69" s="580"/>
      <c r="J69" s="580"/>
      <c r="K69" s="580"/>
      <c r="L69" s="611"/>
      <c r="M69" s="580"/>
      <c r="N69" s="580"/>
      <c r="O69" s="611"/>
      <c r="P69" s="580"/>
      <c r="Q69" s="580"/>
      <c r="R69" s="612"/>
      <c r="S69" s="612"/>
      <c r="T69" s="612"/>
      <c r="U69" s="612"/>
      <c r="V69" s="612"/>
      <c r="W69" s="612"/>
    </row>
    <row r="70" spans="1:23" x14ac:dyDescent="0.2">
      <c r="A70" s="20"/>
      <c r="B70" s="20"/>
      <c r="C70" s="20"/>
      <c r="D70" s="580"/>
      <c r="E70" s="580"/>
      <c r="F70" s="580"/>
      <c r="G70" s="580"/>
      <c r="H70" s="580"/>
      <c r="I70" s="580"/>
      <c r="J70" s="580"/>
      <c r="K70" s="580"/>
      <c r="L70" s="611"/>
      <c r="M70" s="580"/>
      <c r="N70" s="580"/>
      <c r="O70" s="611"/>
      <c r="P70" s="580"/>
      <c r="Q70" s="580"/>
      <c r="R70" s="612"/>
      <c r="S70" s="612"/>
      <c r="T70" s="612"/>
      <c r="U70" s="612"/>
      <c r="V70" s="612"/>
      <c r="W70" s="612"/>
    </row>
    <row r="71" spans="1:23" x14ac:dyDescent="0.2">
      <c r="A71" s="20"/>
      <c r="B71" s="20"/>
      <c r="C71" s="20"/>
      <c r="D71" s="580"/>
      <c r="E71" s="580"/>
      <c r="F71" s="580"/>
      <c r="G71" s="580"/>
      <c r="H71" s="580"/>
      <c r="I71" s="580"/>
      <c r="J71" s="580"/>
      <c r="K71" s="580"/>
      <c r="L71" s="611"/>
      <c r="M71" s="580"/>
      <c r="N71" s="580"/>
      <c r="O71" s="611"/>
      <c r="P71" s="580"/>
      <c r="Q71" s="580"/>
      <c r="R71" s="612"/>
      <c r="S71" s="612"/>
      <c r="T71" s="612"/>
      <c r="U71" s="612"/>
      <c r="V71" s="612"/>
      <c r="W71" s="612"/>
    </row>
    <row r="72" spans="1:23" x14ac:dyDescent="0.2">
      <c r="A72" s="20"/>
      <c r="B72" s="20"/>
      <c r="C72" s="20"/>
      <c r="D72" s="580"/>
      <c r="E72" s="580"/>
      <c r="F72" s="580"/>
      <c r="G72" s="580"/>
      <c r="H72" s="580"/>
      <c r="I72" s="580"/>
      <c r="J72" s="580"/>
      <c r="K72" s="580"/>
      <c r="L72" s="611"/>
      <c r="M72" s="580"/>
      <c r="N72" s="580"/>
      <c r="O72" s="611"/>
      <c r="P72" s="580"/>
      <c r="Q72" s="580"/>
      <c r="R72" s="612"/>
      <c r="S72" s="612"/>
      <c r="T72" s="612"/>
      <c r="U72" s="612"/>
      <c r="V72" s="612"/>
      <c r="W72" s="612"/>
    </row>
    <row r="73" spans="1:23" x14ac:dyDescent="0.2">
      <c r="A73" s="20"/>
      <c r="B73" s="20"/>
      <c r="C73" s="20"/>
      <c r="D73" s="580"/>
      <c r="E73" s="580"/>
      <c r="F73" s="580"/>
      <c r="G73" s="580"/>
      <c r="H73" s="580"/>
      <c r="I73" s="580"/>
      <c r="J73" s="580"/>
      <c r="K73" s="580"/>
      <c r="L73" s="611"/>
      <c r="M73" s="580"/>
      <c r="N73" s="580"/>
      <c r="O73" s="611"/>
      <c r="P73" s="580"/>
      <c r="Q73" s="580"/>
      <c r="R73" s="612"/>
      <c r="S73" s="612"/>
      <c r="T73" s="612"/>
      <c r="U73" s="612"/>
      <c r="V73" s="612"/>
      <c r="W73" s="612"/>
    </row>
    <row r="74" spans="1:23" x14ac:dyDescent="0.2">
      <c r="A74" s="20"/>
      <c r="B74" s="20"/>
      <c r="C74" s="20"/>
      <c r="D74" s="580"/>
      <c r="E74" s="580"/>
      <c r="F74" s="580"/>
      <c r="G74" s="580"/>
      <c r="H74" s="580"/>
      <c r="I74" s="580"/>
      <c r="J74" s="580"/>
      <c r="K74" s="580"/>
      <c r="L74" s="611"/>
      <c r="M74" s="580"/>
      <c r="N74" s="580"/>
      <c r="O74" s="611"/>
      <c r="P74" s="580"/>
      <c r="Q74" s="580"/>
      <c r="R74" s="612"/>
      <c r="S74" s="612"/>
      <c r="T74" s="612"/>
      <c r="U74" s="612"/>
      <c r="V74" s="612"/>
      <c r="W74" s="612"/>
    </row>
    <row r="75" spans="1:23" x14ac:dyDescent="0.2">
      <c r="A75" s="20"/>
      <c r="B75" s="20"/>
      <c r="C75" s="20"/>
      <c r="D75" s="580"/>
      <c r="E75" s="580"/>
      <c r="F75" s="580"/>
      <c r="G75" s="580"/>
      <c r="H75" s="580"/>
      <c r="I75" s="580"/>
      <c r="J75" s="580"/>
      <c r="K75" s="580"/>
      <c r="L75" s="611"/>
      <c r="M75" s="580"/>
      <c r="N75" s="580"/>
      <c r="O75" s="611"/>
      <c r="P75" s="580"/>
      <c r="Q75" s="580"/>
      <c r="R75" s="612"/>
      <c r="S75" s="612"/>
      <c r="T75" s="612"/>
      <c r="U75" s="612"/>
      <c r="V75" s="612"/>
      <c r="W75" s="612"/>
    </row>
    <row r="76" spans="1:23" x14ac:dyDescent="0.2">
      <c r="A76" s="20"/>
      <c r="B76" s="20"/>
      <c r="C76" s="20"/>
      <c r="D76" s="580"/>
      <c r="E76" s="580"/>
      <c r="F76" s="580"/>
      <c r="G76" s="580"/>
      <c r="H76" s="580"/>
      <c r="I76" s="580"/>
      <c r="J76" s="580"/>
      <c r="K76" s="580"/>
      <c r="L76" s="611"/>
      <c r="M76" s="580"/>
      <c r="N76" s="580"/>
      <c r="O76" s="611"/>
      <c r="P76" s="580"/>
      <c r="Q76" s="580"/>
      <c r="R76" s="612"/>
      <c r="S76" s="612"/>
      <c r="T76" s="612"/>
      <c r="U76" s="612"/>
      <c r="V76" s="612"/>
      <c r="W76" s="612"/>
    </row>
    <row r="77" spans="1:23" x14ac:dyDescent="0.2">
      <c r="A77" s="20"/>
      <c r="B77" s="20"/>
      <c r="C77" s="20"/>
      <c r="D77" s="580"/>
      <c r="E77" s="580"/>
      <c r="F77" s="580"/>
      <c r="G77" s="580"/>
      <c r="H77" s="580"/>
      <c r="I77" s="580"/>
      <c r="J77" s="580"/>
      <c r="K77" s="580"/>
      <c r="L77" s="611"/>
      <c r="M77" s="580"/>
      <c r="N77" s="580"/>
      <c r="O77" s="611"/>
      <c r="P77" s="580"/>
      <c r="Q77" s="580"/>
      <c r="R77" s="612"/>
      <c r="S77" s="612"/>
      <c r="T77" s="612"/>
      <c r="U77" s="612"/>
      <c r="V77" s="612"/>
      <c r="W77" s="612"/>
    </row>
    <row r="78" spans="1:23" x14ac:dyDescent="0.2">
      <c r="A78" s="20"/>
      <c r="B78" s="20"/>
      <c r="C78" s="20"/>
      <c r="D78" s="580"/>
      <c r="E78" s="580"/>
      <c r="F78" s="580"/>
      <c r="G78" s="580"/>
      <c r="H78" s="580"/>
      <c r="I78" s="580"/>
      <c r="J78" s="580"/>
      <c r="K78" s="580"/>
      <c r="L78" s="611"/>
      <c r="M78" s="580"/>
      <c r="N78" s="580"/>
      <c r="O78" s="611"/>
      <c r="P78" s="580"/>
      <c r="Q78" s="580"/>
      <c r="R78" s="612"/>
      <c r="S78" s="612"/>
      <c r="T78" s="612"/>
      <c r="U78" s="612"/>
      <c r="V78" s="612"/>
      <c r="W78" s="612"/>
    </row>
    <row r="79" spans="1:23" x14ac:dyDescent="0.2">
      <c r="A79" s="20"/>
      <c r="B79" s="20"/>
      <c r="C79" s="20"/>
      <c r="D79" s="580"/>
      <c r="E79" s="580"/>
      <c r="F79" s="580"/>
      <c r="G79" s="580"/>
      <c r="H79" s="580"/>
      <c r="I79" s="580"/>
      <c r="J79" s="580"/>
      <c r="K79" s="580"/>
      <c r="L79" s="611"/>
      <c r="M79" s="580"/>
      <c r="N79" s="580"/>
      <c r="O79" s="611"/>
      <c r="P79" s="580"/>
      <c r="Q79" s="580"/>
      <c r="R79" s="612"/>
      <c r="S79" s="612"/>
      <c r="T79" s="612"/>
      <c r="U79" s="612"/>
      <c r="V79" s="612"/>
      <c r="W79" s="612"/>
    </row>
    <row r="80" spans="1:23" x14ac:dyDescent="0.2">
      <c r="A80" s="20"/>
      <c r="B80" s="20"/>
      <c r="C80" s="20"/>
      <c r="D80" s="580"/>
      <c r="E80" s="580"/>
      <c r="F80" s="580"/>
      <c r="G80" s="580"/>
      <c r="H80" s="580"/>
      <c r="I80" s="580"/>
      <c r="J80" s="580"/>
      <c r="K80" s="580"/>
      <c r="L80" s="611"/>
      <c r="M80" s="580"/>
      <c r="N80" s="580"/>
      <c r="O80" s="611"/>
      <c r="P80" s="580"/>
      <c r="Q80" s="580"/>
      <c r="R80" s="612"/>
      <c r="S80" s="612"/>
      <c r="T80" s="612"/>
      <c r="U80" s="612"/>
      <c r="V80" s="612"/>
      <c r="W80" s="612"/>
    </row>
    <row r="81" spans="1:23" x14ac:dyDescent="0.2">
      <c r="A81" s="20"/>
      <c r="B81" s="20"/>
      <c r="C81" s="20"/>
      <c r="D81" s="580"/>
      <c r="E81" s="580"/>
      <c r="F81" s="580"/>
      <c r="G81" s="580"/>
      <c r="H81" s="580"/>
      <c r="I81" s="580"/>
      <c r="J81" s="580"/>
      <c r="K81" s="580"/>
      <c r="L81" s="611"/>
      <c r="M81" s="580"/>
      <c r="N81" s="580"/>
      <c r="O81" s="611"/>
      <c r="P81" s="580"/>
      <c r="Q81" s="580"/>
      <c r="R81" s="612"/>
      <c r="S81" s="612"/>
      <c r="T81" s="612"/>
      <c r="U81" s="612"/>
      <c r="V81" s="612"/>
      <c r="W81" s="612"/>
    </row>
    <row r="82" spans="1:23" x14ac:dyDescent="0.2">
      <c r="A82" s="20"/>
      <c r="B82" s="20"/>
      <c r="C82" s="20"/>
      <c r="D82" s="580"/>
      <c r="E82" s="580"/>
      <c r="F82" s="580"/>
      <c r="G82" s="580"/>
      <c r="H82" s="580"/>
      <c r="I82" s="580"/>
      <c r="J82" s="580"/>
      <c r="K82" s="580"/>
      <c r="L82" s="611"/>
      <c r="M82" s="580"/>
      <c r="N82" s="580"/>
      <c r="O82" s="611"/>
      <c r="P82" s="580"/>
      <c r="Q82" s="580"/>
      <c r="R82" s="612"/>
      <c r="S82" s="612"/>
      <c r="T82" s="612"/>
      <c r="U82" s="612"/>
      <c r="V82" s="612"/>
      <c r="W82" s="612"/>
    </row>
    <row r="83" spans="1:23" x14ac:dyDescent="0.2">
      <c r="A83" s="20"/>
      <c r="B83" s="20"/>
      <c r="C83" s="20"/>
      <c r="D83" s="580"/>
      <c r="E83" s="580"/>
      <c r="F83" s="580"/>
      <c r="G83" s="580"/>
      <c r="H83" s="580"/>
      <c r="I83" s="580"/>
      <c r="J83" s="580"/>
      <c r="K83" s="580"/>
      <c r="L83" s="611"/>
      <c r="M83" s="580"/>
      <c r="N83" s="580"/>
      <c r="O83" s="611"/>
      <c r="P83" s="580"/>
      <c r="Q83" s="580"/>
      <c r="R83" s="612"/>
      <c r="S83" s="612"/>
      <c r="T83" s="612"/>
      <c r="U83" s="612"/>
      <c r="V83" s="612"/>
      <c r="W83" s="612"/>
    </row>
    <row r="84" spans="1:23" x14ac:dyDescent="0.2">
      <c r="A84" s="20"/>
      <c r="B84" s="20"/>
      <c r="C84" s="20"/>
      <c r="D84" s="580"/>
      <c r="E84" s="580"/>
      <c r="F84" s="580"/>
      <c r="G84" s="580"/>
      <c r="H84" s="580"/>
      <c r="I84" s="580"/>
      <c r="J84" s="580"/>
      <c r="K84" s="580"/>
      <c r="L84" s="611"/>
      <c r="M84" s="580"/>
      <c r="N84" s="580"/>
      <c r="O84" s="611"/>
      <c r="P84" s="580"/>
      <c r="Q84" s="580"/>
      <c r="R84" s="612"/>
      <c r="S84" s="612"/>
      <c r="T84" s="612"/>
      <c r="U84" s="612"/>
      <c r="V84" s="612"/>
      <c r="W84" s="612"/>
    </row>
    <row r="85" spans="1:23" x14ac:dyDescent="0.2">
      <c r="A85" s="20"/>
      <c r="B85" s="20"/>
      <c r="C85" s="20"/>
      <c r="D85" s="580"/>
      <c r="E85" s="580"/>
      <c r="F85" s="580"/>
      <c r="G85" s="580"/>
      <c r="H85" s="580"/>
      <c r="I85" s="580"/>
      <c r="J85" s="580"/>
      <c r="K85" s="580"/>
      <c r="L85" s="611"/>
      <c r="M85" s="580"/>
      <c r="N85" s="580"/>
      <c r="O85" s="611"/>
      <c r="P85" s="580"/>
      <c r="Q85" s="580"/>
      <c r="R85" s="612"/>
      <c r="S85" s="612"/>
      <c r="T85" s="612"/>
      <c r="U85" s="612"/>
      <c r="V85" s="612"/>
      <c r="W85" s="612"/>
    </row>
    <row r="86" spans="1:23" x14ac:dyDescent="0.2">
      <c r="A86" s="20"/>
      <c r="B86" s="20"/>
      <c r="C86" s="20"/>
      <c r="D86" s="580"/>
      <c r="E86" s="580"/>
      <c r="F86" s="580"/>
      <c r="G86" s="580"/>
      <c r="H86" s="580"/>
      <c r="I86" s="580"/>
      <c r="J86" s="580"/>
      <c r="K86" s="580"/>
      <c r="L86" s="611"/>
      <c r="M86" s="580"/>
      <c r="N86" s="580"/>
      <c r="O86" s="611"/>
      <c r="P86" s="580"/>
      <c r="Q86" s="580"/>
      <c r="R86" s="612"/>
      <c r="S86" s="612"/>
      <c r="T86" s="612"/>
      <c r="U86" s="612"/>
      <c r="V86" s="612"/>
      <c r="W86" s="612"/>
    </row>
    <row r="87" spans="1:23" x14ac:dyDescent="0.2">
      <c r="A87" s="20"/>
      <c r="B87" s="20"/>
      <c r="C87" s="20"/>
      <c r="D87" s="580"/>
      <c r="E87" s="580"/>
      <c r="F87" s="580"/>
      <c r="G87" s="580"/>
      <c r="H87" s="580"/>
      <c r="I87" s="580"/>
      <c r="J87" s="580"/>
      <c r="K87" s="580"/>
      <c r="L87" s="611"/>
      <c r="M87" s="580"/>
      <c r="N87" s="580"/>
      <c r="O87" s="611"/>
      <c r="P87" s="580"/>
      <c r="Q87" s="580"/>
      <c r="R87" s="612"/>
      <c r="S87" s="612"/>
      <c r="T87" s="612"/>
      <c r="U87" s="612"/>
      <c r="V87" s="612"/>
      <c r="W87" s="612"/>
    </row>
    <row r="88" spans="1:23" x14ac:dyDescent="0.2">
      <c r="A88" s="20"/>
      <c r="B88" s="20"/>
      <c r="C88" s="20"/>
      <c r="D88" s="580"/>
      <c r="E88" s="580"/>
      <c r="F88" s="580"/>
      <c r="G88" s="580"/>
      <c r="H88" s="580"/>
      <c r="I88" s="580"/>
      <c r="J88" s="580"/>
      <c r="K88" s="580"/>
      <c r="L88" s="611"/>
      <c r="M88" s="580"/>
      <c r="N88" s="580"/>
      <c r="O88" s="611"/>
      <c r="P88" s="580"/>
      <c r="Q88" s="580"/>
      <c r="R88" s="612"/>
      <c r="S88" s="612"/>
      <c r="T88" s="612"/>
      <c r="U88" s="612"/>
      <c r="V88" s="612"/>
      <c r="W88" s="612"/>
    </row>
    <row r="89" spans="1:23" x14ac:dyDescent="0.2">
      <c r="A89" s="20"/>
      <c r="B89" s="20"/>
      <c r="C89" s="20"/>
      <c r="D89" s="580"/>
      <c r="E89" s="580"/>
      <c r="F89" s="580"/>
      <c r="G89" s="580"/>
      <c r="H89" s="580"/>
      <c r="I89" s="580"/>
      <c r="J89" s="580"/>
      <c r="K89" s="580"/>
      <c r="L89" s="611"/>
      <c r="M89" s="580"/>
      <c r="N89" s="580"/>
      <c r="O89" s="611"/>
      <c r="P89" s="580"/>
      <c r="Q89" s="580"/>
      <c r="R89" s="612"/>
      <c r="S89" s="612"/>
      <c r="T89" s="612"/>
      <c r="U89" s="612"/>
      <c r="V89" s="612"/>
      <c r="W89" s="612"/>
    </row>
    <row r="90" spans="1:23" x14ac:dyDescent="0.2">
      <c r="A90" s="20"/>
      <c r="B90" s="20"/>
      <c r="C90" s="20"/>
      <c r="D90" s="580"/>
      <c r="E90" s="580"/>
      <c r="F90" s="580"/>
      <c r="G90" s="580"/>
      <c r="H90" s="580"/>
      <c r="I90" s="580"/>
      <c r="J90" s="580"/>
      <c r="K90" s="580"/>
      <c r="L90" s="611"/>
      <c r="M90" s="580"/>
      <c r="N90" s="580"/>
      <c r="O90" s="611"/>
      <c r="P90" s="580"/>
      <c r="Q90" s="580"/>
      <c r="R90" s="612"/>
      <c r="S90" s="612"/>
      <c r="T90" s="612"/>
      <c r="U90" s="612"/>
      <c r="V90" s="612"/>
      <c r="W90" s="612"/>
    </row>
    <row r="91" spans="1:23" x14ac:dyDescent="0.2">
      <c r="A91" s="20"/>
      <c r="B91" s="20"/>
      <c r="C91" s="20"/>
      <c r="D91" s="580"/>
      <c r="E91" s="580"/>
      <c r="F91" s="580"/>
      <c r="G91" s="580"/>
      <c r="H91" s="580"/>
      <c r="I91" s="580"/>
      <c r="J91" s="580"/>
      <c r="K91" s="580"/>
      <c r="L91" s="611"/>
      <c r="M91" s="580"/>
      <c r="N91" s="580"/>
      <c r="O91" s="611"/>
      <c r="P91" s="580"/>
      <c r="Q91" s="580"/>
      <c r="R91" s="612"/>
      <c r="S91" s="612"/>
      <c r="T91" s="612"/>
      <c r="U91" s="612"/>
      <c r="V91" s="612"/>
      <c r="W91" s="612"/>
    </row>
    <row r="92" spans="1:23" x14ac:dyDescent="0.2">
      <c r="A92" s="20"/>
      <c r="B92" s="20"/>
      <c r="C92" s="20"/>
      <c r="D92" s="580"/>
      <c r="E92" s="580"/>
      <c r="F92" s="580"/>
      <c r="G92" s="580"/>
      <c r="H92" s="580"/>
      <c r="I92" s="580"/>
      <c r="J92" s="580"/>
      <c r="K92" s="580"/>
      <c r="L92" s="611"/>
      <c r="M92" s="580"/>
      <c r="N92" s="580"/>
      <c r="O92" s="611"/>
      <c r="P92" s="580"/>
      <c r="Q92" s="580"/>
      <c r="R92" s="612"/>
      <c r="S92" s="612"/>
      <c r="T92" s="612"/>
      <c r="U92" s="612"/>
      <c r="V92" s="612"/>
      <c r="W92" s="612"/>
    </row>
    <row r="93" spans="1:23" x14ac:dyDescent="0.2">
      <c r="A93" s="20"/>
      <c r="B93" s="20"/>
      <c r="C93" s="20"/>
      <c r="D93" s="580"/>
      <c r="E93" s="580"/>
      <c r="F93" s="580"/>
      <c r="G93" s="580"/>
      <c r="H93" s="580"/>
      <c r="I93" s="580"/>
      <c r="J93" s="580"/>
      <c r="K93" s="580"/>
      <c r="L93" s="611"/>
      <c r="M93" s="580"/>
      <c r="N93" s="580"/>
      <c r="O93" s="611"/>
      <c r="P93" s="580"/>
      <c r="Q93" s="580"/>
      <c r="R93" s="612"/>
      <c r="S93" s="612"/>
      <c r="T93" s="612"/>
      <c r="U93" s="612"/>
      <c r="V93" s="612"/>
      <c r="W93" s="612"/>
    </row>
    <row r="94" spans="1:23" x14ac:dyDescent="0.2">
      <c r="A94" s="20"/>
      <c r="B94" s="20"/>
      <c r="C94" s="20"/>
      <c r="D94" s="580"/>
      <c r="E94" s="580"/>
      <c r="F94" s="580"/>
      <c r="G94" s="580"/>
      <c r="H94" s="580"/>
      <c r="I94" s="580"/>
      <c r="J94" s="580"/>
      <c r="K94" s="580"/>
      <c r="L94" s="611"/>
      <c r="M94" s="580"/>
      <c r="N94" s="580"/>
      <c r="O94" s="611"/>
      <c r="P94" s="580"/>
      <c r="Q94" s="580"/>
      <c r="R94" s="612"/>
      <c r="S94" s="612"/>
      <c r="T94" s="612"/>
      <c r="U94" s="612"/>
      <c r="V94" s="612"/>
      <c r="W94" s="612"/>
    </row>
    <row r="95" spans="1:23" x14ac:dyDescent="0.2">
      <c r="A95" s="20"/>
      <c r="B95" s="20"/>
      <c r="C95" s="20"/>
      <c r="D95" s="580"/>
      <c r="E95" s="580"/>
      <c r="F95" s="580"/>
      <c r="G95" s="580"/>
      <c r="H95" s="580"/>
      <c r="I95" s="580"/>
      <c r="J95" s="580"/>
      <c r="K95" s="580"/>
      <c r="L95" s="611"/>
      <c r="M95" s="580"/>
      <c r="N95" s="580"/>
      <c r="O95" s="611"/>
      <c r="P95" s="580"/>
      <c r="Q95" s="580"/>
      <c r="R95" s="612"/>
      <c r="S95" s="612"/>
      <c r="T95" s="612"/>
      <c r="U95" s="612"/>
      <c r="V95" s="612"/>
      <c r="W95" s="612"/>
    </row>
    <row r="96" spans="1:23" x14ac:dyDescent="0.2">
      <c r="A96" s="20"/>
      <c r="B96" s="20"/>
      <c r="C96" s="20"/>
      <c r="D96" s="580"/>
      <c r="E96" s="580"/>
      <c r="F96" s="580"/>
      <c r="G96" s="580"/>
      <c r="H96" s="580"/>
      <c r="I96" s="580"/>
      <c r="J96" s="580"/>
      <c r="K96" s="580"/>
      <c r="L96" s="611"/>
      <c r="M96" s="580"/>
      <c r="N96" s="580"/>
      <c r="O96" s="611"/>
      <c r="P96" s="580"/>
      <c r="Q96" s="580"/>
      <c r="R96" s="612"/>
      <c r="S96" s="612"/>
      <c r="T96" s="612"/>
      <c r="U96" s="612"/>
      <c r="V96" s="612"/>
      <c r="W96" s="612"/>
    </row>
    <row r="97" spans="1:23" x14ac:dyDescent="0.2">
      <c r="A97" s="20"/>
      <c r="B97" s="20"/>
      <c r="C97" s="20"/>
      <c r="D97" s="580"/>
      <c r="E97" s="580"/>
      <c r="F97" s="580"/>
      <c r="G97" s="580"/>
      <c r="H97" s="580"/>
      <c r="I97" s="580"/>
      <c r="J97" s="580"/>
      <c r="K97" s="580"/>
      <c r="L97" s="611"/>
      <c r="M97" s="580"/>
      <c r="N97" s="580"/>
      <c r="O97" s="611"/>
      <c r="P97" s="580"/>
      <c r="Q97" s="580"/>
      <c r="R97" s="612"/>
      <c r="S97" s="612"/>
      <c r="T97" s="612"/>
      <c r="U97" s="612"/>
      <c r="V97" s="612"/>
      <c r="W97" s="612"/>
    </row>
    <row r="98" spans="1:23" x14ac:dyDescent="0.2">
      <c r="A98" s="20"/>
      <c r="B98" s="20"/>
      <c r="C98" s="20"/>
      <c r="D98" s="580"/>
      <c r="E98" s="580"/>
      <c r="F98" s="580"/>
      <c r="G98" s="580"/>
      <c r="H98" s="580"/>
      <c r="I98" s="580"/>
      <c r="J98" s="580"/>
      <c r="K98" s="580"/>
      <c r="L98" s="611"/>
      <c r="M98" s="580"/>
      <c r="N98" s="580"/>
      <c r="O98" s="611"/>
      <c r="P98" s="580"/>
      <c r="Q98" s="580"/>
      <c r="R98" s="612"/>
      <c r="S98" s="612"/>
      <c r="T98" s="612"/>
      <c r="U98" s="612"/>
      <c r="V98" s="612"/>
      <c r="W98" s="612"/>
    </row>
    <row r="99" spans="1:23" x14ac:dyDescent="0.2">
      <c r="A99" s="20"/>
      <c r="B99" s="20"/>
      <c r="C99" s="20"/>
      <c r="D99" s="580"/>
      <c r="E99" s="580"/>
      <c r="F99" s="580"/>
      <c r="G99" s="580"/>
      <c r="H99" s="580"/>
      <c r="I99" s="580"/>
      <c r="J99" s="580"/>
      <c r="K99" s="580"/>
      <c r="L99" s="611"/>
      <c r="M99" s="580"/>
      <c r="N99" s="580"/>
      <c r="O99" s="611"/>
      <c r="P99" s="580"/>
      <c r="Q99" s="580"/>
      <c r="R99" s="612"/>
      <c r="S99" s="612"/>
      <c r="T99" s="612"/>
      <c r="U99" s="612"/>
      <c r="V99" s="612"/>
      <c r="W99" s="612"/>
    </row>
    <row r="100" spans="1:23" x14ac:dyDescent="0.2">
      <c r="A100" s="20"/>
      <c r="B100" s="20"/>
      <c r="C100" s="20"/>
      <c r="D100" s="580"/>
      <c r="E100" s="580"/>
      <c r="F100" s="580"/>
      <c r="G100" s="580"/>
      <c r="H100" s="580"/>
      <c r="I100" s="580"/>
      <c r="J100" s="580"/>
      <c r="K100" s="580"/>
      <c r="L100" s="611"/>
      <c r="M100" s="580"/>
      <c r="N100" s="580"/>
      <c r="O100" s="611"/>
      <c r="P100" s="580"/>
      <c r="Q100" s="580"/>
      <c r="R100" s="612"/>
      <c r="S100" s="612"/>
      <c r="T100" s="612"/>
      <c r="U100" s="612"/>
      <c r="V100" s="612"/>
      <c r="W100" s="612"/>
    </row>
    <row r="101" spans="1:23" x14ac:dyDescent="0.2">
      <c r="A101" s="20"/>
      <c r="B101" s="20"/>
      <c r="C101" s="20"/>
      <c r="D101" s="580"/>
      <c r="E101" s="580"/>
      <c r="F101" s="580"/>
      <c r="G101" s="580"/>
      <c r="H101" s="580"/>
      <c r="I101" s="580"/>
      <c r="J101" s="580"/>
      <c r="K101" s="580"/>
      <c r="L101" s="611"/>
      <c r="M101" s="580"/>
      <c r="N101" s="580"/>
      <c r="O101" s="611"/>
      <c r="P101" s="580"/>
      <c r="Q101" s="580"/>
      <c r="R101" s="612"/>
      <c r="S101" s="612"/>
      <c r="T101" s="612"/>
      <c r="U101" s="612"/>
      <c r="V101" s="612"/>
      <c r="W101" s="612"/>
    </row>
    <row r="102" spans="1:23" x14ac:dyDescent="0.2">
      <c r="A102" s="20"/>
      <c r="B102" s="20"/>
      <c r="C102" s="20" t="str">
        <f>IF(D102="","",Results!C104)</f>
        <v/>
      </c>
      <c r="D102" s="580" t="str">
        <f>Results!G104</f>
        <v/>
      </c>
      <c r="E102" s="580" t="str">
        <f>Results!D104</f>
        <v/>
      </c>
      <c r="F102" s="580" t="str">
        <f>Results!L104</f>
        <v/>
      </c>
      <c r="G102" s="580" t="str">
        <f>Results!P104</f>
        <v/>
      </c>
      <c r="H102" s="580" t="str">
        <f>Results!T104</f>
        <v/>
      </c>
      <c r="I102" s="580" t="str">
        <f>Results!AF104</f>
        <v/>
      </c>
      <c r="J102" s="580" t="str">
        <f>Results!X104</f>
        <v/>
      </c>
      <c r="K102" s="580" t="str">
        <f>IF(D102="","",Results!AN104)</f>
        <v/>
      </c>
      <c r="L102" s="611"/>
      <c r="M102" s="580" t="str">
        <f t="shared" ref="M102" si="0">IF(N102&lt;=17,N102,"")</f>
        <v/>
      </c>
      <c r="N102" s="580" t="str">
        <f>IFERROR(VLOOKUP(Results!AR104,Materials[],4,TRUE),"")</f>
        <v/>
      </c>
      <c r="O102" s="611"/>
      <c r="P102" s="580" t="str">
        <f>IF(D102="","",Results!AV104)</f>
        <v/>
      </c>
      <c r="Q102" s="580" t="str">
        <f>Results!BG104</f>
        <v/>
      </c>
      <c r="R102" s="612"/>
      <c r="S102" s="612"/>
      <c r="T102" s="612"/>
      <c r="U102" s="612"/>
      <c r="V102" s="612"/>
      <c r="W102" s="612"/>
    </row>
    <row r="104" spans="1:23" x14ac:dyDescent="0.2">
      <c r="C104" s="66"/>
      <c r="M104" s="66"/>
    </row>
  </sheetData>
  <mergeCells count="1">
    <mergeCell ref="A1:W1"/>
  </mergeCells>
  <pageMargins left="0.7" right="0.7" top="0.75" bottom="0.75" header="0.3" footer="0.3"/>
  <legacy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01EE9-BB6F-42F8-8FF8-55FD393B135E}">
  <sheetPr codeName="Sheet24">
    <tabColor theme="6" tint="0.79998168889431442"/>
  </sheetPr>
  <dimension ref="A1:R50"/>
  <sheetViews>
    <sheetView workbookViewId="0">
      <selection activeCell="A3" sqref="A3"/>
    </sheetView>
  </sheetViews>
  <sheetFormatPr defaultRowHeight="12.75" x14ac:dyDescent="0.2"/>
  <cols>
    <col min="1" max="1" width="8.5703125" style="65" bestFit="1" customWidth="1"/>
    <col min="2" max="2" width="7.42578125" style="65" bestFit="1" customWidth="1"/>
    <col min="3" max="3" width="13.5703125" style="65" bestFit="1" customWidth="1"/>
    <col min="4" max="4" width="14.7109375" style="65" bestFit="1" customWidth="1"/>
    <col min="5" max="5" width="11.7109375" style="65" bestFit="1" customWidth="1"/>
    <col min="6" max="6" width="14.5703125" style="65" bestFit="1" customWidth="1"/>
    <col min="7" max="7" width="11.5703125" style="65" bestFit="1" customWidth="1"/>
    <col min="8" max="8" width="7.5703125" style="65" bestFit="1" customWidth="1"/>
    <col min="9" max="9" width="12.140625" style="65" customWidth="1"/>
    <col min="10" max="16384" width="9.140625" style="65"/>
  </cols>
  <sheetData>
    <row r="1" spans="1:18" x14ac:dyDescent="0.2">
      <c r="A1" s="953" t="s">
        <v>1298</v>
      </c>
      <c r="B1" s="953"/>
      <c r="C1" s="953"/>
      <c r="D1" s="953"/>
      <c r="E1" s="953"/>
      <c r="F1" s="953"/>
      <c r="G1" s="953"/>
      <c r="H1" s="953"/>
      <c r="I1" s="953"/>
      <c r="J1" s="953"/>
    </row>
    <row r="2" spans="1:18" x14ac:dyDescent="0.2">
      <c r="A2" s="593" t="s">
        <v>638</v>
      </c>
      <c r="B2" s="593" t="s">
        <v>1276</v>
      </c>
      <c r="C2" s="613" t="s">
        <v>1246</v>
      </c>
      <c r="D2" s="582" t="s">
        <v>1050</v>
      </c>
      <c r="E2" s="582" t="s">
        <v>1051</v>
      </c>
      <c r="F2" s="582" t="s">
        <v>1052</v>
      </c>
      <c r="G2" s="582" t="s">
        <v>1053</v>
      </c>
      <c r="H2" s="593" t="s">
        <v>1054</v>
      </c>
      <c r="I2" s="613" t="s">
        <v>1247</v>
      </c>
      <c r="J2" s="588" t="s">
        <v>1242</v>
      </c>
    </row>
    <row r="3" spans="1:18" x14ac:dyDescent="0.2">
      <c r="A3" s="20"/>
      <c r="B3" s="20"/>
      <c r="C3" s="20"/>
      <c r="D3" s="20"/>
      <c r="E3" s="20"/>
      <c r="F3" s="20"/>
      <c r="G3" s="20"/>
      <c r="H3" s="20"/>
      <c r="I3" s="20"/>
      <c r="J3" s="20"/>
    </row>
    <row r="4" spans="1:18" x14ac:dyDescent="0.2">
      <c r="A4" s="20"/>
      <c r="B4" s="20"/>
      <c r="C4" s="20"/>
      <c r="D4" s="20"/>
      <c r="E4" s="20"/>
      <c r="F4" s="20"/>
      <c r="G4" s="20"/>
      <c r="H4" s="20"/>
      <c r="I4" s="20"/>
      <c r="J4" s="20"/>
    </row>
    <row r="5" spans="1:18" x14ac:dyDescent="0.2">
      <c r="A5" s="20"/>
      <c r="B5" s="20"/>
      <c r="C5" s="20"/>
      <c r="D5" s="20"/>
      <c r="E5" s="20"/>
      <c r="F5" s="20"/>
      <c r="G5" s="20"/>
      <c r="H5" s="20"/>
      <c r="I5" s="20"/>
      <c r="J5" s="20"/>
    </row>
    <row r="6" spans="1:18" x14ac:dyDescent="0.2">
      <c r="A6" s="20"/>
      <c r="B6" s="20"/>
      <c r="C6" s="20"/>
      <c r="D6" s="20"/>
      <c r="E6" s="20"/>
      <c r="F6" s="20"/>
      <c r="G6" s="20"/>
      <c r="H6" s="20"/>
      <c r="I6" s="20"/>
      <c r="J6" s="20"/>
    </row>
    <row r="7" spans="1:18" x14ac:dyDescent="0.2">
      <c r="A7" s="20"/>
      <c r="B7" s="20"/>
      <c r="C7" s="20"/>
      <c r="D7" s="20"/>
      <c r="E7" s="20"/>
      <c r="F7" s="20"/>
      <c r="G7" s="20"/>
      <c r="H7" s="20"/>
      <c r="I7" s="20"/>
      <c r="J7" s="20"/>
    </row>
    <row r="8" spans="1:18" x14ac:dyDescent="0.2">
      <c r="A8" s="20"/>
      <c r="B8" s="20"/>
      <c r="C8" s="20"/>
      <c r="D8" s="20"/>
      <c r="E8" s="20"/>
      <c r="F8" s="20"/>
      <c r="G8" s="20"/>
      <c r="H8" s="20"/>
      <c r="I8" s="20"/>
      <c r="J8" s="20"/>
    </row>
    <row r="9" spans="1:18" x14ac:dyDescent="0.2">
      <c r="A9" s="20"/>
      <c r="B9" s="20"/>
      <c r="C9" s="20"/>
      <c r="D9" s="20"/>
      <c r="E9" s="20"/>
      <c r="F9" s="20"/>
      <c r="G9" s="20"/>
      <c r="H9" s="20"/>
      <c r="I9" s="20"/>
      <c r="J9" s="20"/>
    </row>
    <row r="10" spans="1:18" x14ac:dyDescent="0.2">
      <c r="A10" s="20"/>
      <c r="B10" s="20"/>
      <c r="C10" s="20"/>
      <c r="D10" s="20"/>
      <c r="E10" s="20"/>
      <c r="F10" s="20"/>
      <c r="G10" s="20"/>
      <c r="H10" s="20"/>
      <c r="I10" s="20"/>
      <c r="J10" s="20"/>
    </row>
    <row r="11" spans="1:18" x14ac:dyDescent="0.2">
      <c r="A11" s="20"/>
      <c r="B11" s="20"/>
      <c r="C11" s="20"/>
      <c r="D11" s="20"/>
      <c r="E11" s="20"/>
      <c r="F11" s="20"/>
      <c r="G11" s="20"/>
      <c r="H11" s="20"/>
      <c r="I11" s="20"/>
      <c r="J11" s="20"/>
    </row>
    <row r="12" spans="1:18" x14ac:dyDescent="0.2">
      <c r="A12" s="20"/>
      <c r="B12" s="20"/>
      <c r="C12" s="20"/>
      <c r="D12" s="20"/>
      <c r="E12" s="20"/>
      <c r="F12" s="20"/>
      <c r="G12" s="20"/>
      <c r="H12" s="20"/>
      <c r="I12" s="20"/>
      <c r="J12" s="20"/>
    </row>
    <row r="13" spans="1:18" x14ac:dyDescent="0.2">
      <c r="A13" s="20"/>
      <c r="B13" s="20"/>
      <c r="C13" s="20"/>
      <c r="D13" s="20"/>
      <c r="E13" s="20"/>
      <c r="F13" s="20"/>
      <c r="G13" s="20"/>
      <c r="H13" s="20"/>
      <c r="I13" s="20"/>
      <c r="J13" s="20"/>
    </row>
    <row r="14" spans="1:18" x14ac:dyDescent="0.2">
      <c r="A14" s="20"/>
      <c r="B14" s="20"/>
      <c r="C14" s="20"/>
      <c r="D14" s="20"/>
      <c r="E14" s="20"/>
      <c r="F14" s="20"/>
      <c r="G14" s="20"/>
      <c r="H14" s="20"/>
      <c r="I14" s="20"/>
      <c r="J14" s="20"/>
    </row>
    <row r="15" spans="1:18" x14ac:dyDescent="0.2">
      <c r="A15" s="20"/>
      <c r="B15" s="20"/>
      <c r="C15" s="20"/>
      <c r="D15" s="20"/>
      <c r="E15" s="20"/>
      <c r="F15" s="20"/>
      <c r="G15" s="20"/>
      <c r="H15" s="20"/>
      <c r="I15" s="20"/>
      <c r="J15" s="20"/>
    </row>
    <row r="16" spans="1:18" x14ac:dyDescent="0.2">
      <c r="A16" s="20"/>
      <c r="B16" s="20"/>
      <c r="C16" s="20"/>
      <c r="D16" s="20"/>
      <c r="E16" s="20"/>
      <c r="F16" s="20"/>
      <c r="G16" s="20"/>
      <c r="H16" s="20"/>
      <c r="I16" s="20"/>
      <c r="J16" s="20"/>
      <c r="P16" s="66"/>
      <c r="Q16" s="66"/>
      <c r="R16" s="66"/>
    </row>
    <row r="17" spans="1:10" x14ac:dyDescent="0.2">
      <c r="A17" s="20"/>
      <c r="B17" s="20"/>
      <c r="C17" s="20"/>
      <c r="D17" s="20"/>
      <c r="E17" s="20"/>
      <c r="F17" s="20"/>
      <c r="G17" s="20"/>
      <c r="H17" s="20"/>
      <c r="I17" s="20"/>
      <c r="J17" s="20"/>
    </row>
    <row r="18" spans="1:10" x14ac:dyDescent="0.2">
      <c r="A18" s="20"/>
      <c r="B18" s="20"/>
      <c r="C18" s="20"/>
      <c r="D18" s="20"/>
      <c r="E18" s="20"/>
      <c r="F18" s="20"/>
      <c r="G18" s="20"/>
      <c r="H18" s="20"/>
      <c r="I18" s="20"/>
      <c r="J18" s="20"/>
    </row>
    <row r="19" spans="1:10" x14ac:dyDescent="0.2">
      <c r="A19" s="20"/>
      <c r="B19" s="20"/>
      <c r="C19" s="20"/>
      <c r="D19" s="20"/>
      <c r="E19" s="20"/>
      <c r="F19" s="20"/>
      <c r="G19" s="20"/>
      <c r="H19" s="20"/>
      <c r="I19" s="20"/>
      <c r="J19" s="20"/>
    </row>
    <row r="20" spans="1:10" x14ac:dyDescent="0.2">
      <c r="A20" s="20"/>
      <c r="B20" s="20"/>
      <c r="C20" s="20"/>
      <c r="D20" s="20"/>
      <c r="E20" s="20"/>
      <c r="F20" s="20"/>
      <c r="G20" s="20"/>
      <c r="H20" s="20"/>
      <c r="I20" s="20"/>
      <c r="J20" s="20"/>
    </row>
    <row r="21" spans="1:10" x14ac:dyDescent="0.2">
      <c r="A21" s="20"/>
      <c r="B21" s="20"/>
      <c r="C21" s="20"/>
      <c r="D21" s="20"/>
      <c r="E21" s="20"/>
      <c r="F21" s="20"/>
      <c r="G21" s="20"/>
      <c r="H21" s="20"/>
      <c r="I21" s="20"/>
      <c r="J21" s="20"/>
    </row>
    <row r="22" spans="1:10" x14ac:dyDescent="0.2">
      <c r="A22" s="20"/>
      <c r="B22" s="20"/>
      <c r="C22" s="20"/>
      <c r="D22" s="20"/>
      <c r="E22" s="20"/>
      <c r="F22" s="20"/>
      <c r="G22" s="20"/>
      <c r="H22" s="20"/>
      <c r="I22" s="20"/>
      <c r="J22" s="20"/>
    </row>
    <row r="23" spans="1:10" x14ac:dyDescent="0.2">
      <c r="A23" s="20"/>
      <c r="B23" s="20"/>
      <c r="C23" s="20"/>
      <c r="D23" s="20"/>
      <c r="E23" s="20"/>
      <c r="F23" s="20"/>
      <c r="G23" s="20"/>
      <c r="H23" s="20"/>
      <c r="I23" s="20"/>
      <c r="J23" s="20"/>
    </row>
    <row r="24" spans="1:10" x14ac:dyDescent="0.2">
      <c r="A24" s="20"/>
      <c r="B24" s="20"/>
      <c r="C24" s="20"/>
      <c r="D24" s="20"/>
      <c r="E24" s="20"/>
      <c r="F24" s="20"/>
      <c r="G24" s="20"/>
      <c r="H24" s="20"/>
      <c r="I24" s="20"/>
      <c r="J24" s="20"/>
    </row>
    <row r="25" spans="1:10" x14ac:dyDescent="0.2">
      <c r="A25" s="20"/>
      <c r="B25" s="20"/>
      <c r="C25" s="20"/>
      <c r="D25" s="20"/>
      <c r="E25" s="20"/>
      <c r="F25" s="20"/>
      <c r="G25" s="20"/>
      <c r="H25" s="20"/>
      <c r="I25" s="20"/>
      <c r="J25" s="20"/>
    </row>
    <row r="26" spans="1:10" x14ac:dyDescent="0.2">
      <c r="A26" s="20"/>
      <c r="B26" s="20"/>
      <c r="C26" s="20"/>
      <c r="D26" s="20"/>
      <c r="E26" s="20"/>
      <c r="F26" s="20"/>
      <c r="G26" s="20"/>
      <c r="H26" s="20"/>
      <c r="I26" s="20"/>
      <c r="J26" s="20"/>
    </row>
    <row r="27" spans="1:10" x14ac:dyDescent="0.2">
      <c r="A27" s="20"/>
      <c r="B27" s="20"/>
      <c r="C27" s="20"/>
      <c r="D27" s="20"/>
      <c r="E27" s="20"/>
      <c r="F27" s="20"/>
      <c r="G27" s="20"/>
      <c r="H27" s="20"/>
      <c r="I27" s="20"/>
      <c r="J27" s="20"/>
    </row>
    <row r="28" spans="1:10" x14ac:dyDescent="0.2">
      <c r="A28" s="20"/>
      <c r="B28" s="20"/>
      <c r="C28" s="20"/>
      <c r="D28" s="20"/>
      <c r="E28" s="20"/>
      <c r="F28" s="20"/>
      <c r="G28" s="20"/>
      <c r="H28" s="20"/>
      <c r="I28" s="20"/>
      <c r="J28" s="20"/>
    </row>
    <row r="29" spans="1:10" x14ac:dyDescent="0.2">
      <c r="A29" s="20"/>
      <c r="B29" s="20"/>
      <c r="C29" s="20"/>
      <c r="D29" s="20"/>
      <c r="E29" s="20"/>
      <c r="F29" s="20"/>
      <c r="G29" s="20"/>
      <c r="H29" s="20"/>
      <c r="I29" s="20"/>
      <c r="J29" s="20"/>
    </row>
    <row r="30" spans="1:10" x14ac:dyDescent="0.2">
      <c r="A30" s="20"/>
      <c r="B30" s="20"/>
      <c r="C30" s="20"/>
      <c r="D30" s="20"/>
      <c r="E30" s="20"/>
      <c r="F30" s="20"/>
      <c r="G30" s="20"/>
      <c r="H30" s="20"/>
      <c r="I30" s="20"/>
      <c r="J30" s="20"/>
    </row>
    <row r="31" spans="1:10" x14ac:dyDescent="0.2">
      <c r="A31" s="20"/>
      <c r="B31" s="20"/>
      <c r="C31" s="20"/>
      <c r="D31" s="20"/>
      <c r="E31" s="20"/>
      <c r="F31" s="20"/>
      <c r="G31" s="20"/>
      <c r="H31" s="20"/>
      <c r="I31" s="20"/>
      <c r="J31" s="20"/>
    </row>
    <row r="32" spans="1:10" x14ac:dyDescent="0.2">
      <c r="A32" s="20"/>
      <c r="B32" s="20"/>
      <c r="C32" s="20"/>
      <c r="D32" s="20"/>
      <c r="E32" s="20"/>
      <c r="F32" s="20"/>
      <c r="G32" s="20"/>
      <c r="H32" s="20"/>
      <c r="I32" s="20"/>
      <c r="J32" s="20"/>
    </row>
    <row r="33" spans="1:10" x14ac:dyDescent="0.2">
      <c r="A33" s="20"/>
      <c r="B33" s="20"/>
      <c r="C33" s="20"/>
      <c r="D33" s="20"/>
      <c r="E33" s="20"/>
      <c r="F33" s="20"/>
      <c r="G33" s="20"/>
      <c r="H33" s="20"/>
      <c r="I33" s="20"/>
      <c r="J33" s="20"/>
    </row>
    <row r="34" spans="1:10" x14ac:dyDescent="0.2">
      <c r="A34" s="20"/>
      <c r="B34" s="20"/>
      <c r="C34" s="20"/>
      <c r="D34" s="20"/>
      <c r="E34" s="20"/>
      <c r="F34" s="20"/>
      <c r="G34" s="20"/>
      <c r="H34" s="20"/>
      <c r="I34" s="20"/>
      <c r="J34" s="20"/>
    </row>
    <row r="35" spans="1:10" x14ac:dyDescent="0.2">
      <c r="A35" s="20"/>
      <c r="B35" s="20"/>
      <c r="C35" s="20"/>
      <c r="D35" s="20"/>
      <c r="E35" s="20"/>
      <c r="F35" s="20"/>
      <c r="G35" s="20"/>
      <c r="H35" s="20"/>
      <c r="I35" s="20"/>
      <c r="J35" s="20"/>
    </row>
    <row r="36" spans="1:10" x14ac:dyDescent="0.2">
      <c r="A36" s="20"/>
      <c r="B36" s="20"/>
      <c r="C36" s="20"/>
      <c r="D36" s="20"/>
      <c r="E36" s="20"/>
      <c r="F36" s="20"/>
      <c r="G36" s="20"/>
      <c r="H36" s="20"/>
      <c r="I36" s="20"/>
      <c r="J36" s="20"/>
    </row>
    <row r="37" spans="1:10" x14ac:dyDescent="0.2">
      <c r="A37" s="20"/>
      <c r="B37" s="20"/>
      <c r="C37" s="20"/>
      <c r="D37" s="20"/>
      <c r="E37" s="20"/>
      <c r="F37" s="20"/>
      <c r="G37" s="20"/>
      <c r="H37" s="20"/>
      <c r="I37" s="20"/>
      <c r="J37" s="20"/>
    </row>
    <row r="38" spans="1:10" x14ac:dyDescent="0.2">
      <c r="A38" s="20"/>
      <c r="B38" s="20"/>
      <c r="C38" s="20"/>
      <c r="D38" s="20"/>
      <c r="E38" s="20"/>
      <c r="F38" s="20"/>
      <c r="G38" s="20"/>
      <c r="H38" s="20"/>
      <c r="I38" s="20"/>
      <c r="J38" s="20"/>
    </row>
    <row r="39" spans="1:10" x14ac:dyDescent="0.2">
      <c r="A39" s="20"/>
      <c r="B39" s="20"/>
      <c r="C39" s="20"/>
      <c r="D39" s="20"/>
      <c r="E39" s="20"/>
      <c r="F39" s="20"/>
      <c r="G39" s="20"/>
      <c r="H39" s="20"/>
      <c r="I39" s="20"/>
      <c r="J39" s="20"/>
    </row>
    <row r="40" spans="1:10" x14ac:dyDescent="0.2">
      <c r="A40" s="20"/>
      <c r="B40" s="20"/>
      <c r="C40" s="20"/>
      <c r="D40" s="20"/>
      <c r="E40" s="20"/>
      <c r="F40" s="20"/>
      <c r="G40" s="20"/>
      <c r="H40" s="20"/>
      <c r="I40" s="20"/>
      <c r="J40" s="20"/>
    </row>
    <row r="41" spans="1:10" x14ac:dyDescent="0.2">
      <c r="A41" s="20"/>
      <c r="B41" s="20"/>
      <c r="C41" s="20"/>
      <c r="D41" s="20"/>
      <c r="E41" s="20"/>
      <c r="F41" s="20"/>
      <c r="G41" s="20"/>
      <c r="H41" s="20"/>
      <c r="I41" s="20"/>
      <c r="J41" s="20"/>
    </row>
    <row r="42" spans="1:10" x14ac:dyDescent="0.2">
      <c r="A42" s="20"/>
      <c r="B42" s="20"/>
      <c r="C42" s="20"/>
      <c r="D42" s="20"/>
      <c r="E42" s="20"/>
      <c r="F42" s="20"/>
      <c r="G42" s="20"/>
      <c r="H42" s="20"/>
      <c r="I42" s="20"/>
      <c r="J42" s="20"/>
    </row>
    <row r="43" spans="1:10" x14ac:dyDescent="0.2">
      <c r="A43" s="20"/>
      <c r="B43" s="20"/>
      <c r="C43" s="20"/>
      <c r="D43" s="20"/>
      <c r="E43" s="20"/>
      <c r="F43" s="20"/>
      <c r="G43" s="20"/>
      <c r="H43" s="20"/>
      <c r="I43" s="20"/>
      <c r="J43" s="20"/>
    </row>
    <row r="44" spans="1:10" x14ac:dyDescent="0.2">
      <c r="A44" s="20"/>
      <c r="B44" s="20"/>
      <c r="C44" s="20"/>
      <c r="D44" s="20"/>
      <c r="E44" s="20"/>
      <c r="F44" s="20"/>
      <c r="G44" s="20"/>
      <c r="H44" s="20"/>
      <c r="I44" s="20"/>
      <c r="J44" s="20"/>
    </row>
    <row r="45" spans="1:10" x14ac:dyDescent="0.2">
      <c r="A45" s="20"/>
      <c r="B45" s="20"/>
      <c r="C45" s="20"/>
      <c r="D45" s="20"/>
      <c r="E45" s="20"/>
      <c r="F45" s="20"/>
      <c r="G45" s="20"/>
      <c r="H45" s="20"/>
      <c r="I45" s="20"/>
      <c r="J45" s="20"/>
    </row>
    <row r="46" spans="1:10" x14ac:dyDescent="0.2">
      <c r="A46" s="20"/>
      <c r="B46" s="20"/>
      <c r="C46" s="20"/>
      <c r="D46" s="20"/>
      <c r="E46" s="20"/>
      <c r="F46" s="20"/>
      <c r="G46" s="20"/>
      <c r="H46" s="20"/>
      <c r="I46" s="20"/>
      <c r="J46" s="20"/>
    </row>
    <row r="47" spans="1:10" x14ac:dyDescent="0.2">
      <c r="A47" s="20"/>
      <c r="B47" s="20"/>
      <c r="C47" s="20"/>
      <c r="D47" s="20"/>
      <c r="E47" s="20"/>
      <c r="F47" s="20"/>
      <c r="G47" s="20"/>
      <c r="H47" s="20"/>
      <c r="I47" s="20"/>
      <c r="J47" s="20"/>
    </row>
    <row r="48" spans="1:10" x14ac:dyDescent="0.2">
      <c r="A48" s="20"/>
      <c r="B48" s="20"/>
      <c r="C48" s="20"/>
      <c r="D48" s="20"/>
      <c r="E48" s="20"/>
      <c r="F48" s="20"/>
      <c r="G48" s="20"/>
      <c r="H48" s="20"/>
      <c r="I48" s="20"/>
      <c r="J48" s="20"/>
    </row>
    <row r="49" spans="1:10" x14ac:dyDescent="0.2">
      <c r="A49" s="20"/>
      <c r="B49" s="20"/>
      <c r="C49" s="20"/>
      <c r="D49" s="20"/>
      <c r="E49" s="20"/>
      <c r="F49" s="20"/>
      <c r="G49" s="20"/>
      <c r="H49" s="20"/>
      <c r="I49" s="20"/>
      <c r="J49" s="20"/>
    </row>
    <row r="50" spans="1:10" x14ac:dyDescent="0.2">
      <c r="A50" s="20"/>
      <c r="B50" s="20"/>
      <c r="C50" s="20"/>
      <c r="D50" s="20"/>
      <c r="E50" s="20"/>
      <c r="F50" s="20"/>
      <c r="G50" s="20"/>
      <c r="H50" s="20"/>
      <c r="I50" s="20"/>
      <c r="J50" s="20"/>
    </row>
  </sheetData>
  <mergeCells count="1">
    <mergeCell ref="A1:J1"/>
  </mergeCells>
  <pageMargins left="0.7" right="0.7" top="0.75" bottom="0.75" header="0.3" footer="0.3"/>
  <pageSetup orientation="portrait" horizontalDpi="90" verticalDpi="90"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CE5067-E74F-4A27-8893-D9B2670D132D}">
  <sheetPr codeName="Sheet25">
    <tabColor theme="6" tint="0.79998168889431442"/>
  </sheetPr>
  <dimension ref="A1:V201"/>
  <sheetViews>
    <sheetView workbookViewId="0">
      <selection activeCell="A3" sqref="A3"/>
    </sheetView>
  </sheetViews>
  <sheetFormatPr defaultRowHeight="12.75" x14ac:dyDescent="0.2"/>
  <cols>
    <col min="1" max="2" width="8.85546875" style="65" customWidth="1"/>
    <col min="3" max="3" width="13.5703125" style="65" bestFit="1" customWidth="1"/>
    <col min="4" max="4" width="20.42578125" style="65" bestFit="1" customWidth="1"/>
    <col min="5" max="5" width="8.5703125" bestFit="1" customWidth="1"/>
    <col min="6" max="6" width="15.42578125" bestFit="1" customWidth="1"/>
    <col min="7" max="7" width="7.7109375" bestFit="1" customWidth="1"/>
  </cols>
  <sheetData>
    <row r="1" spans="1:22" x14ac:dyDescent="0.2">
      <c r="A1" s="952" t="s">
        <v>1299</v>
      </c>
      <c r="B1" s="952"/>
      <c r="C1" s="952"/>
      <c r="D1" s="952"/>
      <c r="E1" s="952"/>
      <c r="F1" s="952"/>
      <c r="G1" s="952"/>
      <c r="H1" s="952"/>
      <c r="Q1" s="66" t="s">
        <v>881</v>
      </c>
    </row>
    <row r="2" spans="1:22" x14ac:dyDescent="0.2">
      <c r="A2" s="593" t="s">
        <v>638</v>
      </c>
      <c r="B2" s="593" t="s">
        <v>1245</v>
      </c>
      <c r="C2" s="613" t="s">
        <v>1246</v>
      </c>
      <c r="D2" s="613" t="s">
        <v>1293</v>
      </c>
      <c r="E2" s="582" t="s">
        <v>1055</v>
      </c>
      <c r="F2" s="582" t="s">
        <v>1056</v>
      </c>
      <c r="G2" s="582" t="s">
        <v>23</v>
      </c>
      <c r="H2" s="588" t="s">
        <v>1207</v>
      </c>
      <c r="I2" s="65"/>
      <c r="J2" s="65"/>
      <c r="Q2" s="582" t="s">
        <v>1049</v>
      </c>
      <c r="R2" s="582" t="s">
        <v>1054</v>
      </c>
      <c r="S2" s="582" t="s">
        <v>1055</v>
      </c>
      <c r="T2" s="582" t="s">
        <v>1056</v>
      </c>
      <c r="U2" s="582" t="s">
        <v>23</v>
      </c>
      <c r="V2" s="588" t="s">
        <v>1207</v>
      </c>
    </row>
    <row r="3" spans="1:22" x14ac:dyDescent="0.2">
      <c r="A3" s="20"/>
      <c r="B3" s="20"/>
      <c r="C3" s="20"/>
      <c r="D3" s="20"/>
      <c r="E3" s="20"/>
      <c r="F3" s="20"/>
      <c r="G3" s="20"/>
      <c r="H3" s="20"/>
      <c r="I3" s="65"/>
      <c r="J3" s="65"/>
      <c r="Q3" s="20">
        <v>1</v>
      </c>
      <c r="R3" s="20">
        <v>1</v>
      </c>
      <c r="S3" s="20">
        <v>1</v>
      </c>
      <c r="T3" s="20">
        <v>0</v>
      </c>
      <c r="U3" s="20">
        <v>0</v>
      </c>
      <c r="V3" s="369" t="s">
        <v>579</v>
      </c>
    </row>
    <row r="4" spans="1:22" x14ac:dyDescent="0.2">
      <c r="A4" s="20"/>
      <c r="B4" s="20"/>
      <c r="C4" s="20"/>
      <c r="D4" s="20"/>
      <c r="E4" s="20"/>
      <c r="F4" s="20"/>
      <c r="G4" s="20"/>
      <c r="H4" s="20"/>
      <c r="I4" s="65"/>
      <c r="J4" s="65"/>
      <c r="Q4" s="20">
        <v>1</v>
      </c>
      <c r="R4" s="20">
        <v>2</v>
      </c>
      <c r="S4" s="20">
        <v>5</v>
      </c>
      <c r="T4" s="20">
        <v>0</v>
      </c>
      <c r="U4" s="20">
        <v>0</v>
      </c>
      <c r="V4" s="369" t="s">
        <v>579</v>
      </c>
    </row>
    <row r="5" spans="1:22" x14ac:dyDescent="0.2">
      <c r="A5" s="20"/>
      <c r="B5" s="20"/>
      <c r="C5" s="20"/>
      <c r="D5" s="20"/>
      <c r="E5" s="20"/>
      <c r="F5" s="20"/>
      <c r="G5" s="20"/>
      <c r="H5" s="20"/>
      <c r="I5" s="65"/>
      <c r="N5" s="65"/>
      <c r="Q5" s="20">
        <v>1</v>
      </c>
      <c r="R5" s="20">
        <v>3</v>
      </c>
      <c r="S5" s="20">
        <v>9</v>
      </c>
      <c r="T5" s="20">
        <v>0</v>
      </c>
      <c r="U5" s="20">
        <v>0</v>
      </c>
      <c r="V5" s="369" t="s">
        <v>579</v>
      </c>
    </row>
    <row r="6" spans="1:22" x14ac:dyDescent="0.2">
      <c r="A6" s="20"/>
      <c r="B6" s="20"/>
      <c r="C6" s="20"/>
      <c r="D6" s="20"/>
      <c r="E6" s="20"/>
      <c r="F6" s="20"/>
      <c r="G6" s="20"/>
      <c r="H6" s="20"/>
      <c r="N6" s="65"/>
    </row>
    <row r="7" spans="1:22" x14ac:dyDescent="0.2">
      <c r="A7" s="20"/>
      <c r="B7" s="20"/>
      <c r="C7" s="20"/>
      <c r="D7" s="20"/>
      <c r="E7" s="20"/>
      <c r="F7" s="20"/>
      <c r="G7" s="20"/>
      <c r="H7" s="20"/>
    </row>
    <row r="8" spans="1:22" x14ac:dyDescent="0.2">
      <c r="A8" s="20"/>
      <c r="B8" s="20"/>
      <c r="C8" s="20"/>
      <c r="D8" s="20"/>
      <c r="E8" s="20"/>
      <c r="F8" s="20"/>
      <c r="G8" s="20"/>
      <c r="H8" s="20"/>
    </row>
    <row r="9" spans="1:22" x14ac:dyDescent="0.2">
      <c r="A9" s="20"/>
      <c r="B9" s="20"/>
      <c r="C9" s="20"/>
      <c r="D9" s="20"/>
      <c r="E9" s="20"/>
      <c r="F9" s="20"/>
      <c r="G9" s="20"/>
      <c r="H9" s="20"/>
    </row>
    <row r="10" spans="1:22" x14ac:dyDescent="0.2">
      <c r="A10" s="20"/>
      <c r="B10" s="20"/>
      <c r="C10" s="20"/>
      <c r="D10" s="20"/>
      <c r="E10" s="20"/>
      <c r="F10" s="20"/>
      <c r="G10" s="20"/>
      <c r="H10" s="20"/>
    </row>
    <row r="11" spans="1:22" x14ac:dyDescent="0.2">
      <c r="A11" s="20"/>
      <c r="B11" s="20"/>
      <c r="C11" s="20"/>
      <c r="D11" s="20"/>
      <c r="E11" s="20"/>
      <c r="F11" s="20"/>
      <c r="G11" s="20"/>
      <c r="H11" s="20"/>
    </row>
    <row r="12" spans="1:22" x14ac:dyDescent="0.2">
      <c r="A12" s="20"/>
      <c r="B12" s="20"/>
      <c r="C12" s="20"/>
      <c r="D12" s="20"/>
      <c r="E12" s="20"/>
      <c r="F12" s="20"/>
      <c r="G12" s="20"/>
      <c r="H12" s="20"/>
    </row>
    <row r="13" spans="1:22" x14ac:dyDescent="0.2">
      <c r="A13" s="20"/>
      <c r="B13" s="20"/>
      <c r="C13" s="20"/>
      <c r="D13" s="20"/>
      <c r="E13" s="20"/>
      <c r="F13" s="20"/>
      <c r="G13" s="20"/>
      <c r="H13" s="20"/>
    </row>
    <row r="14" spans="1:22" x14ac:dyDescent="0.2">
      <c r="A14" s="20"/>
      <c r="B14" s="20"/>
      <c r="C14" s="20"/>
      <c r="D14" s="20"/>
      <c r="E14" s="20"/>
      <c r="F14" s="20"/>
      <c r="G14" s="20"/>
      <c r="H14" s="20"/>
    </row>
    <row r="15" spans="1:22" x14ac:dyDescent="0.2">
      <c r="A15" s="20"/>
      <c r="B15" s="20"/>
      <c r="C15" s="20"/>
      <c r="D15" s="20"/>
      <c r="E15" s="20"/>
      <c r="F15" s="20"/>
      <c r="G15" s="20"/>
      <c r="H15" s="20"/>
    </row>
    <row r="16" spans="1:22" x14ac:dyDescent="0.2">
      <c r="A16" s="20"/>
      <c r="B16" s="20"/>
      <c r="C16" s="20"/>
      <c r="D16" s="20"/>
      <c r="E16" s="20"/>
      <c r="F16" s="20"/>
      <c r="G16" s="20"/>
      <c r="H16" s="20"/>
    </row>
    <row r="17" spans="1:8" x14ac:dyDescent="0.2">
      <c r="A17" s="20"/>
      <c r="B17" s="20"/>
      <c r="C17" s="20"/>
      <c r="D17" s="20"/>
      <c r="E17" s="20"/>
      <c r="F17" s="20"/>
      <c r="G17" s="20"/>
      <c r="H17" s="20"/>
    </row>
    <row r="18" spans="1:8" x14ac:dyDescent="0.2">
      <c r="A18" s="20"/>
      <c r="B18" s="20"/>
      <c r="C18" s="20"/>
      <c r="D18" s="20"/>
      <c r="E18" s="20"/>
      <c r="F18" s="20"/>
      <c r="G18" s="20"/>
      <c r="H18" s="20"/>
    </row>
    <row r="19" spans="1:8" x14ac:dyDescent="0.2">
      <c r="A19" s="20"/>
      <c r="B19" s="20"/>
      <c r="C19" s="20"/>
      <c r="D19" s="20"/>
      <c r="E19" s="20"/>
      <c r="F19" s="20"/>
      <c r="G19" s="20"/>
      <c r="H19" s="20"/>
    </row>
    <row r="20" spans="1:8" x14ac:dyDescent="0.2">
      <c r="A20" s="20"/>
      <c r="B20" s="20"/>
      <c r="C20" s="20"/>
      <c r="D20" s="20"/>
      <c r="E20" s="20"/>
      <c r="F20" s="20"/>
      <c r="G20" s="20"/>
      <c r="H20" s="20"/>
    </row>
    <row r="21" spans="1:8" x14ac:dyDescent="0.2">
      <c r="A21" s="20"/>
      <c r="B21" s="20"/>
      <c r="C21" s="20"/>
      <c r="D21" s="20"/>
      <c r="E21" s="20"/>
      <c r="F21" s="20"/>
      <c r="G21" s="20"/>
      <c r="H21" s="20"/>
    </row>
    <row r="22" spans="1:8" x14ac:dyDescent="0.2">
      <c r="A22" s="20"/>
      <c r="B22" s="20"/>
      <c r="C22" s="20"/>
      <c r="D22" s="20"/>
      <c r="E22" s="20"/>
      <c r="F22" s="20"/>
      <c r="G22" s="20"/>
      <c r="H22" s="20"/>
    </row>
    <row r="23" spans="1:8" x14ac:dyDescent="0.2">
      <c r="A23" s="20"/>
      <c r="B23" s="20"/>
      <c r="C23" s="20"/>
      <c r="D23" s="20"/>
      <c r="E23" s="20"/>
      <c r="F23" s="20"/>
      <c r="G23" s="20"/>
      <c r="H23" s="20"/>
    </row>
    <row r="24" spans="1:8" x14ac:dyDescent="0.2">
      <c r="A24" s="20"/>
      <c r="B24" s="20"/>
      <c r="C24" s="20"/>
      <c r="D24" s="20"/>
      <c r="E24" s="20"/>
      <c r="F24" s="20"/>
      <c r="G24" s="20"/>
      <c r="H24" s="20"/>
    </row>
    <row r="25" spans="1:8" x14ac:dyDescent="0.2">
      <c r="A25" s="20"/>
      <c r="B25" s="20"/>
      <c r="C25" s="20"/>
      <c r="D25" s="20"/>
      <c r="E25" s="20"/>
      <c r="F25" s="20"/>
      <c r="G25" s="20"/>
      <c r="H25" s="20"/>
    </row>
    <row r="26" spans="1:8" x14ac:dyDescent="0.2">
      <c r="A26" s="20"/>
      <c r="B26" s="20"/>
      <c r="C26" s="20"/>
      <c r="D26" s="20"/>
      <c r="E26" s="20"/>
      <c r="F26" s="20"/>
      <c r="G26" s="20"/>
      <c r="H26" s="20"/>
    </row>
    <row r="27" spans="1:8" x14ac:dyDescent="0.2">
      <c r="A27" s="20"/>
      <c r="B27" s="20"/>
      <c r="C27" s="20"/>
      <c r="D27" s="20"/>
      <c r="E27" s="20"/>
      <c r="F27" s="20"/>
      <c r="G27" s="20"/>
      <c r="H27" s="20"/>
    </row>
    <row r="28" spans="1:8" x14ac:dyDescent="0.2">
      <c r="A28" s="20"/>
      <c r="B28" s="20"/>
      <c r="C28" s="20"/>
      <c r="D28" s="20"/>
      <c r="E28" s="20"/>
      <c r="F28" s="20"/>
      <c r="G28" s="20"/>
      <c r="H28" s="20"/>
    </row>
    <row r="29" spans="1:8" x14ac:dyDescent="0.2">
      <c r="A29" s="20"/>
      <c r="B29" s="20"/>
      <c r="C29" s="20"/>
      <c r="D29" s="20"/>
      <c r="E29" s="20"/>
      <c r="F29" s="20"/>
      <c r="G29" s="20"/>
      <c r="H29" s="20"/>
    </row>
    <row r="30" spans="1:8" x14ac:dyDescent="0.2">
      <c r="A30" s="20"/>
      <c r="B30" s="20"/>
      <c r="C30" s="20"/>
      <c r="D30" s="20"/>
      <c r="E30" s="20"/>
      <c r="F30" s="20"/>
      <c r="G30" s="20"/>
      <c r="H30" s="20"/>
    </row>
    <row r="31" spans="1:8" x14ac:dyDescent="0.2">
      <c r="A31" s="20"/>
      <c r="B31" s="20"/>
      <c r="C31" s="20"/>
      <c r="D31" s="20"/>
      <c r="E31" s="20"/>
      <c r="F31" s="20"/>
      <c r="G31" s="20"/>
      <c r="H31" s="20"/>
    </row>
    <row r="32" spans="1:8" x14ac:dyDescent="0.2">
      <c r="A32" s="20"/>
      <c r="B32" s="20"/>
      <c r="C32" s="20"/>
      <c r="D32" s="20"/>
      <c r="E32" s="20"/>
      <c r="F32" s="20"/>
      <c r="G32" s="20"/>
      <c r="H32" s="20"/>
    </row>
    <row r="33" spans="1:8" x14ac:dyDescent="0.2">
      <c r="A33" s="20"/>
      <c r="B33" s="20"/>
      <c r="C33" s="20"/>
      <c r="D33" s="20"/>
      <c r="E33" s="20"/>
      <c r="F33" s="20"/>
      <c r="G33" s="20"/>
      <c r="H33" s="20"/>
    </row>
    <row r="34" spans="1:8" x14ac:dyDescent="0.2">
      <c r="A34" s="20"/>
      <c r="B34" s="20"/>
      <c r="C34" s="20"/>
      <c r="D34" s="20"/>
      <c r="E34" s="20"/>
      <c r="F34" s="20"/>
      <c r="G34" s="20"/>
      <c r="H34" s="20"/>
    </row>
    <row r="35" spans="1:8" x14ac:dyDescent="0.2">
      <c r="A35" s="20"/>
      <c r="B35" s="20"/>
      <c r="C35" s="20"/>
      <c r="D35" s="20"/>
      <c r="E35" s="20"/>
      <c r="F35" s="20"/>
      <c r="G35" s="20"/>
      <c r="H35" s="20"/>
    </row>
    <row r="36" spans="1:8" x14ac:dyDescent="0.2">
      <c r="A36" s="20"/>
      <c r="B36" s="20"/>
      <c r="C36" s="20"/>
      <c r="D36" s="20"/>
      <c r="E36" s="20"/>
      <c r="F36" s="20"/>
      <c r="G36" s="20"/>
      <c r="H36" s="20"/>
    </row>
    <row r="37" spans="1:8" x14ac:dyDescent="0.2">
      <c r="A37" s="20"/>
      <c r="B37" s="20"/>
      <c r="C37" s="20"/>
      <c r="D37" s="20"/>
      <c r="E37" s="20"/>
      <c r="F37" s="20"/>
      <c r="G37" s="20"/>
      <c r="H37" s="20"/>
    </row>
    <row r="38" spans="1:8" x14ac:dyDescent="0.2">
      <c r="A38" s="20"/>
      <c r="B38" s="20"/>
      <c r="C38" s="20"/>
      <c r="D38" s="20"/>
      <c r="E38" s="20"/>
      <c r="F38" s="20"/>
      <c r="G38" s="20"/>
      <c r="H38" s="20"/>
    </row>
    <row r="39" spans="1:8" x14ac:dyDescent="0.2">
      <c r="A39" s="20"/>
      <c r="B39" s="20"/>
      <c r="C39" s="20"/>
      <c r="D39" s="20"/>
      <c r="E39" s="20"/>
      <c r="F39" s="20"/>
      <c r="G39" s="20"/>
      <c r="H39" s="20"/>
    </row>
    <row r="40" spans="1:8" x14ac:dyDescent="0.2">
      <c r="A40" s="20"/>
      <c r="B40" s="20"/>
      <c r="C40" s="20"/>
      <c r="D40" s="20"/>
      <c r="E40" s="20"/>
      <c r="F40" s="20"/>
      <c r="G40" s="20"/>
      <c r="H40" s="20"/>
    </row>
    <row r="41" spans="1:8" x14ac:dyDescent="0.2">
      <c r="A41" s="20"/>
      <c r="B41" s="20"/>
      <c r="C41" s="20"/>
      <c r="D41" s="20"/>
      <c r="E41" s="20"/>
      <c r="F41" s="20"/>
      <c r="G41" s="20"/>
      <c r="H41" s="20"/>
    </row>
    <row r="42" spans="1:8" x14ac:dyDescent="0.2">
      <c r="A42" s="20"/>
      <c r="B42" s="20"/>
      <c r="C42" s="20"/>
      <c r="D42" s="20"/>
      <c r="E42" s="20"/>
      <c r="F42" s="20"/>
      <c r="G42" s="20"/>
      <c r="H42" s="20"/>
    </row>
    <row r="43" spans="1:8" x14ac:dyDescent="0.2">
      <c r="A43" s="20"/>
      <c r="B43" s="20"/>
      <c r="C43" s="20"/>
      <c r="D43" s="20"/>
      <c r="E43" s="20"/>
      <c r="F43" s="20"/>
      <c r="G43" s="20"/>
      <c r="H43" s="20"/>
    </row>
    <row r="44" spans="1:8" x14ac:dyDescent="0.2">
      <c r="A44" s="20"/>
      <c r="B44" s="20"/>
      <c r="C44" s="20"/>
      <c r="D44" s="20"/>
      <c r="E44" s="20"/>
      <c r="F44" s="20"/>
      <c r="G44" s="20"/>
      <c r="H44" s="20"/>
    </row>
    <row r="45" spans="1:8" x14ac:dyDescent="0.2">
      <c r="A45" s="20"/>
      <c r="B45" s="20"/>
      <c r="C45" s="20"/>
      <c r="D45" s="20"/>
      <c r="E45" s="20"/>
      <c r="F45" s="20"/>
      <c r="G45" s="20"/>
      <c r="H45" s="20"/>
    </row>
    <row r="46" spans="1:8" x14ac:dyDescent="0.2">
      <c r="A46" s="20"/>
      <c r="B46" s="20"/>
      <c r="C46" s="20"/>
      <c r="D46" s="20"/>
      <c r="E46" s="20"/>
      <c r="F46" s="20"/>
      <c r="G46" s="20"/>
      <c r="H46" s="20"/>
    </row>
    <row r="47" spans="1:8" x14ac:dyDescent="0.2">
      <c r="A47" s="20"/>
      <c r="B47" s="20"/>
      <c r="C47" s="20"/>
      <c r="D47" s="20"/>
      <c r="E47" s="20"/>
      <c r="F47" s="20"/>
      <c r="G47" s="20"/>
      <c r="H47" s="20"/>
    </row>
    <row r="48" spans="1:8" x14ac:dyDescent="0.2">
      <c r="A48" s="20"/>
      <c r="B48" s="20"/>
      <c r="C48" s="20"/>
      <c r="D48" s="20"/>
      <c r="E48" s="20"/>
      <c r="F48" s="20"/>
      <c r="G48" s="20"/>
      <c r="H48" s="20"/>
    </row>
    <row r="49" spans="1:8" x14ac:dyDescent="0.2">
      <c r="A49" s="20"/>
      <c r="B49" s="20"/>
      <c r="C49" s="20"/>
      <c r="D49" s="20"/>
      <c r="E49" s="20"/>
      <c r="F49" s="20"/>
      <c r="G49" s="20"/>
      <c r="H49" s="20"/>
    </row>
    <row r="50" spans="1:8" x14ac:dyDescent="0.2">
      <c r="A50" s="20"/>
      <c r="B50" s="20"/>
      <c r="C50" s="20"/>
      <c r="D50" s="20"/>
      <c r="E50" s="20"/>
      <c r="F50" s="20"/>
      <c r="G50" s="20"/>
      <c r="H50" s="20"/>
    </row>
    <row r="51" spans="1:8" x14ac:dyDescent="0.2">
      <c r="A51" s="20"/>
      <c r="B51" s="20"/>
      <c r="C51" s="20"/>
      <c r="D51" s="20"/>
      <c r="E51" s="20"/>
      <c r="F51" s="20"/>
      <c r="G51" s="20"/>
      <c r="H51" s="20"/>
    </row>
    <row r="52" spans="1:8" x14ac:dyDescent="0.2">
      <c r="A52" s="20"/>
      <c r="B52" s="20"/>
      <c r="C52" s="20"/>
      <c r="D52" s="20"/>
      <c r="E52" s="20"/>
      <c r="F52" s="20"/>
      <c r="G52" s="20"/>
      <c r="H52" s="20"/>
    </row>
    <row r="53" spans="1:8" x14ac:dyDescent="0.2">
      <c r="A53" s="20"/>
      <c r="B53" s="20"/>
      <c r="C53" s="20"/>
      <c r="D53" s="20"/>
      <c r="E53" s="20"/>
      <c r="F53" s="20"/>
      <c r="G53" s="20"/>
      <c r="H53" s="20"/>
    </row>
    <row r="54" spans="1:8" x14ac:dyDescent="0.2">
      <c r="A54" s="20"/>
      <c r="B54" s="20"/>
      <c r="C54" s="20"/>
      <c r="D54" s="20"/>
      <c r="E54" s="20"/>
      <c r="F54" s="20"/>
      <c r="G54" s="20"/>
      <c r="H54" s="20"/>
    </row>
    <row r="55" spans="1:8" x14ac:dyDescent="0.2">
      <c r="A55" s="20"/>
      <c r="B55" s="20"/>
      <c r="C55" s="20"/>
      <c r="D55" s="20"/>
      <c r="E55" s="20"/>
      <c r="F55" s="20"/>
      <c r="G55" s="20"/>
      <c r="H55" s="20"/>
    </row>
    <row r="56" spans="1:8" x14ac:dyDescent="0.2">
      <c r="A56" s="20"/>
      <c r="B56" s="20"/>
      <c r="C56" s="20"/>
      <c r="D56" s="20"/>
      <c r="E56" s="20"/>
      <c r="F56" s="20"/>
      <c r="G56" s="20"/>
      <c r="H56" s="20"/>
    </row>
    <row r="57" spans="1:8" x14ac:dyDescent="0.2">
      <c r="A57" s="20"/>
      <c r="B57" s="20"/>
      <c r="C57" s="20"/>
      <c r="D57" s="20"/>
      <c r="E57" s="20"/>
      <c r="F57" s="20"/>
      <c r="G57" s="20"/>
      <c r="H57" s="20"/>
    </row>
    <row r="58" spans="1:8" x14ac:dyDescent="0.2">
      <c r="A58" s="20"/>
      <c r="B58" s="20"/>
      <c r="C58" s="20"/>
      <c r="D58" s="20"/>
      <c r="E58" s="20"/>
      <c r="F58" s="20"/>
      <c r="G58" s="20"/>
      <c r="H58" s="20"/>
    </row>
    <row r="59" spans="1:8" x14ac:dyDescent="0.2">
      <c r="A59" s="20"/>
      <c r="B59" s="20"/>
      <c r="C59" s="20"/>
      <c r="D59" s="20"/>
      <c r="E59" s="20"/>
      <c r="F59" s="20"/>
      <c r="G59" s="20"/>
      <c r="H59" s="20"/>
    </row>
    <row r="60" spans="1:8" x14ac:dyDescent="0.2">
      <c r="A60" s="20"/>
      <c r="B60" s="20"/>
      <c r="C60" s="20"/>
      <c r="D60" s="20"/>
      <c r="E60" s="20"/>
      <c r="F60" s="20"/>
      <c r="G60" s="20"/>
      <c r="H60" s="20"/>
    </row>
    <row r="61" spans="1:8" x14ac:dyDescent="0.2">
      <c r="A61" s="20"/>
      <c r="B61" s="20"/>
      <c r="C61" s="20"/>
      <c r="D61" s="20"/>
      <c r="E61" s="20"/>
      <c r="F61" s="20"/>
      <c r="G61" s="20"/>
      <c r="H61" s="20"/>
    </row>
    <row r="62" spans="1:8" x14ac:dyDescent="0.2">
      <c r="A62" s="20"/>
      <c r="B62" s="20"/>
      <c r="C62" s="20"/>
      <c r="D62" s="20"/>
      <c r="E62" s="20"/>
      <c r="F62" s="20"/>
      <c r="G62" s="20"/>
      <c r="H62" s="20"/>
    </row>
    <row r="63" spans="1:8" x14ac:dyDescent="0.2">
      <c r="A63" s="20"/>
      <c r="B63" s="20"/>
      <c r="C63" s="20"/>
      <c r="D63" s="20"/>
      <c r="E63" s="20"/>
      <c r="F63" s="20"/>
      <c r="G63" s="20"/>
      <c r="H63" s="20"/>
    </row>
    <row r="64" spans="1:8" x14ac:dyDescent="0.2">
      <c r="A64" s="20"/>
      <c r="B64" s="20"/>
      <c r="C64" s="20"/>
      <c r="D64" s="20"/>
      <c r="E64" s="20"/>
      <c r="F64" s="20"/>
      <c r="G64" s="20"/>
      <c r="H64" s="20"/>
    </row>
    <row r="65" spans="1:8" x14ac:dyDescent="0.2">
      <c r="A65" s="20"/>
      <c r="B65" s="20"/>
      <c r="C65" s="20"/>
      <c r="D65" s="20"/>
      <c r="E65" s="20"/>
      <c r="F65" s="20"/>
      <c r="G65" s="20"/>
      <c r="H65" s="20"/>
    </row>
    <row r="66" spans="1:8" x14ac:dyDescent="0.2">
      <c r="A66" s="20"/>
      <c r="B66" s="20"/>
      <c r="C66" s="20"/>
      <c r="D66" s="20"/>
      <c r="E66" s="20"/>
      <c r="F66" s="20"/>
      <c r="G66" s="20"/>
      <c r="H66" s="20"/>
    </row>
    <row r="67" spans="1:8" x14ac:dyDescent="0.2">
      <c r="A67" s="20"/>
      <c r="B67" s="20"/>
      <c r="C67" s="20"/>
      <c r="D67" s="20"/>
      <c r="E67" s="20"/>
      <c r="F67" s="20"/>
      <c r="G67" s="20"/>
      <c r="H67" s="20"/>
    </row>
    <row r="68" spans="1:8" x14ac:dyDescent="0.2">
      <c r="A68" s="20"/>
      <c r="B68" s="20"/>
      <c r="C68" s="20"/>
      <c r="D68" s="20"/>
      <c r="E68" s="20"/>
      <c r="F68" s="20"/>
      <c r="G68" s="20"/>
      <c r="H68" s="20"/>
    </row>
    <row r="69" spans="1:8" x14ac:dyDescent="0.2">
      <c r="A69" s="20"/>
      <c r="B69" s="20"/>
      <c r="C69" s="20"/>
      <c r="D69" s="20"/>
      <c r="E69" s="20"/>
      <c r="F69" s="20"/>
      <c r="G69" s="20"/>
      <c r="H69" s="20"/>
    </row>
    <row r="70" spans="1:8" x14ac:dyDescent="0.2">
      <c r="A70" s="20"/>
      <c r="B70" s="20"/>
      <c r="C70" s="20"/>
      <c r="D70" s="20"/>
      <c r="E70" s="20"/>
      <c r="F70" s="20"/>
      <c r="G70" s="20"/>
      <c r="H70" s="20"/>
    </row>
    <row r="71" spans="1:8" x14ac:dyDescent="0.2">
      <c r="A71" s="20"/>
      <c r="B71" s="20"/>
      <c r="C71" s="20"/>
      <c r="D71" s="20"/>
      <c r="E71" s="20"/>
      <c r="F71" s="20"/>
      <c r="G71" s="20"/>
      <c r="H71" s="20"/>
    </row>
    <row r="72" spans="1:8" x14ac:dyDescent="0.2">
      <c r="A72" s="20"/>
      <c r="B72" s="20"/>
      <c r="C72" s="20"/>
      <c r="D72" s="20"/>
      <c r="E72" s="20"/>
      <c r="F72" s="20"/>
      <c r="G72" s="20"/>
      <c r="H72" s="20"/>
    </row>
    <row r="73" spans="1:8" x14ac:dyDescent="0.2">
      <c r="A73" s="20"/>
      <c r="B73" s="20"/>
      <c r="C73" s="20"/>
      <c r="D73" s="20"/>
      <c r="E73" s="20"/>
      <c r="F73" s="20"/>
      <c r="G73" s="20"/>
      <c r="H73" s="20"/>
    </row>
    <row r="74" spans="1:8" x14ac:dyDescent="0.2">
      <c r="A74" s="20"/>
      <c r="B74" s="20"/>
      <c r="C74" s="20"/>
      <c r="D74" s="20"/>
      <c r="E74" s="20"/>
      <c r="F74" s="20"/>
      <c r="G74" s="20"/>
      <c r="H74" s="20"/>
    </row>
    <row r="75" spans="1:8" x14ac:dyDescent="0.2">
      <c r="A75" s="20"/>
      <c r="B75" s="20"/>
      <c r="C75" s="20"/>
      <c r="D75" s="20"/>
      <c r="E75" s="20"/>
      <c r="F75" s="20"/>
      <c r="G75" s="20"/>
      <c r="H75" s="20"/>
    </row>
    <row r="76" spans="1:8" x14ac:dyDescent="0.2">
      <c r="A76" s="20"/>
      <c r="B76" s="20"/>
      <c r="C76" s="20"/>
      <c r="D76" s="20"/>
      <c r="E76" s="20"/>
      <c r="F76" s="20"/>
      <c r="G76" s="20"/>
      <c r="H76" s="20"/>
    </row>
    <row r="77" spans="1:8" x14ac:dyDescent="0.2">
      <c r="A77" s="20"/>
      <c r="B77" s="20"/>
      <c r="C77" s="20"/>
      <c r="D77" s="20"/>
      <c r="E77" s="20"/>
      <c r="F77" s="20"/>
      <c r="G77" s="20"/>
      <c r="H77" s="20"/>
    </row>
    <row r="78" spans="1:8" x14ac:dyDescent="0.2">
      <c r="A78" s="20"/>
      <c r="B78" s="20"/>
      <c r="C78" s="20"/>
      <c r="D78" s="20"/>
      <c r="E78" s="20"/>
      <c r="F78" s="20"/>
      <c r="G78" s="20"/>
      <c r="H78" s="20"/>
    </row>
    <row r="79" spans="1:8" x14ac:dyDescent="0.2">
      <c r="A79" s="20"/>
      <c r="B79" s="20"/>
      <c r="C79" s="20"/>
      <c r="D79" s="20"/>
      <c r="E79" s="20"/>
      <c r="F79" s="20"/>
      <c r="G79" s="20"/>
      <c r="H79" s="20"/>
    </row>
    <row r="80" spans="1:8" x14ac:dyDescent="0.2">
      <c r="A80" s="20"/>
      <c r="B80" s="20"/>
      <c r="C80" s="20"/>
      <c r="D80" s="20"/>
      <c r="E80" s="20"/>
      <c r="F80" s="20"/>
      <c r="G80" s="20"/>
      <c r="H80" s="20"/>
    </row>
    <row r="81" spans="1:8" x14ac:dyDescent="0.2">
      <c r="A81" s="20"/>
      <c r="B81" s="20"/>
      <c r="C81" s="20"/>
      <c r="D81" s="20"/>
      <c r="E81" s="20"/>
      <c r="F81" s="20"/>
      <c r="G81" s="20"/>
      <c r="H81" s="20"/>
    </row>
    <row r="82" spans="1:8" x14ac:dyDescent="0.2">
      <c r="A82" s="20"/>
      <c r="B82" s="20"/>
      <c r="C82" s="20"/>
      <c r="D82" s="20"/>
      <c r="E82" s="20"/>
      <c r="F82" s="20"/>
      <c r="G82" s="20"/>
      <c r="H82" s="20"/>
    </row>
    <row r="83" spans="1:8" x14ac:dyDescent="0.2">
      <c r="A83" s="20"/>
      <c r="B83" s="20"/>
      <c r="C83" s="20"/>
      <c r="D83" s="20"/>
      <c r="E83" s="20"/>
      <c r="F83" s="20"/>
      <c r="G83" s="20"/>
      <c r="H83" s="20"/>
    </row>
    <row r="84" spans="1:8" x14ac:dyDescent="0.2">
      <c r="A84" s="20"/>
      <c r="B84" s="20"/>
      <c r="C84" s="20"/>
      <c r="D84" s="20"/>
      <c r="E84" s="20"/>
      <c r="F84" s="20"/>
      <c r="G84" s="20"/>
      <c r="H84" s="20"/>
    </row>
    <row r="85" spans="1:8" x14ac:dyDescent="0.2">
      <c r="A85" s="20"/>
      <c r="B85" s="20"/>
      <c r="C85" s="20"/>
      <c r="D85" s="20"/>
      <c r="E85" s="20"/>
      <c r="F85" s="20"/>
      <c r="G85" s="20"/>
      <c r="H85" s="20"/>
    </row>
    <row r="86" spans="1:8" x14ac:dyDescent="0.2">
      <c r="A86" s="20"/>
      <c r="B86" s="20"/>
      <c r="C86" s="20"/>
      <c r="D86" s="20"/>
      <c r="E86" s="20"/>
      <c r="F86" s="20"/>
      <c r="G86" s="20"/>
      <c r="H86" s="20"/>
    </row>
    <row r="87" spans="1:8" x14ac:dyDescent="0.2">
      <c r="A87" s="20"/>
      <c r="B87" s="20"/>
      <c r="C87" s="20"/>
      <c r="D87" s="20"/>
      <c r="E87" s="20"/>
      <c r="F87" s="20"/>
      <c r="G87" s="20"/>
      <c r="H87" s="20"/>
    </row>
    <row r="88" spans="1:8" x14ac:dyDescent="0.2">
      <c r="A88" s="20"/>
      <c r="B88" s="20"/>
      <c r="C88" s="20"/>
      <c r="D88" s="20"/>
      <c r="E88" s="20"/>
      <c r="F88" s="20"/>
      <c r="G88" s="20"/>
      <c r="H88" s="20"/>
    </row>
    <row r="89" spans="1:8" x14ac:dyDescent="0.2">
      <c r="A89" s="20"/>
      <c r="B89" s="20"/>
      <c r="C89" s="20"/>
      <c r="D89" s="20"/>
      <c r="E89" s="20"/>
      <c r="F89" s="20"/>
      <c r="G89" s="20"/>
      <c r="H89" s="20"/>
    </row>
    <row r="90" spans="1:8" x14ac:dyDescent="0.2">
      <c r="A90" s="20"/>
      <c r="B90" s="20"/>
      <c r="C90" s="20"/>
      <c r="D90" s="20"/>
      <c r="E90" s="20"/>
      <c r="F90" s="20"/>
      <c r="G90" s="20"/>
      <c r="H90" s="20"/>
    </row>
    <row r="91" spans="1:8" x14ac:dyDescent="0.2">
      <c r="A91" s="20"/>
      <c r="B91" s="20"/>
      <c r="C91" s="20"/>
      <c r="D91" s="20"/>
      <c r="E91" s="20"/>
      <c r="F91" s="20"/>
      <c r="G91" s="20"/>
      <c r="H91" s="20"/>
    </row>
    <row r="92" spans="1:8" x14ac:dyDescent="0.2">
      <c r="A92" s="20"/>
      <c r="B92" s="20"/>
      <c r="C92" s="20"/>
      <c r="D92" s="20"/>
      <c r="E92" s="20"/>
      <c r="F92" s="20"/>
      <c r="G92" s="20"/>
      <c r="H92" s="20"/>
    </row>
    <row r="93" spans="1:8" x14ac:dyDescent="0.2">
      <c r="A93" s="20"/>
      <c r="B93" s="20"/>
      <c r="C93" s="20"/>
      <c r="D93" s="20"/>
      <c r="E93" s="20"/>
      <c r="F93" s="20"/>
      <c r="G93" s="20"/>
      <c r="H93" s="20"/>
    </row>
    <row r="94" spans="1:8" x14ac:dyDescent="0.2">
      <c r="A94" s="20"/>
      <c r="B94" s="20"/>
      <c r="C94" s="20"/>
      <c r="D94" s="20"/>
      <c r="E94" s="20"/>
      <c r="F94" s="20"/>
      <c r="G94" s="20"/>
      <c r="H94" s="20"/>
    </row>
    <row r="95" spans="1:8" x14ac:dyDescent="0.2">
      <c r="A95" s="20"/>
      <c r="B95" s="20"/>
      <c r="C95" s="20"/>
      <c r="D95" s="20"/>
      <c r="E95" s="20"/>
      <c r="F95" s="20"/>
      <c r="G95" s="20"/>
      <c r="H95" s="20"/>
    </row>
    <row r="96" spans="1:8" x14ac:dyDescent="0.2">
      <c r="A96" s="20"/>
      <c r="B96" s="20"/>
      <c r="C96" s="20"/>
      <c r="D96" s="20"/>
      <c r="E96" s="20"/>
      <c r="F96" s="20"/>
      <c r="G96" s="20"/>
      <c r="H96" s="20"/>
    </row>
    <row r="97" spans="1:8" x14ac:dyDescent="0.2">
      <c r="A97" s="20"/>
      <c r="B97" s="20"/>
      <c r="C97" s="20"/>
      <c r="D97" s="20"/>
      <c r="E97" s="20"/>
      <c r="F97" s="20"/>
      <c r="G97" s="20"/>
      <c r="H97" s="20"/>
    </row>
    <row r="98" spans="1:8" x14ac:dyDescent="0.2">
      <c r="A98" s="20"/>
      <c r="B98" s="20"/>
      <c r="C98" s="20"/>
      <c r="D98" s="20"/>
      <c r="E98" s="20"/>
      <c r="F98" s="20"/>
      <c r="G98" s="20"/>
      <c r="H98" s="20"/>
    </row>
    <row r="99" spans="1:8" x14ac:dyDescent="0.2">
      <c r="A99" s="20"/>
      <c r="B99" s="20"/>
      <c r="C99" s="20"/>
      <c r="D99" s="20"/>
      <c r="E99" s="20"/>
      <c r="F99" s="20"/>
      <c r="G99" s="20"/>
      <c r="H99" s="20"/>
    </row>
    <row r="100" spans="1:8" x14ac:dyDescent="0.2">
      <c r="A100" s="20"/>
      <c r="B100" s="20"/>
      <c r="C100" s="20"/>
      <c r="D100" s="20"/>
      <c r="E100" s="20"/>
      <c r="F100" s="20"/>
      <c r="G100" s="20"/>
      <c r="H100" s="20"/>
    </row>
    <row r="101" spans="1:8" x14ac:dyDescent="0.2">
      <c r="A101" s="20"/>
      <c r="B101" s="20"/>
      <c r="C101" s="20"/>
      <c r="D101" s="20"/>
      <c r="E101" s="20"/>
      <c r="F101" s="20"/>
      <c r="G101" s="20"/>
      <c r="H101" s="20"/>
    </row>
    <row r="102" spans="1:8" x14ac:dyDescent="0.2">
      <c r="A102" s="20"/>
      <c r="B102" s="20"/>
      <c r="C102" s="20"/>
      <c r="D102" s="20"/>
      <c r="E102" s="20"/>
      <c r="F102" s="20"/>
      <c r="G102" s="20"/>
      <c r="H102" s="20"/>
    </row>
    <row r="103" spans="1:8" x14ac:dyDescent="0.2">
      <c r="A103" s="20"/>
      <c r="B103" s="20"/>
      <c r="C103" s="20"/>
      <c r="D103" s="20"/>
      <c r="E103" s="20"/>
      <c r="F103" s="20"/>
      <c r="G103" s="20"/>
      <c r="H103" s="20"/>
    </row>
    <row r="104" spans="1:8" x14ac:dyDescent="0.2">
      <c r="A104" s="20"/>
      <c r="B104" s="20"/>
      <c r="C104" s="20"/>
      <c r="D104" s="20"/>
      <c r="E104" s="20"/>
      <c r="F104" s="20"/>
      <c r="G104" s="20"/>
      <c r="H104" s="20"/>
    </row>
    <row r="105" spans="1:8" x14ac:dyDescent="0.2">
      <c r="A105" s="20"/>
      <c r="B105" s="20"/>
      <c r="C105" s="20"/>
      <c r="D105" s="20"/>
      <c r="E105" s="20"/>
      <c r="F105" s="20"/>
      <c r="G105" s="20"/>
      <c r="H105" s="20"/>
    </row>
    <row r="106" spans="1:8" x14ac:dyDescent="0.2">
      <c r="A106" s="20"/>
      <c r="B106" s="20"/>
      <c r="C106" s="20"/>
      <c r="D106" s="20"/>
      <c r="E106" s="20"/>
      <c r="F106" s="20"/>
      <c r="G106" s="20"/>
      <c r="H106" s="20"/>
    </row>
    <row r="107" spans="1:8" x14ac:dyDescent="0.2">
      <c r="A107" s="20"/>
      <c r="B107" s="20"/>
      <c r="C107" s="20"/>
      <c r="D107" s="20"/>
      <c r="E107" s="20"/>
      <c r="F107" s="20"/>
      <c r="G107" s="20"/>
      <c r="H107" s="20"/>
    </row>
    <row r="108" spans="1:8" x14ac:dyDescent="0.2">
      <c r="A108" s="20"/>
      <c r="B108" s="20"/>
      <c r="C108" s="20"/>
      <c r="D108" s="20"/>
      <c r="E108" s="20"/>
      <c r="F108" s="20"/>
      <c r="G108" s="20"/>
      <c r="H108" s="20"/>
    </row>
    <row r="109" spans="1:8" x14ac:dyDescent="0.2">
      <c r="A109" s="20"/>
      <c r="B109" s="20"/>
      <c r="C109" s="20"/>
      <c r="D109" s="20"/>
      <c r="E109" s="20"/>
      <c r="F109" s="20"/>
      <c r="G109" s="20"/>
      <c r="H109" s="20"/>
    </row>
    <row r="110" spans="1:8" x14ac:dyDescent="0.2">
      <c r="A110" s="20"/>
      <c r="B110" s="20"/>
      <c r="C110" s="20"/>
      <c r="D110" s="20"/>
      <c r="E110" s="20"/>
      <c r="F110" s="20"/>
      <c r="G110" s="20"/>
      <c r="H110" s="20"/>
    </row>
    <row r="111" spans="1:8" x14ac:dyDescent="0.2">
      <c r="A111" s="20"/>
      <c r="B111" s="20"/>
      <c r="C111" s="20"/>
      <c r="D111" s="20"/>
      <c r="E111" s="20"/>
      <c r="F111" s="20"/>
      <c r="G111" s="20"/>
      <c r="H111" s="20"/>
    </row>
    <row r="112" spans="1:8" x14ac:dyDescent="0.2">
      <c r="A112" s="20"/>
      <c r="B112" s="20"/>
      <c r="C112" s="20"/>
      <c r="D112" s="20"/>
      <c r="E112" s="20"/>
      <c r="F112" s="20"/>
      <c r="G112" s="20"/>
      <c r="H112" s="20"/>
    </row>
    <row r="113" spans="1:8" x14ac:dyDescent="0.2">
      <c r="A113" s="20"/>
      <c r="B113" s="20"/>
      <c r="C113" s="20"/>
      <c r="D113" s="20"/>
      <c r="E113" s="20"/>
      <c r="F113" s="20"/>
      <c r="G113" s="20"/>
      <c r="H113" s="20"/>
    </row>
    <row r="114" spans="1:8" x14ac:dyDescent="0.2">
      <c r="A114" s="20"/>
      <c r="B114" s="20"/>
      <c r="C114" s="20"/>
      <c r="D114" s="20"/>
      <c r="E114" s="20"/>
      <c r="F114" s="20"/>
      <c r="G114" s="20"/>
      <c r="H114" s="20"/>
    </row>
    <row r="115" spans="1:8" x14ac:dyDescent="0.2">
      <c r="A115" s="20"/>
      <c r="B115" s="20"/>
      <c r="C115" s="20"/>
      <c r="D115" s="20"/>
      <c r="E115" s="20"/>
      <c r="F115" s="20"/>
      <c r="G115" s="20"/>
      <c r="H115" s="20"/>
    </row>
    <row r="116" spans="1:8" x14ac:dyDescent="0.2">
      <c r="A116" s="20"/>
      <c r="B116" s="20"/>
      <c r="C116" s="20"/>
      <c r="D116" s="20"/>
      <c r="E116" s="20"/>
      <c r="F116" s="20"/>
      <c r="G116" s="20"/>
      <c r="H116" s="20"/>
    </row>
    <row r="117" spans="1:8" x14ac:dyDescent="0.2">
      <c r="A117" s="20"/>
      <c r="B117" s="20"/>
      <c r="C117" s="20"/>
      <c r="D117" s="20"/>
      <c r="E117" s="20"/>
      <c r="F117" s="20"/>
      <c r="G117" s="20"/>
      <c r="H117" s="20"/>
    </row>
    <row r="118" spans="1:8" x14ac:dyDescent="0.2">
      <c r="A118" s="20"/>
      <c r="B118" s="20"/>
      <c r="C118" s="20"/>
      <c r="D118" s="20"/>
      <c r="E118" s="20"/>
      <c r="F118" s="20"/>
      <c r="G118" s="20"/>
      <c r="H118" s="20"/>
    </row>
    <row r="119" spans="1:8" x14ac:dyDescent="0.2">
      <c r="A119" s="20"/>
      <c r="B119" s="20"/>
      <c r="C119" s="20"/>
      <c r="D119" s="20"/>
      <c r="E119" s="20"/>
      <c r="F119" s="20"/>
      <c r="G119" s="20"/>
      <c r="H119" s="20"/>
    </row>
    <row r="120" spans="1:8" x14ac:dyDescent="0.2">
      <c r="A120" s="20"/>
      <c r="B120" s="20"/>
      <c r="C120" s="20"/>
      <c r="D120" s="20"/>
      <c r="E120" s="20"/>
      <c r="F120" s="20"/>
      <c r="G120" s="20"/>
      <c r="H120" s="20"/>
    </row>
    <row r="121" spans="1:8" x14ac:dyDescent="0.2">
      <c r="A121" s="20"/>
      <c r="B121" s="20"/>
      <c r="C121" s="20"/>
      <c r="D121" s="20"/>
      <c r="E121" s="20"/>
      <c r="F121" s="20"/>
      <c r="G121" s="20"/>
      <c r="H121" s="20"/>
    </row>
    <row r="122" spans="1:8" x14ac:dyDescent="0.2">
      <c r="A122" s="20"/>
      <c r="B122" s="20"/>
      <c r="C122" s="20"/>
      <c r="D122" s="20"/>
      <c r="E122" s="20"/>
      <c r="F122" s="20"/>
      <c r="G122" s="20"/>
      <c r="H122" s="20"/>
    </row>
    <row r="123" spans="1:8" x14ac:dyDescent="0.2">
      <c r="A123" s="20"/>
      <c r="B123" s="20"/>
      <c r="C123" s="20"/>
      <c r="D123" s="20"/>
      <c r="E123" s="20"/>
      <c r="F123" s="20"/>
      <c r="G123" s="20"/>
      <c r="H123" s="20"/>
    </row>
    <row r="124" spans="1:8" x14ac:dyDescent="0.2">
      <c r="A124" s="20"/>
      <c r="B124" s="20"/>
      <c r="C124" s="20"/>
      <c r="D124" s="20"/>
      <c r="E124" s="20"/>
      <c r="F124" s="20"/>
      <c r="G124" s="20"/>
      <c r="H124" s="20"/>
    </row>
    <row r="125" spans="1:8" x14ac:dyDescent="0.2">
      <c r="A125" s="20"/>
      <c r="B125" s="20"/>
      <c r="C125" s="20"/>
      <c r="D125" s="20"/>
      <c r="E125" s="20"/>
      <c r="F125" s="20"/>
      <c r="G125" s="20"/>
      <c r="H125" s="20"/>
    </row>
    <row r="126" spans="1:8" x14ac:dyDescent="0.2">
      <c r="A126" s="20"/>
      <c r="B126" s="20"/>
      <c r="C126" s="20"/>
      <c r="D126" s="20"/>
      <c r="E126" s="20"/>
      <c r="F126" s="20"/>
      <c r="G126" s="20"/>
      <c r="H126" s="20"/>
    </row>
    <row r="127" spans="1:8" x14ac:dyDescent="0.2">
      <c r="A127" s="20"/>
      <c r="B127" s="20"/>
      <c r="C127" s="20"/>
      <c r="D127" s="20"/>
      <c r="E127" s="20"/>
      <c r="F127" s="20"/>
      <c r="G127" s="20"/>
      <c r="H127" s="20"/>
    </row>
    <row r="128" spans="1:8" x14ac:dyDescent="0.2">
      <c r="A128" s="20"/>
      <c r="B128" s="20"/>
      <c r="C128" s="20"/>
      <c r="D128" s="20"/>
      <c r="E128" s="20"/>
      <c r="F128" s="20"/>
      <c r="G128" s="20"/>
      <c r="H128" s="20"/>
    </row>
    <row r="129" spans="1:8" x14ac:dyDescent="0.2">
      <c r="A129" s="20"/>
      <c r="B129" s="20"/>
      <c r="C129" s="20"/>
      <c r="D129" s="20"/>
      <c r="E129" s="20"/>
      <c r="F129" s="20"/>
      <c r="G129" s="20"/>
      <c r="H129" s="20"/>
    </row>
    <row r="130" spans="1:8" x14ac:dyDescent="0.2">
      <c r="A130" s="20"/>
      <c r="B130" s="20"/>
      <c r="C130" s="20"/>
      <c r="D130" s="20"/>
      <c r="E130" s="20"/>
      <c r="F130" s="20"/>
      <c r="G130" s="20"/>
      <c r="H130" s="20"/>
    </row>
    <row r="131" spans="1:8" x14ac:dyDescent="0.2">
      <c r="A131" s="20"/>
      <c r="B131" s="20"/>
      <c r="C131" s="20"/>
      <c r="D131" s="20"/>
      <c r="E131" s="20"/>
      <c r="F131" s="20"/>
      <c r="G131" s="20"/>
      <c r="H131" s="20"/>
    </row>
    <row r="132" spans="1:8" x14ac:dyDescent="0.2">
      <c r="A132" s="20"/>
      <c r="B132" s="20"/>
      <c r="C132" s="20"/>
      <c r="D132" s="20"/>
      <c r="E132" s="20"/>
      <c r="F132" s="20"/>
      <c r="G132" s="20"/>
      <c r="H132" s="20"/>
    </row>
    <row r="133" spans="1:8" x14ac:dyDescent="0.2">
      <c r="A133" s="20"/>
      <c r="B133" s="20"/>
      <c r="C133" s="20"/>
      <c r="D133" s="20"/>
      <c r="E133" s="20"/>
      <c r="F133" s="20"/>
      <c r="G133" s="20"/>
      <c r="H133" s="20"/>
    </row>
    <row r="134" spans="1:8" x14ac:dyDescent="0.2">
      <c r="A134" s="20"/>
      <c r="B134" s="20"/>
      <c r="C134" s="20"/>
      <c r="D134" s="20"/>
      <c r="E134" s="20"/>
      <c r="F134" s="20"/>
      <c r="G134" s="20"/>
      <c r="H134" s="20"/>
    </row>
    <row r="135" spans="1:8" x14ac:dyDescent="0.2">
      <c r="A135" s="20"/>
      <c r="B135" s="20"/>
      <c r="C135" s="20"/>
      <c r="D135" s="20"/>
      <c r="E135" s="20"/>
      <c r="F135" s="20"/>
      <c r="G135" s="20"/>
      <c r="H135" s="20"/>
    </row>
    <row r="136" spans="1:8" x14ac:dyDescent="0.2">
      <c r="A136" s="20"/>
      <c r="B136" s="20"/>
      <c r="C136" s="20"/>
      <c r="D136" s="20"/>
      <c r="E136" s="20"/>
      <c r="F136" s="20"/>
      <c r="G136" s="20"/>
      <c r="H136" s="20"/>
    </row>
    <row r="137" spans="1:8" x14ac:dyDescent="0.2">
      <c r="A137" s="20"/>
      <c r="B137" s="20"/>
      <c r="C137" s="20"/>
      <c r="D137" s="20"/>
      <c r="E137" s="20"/>
      <c r="F137" s="20"/>
      <c r="G137" s="20"/>
      <c r="H137" s="20"/>
    </row>
    <row r="138" spans="1:8" x14ac:dyDescent="0.2">
      <c r="A138" s="20"/>
      <c r="B138" s="20"/>
      <c r="C138" s="20"/>
      <c r="D138" s="20"/>
      <c r="E138" s="20"/>
      <c r="F138" s="20"/>
      <c r="G138" s="20"/>
      <c r="H138" s="20"/>
    </row>
    <row r="139" spans="1:8" x14ac:dyDescent="0.2">
      <c r="A139" s="20"/>
      <c r="B139" s="20"/>
      <c r="C139" s="20"/>
      <c r="D139" s="20"/>
      <c r="E139" s="20"/>
      <c r="F139" s="20"/>
      <c r="G139" s="20"/>
      <c r="H139" s="20"/>
    </row>
    <row r="140" spans="1:8" x14ac:dyDescent="0.2">
      <c r="A140" s="20"/>
      <c r="B140" s="20"/>
      <c r="C140" s="20"/>
      <c r="D140" s="20"/>
      <c r="E140" s="20"/>
      <c r="F140" s="20"/>
      <c r="G140" s="20"/>
      <c r="H140" s="20"/>
    </row>
    <row r="141" spans="1:8" x14ac:dyDescent="0.2">
      <c r="A141" s="20"/>
      <c r="B141" s="20"/>
      <c r="C141" s="20"/>
      <c r="D141" s="20"/>
      <c r="E141" s="20"/>
      <c r="F141" s="20"/>
      <c r="G141" s="20"/>
      <c r="H141" s="20"/>
    </row>
    <row r="142" spans="1:8" x14ac:dyDescent="0.2">
      <c r="A142" s="20"/>
      <c r="B142" s="20"/>
      <c r="C142" s="20"/>
      <c r="D142" s="20"/>
      <c r="E142" s="20"/>
      <c r="F142" s="20"/>
      <c r="G142" s="20"/>
      <c r="H142" s="20"/>
    </row>
    <row r="143" spans="1:8" x14ac:dyDescent="0.2">
      <c r="A143" s="20"/>
      <c r="B143" s="20"/>
      <c r="C143" s="20"/>
      <c r="D143" s="20"/>
      <c r="E143" s="20"/>
      <c r="F143" s="20"/>
      <c r="G143" s="20"/>
      <c r="H143" s="20"/>
    </row>
    <row r="144" spans="1:8" x14ac:dyDescent="0.2">
      <c r="A144" s="20"/>
      <c r="B144" s="20"/>
      <c r="C144" s="20"/>
      <c r="D144" s="20"/>
      <c r="E144" s="20"/>
      <c r="F144" s="20"/>
      <c r="G144" s="20"/>
      <c r="H144" s="20"/>
    </row>
    <row r="145" spans="1:8" x14ac:dyDescent="0.2">
      <c r="A145" s="20"/>
      <c r="B145" s="20"/>
      <c r="C145" s="20"/>
      <c r="D145" s="20"/>
      <c r="E145" s="20"/>
      <c r="F145" s="20"/>
      <c r="G145" s="20"/>
      <c r="H145" s="20"/>
    </row>
    <row r="146" spans="1:8" x14ac:dyDescent="0.2">
      <c r="A146" s="20"/>
      <c r="B146" s="20"/>
      <c r="C146" s="20"/>
      <c r="D146" s="20"/>
      <c r="E146" s="20"/>
      <c r="F146" s="20"/>
      <c r="G146" s="20"/>
      <c r="H146" s="20"/>
    </row>
    <row r="147" spans="1:8" x14ac:dyDescent="0.2">
      <c r="A147" s="20"/>
      <c r="B147" s="20"/>
      <c r="C147" s="20"/>
      <c r="D147" s="20"/>
      <c r="E147" s="20"/>
      <c r="F147" s="20"/>
      <c r="G147" s="20"/>
      <c r="H147" s="20"/>
    </row>
    <row r="148" spans="1:8" x14ac:dyDescent="0.2">
      <c r="A148" s="20"/>
      <c r="B148" s="20"/>
      <c r="C148" s="20"/>
      <c r="D148" s="20"/>
      <c r="E148" s="20"/>
      <c r="F148" s="20"/>
      <c r="G148" s="20"/>
      <c r="H148" s="20"/>
    </row>
    <row r="149" spans="1:8" x14ac:dyDescent="0.2">
      <c r="A149" s="20"/>
      <c r="B149" s="20"/>
      <c r="C149" s="20"/>
      <c r="D149" s="20"/>
      <c r="E149" s="20"/>
      <c r="F149" s="20"/>
      <c r="G149" s="20"/>
      <c r="H149" s="20"/>
    </row>
    <row r="150" spans="1:8" x14ac:dyDescent="0.2">
      <c r="A150" s="20"/>
      <c r="B150" s="20"/>
      <c r="C150" s="20"/>
      <c r="D150" s="20"/>
      <c r="E150" s="20"/>
      <c r="F150" s="20"/>
      <c r="G150" s="20"/>
      <c r="H150" s="20"/>
    </row>
    <row r="151" spans="1:8" x14ac:dyDescent="0.2">
      <c r="A151" s="20"/>
      <c r="B151" s="20"/>
      <c r="C151" s="20"/>
      <c r="D151" s="20"/>
      <c r="E151" s="20"/>
      <c r="F151" s="20"/>
      <c r="G151" s="20"/>
      <c r="H151" s="20"/>
    </row>
    <row r="152" spans="1:8" x14ac:dyDescent="0.2">
      <c r="A152" s="20"/>
      <c r="B152" s="20"/>
      <c r="C152" s="20"/>
      <c r="D152" s="20"/>
      <c r="E152" s="20"/>
      <c r="F152" s="20"/>
      <c r="G152" s="20"/>
      <c r="H152" s="20"/>
    </row>
    <row r="153" spans="1:8" x14ac:dyDescent="0.2">
      <c r="A153" s="20"/>
      <c r="B153" s="20"/>
      <c r="C153" s="20"/>
      <c r="D153" s="20"/>
      <c r="E153" s="20"/>
      <c r="F153" s="20"/>
      <c r="G153" s="20"/>
      <c r="H153" s="20"/>
    </row>
    <row r="154" spans="1:8" x14ac:dyDescent="0.2">
      <c r="A154" s="20"/>
      <c r="B154" s="20"/>
      <c r="C154" s="20"/>
      <c r="D154" s="20"/>
      <c r="E154" s="20"/>
      <c r="F154" s="20"/>
      <c r="G154" s="20"/>
      <c r="H154" s="20"/>
    </row>
    <row r="155" spans="1:8" x14ac:dyDescent="0.2">
      <c r="A155" s="20"/>
      <c r="B155" s="20"/>
      <c r="C155" s="20"/>
      <c r="D155" s="20"/>
      <c r="E155" s="20"/>
      <c r="F155" s="20"/>
      <c r="G155" s="20"/>
      <c r="H155" s="20"/>
    </row>
    <row r="156" spans="1:8" x14ac:dyDescent="0.2">
      <c r="A156" s="20"/>
      <c r="B156" s="20"/>
      <c r="C156" s="20"/>
      <c r="D156" s="20"/>
      <c r="E156" s="20"/>
      <c r="F156" s="20"/>
      <c r="G156" s="20"/>
      <c r="H156" s="20"/>
    </row>
    <row r="157" spans="1:8" x14ac:dyDescent="0.2">
      <c r="A157" s="20"/>
      <c r="B157" s="20"/>
      <c r="C157" s="20"/>
      <c r="D157" s="20"/>
      <c r="E157" s="20"/>
      <c r="F157" s="20"/>
      <c r="G157" s="20"/>
      <c r="H157" s="20"/>
    </row>
    <row r="158" spans="1:8" x14ac:dyDescent="0.2">
      <c r="A158" s="20"/>
      <c r="B158" s="20"/>
      <c r="C158" s="20"/>
      <c r="D158" s="20"/>
      <c r="E158" s="20"/>
      <c r="F158" s="20"/>
      <c r="G158" s="20"/>
      <c r="H158" s="20"/>
    </row>
    <row r="159" spans="1:8" x14ac:dyDescent="0.2">
      <c r="A159" s="20"/>
      <c r="B159" s="20"/>
      <c r="C159" s="20"/>
      <c r="D159" s="20"/>
      <c r="E159" s="20"/>
      <c r="F159" s="20"/>
      <c r="G159" s="20"/>
      <c r="H159" s="20"/>
    </row>
    <row r="160" spans="1:8" x14ac:dyDescent="0.2">
      <c r="A160" s="20"/>
      <c r="B160" s="20"/>
      <c r="C160" s="20"/>
      <c r="D160" s="20"/>
      <c r="E160" s="20"/>
      <c r="F160" s="20"/>
      <c r="G160" s="20"/>
      <c r="H160" s="20"/>
    </row>
    <row r="161" spans="1:8" x14ac:dyDescent="0.2">
      <c r="A161" s="20"/>
      <c r="B161" s="20"/>
      <c r="C161" s="20"/>
      <c r="D161" s="20"/>
      <c r="E161" s="20"/>
      <c r="F161" s="20"/>
      <c r="G161" s="20"/>
      <c r="H161" s="20"/>
    </row>
    <row r="162" spans="1:8" x14ac:dyDescent="0.2">
      <c r="A162" s="20"/>
      <c r="B162" s="20"/>
      <c r="C162" s="20"/>
      <c r="D162" s="20"/>
      <c r="E162" s="20"/>
      <c r="F162" s="20"/>
      <c r="G162" s="20"/>
      <c r="H162" s="20"/>
    </row>
    <row r="163" spans="1:8" x14ac:dyDescent="0.2">
      <c r="A163" s="20"/>
      <c r="B163" s="20"/>
      <c r="C163" s="20"/>
      <c r="D163" s="20"/>
      <c r="E163" s="20"/>
      <c r="F163" s="20"/>
      <c r="G163" s="20"/>
      <c r="H163" s="20"/>
    </row>
    <row r="164" spans="1:8" x14ac:dyDescent="0.2">
      <c r="A164" s="20"/>
      <c r="B164" s="20"/>
      <c r="C164" s="20"/>
      <c r="D164" s="20"/>
      <c r="E164" s="20"/>
      <c r="F164" s="20"/>
      <c r="G164" s="20"/>
      <c r="H164" s="20"/>
    </row>
    <row r="165" spans="1:8" x14ac:dyDescent="0.2">
      <c r="A165" s="20"/>
      <c r="B165" s="20"/>
      <c r="C165" s="20"/>
      <c r="D165" s="20"/>
      <c r="E165" s="20"/>
      <c r="F165" s="20"/>
      <c r="G165" s="20"/>
      <c r="H165" s="20"/>
    </row>
    <row r="166" spans="1:8" x14ac:dyDescent="0.2">
      <c r="A166" s="20"/>
      <c r="B166" s="20"/>
      <c r="C166" s="20"/>
      <c r="D166" s="20"/>
      <c r="E166" s="20"/>
      <c r="F166" s="20"/>
      <c r="G166" s="20"/>
      <c r="H166" s="20"/>
    </row>
    <row r="167" spans="1:8" x14ac:dyDescent="0.2">
      <c r="A167" s="20"/>
      <c r="B167" s="20"/>
      <c r="C167" s="20"/>
      <c r="D167" s="20"/>
      <c r="E167" s="20"/>
      <c r="F167" s="20"/>
      <c r="G167" s="20"/>
      <c r="H167" s="20"/>
    </row>
    <row r="168" spans="1:8" x14ac:dyDescent="0.2">
      <c r="A168" s="20"/>
      <c r="B168" s="20"/>
      <c r="C168" s="20"/>
      <c r="D168" s="20"/>
      <c r="E168" s="20"/>
      <c r="F168" s="20"/>
      <c r="G168" s="20"/>
      <c r="H168" s="20"/>
    </row>
    <row r="169" spans="1:8" x14ac:dyDescent="0.2">
      <c r="A169" s="20"/>
      <c r="B169" s="20"/>
      <c r="C169" s="20"/>
      <c r="D169" s="20"/>
      <c r="E169" s="20"/>
      <c r="F169" s="20"/>
      <c r="G169" s="20"/>
      <c r="H169" s="20"/>
    </row>
    <row r="170" spans="1:8" x14ac:dyDescent="0.2">
      <c r="A170" s="20"/>
      <c r="B170" s="20"/>
      <c r="C170" s="20"/>
      <c r="D170" s="20"/>
      <c r="E170" s="20"/>
      <c r="F170" s="20"/>
      <c r="G170" s="20"/>
      <c r="H170" s="20"/>
    </row>
    <row r="171" spans="1:8" x14ac:dyDescent="0.2">
      <c r="A171" s="20"/>
      <c r="B171" s="20"/>
      <c r="C171" s="20"/>
      <c r="D171" s="20"/>
      <c r="E171" s="20"/>
      <c r="F171" s="20"/>
      <c r="G171" s="20"/>
      <c r="H171" s="20"/>
    </row>
    <row r="172" spans="1:8" x14ac:dyDescent="0.2">
      <c r="A172" s="20"/>
      <c r="B172" s="20"/>
      <c r="C172" s="20"/>
      <c r="D172" s="20"/>
      <c r="E172" s="20"/>
      <c r="F172" s="20"/>
      <c r="G172" s="20"/>
      <c r="H172" s="20"/>
    </row>
    <row r="173" spans="1:8" x14ac:dyDescent="0.2">
      <c r="A173" s="20"/>
      <c r="B173" s="20"/>
      <c r="C173" s="20"/>
      <c r="D173" s="20"/>
      <c r="E173" s="20"/>
      <c r="F173" s="20"/>
      <c r="G173" s="20"/>
      <c r="H173" s="20"/>
    </row>
    <row r="174" spans="1:8" x14ac:dyDescent="0.2">
      <c r="A174" s="20"/>
      <c r="B174" s="20"/>
      <c r="C174" s="20"/>
      <c r="D174" s="20"/>
      <c r="E174" s="20"/>
      <c r="F174" s="20"/>
      <c r="G174" s="20"/>
      <c r="H174" s="20"/>
    </row>
    <row r="175" spans="1:8" x14ac:dyDescent="0.2">
      <c r="A175" s="20"/>
      <c r="B175" s="20"/>
      <c r="C175" s="20"/>
      <c r="D175" s="20"/>
      <c r="E175" s="20"/>
      <c r="F175" s="20"/>
      <c r="G175" s="20"/>
      <c r="H175" s="20"/>
    </row>
    <row r="176" spans="1:8" x14ac:dyDescent="0.2">
      <c r="A176" s="20"/>
      <c r="B176" s="20"/>
      <c r="C176" s="20"/>
      <c r="D176" s="20"/>
      <c r="E176" s="20"/>
      <c r="F176" s="20"/>
      <c r="G176" s="20"/>
      <c r="H176" s="20"/>
    </row>
    <row r="177" spans="1:8" x14ac:dyDescent="0.2">
      <c r="A177" s="20"/>
      <c r="B177" s="20"/>
      <c r="C177" s="20"/>
      <c r="D177" s="20"/>
      <c r="E177" s="20"/>
      <c r="F177" s="20"/>
      <c r="G177" s="20"/>
      <c r="H177" s="20"/>
    </row>
    <row r="178" spans="1:8" x14ac:dyDescent="0.2">
      <c r="A178" s="20"/>
      <c r="B178" s="20"/>
      <c r="C178" s="20"/>
      <c r="D178" s="20"/>
      <c r="E178" s="20"/>
      <c r="F178" s="20"/>
      <c r="G178" s="20"/>
      <c r="H178" s="20"/>
    </row>
    <row r="179" spans="1:8" x14ac:dyDescent="0.2">
      <c r="A179" s="20"/>
      <c r="B179" s="20"/>
      <c r="C179" s="20"/>
      <c r="D179" s="20"/>
      <c r="E179" s="20"/>
      <c r="F179" s="20"/>
      <c r="G179" s="20"/>
      <c r="H179" s="20"/>
    </row>
    <row r="180" spans="1:8" x14ac:dyDescent="0.2">
      <c r="A180" s="20"/>
      <c r="B180" s="20"/>
      <c r="C180" s="20"/>
      <c r="D180" s="20"/>
      <c r="E180" s="20"/>
      <c r="F180" s="20"/>
      <c r="G180" s="20"/>
      <c r="H180" s="20"/>
    </row>
    <row r="181" spans="1:8" x14ac:dyDescent="0.2">
      <c r="A181" s="20"/>
      <c r="B181" s="20"/>
      <c r="C181" s="20"/>
      <c r="D181" s="20"/>
      <c r="E181" s="20"/>
      <c r="F181" s="20"/>
      <c r="G181" s="20"/>
      <c r="H181" s="20"/>
    </row>
    <row r="182" spans="1:8" x14ac:dyDescent="0.2">
      <c r="A182" s="20"/>
      <c r="B182" s="20"/>
      <c r="C182" s="20"/>
      <c r="D182" s="20"/>
      <c r="E182" s="20"/>
      <c r="F182" s="20"/>
      <c r="G182" s="20"/>
      <c r="H182" s="20"/>
    </row>
    <row r="183" spans="1:8" x14ac:dyDescent="0.2">
      <c r="A183" s="20"/>
      <c r="B183" s="20"/>
      <c r="C183" s="20"/>
      <c r="D183" s="20"/>
      <c r="E183" s="20"/>
      <c r="F183" s="20"/>
      <c r="G183" s="20"/>
      <c r="H183" s="20"/>
    </row>
    <row r="184" spans="1:8" x14ac:dyDescent="0.2">
      <c r="A184" s="20"/>
      <c r="B184" s="20"/>
      <c r="C184" s="20"/>
      <c r="D184" s="20"/>
      <c r="E184" s="20"/>
      <c r="F184" s="20"/>
      <c r="G184" s="20"/>
      <c r="H184" s="20"/>
    </row>
    <row r="185" spans="1:8" x14ac:dyDescent="0.2">
      <c r="A185" s="20"/>
      <c r="B185" s="20"/>
      <c r="C185" s="20"/>
      <c r="D185" s="20"/>
      <c r="E185" s="20"/>
      <c r="F185" s="20"/>
      <c r="G185" s="20"/>
      <c r="H185" s="20"/>
    </row>
    <row r="186" spans="1:8" x14ac:dyDescent="0.2">
      <c r="A186" s="20"/>
      <c r="B186" s="20"/>
      <c r="C186" s="20"/>
      <c r="D186" s="20"/>
      <c r="E186" s="20"/>
      <c r="F186" s="20"/>
      <c r="G186" s="20"/>
      <c r="H186" s="20"/>
    </row>
    <row r="187" spans="1:8" x14ac:dyDescent="0.2">
      <c r="A187" s="20"/>
      <c r="B187" s="20"/>
      <c r="C187" s="20"/>
      <c r="D187" s="20"/>
      <c r="E187" s="20"/>
      <c r="F187" s="20"/>
      <c r="G187" s="20"/>
      <c r="H187" s="20"/>
    </row>
    <row r="188" spans="1:8" x14ac:dyDescent="0.2">
      <c r="A188" s="20"/>
      <c r="B188" s="20"/>
      <c r="C188" s="20"/>
      <c r="D188" s="20"/>
      <c r="E188" s="20"/>
      <c r="F188" s="20"/>
      <c r="G188" s="20"/>
      <c r="H188" s="20"/>
    </row>
    <row r="189" spans="1:8" x14ac:dyDescent="0.2">
      <c r="A189" s="20"/>
      <c r="B189" s="20"/>
      <c r="C189" s="20"/>
      <c r="D189" s="20"/>
      <c r="E189" s="20"/>
      <c r="F189" s="20"/>
      <c r="G189" s="20"/>
      <c r="H189" s="20"/>
    </row>
    <row r="190" spans="1:8" x14ac:dyDescent="0.2">
      <c r="A190" s="20"/>
      <c r="B190" s="20"/>
      <c r="C190" s="20"/>
      <c r="D190" s="20"/>
      <c r="E190" s="20"/>
      <c r="F190" s="20"/>
      <c r="G190" s="20"/>
      <c r="H190" s="20"/>
    </row>
    <row r="191" spans="1:8" x14ac:dyDescent="0.2">
      <c r="A191" s="20"/>
      <c r="B191" s="20"/>
      <c r="C191" s="20"/>
      <c r="D191" s="20"/>
      <c r="E191" s="20"/>
      <c r="F191" s="20"/>
      <c r="G191" s="20"/>
      <c r="H191" s="20"/>
    </row>
    <row r="192" spans="1:8" x14ac:dyDescent="0.2">
      <c r="A192" s="20"/>
      <c r="B192" s="20"/>
      <c r="C192" s="20"/>
      <c r="D192" s="20"/>
      <c r="E192" s="20"/>
      <c r="F192" s="20"/>
      <c r="G192" s="20"/>
      <c r="H192" s="20"/>
    </row>
    <row r="193" spans="1:8" x14ac:dyDescent="0.2">
      <c r="A193" s="20"/>
      <c r="B193" s="20"/>
      <c r="C193" s="20"/>
      <c r="D193" s="20"/>
      <c r="E193" s="20"/>
      <c r="F193" s="20"/>
      <c r="G193" s="20"/>
      <c r="H193" s="20"/>
    </row>
    <row r="194" spans="1:8" x14ac:dyDescent="0.2">
      <c r="A194" s="20"/>
      <c r="B194" s="20"/>
      <c r="C194" s="20"/>
      <c r="D194" s="20"/>
      <c r="E194" s="20"/>
      <c r="F194" s="20"/>
      <c r="G194" s="20"/>
      <c r="H194" s="20"/>
    </row>
    <row r="195" spans="1:8" x14ac:dyDescent="0.2">
      <c r="A195" s="20"/>
      <c r="B195" s="20"/>
      <c r="C195" s="20"/>
      <c r="D195" s="20"/>
      <c r="E195" s="20"/>
      <c r="F195" s="20"/>
      <c r="G195" s="20"/>
      <c r="H195" s="20"/>
    </row>
    <row r="196" spans="1:8" x14ac:dyDescent="0.2">
      <c r="A196" s="20"/>
      <c r="B196" s="20"/>
      <c r="C196" s="20"/>
      <c r="D196" s="20"/>
      <c r="E196" s="20"/>
      <c r="F196" s="20"/>
      <c r="G196" s="20"/>
      <c r="H196" s="20"/>
    </row>
    <row r="197" spans="1:8" x14ac:dyDescent="0.2">
      <c r="A197" s="20"/>
      <c r="B197" s="20"/>
      <c r="C197" s="20"/>
      <c r="D197" s="20"/>
      <c r="E197" s="20"/>
      <c r="F197" s="20"/>
      <c r="G197" s="20"/>
      <c r="H197" s="20"/>
    </row>
    <row r="198" spans="1:8" x14ac:dyDescent="0.2">
      <c r="A198" s="20"/>
      <c r="B198" s="20"/>
      <c r="C198" s="20"/>
      <c r="D198" s="20"/>
      <c r="E198" s="20"/>
      <c r="F198" s="20"/>
      <c r="G198" s="20"/>
      <c r="H198" s="20"/>
    </row>
    <row r="199" spans="1:8" x14ac:dyDescent="0.2">
      <c r="A199" s="20"/>
      <c r="B199" s="20"/>
      <c r="C199" s="20"/>
      <c r="D199" s="20"/>
      <c r="E199" s="20"/>
      <c r="F199" s="20"/>
      <c r="G199" s="20"/>
      <c r="H199" s="20"/>
    </row>
    <row r="200" spans="1:8" x14ac:dyDescent="0.2">
      <c r="A200" s="20"/>
      <c r="B200" s="20"/>
      <c r="C200" s="20"/>
      <c r="D200" s="20"/>
      <c r="E200" s="20"/>
      <c r="F200" s="20"/>
      <c r="G200" s="20"/>
      <c r="H200" s="20"/>
    </row>
    <row r="201" spans="1:8" x14ac:dyDescent="0.2">
      <c r="C201" s="20" t="str">
        <f>IF(A201="","",1)</f>
        <v/>
      </c>
    </row>
  </sheetData>
  <mergeCells count="1">
    <mergeCell ref="A1:H1"/>
  </mergeCells>
  <pageMargins left="0.7" right="0.7" top="0.75" bottom="0.75" header="0.3" footer="0.3"/>
  <legacyDrawing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02550D-70C2-420C-8371-969638FDC15B}">
  <sheetPr codeName="Sheet27">
    <tabColor theme="6" tint="0.79998168889431442"/>
  </sheetPr>
  <dimension ref="A1:H50"/>
  <sheetViews>
    <sheetView workbookViewId="0">
      <selection activeCell="A3" sqref="A3"/>
    </sheetView>
  </sheetViews>
  <sheetFormatPr defaultRowHeight="12.75" x14ac:dyDescent="0.2"/>
  <cols>
    <col min="1" max="1" width="8.5703125" style="65" bestFit="1" customWidth="1"/>
    <col min="2" max="2" width="7.42578125" style="65" bestFit="1" customWidth="1"/>
    <col min="3" max="3" width="13.5703125" style="65" bestFit="1" customWidth="1"/>
    <col min="4" max="6" width="9" style="65" customWidth="1"/>
    <col min="7" max="7" width="10.5703125" style="65" bestFit="1" customWidth="1"/>
    <col min="8" max="16384" width="9.140625" style="65"/>
  </cols>
  <sheetData>
    <row r="1" spans="1:8" x14ac:dyDescent="0.2">
      <c r="A1" s="950" t="s">
        <v>1300</v>
      </c>
      <c r="B1" s="950"/>
      <c r="C1" s="950"/>
      <c r="D1" s="950"/>
      <c r="E1" s="950"/>
      <c r="F1" s="950"/>
      <c r="G1" s="950"/>
      <c r="H1" s="950"/>
    </row>
    <row r="2" spans="1:8" x14ac:dyDescent="0.2">
      <c r="A2" s="593" t="s">
        <v>638</v>
      </c>
      <c r="B2" s="593" t="s">
        <v>1276</v>
      </c>
      <c r="C2" s="613" t="s">
        <v>1246</v>
      </c>
      <c r="D2" s="582" t="s">
        <v>1028</v>
      </c>
      <c r="E2" s="582" t="s">
        <v>1029</v>
      </c>
      <c r="F2" s="582" t="s">
        <v>138</v>
      </c>
      <c r="G2" s="582" t="s">
        <v>1057</v>
      </c>
      <c r="H2" s="588" t="s">
        <v>1242</v>
      </c>
    </row>
    <row r="3" spans="1:8" x14ac:dyDescent="0.2">
      <c r="A3" s="20"/>
      <c r="B3" s="20"/>
      <c r="C3" s="20"/>
      <c r="D3" s="20"/>
      <c r="E3" s="20"/>
      <c r="F3" s="20"/>
      <c r="G3" s="20"/>
      <c r="H3" s="20"/>
    </row>
    <row r="4" spans="1:8" x14ac:dyDescent="0.2">
      <c r="A4" s="20"/>
      <c r="B4" s="20"/>
      <c r="C4" s="20"/>
      <c r="D4" s="20"/>
      <c r="E4" s="20"/>
      <c r="F4" s="20"/>
      <c r="G4" s="20"/>
      <c r="H4" s="20"/>
    </row>
    <row r="5" spans="1:8" x14ac:dyDescent="0.2">
      <c r="A5" s="20"/>
      <c r="B5" s="20"/>
      <c r="C5" s="20"/>
      <c r="D5" s="20"/>
      <c r="E5" s="20"/>
      <c r="F5" s="20"/>
      <c r="G5" s="20"/>
      <c r="H5" s="20"/>
    </row>
    <row r="6" spans="1:8" x14ac:dyDescent="0.2">
      <c r="A6" s="20"/>
      <c r="B6" s="20"/>
      <c r="C6" s="20"/>
      <c r="D6" s="20"/>
      <c r="E6" s="20"/>
      <c r="F6" s="20"/>
      <c r="G6" s="20"/>
      <c r="H6" s="20"/>
    </row>
    <row r="7" spans="1:8" x14ac:dyDescent="0.2">
      <c r="A7" s="20"/>
      <c r="B7" s="20"/>
      <c r="C7" s="20"/>
      <c r="D7" s="20"/>
      <c r="E7" s="20"/>
      <c r="F7" s="20"/>
      <c r="G7" s="20"/>
      <c r="H7" s="20"/>
    </row>
    <row r="8" spans="1:8" x14ac:dyDescent="0.2">
      <c r="A8" s="20"/>
      <c r="B8" s="20"/>
      <c r="C8" s="20"/>
      <c r="D8" s="20"/>
      <c r="E8" s="20"/>
      <c r="F8" s="20"/>
      <c r="G8" s="20"/>
      <c r="H8" s="20"/>
    </row>
    <row r="9" spans="1:8" x14ac:dyDescent="0.2">
      <c r="A9" s="20"/>
      <c r="B9" s="20"/>
      <c r="C9" s="20"/>
      <c r="D9" s="20"/>
      <c r="E9" s="20"/>
      <c r="F9" s="20"/>
      <c r="G9" s="20"/>
      <c r="H9" s="20"/>
    </row>
    <row r="10" spans="1:8" x14ac:dyDescent="0.2">
      <c r="A10" s="20"/>
      <c r="B10" s="20"/>
      <c r="C10" s="20"/>
      <c r="D10" s="20"/>
      <c r="E10" s="20"/>
      <c r="F10" s="20"/>
      <c r="G10" s="20"/>
      <c r="H10" s="20"/>
    </row>
    <row r="11" spans="1:8" x14ac:dyDescent="0.2">
      <c r="A11" s="20"/>
      <c r="B11" s="20"/>
      <c r="C11" s="20"/>
      <c r="D11" s="20"/>
      <c r="E11" s="20"/>
      <c r="F11" s="20"/>
      <c r="G11" s="20"/>
      <c r="H11" s="20"/>
    </row>
    <row r="12" spans="1:8" x14ac:dyDescent="0.2">
      <c r="A12" s="20"/>
      <c r="B12" s="20"/>
      <c r="C12" s="20"/>
      <c r="D12" s="20"/>
      <c r="E12" s="20"/>
      <c r="F12" s="20"/>
      <c r="G12" s="20"/>
      <c r="H12" s="20"/>
    </row>
    <row r="13" spans="1:8" x14ac:dyDescent="0.2">
      <c r="A13" s="20"/>
      <c r="B13" s="20"/>
      <c r="C13" s="20"/>
      <c r="D13" s="20"/>
      <c r="E13" s="20"/>
      <c r="F13" s="20"/>
      <c r="G13" s="20"/>
      <c r="H13" s="20"/>
    </row>
    <row r="14" spans="1:8" x14ac:dyDescent="0.2">
      <c r="A14" s="20"/>
      <c r="B14" s="20"/>
      <c r="C14" s="20"/>
      <c r="D14" s="20"/>
      <c r="E14" s="20"/>
      <c r="F14" s="20"/>
      <c r="G14" s="20"/>
      <c r="H14" s="20"/>
    </row>
    <row r="15" spans="1:8" x14ac:dyDescent="0.2">
      <c r="A15" s="20"/>
      <c r="B15" s="20"/>
      <c r="C15" s="20"/>
      <c r="D15" s="20"/>
      <c r="E15" s="20"/>
      <c r="F15" s="20"/>
      <c r="G15" s="20"/>
      <c r="H15" s="20"/>
    </row>
    <row r="16" spans="1:8" x14ac:dyDescent="0.2">
      <c r="A16" s="20"/>
      <c r="B16" s="20"/>
      <c r="C16" s="20"/>
      <c r="D16" s="20"/>
      <c r="E16" s="20"/>
      <c r="F16" s="20"/>
      <c r="G16" s="20"/>
      <c r="H16" s="20"/>
    </row>
    <row r="17" spans="1:8" x14ac:dyDescent="0.2">
      <c r="A17" s="20"/>
      <c r="B17" s="20"/>
      <c r="C17" s="20"/>
      <c r="D17" s="20"/>
      <c r="E17" s="20"/>
      <c r="F17" s="20"/>
      <c r="G17" s="20"/>
      <c r="H17" s="20"/>
    </row>
    <row r="18" spans="1:8" x14ac:dyDescent="0.2">
      <c r="A18" s="20"/>
      <c r="B18" s="20"/>
      <c r="C18" s="20"/>
      <c r="D18" s="20"/>
      <c r="E18" s="20"/>
      <c r="F18" s="20"/>
      <c r="G18" s="20"/>
      <c r="H18" s="20"/>
    </row>
    <row r="19" spans="1:8" x14ac:dyDescent="0.2">
      <c r="A19" s="20"/>
      <c r="B19" s="20"/>
      <c r="C19" s="20"/>
      <c r="D19" s="20"/>
      <c r="E19" s="20"/>
      <c r="F19" s="20"/>
      <c r="G19" s="20"/>
      <c r="H19" s="20"/>
    </row>
    <row r="20" spans="1:8" x14ac:dyDescent="0.2">
      <c r="A20" s="20"/>
      <c r="B20" s="20"/>
      <c r="C20" s="20"/>
      <c r="D20" s="20"/>
      <c r="E20" s="20"/>
      <c r="F20" s="20"/>
      <c r="G20" s="20"/>
      <c r="H20" s="20"/>
    </row>
    <row r="21" spans="1:8" x14ac:dyDescent="0.2">
      <c r="A21" s="20"/>
      <c r="B21" s="20"/>
      <c r="C21" s="20"/>
      <c r="D21" s="20"/>
      <c r="E21" s="20"/>
      <c r="F21" s="20"/>
      <c r="G21" s="20"/>
      <c r="H21" s="20"/>
    </row>
    <row r="22" spans="1:8" x14ac:dyDescent="0.2">
      <c r="A22" s="20"/>
      <c r="B22" s="20"/>
      <c r="C22" s="20"/>
      <c r="D22" s="20"/>
      <c r="E22" s="20"/>
      <c r="F22" s="20"/>
      <c r="G22" s="20"/>
      <c r="H22" s="20"/>
    </row>
    <row r="23" spans="1:8" x14ac:dyDescent="0.2">
      <c r="A23" s="20"/>
      <c r="B23" s="20"/>
      <c r="C23" s="20"/>
      <c r="D23" s="20"/>
      <c r="E23" s="20"/>
      <c r="F23" s="20"/>
      <c r="G23" s="20"/>
      <c r="H23" s="20"/>
    </row>
    <row r="24" spans="1:8" x14ac:dyDescent="0.2">
      <c r="A24" s="20"/>
      <c r="B24" s="20"/>
      <c r="C24" s="20"/>
      <c r="D24" s="20"/>
      <c r="E24" s="20"/>
      <c r="F24" s="20"/>
      <c r="G24" s="20"/>
      <c r="H24" s="20"/>
    </row>
    <row r="25" spans="1:8" x14ac:dyDescent="0.2">
      <c r="A25" s="20"/>
      <c r="B25" s="20"/>
      <c r="C25" s="20"/>
      <c r="D25" s="20"/>
      <c r="E25" s="20"/>
      <c r="F25" s="20"/>
      <c r="G25" s="20"/>
      <c r="H25" s="20"/>
    </row>
    <row r="26" spans="1:8" x14ac:dyDescent="0.2">
      <c r="A26" s="20"/>
      <c r="B26" s="20"/>
      <c r="C26" s="20"/>
      <c r="D26" s="20"/>
      <c r="E26" s="20"/>
      <c r="F26" s="20"/>
      <c r="G26" s="20"/>
      <c r="H26" s="20"/>
    </row>
    <row r="27" spans="1:8" x14ac:dyDescent="0.2">
      <c r="A27" s="20"/>
      <c r="B27" s="20"/>
      <c r="C27" s="20"/>
      <c r="D27" s="20"/>
      <c r="E27" s="20"/>
      <c r="F27" s="20"/>
      <c r="G27" s="20"/>
      <c r="H27" s="20"/>
    </row>
    <row r="28" spans="1:8" x14ac:dyDescent="0.2">
      <c r="A28" s="20"/>
      <c r="B28" s="20"/>
      <c r="C28" s="20"/>
      <c r="D28" s="20"/>
      <c r="E28" s="20"/>
      <c r="F28" s="20"/>
      <c r="G28" s="20"/>
      <c r="H28" s="20"/>
    </row>
    <row r="29" spans="1:8" x14ac:dyDescent="0.2">
      <c r="A29" s="20"/>
      <c r="B29" s="20"/>
      <c r="C29" s="20"/>
      <c r="D29" s="20"/>
      <c r="E29" s="20"/>
      <c r="F29" s="20"/>
      <c r="G29" s="20"/>
      <c r="H29" s="20"/>
    </row>
    <row r="30" spans="1:8" x14ac:dyDescent="0.2">
      <c r="A30" s="20"/>
      <c r="B30" s="20"/>
      <c r="C30" s="20"/>
      <c r="D30" s="20"/>
      <c r="E30" s="20"/>
      <c r="F30" s="20"/>
      <c r="G30" s="20"/>
      <c r="H30" s="20"/>
    </row>
    <row r="31" spans="1:8" x14ac:dyDescent="0.2">
      <c r="A31" s="20"/>
      <c r="B31" s="20"/>
      <c r="C31" s="20"/>
      <c r="D31" s="20"/>
      <c r="E31" s="20"/>
      <c r="F31" s="20"/>
      <c r="G31" s="20"/>
      <c r="H31" s="20"/>
    </row>
    <row r="32" spans="1:8" x14ac:dyDescent="0.2">
      <c r="A32" s="20"/>
      <c r="B32" s="20"/>
      <c r="C32" s="20"/>
      <c r="D32" s="20"/>
      <c r="E32" s="20"/>
      <c r="F32" s="20"/>
      <c r="G32" s="20"/>
      <c r="H32" s="20"/>
    </row>
    <row r="33" spans="1:8" x14ac:dyDescent="0.2">
      <c r="A33" s="20"/>
      <c r="B33" s="20"/>
      <c r="C33" s="20"/>
      <c r="D33" s="20"/>
      <c r="E33" s="20"/>
      <c r="F33" s="20"/>
      <c r="G33" s="20"/>
      <c r="H33" s="20"/>
    </row>
    <row r="34" spans="1:8" x14ac:dyDescent="0.2">
      <c r="A34" s="20"/>
      <c r="B34" s="20"/>
      <c r="C34" s="20"/>
      <c r="D34" s="20"/>
      <c r="E34" s="20"/>
      <c r="F34" s="20"/>
      <c r="G34" s="20"/>
      <c r="H34" s="20"/>
    </row>
    <row r="35" spans="1:8" x14ac:dyDescent="0.2">
      <c r="A35" s="20"/>
      <c r="B35" s="20"/>
      <c r="C35" s="20"/>
      <c r="D35" s="20"/>
      <c r="E35" s="20"/>
      <c r="F35" s="20"/>
      <c r="G35" s="20"/>
      <c r="H35" s="20"/>
    </row>
    <row r="36" spans="1:8" x14ac:dyDescent="0.2">
      <c r="A36" s="20"/>
      <c r="B36" s="20"/>
      <c r="C36" s="20"/>
      <c r="D36" s="20"/>
      <c r="E36" s="20"/>
      <c r="F36" s="20"/>
      <c r="G36" s="20"/>
      <c r="H36" s="20"/>
    </row>
    <row r="37" spans="1:8" x14ac:dyDescent="0.2">
      <c r="A37" s="20"/>
      <c r="B37" s="20"/>
      <c r="C37" s="20"/>
      <c r="D37" s="20"/>
      <c r="E37" s="20"/>
      <c r="F37" s="20"/>
      <c r="G37" s="20"/>
      <c r="H37" s="20"/>
    </row>
    <row r="38" spans="1:8" x14ac:dyDescent="0.2">
      <c r="A38" s="20"/>
      <c r="B38" s="20"/>
      <c r="C38" s="20"/>
      <c r="D38" s="20"/>
      <c r="E38" s="20"/>
      <c r="F38" s="20"/>
      <c r="G38" s="20"/>
      <c r="H38" s="20"/>
    </row>
    <row r="39" spans="1:8" x14ac:dyDescent="0.2">
      <c r="A39" s="20"/>
      <c r="B39" s="20"/>
      <c r="C39" s="20"/>
      <c r="D39" s="20"/>
      <c r="E39" s="20"/>
      <c r="F39" s="20"/>
      <c r="G39" s="20"/>
      <c r="H39" s="20"/>
    </row>
    <row r="40" spans="1:8" x14ac:dyDescent="0.2">
      <c r="A40" s="20"/>
      <c r="B40" s="20"/>
      <c r="C40" s="20"/>
      <c r="D40" s="20"/>
      <c r="E40" s="20"/>
      <c r="F40" s="20"/>
      <c r="G40" s="20"/>
      <c r="H40" s="20"/>
    </row>
    <row r="41" spans="1:8" x14ac:dyDescent="0.2">
      <c r="A41" s="20"/>
      <c r="B41" s="20"/>
      <c r="C41" s="20"/>
      <c r="D41" s="20"/>
      <c r="E41" s="20"/>
      <c r="F41" s="20"/>
      <c r="G41" s="20"/>
      <c r="H41" s="20"/>
    </row>
    <row r="42" spans="1:8" x14ac:dyDescent="0.2">
      <c r="A42" s="20"/>
      <c r="B42" s="20"/>
      <c r="C42" s="20"/>
      <c r="D42" s="20"/>
      <c r="E42" s="20"/>
      <c r="F42" s="20"/>
      <c r="G42" s="20"/>
      <c r="H42" s="20"/>
    </row>
    <row r="43" spans="1:8" x14ac:dyDescent="0.2">
      <c r="A43" s="20"/>
      <c r="B43" s="20"/>
      <c r="C43" s="20"/>
      <c r="D43" s="20"/>
      <c r="E43" s="20"/>
      <c r="F43" s="20"/>
      <c r="G43" s="20"/>
      <c r="H43" s="20"/>
    </row>
    <row r="44" spans="1:8" x14ac:dyDescent="0.2">
      <c r="A44" s="20"/>
      <c r="B44" s="20"/>
      <c r="C44" s="20"/>
      <c r="D44" s="20"/>
      <c r="E44" s="20"/>
      <c r="F44" s="20"/>
      <c r="G44" s="20"/>
      <c r="H44" s="20"/>
    </row>
    <row r="45" spans="1:8" x14ac:dyDescent="0.2">
      <c r="A45" s="20"/>
      <c r="B45" s="20"/>
      <c r="C45" s="20"/>
      <c r="D45" s="20"/>
      <c r="E45" s="20"/>
      <c r="F45" s="20"/>
      <c r="G45" s="20"/>
      <c r="H45" s="20"/>
    </row>
    <row r="46" spans="1:8" x14ac:dyDescent="0.2">
      <c r="A46" s="20"/>
      <c r="B46" s="20"/>
      <c r="C46" s="20"/>
      <c r="D46" s="20"/>
      <c r="E46" s="20"/>
      <c r="F46" s="20"/>
      <c r="G46" s="20"/>
      <c r="H46" s="20"/>
    </row>
    <row r="47" spans="1:8" x14ac:dyDescent="0.2">
      <c r="A47" s="20"/>
      <c r="B47" s="20"/>
      <c r="C47" s="20"/>
      <c r="D47" s="20"/>
      <c r="E47" s="20"/>
      <c r="F47" s="20"/>
      <c r="G47" s="20"/>
      <c r="H47" s="20"/>
    </row>
    <row r="48" spans="1:8" x14ac:dyDescent="0.2">
      <c r="A48" s="20"/>
      <c r="B48" s="20"/>
      <c r="C48" s="20"/>
      <c r="D48" s="20"/>
      <c r="E48" s="20"/>
      <c r="F48" s="20"/>
      <c r="G48" s="20"/>
      <c r="H48" s="20"/>
    </row>
    <row r="49" spans="1:8" x14ac:dyDescent="0.2">
      <c r="A49" s="20"/>
      <c r="B49" s="20"/>
      <c r="C49" s="20"/>
      <c r="D49" s="20"/>
      <c r="E49" s="20"/>
      <c r="F49" s="20"/>
      <c r="G49" s="20"/>
      <c r="H49" s="20"/>
    </row>
    <row r="50" spans="1:8" x14ac:dyDescent="0.2">
      <c r="A50" s="20"/>
      <c r="B50" s="20"/>
      <c r="C50" s="20"/>
      <c r="D50" s="20"/>
      <c r="E50" s="20"/>
      <c r="F50" s="20"/>
      <c r="G50" s="20"/>
      <c r="H50" s="20"/>
    </row>
  </sheetData>
  <mergeCells count="1">
    <mergeCell ref="A1:H1"/>
  </mergeCells>
  <pageMargins left="0.7" right="0.7" top="0.75" bottom="0.75" header="0.3" footer="0.3"/>
  <legacyDrawing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DC908-C6CF-44F1-9209-A76A961CEEB9}">
  <sheetPr codeName="Sheet26">
    <tabColor theme="6" tint="0.79998168889431442"/>
  </sheetPr>
  <dimension ref="A1:H201"/>
  <sheetViews>
    <sheetView workbookViewId="0">
      <selection activeCell="A3" sqref="A3"/>
    </sheetView>
  </sheetViews>
  <sheetFormatPr defaultRowHeight="12.75" x14ac:dyDescent="0.2"/>
  <cols>
    <col min="1" max="2" width="8.85546875" style="65" customWidth="1"/>
    <col min="3" max="3" width="13.5703125" style="65" bestFit="1" customWidth="1"/>
    <col min="4" max="4" width="18.85546875" style="65" bestFit="1" customWidth="1"/>
    <col min="5" max="5" width="8.5703125" style="65" bestFit="1" customWidth="1"/>
    <col min="6" max="6" width="15.42578125" style="65" bestFit="1" customWidth="1"/>
    <col min="7" max="7" width="7.7109375" style="65" bestFit="1" customWidth="1"/>
    <col min="8" max="16384" width="9.140625" style="65"/>
  </cols>
  <sheetData>
    <row r="1" spans="1:8" x14ac:dyDescent="0.2">
      <c r="A1" s="952" t="s">
        <v>1301</v>
      </c>
      <c r="B1" s="952"/>
      <c r="C1" s="952"/>
      <c r="D1" s="952"/>
      <c r="E1" s="952"/>
      <c r="F1" s="952"/>
      <c r="G1" s="952"/>
      <c r="H1" s="952"/>
    </row>
    <row r="2" spans="1:8" x14ac:dyDescent="0.2">
      <c r="A2" s="593" t="s">
        <v>638</v>
      </c>
      <c r="B2" s="593" t="s">
        <v>1245</v>
      </c>
      <c r="C2" s="613" t="s">
        <v>1246</v>
      </c>
      <c r="D2" s="613" t="s">
        <v>1284</v>
      </c>
      <c r="E2" s="582" t="s">
        <v>1055</v>
      </c>
      <c r="F2" s="582" t="s">
        <v>1056</v>
      </c>
      <c r="G2" s="582" t="s">
        <v>23</v>
      </c>
      <c r="H2" s="588" t="s">
        <v>1207</v>
      </c>
    </row>
    <row r="3" spans="1:8" x14ac:dyDescent="0.2">
      <c r="A3" s="20"/>
      <c r="B3" s="20"/>
      <c r="C3" s="20"/>
      <c r="D3" s="20"/>
      <c r="E3" s="20"/>
      <c r="F3" s="20"/>
      <c r="G3" s="20"/>
      <c r="H3" s="20"/>
    </row>
    <row r="4" spans="1:8" x14ac:dyDescent="0.2">
      <c r="A4" s="20"/>
      <c r="B4" s="20"/>
      <c r="C4" s="20"/>
      <c r="D4" s="20"/>
      <c r="E4" s="20"/>
      <c r="F4" s="20"/>
      <c r="G4" s="20"/>
      <c r="H4" s="20"/>
    </row>
    <row r="5" spans="1:8" x14ac:dyDescent="0.2">
      <c r="A5" s="20"/>
      <c r="B5" s="20"/>
      <c r="C5" s="20"/>
      <c r="D5" s="20"/>
      <c r="E5" s="20"/>
      <c r="F5" s="20"/>
      <c r="G5" s="20"/>
      <c r="H5" s="20"/>
    </row>
    <row r="6" spans="1:8" x14ac:dyDescent="0.2">
      <c r="A6" s="20"/>
      <c r="B6" s="20"/>
      <c r="C6" s="20"/>
      <c r="D6" s="20"/>
      <c r="E6" s="20"/>
      <c r="F6" s="20"/>
      <c r="G6" s="20"/>
      <c r="H6" s="20"/>
    </row>
    <row r="7" spans="1:8" x14ac:dyDescent="0.2">
      <c r="A7" s="20"/>
      <c r="B7" s="20"/>
      <c r="C7" s="20"/>
      <c r="D7" s="20"/>
      <c r="E7" s="20"/>
      <c r="F7" s="20"/>
      <c r="G7" s="20"/>
      <c r="H7" s="20"/>
    </row>
    <row r="8" spans="1:8" x14ac:dyDescent="0.2">
      <c r="A8" s="20"/>
      <c r="B8" s="20"/>
      <c r="C8" s="20"/>
      <c r="D8" s="20"/>
      <c r="E8" s="20"/>
      <c r="F8" s="20"/>
      <c r="G8" s="20"/>
      <c r="H8" s="20"/>
    </row>
    <row r="9" spans="1:8" x14ac:dyDescent="0.2">
      <c r="A9" s="20"/>
      <c r="B9" s="20"/>
      <c r="C9" s="20"/>
      <c r="D9" s="20"/>
      <c r="E9" s="20"/>
      <c r="F9" s="20"/>
      <c r="G9" s="20"/>
      <c r="H9" s="20"/>
    </row>
    <row r="10" spans="1:8" x14ac:dyDescent="0.2">
      <c r="A10" s="20"/>
      <c r="B10" s="20"/>
      <c r="C10" s="20"/>
      <c r="D10" s="20"/>
      <c r="E10" s="20"/>
      <c r="F10" s="20"/>
      <c r="G10" s="20"/>
      <c r="H10" s="20"/>
    </row>
    <row r="11" spans="1:8" x14ac:dyDescent="0.2">
      <c r="A11" s="20"/>
      <c r="B11" s="20"/>
      <c r="C11" s="20"/>
      <c r="D11" s="20"/>
      <c r="E11" s="20"/>
      <c r="F11" s="20"/>
      <c r="G11" s="20"/>
      <c r="H11" s="20"/>
    </row>
    <row r="12" spans="1:8" x14ac:dyDescent="0.2">
      <c r="A12" s="20"/>
      <c r="B12" s="20"/>
      <c r="C12" s="20"/>
      <c r="D12" s="20"/>
      <c r="E12" s="20"/>
      <c r="F12" s="20"/>
      <c r="G12" s="20"/>
      <c r="H12" s="20"/>
    </row>
    <row r="13" spans="1:8" x14ac:dyDescent="0.2">
      <c r="A13" s="20"/>
      <c r="B13" s="20"/>
      <c r="C13" s="20"/>
      <c r="D13" s="20"/>
      <c r="E13" s="20"/>
      <c r="F13" s="20"/>
      <c r="G13" s="20"/>
      <c r="H13" s="20"/>
    </row>
    <row r="14" spans="1:8" x14ac:dyDescent="0.2">
      <c r="A14" s="20"/>
      <c r="B14" s="20"/>
      <c r="C14" s="20"/>
      <c r="D14" s="20"/>
      <c r="E14" s="20"/>
      <c r="F14" s="20"/>
      <c r="G14" s="20"/>
      <c r="H14" s="20"/>
    </row>
    <row r="15" spans="1:8" x14ac:dyDescent="0.2">
      <c r="A15" s="20"/>
      <c r="B15" s="20"/>
      <c r="C15" s="20"/>
      <c r="D15" s="20"/>
      <c r="E15" s="20"/>
      <c r="F15" s="20"/>
      <c r="G15" s="20"/>
      <c r="H15" s="20"/>
    </row>
    <row r="16" spans="1:8" x14ac:dyDescent="0.2">
      <c r="A16" s="20"/>
      <c r="B16" s="20"/>
      <c r="C16" s="20"/>
      <c r="D16" s="20"/>
      <c r="E16" s="20"/>
      <c r="F16" s="20"/>
      <c r="G16" s="20"/>
      <c r="H16" s="20"/>
    </row>
    <row r="17" spans="1:8" x14ac:dyDescent="0.2">
      <c r="A17" s="20"/>
      <c r="B17" s="20"/>
      <c r="C17" s="20"/>
      <c r="D17" s="20"/>
      <c r="E17" s="20"/>
      <c r="F17" s="20"/>
      <c r="G17" s="20"/>
      <c r="H17" s="20"/>
    </row>
    <row r="18" spans="1:8" x14ac:dyDescent="0.2">
      <c r="A18" s="20"/>
      <c r="B18" s="20"/>
      <c r="C18" s="20"/>
      <c r="D18" s="20"/>
      <c r="E18" s="20"/>
      <c r="F18" s="20"/>
      <c r="G18" s="20"/>
      <c r="H18" s="20"/>
    </row>
    <row r="19" spans="1:8" x14ac:dyDescent="0.2">
      <c r="A19" s="20"/>
      <c r="B19" s="20"/>
      <c r="C19" s="20"/>
      <c r="D19" s="20"/>
      <c r="E19" s="20"/>
      <c r="F19" s="20"/>
      <c r="G19" s="20"/>
      <c r="H19" s="20"/>
    </row>
    <row r="20" spans="1:8" x14ac:dyDescent="0.2">
      <c r="A20" s="20"/>
      <c r="B20" s="20"/>
      <c r="C20" s="20"/>
      <c r="D20" s="20"/>
      <c r="E20" s="20"/>
      <c r="F20" s="20"/>
      <c r="G20" s="20"/>
      <c r="H20" s="20"/>
    </row>
    <row r="21" spans="1:8" x14ac:dyDescent="0.2">
      <c r="A21" s="20"/>
      <c r="B21" s="20"/>
      <c r="C21" s="20"/>
      <c r="D21" s="20"/>
      <c r="E21" s="20"/>
      <c r="F21" s="20"/>
      <c r="G21" s="20"/>
      <c r="H21" s="20"/>
    </row>
    <row r="22" spans="1:8" x14ac:dyDescent="0.2">
      <c r="A22" s="20"/>
      <c r="B22" s="20"/>
      <c r="C22" s="20"/>
      <c r="D22" s="20"/>
      <c r="E22" s="20"/>
      <c r="F22" s="20"/>
      <c r="G22" s="20"/>
      <c r="H22" s="20"/>
    </row>
    <row r="23" spans="1:8" x14ac:dyDescent="0.2">
      <c r="A23" s="20"/>
      <c r="B23" s="20"/>
      <c r="C23" s="20"/>
      <c r="D23" s="20"/>
      <c r="E23" s="20"/>
      <c r="F23" s="20"/>
      <c r="G23" s="20"/>
      <c r="H23" s="20"/>
    </row>
    <row r="24" spans="1:8" x14ac:dyDescent="0.2">
      <c r="A24" s="20"/>
      <c r="B24" s="20"/>
      <c r="C24" s="20"/>
      <c r="D24" s="20"/>
      <c r="E24" s="20"/>
      <c r="F24" s="20"/>
      <c r="G24" s="20"/>
      <c r="H24" s="20"/>
    </row>
    <row r="25" spans="1:8" x14ac:dyDescent="0.2">
      <c r="A25" s="20"/>
      <c r="B25" s="20"/>
      <c r="C25" s="20"/>
      <c r="D25" s="20"/>
      <c r="E25" s="20"/>
      <c r="F25" s="20"/>
      <c r="G25" s="20"/>
      <c r="H25" s="20"/>
    </row>
    <row r="26" spans="1:8" x14ac:dyDescent="0.2">
      <c r="A26" s="20"/>
      <c r="B26" s="20"/>
      <c r="C26" s="20"/>
      <c r="D26" s="20"/>
      <c r="E26" s="20"/>
      <c r="F26" s="20"/>
      <c r="G26" s="20"/>
      <c r="H26" s="20"/>
    </row>
    <row r="27" spans="1:8" x14ac:dyDescent="0.2">
      <c r="A27" s="20"/>
      <c r="B27" s="20"/>
      <c r="C27" s="20"/>
      <c r="D27" s="20"/>
      <c r="E27" s="20"/>
      <c r="F27" s="20"/>
      <c r="G27" s="20"/>
      <c r="H27" s="20"/>
    </row>
    <row r="28" spans="1:8" x14ac:dyDescent="0.2">
      <c r="A28" s="20"/>
      <c r="B28" s="20"/>
      <c r="C28" s="20"/>
      <c r="D28" s="20"/>
      <c r="E28" s="20"/>
      <c r="F28" s="20"/>
      <c r="G28" s="20"/>
      <c r="H28" s="20"/>
    </row>
    <row r="29" spans="1:8" x14ac:dyDescent="0.2">
      <c r="A29" s="20"/>
      <c r="B29" s="20"/>
      <c r="C29" s="20"/>
      <c r="D29" s="20"/>
      <c r="E29" s="20"/>
      <c r="F29" s="20"/>
      <c r="G29" s="20"/>
      <c r="H29" s="20"/>
    </row>
    <row r="30" spans="1:8" x14ac:dyDescent="0.2">
      <c r="A30" s="20"/>
      <c r="B30" s="20"/>
      <c r="C30" s="20"/>
      <c r="D30" s="20"/>
      <c r="E30" s="20"/>
      <c r="F30" s="20"/>
      <c r="G30" s="20"/>
      <c r="H30" s="20"/>
    </row>
    <row r="31" spans="1:8" x14ac:dyDescent="0.2">
      <c r="A31" s="20"/>
      <c r="B31" s="20"/>
      <c r="C31" s="20"/>
      <c r="D31" s="20"/>
      <c r="E31" s="20"/>
      <c r="F31" s="20"/>
      <c r="G31" s="20"/>
      <c r="H31" s="20"/>
    </row>
    <row r="32" spans="1:8" x14ac:dyDescent="0.2">
      <c r="A32" s="20"/>
      <c r="B32" s="20"/>
      <c r="C32" s="20"/>
      <c r="D32" s="20"/>
      <c r="E32" s="20"/>
      <c r="F32" s="20"/>
      <c r="G32" s="20"/>
      <c r="H32" s="20"/>
    </row>
    <row r="33" spans="1:8" x14ac:dyDescent="0.2">
      <c r="A33" s="20"/>
      <c r="B33" s="20"/>
      <c r="C33" s="20"/>
      <c r="D33" s="20"/>
      <c r="E33" s="20"/>
      <c r="F33" s="20"/>
      <c r="G33" s="20"/>
      <c r="H33" s="20"/>
    </row>
    <row r="34" spans="1:8" x14ac:dyDescent="0.2">
      <c r="A34" s="20"/>
      <c r="B34" s="20"/>
      <c r="C34" s="20"/>
      <c r="D34" s="20"/>
      <c r="E34" s="20"/>
      <c r="F34" s="20"/>
      <c r="G34" s="20"/>
      <c r="H34" s="20"/>
    </row>
    <row r="35" spans="1:8" x14ac:dyDescent="0.2">
      <c r="A35" s="20"/>
      <c r="B35" s="20"/>
      <c r="C35" s="20"/>
      <c r="D35" s="20"/>
      <c r="E35" s="20"/>
      <c r="F35" s="20"/>
      <c r="G35" s="20"/>
      <c r="H35" s="20"/>
    </row>
    <row r="36" spans="1:8" x14ac:dyDescent="0.2">
      <c r="A36" s="20"/>
      <c r="B36" s="20"/>
      <c r="C36" s="20"/>
      <c r="D36" s="20"/>
      <c r="E36" s="20"/>
      <c r="F36" s="20"/>
      <c r="G36" s="20"/>
      <c r="H36" s="20"/>
    </row>
    <row r="37" spans="1:8" x14ac:dyDescent="0.2">
      <c r="A37" s="20"/>
      <c r="B37" s="20"/>
      <c r="C37" s="20"/>
      <c r="D37" s="20"/>
      <c r="E37" s="20"/>
      <c r="F37" s="20"/>
      <c r="G37" s="20"/>
      <c r="H37" s="20"/>
    </row>
    <row r="38" spans="1:8" x14ac:dyDescent="0.2">
      <c r="A38" s="20"/>
      <c r="B38" s="20"/>
      <c r="C38" s="20"/>
      <c r="D38" s="20"/>
      <c r="E38" s="20"/>
      <c r="F38" s="20"/>
      <c r="G38" s="20"/>
      <c r="H38" s="20"/>
    </row>
    <row r="39" spans="1:8" x14ac:dyDescent="0.2">
      <c r="A39" s="20"/>
      <c r="B39" s="20"/>
      <c r="C39" s="20"/>
      <c r="D39" s="20"/>
      <c r="E39" s="20"/>
      <c r="F39" s="20"/>
      <c r="G39" s="20"/>
      <c r="H39" s="20"/>
    </row>
    <row r="40" spans="1:8" x14ac:dyDescent="0.2">
      <c r="A40" s="20"/>
      <c r="B40" s="20"/>
      <c r="C40" s="20"/>
      <c r="D40" s="20"/>
      <c r="E40" s="20"/>
      <c r="F40" s="20"/>
      <c r="G40" s="20"/>
      <c r="H40" s="20"/>
    </row>
    <row r="41" spans="1:8" x14ac:dyDescent="0.2">
      <c r="A41" s="20"/>
      <c r="B41" s="20"/>
      <c r="C41" s="20"/>
      <c r="D41" s="20"/>
      <c r="E41" s="20"/>
      <c r="F41" s="20"/>
      <c r="G41" s="20"/>
      <c r="H41" s="20"/>
    </row>
    <row r="42" spans="1:8" x14ac:dyDescent="0.2">
      <c r="A42" s="20"/>
      <c r="B42" s="20"/>
      <c r="C42" s="20"/>
      <c r="D42" s="20"/>
      <c r="E42" s="20"/>
      <c r="F42" s="20"/>
      <c r="G42" s="20"/>
      <c r="H42" s="20"/>
    </row>
    <row r="43" spans="1:8" x14ac:dyDescent="0.2">
      <c r="A43" s="20"/>
      <c r="B43" s="20"/>
      <c r="C43" s="20"/>
      <c r="D43" s="20"/>
      <c r="E43" s="20"/>
      <c r="F43" s="20"/>
      <c r="G43" s="20"/>
      <c r="H43" s="20"/>
    </row>
    <row r="44" spans="1:8" x14ac:dyDescent="0.2">
      <c r="A44" s="20"/>
      <c r="B44" s="20"/>
      <c r="C44" s="20"/>
      <c r="D44" s="20"/>
      <c r="E44" s="20"/>
      <c r="F44" s="20"/>
      <c r="G44" s="20"/>
      <c r="H44" s="20"/>
    </row>
    <row r="45" spans="1:8" x14ac:dyDescent="0.2">
      <c r="A45" s="20"/>
      <c r="B45" s="20"/>
      <c r="C45" s="20"/>
      <c r="D45" s="20"/>
      <c r="E45" s="20"/>
      <c r="F45" s="20"/>
      <c r="G45" s="20"/>
      <c r="H45" s="20"/>
    </row>
    <row r="46" spans="1:8" x14ac:dyDescent="0.2">
      <c r="A46" s="20"/>
      <c r="B46" s="20"/>
      <c r="C46" s="20"/>
      <c r="D46" s="20"/>
      <c r="E46" s="20"/>
      <c r="F46" s="20"/>
      <c r="G46" s="20"/>
      <c r="H46" s="20"/>
    </row>
    <row r="47" spans="1:8" x14ac:dyDescent="0.2">
      <c r="A47" s="20"/>
      <c r="B47" s="20"/>
      <c r="C47" s="20"/>
      <c r="D47" s="20"/>
      <c r="E47" s="20"/>
      <c r="F47" s="20"/>
      <c r="G47" s="20"/>
      <c r="H47" s="20"/>
    </row>
    <row r="48" spans="1:8" x14ac:dyDescent="0.2">
      <c r="A48" s="20"/>
      <c r="B48" s="20"/>
      <c r="C48" s="20"/>
      <c r="D48" s="20"/>
      <c r="E48" s="20"/>
      <c r="F48" s="20"/>
      <c r="G48" s="20"/>
      <c r="H48" s="20"/>
    </row>
    <row r="49" spans="1:8" x14ac:dyDescent="0.2">
      <c r="A49" s="20"/>
      <c r="B49" s="20"/>
      <c r="C49" s="20"/>
      <c r="D49" s="20"/>
      <c r="E49" s="20"/>
      <c r="F49" s="20"/>
      <c r="G49" s="20"/>
      <c r="H49" s="20"/>
    </row>
    <row r="50" spans="1:8" x14ac:dyDescent="0.2">
      <c r="A50" s="20"/>
      <c r="B50" s="20"/>
      <c r="C50" s="20"/>
      <c r="D50" s="20"/>
      <c r="E50" s="20"/>
      <c r="F50" s="20"/>
      <c r="G50" s="20"/>
      <c r="H50" s="20"/>
    </row>
    <row r="51" spans="1:8" x14ac:dyDescent="0.2">
      <c r="A51" s="20"/>
      <c r="B51" s="20"/>
      <c r="C51" s="20"/>
      <c r="D51" s="20"/>
      <c r="E51" s="20"/>
      <c r="F51" s="20"/>
      <c r="G51" s="20"/>
      <c r="H51" s="20"/>
    </row>
    <row r="52" spans="1:8" x14ac:dyDescent="0.2">
      <c r="A52" s="20"/>
      <c r="B52" s="20"/>
      <c r="C52" s="20"/>
      <c r="D52" s="20"/>
      <c r="E52" s="20"/>
      <c r="F52" s="20"/>
      <c r="G52" s="20"/>
      <c r="H52" s="20"/>
    </row>
    <row r="53" spans="1:8" x14ac:dyDescent="0.2">
      <c r="A53" s="20"/>
      <c r="B53" s="20"/>
      <c r="C53" s="20"/>
      <c r="D53" s="20"/>
      <c r="E53" s="20"/>
      <c r="F53" s="20"/>
      <c r="G53" s="20"/>
      <c r="H53" s="20"/>
    </row>
    <row r="54" spans="1:8" x14ac:dyDescent="0.2">
      <c r="A54" s="20"/>
      <c r="B54" s="20"/>
      <c r="C54" s="20"/>
      <c r="D54" s="20"/>
      <c r="E54" s="20"/>
      <c r="F54" s="20"/>
      <c r="G54" s="20"/>
      <c r="H54" s="20"/>
    </row>
    <row r="55" spans="1:8" x14ac:dyDescent="0.2">
      <c r="A55" s="20"/>
      <c r="B55" s="20"/>
      <c r="C55" s="20"/>
      <c r="D55" s="20"/>
      <c r="E55" s="20"/>
      <c r="F55" s="20"/>
      <c r="G55" s="20"/>
      <c r="H55" s="20"/>
    </row>
    <row r="56" spans="1:8" x14ac:dyDescent="0.2">
      <c r="A56" s="20"/>
      <c r="B56" s="20"/>
      <c r="C56" s="20"/>
      <c r="D56" s="20"/>
      <c r="E56" s="20"/>
      <c r="F56" s="20"/>
      <c r="G56" s="20"/>
      <c r="H56" s="20"/>
    </row>
    <row r="57" spans="1:8" x14ac:dyDescent="0.2">
      <c r="A57" s="20"/>
      <c r="B57" s="20"/>
      <c r="C57" s="20"/>
      <c r="D57" s="20"/>
      <c r="E57" s="20"/>
      <c r="F57" s="20"/>
      <c r="G57" s="20"/>
      <c r="H57" s="20"/>
    </row>
    <row r="58" spans="1:8" x14ac:dyDescent="0.2">
      <c r="A58" s="20"/>
      <c r="B58" s="20"/>
      <c r="C58" s="20"/>
      <c r="D58" s="20"/>
      <c r="E58" s="20"/>
      <c r="F58" s="20"/>
      <c r="G58" s="20"/>
      <c r="H58" s="20"/>
    </row>
    <row r="59" spans="1:8" x14ac:dyDescent="0.2">
      <c r="A59" s="20"/>
      <c r="B59" s="20"/>
      <c r="C59" s="20"/>
      <c r="D59" s="20"/>
      <c r="E59" s="20"/>
      <c r="F59" s="20"/>
      <c r="G59" s="20"/>
      <c r="H59" s="20"/>
    </row>
    <row r="60" spans="1:8" x14ac:dyDescent="0.2">
      <c r="A60" s="20"/>
      <c r="B60" s="20"/>
      <c r="C60" s="20"/>
      <c r="D60" s="20"/>
      <c r="E60" s="20"/>
      <c r="F60" s="20"/>
      <c r="G60" s="20"/>
      <c r="H60" s="20"/>
    </row>
    <row r="61" spans="1:8" x14ac:dyDescent="0.2">
      <c r="A61" s="20"/>
      <c r="B61" s="20"/>
      <c r="C61" s="20"/>
      <c r="D61" s="20"/>
      <c r="E61" s="20"/>
      <c r="F61" s="20"/>
      <c r="G61" s="20"/>
      <c r="H61" s="20"/>
    </row>
    <row r="62" spans="1:8" x14ac:dyDescent="0.2">
      <c r="A62" s="20"/>
      <c r="B62" s="20"/>
      <c r="C62" s="20"/>
      <c r="D62" s="20"/>
      <c r="E62" s="20"/>
      <c r="F62" s="20"/>
      <c r="G62" s="20"/>
      <c r="H62" s="20"/>
    </row>
    <row r="63" spans="1:8" x14ac:dyDescent="0.2">
      <c r="A63" s="20"/>
      <c r="B63" s="20"/>
      <c r="C63" s="20"/>
      <c r="D63" s="20"/>
      <c r="E63" s="20"/>
      <c r="F63" s="20"/>
      <c r="G63" s="20"/>
      <c r="H63" s="20"/>
    </row>
    <row r="64" spans="1:8" x14ac:dyDescent="0.2">
      <c r="A64" s="20"/>
      <c r="B64" s="20"/>
      <c r="C64" s="20"/>
      <c r="D64" s="20"/>
      <c r="E64" s="20"/>
      <c r="F64" s="20"/>
      <c r="G64" s="20"/>
      <c r="H64" s="20"/>
    </row>
    <row r="65" spans="1:8" x14ac:dyDescent="0.2">
      <c r="A65" s="20"/>
      <c r="B65" s="20"/>
      <c r="C65" s="20"/>
      <c r="D65" s="20"/>
      <c r="E65" s="20"/>
      <c r="F65" s="20"/>
      <c r="G65" s="20"/>
      <c r="H65" s="20"/>
    </row>
    <row r="66" spans="1:8" x14ac:dyDescent="0.2">
      <c r="A66" s="20"/>
      <c r="B66" s="20"/>
      <c r="C66" s="20"/>
      <c r="D66" s="20"/>
      <c r="E66" s="20"/>
      <c r="F66" s="20"/>
      <c r="G66" s="20"/>
      <c r="H66" s="20"/>
    </row>
    <row r="67" spans="1:8" x14ac:dyDescent="0.2">
      <c r="A67" s="20"/>
      <c r="B67" s="20"/>
      <c r="C67" s="20"/>
      <c r="D67" s="20"/>
      <c r="E67" s="20"/>
      <c r="F67" s="20"/>
      <c r="G67" s="20"/>
      <c r="H67" s="20"/>
    </row>
    <row r="68" spans="1:8" x14ac:dyDescent="0.2">
      <c r="A68" s="20"/>
      <c r="B68" s="20"/>
      <c r="C68" s="20"/>
      <c r="D68" s="20"/>
      <c r="E68" s="20"/>
      <c r="F68" s="20"/>
      <c r="G68" s="20"/>
      <c r="H68" s="20"/>
    </row>
    <row r="69" spans="1:8" x14ac:dyDescent="0.2">
      <c r="A69" s="20"/>
      <c r="B69" s="20"/>
      <c r="C69" s="20"/>
      <c r="D69" s="20"/>
      <c r="E69" s="20"/>
      <c r="F69" s="20"/>
      <c r="G69" s="20"/>
      <c r="H69" s="20"/>
    </row>
    <row r="70" spans="1:8" x14ac:dyDescent="0.2">
      <c r="A70" s="20"/>
      <c r="B70" s="20"/>
      <c r="C70" s="20"/>
      <c r="D70" s="20"/>
      <c r="E70" s="20"/>
      <c r="F70" s="20"/>
      <c r="G70" s="20"/>
      <c r="H70" s="20"/>
    </row>
    <row r="71" spans="1:8" x14ac:dyDescent="0.2">
      <c r="A71" s="20"/>
      <c r="B71" s="20"/>
      <c r="C71" s="20"/>
      <c r="D71" s="20"/>
      <c r="E71" s="20"/>
      <c r="F71" s="20"/>
      <c r="G71" s="20"/>
      <c r="H71" s="20"/>
    </row>
    <row r="72" spans="1:8" x14ac:dyDescent="0.2">
      <c r="A72" s="20"/>
      <c r="B72" s="20"/>
      <c r="C72" s="20"/>
      <c r="D72" s="20"/>
      <c r="E72" s="20"/>
      <c r="F72" s="20"/>
      <c r="G72" s="20"/>
      <c r="H72" s="20"/>
    </row>
    <row r="73" spans="1:8" x14ac:dyDescent="0.2">
      <c r="A73" s="20"/>
      <c r="B73" s="20"/>
      <c r="C73" s="20"/>
      <c r="D73" s="20"/>
      <c r="E73" s="20"/>
      <c r="F73" s="20"/>
      <c r="G73" s="20"/>
      <c r="H73" s="20"/>
    </row>
    <row r="74" spans="1:8" x14ac:dyDescent="0.2">
      <c r="A74" s="20"/>
      <c r="B74" s="20"/>
      <c r="C74" s="20"/>
      <c r="D74" s="20"/>
      <c r="E74" s="20"/>
      <c r="F74" s="20"/>
      <c r="G74" s="20"/>
      <c r="H74" s="20"/>
    </row>
    <row r="75" spans="1:8" x14ac:dyDescent="0.2">
      <c r="A75" s="20"/>
      <c r="B75" s="20"/>
      <c r="C75" s="20"/>
      <c r="D75" s="20"/>
      <c r="E75" s="20"/>
      <c r="F75" s="20"/>
      <c r="G75" s="20"/>
      <c r="H75" s="20"/>
    </row>
    <row r="76" spans="1:8" x14ac:dyDescent="0.2">
      <c r="A76" s="20"/>
      <c r="B76" s="20"/>
      <c r="C76" s="20"/>
      <c r="D76" s="20"/>
      <c r="E76" s="20"/>
      <c r="F76" s="20"/>
      <c r="G76" s="20"/>
      <c r="H76" s="20"/>
    </row>
    <row r="77" spans="1:8" x14ac:dyDescent="0.2">
      <c r="A77" s="20"/>
      <c r="B77" s="20"/>
      <c r="C77" s="20"/>
      <c r="D77" s="20"/>
      <c r="E77" s="20"/>
      <c r="F77" s="20"/>
      <c r="G77" s="20"/>
      <c r="H77" s="20"/>
    </row>
    <row r="78" spans="1:8" x14ac:dyDescent="0.2">
      <c r="A78" s="20"/>
      <c r="B78" s="20"/>
      <c r="C78" s="20"/>
      <c r="D78" s="20"/>
      <c r="E78" s="20"/>
      <c r="F78" s="20"/>
      <c r="G78" s="20"/>
      <c r="H78" s="20"/>
    </row>
    <row r="79" spans="1:8" x14ac:dyDescent="0.2">
      <c r="A79" s="20"/>
      <c r="B79" s="20"/>
      <c r="C79" s="20"/>
      <c r="D79" s="20"/>
      <c r="E79" s="20"/>
      <c r="F79" s="20"/>
      <c r="G79" s="20"/>
      <c r="H79" s="20"/>
    </row>
    <row r="80" spans="1:8" x14ac:dyDescent="0.2">
      <c r="A80" s="20"/>
      <c r="B80" s="20"/>
      <c r="C80" s="20"/>
      <c r="D80" s="20"/>
      <c r="E80" s="20"/>
      <c r="F80" s="20"/>
      <c r="G80" s="20"/>
      <c r="H80" s="20"/>
    </row>
    <row r="81" spans="1:8" x14ac:dyDescent="0.2">
      <c r="A81" s="20"/>
      <c r="B81" s="20"/>
      <c r="C81" s="20"/>
      <c r="D81" s="20"/>
      <c r="E81" s="20"/>
      <c r="F81" s="20"/>
      <c r="G81" s="20"/>
      <c r="H81" s="20"/>
    </row>
    <row r="82" spans="1:8" x14ac:dyDescent="0.2">
      <c r="A82" s="20"/>
      <c r="B82" s="20"/>
      <c r="C82" s="20"/>
      <c r="D82" s="20"/>
      <c r="E82" s="20"/>
      <c r="F82" s="20"/>
      <c r="G82" s="20"/>
      <c r="H82" s="20"/>
    </row>
    <row r="83" spans="1:8" x14ac:dyDescent="0.2">
      <c r="A83" s="20"/>
      <c r="B83" s="20"/>
      <c r="C83" s="20"/>
      <c r="D83" s="20"/>
      <c r="E83" s="20"/>
      <c r="F83" s="20"/>
      <c r="G83" s="20"/>
      <c r="H83" s="20"/>
    </row>
    <row r="84" spans="1:8" x14ac:dyDescent="0.2">
      <c r="A84" s="20"/>
      <c r="B84" s="20"/>
      <c r="C84" s="20"/>
      <c r="D84" s="20"/>
      <c r="E84" s="20"/>
      <c r="F84" s="20"/>
      <c r="G84" s="20"/>
      <c r="H84" s="20"/>
    </row>
    <row r="85" spans="1:8" x14ac:dyDescent="0.2">
      <c r="A85" s="20"/>
      <c r="B85" s="20"/>
      <c r="C85" s="20"/>
      <c r="D85" s="20"/>
      <c r="E85" s="20"/>
      <c r="F85" s="20"/>
      <c r="G85" s="20"/>
      <c r="H85" s="20"/>
    </row>
    <row r="86" spans="1:8" x14ac:dyDescent="0.2">
      <c r="A86" s="20"/>
      <c r="B86" s="20"/>
      <c r="C86" s="20"/>
      <c r="D86" s="20"/>
      <c r="E86" s="20"/>
      <c r="F86" s="20"/>
      <c r="G86" s="20"/>
      <c r="H86" s="20"/>
    </row>
    <row r="87" spans="1:8" x14ac:dyDescent="0.2">
      <c r="A87" s="20"/>
      <c r="B87" s="20"/>
      <c r="C87" s="20"/>
      <c r="D87" s="20"/>
      <c r="E87" s="20"/>
      <c r="F87" s="20"/>
      <c r="G87" s="20"/>
      <c r="H87" s="20"/>
    </row>
    <row r="88" spans="1:8" x14ac:dyDescent="0.2">
      <c r="A88" s="20"/>
      <c r="B88" s="20"/>
      <c r="C88" s="20"/>
      <c r="D88" s="20"/>
      <c r="E88" s="20"/>
      <c r="F88" s="20"/>
      <c r="G88" s="20"/>
      <c r="H88" s="20"/>
    </row>
    <row r="89" spans="1:8" x14ac:dyDescent="0.2">
      <c r="A89" s="20"/>
      <c r="B89" s="20"/>
      <c r="C89" s="20"/>
      <c r="D89" s="20"/>
      <c r="E89" s="20"/>
      <c r="F89" s="20"/>
      <c r="G89" s="20"/>
      <c r="H89" s="20"/>
    </row>
    <row r="90" spans="1:8" x14ac:dyDescent="0.2">
      <c r="A90" s="20"/>
      <c r="B90" s="20"/>
      <c r="C90" s="20"/>
      <c r="D90" s="20"/>
      <c r="E90" s="20"/>
      <c r="F90" s="20"/>
      <c r="G90" s="20"/>
      <c r="H90" s="20"/>
    </row>
    <row r="91" spans="1:8" x14ac:dyDescent="0.2">
      <c r="A91" s="20"/>
      <c r="B91" s="20"/>
      <c r="C91" s="20"/>
      <c r="D91" s="20"/>
      <c r="E91" s="20"/>
      <c r="F91" s="20"/>
      <c r="G91" s="20"/>
      <c r="H91" s="20"/>
    </row>
    <row r="92" spans="1:8" x14ac:dyDescent="0.2">
      <c r="A92" s="20"/>
      <c r="B92" s="20"/>
      <c r="C92" s="20"/>
      <c r="D92" s="20"/>
      <c r="E92" s="20"/>
      <c r="F92" s="20"/>
      <c r="G92" s="20"/>
      <c r="H92" s="20"/>
    </row>
    <row r="93" spans="1:8" x14ac:dyDescent="0.2">
      <c r="A93" s="20"/>
      <c r="B93" s="20"/>
      <c r="C93" s="20"/>
      <c r="D93" s="20"/>
      <c r="E93" s="20"/>
      <c r="F93" s="20"/>
      <c r="G93" s="20"/>
      <c r="H93" s="20"/>
    </row>
    <row r="94" spans="1:8" x14ac:dyDescent="0.2">
      <c r="A94" s="20"/>
      <c r="B94" s="20"/>
      <c r="C94" s="20"/>
      <c r="D94" s="20"/>
      <c r="E94" s="20"/>
      <c r="F94" s="20"/>
      <c r="G94" s="20"/>
      <c r="H94" s="20"/>
    </row>
    <row r="95" spans="1:8" x14ac:dyDescent="0.2">
      <c r="A95" s="20"/>
      <c r="B95" s="20"/>
      <c r="C95" s="20"/>
      <c r="D95" s="20"/>
      <c r="E95" s="20"/>
      <c r="F95" s="20"/>
      <c r="G95" s="20"/>
      <c r="H95" s="20"/>
    </row>
    <row r="96" spans="1:8" x14ac:dyDescent="0.2">
      <c r="A96" s="20"/>
      <c r="B96" s="20"/>
      <c r="C96" s="20"/>
      <c r="D96" s="20"/>
      <c r="E96" s="20"/>
      <c r="F96" s="20"/>
      <c r="G96" s="20"/>
      <c r="H96" s="20"/>
    </row>
    <row r="97" spans="1:8" x14ac:dyDescent="0.2">
      <c r="A97" s="20"/>
      <c r="B97" s="20"/>
      <c r="C97" s="20"/>
      <c r="D97" s="20"/>
      <c r="E97" s="20"/>
      <c r="F97" s="20"/>
      <c r="G97" s="20"/>
      <c r="H97" s="20"/>
    </row>
    <row r="98" spans="1:8" x14ac:dyDescent="0.2">
      <c r="A98" s="20"/>
      <c r="B98" s="20"/>
      <c r="C98" s="20"/>
      <c r="D98" s="20"/>
      <c r="E98" s="20"/>
      <c r="F98" s="20"/>
      <c r="G98" s="20"/>
      <c r="H98" s="20"/>
    </row>
    <row r="99" spans="1:8" x14ac:dyDescent="0.2">
      <c r="A99" s="20"/>
      <c r="B99" s="20"/>
      <c r="C99" s="20"/>
      <c r="D99" s="20"/>
      <c r="E99" s="20"/>
      <c r="F99" s="20"/>
      <c r="G99" s="20"/>
      <c r="H99" s="20"/>
    </row>
    <row r="100" spans="1:8" x14ac:dyDescent="0.2">
      <c r="A100" s="20"/>
      <c r="B100" s="20"/>
      <c r="C100" s="20"/>
      <c r="D100" s="20"/>
      <c r="E100" s="20"/>
      <c r="F100" s="20"/>
      <c r="G100" s="20"/>
      <c r="H100" s="20"/>
    </row>
    <row r="101" spans="1:8" x14ac:dyDescent="0.2">
      <c r="A101" s="20"/>
      <c r="B101" s="20"/>
      <c r="C101" s="20"/>
      <c r="D101" s="20"/>
      <c r="E101" s="20"/>
      <c r="F101" s="20"/>
      <c r="G101" s="20"/>
      <c r="H101" s="20"/>
    </row>
    <row r="102" spans="1:8" x14ac:dyDescent="0.2">
      <c r="A102" s="20"/>
      <c r="B102" s="20"/>
      <c r="C102" s="20"/>
      <c r="D102" s="20"/>
      <c r="E102" s="20"/>
      <c r="F102" s="20"/>
      <c r="G102" s="20"/>
      <c r="H102" s="20"/>
    </row>
    <row r="103" spans="1:8" x14ac:dyDescent="0.2">
      <c r="A103" s="20"/>
      <c r="B103" s="20"/>
      <c r="C103" s="20"/>
      <c r="D103" s="20"/>
      <c r="E103" s="20"/>
      <c r="F103" s="20"/>
      <c r="G103" s="20"/>
      <c r="H103" s="20"/>
    </row>
    <row r="104" spans="1:8" x14ac:dyDescent="0.2">
      <c r="A104" s="20"/>
      <c r="B104" s="20"/>
      <c r="C104" s="20"/>
      <c r="D104" s="20"/>
      <c r="E104" s="20"/>
      <c r="F104" s="20"/>
      <c r="G104" s="20"/>
      <c r="H104" s="20"/>
    </row>
    <row r="105" spans="1:8" x14ac:dyDescent="0.2">
      <c r="A105" s="20"/>
      <c r="B105" s="20"/>
      <c r="C105" s="20"/>
      <c r="D105" s="20"/>
      <c r="E105" s="20"/>
      <c r="F105" s="20"/>
      <c r="G105" s="20"/>
      <c r="H105" s="20"/>
    </row>
    <row r="106" spans="1:8" x14ac:dyDescent="0.2">
      <c r="A106" s="20"/>
      <c r="B106" s="20"/>
      <c r="C106" s="20"/>
      <c r="D106" s="20"/>
      <c r="E106" s="20"/>
      <c r="F106" s="20"/>
      <c r="G106" s="20"/>
      <c r="H106" s="20"/>
    </row>
    <row r="107" spans="1:8" x14ac:dyDescent="0.2">
      <c r="A107" s="20"/>
      <c r="B107" s="20"/>
      <c r="C107" s="20"/>
      <c r="D107" s="20"/>
      <c r="E107" s="20"/>
      <c r="F107" s="20"/>
      <c r="G107" s="20"/>
      <c r="H107" s="20"/>
    </row>
    <row r="108" spans="1:8" x14ac:dyDescent="0.2">
      <c r="A108" s="20"/>
      <c r="B108" s="20"/>
      <c r="C108" s="20"/>
      <c r="D108" s="20"/>
      <c r="E108" s="20"/>
      <c r="F108" s="20"/>
      <c r="G108" s="20"/>
      <c r="H108" s="20"/>
    </row>
    <row r="109" spans="1:8" x14ac:dyDescent="0.2">
      <c r="A109" s="20"/>
      <c r="B109" s="20"/>
      <c r="C109" s="20"/>
      <c r="D109" s="20"/>
      <c r="E109" s="20"/>
      <c r="F109" s="20"/>
      <c r="G109" s="20"/>
      <c r="H109" s="20"/>
    </row>
    <row r="110" spans="1:8" x14ac:dyDescent="0.2">
      <c r="A110" s="20"/>
      <c r="B110" s="20"/>
      <c r="C110" s="20"/>
      <c r="D110" s="20"/>
      <c r="E110" s="20"/>
      <c r="F110" s="20"/>
      <c r="G110" s="20"/>
      <c r="H110" s="20"/>
    </row>
    <row r="111" spans="1:8" x14ac:dyDescent="0.2">
      <c r="A111" s="20"/>
      <c r="B111" s="20"/>
      <c r="C111" s="20"/>
      <c r="D111" s="20"/>
      <c r="E111" s="20"/>
      <c r="F111" s="20"/>
      <c r="G111" s="20"/>
      <c r="H111" s="20"/>
    </row>
    <row r="112" spans="1:8" x14ac:dyDescent="0.2">
      <c r="A112" s="20"/>
      <c r="B112" s="20"/>
      <c r="C112" s="20"/>
      <c r="D112" s="20"/>
      <c r="E112" s="20"/>
      <c r="F112" s="20"/>
      <c r="G112" s="20"/>
      <c r="H112" s="20"/>
    </row>
    <row r="113" spans="1:8" x14ac:dyDescent="0.2">
      <c r="A113" s="20"/>
      <c r="B113" s="20"/>
      <c r="C113" s="20"/>
      <c r="D113" s="20"/>
      <c r="E113" s="20"/>
      <c r="F113" s="20"/>
      <c r="G113" s="20"/>
      <c r="H113" s="20"/>
    </row>
    <row r="114" spans="1:8" x14ac:dyDescent="0.2">
      <c r="A114" s="20"/>
      <c r="B114" s="20"/>
      <c r="C114" s="20"/>
      <c r="D114" s="20"/>
      <c r="E114" s="20"/>
      <c r="F114" s="20"/>
      <c r="G114" s="20"/>
      <c r="H114" s="20"/>
    </row>
    <row r="115" spans="1:8" x14ac:dyDescent="0.2">
      <c r="A115" s="20"/>
      <c r="B115" s="20"/>
      <c r="C115" s="20"/>
      <c r="D115" s="20"/>
      <c r="E115" s="20"/>
      <c r="F115" s="20"/>
      <c r="G115" s="20"/>
      <c r="H115" s="20"/>
    </row>
    <row r="116" spans="1:8" x14ac:dyDescent="0.2">
      <c r="A116" s="20"/>
      <c r="B116" s="20"/>
      <c r="C116" s="20"/>
      <c r="D116" s="20"/>
      <c r="E116" s="20"/>
      <c r="F116" s="20"/>
      <c r="G116" s="20"/>
      <c r="H116" s="20"/>
    </row>
    <row r="117" spans="1:8" x14ac:dyDescent="0.2">
      <c r="A117" s="20"/>
      <c r="B117" s="20"/>
      <c r="C117" s="20"/>
      <c r="D117" s="20"/>
      <c r="E117" s="20"/>
      <c r="F117" s="20"/>
      <c r="G117" s="20"/>
      <c r="H117" s="20"/>
    </row>
    <row r="118" spans="1:8" x14ac:dyDescent="0.2">
      <c r="A118" s="20"/>
      <c r="B118" s="20"/>
      <c r="C118" s="20"/>
      <c r="D118" s="20"/>
      <c r="E118" s="20"/>
      <c r="F118" s="20"/>
      <c r="G118" s="20"/>
      <c r="H118" s="20"/>
    </row>
    <row r="119" spans="1:8" x14ac:dyDescent="0.2">
      <c r="A119" s="20"/>
      <c r="B119" s="20"/>
      <c r="C119" s="20"/>
      <c r="D119" s="20"/>
      <c r="E119" s="20"/>
      <c r="F119" s="20"/>
      <c r="G119" s="20"/>
      <c r="H119" s="20"/>
    </row>
    <row r="120" spans="1:8" x14ac:dyDescent="0.2">
      <c r="A120" s="20"/>
      <c r="B120" s="20"/>
      <c r="C120" s="20"/>
      <c r="D120" s="20"/>
      <c r="E120" s="20"/>
      <c r="F120" s="20"/>
      <c r="G120" s="20"/>
      <c r="H120" s="20"/>
    </row>
    <row r="121" spans="1:8" x14ac:dyDescent="0.2">
      <c r="A121" s="20"/>
      <c r="B121" s="20"/>
      <c r="C121" s="20"/>
      <c r="D121" s="20"/>
      <c r="E121" s="20"/>
      <c r="F121" s="20"/>
      <c r="G121" s="20"/>
      <c r="H121" s="20"/>
    </row>
    <row r="122" spans="1:8" x14ac:dyDescent="0.2">
      <c r="A122" s="20"/>
      <c r="B122" s="20"/>
      <c r="C122" s="20"/>
      <c r="D122" s="20"/>
      <c r="E122" s="20"/>
      <c r="F122" s="20"/>
      <c r="G122" s="20"/>
      <c r="H122" s="20"/>
    </row>
    <row r="123" spans="1:8" x14ac:dyDescent="0.2">
      <c r="A123" s="20"/>
      <c r="B123" s="20"/>
      <c r="C123" s="20"/>
      <c r="D123" s="20"/>
      <c r="E123" s="20"/>
      <c r="F123" s="20"/>
      <c r="G123" s="20"/>
      <c r="H123" s="20"/>
    </row>
    <row r="124" spans="1:8" x14ac:dyDescent="0.2">
      <c r="A124" s="20"/>
      <c r="B124" s="20"/>
      <c r="C124" s="20"/>
      <c r="D124" s="20"/>
      <c r="E124" s="20"/>
      <c r="F124" s="20"/>
      <c r="G124" s="20"/>
      <c r="H124" s="20"/>
    </row>
    <row r="125" spans="1:8" x14ac:dyDescent="0.2">
      <c r="A125" s="20"/>
      <c r="B125" s="20"/>
      <c r="C125" s="20"/>
      <c r="D125" s="20"/>
      <c r="E125" s="20"/>
      <c r="F125" s="20"/>
      <c r="G125" s="20"/>
      <c r="H125" s="20"/>
    </row>
    <row r="126" spans="1:8" x14ac:dyDescent="0.2">
      <c r="A126" s="20"/>
      <c r="B126" s="20"/>
      <c r="C126" s="20"/>
      <c r="D126" s="20"/>
      <c r="E126" s="20"/>
      <c r="F126" s="20"/>
      <c r="G126" s="20"/>
      <c r="H126" s="20"/>
    </row>
    <row r="127" spans="1:8" x14ac:dyDescent="0.2">
      <c r="A127" s="20"/>
      <c r="B127" s="20"/>
      <c r="C127" s="20"/>
      <c r="D127" s="20"/>
      <c r="E127" s="20"/>
      <c r="F127" s="20"/>
      <c r="G127" s="20"/>
      <c r="H127" s="20"/>
    </row>
    <row r="128" spans="1:8" x14ac:dyDescent="0.2">
      <c r="A128" s="20"/>
      <c r="B128" s="20"/>
      <c r="C128" s="20"/>
      <c r="D128" s="20"/>
      <c r="E128" s="20"/>
      <c r="F128" s="20"/>
      <c r="G128" s="20"/>
      <c r="H128" s="20"/>
    </row>
    <row r="129" spans="1:8" x14ac:dyDescent="0.2">
      <c r="A129" s="20"/>
      <c r="B129" s="20"/>
      <c r="C129" s="20"/>
      <c r="D129" s="20"/>
      <c r="E129" s="20"/>
      <c r="F129" s="20"/>
      <c r="G129" s="20"/>
      <c r="H129" s="20"/>
    </row>
    <row r="130" spans="1:8" x14ac:dyDescent="0.2">
      <c r="A130" s="20"/>
      <c r="B130" s="20"/>
      <c r="C130" s="20"/>
      <c r="D130" s="20"/>
      <c r="E130" s="20"/>
      <c r="F130" s="20"/>
      <c r="G130" s="20"/>
      <c r="H130" s="20"/>
    </row>
    <row r="131" spans="1:8" x14ac:dyDescent="0.2">
      <c r="A131" s="20"/>
      <c r="B131" s="20"/>
      <c r="C131" s="20"/>
      <c r="D131" s="20"/>
      <c r="E131" s="20"/>
      <c r="F131" s="20"/>
      <c r="G131" s="20"/>
      <c r="H131" s="20"/>
    </row>
    <row r="132" spans="1:8" x14ac:dyDescent="0.2">
      <c r="A132" s="20"/>
      <c r="B132" s="20"/>
      <c r="C132" s="20"/>
      <c r="D132" s="20"/>
      <c r="E132" s="20"/>
      <c r="F132" s="20"/>
      <c r="G132" s="20"/>
      <c r="H132" s="20"/>
    </row>
    <row r="133" spans="1:8" x14ac:dyDescent="0.2">
      <c r="A133" s="20"/>
      <c r="B133" s="20"/>
      <c r="C133" s="20"/>
      <c r="D133" s="20"/>
      <c r="E133" s="20"/>
      <c r="F133" s="20"/>
      <c r="G133" s="20"/>
      <c r="H133" s="20"/>
    </row>
    <row r="134" spans="1:8" x14ac:dyDescent="0.2">
      <c r="A134" s="20"/>
      <c r="B134" s="20"/>
      <c r="C134" s="20"/>
      <c r="D134" s="20"/>
      <c r="E134" s="20"/>
      <c r="F134" s="20"/>
      <c r="G134" s="20"/>
      <c r="H134" s="20"/>
    </row>
    <row r="135" spans="1:8" x14ac:dyDescent="0.2">
      <c r="A135" s="20"/>
      <c r="B135" s="20"/>
      <c r="C135" s="20"/>
      <c r="D135" s="20"/>
      <c r="E135" s="20"/>
      <c r="F135" s="20"/>
      <c r="G135" s="20"/>
      <c r="H135" s="20"/>
    </row>
    <row r="136" spans="1:8" x14ac:dyDescent="0.2">
      <c r="A136" s="20"/>
      <c r="B136" s="20"/>
      <c r="C136" s="20"/>
      <c r="D136" s="20"/>
      <c r="E136" s="20"/>
      <c r="F136" s="20"/>
      <c r="G136" s="20"/>
      <c r="H136" s="20"/>
    </row>
    <row r="137" spans="1:8" x14ac:dyDescent="0.2">
      <c r="A137" s="20"/>
      <c r="B137" s="20"/>
      <c r="C137" s="20"/>
      <c r="D137" s="20"/>
      <c r="E137" s="20"/>
      <c r="F137" s="20"/>
      <c r="G137" s="20"/>
      <c r="H137" s="20"/>
    </row>
    <row r="138" spans="1:8" x14ac:dyDescent="0.2">
      <c r="A138" s="20"/>
      <c r="B138" s="20"/>
      <c r="C138" s="20"/>
      <c r="D138" s="20"/>
      <c r="E138" s="20"/>
      <c r="F138" s="20"/>
      <c r="G138" s="20"/>
      <c r="H138" s="20"/>
    </row>
    <row r="139" spans="1:8" x14ac:dyDescent="0.2">
      <c r="A139" s="20"/>
      <c r="B139" s="20"/>
      <c r="C139" s="20"/>
      <c r="D139" s="20"/>
      <c r="E139" s="20"/>
      <c r="F139" s="20"/>
      <c r="G139" s="20"/>
      <c r="H139" s="20"/>
    </row>
    <row r="140" spans="1:8" x14ac:dyDescent="0.2">
      <c r="A140" s="20"/>
      <c r="B140" s="20"/>
      <c r="C140" s="20"/>
      <c r="D140" s="20"/>
      <c r="E140" s="20"/>
      <c r="F140" s="20"/>
      <c r="G140" s="20"/>
      <c r="H140" s="20"/>
    </row>
    <row r="141" spans="1:8" x14ac:dyDescent="0.2">
      <c r="A141" s="20"/>
      <c r="B141" s="20"/>
      <c r="C141" s="20"/>
      <c r="D141" s="20"/>
      <c r="E141" s="20"/>
      <c r="F141" s="20"/>
      <c r="G141" s="20"/>
      <c r="H141" s="20"/>
    </row>
    <row r="142" spans="1:8" x14ac:dyDescent="0.2">
      <c r="A142" s="20"/>
      <c r="B142" s="20"/>
      <c r="C142" s="20"/>
      <c r="D142" s="20"/>
      <c r="E142" s="20"/>
      <c r="F142" s="20"/>
      <c r="G142" s="20"/>
      <c r="H142" s="20"/>
    </row>
    <row r="143" spans="1:8" x14ac:dyDescent="0.2">
      <c r="A143" s="20"/>
      <c r="B143" s="20"/>
      <c r="C143" s="20"/>
      <c r="D143" s="20"/>
      <c r="E143" s="20"/>
      <c r="F143" s="20"/>
      <c r="G143" s="20"/>
      <c r="H143" s="20"/>
    </row>
    <row r="144" spans="1:8" x14ac:dyDescent="0.2">
      <c r="A144" s="20"/>
      <c r="B144" s="20"/>
      <c r="C144" s="20"/>
      <c r="D144" s="20"/>
      <c r="E144" s="20"/>
      <c r="F144" s="20"/>
      <c r="G144" s="20"/>
      <c r="H144" s="20"/>
    </row>
    <row r="145" spans="1:8" x14ac:dyDescent="0.2">
      <c r="A145" s="20"/>
      <c r="B145" s="20"/>
      <c r="C145" s="20"/>
      <c r="D145" s="20"/>
      <c r="E145" s="20"/>
      <c r="F145" s="20"/>
      <c r="G145" s="20"/>
      <c r="H145" s="20"/>
    </row>
    <row r="146" spans="1:8" x14ac:dyDescent="0.2">
      <c r="A146" s="20"/>
      <c r="B146" s="20"/>
      <c r="C146" s="20"/>
      <c r="D146" s="20"/>
      <c r="E146" s="20"/>
      <c r="F146" s="20"/>
      <c r="G146" s="20"/>
      <c r="H146" s="20"/>
    </row>
    <row r="147" spans="1:8" x14ac:dyDescent="0.2">
      <c r="A147" s="20"/>
      <c r="B147" s="20"/>
      <c r="C147" s="20"/>
      <c r="D147" s="20"/>
      <c r="E147" s="20"/>
      <c r="F147" s="20"/>
      <c r="G147" s="20"/>
      <c r="H147" s="20"/>
    </row>
    <row r="148" spans="1:8" x14ac:dyDescent="0.2">
      <c r="A148" s="20"/>
      <c r="B148" s="20"/>
      <c r="C148" s="20"/>
      <c r="D148" s="20"/>
      <c r="E148" s="20"/>
      <c r="F148" s="20"/>
      <c r="G148" s="20"/>
      <c r="H148" s="20"/>
    </row>
    <row r="149" spans="1:8" x14ac:dyDescent="0.2">
      <c r="A149" s="20"/>
      <c r="B149" s="20"/>
      <c r="C149" s="20"/>
      <c r="D149" s="20"/>
      <c r="E149" s="20"/>
      <c r="F149" s="20"/>
      <c r="G149" s="20"/>
      <c r="H149" s="20"/>
    </row>
    <row r="150" spans="1:8" x14ac:dyDescent="0.2">
      <c r="A150" s="20"/>
      <c r="B150" s="20"/>
      <c r="C150" s="20"/>
      <c r="D150" s="20"/>
      <c r="E150" s="20"/>
      <c r="F150" s="20"/>
      <c r="G150" s="20"/>
      <c r="H150" s="20"/>
    </row>
    <row r="151" spans="1:8" x14ac:dyDescent="0.2">
      <c r="A151" s="20"/>
      <c r="B151" s="20"/>
      <c r="C151" s="20"/>
      <c r="D151" s="20"/>
      <c r="E151" s="20"/>
      <c r="F151" s="20"/>
      <c r="G151" s="20"/>
      <c r="H151" s="20"/>
    </row>
    <row r="152" spans="1:8" x14ac:dyDescent="0.2">
      <c r="A152" s="20"/>
      <c r="B152" s="20"/>
      <c r="C152" s="20"/>
      <c r="D152" s="20"/>
      <c r="E152" s="20"/>
      <c r="F152" s="20"/>
      <c r="G152" s="20"/>
      <c r="H152" s="20"/>
    </row>
    <row r="153" spans="1:8" x14ac:dyDescent="0.2">
      <c r="A153" s="20"/>
      <c r="B153" s="20"/>
      <c r="C153" s="20"/>
      <c r="D153" s="20"/>
      <c r="E153" s="20"/>
      <c r="F153" s="20"/>
      <c r="G153" s="20"/>
      <c r="H153" s="20"/>
    </row>
    <row r="154" spans="1:8" x14ac:dyDescent="0.2">
      <c r="A154" s="20"/>
      <c r="B154" s="20"/>
      <c r="C154" s="20"/>
      <c r="D154" s="20"/>
      <c r="E154" s="20"/>
      <c r="F154" s="20"/>
      <c r="G154" s="20"/>
      <c r="H154" s="20"/>
    </row>
    <row r="155" spans="1:8" x14ac:dyDescent="0.2">
      <c r="A155" s="20"/>
      <c r="B155" s="20"/>
      <c r="C155" s="20"/>
      <c r="D155" s="20"/>
      <c r="E155" s="20"/>
      <c r="F155" s="20"/>
      <c r="G155" s="20"/>
      <c r="H155" s="20"/>
    </row>
    <row r="156" spans="1:8" x14ac:dyDescent="0.2">
      <c r="A156" s="20"/>
      <c r="B156" s="20"/>
      <c r="C156" s="20"/>
      <c r="D156" s="20"/>
      <c r="E156" s="20"/>
      <c r="F156" s="20"/>
      <c r="G156" s="20"/>
      <c r="H156" s="20"/>
    </row>
    <row r="157" spans="1:8" x14ac:dyDescent="0.2">
      <c r="A157" s="20"/>
      <c r="B157" s="20"/>
      <c r="C157" s="20"/>
      <c r="D157" s="20"/>
      <c r="E157" s="20"/>
      <c r="F157" s="20"/>
      <c r="G157" s="20"/>
      <c r="H157" s="20"/>
    </row>
    <row r="158" spans="1:8" x14ac:dyDescent="0.2">
      <c r="A158" s="20"/>
      <c r="B158" s="20"/>
      <c r="C158" s="20"/>
      <c r="D158" s="20"/>
      <c r="E158" s="20"/>
      <c r="F158" s="20"/>
      <c r="G158" s="20"/>
      <c r="H158" s="20"/>
    </row>
    <row r="159" spans="1:8" x14ac:dyDescent="0.2">
      <c r="A159" s="20"/>
      <c r="B159" s="20"/>
      <c r="C159" s="20"/>
      <c r="D159" s="20"/>
      <c r="E159" s="20"/>
      <c r="F159" s="20"/>
      <c r="G159" s="20"/>
      <c r="H159" s="20"/>
    </row>
    <row r="160" spans="1:8" x14ac:dyDescent="0.2">
      <c r="A160" s="20"/>
      <c r="B160" s="20"/>
      <c r="C160" s="20"/>
      <c r="D160" s="20"/>
      <c r="E160" s="20"/>
      <c r="F160" s="20"/>
      <c r="G160" s="20"/>
      <c r="H160" s="20"/>
    </row>
    <row r="161" spans="1:8" x14ac:dyDescent="0.2">
      <c r="A161" s="20"/>
      <c r="B161" s="20"/>
      <c r="C161" s="20"/>
      <c r="D161" s="20"/>
      <c r="E161" s="20"/>
      <c r="F161" s="20"/>
      <c r="G161" s="20"/>
      <c r="H161" s="20"/>
    </row>
    <row r="162" spans="1:8" x14ac:dyDescent="0.2">
      <c r="A162" s="20"/>
      <c r="B162" s="20"/>
      <c r="C162" s="20"/>
      <c r="D162" s="20"/>
      <c r="E162" s="20"/>
      <c r="F162" s="20"/>
      <c r="G162" s="20"/>
      <c r="H162" s="20"/>
    </row>
    <row r="163" spans="1:8" x14ac:dyDescent="0.2">
      <c r="A163" s="20"/>
      <c r="B163" s="20"/>
      <c r="C163" s="20"/>
      <c r="D163" s="20"/>
      <c r="E163" s="20"/>
      <c r="F163" s="20"/>
      <c r="G163" s="20"/>
      <c r="H163" s="20"/>
    </row>
    <row r="164" spans="1:8" x14ac:dyDescent="0.2">
      <c r="A164" s="20"/>
      <c r="B164" s="20"/>
      <c r="C164" s="20"/>
      <c r="D164" s="20"/>
      <c r="E164" s="20"/>
      <c r="F164" s="20"/>
      <c r="G164" s="20"/>
      <c r="H164" s="20"/>
    </row>
    <row r="165" spans="1:8" x14ac:dyDescent="0.2">
      <c r="A165" s="20"/>
      <c r="B165" s="20"/>
      <c r="C165" s="20"/>
      <c r="D165" s="20"/>
      <c r="E165" s="20"/>
      <c r="F165" s="20"/>
      <c r="G165" s="20"/>
      <c r="H165" s="20"/>
    </row>
    <row r="166" spans="1:8" x14ac:dyDescent="0.2">
      <c r="A166" s="20"/>
      <c r="B166" s="20"/>
      <c r="C166" s="20"/>
      <c r="D166" s="20"/>
      <c r="E166" s="20"/>
      <c r="F166" s="20"/>
      <c r="G166" s="20"/>
      <c r="H166" s="20"/>
    </row>
    <row r="167" spans="1:8" x14ac:dyDescent="0.2">
      <c r="A167" s="20"/>
      <c r="B167" s="20"/>
      <c r="C167" s="20"/>
      <c r="D167" s="20"/>
      <c r="E167" s="20"/>
      <c r="F167" s="20"/>
      <c r="G167" s="20"/>
      <c r="H167" s="20"/>
    </row>
    <row r="168" spans="1:8" x14ac:dyDescent="0.2">
      <c r="A168" s="20"/>
      <c r="B168" s="20"/>
      <c r="C168" s="20"/>
      <c r="D168" s="20"/>
      <c r="E168" s="20"/>
      <c r="F168" s="20"/>
      <c r="G168" s="20"/>
      <c r="H168" s="20"/>
    </row>
    <row r="169" spans="1:8" x14ac:dyDescent="0.2">
      <c r="A169" s="20"/>
      <c r="B169" s="20"/>
      <c r="C169" s="20"/>
      <c r="D169" s="20"/>
      <c r="E169" s="20"/>
      <c r="F169" s="20"/>
      <c r="G169" s="20"/>
      <c r="H169" s="20"/>
    </row>
    <row r="170" spans="1:8" x14ac:dyDescent="0.2">
      <c r="A170" s="20"/>
      <c r="B170" s="20"/>
      <c r="C170" s="20"/>
      <c r="D170" s="20"/>
      <c r="E170" s="20"/>
      <c r="F170" s="20"/>
      <c r="G170" s="20"/>
      <c r="H170" s="20"/>
    </row>
    <row r="171" spans="1:8" x14ac:dyDescent="0.2">
      <c r="A171" s="20"/>
      <c r="B171" s="20"/>
      <c r="C171" s="20"/>
      <c r="D171" s="20"/>
      <c r="E171" s="20"/>
      <c r="F171" s="20"/>
      <c r="G171" s="20"/>
      <c r="H171" s="20"/>
    </row>
    <row r="172" spans="1:8" x14ac:dyDescent="0.2">
      <c r="A172" s="20"/>
      <c r="B172" s="20"/>
      <c r="C172" s="20"/>
      <c r="D172" s="20"/>
      <c r="E172" s="20"/>
      <c r="F172" s="20"/>
      <c r="G172" s="20"/>
      <c r="H172" s="20"/>
    </row>
    <row r="173" spans="1:8" x14ac:dyDescent="0.2">
      <c r="A173" s="20"/>
      <c r="B173" s="20"/>
      <c r="C173" s="20"/>
      <c r="D173" s="20"/>
      <c r="E173" s="20"/>
      <c r="F173" s="20"/>
      <c r="G173" s="20"/>
      <c r="H173" s="20"/>
    </row>
    <row r="174" spans="1:8" x14ac:dyDescent="0.2">
      <c r="A174" s="20"/>
      <c r="B174" s="20"/>
      <c r="C174" s="20"/>
      <c r="D174" s="20"/>
      <c r="E174" s="20"/>
      <c r="F174" s="20"/>
      <c r="G174" s="20"/>
      <c r="H174" s="20"/>
    </row>
    <row r="175" spans="1:8" x14ac:dyDescent="0.2">
      <c r="A175" s="20"/>
      <c r="B175" s="20"/>
      <c r="C175" s="20"/>
      <c r="D175" s="20"/>
      <c r="E175" s="20"/>
      <c r="F175" s="20"/>
      <c r="G175" s="20"/>
      <c r="H175" s="20"/>
    </row>
    <row r="176" spans="1:8" x14ac:dyDescent="0.2">
      <c r="A176" s="20"/>
      <c r="B176" s="20"/>
      <c r="C176" s="20"/>
      <c r="D176" s="20"/>
      <c r="E176" s="20"/>
      <c r="F176" s="20"/>
      <c r="G176" s="20"/>
      <c r="H176" s="20"/>
    </row>
    <row r="177" spans="1:8" x14ac:dyDescent="0.2">
      <c r="A177" s="20"/>
      <c r="B177" s="20"/>
      <c r="C177" s="20"/>
      <c r="D177" s="20"/>
      <c r="E177" s="20"/>
      <c r="F177" s="20"/>
      <c r="G177" s="20"/>
      <c r="H177" s="20"/>
    </row>
    <row r="178" spans="1:8" x14ac:dyDescent="0.2">
      <c r="A178" s="20"/>
      <c r="B178" s="20"/>
      <c r="C178" s="20"/>
      <c r="D178" s="20"/>
      <c r="E178" s="20"/>
      <c r="F178" s="20"/>
      <c r="G178" s="20"/>
      <c r="H178" s="20"/>
    </row>
    <row r="179" spans="1:8" x14ac:dyDescent="0.2">
      <c r="A179" s="20"/>
      <c r="B179" s="20"/>
      <c r="C179" s="20"/>
      <c r="D179" s="20"/>
      <c r="E179" s="20"/>
      <c r="F179" s="20"/>
      <c r="G179" s="20"/>
      <c r="H179" s="20"/>
    </row>
    <row r="180" spans="1:8" x14ac:dyDescent="0.2">
      <c r="A180" s="20"/>
      <c r="B180" s="20"/>
      <c r="C180" s="20"/>
      <c r="D180" s="20"/>
      <c r="E180" s="20"/>
      <c r="F180" s="20"/>
      <c r="G180" s="20"/>
      <c r="H180" s="20"/>
    </row>
    <row r="181" spans="1:8" x14ac:dyDescent="0.2">
      <c r="A181" s="20"/>
      <c r="B181" s="20"/>
      <c r="C181" s="20"/>
      <c r="D181" s="20"/>
      <c r="E181" s="20"/>
      <c r="F181" s="20"/>
      <c r="G181" s="20"/>
      <c r="H181" s="20"/>
    </row>
    <row r="182" spans="1:8" x14ac:dyDescent="0.2">
      <c r="A182" s="20"/>
      <c r="B182" s="20"/>
      <c r="C182" s="20"/>
      <c r="D182" s="20"/>
      <c r="E182" s="20"/>
      <c r="F182" s="20"/>
      <c r="G182" s="20"/>
      <c r="H182" s="20"/>
    </row>
    <row r="183" spans="1:8" x14ac:dyDescent="0.2">
      <c r="A183" s="20"/>
      <c r="B183" s="20"/>
      <c r="C183" s="20"/>
      <c r="D183" s="20"/>
      <c r="E183" s="20"/>
      <c r="F183" s="20"/>
      <c r="G183" s="20"/>
      <c r="H183" s="20"/>
    </row>
    <row r="184" spans="1:8" x14ac:dyDescent="0.2">
      <c r="A184" s="20"/>
      <c r="B184" s="20"/>
      <c r="C184" s="20"/>
      <c r="D184" s="20"/>
      <c r="E184" s="20"/>
      <c r="F184" s="20"/>
      <c r="G184" s="20"/>
      <c r="H184" s="20"/>
    </row>
    <row r="185" spans="1:8" x14ac:dyDescent="0.2">
      <c r="A185" s="20"/>
      <c r="B185" s="20"/>
      <c r="C185" s="20"/>
      <c r="D185" s="20"/>
      <c r="E185" s="20"/>
      <c r="F185" s="20"/>
      <c r="G185" s="20"/>
      <c r="H185" s="20"/>
    </row>
    <row r="186" spans="1:8" x14ac:dyDescent="0.2">
      <c r="A186" s="20"/>
      <c r="B186" s="20"/>
      <c r="C186" s="20"/>
      <c r="D186" s="20"/>
      <c r="E186" s="20"/>
      <c r="F186" s="20"/>
      <c r="G186" s="20"/>
      <c r="H186" s="20"/>
    </row>
    <row r="187" spans="1:8" x14ac:dyDescent="0.2">
      <c r="A187" s="20"/>
      <c r="B187" s="20"/>
      <c r="C187" s="20"/>
      <c r="D187" s="20"/>
      <c r="E187" s="20"/>
      <c r="F187" s="20"/>
      <c r="G187" s="20"/>
      <c r="H187" s="20"/>
    </row>
    <row r="188" spans="1:8" x14ac:dyDescent="0.2">
      <c r="A188" s="20"/>
      <c r="B188" s="20"/>
      <c r="C188" s="20"/>
      <c r="D188" s="20"/>
      <c r="E188" s="20"/>
      <c r="F188" s="20"/>
      <c r="G188" s="20"/>
      <c r="H188" s="20"/>
    </row>
    <row r="189" spans="1:8" x14ac:dyDescent="0.2">
      <c r="A189" s="20"/>
      <c r="B189" s="20"/>
      <c r="C189" s="20"/>
      <c r="D189" s="20"/>
      <c r="E189" s="20"/>
      <c r="F189" s="20"/>
      <c r="G189" s="20"/>
      <c r="H189" s="20"/>
    </row>
    <row r="190" spans="1:8" x14ac:dyDescent="0.2">
      <c r="A190" s="20"/>
      <c r="B190" s="20"/>
      <c r="C190" s="20"/>
      <c r="D190" s="20"/>
      <c r="E190" s="20"/>
      <c r="F190" s="20"/>
      <c r="G190" s="20"/>
      <c r="H190" s="20"/>
    </row>
    <row r="191" spans="1:8" x14ac:dyDescent="0.2">
      <c r="A191" s="20"/>
      <c r="B191" s="20"/>
      <c r="C191" s="20"/>
      <c r="D191" s="20"/>
      <c r="E191" s="20"/>
      <c r="F191" s="20"/>
      <c r="G191" s="20"/>
      <c r="H191" s="20"/>
    </row>
    <row r="192" spans="1:8" x14ac:dyDescent="0.2">
      <c r="A192" s="20"/>
      <c r="B192" s="20"/>
      <c r="C192" s="20"/>
      <c r="D192" s="20"/>
      <c r="E192" s="20"/>
      <c r="F192" s="20"/>
      <c r="G192" s="20"/>
      <c r="H192" s="20"/>
    </row>
    <row r="193" spans="1:8" x14ac:dyDescent="0.2">
      <c r="A193" s="20"/>
      <c r="B193" s="20"/>
      <c r="C193" s="20"/>
      <c r="D193" s="20"/>
      <c r="E193" s="20"/>
      <c r="F193" s="20"/>
      <c r="G193" s="20"/>
      <c r="H193" s="20"/>
    </row>
    <row r="194" spans="1:8" x14ac:dyDescent="0.2">
      <c r="A194" s="20"/>
      <c r="B194" s="20"/>
      <c r="C194" s="20"/>
      <c r="D194" s="20"/>
      <c r="E194" s="20"/>
      <c r="F194" s="20"/>
      <c r="G194" s="20"/>
      <c r="H194" s="20"/>
    </row>
    <row r="195" spans="1:8" x14ac:dyDescent="0.2">
      <c r="A195" s="20"/>
      <c r="B195" s="20"/>
      <c r="C195" s="20"/>
      <c r="D195" s="20"/>
      <c r="E195" s="20"/>
      <c r="F195" s="20"/>
      <c r="G195" s="20"/>
      <c r="H195" s="20"/>
    </row>
    <row r="196" spans="1:8" x14ac:dyDescent="0.2">
      <c r="A196" s="20"/>
      <c r="B196" s="20"/>
      <c r="C196" s="20"/>
      <c r="D196" s="20"/>
      <c r="E196" s="20"/>
      <c r="F196" s="20"/>
      <c r="G196" s="20"/>
      <c r="H196" s="20"/>
    </row>
    <row r="197" spans="1:8" x14ac:dyDescent="0.2">
      <c r="A197" s="20"/>
      <c r="B197" s="20"/>
      <c r="C197" s="20"/>
      <c r="D197" s="20"/>
      <c r="E197" s="20"/>
      <c r="F197" s="20"/>
      <c r="G197" s="20"/>
      <c r="H197" s="20"/>
    </row>
    <row r="198" spans="1:8" x14ac:dyDescent="0.2">
      <c r="A198" s="20"/>
      <c r="B198" s="20"/>
      <c r="C198" s="20"/>
      <c r="D198" s="20"/>
      <c r="E198" s="20"/>
      <c r="F198" s="20"/>
      <c r="G198" s="20"/>
      <c r="H198" s="20"/>
    </row>
    <row r="199" spans="1:8" x14ac:dyDescent="0.2">
      <c r="A199" s="20"/>
      <c r="B199" s="20"/>
      <c r="C199" s="20"/>
      <c r="D199" s="20"/>
      <c r="E199" s="20"/>
      <c r="F199" s="20"/>
      <c r="G199" s="20"/>
      <c r="H199" s="20"/>
    </row>
    <row r="200" spans="1:8" x14ac:dyDescent="0.2">
      <c r="A200" s="20"/>
      <c r="B200" s="20"/>
      <c r="C200" s="20"/>
      <c r="D200" s="20"/>
      <c r="E200" s="20"/>
      <c r="F200" s="20"/>
      <c r="G200" s="20"/>
      <c r="H200" s="20"/>
    </row>
    <row r="201" spans="1:8" x14ac:dyDescent="0.2">
      <c r="C201" s="20" t="str">
        <f>IF(A201="","",1)</f>
        <v/>
      </c>
    </row>
  </sheetData>
  <mergeCells count="1">
    <mergeCell ref="A1:H1"/>
  </mergeCells>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D2148C-B107-4883-8D90-4876DD5A714E}">
  <sheetPr codeName="Sheet28">
    <tabColor theme="5" tint="0.59999389629810485"/>
  </sheetPr>
  <dimension ref="A1:O100"/>
  <sheetViews>
    <sheetView workbookViewId="0">
      <selection activeCell="A3" sqref="A3"/>
    </sheetView>
  </sheetViews>
  <sheetFormatPr defaultRowHeight="12.75" x14ac:dyDescent="0.2"/>
  <cols>
    <col min="1" max="1" width="10" style="65" bestFit="1" customWidth="1"/>
    <col min="2" max="2" width="16.85546875" style="65" bestFit="1" customWidth="1"/>
    <col min="3" max="3" width="20.42578125" style="65" bestFit="1" customWidth="1"/>
    <col min="4" max="4" width="10.5703125" style="65" bestFit="1" customWidth="1"/>
    <col min="5" max="5" width="15.7109375" style="65" bestFit="1" customWidth="1"/>
    <col min="6" max="10" width="9.140625" style="65"/>
    <col min="11" max="11" width="12.42578125" style="65" bestFit="1" customWidth="1"/>
    <col min="12" max="12" width="15.28515625" style="65" bestFit="1" customWidth="1"/>
    <col min="13" max="16384" width="9.140625" style="65"/>
  </cols>
  <sheetData>
    <row r="1" spans="1:15" x14ac:dyDescent="0.2">
      <c r="A1" s="954" t="s">
        <v>1061</v>
      </c>
      <c r="B1" s="950"/>
      <c r="C1" s="950"/>
      <c r="D1" s="950"/>
      <c r="E1" s="950"/>
    </row>
    <row r="2" spans="1:15" x14ac:dyDescent="0.2">
      <c r="A2" s="614" t="s">
        <v>1027</v>
      </c>
      <c r="B2" s="614" t="s">
        <v>1058</v>
      </c>
      <c r="C2" s="614" t="s">
        <v>1226</v>
      </c>
      <c r="D2" s="614" t="s">
        <v>1227</v>
      </c>
      <c r="E2" s="614" t="s">
        <v>1228</v>
      </c>
      <c r="I2" s="582" t="s">
        <v>1027</v>
      </c>
      <c r="J2" s="582" t="s">
        <v>1058</v>
      </c>
      <c r="K2" s="582" t="s">
        <v>1059</v>
      </c>
      <c r="L2" s="582" t="s">
        <v>1060</v>
      </c>
      <c r="N2" s="587" t="s">
        <v>1219</v>
      </c>
    </row>
    <row r="3" spans="1:15" x14ac:dyDescent="0.2">
      <c r="A3" s="20"/>
      <c r="B3" s="20"/>
      <c r="C3" s="20"/>
      <c r="D3" s="20"/>
      <c r="E3" s="20"/>
      <c r="I3" s="20">
        <v>1</v>
      </c>
      <c r="J3" s="20">
        <v>0</v>
      </c>
      <c r="K3" s="369" t="s">
        <v>165</v>
      </c>
      <c r="L3" s="20">
        <v>85</v>
      </c>
      <c r="N3" s="20" t="s">
        <v>1066</v>
      </c>
      <c r="O3" s="20" t="s">
        <v>1059</v>
      </c>
    </row>
    <row r="4" spans="1:15" x14ac:dyDescent="0.2">
      <c r="A4" s="20"/>
      <c r="B4" s="20"/>
      <c r="C4" s="20"/>
      <c r="D4" s="20"/>
      <c r="E4" s="20"/>
      <c r="I4" s="20">
        <v>2</v>
      </c>
      <c r="J4" s="20">
        <v>1</v>
      </c>
      <c r="K4" s="369" t="s">
        <v>1217</v>
      </c>
      <c r="L4" s="20">
        <v>107</v>
      </c>
      <c r="N4" s="20">
        <v>1</v>
      </c>
      <c r="O4" s="20" t="s">
        <v>1068</v>
      </c>
    </row>
    <row r="5" spans="1:15" x14ac:dyDescent="0.2">
      <c r="A5" s="20"/>
      <c r="B5" s="20"/>
      <c r="C5" s="20"/>
      <c r="D5" s="20"/>
      <c r="E5" s="20"/>
      <c r="I5" s="20">
        <v>3</v>
      </c>
      <c r="J5" s="20">
        <v>1</v>
      </c>
      <c r="K5" s="369" t="s">
        <v>1218</v>
      </c>
      <c r="L5" s="20">
        <v>115</v>
      </c>
      <c r="N5" s="20">
        <v>2</v>
      </c>
      <c r="O5" s="20"/>
    </row>
    <row r="6" spans="1:15" x14ac:dyDescent="0.2">
      <c r="A6" s="20"/>
      <c r="B6" s="20"/>
      <c r="C6" s="20"/>
      <c r="D6" s="20"/>
      <c r="E6" s="20"/>
      <c r="N6" s="20">
        <v>3</v>
      </c>
      <c r="O6" s="20"/>
    </row>
    <row r="7" spans="1:15" x14ac:dyDescent="0.2">
      <c r="A7" s="20"/>
      <c r="B7" s="20"/>
      <c r="C7" s="20"/>
      <c r="D7" s="20"/>
      <c r="E7" s="20"/>
      <c r="K7" s="584" t="s">
        <v>1069</v>
      </c>
      <c r="N7" s="20">
        <v>4</v>
      </c>
      <c r="O7" s="20"/>
    </row>
    <row r="8" spans="1:15" x14ac:dyDescent="0.2">
      <c r="A8" s="20"/>
      <c r="B8" s="20"/>
      <c r="C8" s="20"/>
      <c r="D8" s="20"/>
      <c r="E8" s="20"/>
      <c r="N8" s="20" t="s">
        <v>1067</v>
      </c>
      <c r="O8" s="20" t="s">
        <v>1068</v>
      </c>
    </row>
    <row r="9" spans="1:15" x14ac:dyDescent="0.2">
      <c r="A9" s="20"/>
      <c r="B9" s="20"/>
      <c r="C9" s="20"/>
      <c r="D9" s="20"/>
      <c r="E9" s="20"/>
    </row>
    <row r="10" spans="1:15" x14ac:dyDescent="0.2">
      <c r="A10" s="20"/>
      <c r="B10" s="20"/>
      <c r="C10" s="20"/>
      <c r="D10" s="20"/>
      <c r="E10" s="20"/>
      <c r="L10" s="66" t="s">
        <v>1220</v>
      </c>
    </row>
    <row r="11" spans="1:15" x14ac:dyDescent="0.2">
      <c r="A11" s="20"/>
      <c r="B11" s="20"/>
      <c r="C11" s="20"/>
      <c r="D11" s="20"/>
      <c r="E11" s="20"/>
      <c r="L11" s="66" t="s">
        <v>1221</v>
      </c>
    </row>
    <row r="12" spans="1:15" x14ac:dyDescent="0.2">
      <c r="A12" s="20"/>
      <c r="B12" s="20"/>
      <c r="C12" s="20"/>
      <c r="D12" s="20"/>
      <c r="E12" s="20"/>
    </row>
    <row r="13" spans="1:15" x14ac:dyDescent="0.2">
      <c r="A13" s="20"/>
      <c r="B13" s="20"/>
      <c r="C13" s="20"/>
      <c r="D13" s="20"/>
      <c r="E13" s="20"/>
      <c r="H13" s="609" t="s">
        <v>1237</v>
      </c>
    </row>
    <row r="14" spans="1:15" x14ac:dyDescent="0.2">
      <c r="A14" s="20"/>
      <c r="B14" s="20"/>
      <c r="C14" s="20"/>
      <c r="D14" s="20"/>
      <c r="E14" s="20"/>
    </row>
    <row r="15" spans="1:15" x14ac:dyDescent="0.2">
      <c r="A15" s="20"/>
      <c r="B15" s="20"/>
      <c r="C15" s="20"/>
      <c r="D15" s="20"/>
      <c r="E15" s="20"/>
    </row>
    <row r="16" spans="1:15" x14ac:dyDescent="0.2">
      <c r="A16" s="20"/>
      <c r="B16" s="20"/>
      <c r="C16" s="20"/>
      <c r="D16" s="20"/>
      <c r="E16" s="20"/>
    </row>
    <row r="17" spans="1:5" x14ac:dyDescent="0.2">
      <c r="A17" s="20"/>
      <c r="B17" s="20"/>
      <c r="C17" s="20"/>
      <c r="D17" s="20"/>
      <c r="E17" s="20"/>
    </row>
    <row r="18" spans="1:5" x14ac:dyDescent="0.2">
      <c r="A18" s="20"/>
      <c r="B18" s="20"/>
      <c r="C18" s="20"/>
      <c r="D18" s="20"/>
      <c r="E18" s="20"/>
    </row>
    <row r="19" spans="1:5" x14ac:dyDescent="0.2">
      <c r="A19" s="20"/>
      <c r="B19" s="20"/>
      <c r="C19" s="20"/>
      <c r="D19" s="20"/>
      <c r="E19" s="20"/>
    </row>
    <row r="20" spans="1:5" x14ac:dyDescent="0.2">
      <c r="A20" s="20"/>
      <c r="B20" s="20"/>
      <c r="C20" s="20"/>
      <c r="D20" s="20"/>
      <c r="E20" s="20"/>
    </row>
    <row r="21" spans="1:5" x14ac:dyDescent="0.2">
      <c r="A21" s="20"/>
      <c r="B21" s="20"/>
      <c r="C21" s="20"/>
      <c r="D21" s="20"/>
      <c r="E21" s="20"/>
    </row>
    <row r="22" spans="1:5" x14ac:dyDescent="0.2">
      <c r="A22" s="20"/>
      <c r="B22" s="20"/>
      <c r="C22" s="20"/>
      <c r="D22" s="20"/>
      <c r="E22" s="20"/>
    </row>
    <row r="23" spans="1:5" x14ac:dyDescent="0.2">
      <c r="A23" s="20"/>
      <c r="B23" s="20"/>
      <c r="C23" s="20"/>
      <c r="D23" s="20"/>
      <c r="E23" s="20"/>
    </row>
    <row r="24" spans="1:5" x14ac:dyDescent="0.2">
      <c r="A24" s="20"/>
      <c r="B24" s="20"/>
      <c r="C24" s="20"/>
      <c r="D24" s="20"/>
      <c r="E24" s="20"/>
    </row>
    <row r="25" spans="1:5" x14ac:dyDescent="0.2">
      <c r="A25" s="20"/>
      <c r="B25" s="20"/>
      <c r="C25" s="20"/>
      <c r="D25" s="20"/>
      <c r="E25" s="20"/>
    </row>
    <row r="26" spans="1:5" x14ac:dyDescent="0.2">
      <c r="A26" s="20"/>
      <c r="B26" s="20"/>
      <c r="C26" s="20"/>
      <c r="D26" s="20"/>
      <c r="E26" s="20"/>
    </row>
    <row r="27" spans="1:5" x14ac:dyDescent="0.2">
      <c r="A27" s="20"/>
      <c r="B27" s="20"/>
      <c r="C27" s="20"/>
      <c r="D27" s="20"/>
      <c r="E27" s="20"/>
    </row>
    <row r="28" spans="1:5" x14ac:dyDescent="0.2">
      <c r="A28" s="20"/>
      <c r="B28" s="20"/>
      <c r="C28" s="20"/>
      <c r="D28" s="20"/>
      <c r="E28" s="20"/>
    </row>
    <row r="29" spans="1:5" x14ac:dyDescent="0.2">
      <c r="A29" s="20"/>
      <c r="B29" s="20"/>
      <c r="C29" s="20"/>
      <c r="D29" s="20"/>
      <c r="E29" s="20"/>
    </row>
    <row r="30" spans="1:5" x14ac:dyDescent="0.2">
      <c r="A30" s="20"/>
      <c r="B30" s="20"/>
      <c r="C30" s="20"/>
      <c r="D30" s="20"/>
      <c r="E30" s="20"/>
    </row>
    <row r="31" spans="1:5" x14ac:dyDescent="0.2">
      <c r="A31" s="20"/>
      <c r="B31" s="20"/>
      <c r="C31" s="20"/>
      <c r="D31" s="20"/>
      <c r="E31" s="20"/>
    </row>
    <row r="32" spans="1:5" x14ac:dyDescent="0.2">
      <c r="A32" s="20"/>
      <c r="B32" s="20"/>
      <c r="C32" s="20"/>
      <c r="D32" s="20"/>
      <c r="E32" s="20"/>
    </row>
    <row r="33" spans="1:5" x14ac:dyDescent="0.2">
      <c r="A33" s="20"/>
      <c r="B33" s="20"/>
      <c r="C33" s="20"/>
      <c r="D33" s="20"/>
      <c r="E33" s="20"/>
    </row>
    <row r="34" spans="1:5" x14ac:dyDescent="0.2">
      <c r="A34" s="20"/>
      <c r="B34" s="20"/>
      <c r="C34" s="20"/>
      <c r="D34" s="20"/>
      <c r="E34" s="20"/>
    </row>
    <row r="35" spans="1:5" x14ac:dyDescent="0.2">
      <c r="A35" s="20"/>
      <c r="B35" s="20"/>
      <c r="C35" s="20"/>
      <c r="D35" s="20"/>
      <c r="E35" s="20"/>
    </row>
    <row r="36" spans="1:5" x14ac:dyDescent="0.2">
      <c r="A36" s="20"/>
      <c r="B36" s="20"/>
      <c r="C36" s="20"/>
      <c r="D36" s="20"/>
      <c r="E36" s="20"/>
    </row>
    <row r="37" spans="1:5" x14ac:dyDescent="0.2">
      <c r="A37" s="20"/>
      <c r="B37" s="20"/>
      <c r="C37" s="20"/>
      <c r="D37" s="20"/>
      <c r="E37" s="20"/>
    </row>
    <row r="38" spans="1:5" x14ac:dyDescent="0.2">
      <c r="A38" s="20"/>
      <c r="B38" s="20"/>
      <c r="C38" s="20"/>
      <c r="D38" s="20"/>
      <c r="E38" s="20"/>
    </row>
    <row r="39" spans="1:5" x14ac:dyDescent="0.2">
      <c r="A39" s="20"/>
      <c r="B39" s="20"/>
      <c r="C39" s="20"/>
      <c r="D39" s="20"/>
      <c r="E39" s="20"/>
    </row>
    <row r="40" spans="1:5" x14ac:dyDescent="0.2">
      <c r="A40" s="20"/>
      <c r="B40" s="20"/>
      <c r="C40" s="20"/>
      <c r="D40" s="20"/>
      <c r="E40" s="20"/>
    </row>
    <row r="41" spans="1:5" x14ac:dyDescent="0.2">
      <c r="A41" s="20"/>
      <c r="B41" s="20"/>
      <c r="C41" s="20"/>
      <c r="D41" s="20"/>
      <c r="E41" s="20"/>
    </row>
    <row r="42" spans="1:5" x14ac:dyDescent="0.2">
      <c r="A42" s="20"/>
      <c r="B42" s="20"/>
      <c r="C42" s="20"/>
      <c r="D42" s="20"/>
      <c r="E42" s="20"/>
    </row>
    <row r="43" spans="1:5" x14ac:dyDescent="0.2">
      <c r="A43" s="20"/>
      <c r="B43" s="20"/>
      <c r="C43" s="20"/>
      <c r="D43" s="20"/>
      <c r="E43" s="20"/>
    </row>
    <row r="44" spans="1:5" x14ac:dyDescent="0.2">
      <c r="A44" s="20"/>
      <c r="B44" s="20"/>
      <c r="C44" s="20"/>
      <c r="D44" s="20"/>
      <c r="E44" s="20"/>
    </row>
    <row r="45" spans="1:5" x14ac:dyDescent="0.2">
      <c r="A45" s="20"/>
      <c r="B45" s="20"/>
      <c r="C45" s="20"/>
      <c r="D45" s="20"/>
      <c r="E45" s="20"/>
    </row>
    <row r="46" spans="1:5" x14ac:dyDescent="0.2">
      <c r="A46" s="20"/>
      <c r="B46" s="20"/>
      <c r="C46" s="20"/>
      <c r="D46" s="20"/>
      <c r="E46" s="20"/>
    </row>
    <row r="47" spans="1:5" x14ac:dyDescent="0.2">
      <c r="A47" s="20"/>
      <c r="B47" s="20"/>
      <c r="C47" s="20"/>
      <c r="D47" s="20"/>
      <c r="E47" s="20"/>
    </row>
    <row r="48" spans="1:5" x14ac:dyDescent="0.2">
      <c r="A48" s="20"/>
      <c r="B48" s="20"/>
      <c r="C48" s="20"/>
      <c r="D48" s="20"/>
      <c r="E48" s="20"/>
    </row>
    <row r="49" spans="1:5" x14ac:dyDescent="0.2">
      <c r="A49" s="20"/>
      <c r="B49" s="20"/>
      <c r="C49" s="20"/>
      <c r="D49" s="20"/>
      <c r="E49" s="20"/>
    </row>
    <row r="50" spans="1:5" x14ac:dyDescent="0.2">
      <c r="A50" s="20"/>
      <c r="B50" s="20"/>
      <c r="C50" s="20"/>
      <c r="D50" s="20"/>
      <c r="E50" s="20"/>
    </row>
    <row r="51" spans="1:5" x14ac:dyDescent="0.2">
      <c r="A51" s="20"/>
      <c r="B51" s="20"/>
      <c r="C51" s="20"/>
      <c r="D51" s="20"/>
      <c r="E51" s="20"/>
    </row>
    <row r="52" spans="1:5" x14ac:dyDescent="0.2">
      <c r="A52" s="20"/>
      <c r="B52" s="20"/>
      <c r="C52" s="20"/>
      <c r="D52" s="20"/>
      <c r="E52" s="20"/>
    </row>
    <row r="53" spans="1:5" x14ac:dyDescent="0.2">
      <c r="A53" s="20"/>
      <c r="B53" s="20"/>
      <c r="C53" s="20"/>
      <c r="D53" s="20"/>
      <c r="E53" s="20"/>
    </row>
    <row r="54" spans="1:5" x14ac:dyDescent="0.2">
      <c r="A54" s="20"/>
      <c r="B54" s="20"/>
      <c r="C54" s="20"/>
      <c r="D54" s="20"/>
      <c r="E54" s="20"/>
    </row>
    <row r="55" spans="1:5" x14ac:dyDescent="0.2">
      <c r="A55" s="20"/>
      <c r="B55" s="20"/>
      <c r="C55" s="20"/>
      <c r="D55" s="20"/>
      <c r="E55" s="20"/>
    </row>
    <row r="56" spans="1:5" x14ac:dyDescent="0.2">
      <c r="A56" s="20"/>
      <c r="B56" s="20"/>
      <c r="C56" s="20"/>
      <c r="D56" s="20"/>
      <c r="E56" s="20"/>
    </row>
    <row r="57" spans="1:5" x14ac:dyDescent="0.2">
      <c r="A57" s="20"/>
      <c r="B57" s="20"/>
      <c r="C57" s="20"/>
      <c r="D57" s="20"/>
      <c r="E57" s="20"/>
    </row>
    <row r="58" spans="1:5" x14ac:dyDescent="0.2">
      <c r="A58" s="20"/>
      <c r="B58" s="20"/>
      <c r="C58" s="20"/>
      <c r="D58" s="20"/>
      <c r="E58" s="20"/>
    </row>
    <row r="59" spans="1:5" x14ac:dyDescent="0.2">
      <c r="A59" s="20"/>
      <c r="B59" s="20"/>
      <c r="C59" s="20"/>
      <c r="D59" s="20"/>
      <c r="E59" s="20"/>
    </row>
    <row r="60" spans="1:5" x14ac:dyDescent="0.2">
      <c r="A60" s="20"/>
      <c r="B60" s="20"/>
      <c r="C60" s="20"/>
      <c r="D60" s="20"/>
      <c r="E60" s="20"/>
    </row>
    <row r="61" spans="1:5" x14ac:dyDescent="0.2">
      <c r="A61" s="20"/>
      <c r="B61" s="20"/>
      <c r="C61" s="20"/>
      <c r="D61" s="20"/>
      <c r="E61" s="20"/>
    </row>
    <row r="62" spans="1:5" x14ac:dyDescent="0.2">
      <c r="A62" s="20"/>
      <c r="B62" s="20"/>
      <c r="C62" s="20"/>
      <c r="D62" s="20"/>
      <c r="E62" s="20"/>
    </row>
    <row r="63" spans="1:5" x14ac:dyDescent="0.2">
      <c r="A63" s="20"/>
      <c r="B63" s="20"/>
      <c r="C63" s="20"/>
      <c r="D63" s="20"/>
      <c r="E63" s="20"/>
    </row>
    <row r="64" spans="1:5" x14ac:dyDescent="0.2">
      <c r="A64" s="20"/>
      <c r="B64" s="20"/>
      <c r="C64" s="20"/>
      <c r="D64" s="20"/>
      <c r="E64" s="20"/>
    </row>
    <row r="65" spans="1:5" x14ac:dyDescent="0.2">
      <c r="A65" s="20"/>
      <c r="B65" s="20"/>
      <c r="C65" s="20"/>
      <c r="D65" s="20"/>
      <c r="E65" s="20"/>
    </row>
    <row r="66" spans="1:5" x14ac:dyDescent="0.2">
      <c r="A66" s="20"/>
      <c r="B66" s="20"/>
      <c r="C66" s="20"/>
      <c r="D66" s="20"/>
      <c r="E66" s="20"/>
    </row>
    <row r="67" spans="1:5" x14ac:dyDescent="0.2">
      <c r="A67" s="20"/>
      <c r="B67" s="20"/>
      <c r="C67" s="20"/>
      <c r="D67" s="20"/>
      <c r="E67" s="20"/>
    </row>
    <row r="68" spans="1:5" x14ac:dyDescent="0.2">
      <c r="A68" s="20"/>
      <c r="B68" s="20"/>
      <c r="C68" s="20"/>
      <c r="D68" s="20"/>
      <c r="E68" s="20"/>
    </row>
    <row r="69" spans="1:5" x14ac:dyDescent="0.2">
      <c r="A69" s="20"/>
      <c r="B69" s="20"/>
      <c r="C69" s="20"/>
      <c r="D69" s="20"/>
      <c r="E69" s="20"/>
    </row>
    <row r="70" spans="1:5" x14ac:dyDescent="0.2">
      <c r="A70" s="20"/>
      <c r="B70" s="20"/>
      <c r="C70" s="20"/>
      <c r="D70" s="20"/>
      <c r="E70" s="20"/>
    </row>
    <row r="71" spans="1:5" x14ac:dyDescent="0.2">
      <c r="A71" s="20"/>
      <c r="B71" s="20"/>
      <c r="C71" s="20"/>
      <c r="D71" s="20"/>
      <c r="E71" s="20"/>
    </row>
    <row r="72" spans="1:5" x14ac:dyDescent="0.2">
      <c r="A72" s="20"/>
      <c r="B72" s="20"/>
      <c r="C72" s="20"/>
      <c r="D72" s="20"/>
      <c r="E72" s="20"/>
    </row>
    <row r="73" spans="1:5" x14ac:dyDescent="0.2">
      <c r="A73" s="20"/>
      <c r="B73" s="20"/>
      <c r="C73" s="20"/>
      <c r="D73" s="20"/>
      <c r="E73" s="20"/>
    </row>
    <row r="74" spans="1:5" x14ac:dyDescent="0.2">
      <c r="A74" s="20"/>
      <c r="B74" s="20"/>
      <c r="C74" s="20"/>
      <c r="D74" s="20"/>
      <c r="E74" s="20"/>
    </row>
    <row r="75" spans="1:5" x14ac:dyDescent="0.2">
      <c r="A75" s="20"/>
      <c r="B75" s="20"/>
      <c r="C75" s="20"/>
      <c r="D75" s="20"/>
      <c r="E75" s="20"/>
    </row>
    <row r="76" spans="1:5" x14ac:dyDescent="0.2">
      <c r="A76" s="20"/>
      <c r="B76" s="20"/>
      <c r="C76" s="20"/>
      <c r="D76" s="20"/>
      <c r="E76" s="20"/>
    </row>
    <row r="77" spans="1:5" x14ac:dyDescent="0.2">
      <c r="A77" s="20"/>
      <c r="B77" s="20"/>
      <c r="C77" s="20"/>
      <c r="D77" s="20"/>
      <c r="E77" s="20"/>
    </row>
    <row r="78" spans="1:5" x14ac:dyDescent="0.2">
      <c r="A78" s="20"/>
      <c r="B78" s="20"/>
      <c r="C78" s="20"/>
      <c r="D78" s="20"/>
      <c r="E78" s="20"/>
    </row>
    <row r="79" spans="1:5" x14ac:dyDescent="0.2">
      <c r="A79" s="20"/>
      <c r="B79" s="20"/>
      <c r="C79" s="20"/>
      <c r="D79" s="20"/>
      <c r="E79" s="20"/>
    </row>
    <row r="80" spans="1:5" x14ac:dyDescent="0.2">
      <c r="A80" s="20"/>
      <c r="B80" s="20"/>
      <c r="C80" s="20"/>
      <c r="D80" s="20"/>
      <c r="E80" s="20"/>
    </row>
    <row r="81" spans="1:5" x14ac:dyDescent="0.2">
      <c r="A81" s="20"/>
      <c r="B81" s="20"/>
      <c r="C81" s="20"/>
      <c r="D81" s="20"/>
      <c r="E81" s="20"/>
    </row>
    <row r="82" spans="1:5" x14ac:dyDescent="0.2">
      <c r="A82" s="20"/>
      <c r="B82" s="20"/>
      <c r="C82" s="20"/>
      <c r="D82" s="20"/>
      <c r="E82" s="20"/>
    </row>
    <row r="83" spans="1:5" x14ac:dyDescent="0.2">
      <c r="A83" s="20"/>
      <c r="B83" s="20"/>
      <c r="C83" s="20"/>
      <c r="D83" s="20"/>
      <c r="E83" s="20"/>
    </row>
    <row r="84" spans="1:5" x14ac:dyDescent="0.2">
      <c r="A84" s="20"/>
      <c r="B84" s="20"/>
      <c r="C84" s="20"/>
      <c r="D84" s="20"/>
      <c r="E84" s="20"/>
    </row>
    <row r="85" spans="1:5" x14ac:dyDescent="0.2">
      <c r="A85" s="20"/>
      <c r="B85" s="20"/>
      <c r="C85" s="20"/>
      <c r="D85" s="20"/>
      <c r="E85" s="20"/>
    </row>
    <row r="86" spans="1:5" x14ac:dyDescent="0.2">
      <c r="A86" s="20"/>
      <c r="B86" s="20"/>
      <c r="C86" s="20"/>
      <c r="D86" s="20"/>
      <c r="E86" s="20"/>
    </row>
    <row r="87" spans="1:5" x14ac:dyDescent="0.2">
      <c r="A87" s="20"/>
      <c r="B87" s="20"/>
      <c r="C87" s="20"/>
      <c r="D87" s="20"/>
      <c r="E87" s="20"/>
    </row>
    <row r="88" spans="1:5" x14ac:dyDescent="0.2">
      <c r="A88" s="20"/>
      <c r="B88" s="20"/>
      <c r="C88" s="20"/>
      <c r="D88" s="20"/>
      <c r="E88" s="20"/>
    </row>
    <row r="89" spans="1:5" x14ac:dyDescent="0.2">
      <c r="A89" s="20"/>
      <c r="B89" s="20"/>
      <c r="C89" s="20"/>
      <c r="D89" s="20"/>
      <c r="E89" s="20"/>
    </row>
    <row r="90" spans="1:5" x14ac:dyDescent="0.2">
      <c r="A90" s="20"/>
      <c r="B90" s="20"/>
      <c r="C90" s="20"/>
      <c r="D90" s="20"/>
      <c r="E90" s="20"/>
    </row>
    <row r="91" spans="1:5" x14ac:dyDescent="0.2">
      <c r="A91" s="20"/>
      <c r="B91" s="20"/>
      <c r="C91" s="20"/>
      <c r="D91" s="20"/>
      <c r="E91" s="20"/>
    </row>
    <row r="92" spans="1:5" x14ac:dyDescent="0.2">
      <c r="A92" s="20"/>
      <c r="B92" s="20"/>
      <c r="C92" s="20"/>
      <c r="D92" s="20"/>
      <c r="E92" s="20"/>
    </row>
    <row r="93" spans="1:5" x14ac:dyDescent="0.2">
      <c r="A93" s="20"/>
      <c r="B93" s="20"/>
      <c r="C93" s="20"/>
      <c r="D93" s="20"/>
      <c r="E93" s="20"/>
    </row>
    <row r="94" spans="1:5" x14ac:dyDescent="0.2">
      <c r="A94" s="20"/>
      <c r="B94" s="20"/>
      <c r="C94" s="20"/>
      <c r="D94" s="20"/>
      <c r="E94" s="20"/>
    </row>
    <row r="95" spans="1:5" x14ac:dyDescent="0.2">
      <c r="A95" s="20"/>
      <c r="B95" s="20"/>
      <c r="C95" s="20"/>
      <c r="D95" s="20"/>
      <c r="E95" s="20"/>
    </row>
    <row r="96" spans="1:5" x14ac:dyDescent="0.2">
      <c r="A96" s="20"/>
      <c r="B96" s="20"/>
      <c r="C96" s="20"/>
      <c r="D96" s="20"/>
      <c r="E96" s="20"/>
    </row>
    <row r="97" spans="1:5" x14ac:dyDescent="0.2">
      <c r="A97" s="20"/>
      <c r="B97" s="20"/>
      <c r="C97" s="20"/>
      <c r="D97" s="20"/>
      <c r="E97" s="20"/>
    </row>
    <row r="98" spans="1:5" x14ac:dyDescent="0.2">
      <c r="A98" s="20"/>
      <c r="B98" s="20"/>
      <c r="C98" s="20"/>
      <c r="D98" s="20"/>
      <c r="E98" s="20"/>
    </row>
    <row r="99" spans="1:5" x14ac:dyDescent="0.2">
      <c r="A99" s="20"/>
      <c r="B99" s="20"/>
      <c r="C99" s="20"/>
      <c r="D99" s="20"/>
      <c r="E99" s="20"/>
    </row>
    <row r="100" spans="1:5" x14ac:dyDescent="0.2">
      <c r="A100" s="20"/>
      <c r="B100" s="20"/>
      <c r="C100" s="20"/>
      <c r="D100" s="20"/>
      <c r="E100" s="20"/>
    </row>
  </sheetData>
  <mergeCells count="1">
    <mergeCell ref="A1:E1"/>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69F7CE-936B-4A4A-BC42-9431318D6A6B}">
  <sheetPr codeName="Sheet29">
    <tabColor theme="6" tint="0.79998168889431442"/>
  </sheetPr>
  <dimension ref="A1:R1000"/>
  <sheetViews>
    <sheetView workbookViewId="0">
      <selection activeCell="A3" sqref="A3"/>
    </sheetView>
  </sheetViews>
  <sheetFormatPr defaultRowHeight="12.75" x14ac:dyDescent="0.2"/>
  <cols>
    <col min="1" max="1" width="8" style="65" bestFit="1" customWidth="1"/>
    <col min="2" max="2" width="19.42578125" style="65" bestFit="1" customWidth="1"/>
    <col min="3" max="3" width="7.42578125" style="65" bestFit="1" customWidth="1"/>
    <col min="4" max="4" width="10" style="65" bestFit="1" customWidth="1"/>
    <col min="5" max="5" width="15" style="65" bestFit="1" customWidth="1"/>
    <col min="6" max="6" width="8.5703125" style="65" bestFit="1" customWidth="1"/>
    <col min="7" max="7" width="13.5703125" style="65" bestFit="1" customWidth="1"/>
    <col min="8" max="8" width="16.140625" style="65" bestFit="1" customWidth="1"/>
    <col min="9" max="9" width="6.140625" style="65" bestFit="1" customWidth="1"/>
    <col min="10" max="15" width="9.140625" style="65"/>
    <col min="16" max="16" width="12.85546875" style="65" customWidth="1"/>
    <col min="17" max="17" width="16.140625" style="65" bestFit="1" customWidth="1"/>
    <col min="18" max="16384" width="9.140625" style="65"/>
  </cols>
  <sheetData>
    <row r="1" spans="1:18" x14ac:dyDescent="0.2">
      <c r="A1" s="950" t="s">
        <v>1302</v>
      </c>
      <c r="B1" s="950"/>
      <c r="C1" s="950"/>
      <c r="D1" s="950"/>
      <c r="E1" s="950"/>
      <c r="F1" s="950"/>
      <c r="G1" s="950"/>
      <c r="H1" s="950"/>
      <c r="I1" s="950"/>
      <c r="K1" s="540"/>
    </row>
    <row r="2" spans="1:18" x14ac:dyDescent="0.2">
      <c r="A2" s="593" t="s">
        <v>638</v>
      </c>
      <c r="B2" s="593" t="s">
        <v>1236</v>
      </c>
      <c r="C2" s="593" t="s">
        <v>1276</v>
      </c>
      <c r="D2" s="593" t="s">
        <v>1027</v>
      </c>
      <c r="E2" s="613" t="s">
        <v>1243</v>
      </c>
      <c r="F2" s="593" t="s">
        <v>1245</v>
      </c>
      <c r="G2" s="613" t="s">
        <v>1246</v>
      </c>
      <c r="H2" s="588" t="s">
        <v>1294</v>
      </c>
      <c r="I2" s="582" t="s">
        <v>1060</v>
      </c>
      <c r="O2" s="582" t="s">
        <v>1027</v>
      </c>
      <c r="P2" s="582" t="s">
        <v>1049</v>
      </c>
      <c r="Q2" s="582" t="s">
        <v>1059</v>
      </c>
      <c r="R2" s="582" t="s">
        <v>1060</v>
      </c>
    </row>
    <row r="3" spans="1:18" x14ac:dyDescent="0.2">
      <c r="A3" s="20"/>
      <c r="B3" s="20"/>
      <c r="C3" s="20"/>
      <c r="D3" s="20"/>
      <c r="E3" s="20"/>
      <c r="F3" s="20"/>
      <c r="G3" s="20"/>
      <c r="H3" s="20"/>
      <c r="I3" s="20"/>
      <c r="O3" s="20">
        <v>1</v>
      </c>
      <c r="P3" s="369" t="s">
        <v>1233</v>
      </c>
      <c r="Q3" s="369" t="s">
        <v>1241</v>
      </c>
      <c r="R3" s="20">
        <v>80</v>
      </c>
    </row>
    <row r="4" spans="1:18" x14ac:dyDescent="0.2">
      <c r="A4" s="20"/>
      <c r="B4" s="20"/>
      <c r="C4" s="20"/>
      <c r="D4" s="20"/>
      <c r="E4" s="20"/>
      <c r="F4" s="20"/>
      <c r="G4" s="20"/>
      <c r="H4" s="20"/>
      <c r="I4" s="20"/>
      <c r="O4" s="20">
        <v>1</v>
      </c>
      <c r="P4" s="20">
        <v>1</v>
      </c>
      <c r="Q4" s="369" t="s">
        <v>1070</v>
      </c>
      <c r="R4" s="20">
        <v>95</v>
      </c>
    </row>
    <row r="5" spans="1:18" x14ac:dyDescent="0.2">
      <c r="A5" s="20"/>
      <c r="B5" s="20"/>
      <c r="C5" s="20"/>
      <c r="D5" s="20"/>
      <c r="E5" s="20"/>
      <c r="F5" s="20"/>
      <c r="G5" s="20"/>
      <c r="H5" s="20"/>
      <c r="I5" s="20"/>
      <c r="O5" s="20">
        <v>1</v>
      </c>
      <c r="P5" s="20">
        <v>2</v>
      </c>
      <c r="Q5" s="369" t="s">
        <v>1071</v>
      </c>
      <c r="R5" s="20">
        <v>97</v>
      </c>
    </row>
    <row r="6" spans="1:18" x14ac:dyDescent="0.2">
      <c r="A6" s="20"/>
      <c r="B6" s="20"/>
      <c r="C6" s="20"/>
      <c r="D6" s="20"/>
      <c r="E6" s="20"/>
      <c r="F6" s="20"/>
      <c r="G6" s="20"/>
      <c r="H6" s="20"/>
      <c r="I6" s="20"/>
      <c r="O6" s="20">
        <v>2</v>
      </c>
      <c r="P6" s="369" t="s">
        <v>1233</v>
      </c>
      <c r="Q6" s="369" t="s">
        <v>1241</v>
      </c>
      <c r="R6" s="20">
        <v>85</v>
      </c>
    </row>
    <row r="7" spans="1:18" x14ac:dyDescent="0.2">
      <c r="A7" s="20"/>
      <c r="B7" s="20"/>
      <c r="C7" s="20"/>
      <c r="D7" s="20"/>
      <c r="E7" s="20"/>
      <c r="F7" s="20"/>
      <c r="G7" s="20"/>
      <c r="H7" s="20"/>
      <c r="I7" s="20"/>
      <c r="O7" s="20">
        <v>2</v>
      </c>
      <c r="P7" s="20">
        <v>1</v>
      </c>
      <c r="Q7" s="369" t="s">
        <v>1070</v>
      </c>
      <c r="R7" s="20">
        <v>94</v>
      </c>
    </row>
    <row r="8" spans="1:18" x14ac:dyDescent="0.2">
      <c r="A8" s="20"/>
      <c r="B8" s="20"/>
      <c r="C8" s="20"/>
      <c r="D8" s="20"/>
      <c r="E8" s="20"/>
      <c r="F8" s="20"/>
      <c r="G8" s="20"/>
      <c r="H8" s="20"/>
      <c r="I8" s="20"/>
      <c r="O8" s="20">
        <v>2</v>
      </c>
      <c r="P8" s="20">
        <v>2</v>
      </c>
      <c r="Q8" s="369" t="s">
        <v>1071</v>
      </c>
      <c r="R8" s="20">
        <v>96</v>
      </c>
    </row>
    <row r="9" spans="1:18" x14ac:dyDescent="0.2">
      <c r="A9" s="20"/>
      <c r="B9" s="20"/>
      <c r="C9" s="20"/>
      <c r="D9" s="20"/>
      <c r="E9" s="20"/>
      <c r="F9" s="20"/>
      <c r="G9" s="20"/>
      <c r="H9" s="20"/>
      <c r="I9" s="20"/>
      <c r="O9" s="20">
        <v>2</v>
      </c>
      <c r="P9" s="20">
        <v>3</v>
      </c>
      <c r="Q9" s="369" t="s">
        <v>1072</v>
      </c>
      <c r="R9" s="20">
        <v>101</v>
      </c>
    </row>
    <row r="10" spans="1:18" x14ac:dyDescent="0.2">
      <c r="A10" s="20"/>
      <c r="B10" s="20"/>
      <c r="C10" s="20"/>
      <c r="D10" s="20"/>
      <c r="E10" s="20"/>
      <c r="F10" s="20"/>
      <c r="G10" s="20"/>
      <c r="H10" s="20"/>
      <c r="I10" s="20"/>
    </row>
    <row r="11" spans="1:18" x14ac:dyDescent="0.2">
      <c r="A11" s="20"/>
      <c r="B11" s="20"/>
      <c r="C11" s="20"/>
      <c r="D11" s="20"/>
      <c r="E11" s="20"/>
      <c r="F11" s="20"/>
      <c r="G11" s="20"/>
      <c r="H11" s="20"/>
      <c r="I11" s="20"/>
      <c r="O11" s="66" t="s">
        <v>1222</v>
      </c>
    </row>
    <row r="12" spans="1:18" x14ac:dyDescent="0.2">
      <c r="A12" s="20"/>
      <c r="B12" s="20"/>
      <c r="C12" s="20"/>
      <c r="D12" s="20"/>
      <c r="E12" s="20"/>
      <c r="F12" s="20"/>
      <c r="G12" s="20"/>
      <c r="H12" s="20"/>
      <c r="I12" s="20"/>
      <c r="O12" s="66" t="s">
        <v>1223</v>
      </c>
    </row>
    <row r="13" spans="1:18" x14ac:dyDescent="0.2">
      <c r="A13" s="20"/>
      <c r="B13" s="20"/>
      <c r="C13" s="20"/>
      <c r="D13" s="20"/>
      <c r="E13" s="20"/>
      <c r="F13" s="20"/>
      <c r="G13" s="20"/>
      <c r="H13" s="20"/>
      <c r="I13" s="20"/>
    </row>
    <row r="14" spans="1:18" x14ac:dyDescent="0.2">
      <c r="A14" s="20"/>
      <c r="B14" s="20"/>
      <c r="C14" s="20"/>
      <c r="D14" s="20"/>
      <c r="E14" s="20"/>
      <c r="F14" s="20"/>
      <c r="G14" s="20"/>
      <c r="H14" s="20"/>
      <c r="I14" s="20"/>
    </row>
    <row r="15" spans="1:18" x14ac:dyDescent="0.2">
      <c r="A15" s="20"/>
      <c r="B15" s="20"/>
      <c r="C15" s="20"/>
      <c r="D15" s="20"/>
      <c r="E15" s="20"/>
      <c r="F15" s="20"/>
      <c r="G15" s="20"/>
      <c r="H15" s="20"/>
      <c r="I15" s="20"/>
    </row>
    <row r="16" spans="1:18" x14ac:dyDescent="0.2">
      <c r="A16" s="20"/>
      <c r="B16" s="20"/>
      <c r="C16" s="20"/>
      <c r="D16" s="20"/>
      <c r="E16" s="20"/>
      <c r="F16" s="20"/>
      <c r="G16" s="20"/>
      <c r="H16" s="20"/>
      <c r="I16" s="20"/>
    </row>
    <row r="17" spans="1:9" x14ac:dyDescent="0.2">
      <c r="A17" s="20"/>
      <c r="B17" s="20"/>
      <c r="C17" s="20"/>
      <c r="D17" s="20"/>
      <c r="E17" s="20"/>
      <c r="F17" s="20"/>
      <c r="G17" s="20"/>
      <c r="H17" s="20"/>
      <c r="I17" s="20"/>
    </row>
    <row r="18" spans="1:9" x14ac:dyDescent="0.2">
      <c r="A18" s="20"/>
      <c r="B18" s="20"/>
      <c r="C18" s="20"/>
      <c r="D18" s="20"/>
      <c r="E18" s="20"/>
      <c r="F18" s="20"/>
      <c r="G18" s="20"/>
      <c r="H18" s="20"/>
      <c r="I18" s="20"/>
    </row>
    <row r="19" spans="1:9" x14ac:dyDescent="0.2">
      <c r="A19" s="20"/>
      <c r="B19" s="20"/>
      <c r="C19" s="20"/>
      <c r="D19" s="20"/>
      <c r="E19" s="20"/>
      <c r="F19" s="20"/>
      <c r="G19" s="20"/>
      <c r="H19" s="20"/>
      <c r="I19" s="20"/>
    </row>
    <row r="20" spans="1:9" x14ac:dyDescent="0.2">
      <c r="A20" s="20"/>
      <c r="B20" s="20"/>
      <c r="C20" s="20"/>
      <c r="D20" s="20"/>
      <c r="E20" s="20"/>
      <c r="F20" s="20"/>
      <c r="G20" s="20"/>
      <c r="H20" s="20"/>
      <c r="I20" s="20"/>
    </row>
    <row r="21" spans="1:9" x14ac:dyDescent="0.2">
      <c r="A21" s="20"/>
      <c r="B21" s="20"/>
      <c r="C21" s="20"/>
      <c r="D21" s="20"/>
      <c r="E21" s="20"/>
      <c r="F21" s="20"/>
      <c r="G21" s="20"/>
      <c r="H21" s="20"/>
      <c r="I21" s="20"/>
    </row>
    <row r="22" spans="1:9" x14ac:dyDescent="0.2">
      <c r="A22" s="20"/>
      <c r="B22" s="20"/>
      <c r="C22" s="20"/>
      <c r="D22" s="20"/>
      <c r="E22" s="20"/>
      <c r="F22" s="20"/>
      <c r="G22" s="20"/>
      <c r="H22" s="20"/>
      <c r="I22" s="20"/>
    </row>
    <row r="23" spans="1:9" x14ac:dyDescent="0.2">
      <c r="A23" s="20"/>
      <c r="B23" s="20"/>
      <c r="C23" s="20"/>
      <c r="D23" s="20"/>
      <c r="E23" s="20"/>
      <c r="F23" s="20"/>
      <c r="G23" s="20"/>
      <c r="H23" s="20"/>
      <c r="I23" s="20"/>
    </row>
    <row r="24" spans="1:9" x14ac:dyDescent="0.2">
      <c r="A24" s="20"/>
      <c r="B24" s="20"/>
      <c r="C24" s="20"/>
      <c r="D24" s="20"/>
      <c r="E24" s="20"/>
      <c r="F24" s="20"/>
      <c r="G24" s="20"/>
      <c r="H24" s="20"/>
      <c r="I24" s="20"/>
    </row>
    <row r="25" spans="1:9" x14ac:dyDescent="0.2">
      <c r="A25" s="20"/>
      <c r="B25" s="20"/>
      <c r="C25" s="20"/>
      <c r="D25" s="20"/>
      <c r="E25" s="20"/>
      <c r="F25" s="20"/>
      <c r="G25" s="20"/>
      <c r="H25" s="20"/>
      <c r="I25" s="20"/>
    </row>
    <row r="26" spans="1:9" x14ac:dyDescent="0.2">
      <c r="A26" s="20"/>
      <c r="B26" s="20"/>
      <c r="C26" s="20"/>
      <c r="D26" s="20"/>
      <c r="E26" s="20"/>
      <c r="F26" s="20"/>
      <c r="G26" s="20"/>
      <c r="H26" s="20"/>
      <c r="I26" s="20"/>
    </row>
    <row r="27" spans="1:9" x14ac:dyDescent="0.2">
      <c r="A27" s="20"/>
      <c r="B27" s="20"/>
      <c r="C27" s="20"/>
      <c r="D27" s="20"/>
      <c r="E27" s="20"/>
      <c r="F27" s="20"/>
      <c r="G27" s="20"/>
      <c r="H27" s="20"/>
      <c r="I27" s="20"/>
    </row>
    <row r="28" spans="1:9" x14ac:dyDescent="0.2">
      <c r="A28" s="20"/>
      <c r="B28" s="20"/>
      <c r="C28" s="20"/>
      <c r="D28" s="20"/>
      <c r="E28" s="20"/>
      <c r="F28" s="20"/>
      <c r="G28" s="20"/>
      <c r="H28" s="20"/>
      <c r="I28" s="20"/>
    </row>
    <row r="29" spans="1:9" x14ac:dyDescent="0.2">
      <c r="A29" s="20"/>
      <c r="B29" s="20"/>
      <c r="C29" s="20"/>
      <c r="D29" s="20"/>
      <c r="E29" s="20"/>
      <c r="F29" s="20"/>
      <c r="G29" s="20"/>
      <c r="H29" s="20"/>
      <c r="I29" s="20"/>
    </row>
    <row r="30" spans="1:9" x14ac:dyDescent="0.2">
      <c r="A30" s="20"/>
      <c r="B30" s="20"/>
      <c r="C30" s="20"/>
      <c r="D30" s="20"/>
      <c r="E30" s="20"/>
      <c r="F30" s="20"/>
      <c r="G30" s="20"/>
      <c r="H30" s="20"/>
      <c r="I30" s="20"/>
    </row>
    <row r="31" spans="1:9" x14ac:dyDescent="0.2">
      <c r="A31" s="20"/>
      <c r="B31" s="20"/>
      <c r="C31" s="20"/>
      <c r="D31" s="20"/>
      <c r="E31" s="20"/>
      <c r="F31" s="20"/>
      <c r="G31" s="20"/>
      <c r="H31" s="20"/>
      <c r="I31" s="20"/>
    </row>
    <row r="32" spans="1:9" x14ac:dyDescent="0.2">
      <c r="A32" s="20"/>
      <c r="B32" s="20"/>
      <c r="C32" s="20"/>
      <c r="D32" s="20"/>
      <c r="E32" s="20"/>
      <c r="F32" s="20"/>
      <c r="G32" s="20"/>
      <c r="H32" s="20"/>
      <c r="I32" s="20"/>
    </row>
    <row r="33" spans="1:9" x14ac:dyDescent="0.2">
      <c r="A33" s="20"/>
      <c r="B33" s="20"/>
      <c r="C33" s="20"/>
      <c r="D33" s="20"/>
      <c r="E33" s="20"/>
      <c r="F33" s="20"/>
      <c r="G33" s="20"/>
      <c r="H33" s="20"/>
      <c r="I33" s="20"/>
    </row>
    <row r="34" spans="1:9" x14ac:dyDescent="0.2">
      <c r="A34" s="20"/>
      <c r="B34" s="20"/>
      <c r="C34" s="20"/>
      <c r="D34" s="20"/>
      <c r="E34" s="20"/>
      <c r="F34" s="20"/>
      <c r="G34" s="20"/>
      <c r="H34" s="20"/>
      <c r="I34" s="20"/>
    </row>
    <row r="35" spans="1:9" x14ac:dyDescent="0.2">
      <c r="A35" s="20"/>
      <c r="B35" s="20"/>
      <c r="C35" s="20"/>
      <c r="D35" s="20"/>
      <c r="E35" s="20"/>
      <c r="F35" s="20"/>
      <c r="G35" s="20"/>
      <c r="H35" s="20"/>
      <c r="I35" s="20"/>
    </row>
    <row r="36" spans="1:9" x14ac:dyDescent="0.2">
      <c r="A36" s="20"/>
      <c r="B36" s="20"/>
      <c r="C36" s="20"/>
      <c r="D36" s="20"/>
      <c r="E36" s="20"/>
      <c r="F36" s="20"/>
      <c r="G36" s="20"/>
      <c r="H36" s="20"/>
      <c r="I36" s="20"/>
    </row>
    <row r="37" spans="1:9" x14ac:dyDescent="0.2">
      <c r="A37" s="20"/>
      <c r="B37" s="20"/>
      <c r="C37" s="20"/>
      <c r="D37" s="20"/>
      <c r="E37" s="20"/>
      <c r="F37" s="20"/>
      <c r="G37" s="20"/>
      <c r="H37" s="20"/>
      <c r="I37" s="20"/>
    </row>
    <row r="38" spans="1:9" x14ac:dyDescent="0.2">
      <c r="A38" s="20"/>
      <c r="B38" s="20"/>
      <c r="C38" s="20"/>
      <c r="D38" s="20"/>
      <c r="E38" s="20"/>
      <c r="F38" s="20"/>
      <c r="G38" s="20"/>
      <c r="H38" s="20"/>
      <c r="I38" s="20"/>
    </row>
    <row r="39" spans="1:9" x14ac:dyDescent="0.2">
      <c r="A39" s="20"/>
      <c r="B39" s="20"/>
      <c r="C39" s="20"/>
      <c r="D39" s="20"/>
      <c r="E39" s="20"/>
      <c r="F39" s="20"/>
      <c r="G39" s="20"/>
      <c r="H39" s="20"/>
      <c r="I39" s="20"/>
    </row>
    <row r="40" spans="1:9" x14ac:dyDescent="0.2">
      <c r="A40" s="20"/>
      <c r="B40" s="20"/>
      <c r="C40" s="20"/>
      <c r="D40" s="20"/>
      <c r="E40" s="20"/>
      <c r="F40" s="20"/>
      <c r="G40" s="20"/>
      <c r="H40" s="20"/>
      <c r="I40" s="20"/>
    </row>
    <row r="41" spans="1:9" x14ac:dyDescent="0.2">
      <c r="A41" s="20"/>
      <c r="B41" s="20"/>
      <c r="C41" s="20"/>
      <c r="D41" s="20"/>
      <c r="E41" s="20"/>
      <c r="F41" s="20"/>
      <c r="G41" s="20"/>
      <c r="H41" s="20"/>
      <c r="I41" s="20"/>
    </row>
    <row r="42" spans="1:9" x14ac:dyDescent="0.2">
      <c r="A42" s="20"/>
      <c r="B42" s="20"/>
      <c r="C42" s="20"/>
      <c r="D42" s="20"/>
      <c r="E42" s="20"/>
      <c r="F42" s="20"/>
      <c r="G42" s="20"/>
      <c r="H42" s="20"/>
      <c r="I42" s="20"/>
    </row>
    <row r="43" spans="1:9" x14ac:dyDescent="0.2">
      <c r="A43" s="20"/>
      <c r="B43" s="20"/>
      <c r="C43" s="20"/>
      <c r="D43" s="20"/>
      <c r="E43" s="20"/>
      <c r="F43" s="20"/>
      <c r="G43" s="20"/>
      <c r="H43" s="20"/>
      <c r="I43" s="20"/>
    </row>
    <row r="44" spans="1:9" x14ac:dyDescent="0.2">
      <c r="A44" s="20"/>
      <c r="B44" s="20"/>
      <c r="C44" s="20"/>
      <c r="D44" s="20"/>
      <c r="E44" s="20"/>
      <c r="F44" s="20"/>
      <c r="G44" s="20"/>
      <c r="H44" s="20"/>
      <c r="I44" s="20"/>
    </row>
    <row r="45" spans="1:9" x14ac:dyDescent="0.2">
      <c r="A45" s="20"/>
      <c r="B45" s="20"/>
      <c r="C45" s="20"/>
      <c r="D45" s="20"/>
      <c r="E45" s="20"/>
      <c r="F45" s="20"/>
      <c r="G45" s="20"/>
      <c r="H45" s="20"/>
      <c r="I45" s="20"/>
    </row>
    <row r="46" spans="1:9" x14ac:dyDescent="0.2">
      <c r="A46" s="20"/>
      <c r="B46" s="20"/>
      <c r="C46" s="20"/>
      <c r="D46" s="20"/>
      <c r="E46" s="20"/>
      <c r="F46" s="20"/>
      <c r="G46" s="20"/>
      <c r="H46" s="20"/>
      <c r="I46" s="20"/>
    </row>
    <row r="47" spans="1:9" x14ac:dyDescent="0.2">
      <c r="A47" s="20"/>
      <c r="B47" s="20"/>
      <c r="C47" s="20"/>
      <c r="D47" s="20"/>
      <c r="E47" s="20"/>
      <c r="F47" s="20"/>
      <c r="G47" s="20"/>
      <c r="H47" s="20"/>
      <c r="I47" s="20"/>
    </row>
    <row r="48" spans="1:9" x14ac:dyDescent="0.2">
      <c r="A48" s="20"/>
      <c r="B48" s="20"/>
      <c r="C48" s="20"/>
      <c r="D48" s="20"/>
      <c r="E48" s="20"/>
      <c r="F48" s="20"/>
      <c r="G48" s="20"/>
      <c r="H48" s="20"/>
      <c r="I48" s="20"/>
    </row>
    <row r="49" spans="1:9" x14ac:dyDescent="0.2">
      <c r="A49" s="20"/>
      <c r="B49" s="20"/>
      <c r="C49" s="20"/>
      <c r="D49" s="20"/>
      <c r="E49" s="20"/>
      <c r="F49" s="20"/>
      <c r="G49" s="20"/>
      <c r="H49" s="20"/>
      <c r="I49" s="20"/>
    </row>
    <row r="50" spans="1:9" x14ac:dyDescent="0.2">
      <c r="A50" s="20"/>
      <c r="B50" s="20"/>
      <c r="C50" s="20"/>
      <c r="D50" s="20"/>
      <c r="E50" s="20"/>
      <c r="F50" s="20"/>
      <c r="G50" s="20"/>
      <c r="H50" s="20"/>
      <c r="I50" s="20"/>
    </row>
    <row r="51" spans="1:9" x14ac:dyDescent="0.2">
      <c r="A51" s="20"/>
      <c r="B51" s="20"/>
      <c r="C51" s="20"/>
      <c r="D51" s="20"/>
      <c r="E51" s="20"/>
      <c r="F51" s="20"/>
      <c r="G51" s="20"/>
      <c r="H51" s="20"/>
      <c r="I51" s="20"/>
    </row>
    <row r="52" spans="1:9" x14ac:dyDescent="0.2">
      <c r="A52" s="20"/>
      <c r="B52" s="20"/>
      <c r="C52" s="20"/>
      <c r="D52" s="20"/>
      <c r="E52" s="20"/>
      <c r="F52" s="20"/>
      <c r="G52" s="20"/>
      <c r="H52" s="20"/>
      <c r="I52" s="20"/>
    </row>
    <row r="53" spans="1:9" x14ac:dyDescent="0.2">
      <c r="A53" s="20"/>
      <c r="B53" s="20"/>
      <c r="C53" s="20"/>
      <c r="D53" s="20"/>
      <c r="E53" s="20"/>
      <c r="F53" s="20"/>
      <c r="G53" s="20"/>
      <c r="H53" s="20"/>
      <c r="I53" s="20"/>
    </row>
    <row r="54" spans="1:9" x14ac:dyDescent="0.2">
      <c r="A54" s="20"/>
      <c r="B54" s="20"/>
      <c r="C54" s="20"/>
      <c r="D54" s="20"/>
      <c r="E54" s="20"/>
      <c r="F54" s="20"/>
      <c r="G54" s="20"/>
      <c r="H54" s="20"/>
      <c r="I54" s="20"/>
    </row>
    <row r="55" spans="1:9" x14ac:dyDescent="0.2">
      <c r="A55" s="20"/>
      <c r="B55" s="20"/>
      <c r="C55" s="20"/>
      <c r="D55" s="20"/>
      <c r="E55" s="20"/>
      <c r="F55" s="20"/>
      <c r="G55" s="20"/>
      <c r="H55" s="20"/>
      <c r="I55" s="20"/>
    </row>
    <row r="56" spans="1:9" x14ac:dyDescent="0.2">
      <c r="A56" s="20"/>
      <c r="B56" s="20"/>
      <c r="C56" s="20"/>
      <c r="D56" s="20"/>
      <c r="E56" s="20"/>
      <c r="F56" s="20"/>
      <c r="G56" s="20"/>
      <c r="H56" s="20"/>
      <c r="I56" s="20"/>
    </row>
    <row r="57" spans="1:9" x14ac:dyDescent="0.2">
      <c r="A57" s="20"/>
      <c r="B57" s="20"/>
      <c r="C57" s="20"/>
      <c r="D57" s="20"/>
      <c r="E57" s="20"/>
      <c r="F57" s="20"/>
      <c r="G57" s="20"/>
      <c r="H57" s="20"/>
      <c r="I57" s="20"/>
    </row>
    <row r="58" spans="1:9" x14ac:dyDescent="0.2">
      <c r="A58" s="20"/>
      <c r="B58" s="20"/>
      <c r="C58" s="20"/>
      <c r="D58" s="20"/>
      <c r="E58" s="20"/>
      <c r="F58" s="20"/>
      <c r="G58" s="20"/>
      <c r="H58" s="20"/>
      <c r="I58" s="20"/>
    </row>
    <row r="59" spans="1:9" x14ac:dyDescent="0.2">
      <c r="A59" s="20"/>
      <c r="B59" s="20"/>
      <c r="C59" s="20"/>
      <c r="D59" s="20"/>
      <c r="E59" s="20"/>
      <c r="F59" s="20"/>
      <c r="G59" s="20"/>
      <c r="H59" s="20"/>
      <c r="I59" s="20"/>
    </row>
    <row r="60" spans="1:9" x14ac:dyDescent="0.2">
      <c r="A60" s="20"/>
      <c r="B60" s="20"/>
      <c r="C60" s="20"/>
      <c r="D60" s="20"/>
      <c r="E60" s="20"/>
      <c r="F60" s="20"/>
      <c r="G60" s="20"/>
      <c r="H60" s="20"/>
      <c r="I60" s="20"/>
    </row>
    <row r="61" spans="1:9" x14ac:dyDescent="0.2">
      <c r="A61" s="20"/>
      <c r="B61" s="20"/>
      <c r="C61" s="20"/>
      <c r="D61" s="20"/>
      <c r="E61" s="20"/>
      <c r="F61" s="20"/>
      <c r="G61" s="20"/>
      <c r="H61" s="20"/>
      <c r="I61" s="20"/>
    </row>
    <row r="62" spans="1:9" x14ac:dyDescent="0.2">
      <c r="A62" s="20"/>
      <c r="B62" s="20"/>
      <c r="C62" s="20"/>
      <c r="D62" s="20"/>
      <c r="E62" s="20"/>
      <c r="F62" s="20"/>
      <c r="G62" s="20"/>
      <c r="H62" s="20"/>
      <c r="I62" s="20"/>
    </row>
    <row r="63" spans="1:9" x14ac:dyDescent="0.2">
      <c r="A63" s="20"/>
      <c r="B63" s="20"/>
      <c r="C63" s="20"/>
      <c r="D63" s="20"/>
      <c r="E63" s="20"/>
      <c r="F63" s="20"/>
      <c r="G63" s="20"/>
      <c r="H63" s="20"/>
      <c r="I63" s="20"/>
    </row>
    <row r="64" spans="1:9" x14ac:dyDescent="0.2">
      <c r="A64" s="20"/>
      <c r="B64" s="20"/>
      <c r="C64" s="20"/>
      <c r="D64" s="20"/>
      <c r="E64" s="20"/>
      <c r="F64" s="20"/>
      <c r="G64" s="20"/>
      <c r="H64" s="20"/>
      <c r="I64" s="20"/>
    </row>
    <row r="65" spans="1:9" x14ac:dyDescent="0.2">
      <c r="A65" s="20"/>
      <c r="B65" s="20"/>
      <c r="C65" s="20"/>
      <c r="D65" s="20"/>
      <c r="E65" s="20"/>
      <c r="F65" s="20"/>
      <c r="G65" s="20"/>
      <c r="H65" s="20"/>
      <c r="I65" s="20"/>
    </row>
    <row r="66" spans="1:9" x14ac:dyDescent="0.2">
      <c r="A66" s="20"/>
      <c r="B66" s="20"/>
      <c r="C66" s="20"/>
      <c r="D66" s="20"/>
      <c r="E66" s="20"/>
      <c r="F66" s="20"/>
      <c r="G66" s="20"/>
      <c r="H66" s="20"/>
      <c r="I66" s="20"/>
    </row>
    <row r="67" spans="1:9" x14ac:dyDescent="0.2">
      <c r="A67" s="20"/>
      <c r="B67" s="20"/>
      <c r="C67" s="20"/>
      <c r="D67" s="20"/>
      <c r="E67" s="20"/>
      <c r="F67" s="20"/>
      <c r="G67" s="20"/>
      <c r="H67" s="20"/>
      <c r="I67" s="20"/>
    </row>
    <row r="68" spans="1:9" x14ac:dyDescent="0.2">
      <c r="A68" s="20"/>
      <c r="B68" s="20"/>
      <c r="C68" s="20"/>
      <c r="D68" s="20"/>
      <c r="E68" s="20"/>
      <c r="F68" s="20"/>
      <c r="G68" s="20"/>
      <c r="H68" s="20"/>
      <c r="I68" s="20"/>
    </row>
    <row r="69" spans="1:9" x14ac:dyDescent="0.2">
      <c r="A69" s="20"/>
      <c r="B69" s="20"/>
      <c r="C69" s="20"/>
      <c r="D69" s="20"/>
      <c r="E69" s="20"/>
      <c r="F69" s="20"/>
      <c r="G69" s="20"/>
      <c r="H69" s="20"/>
      <c r="I69" s="20"/>
    </row>
    <row r="70" spans="1:9" x14ac:dyDescent="0.2">
      <c r="A70" s="20"/>
      <c r="B70" s="20"/>
      <c r="C70" s="20"/>
      <c r="D70" s="20"/>
      <c r="E70" s="20"/>
      <c r="F70" s="20"/>
      <c r="G70" s="20"/>
      <c r="H70" s="20"/>
      <c r="I70" s="20"/>
    </row>
    <row r="71" spans="1:9" x14ac:dyDescent="0.2">
      <c r="A71" s="20"/>
      <c r="B71" s="20"/>
      <c r="C71" s="20"/>
      <c r="D71" s="20"/>
      <c r="E71" s="20"/>
      <c r="F71" s="20"/>
      <c r="G71" s="20"/>
      <c r="H71" s="20"/>
      <c r="I71" s="20"/>
    </row>
    <row r="72" spans="1:9" x14ac:dyDescent="0.2">
      <c r="A72" s="20"/>
      <c r="B72" s="20"/>
      <c r="C72" s="20"/>
      <c r="D72" s="20"/>
      <c r="E72" s="20"/>
      <c r="F72" s="20"/>
      <c r="G72" s="20"/>
      <c r="H72" s="20"/>
      <c r="I72" s="20"/>
    </row>
    <row r="73" spans="1:9" x14ac:dyDescent="0.2">
      <c r="A73" s="20"/>
      <c r="B73" s="20"/>
      <c r="C73" s="20"/>
      <c r="D73" s="20"/>
      <c r="E73" s="20"/>
      <c r="F73" s="20"/>
      <c r="G73" s="20"/>
      <c r="H73" s="20"/>
      <c r="I73" s="20"/>
    </row>
    <row r="74" spans="1:9" x14ac:dyDescent="0.2">
      <c r="A74" s="20"/>
      <c r="B74" s="20"/>
      <c r="C74" s="20"/>
      <c r="D74" s="20"/>
      <c r="E74" s="20"/>
      <c r="F74" s="20"/>
      <c r="G74" s="20"/>
      <c r="H74" s="20"/>
      <c r="I74" s="20"/>
    </row>
    <row r="75" spans="1:9" x14ac:dyDescent="0.2">
      <c r="A75" s="20"/>
      <c r="B75" s="20"/>
      <c r="C75" s="20"/>
      <c r="D75" s="20"/>
      <c r="E75" s="20"/>
      <c r="F75" s="20"/>
      <c r="G75" s="20"/>
      <c r="H75" s="20"/>
      <c r="I75" s="20"/>
    </row>
    <row r="76" spans="1:9" x14ac:dyDescent="0.2">
      <c r="A76" s="20"/>
      <c r="B76" s="20"/>
      <c r="C76" s="20"/>
      <c r="D76" s="20"/>
      <c r="E76" s="20"/>
      <c r="F76" s="20"/>
      <c r="G76" s="20"/>
      <c r="H76" s="20"/>
      <c r="I76" s="20"/>
    </row>
    <row r="77" spans="1:9" x14ac:dyDescent="0.2">
      <c r="A77" s="20"/>
      <c r="B77" s="20"/>
      <c r="C77" s="20"/>
      <c r="D77" s="20"/>
      <c r="E77" s="20"/>
      <c r="F77" s="20"/>
      <c r="G77" s="20"/>
      <c r="H77" s="20"/>
      <c r="I77" s="20"/>
    </row>
    <row r="78" spans="1:9" x14ac:dyDescent="0.2">
      <c r="A78" s="20"/>
      <c r="B78" s="20"/>
      <c r="C78" s="20"/>
      <c r="D78" s="20"/>
      <c r="E78" s="20"/>
      <c r="F78" s="20"/>
      <c r="G78" s="20"/>
      <c r="H78" s="20"/>
      <c r="I78" s="20"/>
    </row>
    <row r="79" spans="1:9" x14ac:dyDescent="0.2">
      <c r="A79" s="20"/>
      <c r="B79" s="20"/>
      <c r="C79" s="20"/>
      <c r="D79" s="20"/>
      <c r="E79" s="20"/>
      <c r="F79" s="20"/>
      <c r="G79" s="20"/>
      <c r="H79" s="20"/>
      <c r="I79" s="20"/>
    </row>
    <row r="80" spans="1:9" x14ac:dyDescent="0.2">
      <c r="A80" s="20"/>
      <c r="B80" s="20"/>
      <c r="C80" s="20"/>
      <c r="D80" s="20"/>
      <c r="E80" s="20"/>
      <c r="F80" s="20"/>
      <c r="G80" s="20"/>
      <c r="H80" s="20"/>
      <c r="I80" s="20"/>
    </row>
    <row r="81" spans="1:9" x14ac:dyDescent="0.2">
      <c r="A81" s="20"/>
      <c r="B81" s="20"/>
      <c r="C81" s="20"/>
      <c r="D81" s="20"/>
      <c r="E81" s="20"/>
      <c r="F81" s="20"/>
      <c r="G81" s="20"/>
      <c r="H81" s="20"/>
      <c r="I81" s="20"/>
    </row>
    <row r="82" spans="1:9" x14ac:dyDescent="0.2">
      <c r="A82" s="20"/>
      <c r="B82" s="20"/>
      <c r="C82" s="20"/>
      <c r="D82" s="20"/>
      <c r="E82" s="20"/>
      <c r="F82" s="20"/>
      <c r="G82" s="20"/>
      <c r="H82" s="20"/>
      <c r="I82" s="20"/>
    </row>
    <row r="83" spans="1:9" x14ac:dyDescent="0.2">
      <c r="A83" s="20"/>
      <c r="B83" s="20"/>
      <c r="C83" s="20"/>
      <c r="D83" s="20"/>
      <c r="E83" s="20"/>
      <c r="F83" s="20"/>
      <c r="G83" s="20"/>
      <c r="H83" s="20"/>
      <c r="I83" s="20"/>
    </row>
    <row r="84" spans="1:9" x14ac:dyDescent="0.2">
      <c r="A84" s="20"/>
      <c r="B84" s="20"/>
      <c r="C84" s="20"/>
      <c r="D84" s="20"/>
      <c r="E84" s="20"/>
      <c r="F84" s="20"/>
      <c r="G84" s="20"/>
      <c r="H84" s="20"/>
      <c r="I84" s="20"/>
    </row>
    <row r="85" spans="1:9" x14ac:dyDescent="0.2">
      <c r="A85" s="20"/>
      <c r="B85" s="20"/>
      <c r="C85" s="20"/>
      <c r="D85" s="20"/>
      <c r="E85" s="20"/>
      <c r="F85" s="20"/>
      <c r="G85" s="20"/>
      <c r="H85" s="20"/>
      <c r="I85" s="20"/>
    </row>
    <row r="86" spans="1:9" x14ac:dyDescent="0.2">
      <c r="A86" s="20"/>
      <c r="B86" s="20"/>
      <c r="C86" s="20"/>
      <c r="D86" s="20"/>
      <c r="E86" s="20"/>
      <c r="F86" s="20"/>
      <c r="G86" s="20"/>
      <c r="H86" s="20"/>
      <c r="I86" s="20"/>
    </row>
    <row r="87" spans="1:9" x14ac:dyDescent="0.2">
      <c r="A87" s="20"/>
      <c r="B87" s="20"/>
      <c r="C87" s="20"/>
      <c r="D87" s="20"/>
      <c r="E87" s="20"/>
      <c r="F87" s="20"/>
      <c r="G87" s="20"/>
      <c r="H87" s="20"/>
      <c r="I87" s="20"/>
    </row>
    <row r="88" spans="1:9" x14ac:dyDescent="0.2">
      <c r="A88" s="20"/>
      <c r="B88" s="20"/>
      <c r="C88" s="20"/>
      <c r="D88" s="20"/>
      <c r="E88" s="20"/>
      <c r="F88" s="20"/>
      <c r="G88" s="20"/>
      <c r="H88" s="20"/>
      <c r="I88" s="20"/>
    </row>
    <row r="89" spans="1:9" x14ac:dyDescent="0.2">
      <c r="A89" s="20"/>
      <c r="B89" s="20"/>
      <c r="C89" s="20"/>
      <c r="D89" s="20"/>
      <c r="E89" s="20"/>
      <c r="F89" s="20"/>
      <c r="G89" s="20"/>
      <c r="H89" s="20"/>
      <c r="I89" s="20"/>
    </row>
    <row r="90" spans="1:9" x14ac:dyDescent="0.2">
      <c r="A90" s="20"/>
      <c r="B90" s="20"/>
      <c r="C90" s="20"/>
      <c r="D90" s="20"/>
      <c r="E90" s="20"/>
      <c r="F90" s="20"/>
      <c r="G90" s="20"/>
      <c r="H90" s="20"/>
      <c r="I90" s="20"/>
    </row>
    <row r="91" spans="1:9" x14ac:dyDescent="0.2">
      <c r="A91" s="20"/>
      <c r="B91" s="20"/>
      <c r="C91" s="20"/>
      <c r="D91" s="20"/>
      <c r="E91" s="20"/>
      <c r="F91" s="20"/>
      <c r="G91" s="20"/>
      <c r="H91" s="20"/>
      <c r="I91" s="20"/>
    </row>
    <row r="92" spans="1:9" x14ac:dyDescent="0.2">
      <c r="A92" s="20"/>
      <c r="B92" s="20"/>
      <c r="C92" s="20"/>
      <c r="D92" s="20"/>
      <c r="E92" s="20"/>
      <c r="F92" s="20"/>
      <c r="G92" s="20"/>
      <c r="H92" s="20"/>
      <c r="I92" s="20"/>
    </row>
    <row r="93" spans="1:9" x14ac:dyDescent="0.2">
      <c r="A93" s="20"/>
      <c r="B93" s="20"/>
      <c r="C93" s="20"/>
      <c r="D93" s="20"/>
      <c r="E93" s="20"/>
      <c r="F93" s="20"/>
      <c r="G93" s="20"/>
      <c r="H93" s="20"/>
      <c r="I93" s="20"/>
    </row>
    <row r="94" spans="1:9" x14ac:dyDescent="0.2">
      <c r="A94" s="20"/>
      <c r="B94" s="20"/>
      <c r="C94" s="20"/>
      <c r="D94" s="20"/>
      <c r="E94" s="20"/>
      <c r="F94" s="20"/>
      <c r="G94" s="20"/>
      <c r="H94" s="20"/>
      <c r="I94" s="20"/>
    </row>
    <row r="95" spans="1:9" x14ac:dyDescent="0.2">
      <c r="A95" s="20"/>
      <c r="B95" s="20"/>
      <c r="C95" s="20"/>
      <c r="D95" s="20"/>
      <c r="E95" s="20"/>
      <c r="F95" s="20"/>
      <c r="G95" s="20"/>
      <c r="H95" s="20"/>
      <c r="I95" s="20"/>
    </row>
    <row r="96" spans="1:9" x14ac:dyDescent="0.2">
      <c r="A96" s="20"/>
      <c r="B96" s="20"/>
      <c r="C96" s="20"/>
      <c r="D96" s="20"/>
      <c r="E96" s="20"/>
      <c r="F96" s="20"/>
      <c r="G96" s="20"/>
      <c r="H96" s="20"/>
      <c r="I96" s="20"/>
    </row>
    <row r="97" spans="1:9" x14ac:dyDescent="0.2">
      <c r="A97" s="20"/>
      <c r="B97" s="20"/>
      <c r="C97" s="20"/>
      <c r="D97" s="20"/>
      <c r="E97" s="20"/>
      <c r="F97" s="20"/>
      <c r="G97" s="20"/>
      <c r="H97" s="20"/>
      <c r="I97" s="20"/>
    </row>
    <row r="98" spans="1:9" x14ac:dyDescent="0.2">
      <c r="A98" s="20"/>
      <c r="B98" s="20"/>
      <c r="C98" s="20"/>
      <c r="D98" s="20"/>
      <c r="E98" s="20"/>
      <c r="F98" s="20"/>
      <c r="G98" s="20"/>
      <c r="H98" s="20"/>
      <c r="I98" s="20"/>
    </row>
    <row r="99" spans="1:9" x14ac:dyDescent="0.2">
      <c r="A99" s="20"/>
      <c r="B99" s="20"/>
      <c r="C99" s="20"/>
      <c r="D99" s="20"/>
      <c r="E99" s="20"/>
      <c r="F99" s="20"/>
      <c r="G99" s="20"/>
      <c r="H99" s="20"/>
      <c r="I99" s="20"/>
    </row>
    <row r="100" spans="1:9" x14ac:dyDescent="0.2">
      <c r="A100" s="20"/>
      <c r="B100" s="20"/>
      <c r="C100" s="20"/>
      <c r="D100" s="20"/>
      <c r="E100" s="20"/>
      <c r="F100" s="20"/>
      <c r="G100" s="20"/>
      <c r="H100" s="20"/>
      <c r="I100" s="20"/>
    </row>
    <row r="101" spans="1:9" x14ac:dyDescent="0.2">
      <c r="A101" s="20"/>
      <c r="B101" s="20"/>
      <c r="C101" s="20"/>
      <c r="D101" s="20"/>
      <c r="E101" s="20"/>
      <c r="F101" s="20"/>
      <c r="G101" s="20"/>
      <c r="H101" s="20"/>
      <c r="I101" s="20"/>
    </row>
    <row r="102" spans="1:9" x14ac:dyDescent="0.2">
      <c r="A102" s="20"/>
      <c r="B102" s="20"/>
      <c r="C102" s="20"/>
      <c r="D102" s="20"/>
      <c r="E102" s="20"/>
      <c r="F102" s="20"/>
      <c r="G102" s="20"/>
      <c r="H102" s="20"/>
      <c r="I102" s="20"/>
    </row>
    <row r="103" spans="1:9" x14ac:dyDescent="0.2">
      <c r="A103" s="20"/>
      <c r="B103" s="20"/>
      <c r="C103" s="20"/>
      <c r="D103" s="20"/>
      <c r="E103" s="20"/>
      <c r="F103" s="20"/>
      <c r="G103" s="20"/>
      <c r="H103" s="20"/>
      <c r="I103" s="20"/>
    </row>
    <row r="104" spans="1:9" x14ac:dyDescent="0.2">
      <c r="A104" s="20"/>
      <c r="B104" s="20"/>
      <c r="C104" s="20"/>
      <c r="D104" s="20"/>
      <c r="E104" s="20"/>
      <c r="F104" s="20"/>
      <c r="G104" s="20"/>
      <c r="H104" s="20"/>
      <c r="I104" s="20"/>
    </row>
    <row r="105" spans="1:9" x14ac:dyDescent="0.2">
      <c r="A105" s="20"/>
      <c r="B105" s="20"/>
      <c r="C105" s="20"/>
      <c r="D105" s="20"/>
      <c r="E105" s="20"/>
      <c r="F105" s="20"/>
      <c r="G105" s="20"/>
      <c r="H105" s="20"/>
      <c r="I105" s="20"/>
    </row>
    <row r="106" spans="1:9" x14ac:dyDescent="0.2">
      <c r="A106" s="20"/>
      <c r="B106" s="20"/>
      <c r="C106" s="20"/>
      <c r="D106" s="20"/>
      <c r="E106" s="20"/>
      <c r="F106" s="20"/>
      <c r="G106" s="20"/>
      <c r="H106" s="20"/>
      <c r="I106" s="20"/>
    </row>
    <row r="107" spans="1:9" x14ac:dyDescent="0.2">
      <c r="A107" s="20"/>
      <c r="B107" s="20"/>
      <c r="C107" s="20"/>
      <c r="D107" s="20"/>
      <c r="E107" s="20"/>
      <c r="F107" s="20"/>
      <c r="G107" s="20"/>
      <c r="H107" s="20"/>
      <c r="I107" s="20"/>
    </row>
    <row r="108" spans="1:9" x14ac:dyDescent="0.2">
      <c r="A108" s="20"/>
      <c r="B108" s="20"/>
      <c r="C108" s="20"/>
      <c r="D108" s="20"/>
      <c r="E108" s="20"/>
      <c r="F108" s="20"/>
      <c r="G108" s="20"/>
      <c r="H108" s="20"/>
      <c r="I108" s="20"/>
    </row>
    <row r="109" spans="1:9" x14ac:dyDescent="0.2">
      <c r="A109" s="20"/>
      <c r="B109" s="20"/>
      <c r="C109" s="20"/>
      <c r="D109" s="20"/>
      <c r="E109" s="20"/>
      <c r="F109" s="20"/>
      <c r="G109" s="20"/>
      <c r="H109" s="20"/>
      <c r="I109" s="20"/>
    </row>
    <row r="110" spans="1:9" x14ac:dyDescent="0.2">
      <c r="A110" s="20"/>
      <c r="B110" s="20"/>
      <c r="C110" s="20"/>
      <c r="D110" s="20"/>
      <c r="E110" s="20"/>
      <c r="F110" s="20"/>
      <c r="G110" s="20"/>
      <c r="H110" s="20"/>
      <c r="I110" s="20"/>
    </row>
    <row r="111" spans="1:9" x14ac:dyDescent="0.2">
      <c r="A111" s="20"/>
      <c r="B111" s="20"/>
      <c r="C111" s="20"/>
      <c r="D111" s="20"/>
      <c r="E111" s="20"/>
      <c r="F111" s="20"/>
      <c r="G111" s="20"/>
      <c r="H111" s="20"/>
      <c r="I111" s="20"/>
    </row>
    <row r="112" spans="1:9" x14ac:dyDescent="0.2">
      <c r="A112" s="20"/>
      <c r="B112" s="20"/>
      <c r="C112" s="20"/>
      <c r="D112" s="20"/>
      <c r="E112" s="20"/>
      <c r="F112" s="20"/>
      <c r="G112" s="20"/>
      <c r="H112" s="20"/>
      <c r="I112" s="20"/>
    </row>
    <row r="113" spans="1:9" x14ac:dyDescent="0.2">
      <c r="A113" s="20"/>
      <c r="B113" s="20"/>
      <c r="C113" s="20"/>
      <c r="D113" s="20"/>
      <c r="E113" s="20"/>
      <c r="F113" s="20"/>
      <c r="G113" s="20"/>
      <c r="H113" s="20"/>
      <c r="I113" s="20"/>
    </row>
    <row r="114" spans="1:9" x14ac:dyDescent="0.2">
      <c r="A114" s="20"/>
      <c r="B114" s="20"/>
      <c r="C114" s="20"/>
      <c r="D114" s="20"/>
      <c r="E114" s="20"/>
      <c r="F114" s="20"/>
      <c r="G114" s="20"/>
      <c r="H114" s="20"/>
      <c r="I114" s="20"/>
    </row>
    <row r="115" spans="1:9" x14ac:dyDescent="0.2">
      <c r="A115" s="20"/>
      <c r="B115" s="20"/>
      <c r="C115" s="20"/>
      <c r="D115" s="20"/>
      <c r="E115" s="20"/>
      <c r="F115" s="20"/>
      <c r="G115" s="20"/>
      <c r="H115" s="20"/>
      <c r="I115" s="20"/>
    </row>
    <row r="116" spans="1:9" x14ac:dyDescent="0.2">
      <c r="A116" s="20"/>
      <c r="B116" s="20"/>
      <c r="C116" s="20"/>
      <c r="D116" s="20"/>
      <c r="E116" s="20"/>
      <c r="F116" s="20"/>
      <c r="G116" s="20"/>
      <c r="H116" s="20"/>
      <c r="I116" s="20"/>
    </row>
    <row r="117" spans="1:9" x14ac:dyDescent="0.2">
      <c r="A117" s="20"/>
      <c r="B117" s="20"/>
      <c r="C117" s="20"/>
      <c r="D117" s="20"/>
      <c r="E117" s="20"/>
      <c r="F117" s="20"/>
      <c r="G117" s="20"/>
      <c r="H117" s="20"/>
      <c r="I117" s="20"/>
    </row>
    <row r="118" spans="1:9" x14ac:dyDescent="0.2">
      <c r="A118" s="20"/>
      <c r="B118" s="20"/>
      <c r="C118" s="20"/>
      <c r="D118" s="20"/>
      <c r="E118" s="20"/>
      <c r="F118" s="20"/>
      <c r="G118" s="20"/>
      <c r="H118" s="20"/>
      <c r="I118" s="20"/>
    </row>
    <row r="119" spans="1:9" x14ac:dyDescent="0.2">
      <c r="A119" s="20"/>
      <c r="B119" s="20"/>
      <c r="C119" s="20"/>
      <c r="D119" s="20"/>
      <c r="E119" s="20"/>
      <c r="F119" s="20"/>
      <c r="G119" s="20"/>
      <c r="H119" s="20"/>
      <c r="I119" s="20"/>
    </row>
    <row r="120" spans="1:9" x14ac:dyDescent="0.2">
      <c r="A120" s="20"/>
      <c r="B120" s="20"/>
      <c r="C120" s="20"/>
      <c r="D120" s="20"/>
      <c r="E120" s="20"/>
      <c r="F120" s="20"/>
      <c r="G120" s="20"/>
      <c r="H120" s="20"/>
      <c r="I120" s="20"/>
    </row>
    <row r="121" spans="1:9" x14ac:dyDescent="0.2">
      <c r="A121" s="20"/>
      <c r="B121" s="20"/>
      <c r="C121" s="20"/>
      <c r="D121" s="20"/>
      <c r="E121" s="20"/>
      <c r="F121" s="20"/>
      <c r="G121" s="20"/>
      <c r="H121" s="20"/>
      <c r="I121" s="20"/>
    </row>
    <row r="122" spans="1:9" x14ac:dyDescent="0.2">
      <c r="A122" s="20"/>
      <c r="B122" s="20"/>
      <c r="C122" s="20"/>
      <c r="D122" s="20"/>
      <c r="E122" s="20"/>
      <c r="F122" s="20"/>
      <c r="G122" s="20"/>
      <c r="H122" s="20"/>
      <c r="I122" s="20"/>
    </row>
    <row r="123" spans="1:9" x14ac:dyDescent="0.2">
      <c r="A123" s="20"/>
      <c r="B123" s="20"/>
      <c r="C123" s="20"/>
      <c r="D123" s="20"/>
      <c r="E123" s="20"/>
      <c r="F123" s="20"/>
      <c r="G123" s="20"/>
      <c r="H123" s="20"/>
      <c r="I123" s="20"/>
    </row>
    <row r="124" spans="1:9" x14ac:dyDescent="0.2">
      <c r="A124" s="20"/>
      <c r="B124" s="20"/>
      <c r="C124" s="20"/>
      <c r="D124" s="20"/>
      <c r="E124" s="20"/>
      <c r="F124" s="20"/>
      <c r="G124" s="20"/>
      <c r="H124" s="20"/>
      <c r="I124" s="20"/>
    </row>
    <row r="125" spans="1:9" x14ac:dyDescent="0.2">
      <c r="A125" s="20"/>
      <c r="B125" s="20"/>
      <c r="C125" s="20"/>
      <c r="D125" s="20"/>
      <c r="E125" s="20"/>
      <c r="F125" s="20"/>
      <c r="G125" s="20"/>
      <c r="H125" s="20"/>
      <c r="I125" s="20"/>
    </row>
    <row r="126" spans="1:9" x14ac:dyDescent="0.2">
      <c r="A126" s="20"/>
      <c r="B126" s="20"/>
      <c r="C126" s="20"/>
      <c r="D126" s="20"/>
      <c r="E126" s="20"/>
      <c r="F126" s="20"/>
      <c r="G126" s="20"/>
      <c r="H126" s="20"/>
      <c r="I126" s="20"/>
    </row>
    <row r="127" spans="1:9" x14ac:dyDescent="0.2">
      <c r="A127" s="20"/>
      <c r="B127" s="20"/>
      <c r="C127" s="20"/>
      <c r="D127" s="20"/>
      <c r="E127" s="20"/>
      <c r="F127" s="20"/>
      <c r="G127" s="20"/>
      <c r="H127" s="20"/>
      <c r="I127" s="20"/>
    </row>
    <row r="128" spans="1:9" x14ac:dyDescent="0.2">
      <c r="A128" s="20"/>
      <c r="B128" s="20"/>
      <c r="C128" s="20"/>
      <c r="D128" s="20"/>
      <c r="E128" s="20"/>
      <c r="F128" s="20"/>
      <c r="G128" s="20"/>
      <c r="H128" s="20"/>
      <c r="I128" s="20"/>
    </row>
    <row r="129" spans="1:9" x14ac:dyDescent="0.2">
      <c r="A129" s="20"/>
      <c r="B129" s="20"/>
      <c r="C129" s="20"/>
      <c r="D129" s="20"/>
      <c r="E129" s="20"/>
      <c r="F129" s="20"/>
      <c r="G129" s="20"/>
      <c r="H129" s="20"/>
      <c r="I129" s="20"/>
    </row>
    <row r="130" spans="1:9" x14ac:dyDescent="0.2">
      <c r="A130" s="20"/>
      <c r="B130" s="20"/>
      <c r="C130" s="20"/>
      <c r="D130" s="20"/>
      <c r="E130" s="20"/>
      <c r="F130" s="20"/>
      <c r="G130" s="20"/>
      <c r="H130" s="20"/>
      <c r="I130" s="20"/>
    </row>
    <row r="131" spans="1:9" x14ac:dyDescent="0.2">
      <c r="A131" s="20"/>
      <c r="B131" s="20"/>
      <c r="C131" s="20"/>
      <c r="D131" s="20"/>
      <c r="E131" s="20"/>
      <c r="F131" s="20"/>
      <c r="G131" s="20"/>
      <c r="H131" s="20"/>
      <c r="I131" s="20"/>
    </row>
    <row r="132" spans="1:9" x14ac:dyDescent="0.2">
      <c r="A132" s="20"/>
      <c r="B132" s="20"/>
      <c r="C132" s="20"/>
      <c r="D132" s="20"/>
      <c r="E132" s="20"/>
      <c r="F132" s="20"/>
      <c r="G132" s="20"/>
      <c r="H132" s="20"/>
      <c r="I132" s="20"/>
    </row>
    <row r="133" spans="1:9" x14ac:dyDescent="0.2">
      <c r="A133" s="20"/>
      <c r="B133" s="20"/>
      <c r="C133" s="20"/>
      <c r="D133" s="20"/>
      <c r="E133" s="20"/>
      <c r="F133" s="20"/>
      <c r="G133" s="20"/>
      <c r="H133" s="20"/>
      <c r="I133" s="20"/>
    </row>
    <row r="134" spans="1:9" x14ac:dyDescent="0.2">
      <c r="A134" s="20"/>
      <c r="B134" s="20"/>
      <c r="C134" s="20"/>
      <c r="D134" s="20"/>
      <c r="E134" s="20"/>
      <c r="F134" s="20"/>
      <c r="G134" s="20"/>
      <c r="H134" s="20"/>
      <c r="I134" s="20"/>
    </row>
    <row r="135" spans="1:9" x14ac:dyDescent="0.2">
      <c r="A135" s="20"/>
      <c r="B135" s="20"/>
      <c r="C135" s="20"/>
      <c r="D135" s="20"/>
      <c r="E135" s="20"/>
      <c r="F135" s="20"/>
      <c r="G135" s="20"/>
      <c r="H135" s="20"/>
      <c r="I135" s="20"/>
    </row>
    <row r="136" spans="1:9" x14ac:dyDescent="0.2">
      <c r="A136" s="20"/>
      <c r="B136" s="20"/>
      <c r="C136" s="20"/>
      <c r="D136" s="20"/>
      <c r="E136" s="20"/>
      <c r="F136" s="20"/>
      <c r="G136" s="20"/>
      <c r="H136" s="20"/>
      <c r="I136" s="20"/>
    </row>
    <row r="137" spans="1:9" x14ac:dyDescent="0.2">
      <c r="A137" s="20"/>
      <c r="B137" s="20"/>
      <c r="C137" s="20"/>
      <c r="D137" s="20"/>
      <c r="E137" s="20"/>
      <c r="F137" s="20"/>
      <c r="G137" s="20"/>
      <c r="H137" s="20"/>
      <c r="I137" s="20"/>
    </row>
    <row r="138" spans="1:9" x14ac:dyDescent="0.2">
      <c r="A138" s="20"/>
      <c r="B138" s="20"/>
      <c r="C138" s="20"/>
      <c r="D138" s="20"/>
      <c r="E138" s="20"/>
      <c r="F138" s="20"/>
      <c r="G138" s="20"/>
      <c r="H138" s="20"/>
      <c r="I138" s="20"/>
    </row>
    <row r="139" spans="1:9" x14ac:dyDescent="0.2">
      <c r="A139" s="20"/>
      <c r="B139" s="20"/>
      <c r="C139" s="20"/>
      <c r="D139" s="20"/>
      <c r="E139" s="20"/>
      <c r="F139" s="20"/>
      <c r="G139" s="20"/>
      <c r="H139" s="20"/>
      <c r="I139" s="20"/>
    </row>
    <row r="140" spans="1:9" x14ac:dyDescent="0.2">
      <c r="A140" s="20"/>
      <c r="B140" s="20"/>
      <c r="C140" s="20"/>
      <c r="D140" s="20"/>
      <c r="E140" s="20"/>
      <c r="F140" s="20"/>
      <c r="G140" s="20"/>
      <c r="H140" s="20"/>
      <c r="I140" s="20"/>
    </row>
    <row r="141" spans="1:9" x14ac:dyDescent="0.2">
      <c r="A141" s="20"/>
      <c r="B141" s="20"/>
      <c r="C141" s="20"/>
      <c r="D141" s="20"/>
      <c r="E141" s="20"/>
      <c r="F141" s="20"/>
      <c r="G141" s="20"/>
      <c r="H141" s="20"/>
      <c r="I141" s="20"/>
    </row>
    <row r="142" spans="1:9" x14ac:dyDescent="0.2">
      <c r="A142" s="20"/>
      <c r="B142" s="20"/>
      <c r="C142" s="20"/>
      <c r="D142" s="20"/>
      <c r="E142" s="20"/>
      <c r="F142" s="20"/>
      <c r="G142" s="20"/>
      <c r="H142" s="20"/>
      <c r="I142" s="20"/>
    </row>
    <row r="143" spans="1:9" x14ac:dyDescent="0.2">
      <c r="A143" s="20"/>
      <c r="B143" s="20"/>
      <c r="C143" s="20"/>
      <c r="D143" s="20"/>
      <c r="E143" s="20"/>
      <c r="F143" s="20"/>
      <c r="G143" s="20"/>
      <c r="H143" s="20"/>
      <c r="I143" s="20"/>
    </row>
    <row r="144" spans="1:9" x14ac:dyDescent="0.2">
      <c r="A144" s="20"/>
      <c r="B144" s="20"/>
      <c r="C144" s="20"/>
      <c r="D144" s="20"/>
      <c r="E144" s="20"/>
      <c r="F144" s="20"/>
      <c r="G144" s="20"/>
      <c r="H144" s="20"/>
      <c r="I144" s="20"/>
    </row>
    <row r="145" spans="1:9" x14ac:dyDescent="0.2">
      <c r="A145" s="20"/>
      <c r="B145" s="20"/>
      <c r="C145" s="20"/>
      <c r="D145" s="20"/>
      <c r="E145" s="20"/>
      <c r="F145" s="20"/>
      <c r="G145" s="20"/>
      <c r="H145" s="20"/>
      <c r="I145" s="20"/>
    </row>
    <row r="146" spans="1:9" x14ac:dyDescent="0.2">
      <c r="A146" s="20"/>
      <c r="B146" s="20"/>
      <c r="C146" s="20"/>
      <c r="D146" s="20"/>
      <c r="E146" s="20"/>
      <c r="F146" s="20"/>
      <c r="G146" s="20"/>
      <c r="H146" s="20"/>
      <c r="I146" s="20"/>
    </row>
    <row r="147" spans="1:9" x14ac:dyDescent="0.2">
      <c r="A147" s="20"/>
      <c r="B147" s="20"/>
      <c r="C147" s="20"/>
      <c r="D147" s="20"/>
      <c r="E147" s="20"/>
      <c r="F147" s="20"/>
      <c r="G147" s="20"/>
      <c r="H147" s="20"/>
      <c r="I147" s="20"/>
    </row>
    <row r="148" spans="1:9" x14ac:dyDescent="0.2">
      <c r="A148" s="20"/>
      <c r="B148" s="20"/>
      <c r="C148" s="20"/>
      <c r="D148" s="20"/>
      <c r="E148" s="20"/>
      <c r="F148" s="20"/>
      <c r="G148" s="20"/>
      <c r="H148" s="20"/>
      <c r="I148" s="20"/>
    </row>
    <row r="149" spans="1:9" x14ac:dyDescent="0.2">
      <c r="A149" s="20"/>
      <c r="B149" s="20"/>
      <c r="C149" s="20"/>
      <c r="D149" s="20"/>
      <c r="E149" s="20"/>
      <c r="F149" s="20"/>
      <c r="G149" s="20"/>
      <c r="H149" s="20"/>
      <c r="I149" s="20"/>
    </row>
    <row r="150" spans="1:9" x14ac:dyDescent="0.2">
      <c r="A150" s="20"/>
      <c r="B150" s="20"/>
      <c r="C150" s="20"/>
      <c r="D150" s="20"/>
      <c r="E150" s="20"/>
      <c r="F150" s="20"/>
      <c r="G150" s="20"/>
      <c r="H150" s="20"/>
      <c r="I150" s="20"/>
    </row>
    <row r="151" spans="1:9" x14ac:dyDescent="0.2">
      <c r="A151" s="20"/>
      <c r="B151" s="20"/>
      <c r="C151" s="20"/>
      <c r="D151" s="20"/>
      <c r="E151" s="20"/>
      <c r="F151" s="20"/>
      <c r="G151" s="20"/>
      <c r="H151" s="20"/>
      <c r="I151" s="20"/>
    </row>
    <row r="152" spans="1:9" x14ac:dyDescent="0.2">
      <c r="A152" s="20"/>
      <c r="B152" s="20"/>
      <c r="C152" s="20"/>
      <c r="D152" s="20"/>
      <c r="E152" s="20"/>
      <c r="F152" s="20"/>
      <c r="G152" s="20"/>
      <c r="H152" s="20"/>
      <c r="I152" s="20"/>
    </row>
    <row r="153" spans="1:9" x14ac:dyDescent="0.2">
      <c r="A153" s="20"/>
      <c r="B153" s="20"/>
      <c r="C153" s="20"/>
      <c r="D153" s="20"/>
      <c r="E153" s="20"/>
      <c r="F153" s="20"/>
      <c r="G153" s="20"/>
      <c r="H153" s="20"/>
      <c r="I153" s="20"/>
    </row>
    <row r="154" spans="1:9" x14ac:dyDescent="0.2">
      <c r="A154" s="20"/>
      <c r="B154" s="20"/>
      <c r="C154" s="20"/>
      <c r="D154" s="20"/>
      <c r="E154" s="20"/>
      <c r="F154" s="20"/>
      <c r="G154" s="20"/>
      <c r="H154" s="20"/>
      <c r="I154" s="20"/>
    </row>
    <row r="155" spans="1:9" x14ac:dyDescent="0.2">
      <c r="A155" s="20"/>
      <c r="B155" s="20"/>
      <c r="C155" s="20"/>
      <c r="D155" s="20"/>
      <c r="E155" s="20"/>
      <c r="F155" s="20"/>
      <c r="G155" s="20"/>
      <c r="H155" s="20"/>
      <c r="I155" s="20"/>
    </row>
    <row r="156" spans="1:9" x14ac:dyDescent="0.2">
      <c r="A156" s="20"/>
      <c r="B156" s="20"/>
      <c r="C156" s="20"/>
      <c r="D156" s="20"/>
      <c r="E156" s="20"/>
      <c r="F156" s="20"/>
      <c r="G156" s="20"/>
      <c r="H156" s="20"/>
      <c r="I156" s="20"/>
    </row>
    <row r="157" spans="1:9" x14ac:dyDescent="0.2">
      <c r="A157" s="20"/>
      <c r="B157" s="20"/>
      <c r="C157" s="20"/>
      <c r="D157" s="20"/>
      <c r="E157" s="20"/>
      <c r="F157" s="20"/>
      <c r="G157" s="20"/>
      <c r="H157" s="20"/>
      <c r="I157" s="20"/>
    </row>
    <row r="158" spans="1:9" x14ac:dyDescent="0.2">
      <c r="A158" s="20"/>
      <c r="B158" s="20"/>
      <c r="C158" s="20"/>
      <c r="D158" s="20"/>
      <c r="E158" s="20"/>
      <c r="F158" s="20"/>
      <c r="G158" s="20"/>
      <c r="H158" s="20"/>
      <c r="I158" s="20"/>
    </row>
    <row r="159" spans="1:9" x14ac:dyDescent="0.2">
      <c r="A159" s="20"/>
      <c r="B159" s="20"/>
      <c r="C159" s="20"/>
      <c r="D159" s="20"/>
      <c r="E159" s="20"/>
      <c r="F159" s="20"/>
      <c r="G159" s="20"/>
      <c r="H159" s="20"/>
      <c r="I159" s="20"/>
    </row>
    <row r="160" spans="1:9" x14ac:dyDescent="0.2">
      <c r="A160" s="20"/>
      <c r="B160" s="20"/>
      <c r="C160" s="20"/>
      <c r="D160" s="20"/>
      <c r="E160" s="20"/>
      <c r="F160" s="20"/>
      <c r="G160" s="20"/>
      <c r="H160" s="20"/>
      <c r="I160" s="20"/>
    </row>
    <row r="161" spans="1:9" x14ac:dyDescent="0.2">
      <c r="A161" s="20"/>
      <c r="B161" s="20"/>
      <c r="C161" s="20"/>
      <c r="D161" s="20"/>
      <c r="E161" s="20"/>
      <c r="F161" s="20"/>
      <c r="G161" s="20"/>
      <c r="H161" s="20"/>
      <c r="I161" s="20"/>
    </row>
    <row r="162" spans="1:9" x14ac:dyDescent="0.2">
      <c r="A162" s="20"/>
      <c r="B162" s="20"/>
      <c r="C162" s="20"/>
      <c r="D162" s="20"/>
      <c r="E162" s="20"/>
      <c r="F162" s="20"/>
      <c r="G162" s="20"/>
      <c r="H162" s="20"/>
      <c r="I162" s="20"/>
    </row>
    <row r="163" spans="1:9" x14ac:dyDescent="0.2">
      <c r="A163" s="20"/>
      <c r="B163" s="20"/>
      <c r="C163" s="20"/>
      <c r="D163" s="20"/>
      <c r="E163" s="20"/>
      <c r="F163" s="20"/>
      <c r="G163" s="20"/>
      <c r="H163" s="20"/>
      <c r="I163" s="20"/>
    </row>
    <row r="164" spans="1:9" x14ac:dyDescent="0.2">
      <c r="A164" s="20"/>
      <c r="B164" s="20"/>
      <c r="C164" s="20"/>
      <c r="D164" s="20"/>
      <c r="E164" s="20"/>
      <c r="F164" s="20"/>
      <c r="G164" s="20"/>
      <c r="H164" s="20"/>
      <c r="I164" s="20"/>
    </row>
    <row r="165" spans="1:9" x14ac:dyDescent="0.2">
      <c r="A165" s="20"/>
      <c r="B165" s="20"/>
      <c r="C165" s="20"/>
      <c r="D165" s="20"/>
      <c r="E165" s="20"/>
      <c r="F165" s="20"/>
      <c r="G165" s="20"/>
      <c r="H165" s="20"/>
      <c r="I165" s="20"/>
    </row>
    <row r="166" spans="1:9" x14ac:dyDescent="0.2">
      <c r="A166" s="20"/>
      <c r="B166" s="20"/>
      <c r="C166" s="20"/>
      <c r="D166" s="20"/>
      <c r="E166" s="20"/>
      <c r="F166" s="20"/>
      <c r="G166" s="20"/>
      <c r="H166" s="20"/>
      <c r="I166" s="20"/>
    </row>
    <row r="167" spans="1:9" x14ac:dyDescent="0.2">
      <c r="A167" s="20"/>
      <c r="B167" s="20"/>
      <c r="C167" s="20"/>
      <c r="D167" s="20"/>
      <c r="E167" s="20"/>
      <c r="F167" s="20"/>
      <c r="G167" s="20"/>
      <c r="H167" s="20"/>
      <c r="I167" s="20"/>
    </row>
    <row r="168" spans="1:9" x14ac:dyDescent="0.2">
      <c r="A168" s="20"/>
      <c r="B168" s="20"/>
      <c r="C168" s="20"/>
      <c r="D168" s="20"/>
      <c r="E168" s="20"/>
      <c r="F168" s="20"/>
      <c r="G168" s="20"/>
      <c r="H168" s="20"/>
      <c r="I168" s="20"/>
    </row>
    <row r="169" spans="1:9" x14ac:dyDescent="0.2">
      <c r="A169" s="20"/>
      <c r="B169" s="20"/>
      <c r="C169" s="20"/>
      <c r="D169" s="20"/>
      <c r="E169" s="20"/>
      <c r="F169" s="20"/>
      <c r="G169" s="20"/>
      <c r="H169" s="20"/>
      <c r="I169" s="20"/>
    </row>
    <row r="170" spans="1:9" x14ac:dyDescent="0.2">
      <c r="A170" s="20"/>
      <c r="B170" s="20"/>
      <c r="C170" s="20"/>
      <c r="D170" s="20"/>
      <c r="E170" s="20"/>
      <c r="F170" s="20"/>
      <c r="G170" s="20"/>
      <c r="H170" s="20"/>
      <c r="I170" s="20"/>
    </row>
    <row r="171" spans="1:9" x14ac:dyDescent="0.2">
      <c r="A171" s="20"/>
      <c r="B171" s="20"/>
      <c r="C171" s="20"/>
      <c r="D171" s="20"/>
      <c r="E171" s="20"/>
      <c r="F171" s="20"/>
      <c r="G171" s="20"/>
      <c r="H171" s="20"/>
      <c r="I171" s="20"/>
    </row>
    <row r="172" spans="1:9" x14ac:dyDescent="0.2">
      <c r="A172" s="20"/>
      <c r="B172" s="20"/>
      <c r="C172" s="20"/>
      <c r="D172" s="20"/>
      <c r="E172" s="20"/>
      <c r="F172" s="20"/>
      <c r="G172" s="20"/>
      <c r="H172" s="20"/>
      <c r="I172" s="20"/>
    </row>
    <row r="173" spans="1:9" x14ac:dyDescent="0.2">
      <c r="A173" s="20"/>
      <c r="B173" s="20"/>
      <c r="C173" s="20"/>
      <c r="D173" s="20"/>
      <c r="E173" s="20"/>
      <c r="F173" s="20"/>
      <c r="G173" s="20"/>
      <c r="H173" s="20"/>
      <c r="I173" s="20"/>
    </row>
    <row r="174" spans="1:9" x14ac:dyDescent="0.2">
      <c r="A174" s="20"/>
      <c r="B174" s="20"/>
      <c r="C174" s="20"/>
      <c r="D174" s="20"/>
      <c r="E174" s="20"/>
      <c r="F174" s="20"/>
      <c r="G174" s="20"/>
      <c r="H174" s="20"/>
      <c r="I174" s="20"/>
    </row>
    <row r="175" spans="1:9" x14ac:dyDescent="0.2">
      <c r="A175" s="20"/>
      <c r="B175" s="20"/>
      <c r="C175" s="20"/>
      <c r="D175" s="20"/>
      <c r="E175" s="20"/>
      <c r="F175" s="20"/>
      <c r="G175" s="20"/>
      <c r="H175" s="20"/>
      <c r="I175" s="20"/>
    </row>
    <row r="176" spans="1:9" x14ac:dyDescent="0.2">
      <c r="A176" s="20"/>
      <c r="B176" s="20"/>
      <c r="C176" s="20"/>
      <c r="D176" s="20"/>
      <c r="E176" s="20"/>
      <c r="F176" s="20"/>
      <c r="G176" s="20"/>
      <c r="H176" s="20"/>
      <c r="I176" s="20"/>
    </row>
    <row r="177" spans="1:9" x14ac:dyDescent="0.2">
      <c r="A177" s="20"/>
      <c r="B177" s="20"/>
      <c r="C177" s="20"/>
      <c r="D177" s="20"/>
      <c r="E177" s="20"/>
      <c r="F177" s="20"/>
      <c r="G177" s="20"/>
      <c r="H177" s="20"/>
      <c r="I177" s="20"/>
    </row>
    <row r="178" spans="1:9" x14ac:dyDescent="0.2">
      <c r="A178" s="20"/>
      <c r="B178" s="20"/>
      <c r="C178" s="20"/>
      <c r="D178" s="20"/>
      <c r="E178" s="20"/>
      <c r="F178" s="20"/>
      <c r="G178" s="20"/>
      <c r="H178" s="20"/>
      <c r="I178" s="20"/>
    </row>
    <row r="179" spans="1:9" x14ac:dyDescent="0.2">
      <c r="A179" s="20"/>
      <c r="B179" s="20"/>
      <c r="C179" s="20"/>
      <c r="D179" s="20"/>
      <c r="E179" s="20"/>
      <c r="F179" s="20"/>
      <c r="G179" s="20"/>
      <c r="H179" s="20"/>
      <c r="I179" s="20"/>
    </row>
    <row r="180" spans="1:9" x14ac:dyDescent="0.2">
      <c r="A180" s="20"/>
      <c r="B180" s="20"/>
      <c r="C180" s="20"/>
      <c r="D180" s="20"/>
      <c r="E180" s="20"/>
      <c r="F180" s="20"/>
      <c r="G180" s="20"/>
      <c r="H180" s="20"/>
      <c r="I180" s="20"/>
    </row>
    <row r="181" spans="1:9" x14ac:dyDescent="0.2">
      <c r="A181" s="20"/>
      <c r="B181" s="20"/>
      <c r="C181" s="20"/>
      <c r="D181" s="20"/>
      <c r="E181" s="20"/>
      <c r="F181" s="20"/>
      <c r="G181" s="20"/>
      <c r="H181" s="20"/>
      <c r="I181" s="20"/>
    </row>
    <row r="182" spans="1:9" x14ac:dyDescent="0.2">
      <c r="A182" s="20"/>
      <c r="B182" s="20"/>
      <c r="C182" s="20"/>
      <c r="D182" s="20"/>
      <c r="E182" s="20"/>
      <c r="F182" s="20"/>
      <c r="G182" s="20"/>
      <c r="H182" s="20"/>
      <c r="I182" s="20"/>
    </row>
    <row r="183" spans="1:9" x14ac:dyDescent="0.2">
      <c r="A183" s="20"/>
      <c r="B183" s="20"/>
      <c r="C183" s="20"/>
      <c r="D183" s="20"/>
      <c r="E183" s="20"/>
      <c r="F183" s="20"/>
      <c r="G183" s="20"/>
      <c r="H183" s="20"/>
      <c r="I183" s="20"/>
    </row>
    <row r="184" spans="1:9" x14ac:dyDescent="0.2">
      <c r="A184" s="20"/>
      <c r="B184" s="20"/>
      <c r="C184" s="20"/>
      <c r="D184" s="20"/>
      <c r="E184" s="20"/>
      <c r="F184" s="20"/>
      <c r="G184" s="20"/>
      <c r="H184" s="20"/>
      <c r="I184" s="20"/>
    </row>
    <row r="185" spans="1:9" x14ac:dyDescent="0.2">
      <c r="A185" s="20"/>
      <c r="B185" s="20"/>
      <c r="C185" s="20"/>
      <c r="D185" s="20"/>
      <c r="E185" s="20"/>
      <c r="F185" s="20"/>
      <c r="G185" s="20"/>
      <c r="H185" s="20"/>
      <c r="I185" s="20"/>
    </row>
    <row r="186" spans="1:9" x14ac:dyDescent="0.2">
      <c r="A186" s="20"/>
      <c r="B186" s="20"/>
      <c r="C186" s="20"/>
      <c r="D186" s="20"/>
      <c r="E186" s="20"/>
      <c r="F186" s="20"/>
      <c r="G186" s="20"/>
      <c r="H186" s="20"/>
      <c r="I186" s="20"/>
    </row>
    <row r="187" spans="1:9" x14ac:dyDescent="0.2">
      <c r="A187" s="20"/>
      <c r="B187" s="20"/>
      <c r="C187" s="20"/>
      <c r="D187" s="20"/>
      <c r="E187" s="20"/>
      <c r="F187" s="20"/>
      <c r="G187" s="20"/>
      <c r="H187" s="20"/>
      <c r="I187" s="20"/>
    </row>
    <row r="188" spans="1:9" x14ac:dyDescent="0.2">
      <c r="A188" s="20"/>
      <c r="B188" s="20"/>
      <c r="C188" s="20"/>
      <c r="D188" s="20"/>
      <c r="E188" s="20"/>
      <c r="F188" s="20"/>
      <c r="G188" s="20"/>
      <c r="H188" s="20"/>
      <c r="I188" s="20"/>
    </row>
    <row r="189" spans="1:9" x14ac:dyDescent="0.2">
      <c r="A189" s="20"/>
      <c r="B189" s="20"/>
      <c r="C189" s="20"/>
      <c r="D189" s="20"/>
      <c r="E189" s="20"/>
      <c r="F189" s="20"/>
      <c r="G189" s="20"/>
      <c r="H189" s="20"/>
      <c r="I189" s="20"/>
    </row>
    <row r="190" spans="1:9" x14ac:dyDescent="0.2">
      <c r="A190" s="20"/>
      <c r="B190" s="20"/>
      <c r="C190" s="20"/>
      <c r="D190" s="20"/>
      <c r="E190" s="20"/>
      <c r="F190" s="20"/>
      <c r="G190" s="20"/>
      <c r="H190" s="20"/>
      <c r="I190" s="20"/>
    </row>
    <row r="191" spans="1:9" x14ac:dyDescent="0.2">
      <c r="A191" s="20"/>
      <c r="B191" s="20"/>
      <c r="C191" s="20"/>
      <c r="D191" s="20"/>
      <c r="E191" s="20"/>
      <c r="F191" s="20"/>
      <c r="G191" s="20"/>
      <c r="H191" s="20"/>
      <c r="I191" s="20"/>
    </row>
    <row r="192" spans="1:9" x14ac:dyDescent="0.2">
      <c r="A192" s="20"/>
      <c r="B192" s="20"/>
      <c r="C192" s="20"/>
      <c r="D192" s="20"/>
      <c r="E192" s="20"/>
      <c r="F192" s="20"/>
      <c r="G192" s="20"/>
      <c r="H192" s="20"/>
      <c r="I192" s="20"/>
    </row>
    <row r="193" spans="1:9" x14ac:dyDescent="0.2">
      <c r="A193" s="20"/>
      <c r="B193" s="20"/>
      <c r="C193" s="20"/>
      <c r="D193" s="20"/>
      <c r="E193" s="20"/>
      <c r="F193" s="20"/>
      <c r="G193" s="20"/>
      <c r="H193" s="20"/>
      <c r="I193" s="20"/>
    </row>
    <row r="194" spans="1:9" x14ac:dyDescent="0.2">
      <c r="A194" s="20"/>
      <c r="B194" s="20"/>
      <c r="C194" s="20"/>
      <c r="D194" s="20"/>
      <c r="E194" s="20"/>
      <c r="F194" s="20"/>
      <c r="G194" s="20"/>
      <c r="H194" s="20"/>
      <c r="I194" s="20"/>
    </row>
    <row r="195" spans="1:9" x14ac:dyDescent="0.2">
      <c r="A195" s="20"/>
      <c r="B195" s="20"/>
      <c r="C195" s="20"/>
      <c r="D195" s="20"/>
      <c r="E195" s="20"/>
      <c r="F195" s="20"/>
      <c r="G195" s="20"/>
      <c r="H195" s="20"/>
      <c r="I195" s="20"/>
    </row>
    <row r="196" spans="1:9" x14ac:dyDescent="0.2">
      <c r="A196" s="20"/>
      <c r="B196" s="20"/>
      <c r="C196" s="20"/>
      <c r="D196" s="20"/>
      <c r="E196" s="20"/>
      <c r="F196" s="20"/>
      <c r="G196" s="20"/>
      <c r="H196" s="20"/>
      <c r="I196" s="20"/>
    </row>
    <row r="197" spans="1:9" x14ac:dyDescent="0.2">
      <c r="A197" s="20"/>
      <c r="B197" s="20"/>
      <c r="C197" s="20"/>
      <c r="D197" s="20"/>
      <c r="E197" s="20"/>
      <c r="F197" s="20"/>
      <c r="G197" s="20"/>
      <c r="H197" s="20"/>
      <c r="I197" s="20"/>
    </row>
    <row r="198" spans="1:9" x14ac:dyDescent="0.2">
      <c r="A198" s="20"/>
      <c r="B198" s="20"/>
      <c r="C198" s="20"/>
      <c r="D198" s="20"/>
      <c r="E198" s="20"/>
      <c r="F198" s="20"/>
      <c r="G198" s="20"/>
      <c r="H198" s="20"/>
      <c r="I198" s="20"/>
    </row>
    <row r="199" spans="1:9" x14ac:dyDescent="0.2">
      <c r="A199" s="20"/>
      <c r="B199" s="20"/>
      <c r="C199" s="20"/>
      <c r="D199" s="20"/>
      <c r="E199" s="20"/>
      <c r="F199" s="20"/>
      <c r="G199" s="20"/>
      <c r="H199" s="20"/>
      <c r="I199" s="20"/>
    </row>
    <row r="200" spans="1:9" x14ac:dyDescent="0.2">
      <c r="A200" s="20"/>
      <c r="B200" s="20"/>
      <c r="C200" s="20"/>
      <c r="D200" s="20"/>
      <c r="E200" s="20"/>
      <c r="F200" s="20"/>
      <c r="G200" s="20"/>
      <c r="H200" s="20"/>
      <c r="I200" s="20"/>
    </row>
    <row r="201" spans="1:9" x14ac:dyDescent="0.2">
      <c r="A201" s="20"/>
      <c r="B201" s="20"/>
      <c r="C201" s="20"/>
      <c r="D201" s="20"/>
      <c r="E201" s="20"/>
      <c r="F201" s="20"/>
      <c r="G201" s="20"/>
      <c r="H201" s="20"/>
      <c r="I201" s="20"/>
    </row>
    <row r="202" spans="1:9" x14ac:dyDescent="0.2">
      <c r="A202" s="20"/>
      <c r="B202" s="20"/>
      <c r="C202" s="20"/>
      <c r="D202" s="20"/>
      <c r="E202" s="20"/>
      <c r="F202" s="20"/>
      <c r="G202" s="20"/>
      <c r="H202" s="20"/>
      <c r="I202" s="20"/>
    </row>
    <row r="203" spans="1:9" x14ac:dyDescent="0.2">
      <c r="A203" s="20"/>
      <c r="B203" s="20"/>
      <c r="C203" s="20"/>
      <c r="D203" s="20"/>
      <c r="E203" s="20"/>
      <c r="F203" s="20"/>
      <c r="G203" s="20"/>
      <c r="H203" s="20"/>
      <c r="I203" s="20"/>
    </row>
    <row r="204" spans="1:9" x14ac:dyDescent="0.2">
      <c r="A204" s="20"/>
      <c r="B204" s="20"/>
      <c r="C204" s="20"/>
      <c r="D204" s="20"/>
      <c r="E204" s="20"/>
      <c r="F204" s="20"/>
      <c r="G204" s="20"/>
      <c r="H204" s="20"/>
      <c r="I204" s="20"/>
    </row>
    <row r="205" spans="1:9" x14ac:dyDescent="0.2">
      <c r="A205" s="20"/>
      <c r="B205" s="20"/>
      <c r="C205" s="20"/>
      <c r="D205" s="20"/>
      <c r="E205" s="20"/>
      <c r="F205" s="20"/>
      <c r="G205" s="20"/>
      <c r="H205" s="20"/>
      <c r="I205" s="20"/>
    </row>
    <row r="206" spans="1:9" x14ac:dyDescent="0.2">
      <c r="A206" s="20"/>
      <c r="B206" s="20"/>
      <c r="C206" s="20"/>
      <c r="D206" s="20"/>
      <c r="E206" s="20"/>
      <c r="F206" s="20"/>
      <c r="G206" s="20"/>
      <c r="H206" s="20"/>
      <c r="I206" s="20"/>
    </row>
    <row r="207" spans="1:9" x14ac:dyDescent="0.2">
      <c r="A207" s="20"/>
      <c r="B207" s="20"/>
      <c r="C207" s="20"/>
      <c r="D207" s="20"/>
      <c r="E207" s="20"/>
      <c r="F207" s="20"/>
      <c r="G207" s="20"/>
      <c r="H207" s="20"/>
      <c r="I207" s="20"/>
    </row>
    <row r="208" spans="1:9" x14ac:dyDescent="0.2">
      <c r="A208" s="20"/>
      <c r="B208" s="20"/>
      <c r="C208" s="20"/>
      <c r="D208" s="20"/>
      <c r="E208" s="20"/>
      <c r="F208" s="20"/>
      <c r="G208" s="20"/>
      <c r="H208" s="20"/>
      <c r="I208" s="20"/>
    </row>
    <row r="209" spans="1:9" x14ac:dyDescent="0.2">
      <c r="A209" s="20"/>
      <c r="B209" s="20"/>
      <c r="C209" s="20"/>
      <c r="D209" s="20"/>
      <c r="E209" s="20"/>
      <c r="F209" s="20"/>
      <c r="G209" s="20"/>
      <c r="H209" s="20"/>
      <c r="I209" s="20"/>
    </row>
    <row r="210" spans="1:9" x14ac:dyDescent="0.2">
      <c r="A210" s="20"/>
      <c r="B210" s="20"/>
      <c r="C210" s="20"/>
      <c r="D210" s="20"/>
      <c r="E210" s="20"/>
      <c r="F210" s="20"/>
      <c r="G210" s="20"/>
      <c r="H210" s="20"/>
      <c r="I210" s="20"/>
    </row>
    <row r="211" spans="1:9" x14ac:dyDescent="0.2">
      <c r="A211" s="20"/>
      <c r="B211" s="20"/>
      <c r="C211" s="20"/>
      <c r="D211" s="20"/>
      <c r="E211" s="20"/>
      <c r="F211" s="20"/>
      <c r="G211" s="20"/>
      <c r="H211" s="20"/>
      <c r="I211" s="20"/>
    </row>
    <row r="212" spans="1:9" x14ac:dyDescent="0.2">
      <c r="A212" s="20"/>
      <c r="B212" s="20"/>
      <c r="C212" s="20"/>
      <c r="D212" s="20"/>
      <c r="E212" s="20"/>
      <c r="F212" s="20"/>
      <c r="G212" s="20"/>
      <c r="H212" s="20"/>
      <c r="I212" s="20"/>
    </row>
    <row r="213" spans="1:9" x14ac:dyDescent="0.2">
      <c r="A213" s="20"/>
      <c r="B213" s="20"/>
      <c r="C213" s="20"/>
      <c r="D213" s="20"/>
      <c r="E213" s="20"/>
      <c r="F213" s="20"/>
      <c r="G213" s="20"/>
      <c r="H213" s="20"/>
      <c r="I213" s="20"/>
    </row>
    <row r="214" spans="1:9" x14ac:dyDescent="0.2">
      <c r="A214" s="20"/>
      <c r="B214" s="20"/>
      <c r="C214" s="20"/>
      <c r="D214" s="20"/>
      <c r="E214" s="20"/>
      <c r="F214" s="20"/>
      <c r="G214" s="20"/>
      <c r="H214" s="20"/>
      <c r="I214" s="20"/>
    </row>
    <row r="215" spans="1:9" x14ac:dyDescent="0.2">
      <c r="A215" s="20"/>
      <c r="B215" s="20"/>
      <c r="C215" s="20"/>
      <c r="D215" s="20"/>
      <c r="E215" s="20"/>
      <c r="F215" s="20"/>
      <c r="G215" s="20"/>
      <c r="H215" s="20"/>
      <c r="I215" s="20"/>
    </row>
    <row r="216" spans="1:9" x14ac:dyDescent="0.2">
      <c r="A216" s="20"/>
      <c r="B216" s="20"/>
      <c r="C216" s="20"/>
      <c r="D216" s="20"/>
      <c r="E216" s="20"/>
      <c r="F216" s="20"/>
      <c r="G216" s="20"/>
      <c r="H216" s="20"/>
      <c r="I216" s="20"/>
    </row>
    <row r="217" spans="1:9" x14ac:dyDescent="0.2">
      <c r="A217" s="20"/>
      <c r="B217" s="20"/>
      <c r="C217" s="20"/>
      <c r="D217" s="20"/>
      <c r="E217" s="20"/>
      <c r="F217" s="20"/>
      <c r="G217" s="20"/>
      <c r="H217" s="20"/>
      <c r="I217" s="20"/>
    </row>
    <row r="218" spans="1:9" x14ac:dyDescent="0.2">
      <c r="A218" s="20"/>
      <c r="B218" s="20"/>
      <c r="C218" s="20"/>
      <c r="D218" s="20"/>
      <c r="E218" s="20"/>
      <c r="F218" s="20"/>
      <c r="G218" s="20"/>
      <c r="H218" s="20"/>
      <c r="I218" s="20"/>
    </row>
    <row r="219" spans="1:9" x14ac:dyDescent="0.2">
      <c r="A219" s="20"/>
      <c r="B219" s="20"/>
      <c r="C219" s="20"/>
      <c r="D219" s="20"/>
      <c r="E219" s="20"/>
      <c r="F219" s="20"/>
      <c r="G219" s="20"/>
      <c r="H219" s="20"/>
      <c r="I219" s="20"/>
    </row>
    <row r="220" spans="1:9" x14ac:dyDescent="0.2">
      <c r="A220" s="20"/>
      <c r="B220" s="20"/>
      <c r="C220" s="20"/>
      <c r="D220" s="20"/>
      <c r="E220" s="20"/>
      <c r="F220" s="20"/>
      <c r="G220" s="20"/>
      <c r="H220" s="20"/>
      <c r="I220" s="20"/>
    </row>
    <row r="221" spans="1:9" x14ac:dyDescent="0.2">
      <c r="A221" s="20"/>
      <c r="B221" s="20"/>
      <c r="C221" s="20"/>
      <c r="D221" s="20"/>
      <c r="E221" s="20"/>
      <c r="F221" s="20"/>
      <c r="G221" s="20"/>
      <c r="H221" s="20"/>
      <c r="I221" s="20"/>
    </row>
    <row r="222" spans="1:9" x14ac:dyDescent="0.2">
      <c r="A222" s="20"/>
      <c r="B222" s="20"/>
      <c r="C222" s="20"/>
      <c r="D222" s="20"/>
      <c r="E222" s="20"/>
      <c r="F222" s="20"/>
      <c r="G222" s="20"/>
      <c r="H222" s="20"/>
      <c r="I222" s="20"/>
    </row>
    <row r="223" spans="1:9" x14ac:dyDescent="0.2">
      <c r="A223" s="20"/>
      <c r="B223" s="20"/>
      <c r="C223" s="20"/>
      <c r="D223" s="20"/>
      <c r="E223" s="20"/>
      <c r="F223" s="20"/>
      <c r="G223" s="20"/>
      <c r="H223" s="20"/>
      <c r="I223" s="20"/>
    </row>
    <row r="224" spans="1:9" x14ac:dyDescent="0.2">
      <c r="A224" s="20"/>
      <c r="B224" s="20"/>
      <c r="C224" s="20"/>
      <c r="D224" s="20"/>
      <c r="E224" s="20"/>
      <c r="F224" s="20"/>
      <c r="G224" s="20"/>
      <c r="H224" s="20"/>
      <c r="I224" s="20"/>
    </row>
    <row r="225" spans="1:9" x14ac:dyDescent="0.2">
      <c r="A225" s="20"/>
      <c r="B225" s="20"/>
      <c r="C225" s="20"/>
      <c r="D225" s="20"/>
      <c r="E225" s="20"/>
      <c r="F225" s="20"/>
      <c r="G225" s="20"/>
      <c r="H225" s="20"/>
      <c r="I225" s="20"/>
    </row>
    <row r="226" spans="1:9" x14ac:dyDescent="0.2">
      <c r="A226" s="20"/>
      <c r="B226" s="20"/>
      <c r="C226" s="20"/>
      <c r="D226" s="20"/>
      <c r="E226" s="20"/>
      <c r="F226" s="20"/>
      <c r="G226" s="20"/>
      <c r="H226" s="20"/>
      <c r="I226" s="20"/>
    </row>
    <row r="227" spans="1:9" x14ac:dyDescent="0.2">
      <c r="A227" s="20"/>
      <c r="B227" s="20"/>
      <c r="C227" s="20"/>
      <c r="D227" s="20"/>
      <c r="E227" s="20"/>
      <c r="F227" s="20"/>
      <c r="G227" s="20"/>
      <c r="H227" s="20"/>
      <c r="I227" s="20"/>
    </row>
    <row r="228" spans="1:9" x14ac:dyDescent="0.2">
      <c r="A228" s="20"/>
      <c r="B228" s="20"/>
      <c r="C228" s="20"/>
      <c r="D228" s="20"/>
      <c r="E228" s="20"/>
      <c r="F228" s="20"/>
      <c r="G228" s="20"/>
      <c r="H228" s="20"/>
      <c r="I228" s="20"/>
    </row>
    <row r="229" spans="1:9" x14ac:dyDescent="0.2">
      <c r="A229" s="20"/>
      <c r="B229" s="20"/>
      <c r="C229" s="20"/>
      <c r="D229" s="20"/>
      <c r="E229" s="20"/>
      <c r="F229" s="20"/>
      <c r="G229" s="20"/>
      <c r="H229" s="20"/>
      <c r="I229" s="20"/>
    </row>
    <row r="230" spans="1:9" x14ac:dyDescent="0.2">
      <c r="A230" s="20"/>
      <c r="B230" s="20"/>
      <c r="C230" s="20"/>
      <c r="D230" s="20"/>
      <c r="E230" s="20"/>
      <c r="F230" s="20"/>
      <c r="G230" s="20"/>
      <c r="H230" s="20"/>
      <c r="I230" s="20"/>
    </row>
    <row r="231" spans="1:9" x14ac:dyDescent="0.2">
      <c r="A231" s="20"/>
      <c r="B231" s="20"/>
      <c r="C231" s="20"/>
      <c r="D231" s="20"/>
      <c r="E231" s="20"/>
      <c r="F231" s="20"/>
      <c r="G231" s="20"/>
      <c r="H231" s="20"/>
      <c r="I231" s="20"/>
    </row>
    <row r="232" spans="1:9" x14ac:dyDescent="0.2">
      <c r="A232" s="20"/>
      <c r="B232" s="20"/>
      <c r="C232" s="20"/>
      <c r="D232" s="20"/>
      <c r="E232" s="20"/>
      <c r="F232" s="20"/>
      <c r="G232" s="20"/>
      <c r="H232" s="20"/>
      <c r="I232" s="20"/>
    </row>
    <row r="233" spans="1:9" x14ac:dyDescent="0.2">
      <c r="A233" s="20"/>
      <c r="B233" s="20"/>
      <c r="C233" s="20"/>
      <c r="D233" s="20"/>
      <c r="E233" s="20"/>
      <c r="F233" s="20"/>
      <c r="G233" s="20"/>
      <c r="H233" s="20"/>
      <c r="I233" s="20"/>
    </row>
    <row r="234" spans="1:9" x14ac:dyDescent="0.2">
      <c r="A234" s="20"/>
      <c r="B234" s="20"/>
      <c r="C234" s="20"/>
      <c r="D234" s="20"/>
      <c r="E234" s="20"/>
      <c r="F234" s="20"/>
      <c r="G234" s="20"/>
      <c r="H234" s="20"/>
      <c r="I234" s="20"/>
    </row>
    <row r="235" spans="1:9" x14ac:dyDescent="0.2">
      <c r="A235" s="20"/>
      <c r="B235" s="20"/>
      <c r="C235" s="20"/>
      <c r="D235" s="20"/>
      <c r="E235" s="20"/>
      <c r="F235" s="20"/>
      <c r="G235" s="20"/>
      <c r="H235" s="20"/>
      <c r="I235" s="20"/>
    </row>
    <row r="236" spans="1:9" x14ac:dyDescent="0.2">
      <c r="A236" s="20"/>
      <c r="B236" s="20"/>
      <c r="C236" s="20"/>
      <c r="D236" s="20"/>
      <c r="E236" s="20"/>
      <c r="F236" s="20"/>
      <c r="G236" s="20"/>
      <c r="H236" s="20"/>
      <c r="I236" s="20"/>
    </row>
    <row r="237" spans="1:9" x14ac:dyDescent="0.2">
      <c r="A237" s="20"/>
      <c r="B237" s="20"/>
      <c r="C237" s="20"/>
      <c r="D237" s="20"/>
      <c r="E237" s="20"/>
      <c r="F237" s="20"/>
      <c r="G237" s="20"/>
      <c r="H237" s="20"/>
      <c r="I237" s="20"/>
    </row>
    <row r="238" spans="1:9" x14ac:dyDescent="0.2">
      <c r="A238" s="20"/>
      <c r="B238" s="20"/>
      <c r="C238" s="20"/>
      <c r="D238" s="20"/>
      <c r="E238" s="20"/>
      <c r="F238" s="20"/>
      <c r="G238" s="20"/>
      <c r="H238" s="20"/>
      <c r="I238" s="20"/>
    </row>
    <row r="239" spans="1:9" x14ac:dyDescent="0.2">
      <c r="A239" s="20"/>
      <c r="B239" s="20"/>
      <c r="C239" s="20"/>
      <c r="D239" s="20"/>
      <c r="E239" s="20"/>
      <c r="F239" s="20"/>
      <c r="G239" s="20"/>
      <c r="H239" s="20"/>
      <c r="I239" s="20"/>
    </row>
    <row r="240" spans="1:9" x14ac:dyDescent="0.2">
      <c r="A240" s="20"/>
      <c r="B240" s="20"/>
      <c r="C240" s="20"/>
      <c r="D240" s="20"/>
      <c r="E240" s="20"/>
      <c r="F240" s="20"/>
      <c r="G240" s="20"/>
      <c r="H240" s="20"/>
      <c r="I240" s="20"/>
    </row>
    <row r="241" spans="1:9" x14ac:dyDescent="0.2">
      <c r="A241" s="20"/>
      <c r="B241" s="20"/>
      <c r="C241" s="20"/>
      <c r="D241" s="20"/>
      <c r="E241" s="20"/>
      <c r="F241" s="20"/>
      <c r="G241" s="20"/>
      <c r="H241" s="20"/>
      <c r="I241" s="20"/>
    </row>
    <row r="242" spans="1:9" x14ac:dyDescent="0.2">
      <c r="A242" s="20"/>
      <c r="B242" s="20"/>
      <c r="C242" s="20"/>
      <c r="D242" s="20"/>
      <c r="E242" s="20"/>
      <c r="F242" s="20"/>
      <c r="G242" s="20"/>
      <c r="H242" s="20"/>
      <c r="I242" s="20"/>
    </row>
    <row r="243" spans="1:9" x14ac:dyDescent="0.2">
      <c r="A243" s="20"/>
      <c r="B243" s="20"/>
      <c r="C243" s="20"/>
      <c r="D243" s="20"/>
      <c r="E243" s="20"/>
      <c r="F243" s="20"/>
      <c r="G243" s="20"/>
      <c r="H243" s="20"/>
      <c r="I243" s="20"/>
    </row>
    <row r="244" spans="1:9" x14ac:dyDescent="0.2">
      <c r="A244" s="20"/>
      <c r="B244" s="20"/>
      <c r="C244" s="20"/>
      <c r="D244" s="20"/>
      <c r="E244" s="20"/>
      <c r="F244" s="20"/>
      <c r="G244" s="20"/>
      <c r="H244" s="20"/>
      <c r="I244" s="20"/>
    </row>
    <row r="245" spans="1:9" x14ac:dyDescent="0.2">
      <c r="A245" s="20"/>
      <c r="B245" s="20"/>
      <c r="C245" s="20"/>
      <c r="D245" s="20"/>
      <c r="E245" s="20"/>
      <c r="F245" s="20"/>
      <c r="G245" s="20"/>
      <c r="H245" s="20"/>
      <c r="I245" s="20"/>
    </row>
    <row r="246" spans="1:9" x14ac:dyDescent="0.2">
      <c r="A246" s="20"/>
      <c r="B246" s="20"/>
      <c r="C246" s="20"/>
      <c r="D246" s="20"/>
      <c r="E246" s="20"/>
      <c r="F246" s="20"/>
      <c r="G246" s="20"/>
      <c r="H246" s="20"/>
      <c r="I246" s="20"/>
    </row>
    <row r="247" spans="1:9" x14ac:dyDescent="0.2">
      <c r="A247" s="20"/>
      <c r="B247" s="20"/>
      <c r="C247" s="20"/>
      <c r="D247" s="20"/>
      <c r="E247" s="20"/>
      <c r="F247" s="20"/>
      <c r="G247" s="20"/>
      <c r="H247" s="20"/>
      <c r="I247" s="20"/>
    </row>
    <row r="248" spans="1:9" x14ac:dyDescent="0.2">
      <c r="A248" s="20"/>
      <c r="B248" s="20"/>
      <c r="C248" s="20"/>
      <c r="D248" s="20"/>
      <c r="E248" s="20"/>
      <c r="F248" s="20"/>
      <c r="G248" s="20"/>
      <c r="H248" s="20"/>
      <c r="I248" s="20"/>
    </row>
    <row r="249" spans="1:9" x14ac:dyDescent="0.2">
      <c r="A249" s="20"/>
      <c r="B249" s="20"/>
      <c r="C249" s="20"/>
      <c r="D249" s="20"/>
      <c r="E249" s="20"/>
      <c r="F249" s="20"/>
      <c r="G249" s="20"/>
      <c r="H249" s="20"/>
      <c r="I249" s="20"/>
    </row>
    <row r="250" spans="1:9" x14ac:dyDescent="0.2">
      <c r="A250" s="20"/>
      <c r="B250" s="20"/>
      <c r="C250" s="20"/>
      <c r="D250" s="20"/>
      <c r="E250" s="20"/>
      <c r="F250" s="20"/>
      <c r="G250" s="20"/>
      <c r="H250" s="20"/>
      <c r="I250" s="20"/>
    </row>
    <row r="251" spans="1:9" x14ac:dyDescent="0.2">
      <c r="A251" s="20"/>
      <c r="B251" s="20"/>
      <c r="C251" s="20"/>
      <c r="D251" s="20"/>
      <c r="E251" s="20"/>
      <c r="F251" s="20"/>
      <c r="G251" s="20"/>
      <c r="H251" s="20"/>
      <c r="I251" s="20"/>
    </row>
    <row r="252" spans="1:9" x14ac:dyDescent="0.2">
      <c r="A252" s="20"/>
      <c r="B252" s="20"/>
      <c r="C252" s="20"/>
      <c r="D252" s="20"/>
      <c r="E252" s="20"/>
      <c r="F252" s="20"/>
      <c r="G252" s="20"/>
      <c r="H252" s="20"/>
      <c r="I252" s="20"/>
    </row>
    <row r="253" spans="1:9" x14ac:dyDescent="0.2">
      <c r="A253" s="20"/>
      <c r="B253" s="20"/>
      <c r="C253" s="20"/>
      <c r="D253" s="20"/>
      <c r="E253" s="20"/>
      <c r="F253" s="20"/>
      <c r="G253" s="20"/>
      <c r="H253" s="20"/>
      <c r="I253" s="20"/>
    </row>
    <row r="254" spans="1:9" x14ac:dyDescent="0.2">
      <c r="A254" s="20"/>
      <c r="B254" s="20"/>
      <c r="C254" s="20"/>
      <c r="D254" s="20"/>
      <c r="E254" s="20"/>
      <c r="F254" s="20"/>
      <c r="G254" s="20"/>
      <c r="H254" s="20"/>
      <c r="I254" s="20"/>
    </row>
    <row r="255" spans="1:9" x14ac:dyDescent="0.2">
      <c r="A255" s="20"/>
      <c r="B255" s="20"/>
      <c r="C255" s="20"/>
      <c r="D255" s="20"/>
      <c r="E255" s="20"/>
      <c r="F255" s="20"/>
      <c r="G255" s="20"/>
      <c r="H255" s="20"/>
      <c r="I255" s="20"/>
    </row>
    <row r="256" spans="1:9" x14ac:dyDescent="0.2">
      <c r="A256" s="20"/>
      <c r="B256" s="20"/>
      <c r="C256" s="20"/>
      <c r="D256" s="20"/>
      <c r="E256" s="20"/>
      <c r="F256" s="20"/>
      <c r="G256" s="20"/>
      <c r="H256" s="20"/>
      <c r="I256" s="20"/>
    </row>
    <row r="257" spans="1:9" x14ac:dyDescent="0.2">
      <c r="A257" s="20"/>
      <c r="B257" s="20"/>
      <c r="C257" s="20"/>
      <c r="D257" s="20"/>
      <c r="E257" s="20"/>
      <c r="F257" s="20"/>
      <c r="G257" s="20"/>
      <c r="H257" s="20"/>
      <c r="I257" s="20"/>
    </row>
    <row r="258" spans="1:9" x14ac:dyDescent="0.2">
      <c r="A258" s="20"/>
      <c r="B258" s="20"/>
      <c r="C258" s="20"/>
      <c r="D258" s="20"/>
      <c r="E258" s="20"/>
      <c r="F258" s="20"/>
      <c r="G258" s="20"/>
      <c r="H258" s="20"/>
      <c r="I258" s="20"/>
    </row>
    <row r="259" spans="1:9" x14ac:dyDescent="0.2">
      <c r="A259" s="20"/>
      <c r="B259" s="20"/>
      <c r="C259" s="20"/>
      <c r="D259" s="20"/>
      <c r="E259" s="20"/>
      <c r="F259" s="20"/>
      <c r="G259" s="20"/>
      <c r="H259" s="20"/>
      <c r="I259" s="20"/>
    </row>
    <row r="260" spans="1:9" x14ac:dyDescent="0.2">
      <c r="A260" s="20"/>
      <c r="B260" s="20"/>
      <c r="C260" s="20"/>
      <c r="D260" s="20"/>
      <c r="E260" s="20"/>
      <c r="F260" s="20"/>
      <c r="G260" s="20"/>
      <c r="H260" s="20"/>
      <c r="I260" s="20"/>
    </row>
    <row r="261" spans="1:9" x14ac:dyDescent="0.2">
      <c r="A261" s="20"/>
      <c r="B261" s="20"/>
      <c r="C261" s="20"/>
      <c r="D261" s="20"/>
      <c r="E261" s="20"/>
      <c r="F261" s="20"/>
      <c r="G261" s="20"/>
      <c r="H261" s="20"/>
      <c r="I261" s="20"/>
    </row>
    <row r="262" spans="1:9" x14ac:dyDescent="0.2">
      <c r="A262" s="20"/>
      <c r="B262" s="20"/>
      <c r="C262" s="20"/>
      <c r="D262" s="20"/>
      <c r="E262" s="20"/>
      <c r="F262" s="20"/>
      <c r="G262" s="20"/>
      <c r="H262" s="20"/>
      <c r="I262" s="20"/>
    </row>
    <row r="263" spans="1:9" x14ac:dyDescent="0.2">
      <c r="A263" s="20"/>
      <c r="B263" s="20"/>
      <c r="C263" s="20"/>
      <c r="D263" s="20"/>
      <c r="E263" s="20"/>
      <c r="F263" s="20"/>
      <c r="G263" s="20"/>
      <c r="H263" s="20"/>
      <c r="I263" s="20"/>
    </row>
    <row r="264" spans="1:9" x14ac:dyDescent="0.2">
      <c r="A264" s="20"/>
      <c r="B264" s="20"/>
      <c r="C264" s="20"/>
      <c r="D264" s="20"/>
      <c r="E264" s="20"/>
      <c r="F264" s="20"/>
      <c r="G264" s="20"/>
      <c r="H264" s="20"/>
      <c r="I264" s="20"/>
    </row>
    <row r="265" spans="1:9" x14ac:dyDescent="0.2">
      <c r="A265" s="20"/>
      <c r="B265" s="20"/>
      <c r="C265" s="20"/>
      <c r="D265" s="20"/>
      <c r="E265" s="20"/>
      <c r="F265" s="20"/>
      <c r="G265" s="20"/>
      <c r="H265" s="20"/>
      <c r="I265" s="20"/>
    </row>
    <row r="266" spans="1:9" x14ac:dyDescent="0.2">
      <c r="A266" s="20"/>
      <c r="B266" s="20"/>
      <c r="C266" s="20"/>
      <c r="D266" s="20"/>
      <c r="E266" s="20"/>
      <c r="F266" s="20"/>
      <c r="G266" s="20"/>
      <c r="H266" s="20"/>
      <c r="I266" s="20"/>
    </row>
    <row r="267" spans="1:9" x14ac:dyDescent="0.2">
      <c r="A267" s="20"/>
      <c r="B267" s="20"/>
      <c r="C267" s="20"/>
      <c r="D267" s="20"/>
      <c r="E267" s="20"/>
      <c r="F267" s="20"/>
      <c r="G267" s="20"/>
      <c r="H267" s="20"/>
      <c r="I267" s="20"/>
    </row>
    <row r="268" spans="1:9" x14ac:dyDescent="0.2">
      <c r="A268" s="20"/>
      <c r="B268" s="20"/>
      <c r="C268" s="20"/>
      <c r="D268" s="20"/>
      <c r="E268" s="20"/>
      <c r="F268" s="20"/>
      <c r="G268" s="20"/>
      <c r="H268" s="20"/>
      <c r="I268" s="20"/>
    </row>
    <row r="269" spans="1:9" x14ac:dyDescent="0.2">
      <c r="A269" s="20"/>
      <c r="B269" s="20"/>
      <c r="C269" s="20"/>
      <c r="D269" s="20"/>
      <c r="E269" s="20"/>
      <c r="F269" s="20"/>
      <c r="G269" s="20"/>
      <c r="H269" s="20"/>
      <c r="I269" s="20"/>
    </row>
    <row r="270" spans="1:9" x14ac:dyDescent="0.2">
      <c r="A270" s="20"/>
      <c r="B270" s="20"/>
      <c r="C270" s="20"/>
      <c r="D270" s="20"/>
      <c r="E270" s="20"/>
      <c r="F270" s="20"/>
      <c r="G270" s="20"/>
      <c r="H270" s="20"/>
      <c r="I270" s="20"/>
    </row>
    <row r="271" spans="1:9" x14ac:dyDescent="0.2">
      <c r="A271" s="20"/>
      <c r="B271" s="20"/>
      <c r="C271" s="20"/>
      <c r="D271" s="20"/>
      <c r="E271" s="20"/>
      <c r="F271" s="20"/>
      <c r="G271" s="20"/>
      <c r="H271" s="20"/>
      <c r="I271" s="20"/>
    </row>
    <row r="272" spans="1:9" x14ac:dyDescent="0.2">
      <c r="A272" s="20"/>
      <c r="B272" s="20"/>
      <c r="C272" s="20"/>
      <c r="D272" s="20"/>
      <c r="E272" s="20"/>
      <c r="F272" s="20"/>
      <c r="G272" s="20"/>
      <c r="H272" s="20"/>
      <c r="I272" s="20"/>
    </row>
    <row r="273" spans="1:9" x14ac:dyDescent="0.2">
      <c r="A273" s="20"/>
      <c r="B273" s="20"/>
      <c r="C273" s="20"/>
      <c r="D273" s="20"/>
      <c r="E273" s="20"/>
      <c r="F273" s="20"/>
      <c r="G273" s="20"/>
      <c r="H273" s="20"/>
      <c r="I273" s="20"/>
    </row>
    <row r="274" spans="1:9" x14ac:dyDescent="0.2">
      <c r="A274" s="20"/>
      <c r="B274" s="20"/>
      <c r="C274" s="20"/>
      <c r="D274" s="20"/>
      <c r="E274" s="20"/>
      <c r="F274" s="20"/>
      <c r="G274" s="20"/>
      <c r="H274" s="20"/>
      <c r="I274" s="20"/>
    </row>
    <row r="275" spans="1:9" x14ac:dyDescent="0.2">
      <c r="A275" s="20"/>
      <c r="B275" s="20"/>
      <c r="C275" s="20"/>
      <c r="D275" s="20"/>
      <c r="E275" s="20"/>
      <c r="F275" s="20"/>
      <c r="G275" s="20"/>
      <c r="H275" s="20"/>
      <c r="I275" s="20"/>
    </row>
    <row r="276" spans="1:9" x14ac:dyDescent="0.2">
      <c r="A276" s="20"/>
      <c r="B276" s="20"/>
      <c r="C276" s="20"/>
      <c r="D276" s="20"/>
      <c r="E276" s="20"/>
      <c r="F276" s="20"/>
      <c r="G276" s="20"/>
      <c r="H276" s="20"/>
      <c r="I276" s="20"/>
    </row>
    <row r="277" spans="1:9" x14ac:dyDescent="0.2">
      <c r="A277" s="20"/>
      <c r="B277" s="20"/>
      <c r="C277" s="20"/>
      <c r="D277" s="20"/>
      <c r="E277" s="20"/>
      <c r="F277" s="20"/>
      <c r="G277" s="20"/>
      <c r="H277" s="20"/>
      <c r="I277" s="20"/>
    </row>
    <row r="278" spans="1:9" x14ac:dyDescent="0.2">
      <c r="A278" s="20"/>
      <c r="B278" s="20"/>
      <c r="C278" s="20"/>
      <c r="D278" s="20"/>
      <c r="E278" s="20"/>
      <c r="F278" s="20"/>
      <c r="G278" s="20"/>
      <c r="H278" s="20"/>
      <c r="I278" s="20"/>
    </row>
    <row r="279" spans="1:9" x14ac:dyDescent="0.2">
      <c r="A279" s="20"/>
      <c r="B279" s="20"/>
      <c r="C279" s="20"/>
      <c r="D279" s="20"/>
      <c r="E279" s="20"/>
      <c r="F279" s="20"/>
      <c r="G279" s="20"/>
      <c r="H279" s="20"/>
      <c r="I279" s="20"/>
    </row>
    <row r="280" spans="1:9" x14ac:dyDescent="0.2">
      <c r="A280" s="20"/>
      <c r="B280" s="20"/>
      <c r="C280" s="20"/>
      <c r="D280" s="20"/>
      <c r="E280" s="20"/>
      <c r="F280" s="20"/>
      <c r="G280" s="20"/>
      <c r="H280" s="20"/>
      <c r="I280" s="20"/>
    </row>
    <row r="281" spans="1:9" x14ac:dyDescent="0.2">
      <c r="A281" s="20"/>
      <c r="B281" s="20"/>
      <c r="C281" s="20"/>
      <c r="D281" s="20"/>
      <c r="E281" s="20"/>
      <c r="F281" s="20"/>
      <c r="G281" s="20"/>
      <c r="H281" s="20"/>
      <c r="I281" s="20"/>
    </row>
    <row r="282" spans="1:9" x14ac:dyDescent="0.2">
      <c r="A282" s="20"/>
      <c r="B282" s="20"/>
      <c r="C282" s="20"/>
      <c r="D282" s="20"/>
      <c r="E282" s="20"/>
      <c r="F282" s="20"/>
      <c r="G282" s="20"/>
      <c r="H282" s="20"/>
      <c r="I282" s="20"/>
    </row>
    <row r="283" spans="1:9" x14ac:dyDescent="0.2">
      <c r="A283" s="20"/>
      <c r="B283" s="20"/>
      <c r="C283" s="20"/>
      <c r="D283" s="20"/>
      <c r="E283" s="20"/>
      <c r="F283" s="20"/>
      <c r="G283" s="20"/>
      <c r="H283" s="20"/>
      <c r="I283" s="20"/>
    </row>
    <row r="284" spans="1:9" x14ac:dyDescent="0.2">
      <c r="A284" s="20"/>
      <c r="B284" s="20"/>
      <c r="C284" s="20"/>
      <c r="D284" s="20"/>
      <c r="E284" s="20"/>
      <c r="F284" s="20"/>
      <c r="G284" s="20"/>
      <c r="H284" s="20"/>
      <c r="I284" s="20"/>
    </row>
    <row r="285" spans="1:9" x14ac:dyDescent="0.2">
      <c r="A285" s="20"/>
      <c r="B285" s="20"/>
      <c r="C285" s="20"/>
      <c r="D285" s="20"/>
      <c r="E285" s="20"/>
      <c r="F285" s="20"/>
      <c r="G285" s="20"/>
      <c r="H285" s="20"/>
      <c r="I285" s="20"/>
    </row>
    <row r="286" spans="1:9" x14ac:dyDescent="0.2">
      <c r="A286" s="20"/>
      <c r="B286" s="20"/>
      <c r="C286" s="20"/>
      <c r="D286" s="20"/>
      <c r="E286" s="20"/>
      <c r="F286" s="20"/>
      <c r="G286" s="20"/>
      <c r="H286" s="20"/>
      <c r="I286" s="20"/>
    </row>
    <row r="287" spans="1:9" x14ac:dyDescent="0.2">
      <c r="A287" s="20"/>
      <c r="B287" s="20"/>
      <c r="C287" s="20"/>
      <c r="D287" s="20"/>
      <c r="E287" s="20"/>
      <c r="F287" s="20"/>
      <c r="G287" s="20"/>
      <c r="H287" s="20"/>
      <c r="I287" s="20"/>
    </row>
    <row r="288" spans="1:9" x14ac:dyDescent="0.2">
      <c r="A288" s="20"/>
      <c r="B288" s="20"/>
      <c r="C288" s="20"/>
      <c r="D288" s="20"/>
      <c r="E288" s="20"/>
      <c r="F288" s="20"/>
      <c r="G288" s="20"/>
      <c r="H288" s="20"/>
      <c r="I288" s="20"/>
    </row>
    <row r="289" spans="1:9" x14ac:dyDescent="0.2">
      <c r="A289" s="20"/>
      <c r="B289" s="20"/>
      <c r="C289" s="20"/>
      <c r="D289" s="20"/>
      <c r="E289" s="20"/>
      <c r="F289" s="20"/>
      <c r="G289" s="20"/>
      <c r="H289" s="20"/>
      <c r="I289" s="20"/>
    </row>
    <row r="290" spans="1:9" x14ac:dyDescent="0.2">
      <c r="A290" s="20"/>
      <c r="B290" s="20"/>
      <c r="C290" s="20"/>
      <c r="D290" s="20"/>
      <c r="E290" s="20"/>
      <c r="F290" s="20"/>
      <c r="G290" s="20"/>
      <c r="H290" s="20"/>
      <c r="I290" s="20"/>
    </row>
    <row r="291" spans="1:9" x14ac:dyDescent="0.2">
      <c r="A291" s="20"/>
      <c r="B291" s="20"/>
      <c r="C291" s="20"/>
      <c r="D291" s="20"/>
      <c r="E291" s="20"/>
      <c r="F291" s="20"/>
      <c r="G291" s="20"/>
      <c r="H291" s="20"/>
      <c r="I291" s="20"/>
    </row>
    <row r="292" spans="1:9" x14ac:dyDescent="0.2">
      <c r="A292" s="20"/>
      <c r="B292" s="20"/>
      <c r="C292" s="20"/>
      <c r="D292" s="20"/>
      <c r="E292" s="20"/>
      <c r="F292" s="20"/>
      <c r="G292" s="20"/>
      <c r="H292" s="20"/>
      <c r="I292" s="20"/>
    </row>
    <row r="293" spans="1:9" x14ac:dyDescent="0.2">
      <c r="A293" s="20"/>
      <c r="B293" s="20"/>
      <c r="C293" s="20"/>
      <c r="D293" s="20"/>
      <c r="E293" s="20"/>
      <c r="F293" s="20"/>
      <c r="G293" s="20"/>
      <c r="H293" s="20"/>
      <c r="I293" s="20"/>
    </row>
    <row r="294" spans="1:9" x14ac:dyDescent="0.2">
      <c r="A294" s="20"/>
      <c r="B294" s="20"/>
      <c r="C294" s="20"/>
      <c r="D294" s="20"/>
      <c r="E294" s="20"/>
      <c r="F294" s="20"/>
      <c r="G294" s="20"/>
      <c r="H294" s="20"/>
      <c r="I294" s="20"/>
    </row>
    <row r="295" spans="1:9" x14ac:dyDescent="0.2">
      <c r="A295" s="20"/>
      <c r="B295" s="20"/>
      <c r="C295" s="20"/>
      <c r="D295" s="20"/>
      <c r="E295" s="20"/>
      <c r="F295" s="20"/>
      <c r="G295" s="20"/>
      <c r="H295" s="20"/>
      <c r="I295" s="20"/>
    </row>
    <row r="296" spans="1:9" x14ac:dyDescent="0.2">
      <c r="A296" s="20"/>
      <c r="B296" s="20"/>
      <c r="C296" s="20"/>
      <c r="D296" s="20"/>
      <c r="E296" s="20"/>
      <c r="F296" s="20"/>
      <c r="G296" s="20"/>
      <c r="H296" s="20"/>
      <c r="I296" s="20"/>
    </row>
    <row r="297" spans="1:9" x14ac:dyDescent="0.2">
      <c r="A297" s="20"/>
      <c r="B297" s="20"/>
      <c r="C297" s="20"/>
      <c r="D297" s="20"/>
      <c r="E297" s="20"/>
      <c r="F297" s="20"/>
      <c r="G297" s="20"/>
      <c r="H297" s="20"/>
      <c r="I297" s="20"/>
    </row>
    <row r="298" spans="1:9" x14ac:dyDescent="0.2">
      <c r="A298" s="20"/>
      <c r="B298" s="20"/>
      <c r="C298" s="20"/>
      <c r="D298" s="20"/>
      <c r="E298" s="20"/>
      <c r="F298" s="20"/>
      <c r="G298" s="20"/>
      <c r="H298" s="20"/>
      <c r="I298" s="20"/>
    </row>
    <row r="299" spans="1:9" x14ac:dyDescent="0.2">
      <c r="A299" s="20"/>
      <c r="B299" s="20"/>
      <c r="C299" s="20"/>
      <c r="D299" s="20"/>
      <c r="E299" s="20"/>
      <c r="F299" s="20"/>
      <c r="G299" s="20"/>
      <c r="H299" s="20"/>
      <c r="I299" s="20"/>
    </row>
    <row r="300" spans="1:9" x14ac:dyDescent="0.2">
      <c r="A300" s="20"/>
      <c r="B300" s="20"/>
      <c r="C300" s="20"/>
      <c r="D300" s="20"/>
      <c r="E300" s="20"/>
      <c r="F300" s="20"/>
      <c r="G300" s="20"/>
      <c r="H300" s="20"/>
      <c r="I300" s="20"/>
    </row>
    <row r="301" spans="1:9" x14ac:dyDescent="0.2">
      <c r="A301" s="20"/>
      <c r="B301" s="20"/>
      <c r="C301" s="20"/>
      <c r="D301" s="20"/>
      <c r="E301" s="20"/>
      <c r="F301" s="20"/>
      <c r="G301" s="20"/>
      <c r="H301" s="20"/>
      <c r="I301" s="20"/>
    </row>
    <row r="302" spans="1:9" x14ac:dyDescent="0.2">
      <c r="A302" s="20"/>
      <c r="B302" s="20"/>
      <c r="C302" s="20"/>
      <c r="D302" s="20"/>
      <c r="E302" s="20"/>
      <c r="F302" s="20"/>
      <c r="G302" s="20"/>
      <c r="H302" s="20"/>
      <c r="I302" s="20"/>
    </row>
    <row r="303" spans="1:9" x14ac:dyDescent="0.2">
      <c r="A303" s="20"/>
      <c r="B303" s="20"/>
      <c r="C303" s="20"/>
      <c r="D303" s="20"/>
      <c r="E303" s="20"/>
      <c r="F303" s="20"/>
      <c r="G303" s="20"/>
      <c r="H303" s="20"/>
      <c r="I303" s="20"/>
    </row>
    <row r="304" spans="1:9" x14ac:dyDescent="0.2">
      <c r="A304" s="20"/>
      <c r="B304" s="20"/>
      <c r="C304" s="20"/>
      <c r="D304" s="20"/>
      <c r="E304" s="20"/>
      <c r="F304" s="20"/>
      <c r="G304" s="20"/>
      <c r="H304" s="20"/>
      <c r="I304" s="20"/>
    </row>
    <row r="305" spans="1:9" x14ac:dyDescent="0.2">
      <c r="A305" s="20"/>
      <c r="B305" s="20"/>
      <c r="C305" s="20"/>
      <c r="D305" s="20"/>
      <c r="E305" s="20"/>
      <c r="F305" s="20"/>
      <c r="G305" s="20"/>
      <c r="H305" s="20"/>
      <c r="I305" s="20"/>
    </row>
    <row r="306" spans="1:9" x14ac:dyDescent="0.2">
      <c r="A306" s="20"/>
      <c r="B306" s="20"/>
      <c r="C306" s="20"/>
      <c r="D306" s="20"/>
      <c r="E306" s="20"/>
      <c r="F306" s="20"/>
      <c r="G306" s="20"/>
      <c r="H306" s="20"/>
      <c r="I306" s="20"/>
    </row>
    <row r="307" spans="1:9" x14ac:dyDescent="0.2">
      <c r="A307" s="20"/>
      <c r="B307" s="20"/>
      <c r="C307" s="20"/>
      <c r="D307" s="20"/>
      <c r="E307" s="20"/>
      <c r="F307" s="20"/>
      <c r="G307" s="20"/>
      <c r="H307" s="20"/>
      <c r="I307" s="20"/>
    </row>
    <row r="308" spans="1:9" x14ac:dyDescent="0.2">
      <c r="A308" s="20"/>
      <c r="B308" s="20"/>
      <c r="C308" s="20"/>
      <c r="D308" s="20"/>
      <c r="E308" s="20"/>
      <c r="F308" s="20"/>
      <c r="G308" s="20"/>
      <c r="H308" s="20"/>
      <c r="I308" s="20"/>
    </row>
    <row r="309" spans="1:9" x14ac:dyDescent="0.2">
      <c r="A309" s="20"/>
      <c r="B309" s="20"/>
      <c r="C309" s="20"/>
      <c r="D309" s="20"/>
      <c r="E309" s="20"/>
      <c r="F309" s="20"/>
      <c r="G309" s="20"/>
      <c r="H309" s="20"/>
      <c r="I309" s="20"/>
    </row>
    <row r="310" spans="1:9" x14ac:dyDescent="0.2">
      <c r="A310" s="20"/>
      <c r="B310" s="20"/>
      <c r="C310" s="20"/>
      <c r="D310" s="20"/>
      <c r="E310" s="20"/>
      <c r="F310" s="20"/>
      <c r="G310" s="20"/>
      <c r="H310" s="20"/>
      <c r="I310" s="20"/>
    </row>
    <row r="311" spans="1:9" x14ac:dyDescent="0.2">
      <c r="A311" s="20"/>
      <c r="B311" s="20"/>
      <c r="C311" s="20"/>
      <c r="D311" s="20"/>
      <c r="E311" s="20"/>
      <c r="F311" s="20"/>
      <c r="G311" s="20"/>
      <c r="H311" s="20"/>
      <c r="I311" s="20"/>
    </row>
    <row r="312" spans="1:9" x14ac:dyDescent="0.2">
      <c r="A312" s="20"/>
      <c r="B312" s="20"/>
      <c r="C312" s="20"/>
      <c r="D312" s="20"/>
      <c r="E312" s="20"/>
      <c r="F312" s="20"/>
      <c r="G312" s="20"/>
      <c r="H312" s="20"/>
      <c r="I312" s="20"/>
    </row>
    <row r="313" spans="1:9" x14ac:dyDescent="0.2">
      <c r="A313" s="20"/>
      <c r="B313" s="20"/>
      <c r="C313" s="20"/>
      <c r="D313" s="20"/>
      <c r="E313" s="20"/>
      <c r="F313" s="20"/>
      <c r="G313" s="20"/>
      <c r="H313" s="20"/>
      <c r="I313" s="20"/>
    </row>
    <row r="314" spans="1:9" x14ac:dyDescent="0.2">
      <c r="A314" s="20"/>
      <c r="B314" s="20"/>
      <c r="C314" s="20"/>
      <c r="D314" s="20"/>
      <c r="E314" s="20"/>
      <c r="F314" s="20"/>
      <c r="G314" s="20"/>
      <c r="H314" s="20"/>
      <c r="I314" s="20"/>
    </row>
    <row r="315" spans="1:9" x14ac:dyDescent="0.2">
      <c r="A315" s="20"/>
      <c r="B315" s="20"/>
      <c r="C315" s="20"/>
      <c r="D315" s="20"/>
      <c r="E315" s="20"/>
      <c r="F315" s="20"/>
      <c r="G315" s="20"/>
      <c r="H315" s="20"/>
      <c r="I315" s="20"/>
    </row>
    <row r="316" spans="1:9" x14ac:dyDescent="0.2">
      <c r="A316" s="20"/>
      <c r="B316" s="20"/>
      <c r="C316" s="20"/>
      <c r="D316" s="20"/>
      <c r="E316" s="20"/>
      <c r="F316" s="20"/>
      <c r="G316" s="20"/>
      <c r="H316" s="20"/>
      <c r="I316" s="20"/>
    </row>
    <row r="317" spans="1:9" x14ac:dyDescent="0.2">
      <c r="A317" s="20"/>
      <c r="B317" s="20"/>
      <c r="C317" s="20"/>
      <c r="D317" s="20"/>
      <c r="E317" s="20"/>
      <c r="F317" s="20"/>
      <c r="G317" s="20"/>
      <c r="H317" s="20"/>
      <c r="I317" s="20"/>
    </row>
    <row r="318" spans="1:9" x14ac:dyDescent="0.2">
      <c r="A318" s="20"/>
      <c r="B318" s="20"/>
      <c r="C318" s="20"/>
      <c r="D318" s="20"/>
      <c r="E318" s="20"/>
      <c r="F318" s="20"/>
      <c r="G318" s="20"/>
      <c r="H318" s="20"/>
      <c r="I318" s="20"/>
    </row>
    <row r="319" spans="1:9" x14ac:dyDescent="0.2">
      <c r="A319" s="20"/>
      <c r="B319" s="20"/>
      <c r="C319" s="20"/>
      <c r="D319" s="20"/>
      <c r="E319" s="20"/>
      <c r="F319" s="20"/>
      <c r="G319" s="20"/>
      <c r="H319" s="20"/>
      <c r="I319" s="20"/>
    </row>
    <row r="320" spans="1:9" x14ac:dyDescent="0.2">
      <c r="A320" s="20"/>
      <c r="B320" s="20"/>
      <c r="C320" s="20"/>
      <c r="D320" s="20"/>
      <c r="E320" s="20"/>
      <c r="F320" s="20"/>
      <c r="G320" s="20"/>
      <c r="H320" s="20"/>
      <c r="I320" s="20"/>
    </row>
    <row r="321" spans="1:9" x14ac:dyDescent="0.2">
      <c r="A321" s="20"/>
      <c r="B321" s="20"/>
      <c r="C321" s="20"/>
      <c r="D321" s="20"/>
      <c r="E321" s="20"/>
      <c r="F321" s="20"/>
      <c r="G321" s="20"/>
      <c r="H321" s="20"/>
      <c r="I321" s="20"/>
    </row>
    <row r="322" spans="1:9" x14ac:dyDescent="0.2">
      <c r="A322" s="20"/>
      <c r="B322" s="20"/>
      <c r="C322" s="20"/>
      <c r="D322" s="20"/>
      <c r="E322" s="20"/>
      <c r="F322" s="20"/>
      <c r="G322" s="20"/>
      <c r="H322" s="20"/>
      <c r="I322" s="20"/>
    </row>
    <row r="323" spans="1:9" x14ac:dyDescent="0.2">
      <c r="A323" s="20"/>
      <c r="B323" s="20"/>
      <c r="C323" s="20"/>
      <c r="D323" s="20"/>
      <c r="E323" s="20"/>
      <c r="F323" s="20"/>
      <c r="G323" s="20"/>
      <c r="H323" s="20"/>
      <c r="I323" s="20"/>
    </row>
    <row r="324" spans="1:9" x14ac:dyDescent="0.2">
      <c r="A324" s="20"/>
      <c r="B324" s="20"/>
      <c r="C324" s="20"/>
      <c r="D324" s="20"/>
      <c r="E324" s="20"/>
      <c r="F324" s="20"/>
      <c r="G324" s="20"/>
      <c r="H324" s="20"/>
      <c r="I324" s="20"/>
    </row>
    <row r="325" spans="1:9" x14ac:dyDescent="0.2">
      <c r="A325" s="20"/>
      <c r="B325" s="20"/>
      <c r="C325" s="20"/>
      <c r="D325" s="20"/>
      <c r="E325" s="20"/>
      <c r="F325" s="20"/>
      <c r="G325" s="20"/>
      <c r="H325" s="20"/>
      <c r="I325" s="20"/>
    </row>
    <row r="326" spans="1:9" x14ac:dyDescent="0.2">
      <c r="A326" s="20"/>
      <c r="B326" s="20"/>
      <c r="C326" s="20"/>
      <c r="D326" s="20"/>
      <c r="E326" s="20"/>
      <c r="F326" s="20"/>
      <c r="G326" s="20"/>
      <c r="H326" s="20"/>
      <c r="I326" s="20"/>
    </row>
    <row r="327" spans="1:9" x14ac:dyDescent="0.2">
      <c r="A327" s="20"/>
      <c r="B327" s="20"/>
      <c r="C327" s="20"/>
      <c r="D327" s="20"/>
      <c r="E327" s="20"/>
      <c r="F327" s="20"/>
      <c r="G327" s="20"/>
      <c r="H327" s="20"/>
      <c r="I327" s="20"/>
    </row>
    <row r="328" spans="1:9" x14ac:dyDescent="0.2">
      <c r="A328" s="20"/>
      <c r="B328" s="20"/>
      <c r="C328" s="20"/>
      <c r="D328" s="20"/>
      <c r="E328" s="20"/>
      <c r="F328" s="20"/>
      <c r="G328" s="20"/>
      <c r="H328" s="20"/>
      <c r="I328" s="20"/>
    </row>
    <row r="329" spans="1:9" x14ac:dyDescent="0.2">
      <c r="A329" s="20"/>
      <c r="B329" s="20"/>
      <c r="C329" s="20"/>
      <c r="D329" s="20"/>
      <c r="E329" s="20"/>
      <c r="F329" s="20"/>
      <c r="G329" s="20"/>
      <c r="H329" s="20"/>
      <c r="I329" s="20"/>
    </row>
    <row r="330" spans="1:9" x14ac:dyDescent="0.2">
      <c r="A330" s="20"/>
      <c r="B330" s="20"/>
      <c r="C330" s="20"/>
      <c r="D330" s="20"/>
      <c r="E330" s="20"/>
      <c r="F330" s="20"/>
      <c r="G330" s="20"/>
      <c r="H330" s="20"/>
      <c r="I330" s="20"/>
    </row>
    <row r="331" spans="1:9" x14ac:dyDescent="0.2">
      <c r="A331" s="20"/>
      <c r="B331" s="20"/>
      <c r="C331" s="20"/>
      <c r="D331" s="20"/>
      <c r="E331" s="20"/>
      <c r="F331" s="20"/>
      <c r="G331" s="20"/>
      <c r="H331" s="20"/>
      <c r="I331" s="20"/>
    </row>
    <row r="332" spans="1:9" x14ac:dyDescent="0.2">
      <c r="A332" s="20"/>
      <c r="B332" s="20"/>
      <c r="C332" s="20"/>
      <c r="D332" s="20"/>
      <c r="E332" s="20"/>
      <c r="F332" s="20"/>
      <c r="G332" s="20"/>
      <c r="H332" s="20"/>
      <c r="I332" s="20"/>
    </row>
    <row r="333" spans="1:9" x14ac:dyDescent="0.2">
      <c r="A333" s="20"/>
      <c r="B333" s="20"/>
      <c r="C333" s="20"/>
      <c r="D333" s="20"/>
      <c r="E333" s="20"/>
      <c r="F333" s="20"/>
      <c r="G333" s="20"/>
      <c r="H333" s="20"/>
      <c r="I333" s="20"/>
    </row>
    <row r="334" spans="1:9" x14ac:dyDescent="0.2">
      <c r="A334" s="20"/>
      <c r="B334" s="20"/>
      <c r="C334" s="20"/>
      <c r="D334" s="20"/>
      <c r="E334" s="20"/>
      <c r="F334" s="20"/>
      <c r="G334" s="20"/>
      <c r="H334" s="20"/>
      <c r="I334" s="20"/>
    </row>
    <row r="335" spans="1:9" x14ac:dyDescent="0.2">
      <c r="A335" s="20"/>
      <c r="B335" s="20"/>
      <c r="C335" s="20"/>
      <c r="D335" s="20"/>
      <c r="E335" s="20"/>
      <c r="F335" s="20"/>
      <c r="G335" s="20"/>
      <c r="H335" s="20"/>
      <c r="I335" s="20"/>
    </row>
    <row r="336" spans="1:9" x14ac:dyDescent="0.2">
      <c r="A336" s="20"/>
      <c r="B336" s="20"/>
      <c r="C336" s="20"/>
      <c r="D336" s="20"/>
      <c r="E336" s="20"/>
      <c r="F336" s="20"/>
      <c r="G336" s="20"/>
      <c r="H336" s="20"/>
      <c r="I336" s="20"/>
    </row>
    <row r="337" spans="1:9" x14ac:dyDescent="0.2">
      <c r="A337" s="20"/>
      <c r="B337" s="20"/>
      <c r="C337" s="20"/>
      <c r="D337" s="20"/>
      <c r="E337" s="20"/>
      <c r="F337" s="20"/>
      <c r="G337" s="20"/>
      <c r="H337" s="20"/>
      <c r="I337" s="20"/>
    </row>
    <row r="338" spans="1:9" x14ac:dyDescent="0.2">
      <c r="A338" s="20"/>
      <c r="B338" s="20"/>
      <c r="C338" s="20"/>
      <c r="D338" s="20"/>
      <c r="E338" s="20"/>
      <c r="F338" s="20"/>
      <c r="G338" s="20"/>
      <c r="H338" s="20"/>
      <c r="I338" s="20"/>
    </row>
    <row r="339" spans="1:9" x14ac:dyDescent="0.2">
      <c r="A339" s="20"/>
      <c r="B339" s="20"/>
      <c r="C339" s="20"/>
      <c r="D339" s="20"/>
      <c r="E339" s="20"/>
      <c r="F339" s="20"/>
      <c r="G339" s="20"/>
      <c r="H339" s="20"/>
      <c r="I339" s="20"/>
    </row>
    <row r="340" spans="1:9" x14ac:dyDescent="0.2">
      <c r="A340" s="20"/>
      <c r="B340" s="20"/>
      <c r="C340" s="20"/>
      <c r="D340" s="20"/>
      <c r="E340" s="20"/>
      <c r="F340" s="20"/>
      <c r="G340" s="20"/>
      <c r="H340" s="20"/>
      <c r="I340" s="20"/>
    </row>
    <row r="341" spans="1:9" x14ac:dyDescent="0.2">
      <c r="A341" s="20"/>
      <c r="B341" s="20"/>
      <c r="C341" s="20"/>
      <c r="D341" s="20"/>
      <c r="E341" s="20"/>
      <c r="F341" s="20"/>
      <c r="G341" s="20"/>
      <c r="H341" s="20"/>
      <c r="I341" s="20"/>
    </row>
    <row r="342" spans="1:9" x14ac:dyDescent="0.2">
      <c r="A342" s="20"/>
      <c r="B342" s="20"/>
      <c r="C342" s="20"/>
      <c r="D342" s="20"/>
      <c r="E342" s="20"/>
      <c r="F342" s="20"/>
      <c r="G342" s="20"/>
      <c r="H342" s="20"/>
      <c r="I342" s="20"/>
    </row>
    <row r="343" spans="1:9" x14ac:dyDescent="0.2">
      <c r="A343" s="20"/>
      <c r="B343" s="20"/>
      <c r="C343" s="20"/>
      <c r="D343" s="20"/>
      <c r="E343" s="20"/>
      <c r="F343" s="20"/>
      <c r="G343" s="20"/>
      <c r="H343" s="20"/>
      <c r="I343" s="20"/>
    </row>
    <row r="344" spans="1:9" x14ac:dyDescent="0.2">
      <c r="A344" s="20"/>
      <c r="B344" s="20"/>
      <c r="C344" s="20"/>
      <c r="D344" s="20"/>
      <c r="E344" s="20"/>
      <c r="F344" s="20"/>
      <c r="G344" s="20"/>
      <c r="H344" s="20"/>
      <c r="I344" s="20"/>
    </row>
    <row r="345" spans="1:9" x14ac:dyDescent="0.2">
      <c r="A345" s="20"/>
      <c r="B345" s="20"/>
      <c r="C345" s="20"/>
      <c r="D345" s="20"/>
      <c r="E345" s="20"/>
      <c r="F345" s="20"/>
      <c r="G345" s="20"/>
      <c r="H345" s="20"/>
      <c r="I345" s="20"/>
    </row>
    <row r="346" spans="1:9" x14ac:dyDescent="0.2">
      <c r="A346" s="20"/>
      <c r="B346" s="20"/>
      <c r="C346" s="20"/>
      <c r="D346" s="20"/>
      <c r="E346" s="20"/>
      <c r="F346" s="20"/>
      <c r="G346" s="20"/>
      <c r="H346" s="20"/>
      <c r="I346" s="20"/>
    </row>
    <row r="347" spans="1:9" x14ac:dyDescent="0.2">
      <c r="A347" s="20"/>
      <c r="B347" s="20"/>
      <c r="C347" s="20"/>
      <c r="D347" s="20"/>
      <c r="E347" s="20"/>
      <c r="F347" s="20"/>
      <c r="G347" s="20"/>
      <c r="H347" s="20"/>
      <c r="I347" s="20"/>
    </row>
    <row r="348" spans="1:9" x14ac:dyDescent="0.2">
      <c r="A348" s="20"/>
      <c r="B348" s="20"/>
      <c r="C348" s="20"/>
      <c r="D348" s="20"/>
      <c r="E348" s="20"/>
      <c r="F348" s="20"/>
      <c r="G348" s="20"/>
      <c r="H348" s="20"/>
      <c r="I348" s="20"/>
    </row>
    <row r="349" spans="1:9" x14ac:dyDescent="0.2">
      <c r="A349" s="20"/>
      <c r="B349" s="20"/>
      <c r="C349" s="20"/>
      <c r="D349" s="20"/>
      <c r="E349" s="20"/>
      <c r="F349" s="20"/>
      <c r="G349" s="20"/>
      <c r="H349" s="20"/>
      <c r="I349" s="20"/>
    </row>
    <row r="350" spans="1:9" x14ac:dyDescent="0.2">
      <c r="A350" s="20"/>
      <c r="B350" s="20"/>
      <c r="C350" s="20"/>
      <c r="D350" s="20"/>
      <c r="E350" s="20"/>
      <c r="F350" s="20"/>
      <c r="G350" s="20"/>
      <c r="H350" s="20"/>
      <c r="I350" s="20"/>
    </row>
    <row r="351" spans="1:9" x14ac:dyDescent="0.2">
      <c r="A351" s="20"/>
      <c r="B351" s="20"/>
      <c r="C351" s="20"/>
      <c r="D351" s="20"/>
      <c r="E351" s="20"/>
      <c r="F351" s="20"/>
      <c r="G351" s="20"/>
      <c r="H351" s="20"/>
      <c r="I351" s="20"/>
    </row>
    <row r="352" spans="1:9" x14ac:dyDescent="0.2">
      <c r="A352" s="20"/>
      <c r="B352" s="20"/>
      <c r="C352" s="20"/>
      <c r="D352" s="20"/>
      <c r="E352" s="20"/>
      <c r="F352" s="20"/>
      <c r="G352" s="20"/>
      <c r="H352" s="20"/>
      <c r="I352" s="20"/>
    </row>
    <row r="353" spans="1:9" x14ac:dyDescent="0.2">
      <c r="A353" s="20"/>
      <c r="B353" s="20"/>
      <c r="C353" s="20"/>
      <c r="D353" s="20"/>
      <c r="E353" s="20"/>
      <c r="F353" s="20"/>
      <c r="G353" s="20"/>
      <c r="H353" s="20"/>
      <c r="I353" s="20"/>
    </row>
    <row r="354" spans="1:9" x14ac:dyDescent="0.2">
      <c r="A354" s="20"/>
      <c r="B354" s="20"/>
      <c r="C354" s="20"/>
      <c r="D354" s="20"/>
      <c r="E354" s="20"/>
      <c r="F354" s="20"/>
      <c r="G354" s="20"/>
      <c r="H354" s="20"/>
      <c r="I354" s="20"/>
    </row>
    <row r="355" spans="1:9" x14ac:dyDescent="0.2">
      <c r="A355" s="20"/>
      <c r="B355" s="20"/>
      <c r="C355" s="20"/>
      <c r="D355" s="20"/>
      <c r="E355" s="20"/>
      <c r="F355" s="20"/>
      <c r="G355" s="20"/>
      <c r="H355" s="20"/>
      <c r="I355" s="20"/>
    </row>
    <row r="356" spans="1:9" x14ac:dyDescent="0.2">
      <c r="A356" s="20"/>
      <c r="B356" s="20"/>
      <c r="C356" s="20"/>
      <c r="D356" s="20"/>
      <c r="E356" s="20"/>
      <c r="F356" s="20"/>
      <c r="G356" s="20"/>
      <c r="H356" s="20"/>
      <c r="I356" s="20"/>
    </row>
    <row r="357" spans="1:9" x14ac:dyDescent="0.2">
      <c r="A357" s="20"/>
      <c r="B357" s="20"/>
      <c r="C357" s="20"/>
      <c r="D357" s="20"/>
      <c r="E357" s="20"/>
      <c r="F357" s="20"/>
      <c r="G357" s="20"/>
      <c r="H357" s="20"/>
      <c r="I357" s="20"/>
    </row>
    <row r="358" spans="1:9" x14ac:dyDescent="0.2">
      <c r="A358" s="20"/>
      <c r="B358" s="20"/>
      <c r="C358" s="20"/>
      <c r="D358" s="20"/>
      <c r="E358" s="20"/>
      <c r="F358" s="20"/>
      <c r="G358" s="20"/>
      <c r="H358" s="20"/>
      <c r="I358" s="20"/>
    </row>
    <row r="359" spans="1:9" x14ac:dyDescent="0.2">
      <c r="A359" s="20"/>
      <c r="B359" s="20"/>
      <c r="C359" s="20"/>
      <c r="D359" s="20"/>
      <c r="E359" s="20"/>
      <c r="F359" s="20"/>
      <c r="G359" s="20"/>
      <c r="H359" s="20"/>
      <c r="I359" s="20"/>
    </row>
    <row r="360" spans="1:9" x14ac:dyDescent="0.2">
      <c r="A360" s="20"/>
      <c r="B360" s="20"/>
      <c r="C360" s="20"/>
      <c r="D360" s="20"/>
      <c r="E360" s="20"/>
      <c r="F360" s="20"/>
      <c r="G360" s="20"/>
      <c r="H360" s="20"/>
      <c r="I360" s="20"/>
    </row>
    <row r="361" spans="1:9" x14ac:dyDescent="0.2">
      <c r="A361" s="20"/>
      <c r="B361" s="20"/>
      <c r="C361" s="20"/>
      <c r="D361" s="20"/>
      <c r="E361" s="20"/>
      <c r="F361" s="20"/>
      <c r="G361" s="20"/>
      <c r="H361" s="20"/>
      <c r="I361" s="20"/>
    </row>
    <row r="362" spans="1:9" x14ac:dyDescent="0.2">
      <c r="A362" s="20"/>
      <c r="B362" s="20"/>
      <c r="C362" s="20"/>
      <c r="D362" s="20"/>
      <c r="E362" s="20"/>
      <c r="F362" s="20"/>
      <c r="G362" s="20"/>
      <c r="H362" s="20"/>
      <c r="I362" s="20"/>
    </row>
    <row r="363" spans="1:9" x14ac:dyDescent="0.2">
      <c r="A363" s="20"/>
      <c r="B363" s="20"/>
      <c r="C363" s="20"/>
      <c r="D363" s="20"/>
      <c r="E363" s="20"/>
      <c r="F363" s="20"/>
      <c r="G363" s="20"/>
      <c r="H363" s="20"/>
      <c r="I363" s="20"/>
    </row>
    <row r="364" spans="1:9" x14ac:dyDescent="0.2">
      <c r="A364" s="20"/>
      <c r="B364" s="20"/>
      <c r="C364" s="20"/>
      <c r="D364" s="20"/>
      <c r="E364" s="20"/>
      <c r="F364" s="20"/>
      <c r="G364" s="20"/>
      <c r="H364" s="20"/>
      <c r="I364" s="20"/>
    </row>
    <row r="365" spans="1:9" x14ac:dyDescent="0.2">
      <c r="A365" s="20"/>
      <c r="B365" s="20"/>
      <c r="C365" s="20"/>
      <c r="D365" s="20"/>
      <c r="E365" s="20"/>
      <c r="F365" s="20"/>
      <c r="G365" s="20"/>
      <c r="H365" s="20"/>
      <c r="I365" s="20"/>
    </row>
    <row r="366" spans="1:9" x14ac:dyDescent="0.2">
      <c r="A366" s="20"/>
      <c r="B366" s="20"/>
      <c r="C366" s="20"/>
      <c r="D366" s="20"/>
      <c r="E366" s="20"/>
      <c r="F366" s="20"/>
      <c r="G366" s="20"/>
      <c r="H366" s="20"/>
      <c r="I366" s="20"/>
    </row>
    <row r="367" spans="1:9" x14ac:dyDescent="0.2">
      <c r="A367" s="20"/>
      <c r="B367" s="20"/>
      <c r="C367" s="20"/>
      <c r="D367" s="20"/>
      <c r="E367" s="20"/>
      <c r="F367" s="20"/>
      <c r="G367" s="20"/>
      <c r="H367" s="20"/>
      <c r="I367" s="20"/>
    </row>
    <row r="368" spans="1:9" x14ac:dyDescent="0.2">
      <c r="A368" s="20"/>
      <c r="B368" s="20"/>
      <c r="C368" s="20"/>
      <c r="D368" s="20"/>
      <c r="E368" s="20"/>
      <c r="F368" s="20"/>
      <c r="G368" s="20"/>
      <c r="H368" s="20"/>
      <c r="I368" s="20"/>
    </row>
    <row r="369" spans="1:9" x14ac:dyDescent="0.2">
      <c r="A369" s="20"/>
      <c r="B369" s="20"/>
      <c r="C369" s="20"/>
      <c r="D369" s="20"/>
      <c r="E369" s="20"/>
      <c r="F369" s="20"/>
      <c r="G369" s="20"/>
      <c r="H369" s="20"/>
      <c r="I369" s="20"/>
    </row>
    <row r="370" spans="1:9" x14ac:dyDescent="0.2">
      <c r="A370" s="20"/>
      <c r="B370" s="20"/>
      <c r="C370" s="20"/>
      <c r="D370" s="20"/>
      <c r="E370" s="20"/>
      <c r="F370" s="20"/>
      <c r="G370" s="20"/>
      <c r="H370" s="20"/>
      <c r="I370" s="20"/>
    </row>
    <row r="371" spans="1:9" x14ac:dyDescent="0.2">
      <c r="A371" s="20"/>
      <c r="B371" s="20"/>
      <c r="C371" s="20"/>
      <c r="D371" s="20"/>
      <c r="E371" s="20"/>
      <c r="F371" s="20"/>
      <c r="G371" s="20"/>
      <c r="H371" s="20"/>
      <c r="I371" s="20"/>
    </row>
    <row r="372" spans="1:9" x14ac:dyDescent="0.2">
      <c r="A372" s="20"/>
      <c r="B372" s="20"/>
      <c r="C372" s="20"/>
      <c r="D372" s="20"/>
      <c r="E372" s="20"/>
      <c r="F372" s="20"/>
      <c r="G372" s="20"/>
      <c r="H372" s="20"/>
      <c r="I372" s="20"/>
    </row>
    <row r="373" spans="1:9" x14ac:dyDescent="0.2">
      <c r="A373" s="20"/>
      <c r="B373" s="20"/>
      <c r="C373" s="20"/>
      <c r="D373" s="20"/>
      <c r="E373" s="20"/>
      <c r="F373" s="20"/>
      <c r="G373" s="20"/>
      <c r="H373" s="20"/>
      <c r="I373" s="20"/>
    </row>
    <row r="374" spans="1:9" x14ac:dyDescent="0.2">
      <c r="A374" s="20"/>
      <c r="B374" s="20"/>
      <c r="C374" s="20"/>
      <c r="D374" s="20"/>
      <c r="E374" s="20"/>
      <c r="F374" s="20"/>
      <c r="G374" s="20"/>
      <c r="H374" s="20"/>
      <c r="I374" s="20"/>
    </row>
    <row r="375" spans="1:9" x14ac:dyDescent="0.2">
      <c r="A375" s="20"/>
      <c r="B375" s="20"/>
      <c r="C375" s="20"/>
      <c r="D375" s="20"/>
      <c r="E375" s="20"/>
      <c r="F375" s="20"/>
      <c r="G375" s="20"/>
      <c r="H375" s="20"/>
      <c r="I375" s="20"/>
    </row>
    <row r="376" spans="1:9" x14ac:dyDescent="0.2">
      <c r="A376" s="20"/>
      <c r="B376" s="20"/>
      <c r="C376" s="20"/>
      <c r="D376" s="20"/>
      <c r="E376" s="20"/>
      <c r="F376" s="20"/>
      <c r="G376" s="20"/>
      <c r="H376" s="20"/>
      <c r="I376" s="20"/>
    </row>
    <row r="377" spans="1:9" x14ac:dyDescent="0.2">
      <c r="A377" s="20"/>
      <c r="B377" s="20"/>
      <c r="C377" s="20"/>
      <c r="D377" s="20"/>
      <c r="E377" s="20"/>
      <c r="F377" s="20"/>
      <c r="G377" s="20"/>
      <c r="H377" s="20"/>
      <c r="I377" s="20"/>
    </row>
    <row r="378" spans="1:9" x14ac:dyDescent="0.2">
      <c r="A378" s="20"/>
      <c r="B378" s="20"/>
      <c r="C378" s="20"/>
      <c r="D378" s="20"/>
      <c r="E378" s="20"/>
      <c r="F378" s="20"/>
      <c r="G378" s="20"/>
      <c r="H378" s="20"/>
      <c r="I378" s="20"/>
    </row>
    <row r="379" spans="1:9" x14ac:dyDescent="0.2">
      <c r="A379" s="20"/>
      <c r="B379" s="20"/>
      <c r="C379" s="20"/>
      <c r="D379" s="20"/>
      <c r="E379" s="20"/>
      <c r="F379" s="20"/>
      <c r="G379" s="20"/>
      <c r="H379" s="20"/>
      <c r="I379" s="20"/>
    </row>
    <row r="380" spans="1:9" x14ac:dyDescent="0.2">
      <c r="A380" s="20"/>
      <c r="B380" s="20"/>
      <c r="C380" s="20"/>
      <c r="D380" s="20"/>
      <c r="E380" s="20"/>
      <c r="F380" s="20"/>
      <c r="G380" s="20"/>
      <c r="H380" s="20"/>
      <c r="I380" s="20"/>
    </row>
    <row r="381" spans="1:9" x14ac:dyDescent="0.2">
      <c r="A381" s="20"/>
      <c r="B381" s="20"/>
      <c r="C381" s="20"/>
      <c r="D381" s="20"/>
      <c r="E381" s="20"/>
      <c r="F381" s="20"/>
      <c r="G381" s="20"/>
      <c r="H381" s="20"/>
      <c r="I381" s="20"/>
    </row>
    <row r="382" spans="1:9" x14ac:dyDescent="0.2">
      <c r="A382" s="20"/>
      <c r="B382" s="20"/>
      <c r="C382" s="20"/>
      <c r="D382" s="20"/>
      <c r="E382" s="20"/>
      <c r="F382" s="20"/>
      <c r="G382" s="20"/>
      <c r="H382" s="20"/>
      <c r="I382" s="20"/>
    </row>
    <row r="383" spans="1:9" x14ac:dyDescent="0.2">
      <c r="A383" s="20"/>
      <c r="B383" s="20"/>
      <c r="C383" s="20"/>
      <c r="D383" s="20"/>
      <c r="E383" s="20"/>
      <c r="F383" s="20"/>
      <c r="G383" s="20"/>
      <c r="H383" s="20"/>
      <c r="I383" s="20"/>
    </row>
    <row r="384" spans="1:9" x14ac:dyDescent="0.2">
      <c r="A384" s="20"/>
      <c r="B384" s="20"/>
      <c r="C384" s="20"/>
      <c r="D384" s="20"/>
      <c r="E384" s="20"/>
      <c r="F384" s="20"/>
      <c r="G384" s="20"/>
      <c r="H384" s="20"/>
      <c r="I384" s="20"/>
    </row>
    <row r="385" spans="1:9" x14ac:dyDescent="0.2">
      <c r="A385" s="20"/>
      <c r="B385" s="20"/>
      <c r="C385" s="20"/>
      <c r="D385" s="20"/>
      <c r="E385" s="20"/>
      <c r="F385" s="20"/>
      <c r="G385" s="20"/>
      <c r="H385" s="20"/>
      <c r="I385" s="20"/>
    </row>
    <row r="386" spans="1:9" x14ac:dyDescent="0.2">
      <c r="A386" s="20"/>
      <c r="B386" s="20"/>
      <c r="C386" s="20"/>
      <c r="D386" s="20"/>
      <c r="E386" s="20"/>
      <c r="F386" s="20"/>
      <c r="G386" s="20"/>
      <c r="H386" s="20"/>
      <c r="I386" s="20"/>
    </row>
    <row r="387" spans="1:9" x14ac:dyDescent="0.2">
      <c r="A387" s="20"/>
      <c r="B387" s="20"/>
      <c r="C387" s="20"/>
      <c r="D387" s="20"/>
      <c r="E387" s="20"/>
      <c r="F387" s="20"/>
      <c r="G387" s="20"/>
      <c r="H387" s="20"/>
      <c r="I387" s="20"/>
    </row>
    <row r="388" spans="1:9" x14ac:dyDescent="0.2">
      <c r="A388" s="20"/>
      <c r="B388" s="20"/>
      <c r="C388" s="20"/>
      <c r="D388" s="20"/>
      <c r="E388" s="20"/>
      <c r="F388" s="20"/>
      <c r="G388" s="20"/>
      <c r="H388" s="20"/>
      <c r="I388" s="20"/>
    </row>
    <row r="389" spans="1:9" x14ac:dyDescent="0.2">
      <c r="A389" s="20"/>
      <c r="B389" s="20"/>
      <c r="C389" s="20"/>
      <c r="D389" s="20"/>
      <c r="E389" s="20"/>
      <c r="F389" s="20"/>
      <c r="G389" s="20"/>
      <c r="H389" s="20"/>
      <c r="I389" s="20"/>
    </row>
    <row r="390" spans="1:9" x14ac:dyDescent="0.2">
      <c r="A390" s="20"/>
      <c r="B390" s="20"/>
      <c r="C390" s="20"/>
      <c r="D390" s="20"/>
      <c r="E390" s="20"/>
      <c r="F390" s="20"/>
      <c r="G390" s="20"/>
      <c r="H390" s="20"/>
      <c r="I390" s="20"/>
    </row>
    <row r="391" spans="1:9" x14ac:dyDescent="0.2">
      <c r="A391" s="20"/>
      <c r="B391" s="20"/>
      <c r="C391" s="20"/>
      <c r="D391" s="20"/>
      <c r="E391" s="20"/>
      <c r="F391" s="20"/>
      <c r="G391" s="20"/>
      <c r="H391" s="20"/>
      <c r="I391" s="20"/>
    </row>
    <row r="392" spans="1:9" x14ac:dyDescent="0.2">
      <c r="A392" s="20"/>
      <c r="B392" s="20"/>
      <c r="C392" s="20"/>
      <c r="D392" s="20"/>
      <c r="E392" s="20"/>
      <c r="F392" s="20"/>
      <c r="G392" s="20"/>
      <c r="H392" s="20"/>
      <c r="I392" s="20"/>
    </row>
    <row r="393" spans="1:9" x14ac:dyDescent="0.2">
      <c r="A393" s="20"/>
      <c r="B393" s="20"/>
      <c r="C393" s="20"/>
      <c r="D393" s="20"/>
      <c r="E393" s="20"/>
      <c r="F393" s="20"/>
      <c r="G393" s="20"/>
      <c r="H393" s="20"/>
      <c r="I393" s="20"/>
    </row>
    <row r="394" spans="1:9" x14ac:dyDescent="0.2">
      <c r="A394" s="20"/>
      <c r="B394" s="20"/>
      <c r="C394" s="20"/>
      <c r="D394" s="20"/>
      <c r="E394" s="20"/>
      <c r="F394" s="20"/>
      <c r="G394" s="20"/>
      <c r="H394" s="20"/>
      <c r="I394" s="20"/>
    </row>
    <row r="395" spans="1:9" x14ac:dyDescent="0.2">
      <c r="A395" s="20"/>
      <c r="B395" s="20"/>
      <c r="C395" s="20"/>
      <c r="D395" s="20"/>
      <c r="E395" s="20"/>
      <c r="F395" s="20"/>
      <c r="G395" s="20"/>
      <c r="H395" s="20"/>
      <c r="I395" s="20"/>
    </row>
    <row r="396" spans="1:9" x14ac:dyDescent="0.2">
      <c r="A396" s="20"/>
      <c r="B396" s="20"/>
      <c r="C396" s="20"/>
      <c r="D396" s="20"/>
      <c r="E396" s="20"/>
      <c r="F396" s="20"/>
      <c r="G396" s="20"/>
      <c r="H396" s="20"/>
      <c r="I396" s="20"/>
    </row>
    <row r="397" spans="1:9" x14ac:dyDescent="0.2">
      <c r="A397" s="20"/>
      <c r="B397" s="20"/>
      <c r="C397" s="20"/>
      <c r="D397" s="20"/>
      <c r="E397" s="20"/>
      <c r="F397" s="20"/>
      <c r="G397" s="20"/>
      <c r="H397" s="20"/>
      <c r="I397" s="20"/>
    </row>
    <row r="398" spans="1:9" x14ac:dyDescent="0.2">
      <c r="A398" s="20"/>
      <c r="B398" s="20"/>
      <c r="C398" s="20"/>
      <c r="D398" s="20"/>
      <c r="E398" s="20"/>
      <c r="F398" s="20"/>
      <c r="G398" s="20"/>
      <c r="H398" s="20"/>
      <c r="I398" s="20"/>
    </row>
    <row r="399" spans="1:9" x14ac:dyDescent="0.2">
      <c r="A399" s="20"/>
      <c r="B399" s="20"/>
      <c r="C399" s="20"/>
      <c r="D399" s="20"/>
      <c r="E399" s="20"/>
      <c r="F399" s="20"/>
      <c r="G399" s="20"/>
      <c r="H399" s="20"/>
      <c r="I399" s="20"/>
    </row>
    <row r="400" spans="1:9" x14ac:dyDescent="0.2">
      <c r="A400" s="20"/>
      <c r="B400" s="20"/>
      <c r="C400" s="20"/>
      <c r="D400" s="20"/>
      <c r="E400" s="20"/>
      <c r="F400" s="20"/>
      <c r="G400" s="20"/>
      <c r="H400" s="20"/>
      <c r="I400" s="20"/>
    </row>
    <row r="401" spans="1:9" x14ac:dyDescent="0.2">
      <c r="A401" s="20"/>
      <c r="B401" s="20"/>
      <c r="C401" s="20"/>
      <c r="D401" s="20"/>
      <c r="E401" s="20"/>
      <c r="F401" s="20"/>
      <c r="G401" s="20"/>
      <c r="H401" s="20"/>
      <c r="I401" s="20"/>
    </row>
    <row r="402" spans="1:9" x14ac:dyDescent="0.2">
      <c r="A402" s="20"/>
      <c r="B402" s="20"/>
      <c r="C402" s="20"/>
      <c r="D402" s="20"/>
      <c r="E402" s="20"/>
      <c r="F402" s="20"/>
      <c r="G402" s="20"/>
      <c r="H402" s="20"/>
      <c r="I402" s="20"/>
    </row>
    <row r="403" spans="1:9" x14ac:dyDescent="0.2">
      <c r="A403" s="20"/>
      <c r="B403" s="20"/>
      <c r="C403" s="20"/>
      <c r="D403" s="20"/>
      <c r="E403" s="20"/>
      <c r="F403" s="20"/>
      <c r="G403" s="20"/>
      <c r="H403" s="20"/>
      <c r="I403" s="20"/>
    </row>
    <row r="404" spans="1:9" x14ac:dyDescent="0.2">
      <c r="A404" s="20"/>
      <c r="B404" s="20"/>
      <c r="C404" s="20"/>
      <c r="D404" s="20"/>
      <c r="E404" s="20"/>
      <c r="F404" s="20"/>
      <c r="G404" s="20"/>
      <c r="H404" s="20"/>
      <c r="I404" s="20"/>
    </row>
    <row r="405" spans="1:9" x14ac:dyDescent="0.2">
      <c r="A405" s="20"/>
      <c r="B405" s="20"/>
      <c r="C405" s="20"/>
      <c r="D405" s="20"/>
      <c r="E405" s="20"/>
      <c r="F405" s="20"/>
      <c r="G405" s="20"/>
      <c r="H405" s="20"/>
      <c r="I405" s="20"/>
    </row>
    <row r="406" spans="1:9" x14ac:dyDescent="0.2">
      <c r="A406" s="20"/>
      <c r="B406" s="20"/>
      <c r="C406" s="20"/>
      <c r="D406" s="20"/>
      <c r="E406" s="20"/>
      <c r="F406" s="20"/>
      <c r="G406" s="20"/>
      <c r="H406" s="20"/>
      <c r="I406" s="20"/>
    </row>
    <row r="407" spans="1:9" x14ac:dyDescent="0.2">
      <c r="A407" s="20"/>
      <c r="B407" s="20"/>
      <c r="C407" s="20"/>
      <c r="D407" s="20"/>
      <c r="E407" s="20"/>
      <c r="F407" s="20"/>
      <c r="G407" s="20"/>
      <c r="H407" s="20"/>
      <c r="I407" s="20"/>
    </row>
    <row r="408" spans="1:9" x14ac:dyDescent="0.2">
      <c r="A408" s="20"/>
      <c r="B408" s="20"/>
      <c r="C408" s="20"/>
      <c r="D408" s="20"/>
      <c r="E408" s="20"/>
      <c r="F408" s="20"/>
      <c r="G408" s="20"/>
      <c r="H408" s="20"/>
      <c r="I408" s="20"/>
    </row>
    <row r="409" spans="1:9" x14ac:dyDescent="0.2">
      <c r="A409" s="20"/>
      <c r="B409" s="20"/>
      <c r="C409" s="20"/>
      <c r="D409" s="20"/>
      <c r="E409" s="20"/>
      <c r="F409" s="20"/>
      <c r="G409" s="20"/>
      <c r="H409" s="20"/>
      <c r="I409" s="20"/>
    </row>
    <row r="410" spans="1:9" x14ac:dyDescent="0.2">
      <c r="A410" s="20"/>
      <c r="B410" s="20"/>
      <c r="C410" s="20"/>
      <c r="D410" s="20"/>
      <c r="E410" s="20"/>
      <c r="F410" s="20"/>
      <c r="G410" s="20"/>
      <c r="H410" s="20"/>
      <c r="I410" s="20"/>
    </row>
    <row r="411" spans="1:9" x14ac:dyDescent="0.2">
      <c r="A411" s="20"/>
      <c r="B411" s="20"/>
      <c r="C411" s="20"/>
      <c r="D411" s="20"/>
      <c r="E411" s="20"/>
      <c r="F411" s="20"/>
      <c r="G411" s="20"/>
      <c r="H411" s="20"/>
      <c r="I411" s="20"/>
    </row>
    <row r="412" spans="1:9" x14ac:dyDescent="0.2">
      <c r="A412" s="20"/>
      <c r="B412" s="20"/>
      <c r="C412" s="20"/>
      <c r="D412" s="20"/>
      <c r="E412" s="20"/>
      <c r="F412" s="20"/>
      <c r="G412" s="20"/>
      <c r="H412" s="20"/>
      <c r="I412" s="20"/>
    </row>
    <row r="413" spans="1:9" x14ac:dyDescent="0.2">
      <c r="A413" s="20"/>
      <c r="B413" s="20"/>
      <c r="C413" s="20"/>
      <c r="D413" s="20"/>
      <c r="E413" s="20"/>
      <c r="F413" s="20"/>
      <c r="G413" s="20"/>
      <c r="H413" s="20"/>
      <c r="I413" s="20"/>
    </row>
    <row r="414" spans="1:9" x14ac:dyDescent="0.2">
      <c r="A414" s="20"/>
      <c r="B414" s="20"/>
      <c r="C414" s="20"/>
      <c r="D414" s="20"/>
      <c r="E414" s="20"/>
      <c r="F414" s="20"/>
      <c r="G414" s="20"/>
      <c r="H414" s="20"/>
      <c r="I414" s="20"/>
    </row>
    <row r="415" spans="1:9" x14ac:dyDescent="0.2">
      <c r="A415" s="20"/>
      <c r="B415" s="20"/>
      <c r="C415" s="20"/>
      <c r="D415" s="20"/>
      <c r="E415" s="20"/>
      <c r="F415" s="20"/>
      <c r="G415" s="20"/>
      <c r="H415" s="20"/>
      <c r="I415" s="20"/>
    </row>
    <row r="416" spans="1:9" x14ac:dyDescent="0.2">
      <c r="A416" s="20"/>
      <c r="B416" s="20"/>
      <c r="C416" s="20"/>
      <c r="D416" s="20"/>
      <c r="E416" s="20"/>
      <c r="F416" s="20"/>
      <c r="G416" s="20"/>
      <c r="H416" s="20"/>
      <c r="I416" s="20"/>
    </row>
    <row r="417" spans="1:9" x14ac:dyDescent="0.2">
      <c r="A417" s="20"/>
      <c r="B417" s="20"/>
      <c r="C417" s="20"/>
      <c r="D417" s="20"/>
      <c r="E417" s="20"/>
      <c r="F417" s="20"/>
      <c r="G417" s="20"/>
      <c r="H417" s="20"/>
      <c r="I417" s="20"/>
    </row>
    <row r="418" spans="1:9" x14ac:dyDescent="0.2">
      <c r="A418" s="20"/>
      <c r="B418" s="20"/>
      <c r="C418" s="20"/>
      <c r="D418" s="20"/>
      <c r="E418" s="20"/>
      <c r="F418" s="20"/>
      <c r="G418" s="20"/>
      <c r="H418" s="20"/>
      <c r="I418" s="20"/>
    </row>
    <row r="419" spans="1:9" x14ac:dyDescent="0.2">
      <c r="A419" s="20"/>
      <c r="B419" s="20"/>
      <c r="C419" s="20"/>
      <c r="D419" s="20"/>
      <c r="E419" s="20"/>
      <c r="F419" s="20"/>
      <c r="G419" s="20"/>
      <c r="H419" s="20"/>
      <c r="I419" s="20"/>
    </row>
    <row r="420" spans="1:9" x14ac:dyDescent="0.2">
      <c r="A420" s="20"/>
      <c r="B420" s="20"/>
      <c r="C420" s="20"/>
      <c r="D420" s="20"/>
      <c r="E420" s="20"/>
      <c r="F420" s="20"/>
      <c r="G420" s="20"/>
      <c r="H420" s="20"/>
      <c r="I420" s="20"/>
    </row>
    <row r="421" spans="1:9" x14ac:dyDescent="0.2">
      <c r="A421" s="20"/>
      <c r="B421" s="20"/>
      <c r="C421" s="20"/>
      <c r="D421" s="20"/>
      <c r="E421" s="20"/>
      <c r="F421" s="20"/>
      <c r="G421" s="20"/>
      <c r="H421" s="20"/>
      <c r="I421" s="20"/>
    </row>
    <row r="422" spans="1:9" x14ac:dyDescent="0.2">
      <c r="A422" s="20"/>
      <c r="B422" s="20"/>
      <c r="C422" s="20"/>
      <c r="D422" s="20"/>
      <c r="E422" s="20"/>
      <c r="F422" s="20"/>
      <c r="G422" s="20"/>
      <c r="H422" s="20"/>
      <c r="I422" s="20"/>
    </row>
    <row r="423" spans="1:9" x14ac:dyDescent="0.2">
      <c r="A423" s="20"/>
      <c r="B423" s="20"/>
      <c r="C423" s="20"/>
      <c r="D423" s="20"/>
      <c r="E423" s="20"/>
      <c r="F423" s="20"/>
      <c r="G423" s="20"/>
      <c r="H423" s="20"/>
      <c r="I423" s="20"/>
    </row>
    <row r="424" spans="1:9" x14ac:dyDescent="0.2">
      <c r="A424" s="20"/>
      <c r="B424" s="20"/>
      <c r="C424" s="20"/>
      <c r="D424" s="20"/>
      <c r="E424" s="20"/>
      <c r="F424" s="20"/>
      <c r="G424" s="20"/>
      <c r="H424" s="20"/>
      <c r="I424" s="20"/>
    </row>
    <row r="425" spans="1:9" x14ac:dyDescent="0.2">
      <c r="A425" s="20"/>
      <c r="B425" s="20"/>
      <c r="C425" s="20"/>
      <c r="D425" s="20"/>
      <c r="E425" s="20"/>
      <c r="F425" s="20"/>
      <c r="G425" s="20"/>
      <c r="H425" s="20"/>
      <c r="I425" s="20"/>
    </row>
    <row r="426" spans="1:9" x14ac:dyDescent="0.2">
      <c r="A426" s="20"/>
      <c r="B426" s="20"/>
      <c r="C426" s="20"/>
      <c r="D426" s="20"/>
      <c r="E426" s="20"/>
      <c r="F426" s="20"/>
      <c r="G426" s="20"/>
      <c r="H426" s="20"/>
      <c r="I426" s="20"/>
    </row>
    <row r="427" spans="1:9" x14ac:dyDescent="0.2">
      <c r="A427" s="20"/>
      <c r="B427" s="20"/>
      <c r="C427" s="20"/>
      <c r="D427" s="20"/>
      <c r="E427" s="20"/>
      <c r="F427" s="20"/>
      <c r="G427" s="20"/>
      <c r="H427" s="20"/>
      <c r="I427" s="20"/>
    </row>
    <row r="428" spans="1:9" x14ac:dyDescent="0.2">
      <c r="A428" s="20"/>
      <c r="B428" s="20"/>
      <c r="C428" s="20"/>
      <c r="D428" s="20"/>
      <c r="E428" s="20"/>
      <c r="F428" s="20"/>
      <c r="G428" s="20"/>
      <c r="H428" s="20"/>
      <c r="I428" s="20"/>
    </row>
    <row r="429" spans="1:9" x14ac:dyDescent="0.2">
      <c r="A429" s="20"/>
      <c r="B429" s="20"/>
      <c r="C429" s="20"/>
      <c r="D429" s="20"/>
      <c r="E429" s="20"/>
      <c r="F429" s="20"/>
      <c r="G429" s="20"/>
      <c r="H429" s="20"/>
      <c r="I429" s="20"/>
    </row>
    <row r="430" spans="1:9" x14ac:dyDescent="0.2">
      <c r="A430" s="20"/>
      <c r="B430" s="20"/>
      <c r="C430" s="20"/>
      <c r="D430" s="20"/>
      <c r="E430" s="20"/>
      <c r="F430" s="20"/>
      <c r="G430" s="20"/>
      <c r="H430" s="20"/>
      <c r="I430" s="20"/>
    </row>
    <row r="431" spans="1:9" x14ac:dyDescent="0.2">
      <c r="A431" s="20"/>
      <c r="B431" s="20"/>
      <c r="C431" s="20"/>
      <c r="D431" s="20"/>
      <c r="E431" s="20"/>
      <c r="F431" s="20"/>
      <c r="G431" s="20"/>
      <c r="H431" s="20"/>
      <c r="I431" s="20"/>
    </row>
    <row r="432" spans="1:9" x14ac:dyDescent="0.2">
      <c r="A432" s="20"/>
      <c r="B432" s="20"/>
      <c r="C432" s="20"/>
      <c r="D432" s="20"/>
      <c r="E432" s="20"/>
      <c r="F432" s="20"/>
      <c r="G432" s="20"/>
      <c r="H432" s="20"/>
      <c r="I432" s="20"/>
    </row>
    <row r="433" spans="1:9" x14ac:dyDescent="0.2">
      <c r="A433" s="20"/>
      <c r="B433" s="20"/>
      <c r="C433" s="20"/>
      <c r="D433" s="20"/>
      <c r="E433" s="20"/>
      <c r="F433" s="20"/>
      <c r="G433" s="20"/>
      <c r="H433" s="20"/>
      <c r="I433" s="20"/>
    </row>
    <row r="434" spans="1:9" x14ac:dyDescent="0.2">
      <c r="A434" s="20"/>
      <c r="B434" s="20"/>
      <c r="C434" s="20"/>
      <c r="D434" s="20"/>
      <c r="E434" s="20"/>
      <c r="F434" s="20"/>
      <c r="G434" s="20"/>
      <c r="H434" s="20"/>
      <c r="I434" s="20"/>
    </row>
    <row r="435" spans="1:9" x14ac:dyDescent="0.2">
      <c r="A435" s="20"/>
      <c r="B435" s="20"/>
      <c r="C435" s="20"/>
      <c r="D435" s="20"/>
      <c r="E435" s="20"/>
      <c r="F435" s="20"/>
      <c r="G435" s="20"/>
      <c r="H435" s="20"/>
      <c r="I435" s="20"/>
    </row>
    <row r="436" spans="1:9" x14ac:dyDescent="0.2">
      <c r="A436" s="20"/>
      <c r="B436" s="20"/>
      <c r="C436" s="20"/>
      <c r="D436" s="20"/>
      <c r="E436" s="20"/>
      <c r="F436" s="20"/>
      <c r="G436" s="20"/>
      <c r="H436" s="20"/>
      <c r="I436" s="20"/>
    </row>
    <row r="437" spans="1:9" x14ac:dyDescent="0.2">
      <c r="A437" s="20"/>
      <c r="B437" s="20"/>
      <c r="C437" s="20"/>
      <c r="D437" s="20"/>
      <c r="E437" s="20"/>
      <c r="F437" s="20"/>
      <c r="G437" s="20"/>
      <c r="H437" s="20"/>
      <c r="I437" s="20"/>
    </row>
    <row r="438" spans="1:9" x14ac:dyDescent="0.2">
      <c r="A438" s="20"/>
      <c r="B438" s="20"/>
      <c r="C438" s="20"/>
      <c r="D438" s="20"/>
      <c r="E438" s="20"/>
      <c r="F438" s="20"/>
      <c r="G438" s="20"/>
      <c r="H438" s="20"/>
      <c r="I438" s="20"/>
    </row>
    <row r="439" spans="1:9" x14ac:dyDescent="0.2">
      <c r="A439" s="20"/>
      <c r="B439" s="20"/>
      <c r="C439" s="20"/>
      <c r="D439" s="20"/>
      <c r="E439" s="20"/>
      <c r="F439" s="20"/>
      <c r="G439" s="20"/>
      <c r="H439" s="20"/>
      <c r="I439" s="20"/>
    </row>
    <row r="440" spans="1:9" x14ac:dyDescent="0.2">
      <c r="A440" s="20"/>
      <c r="B440" s="20"/>
      <c r="C440" s="20"/>
      <c r="D440" s="20"/>
      <c r="E440" s="20"/>
      <c r="F440" s="20"/>
      <c r="G440" s="20"/>
      <c r="H440" s="20"/>
      <c r="I440" s="20"/>
    </row>
    <row r="441" spans="1:9" x14ac:dyDescent="0.2">
      <c r="A441" s="20"/>
      <c r="B441" s="20"/>
      <c r="C441" s="20"/>
      <c r="D441" s="20"/>
      <c r="E441" s="20"/>
      <c r="F441" s="20"/>
      <c r="G441" s="20"/>
      <c r="H441" s="20"/>
      <c r="I441" s="20"/>
    </row>
    <row r="442" spans="1:9" x14ac:dyDescent="0.2">
      <c r="A442" s="20"/>
      <c r="B442" s="20"/>
      <c r="C442" s="20"/>
      <c r="D442" s="20"/>
      <c r="E442" s="20"/>
      <c r="F442" s="20"/>
      <c r="G442" s="20"/>
      <c r="H442" s="20"/>
      <c r="I442" s="20"/>
    </row>
    <row r="443" spans="1:9" x14ac:dyDescent="0.2">
      <c r="A443" s="20"/>
      <c r="B443" s="20"/>
      <c r="C443" s="20"/>
      <c r="D443" s="20"/>
      <c r="E443" s="20"/>
      <c r="F443" s="20"/>
      <c r="G443" s="20"/>
      <c r="H443" s="20"/>
      <c r="I443" s="20"/>
    </row>
    <row r="444" spans="1:9" x14ac:dyDescent="0.2">
      <c r="A444" s="20"/>
      <c r="B444" s="20"/>
      <c r="C444" s="20"/>
      <c r="D444" s="20"/>
      <c r="E444" s="20"/>
      <c r="F444" s="20"/>
      <c r="G444" s="20"/>
      <c r="H444" s="20"/>
      <c r="I444" s="20"/>
    </row>
    <row r="445" spans="1:9" x14ac:dyDescent="0.2">
      <c r="A445" s="20"/>
      <c r="B445" s="20"/>
      <c r="C445" s="20"/>
      <c r="D445" s="20"/>
      <c r="E445" s="20"/>
      <c r="F445" s="20"/>
      <c r="G445" s="20"/>
      <c r="H445" s="20"/>
      <c r="I445" s="20"/>
    </row>
    <row r="446" spans="1:9" x14ac:dyDescent="0.2">
      <c r="A446" s="20"/>
      <c r="B446" s="20"/>
      <c r="C446" s="20"/>
      <c r="D446" s="20"/>
      <c r="E446" s="20"/>
      <c r="F446" s="20"/>
      <c r="G446" s="20"/>
      <c r="H446" s="20"/>
      <c r="I446" s="20"/>
    </row>
    <row r="447" spans="1:9" x14ac:dyDescent="0.2">
      <c r="A447" s="20"/>
      <c r="B447" s="20"/>
      <c r="C447" s="20"/>
      <c r="D447" s="20"/>
      <c r="E447" s="20"/>
      <c r="F447" s="20"/>
      <c r="G447" s="20"/>
      <c r="H447" s="20"/>
      <c r="I447" s="20"/>
    </row>
    <row r="448" spans="1:9" x14ac:dyDescent="0.2">
      <c r="A448" s="20"/>
      <c r="B448" s="20"/>
      <c r="C448" s="20"/>
      <c r="D448" s="20"/>
      <c r="E448" s="20"/>
      <c r="F448" s="20"/>
      <c r="G448" s="20"/>
      <c r="H448" s="20"/>
      <c r="I448" s="20"/>
    </row>
    <row r="449" spans="1:9" x14ac:dyDescent="0.2">
      <c r="A449" s="20"/>
      <c r="B449" s="20"/>
      <c r="C449" s="20"/>
      <c r="D449" s="20"/>
      <c r="E449" s="20"/>
      <c r="F449" s="20"/>
      <c r="G449" s="20"/>
      <c r="H449" s="20"/>
      <c r="I449" s="20"/>
    </row>
    <row r="450" spans="1:9" x14ac:dyDescent="0.2">
      <c r="A450" s="20"/>
      <c r="B450" s="20"/>
      <c r="C450" s="20"/>
      <c r="D450" s="20"/>
      <c r="E450" s="20"/>
      <c r="F450" s="20"/>
      <c r="G450" s="20"/>
      <c r="H450" s="20"/>
      <c r="I450" s="20"/>
    </row>
    <row r="451" spans="1:9" x14ac:dyDescent="0.2">
      <c r="A451" s="20"/>
      <c r="B451" s="20"/>
      <c r="C451" s="20"/>
      <c r="D451" s="20"/>
      <c r="E451" s="20"/>
      <c r="F451" s="20"/>
      <c r="G451" s="20"/>
      <c r="H451" s="20"/>
      <c r="I451" s="20"/>
    </row>
    <row r="452" spans="1:9" x14ac:dyDescent="0.2">
      <c r="A452" s="20"/>
      <c r="B452" s="20"/>
      <c r="C452" s="20"/>
      <c r="D452" s="20"/>
      <c r="E452" s="20"/>
      <c r="F452" s="20"/>
      <c r="G452" s="20"/>
      <c r="H452" s="20"/>
      <c r="I452" s="20"/>
    </row>
    <row r="453" spans="1:9" x14ac:dyDescent="0.2">
      <c r="A453" s="20"/>
      <c r="B453" s="20"/>
      <c r="C453" s="20"/>
      <c r="D453" s="20"/>
      <c r="E453" s="20"/>
      <c r="F453" s="20"/>
      <c r="G453" s="20"/>
      <c r="H453" s="20"/>
      <c r="I453" s="20"/>
    </row>
    <row r="454" spans="1:9" x14ac:dyDescent="0.2">
      <c r="A454" s="20"/>
      <c r="B454" s="20"/>
      <c r="C454" s="20"/>
      <c r="D454" s="20"/>
      <c r="E454" s="20"/>
      <c r="F454" s="20"/>
      <c r="G454" s="20"/>
      <c r="H454" s="20"/>
      <c r="I454" s="20"/>
    </row>
    <row r="455" spans="1:9" x14ac:dyDescent="0.2">
      <c r="A455" s="20"/>
      <c r="B455" s="20"/>
      <c r="C455" s="20"/>
      <c r="D455" s="20"/>
      <c r="E455" s="20"/>
      <c r="F455" s="20"/>
      <c r="G455" s="20"/>
      <c r="H455" s="20"/>
      <c r="I455" s="20"/>
    </row>
    <row r="456" spans="1:9" x14ac:dyDescent="0.2">
      <c r="A456" s="20"/>
      <c r="B456" s="20"/>
      <c r="C456" s="20"/>
      <c r="D456" s="20"/>
      <c r="E456" s="20"/>
      <c r="F456" s="20"/>
      <c r="G456" s="20"/>
      <c r="H456" s="20"/>
      <c r="I456" s="20"/>
    </row>
    <row r="457" spans="1:9" x14ac:dyDescent="0.2">
      <c r="A457" s="20"/>
      <c r="B457" s="20"/>
      <c r="C457" s="20"/>
      <c r="D457" s="20"/>
      <c r="E457" s="20"/>
      <c r="F457" s="20"/>
      <c r="G457" s="20"/>
      <c r="H457" s="20"/>
      <c r="I457" s="20"/>
    </row>
    <row r="458" spans="1:9" x14ac:dyDescent="0.2">
      <c r="A458" s="20"/>
      <c r="B458" s="20"/>
      <c r="C458" s="20"/>
      <c r="D458" s="20"/>
      <c r="E458" s="20"/>
      <c r="F458" s="20"/>
      <c r="G458" s="20"/>
      <c r="H458" s="20"/>
      <c r="I458" s="20"/>
    </row>
    <row r="459" spans="1:9" x14ac:dyDescent="0.2">
      <c r="A459" s="20"/>
      <c r="B459" s="20"/>
      <c r="C459" s="20"/>
      <c r="D459" s="20"/>
      <c r="E459" s="20"/>
      <c r="F459" s="20"/>
      <c r="G459" s="20"/>
      <c r="H459" s="20"/>
      <c r="I459" s="20"/>
    </row>
    <row r="460" spans="1:9" x14ac:dyDescent="0.2">
      <c r="A460" s="20"/>
      <c r="B460" s="20"/>
      <c r="C460" s="20"/>
      <c r="D460" s="20"/>
      <c r="E460" s="20"/>
      <c r="F460" s="20"/>
      <c r="G460" s="20"/>
      <c r="H460" s="20"/>
      <c r="I460" s="20"/>
    </row>
    <row r="461" spans="1:9" x14ac:dyDescent="0.2">
      <c r="A461" s="20"/>
      <c r="B461" s="20"/>
      <c r="C461" s="20"/>
      <c r="D461" s="20"/>
      <c r="E461" s="20"/>
      <c r="F461" s="20"/>
      <c r="G461" s="20"/>
      <c r="H461" s="20"/>
      <c r="I461" s="20"/>
    </row>
    <row r="462" spans="1:9" x14ac:dyDescent="0.2">
      <c r="A462" s="20"/>
      <c r="B462" s="20"/>
      <c r="C462" s="20"/>
      <c r="D462" s="20"/>
      <c r="E462" s="20"/>
      <c r="F462" s="20"/>
      <c r="G462" s="20"/>
      <c r="H462" s="20"/>
      <c r="I462" s="20"/>
    </row>
    <row r="463" spans="1:9" x14ac:dyDescent="0.2">
      <c r="A463" s="20"/>
      <c r="B463" s="20"/>
      <c r="C463" s="20"/>
      <c r="D463" s="20"/>
      <c r="E463" s="20"/>
      <c r="F463" s="20"/>
      <c r="G463" s="20"/>
      <c r="H463" s="20"/>
      <c r="I463" s="20"/>
    </row>
    <row r="464" spans="1:9" x14ac:dyDescent="0.2">
      <c r="A464" s="20"/>
      <c r="B464" s="20"/>
      <c r="C464" s="20"/>
      <c r="D464" s="20"/>
      <c r="E464" s="20"/>
      <c r="F464" s="20"/>
      <c r="G464" s="20"/>
      <c r="H464" s="20"/>
      <c r="I464" s="20"/>
    </row>
    <row r="465" spans="1:9" x14ac:dyDescent="0.2">
      <c r="A465" s="20"/>
      <c r="B465" s="20"/>
      <c r="C465" s="20"/>
      <c r="D465" s="20"/>
      <c r="E465" s="20"/>
      <c r="F465" s="20"/>
      <c r="G465" s="20"/>
      <c r="H465" s="20"/>
      <c r="I465" s="20"/>
    </row>
    <row r="466" spans="1:9" x14ac:dyDescent="0.2">
      <c r="A466" s="20"/>
      <c r="B466" s="20"/>
      <c r="C466" s="20"/>
      <c r="D466" s="20"/>
      <c r="E466" s="20"/>
      <c r="F466" s="20"/>
      <c r="G466" s="20"/>
      <c r="H466" s="20"/>
      <c r="I466" s="20"/>
    </row>
    <row r="467" spans="1:9" x14ac:dyDescent="0.2">
      <c r="A467" s="20"/>
      <c r="B467" s="20"/>
      <c r="C467" s="20"/>
      <c r="D467" s="20"/>
      <c r="E467" s="20"/>
      <c r="F467" s="20"/>
      <c r="G467" s="20"/>
      <c r="H467" s="20"/>
      <c r="I467" s="20"/>
    </row>
    <row r="468" spans="1:9" x14ac:dyDescent="0.2">
      <c r="A468" s="20"/>
      <c r="B468" s="20"/>
      <c r="C468" s="20"/>
      <c r="D468" s="20"/>
      <c r="E468" s="20"/>
      <c r="F468" s="20"/>
      <c r="G468" s="20"/>
      <c r="H468" s="20"/>
      <c r="I468" s="20"/>
    </row>
    <row r="469" spans="1:9" x14ac:dyDescent="0.2">
      <c r="A469" s="20"/>
      <c r="B469" s="20"/>
      <c r="C469" s="20"/>
      <c r="D469" s="20"/>
      <c r="E469" s="20"/>
      <c r="F469" s="20"/>
      <c r="G469" s="20"/>
      <c r="H469" s="20"/>
      <c r="I469" s="20"/>
    </row>
    <row r="470" spans="1:9" x14ac:dyDescent="0.2">
      <c r="A470" s="20"/>
      <c r="B470" s="20"/>
      <c r="C470" s="20"/>
      <c r="D470" s="20"/>
      <c r="E470" s="20"/>
      <c r="F470" s="20"/>
      <c r="G470" s="20"/>
      <c r="H470" s="20"/>
      <c r="I470" s="20"/>
    </row>
    <row r="471" spans="1:9" x14ac:dyDescent="0.2">
      <c r="A471" s="20"/>
      <c r="B471" s="20"/>
      <c r="C471" s="20"/>
      <c r="D471" s="20"/>
      <c r="E471" s="20"/>
      <c r="F471" s="20"/>
      <c r="G471" s="20"/>
      <c r="H471" s="20"/>
      <c r="I471" s="20"/>
    </row>
    <row r="472" spans="1:9" x14ac:dyDescent="0.2">
      <c r="A472" s="20"/>
      <c r="B472" s="20"/>
      <c r="C472" s="20"/>
      <c r="D472" s="20"/>
      <c r="E472" s="20"/>
      <c r="F472" s="20"/>
      <c r="G472" s="20"/>
      <c r="H472" s="20"/>
      <c r="I472" s="20"/>
    </row>
    <row r="473" spans="1:9" x14ac:dyDescent="0.2">
      <c r="A473" s="20"/>
      <c r="B473" s="20"/>
      <c r="C473" s="20"/>
      <c r="D473" s="20"/>
      <c r="E473" s="20"/>
      <c r="F473" s="20"/>
      <c r="G473" s="20"/>
      <c r="H473" s="20"/>
      <c r="I473" s="20"/>
    </row>
    <row r="474" spans="1:9" x14ac:dyDescent="0.2">
      <c r="A474" s="20"/>
      <c r="B474" s="20"/>
      <c r="C474" s="20"/>
      <c r="D474" s="20"/>
      <c r="E474" s="20"/>
      <c r="F474" s="20"/>
      <c r="G474" s="20"/>
      <c r="H474" s="20"/>
      <c r="I474" s="20"/>
    </row>
    <row r="475" spans="1:9" x14ac:dyDescent="0.2">
      <c r="A475" s="20"/>
      <c r="B475" s="20"/>
      <c r="C475" s="20"/>
      <c r="D475" s="20"/>
      <c r="E475" s="20"/>
      <c r="F475" s="20"/>
      <c r="G475" s="20"/>
      <c r="H475" s="20"/>
      <c r="I475" s="20"/>
    </row>
    <row r="476" spans="1:9" x14ac:dyDescent="0.2">
      <c r="A476" s="20"/>
      <c r="B476" s="20"/>
      <c r="C476" s="20"/>
      <c r="D476" s="20"/>
      <c r="E476" s="20"/>
      <c r="F476" s="20"/>
      <c r="G476" s="20"/>
      <c r="H476" s="20"/>
      <c r="I476" s="20"/>
    </row>
    <row r="477" spans="1:9" x14ac:dyDescent="0.2">
      <c r="A477" s="20"/>
      <c r="B477" s="20"/>
      <c r="C477" s="20"/>
      <c r="D477" s="20"/>
      <c r="E477" s="20"/>
      <c r="F477" s="20"/>
      <c r="G477" s="20"/>
      <c r="H477" s="20"/>
      <c r="I477" s="20"/>
    </row>
    <row r="478" spans="1:9" x14ac:dyDescent="0.2">
      <c r="A478" s="20"/>
      <c r="B478" s="20"/>
      <c r="C478" s="20"/>
      <c r="D478" s="20"/>
      <c r="E478" s="20"/>
      <c r="F478" s="20"/>
      <c r="G478" s="20"/>
      <c r="H478" s="20"/>
      <c r="I478" s="20"/>
    </row>
    <row r="479" spans="1:9" x14ac:dyDescent="0.2">
      <c r="A479" s="20"/>
      <c r="B479" s="20"/>
      <c r="C479" s="20"/>
      <c r="D479" s="20"/>
      <c r="E479" s="20"/>
      <c r="F479" s="20"/>
      <c r="G479" s="20"/>
      <c r="H479" s="20"/>
      <c r="I479" s="20"/>
    </row>
    <row r="480" spans="1:9" x14ac:dyDescent="0.2">
      <c r="A480" s="20"/>
      <c r="B480" s="20"/>
      <c r="C480" s="20"/>
      <c r="D480" s="20"/>
      <c r="E480" s="20"/>
      <c r="F480" s="20"/>
      <c r="G480" s="20"/>
      <c r="H480" s="20"/>
      <c r="I480" s="20"/>
    </row>
    <row r="481" spans="1:9" x14ac:dyDescent="0.2">
      <c r="A481" s="20"/>
      <c r="B481" s="20"/>
      <c r="C481" s="20"/>
      <c r="D481" s="20"/>
      <c r="E481" s="20"/>
      <c r="F481" s="20"/>
      <c r="G481" s="20"/>
      <c r="H481" s="20"/>
      <c r="I481" s="20"/>
    </row>
    <row r="482" spans="1:9" x14ac:dyDescent="0.2">
      <c r="A482" s="20"/>
      <c r="B482" s="20"/>
      <c r="C482" s="20"/>
      <c r="D482" s="20"/>
      <c r="E482" s="20"/>
      <c r="F482" s="20"/>
      <c r="G482" s="20"/>
      <c r="H482" s="20"/>
      <c r="I482" s="20"/>
    </row>
    <row r="483" spans="1:9" x14ac:dyDescent="0.2">
      <c r="A483" s="20"/>
      <c r="B483" s="20"/>
      <c r="C483" s="20"/>
      <c r="D483" s="20"/>
      <c r="E483" s="20"/>
      <c r="F483" s="20"/>
      <c r="G483" s="20"/>
      <c r="H483" s="20"/>
      <c r="I483" s="20"/>
    </row>
    <row r="484" spans="1:9" x14ac:dyDescent="0.2">
      <c r="A484" s="20"/>
      <c r="B484" s="20"/>
      <c r="C484" s="20"/>
      <c r="D484" s="20"/>
      <c r="E484" s="20"/>
      <c r="F484" s="20"/>
      <c r="G484" s="20"/>
      <c r="H484" s="20"/>
      <c r="I484" s="20"/>
    </row>
    <row r="485" spans="1:9" x14ac:dyDescent="0.2">
      <c r="A485" s="20"/>
      <c r="B485" s="20"/>
      <c r="C485" s="20"/>
      <c r="D485" s="20"/>
      <c r="E485" s="20"/>
      <c r="F485" s="20"/>
      <c r="G485" s="20"/>
      <c r="H485" s="20"/>
      <c r="I485" s="20"/>
    </row>
    <row r="486" spans="1:9" x14ac:dyDescent="0.2">
      <c r="A486" s="20"/>
      <c r="B486" s="20"/>
      <c r="C486" s="20"/>
      <c r="D486" s="20"/>
      <c r="E486" s="20"/>
      <c r="F486" s="20"/>
      <c r="G486" s="20"/>
      <c r="H486" s="20"/>
      <c r="I486" s="20"/>
    </row>
    <row r="487" spans="1:9" x14ac:dyDescent="0.2">
      <c r="A487" s="20"/>
      <c r="B487" s="20"/>
      <c r="C487" s="20"/>
      <c r="D487" s="20"/>
      <c r="E487" s="20"/>
      <c r="F487" s="20"/>
      <c r="G487" s="20"/>
      <c r="H487" s="20"/>
      <c r="I487" s="20"/>
    </row>
    <row r="488" spans="1:9" x14ac:dyDescent="0.2">
      <c r="A488" s="20"/>
      <c r="B488" s="20"/>
      <c r="C488" s="20"/>
      <c r="D488" s="20"/>
      <c r="E488" s="20"/>
      <c r="F488" s="20"/>
      <c r="G488" s="20"/>
      <c r="H488" s="20"/>
      <c r="I488" s="20"/>
    </row>
    <row r="489" spans="1:9" x14ac:dyDescent="0.2">
      <c r="A489" s="20"/>
      <c r="B489" s="20"/>
      <c r="C489" s="20"/>
      <c r="D489" s="20"/>
      <c r="E489" s="20"/>
      <c r="F489" s="20"/>
      <c r="G489" s="20"/>
      <c r="H489" s="20"/>
      <c r="I489" s="20"/>
    </row>
    <row r="490" spans="1:9" x14ac:dyDescent="0.2">
      <c r="A490" s="20"/>
      <c r="B490" s="20"/>
      <c r="C490" s="20"/>
      <c r="D490" s="20"/>
      <c r="E490" s="20"/>
      <c r="F490" s="20"/>
      <c r="G490" s="20"/>
      <c r="H490" s="20"/>
      <c r="I490" s="20"/>
    </row>
    <row r="491" spans="1:9" x14ac:dyDescent="0.2">
      <c r="A491" s="20"/>
      <c r="B491" s="20"/>
      <c r="C491" s="20"/>
      <c r="D491" s="20"/>
      <c r="E491" s="20"/>
      <c r="F491" s="20"/>
      <c r="G491" s="20"/>
      <c r="H491" s="20"/>
      <c r="I491" s="20"/>
    </row>
    <row r="492" spans="1:9" x14ac:dyDescent="0.2">
      <c r="A492" s="20"/>
      <c r="B492" s="20"/>
      <c r="C492" s="20"/>
      <c r="D492" s="20"/>
      <c r="E492" s="20"/>
      <c r="F492" s="20"/>
      <c r="G492" s="20"/>
      <c r="H492" s="20"/>
      <c r="I492" s="20"/>
    </row>
    <row r="493" spans="1:9" x14ac:dyDescent="0.2">
      <c r="A493" s="20"/>
      <c r="B493" s="20"/>
      <c r="C493" s="20"/>
      <c r="D493" s="20"/>
      <c r="E493" s="20"/>
      <c r="F493" s="20"/>
      <c r="G493" s="20"/>
      <c r="H493" s="20"/>
      <c r="I493" s="20"/>
    </row>
    <row r="494" spans="1:9" x14ac:dyDescent="0.2">
      <c r="A494" s="20"/>
      <c r="B494" s="20"/>
      <c r="C494" s="20"/>
      <c r="D494" s="20"/>
      <c r="E494" s="20"/>
      <c r="F494" s="20"/>
      <c r="G494" s="20"/>
      <c r="H494" s="20"/>
      <c r="I494" s="20"/>
    </row>
    <row r="495" spans="1:9" x14ac:dyDescent="0.2">
      <c r="A495" s="20"/>
      <c r="B495" s="20"/>
      <c r="C495" s="20"/>
      <c r="D495" s="20"/>
      <c r="E495" s="20"/>
      <c r="F495" s="20"/>
      <c r="G495" s="20"/>
      <c r="H495" s="20"/>
      <c r="I495" s="20"/>
    </row>
    <row r="496" spans="1:9" x14ac:dyDescent="0.2">
      <c r="A496" s="20"/>
      <c r="B496" s="20"/>
      <c r="C496" s="20"/>
      <c r="D496" s="20"/>
      <c r="E496" s="20"/>
      <c r="F496" s="20"/>
      <c r="G496" s="20"/>
      <c r="H496" s="20"/>
      <c r="I496" s="20"/>
    </row>
    <row r="497" spans="1:9" x14ac:dyDescent="0.2">
      <c r="A497" s="20"/>
      <c r="B497" s="20"/>
      <c r="C497" s="20"/>
      <c r="D497" s="20"/>
      <c r="E497" s="20"/>
      <c r="F497" s="20"/>
      <c r="G497" s="20"/>
      <c r="H497" s="20"/>
      <c r="I497" s="20"/>
    </row>
    <row r="498" spans="1:9" x14ac:dyDescent="0.2">
      <c r="A498" s="20"/>
      <c r="B498" s="20"/>
      <c r="C498" s="20"/>
      <c r="D498" s="20"/>
      <c r="E498" s="20"/>
      <c r="F498" s="20"/>
      <c r="G498" s="20"/>
      <c r="H498" s="20"/>
      <c r="I498" s="20"/>
    </row>
    <row r="499" spans="1:9" x14ac:dyDescent="0.2">
      <c r="A499" s="20"/>
      <c r="B499" s="20"/>
      <c r="C499" s="20"/>
      <c r="D499" s="20"/>
      <c r="E499" s="20"/>
      <c r="F499" s="20"/>
      <c r="G499" s="20"/>
      <c r="H499" s="20"/>
      <c r="I499" s="20"/>
    </row>
    <row r="500" spans="1:9" x14ac:dyDescent="0.2">
      <c r="A500" s="20"/>
      <c r="B500" s="20"/>
      <c r="C500" s="20"/>
      <c r="D500" s="20"/>
      <c r="E500" s="20"/>
      <c r="F500" s="20"/>
      <c r="G500" s="20"/>
      <c r="H500" s="20"/>
      <c r="I500" s="20"/>
    </row>
    <row r="501" spans="1:9" x14ac:dyDescent="0.2">
      <c r="A501" s="20"/>
      <c r="B501" s="20"/>
      <c r="C501" s="20"/>
      <c r="D501" s="20"/>
      <c r="E501" s="20"/>
      <c r="F501" s="20"/>
      <c r="G501" s="20"/>
      <c r="H501" s="20"/>
      <c r="I501" s="20"/>
    </row>
    <row r="502" spans="1:9" x14ac:dyDescent="0.2">
      <c r="A502" s="20"/>
      <c r="B502" s="20"/>
      <c r="C502" s="20"/>
      <c r="D502" s="20"/>
      <c r="E502" s="20"/>
      <c r="F502" s="20"/>
      <c r="G502" s="20"/>
      <c r="H502" s="20"/>
      <c r="I502" s="20"/>
    </row>
    <row r="503" spans="1:9" x14ac:dyDescent="0.2">
      <c r="A503" s="20"/>
      <c r="B503" s="20"/>
      <c r="C503" s="20"/>
      <c r="D503" s="20"/>
      <c r="E503" s="20"/>
      <c r="F503" s="20"/>
      <c r="G503" s="20"/>
      <c r="H503" s="20"/>
      <c r="I503" s="20"/>
    </row>
    <row r="504" spans="1:9" x14ac:dyDescent="0.2">
      <c r="A504" s="20"/>
      <c r="B504" s="20"/>
      <c r="C504" s="20"/>
      <c r="D504" s="20"/>
      <c r="E504" s="20"/>
      <c r="F504" s="20"/>
      <c r="G504" s="20"/>
      <c r="H504" s="20"/>
      <c r="I504" s="20"/>
    </row>
    <row r="505" spans="1:9" x14ac:dyDescent="0.2">
      <c r="A505" s="20"/>
      <c r="B505" s="20"/>
      <c r="C505" s="20"/>
      <c r="D505" s="20"/>
      <c r="E505" s="20"/>
      <c r="F505" s="20"/>
      <c r="G505" s="20"/>
      <c r="H505" s="20"/>
      <c r="I505" s="20"/>
    </row>
    <row r="506" spans="1:9" x14ac:dyDescent="0.2">
      <c r="A506" s="20"/>
      <c r="B506" s="20"/>
      <c r="C506" s="20"/>
      <c r="D506" s="20"/>
      <c r="E506" s="20"/>
      <c r="F506" s="20"/>
      <c r="G506" s="20"/>
      <c r="H506" s="20"/>
      <c r="I506" s="20"/>
    </row>
    <row r="507" spans="1:9" x14ac:dyDescent="0.2">
      <c r="A507" s="20"/>
      <c r="B507" s="20"/>
      <c r="C507" s="20"/>
      <c r="D507" s="20"/>
      <c r="E507" s="20"/>
      <c r="F507" s="20"/>
      <c r="G507" s="20"/>
      <c r="H507" s="20"/>
      <c r="I507" s="20"/>
    </row>
    <row r="508" spans="1:9" x14ac:dyDescent="0.2">
      <c r="A508" s="20"/>
      <c r="B508" s="20"/>
      <c r="C508" s="20"/>
      <c r="D508" s="20"/>
      <c r="E508" s="20"/>
      <c r="F508" s="20"/>
      <c r="G508" s="20"/>
      <c r="H508" s="20"/>
      <c r="I508" s="20"/>
    </row>
    <row r="509" spans="1:9" x14ac:dyDescent="0.2">
      <c r="A509" s="20"/>
      <c r="B509" s="20"/>
      <c r="C509" s="20"/>
      <c r="D509" s="20"/>
      <c r="E509" s="20"/>
      <c r="F509" s="20"/>
      <c r="G509" s="20"/>
      <c r="H509" s="20"/>
      <c r="I509" s="20"/>
    </row>
    <row r="510" spans="1:9" x14ac:dyDescent="0.2">
      <c r="A510" s="20"/>
      <c r="B510" s="20"/>
      <c r="C510" s="20"/>
      <c r="D510" s="20"/>
      <c r="E510" s="20"/>
      <c r="F510" s="20"/>
      <c r="G510" s="20"/>
      <c r="H510" s="20"/>
      <c r="I510" s="20"/>
    </row>
    <row r="511" spans="1:9" x14ac:dyDescent="0.2">
      <c r="A511" s="20"/>
      <c r="B511" s="20"/>
      <c r="C511" s="20"/>
      <c r="D511" s="20"/>
      <c r="E511" s="20"/>
      <c r="F511" s="20"/>
      <c r="G511" s="20"/>
      <c r="H511" s="20"/>
      <c r="I511" s="20"/>
    </row>
    <row r="512" spans="1:9" x14ac:dyDescent="0.2">
      <c r="A512" s="20"/>
      <c r="B512" s="20"/>
      <c r="C512" s="20"/>
      <c r="D512" s="20"/>
      <c r="E512" s="20"/>
      <c r="F512" s="20"/>
      <c r="G512" s="20"/>
      <c r="H512" s="20"/>
      <c r="I512" s="20"/>
    </row>
    <row r="513" spans="1:9" x14ac:dyDescent="0.2">
      <c r="A513" s="20"/>
      <c r="B513" s="20"/>
      <c r="C513" s="20"/>
      <c r="D513" s="20"/>
      <c r="E513" s="20"/>
      <c r="F513" s="20"/>
      <c r="G513" s="20"/>
      <c r="H513" s="20"/>
      <c r="I513" s="20"/>
    </row>
    <row r="514" spans="1:9" x14ac:dyDescent="0.2">
      <c r="A514" s="20"/>
      <c r="B514" s="20"/>
      <c r="C514" s="20"/>
      <c r="D514" s="20"/>
      <c r="E514" s="20"/>
      <c r="F514" s="20"/>
      <c r="G514" s="20"/>
      <c r="H514" s="20"/>
      <c r="I514" s="20"/>
    </row>
    <row r="515" spans="1:9" x14ac:dyDescent="0.2">
      <c r="A515" s="20"/>
      <c r="B515" s="20"/>
      <c r="C515" s="20"/>
      <c r="D515" s="20"/>
      <c r="E515" s="20"/>
      <c r="F515" s="20"/>
      <c r="G515" s="20"/>
      <c r="H515" s="20"/>
      <c r="I515" s="20"/>
    </row>
    <row r="516" spans="1:9" x14ac:dyDescent="0.2">
      <c r="A516" s="20"/>
      <c r="B516" s="20"/>
      <c r="C516" s="20"/>
      <c r="D516" s="20"/>
      <c r="E516" s="20"/>
      <c r="F516" s="20"/>
      <c r="G516" s="20"/>
      <c r="H516" s="20"/>
      <c r="I516" s="20"/>
    </row>
    <row r="517" spans="1:9" x14ac:dyDescent="0.2">
      <c r="A517" s="20"/>
      <c r="B517" s="20"/>
      <c r="C517" s="20"/>
      <c r="D517" s="20"/>
      <c r="E517" s="20"/>
      <c r="F517" s="20"/>
      <c r="G517" s="20"/>
      <c r="H517" s="20"/>
      <c r="I517" s="20"/>
    </row>
    <row r="518" spans="1:9" x14ac:dyDescent="0.2">
      <c r="A518" s="20"/>
      <c r="B518" s="20"/>
      <c r="C518" s="20"/>
      <c r="D518" s="20"/>
      <c r="E518" s="20"/>
      <c r="F518" s="20"/>
      <c r="G518" s="20"/>
      <c r="H518" s="20"/>
      <c r="I518" s="20"/>
    </row>
    <row r="519" spans="1:9" x14ac:dyDescent="0.2">
      <c r="A519" s="20"/>
      <c r="B519" s="20"/>
      <c r="C519" s="20"/>
      <c r="D519" s="20"/>
      <c r="E519" s="20"/>
      <c r="F519" s="20"/>
      <c r="G519" s="20"/>
      <c r="H519" s="20"/>
      <c r="I519" s="20"/>
    </row>
    <row r="520" spans="1:9" x14ac:dyDescent="0.2">
      <c r="A520" s="20"/>
      <c r="B520" s="20"/>
      <c r="C520" s="20"/>
      <c r="D520" s="20"/>
      <c r="E520" s="20"/>
      <c r="F520" s="20"/>
      <c r="G520" s="20"/>
      <c r="H520" s="20"/>
      <c r="I520" s="20"/>
    </row>
    <row r="521" spans="1:9" x14ac:dyDescent="0.2">
      <c r="A521" s="20"/>
      <c r="B521" s="20"/>
      <c r="C521" s="20"/>
      <c r="D521" s="20"/>
      <c r="E521" s="20"/>
      <c r="F521" s="20"/>
      <c r="G521" s="20"/>
      <c r="H521" s="20"/>
      <c r="I521" s="20"/>
    </row>
    <row r="522" spans="1:9" x14ac:dyDescent="0.2">
      <c r="A522" s="20"/>
      <c r="B522" s="20"/>
      <c r="C522" s="20"/>
      <c r="D522" s="20"/>
      <c r="E522" s="20"/>
      <c r="F522" s="20"/>
      <c r="G522" s="20"/>
      <c r="H522" s="20"/>
      <c r="I522" s="20"/>
    </row>
    <row r="523" spans="1:9" x14ac:dyDescent="0.2">
      <c r="A523" s="20"/>
      <c r="B523" s="20"/>
      <c r="C523" s="20"/>
      <c r="D523" s="20"/>
      <c r="E523" s="20"/>
      <c r="F523" s="20"/>
      <c r="G523" s="20"/>
      <c r="H523" s="20"/>
      <c r="I523" s="20"/>
    </row>
    <row r="524" spans="1:9" x14ac:dyDescent="0.2">
      <c r="A524" s="20"/>
      <c r="B524" s="20"/>
      <c r="C524" s="20"/>
      <c r="D524" s="20"/>
      <c r="E524" s="20"/>
      <c r="F524" s="20"/>
      <c r="G524" s="20"/>
      <c r="H524" s="20"/>
      <c r="I524" s="20"/>
    </row>
    <row r="525" spans="1:9" x14ac:dyDescent="0.2">
      <c r="A525" s="20"/>
      <c r="B525" s="20"/>
      <c r="C525" s="20"/>
      <c r="D525" s="20"/>
      <c r="E525" s="20"/>
      <c r="F525" s="20"/>
      <c r="G525" s="20"/>
      <c r="H525" s="20"/>
      <c r="I525" s="20"/>
    </row>
    <row r="526" spans="1:9" x14ac:dyDescent="0.2">
      <c r="A526" s="20"/>
      <c r="B526" s="20"/>
      <c r="C526" s="20"/>
      <c r="D526" s="20"/>
      <c r="E526" s="20"/>
      <c r="F526" s="20"/>
      <c r="G526" s="20"/>
      <c r="H526" s="20"/>
      <c r="I526" s="20"/>
    </row>
    <row r="527" spans="1:9" x14ac:dyDescent="0.2">
      <c r="A527" s="20"/>
      <c r="B527" s="20"/>
      <c r="C527" s="20"/>
      <c r="D527" s="20"/>
      <c r="E527" s="20"/>
      <c r="F527" s="20"/>
      <c r="G527" s="20"/>
      <c r="H527" s="20"/>
      <c r="I527" s="20"/>
    </row>
    <row r="528" spans="1:9" x14ac:dyDescent="0.2">
      <c r="A528" s="20"/>
      <c r="B528" s="20"/>
      <c r="C528" s="20"/>
      <c r="D528" s="20"/>
      <c r="E528" s="20"/>
      <c r="F528" s="20"/>
      <c r="G528" s="20"/>
      <c r="H528" s="20"/>
      <c r="I528" s="20"/>
    </row>
    <row r="529" spans="1:9" x14ac:dyDescent="0.2">
      <c r="A529" s="20"/>
      <c r="B529" s="20"/>
      <c r="C529" s="20"/>
      <c r="D529" s="20"/>
      <c r="E529" s="20"/>
      <c r="F529" s="20"/>
      <c r="G529" s="20"/>
      <c r="H529" s="20"/>
      <c r="I529" s="20"/>
    </row>
    <row r="530" spans="1:9" x14ac:dyDescent="0.2">
      <c r="A530" s="20"/>
      <c r="B530" s="20"/>
      <c r="C530" s="20"/>
      <c r="D530" s="20"/>
      <c r="E530" s="20"/>
      <c r="F530" s="20"/>
      <c r="G530" s="20"/>
      <c r="H530" s="20"/>
      <c r="I530" s="20"/>
    </row>
    <row r="531" spans="1:9" x14ac:dyDescent="0.2">
      <c r="A531" s="20"/>
      <c r="B531" s="20"/>
      <c r="C531" s="20"/>
      <c r="D531" s="20"/>
      <c r="E531" s="20"/>
      <c r="F531" s="20"/>
      <c r="G531" s="20"/>
      <c r="H531" s="20"/>
      <c r="I531" s="20"/>
    </row>
    <row r="532" spans="1:9" x14ac:dyDescent="0.2">
      <c r="A532" s="20"/>
      <c r="B532" s="20"/>
      <c r="C532" s="20"/>
      <c r="D532" s="20"/>
      <c r="E532" s="20"/>
      <c r="F532" s="20"/>
      <c r="G532" s="20"/>
      <c r="H532" s="20"/>
      <c r="I532" s="20"/>
    </row>
    <row r="533" spans="1:9" x14ac:dyDescent="0.2">
      <c r="A533" s="20"/>
      <c r="B533" s="20"/>
      <c r="C533" s="20"/>
      <c r="D533" s="20"/>
      <c r="E533" s="20"/>
      <c r="F533" s="20"/>
      <c r="G533" s="20"/>
      <c r="H533" s="20"/>
      <c r="I533" s="20"/>
    </row>
    <row r="534" spans="1:9" x14ac:dyDescent="0.2">
      <c r="A534" s="20"/>
      <c r="B534" s="20"/>
      <c r="C534" s="20"/>
      <c r="D534" s="20"/>
      <c r="E534" s="20"/>
      <c r="F534" s="20"/>
      <c r="G534" s="20"/>
      <c r="H534" s="20"/>
      <c r="I534" s="20"/>
    </row>
    <row r="535" spans="1:9" x14ac:dyDescent="0.2">
      <c r="A535" s="20"/>
      <c r="B535" s="20"/>
      <c r="C535" s="20"/>
      <c r="D535" s="20"/>
      <c r="E535" s="20"/>
      <c r="F535" s="20"/>
      <c r="G535" s="20"/>
      <c r="H535" s="20"/>
      <c r="I535" s="20"/>
    </row>
    <row r="536" spans="1:9" x14ac:dyDescent="0.2">
      <c r="A536" s="20"/>
      <c r="B536" s="20"/>
      <c r="C536" s="20"/>
      <c r="D536" s="20"/>
      <c r="E536" s="20"/>
      <c r="F536" s="20"/>
      <c r="G536" s="20"/>
      <c r="H536" s="20"/>
      <c r="I536" s="20"/>
    </row>
    <row r="537" spans="1:9" x14ac:dyDescent="0.2">
      <c r="A537" s="20"/>
      <c r="B537" s="20"/>
      <c r="C537" s="20"/>
      <c r="D537" s="20"/>
      <c r="E537" s="20"/>
      <c r="F537" s="20"/>
      <c r="G537" s="20"/>
      <c r="H537" s="20"/>
      <c r="I537" s="20"/>
    </row>
    <row r="538" spans="1:9" x14ac:dyDescent="0.2">
      <c r="A538" s="20"/>
      <c r="B538" s="20"/>
      <c r="C538" s="20"/>
      <c r="D538" s="20"/>
      <c r="E538" s="20"/>
      <c r="F538" s="20"/>
      <c r="G538" s="20"/>
      <c r="H538" s="20"/>
      <c r="I538" s="20"/>
    </row>
    <row r="539" spans="1:9" x14ac:dyDescent="0.2">
      <c r="A539" s="20"/>
      <c r="B539" s="20"/>
      <c r="C539" s="20"/>
      <c r="D539" s="20"/>
      <c r="E539" s="20"/>
      <c r="F539" s="20"/>
      <c r="G539" s="20"/>
      <c r="H539" s="20"/>
      <c r="I539" s="20"/>
    </row>
    <row r="540" spans="1:9" x14ac:dyDescent="0.2">
      <c r="A540" s="20"/>
      <c r="B540" s="20"/>
      <c r="C540" s="20"/>
      <c r="D540" s="20"/>
      <c r="E540" s="20"/>
      <c r="F540" s="20"/>
      <c r="G540" s="20"/>
      <c r="H540" s="20"/>
      <c r="I540" s="20"/>
    </row>
    <row r="541" spans="1:9" x14ac:dyDescent="0.2">
      <c r="A541" s="20"/>
      <c r="B541" s="20"/>
      <c r="C541" s="20"/>
      <c r="D541" s="20"/>
      <c r="E541" s="20"/>
      <c r="F541" s="20"/>
      <c r="G541" s="20"/>
      <c r="H541" s="20"/>
      <c r="I541" s="20"/>
    </row>
    <row r="542" spans="1:9" x14ac:dyDescent="0.2">
      <c r="A542" s="20"/>
      <c r="B542" s="20"/>
      <c r="C542" s="20"/>
      <c r="D542" s="20"/>
      <c r="E542" s="20"/>
      <c r="F542" s="20"/>
      <c r="G542" s="20"/>
      <c r="H542" s="20"/>
      <c r="I542" s="20"/>
    </row>
    <row r="543" spans="1:9" x14ac:dyDescent="0.2">
      <c r="A543" s="20"/>
      <c r="B543" s="20"/>
      <c r="C543" s="20"/>
      <c r="D543" s="20"/>
      <c r="E543" s="20"/>
      <c r="F543" s="20"/>
      <c r="G543" s="20"/>
      <c r="H543" s="20"/>
      <c r="I543" s="20"/>
    </row>
    <row r="544" spans="1:9" x14ac:dyDescent="0.2">
      <c r="A544" s="20"/>
      <c r="B544" s="20"/>
      <c r="C544" s="20"/>
      <c r="D544" s="20"/>
      <c r="E544" s="20"/>
      <c r="F544" s="20"/>
      <c r="G544" s="20"/>
      <c r="H544" s="20"/>
      <c r="I544" s="20"/>
    </row>
    <row r="545" spans="1:9" x14ac:dyDescent="0.2">
      <c r="A545" s="20"/>
      <c r="B545" s="20"/>
      <c r="C545" s="20"/>
      <c r="D545" s="20"/>
      <c r="E545" s="20"/>
      <c r="F545" s="20"/>
      <c r="G545" s="20"/>
      <c r="H545" s="20"/>
      <c r="I545" s="20"/>
    </row>
    <row r="546" spans="1:9" x14ac:dyDescent="0.2">
      <c r="A546" s="20"/>
      <c r="B546" s="20"/>
      <c r="C546" s="20"/>
      <c r="D546" s="20"/>
      <c r="E546" s="20"/>
      <c r="F546" s="20"/>
      <c r="G546" s="20"/>
      <c r="H546" s="20"/>
      <c r="I546" s="20"/>
    </row>
    <row r="547" spans="1:9" x14ac:dyDescent="0.2">
      <c r="A547" s="20"/>
      <c r="B547" s="20"/>
      <c r="C547" s="20"/>
      <c r="D547" s="20"/>
      <c r="E547" s="20"/>
      <c r="F547" s="20"/>
      <c r="G547" s="20"/>
      <c r="H547" s="20"/>
      <c r="I547" s="20"/>
    </row>
    <row r="548" spans="1:9" x14ac:dyDescent="0.2">
      <c r="A548" s="20"/>
      <c r="B548" s="20"/>
      <c r="C548" s="20"/>
      <c r="D548" s="20"/>
      <c r="E548" s="20"/>
      <c r="F548" s="20"/>
      <c r="G548" s="20"/>
      <c r="H548" s="20"/>
      <c r="I548" s="20"/>
    </row>
    <row r="549" spans="1:9" x14ac:dyDescent="0.2">
      <c r="A549" s="20"/>
      <c r="B549" s="20"/>
      <c r="C549" s="20"/>
      <c r="D549" s="20"/>
      <c r="E549" s="20"/>
      <c r="F549" s="20"/>
      <c r="G549" s="20"/>
      <c r="H549" s="20"/>
      <c r="I549" s="20"/>
    </row>
    <row r="550" spans="1:9" x14ac:dyDescent="0.2">
      <c r="A550" s="20"/>
      <c r="B550" s="20"/>
      <c r="C550" s="20"/>
      <c r="D550" s="20"/>
      <c r="E550" s="20"/>
      <c r="F550" s="20"/>
      <c r="G550" s="20"/>
      <c r="H550" s="20"/>
      <c r="I550" s="20"/>
    </row>
    <row r="551" spans="1:9" x14ac:dyDescent="0.2">
      <c r="A551" s="20"/>
      <c r="B551" s="20"/>
      <c r="C551" s="20"/>
      <c r="D551" s="20"/>
      <c r="E551" s="20"/>
      <c r="F551" s="20"/>
      <c r="G551" s="20"/>
      <c r="H551" s="20"/>
      <c r="I551" s="20"/>
    </row>
    <row r="552" spans="1:9" x14ac:dyDescent="0.2">
      <c r="A552" s="20"/>
      <c r="B552" s="20"/>
      <c r="C552" s="20"/>
      <c r="D552" s="20"/>
      <c r="E552" s="20"/>
      <c r="F552" s="20"/>
      <c r="G552" s="20"/>
      <c r="H552" s="20"/>
      <c r="I552" s="20"/>
    </row>
    <row r="553" spans="1:9" x14ac:dyDescent="0.2">
      <c r="A553" s="20"/>
      <c r="B553" s="20"/>
      <c r="C553" s="20"/>
      <c r="D553" s="20"/>
      <c r="E553" s="20"/>
      <c r="F553" s="20"/>
      <c r="G553" s="20"/>
      <c r="H553" s="20"/>
      <c r="I553" s="20"/>
    </row>
    <row r="554" spans="1:9" x14ac:dyDescent="0.2">
      <c r="A554" s="20"/>
      <c r="B554" s="20"/>
      <c r="C554" s="20"/>
      <c r="D554" s="20"/>
      <c r="E554" s="20"/>
      <c r="F554" s="20"/>
      <c r="G554" s="20"/>
      <c r="H554" s="20"/>
      <c r="I554" s="20"/>
    </row>
    <row r="555" spans="1:9" x14ac:dyDescent="0.2">
      <c r="A555" s="20"/>
      <c r="B555" s="20"/>
      <c r="C555" s="20"/>
      <c r="D555" s="20"/>
      <c r="E555" s="20"/>
      <c r="F555" s="20"/>
      <c r="G555" s="20"/>
      <c r="H555" s="20"/>
      <c r="I555" s="20"/>
    </row>
    <row r="556" spans="1:9" x14ac:dyDescent="0.2">
      <c r="A556" s="20"/>
      <c r="B556" s="20"/>
      <c r="C556" s="20"/>
      <c r="D556" s="20"/>
      <c r="E556" s="20"/>
      <c r="F556" s="20"/>
      <c r="G556" s="20"/>
      <c r="H556" s="20"/>
      <c r="I556" s="20"/>
    </row>
    <row r="557" spans="1:9" x14ac:dyDescent="0.2">
      <c r="A557" s="20"/>
      <c r="B557" s="20"/>
      <c r="C557" s="20"/>
      <c r="D557" s="20"/>
      <c r="E557" s="20"/>
      <c r="F557" s="20"/>
      <c r="G557" s="20"/>
      <c r="H557" s="20"/>
      <c r="I557" s="20"/>
    </row>
    <row r="558" spans="1:9" x14ac:dyDescent="0.2">
      <c r="A558" s="20"/>
      <c r="B558" s="20"/>
      <c r="C558" s="20"/>
      <c r="D558" s="20"/>
      <c r="E558" s="20"/>
      <c r="F558" s="20"/>
      <c r="G558" s="20"/>
      <c r="H558" s="20"/>
      <c r="I558" s="20"/>
    </row>
    <row r="559" spans="1:9" x14ac:dyDescent="0.2">
      <c r="A559" s="20"/>
      <c r="B559" s="20"/>
      <c r="C559" s="20"/>
      <c r="D559" s="20"/>
      <c r="E559" s="20"/>
      <c r="F559" s="20"/>
      <c r="G559" s="20"/>
      <c r="H559" s="20"/>
      <c r="I559" s="20"/>
    </row>
    <row r="560" spans="1:9" x14ac:dyDescent="0.2">
      <c r="A560" s="20"/>
      <c r="B560" s="20"/>
      <c r="C560" s="20"/>
      <c r="D560" s="20"/>
      <c r="E560" s="20"/>
      <c r="F560" s="20"/>
      <c r="G560" s="20"/>
      <c r="H560" s="20"/>
      <c r="I560" s="20"/>
    </row>
    <row r="561" spans="1:9" x14ac:dyDescent="0.2">
      <c r="A561" s="20"/>
      <c r="B561" s="20"/>
      <c r="C561" s="20"/>
      <c r="D561" s="20"/>
      <c r="E561" s="20"/>
      <c r="F561" s="20"/>
      <c r="G561" s="20"/>
      <c r="H561" s="20"/>
      <c r="I561" s="20"/>
    </row>
    <row r="562" spans="1:9" x14ac:dyDescent="0.2">
      <c r="A562" s="20"/>
      <c r="B562" s="20"/>
      <c r="C562" s="20"/>
      <c r="D562" s="20"/>
      <c r="E562" s="20"/>
      <c r="F562" s="20"/>
      <c r="G562" s="20"/>
      <c r="H562" s="20"/>
      <c r="I562" s="20"/>
    </row>
    <row r="563" spans="1:9" x14ac:dyDescent="0.2">
      <c r="A563" s="20"/>
      <c r="B563" s="20"/>
      <c r="C563" s="20"/>
      <c r="D563" s="20"/>
      <c r="E563" s="20"/>
      <c r="F563" s="20"/>
      <c r="G563" s="20"/>
      <c r="H563" s="20"/>
      <c r="I563" s="20"/>
    </row>
    <row r="564" spans="1:9" x14ac:dyDescent="0.2">
      <c r="A564" s="20"/>
      <c r="B564" s="20"/>
      <c r="C564" s="20"/>
      <c r="D564" s="20"/>
      <c r="E564" s="20"/>
      <c r="F564" s="20"/>
      <c r="G564" s="20"/>
      <c r="H564" s="20"/>
      <c r="I564" s="20"/>
    </row>
    <row r="565" spans="1:9" x14ac:dyDescent="0.2">
      <c r="A565" s="20"/>
      <c r="B565" s="20"/>
      <c r="C565" s="20"/>
      <c r="D565" s="20"/>
      <c r="E565" s="20"/>
      <c r="F565" s="20"/>
      <c r="G565" s="20"/>
      <c r="H565" s="20"/>
      <c r="I565" s="20"/>
    </row>
    <row r="566" spans="1:9" x14ac:dyDescent="0.2">
      <c r="A566" s="20"/>
      <c r="B566" s="20"/>
      <c r="C566" s="20"/>
      <c r="D566" s="20"/>
      <c r="E566" s="20"/>
      <c r="F566" s="20"/>
      <c r="G566" s="20"/>
      <c r="H566" s="20"/>
      <c r="I566" s="20"/>
    </row>
    <row r="567" spans="1:9" x14ac:dyDescent="0.2">
      <c r="A567" s="20"/>
      <c r="B567" s="20"/>
      <c r="C567" s="20"/>
      <c r="D567" s="20"/>
      <c r="E567" s="20"/>
      <c r="F567" s="20"/>
      <c r="G567" s="20"/>
      <c r="H567" s="20"/>
      <c r="I567" s="20"/>
    </row>
    <row r="568" spans="1:9" x14ac:dyDescent="0.2">
      <c r="A568" s="20"/>
      <c r="B568" s="20"/>
      <c r="C568" s="20"/>
      <c r="D568" s="20"/>
      <c r="E568" s="20"/>
      <c r="F568" s="20"/>
      <c r="G568" s="20"/>
      <c r="H568" s="20"/>
      <c r="I568" s="20"/>
    </row>
    <row r="569" spans="1:9" x14ac:dyDescent="0.2">
      <c r="A569" s="20"/>
      <c r="B569" s="20"/>
      <c r="C569" s="20"/>
      <c r="D569" s="20"/>
      <c r="E569" s="20"/>
      <c r="F569" s="20"/>
      <c r="G569" s="20"/>
      <c r="H569" s="20"/>
      <c r="I569" s="20"/>
    </row>
    <row r="570" spans="1:9" x14ac:dyDescent="0.2">
      <c r="A570" s="20"/>
      <c r="B570" s="20"/>
      <c r="C570" s="20"/>
      <c r="D570" s="20"/>
      <c r="E570" s="20"/>
      <c r="F570" s="20"/>
      <c r="G570" s="20"/>
      <c r="H570" s="20"/>
      <c r="I570" s="20"/>
    </row>
    <row r="571" spans="1:9" x14ac:dyDescent="0.2">
      <c r="A571" s="20"/>
      <c r="B571" s="20"/>
      <c r="C571" s="20"/>
      <c r="D571" s="20"/>
      <c r="E571" s="20"/>
      <c r="F571" s="20"/>
      <c r="G571" s="20"/>
      <c r="H571" s="20"/>
      <c r="I571" s="20"/>
    </row>
    <row r="572" spans="1:9" x14ac:dyDescent="0.2">
      <c r="A572" s="20"/>
      <c r="B572" s="20"/>
      <c r="C572" s="20"/>
      <c r="D572" s="20"/>
      <c r="E572" s="20"/>
      <c r="F572" s="20"/>
      <c r="G572" s="20"/>
      <c r="H572" s="20"/>
      <c r="I572" s="20"/>
    </row>
    <row r="573" spans="1:9" x14ac:dyDescent="0.2">
      <c r="A573" s="20"/>
      <c r="B573" s="20"/>
      <c r="C573" s="20"/>
      <c r="D573" s="20"/>
      <c r="E573" s="20"/>
      <c r="F573" s="20"/>
      <c r="G573" s="20"/>
      <c r="H573" s="20"/>
      <c r="I573" s="20"/>
    </row>
    <row r="574" spans="1:9" x14ac:dyDescent="0.2">
      <c r="A574" s="20"/>
      <c r="B574" s="20"/>
      <c r="C574" s="20"/>
      <c r="D574" s="20"/>
      <c r="E574" s="20"/>
      <c r="F574" s="20"/>
      <c r="G574" s="20"/>
      <c r="H574" s="20"/>
      <c r="I574" s="20"/>
    </row>
    <row r="575" spans="1:9" x14ac:dyDescent="0.2">
      <c r="A575" s="20"/>
      <c r="B575" s="20"/>
      <c r="C575" s="20"/>
      <c r="D575" s="20"/>
      <c r="E575" s="20"/>
      <c r="F575" s="20"/>
      <c r="G575" s="20"/>
      <c r="H575" s="20"/>
      <c r="I575" s="20"/>
    </row>
    <row r="576" spans="1:9" x14ac:dyDescent="0.2">
      <c r="A576" s="20"/>
      <c r="B576" s="20"/>
      <c r="C576" s="20"/>
      <c r="D576" s="20"/>
      <c r="E576" s="20"/>
      <c r="F576" s="20"/>
      <c r="G576" s="20"/>
      <c r="H576" s="20"/>
      <c r="I576" s="20"/>
    </row>
    <row r="577" spans="1:9" x14ac:dyDescent="0.2">
      <c r="A577" s="20"/>
      <c r="B577" s="20"/>
      <c r="C577" s="20"/>
      <c r="D577" s="20"/>
      <c r="E577" s="20"/>
      <c r="F577" s="20"/>
      <c r="G577" s="20"/>
      <c r="H577" s="20"/>
      <c r="I577" s="20"/>
    </row>
    <row r="578" spans="1:9" x14ac:dyDescent="0.2">
      <c r="A578" s="20"/>
      <c r="B578" s="20"/>
      <c r="C578" s="20"/>
      <c r="D578" s="20"/>
      <c r="E578" s="20"/>
      <c r="F578" s="20"/>
      <c r="G578" s="20"/>
      <c r="H578" s="20"/>
      <c r="I578" s="20"/>
    </row>
    <row r="579" spans="1:9" x14ac:dyDescent="0.2">
      <c r="A579" s="20"/>
      <c r="B579" s="20"/>
      <c r="C579" s="20"/>
      <c r="D579" s="20"/>
      <c r="E579" s="20"/>
      <c r="F579" s="20"/>
      <c r="G579" s="20"/>
      <c r="H579" s="20"/>
      <c r="I579" s="20"/>
    </row>
    <row r="580" spans="1:9" x14ac:dyDescent="0.2">
      <c r="A580" s="20"/>
      <c r="B580" s="20"/>
      <c r="C580" s="20"/>
      <c r="D580" s="20"/>
      <c r="E580" s="20"/>
      <c r="F580" s="20"/>
      <c r="G580" s="20"/>
      <c r="H580" s="20"/>
      <c r="I580" s="20"/>
    </row>
    <row r="581" spans="1:9" x14ac:dyDescent="0.2">
      <c r="A581" s="20"/>
      <c r="B581" s="20"/>
      <c r="C581" s="20"/>
      <c r="D581" s="20"/>
      <c r="E581" s="20"/>
      <c r="F581" s="20"/>
      <c r="G581" s="20"/>
      <c r="H581" s="20"/>
      <c r="I581" s="20"/>
    </row>
    <row r="582" spans="1:9" x14ac:dyDescent="0.2">
      <c r="A582" s="20"/>
      <c r="B582" s="20"/>
      <c r="C582" s="20"/>
      <c r="D582" s="20"/>
      <c r="E582" s="20"/>
      <c r="F582" s="20"/>
      <c r="G582" s="20"/>
      <c r="H582" s="20"/>
      <c r="I582" s="20"/>
    </row>
    <row r="583" spans="1:9" x14ac:dyDescent="0.2">
      <c r="A583" s="20"/>
      <c r="B583" s="20"/>
      <c r="C583" s="20"/>
      <c r="D583" s="20"/>
      <c r="E583" s="20"/>
      <c r="F583" s="20"/>
      <c r="G583" s="20"/>
      <c r="H583" s="20"/>
      <c r="I583" s="20"/>
    </row>
    <row r="584" spans="1:9" x14ac:dyDescent="0.2">
      <c r="A584" s="20"/>
      <c r="B584" s="20"/>
      <c r="C584" s="20"/>
      <c r="D584" s="20"/>
      <c r="E584" s="20"/>
      <c r="F584" s="20"/>
      <c r="G584" s="20"/>
      <c r="H584" s="20"/>
      <c r="I584" s="20"/>
    </row>
    <row r="585" spans="1:9" x14ac:dyDescent="0.2">
      <c r="A585" s="20"/>
      <c r="B585" s="20"/>
      <c r="C585" s="20"/>
      <c r="D585" s="20"/>
      <c r="E585" s="20"/>
      <c r="F585" s="20"/>
      <c r="G585" s="20"/>
      <c r="H585" s="20"/>
      <c r="I585" s="20"/>
    </row>
    <row r="586" spans="1:9" x14ac:dyDescent="0.2">
      <c r="A586" s="20"/>
      <c r="B586" s="20"/>
      <c r="C586" s="20"/>
      <c r="D586" s="20"/>
      <c r="E586" s="20"/>
      <c r="F586" s="20"/>
      <c r="G586" s="20"/>
      <c r="H586" s="20"/>
      <c r="I586" s="20"/>
    </row>
    <row r="587" spans="1:9" x14ac:dyDescent="0.2">
      <c r="A587" s="20"/>
      <c r="B587" s="20"/>
      <c r="C587" s="20"/>
      <c r="D587" s="20"/>
      <c r="E587" s="20"/>
      <c r="F587" s="20"/>
      <c r="G587" s="20"/>
      <c r="H587" s="20"/>
      <c r="I587" s="20"/>
    </row>
    <row r="588" spans="1:9" x14ac:dyDescent="0.2">
      <c r="A588" s="20"/>
      <c r="B588" s="20"/>
      <c r="C588" s="20"/>
      <c r="D588" s="20"/>
      <c r="E588" s="20"/>
      <c r="F588" s="20"/>
      <c r="G588" s="20"/>
      <c r="H588" s="20"/>
      <c r="I588" s="20"/>
    </row>
    <row r="589" spans="1:9" x14ac:dyDescent="0.2">
      <c r="A589" s="20"/>
      <c r="B589" s="20"/>
      <c r="C589" s="20"/>
      <c r="D589" s="20"/>
      <c r="E589" s="20"/>
      <c r="F589" s="20"/>
      <c r="G589" s="20"/>
      <c r="H589" s="20"/>
      <c r="I589" s="20"/>
    </row>
    <row r="590" spans="1:9" x14ac:dyDescent="0.2">
      <c r="A590" s="20"/>
      <c r="B590" s="20"/>
      <c r="C590" s="20"/>
      <c r="D590" s="20"/>
      <c r="E590" s="20"/>
      <c r="F590" s="20"/>
      <c r="G590" s="20"/>
      <c r="H590" s="20"/>
      <c r="I590" s="20"/>
    </row>
    <row r="591" spans="1:9" x14ac:dyDescent="0.2">
      <c r="A591" s="20"/>
      <c r="B591" s="20"/>
      <c r="C591" s="20"/>
      <c r="D591" s="20"/>
      <c r="E591" s="20"/>
      <c r="F591" s="20"/>
      <c r="G591" s="20"/>
      <c r="H591" s="20"/>
      <c r="I591" s="20"/>
    </row>
    <row r="592" spans="1:9" x14ac:dyDescent="0.2">
      <c r="A592" s="20"/>
      <c r="B592" s="20"/>
      <c r="C592" s="20"/>
      <c r="D592" s="20"/>
      <c r="E592" s="20"/>
      <c r="F592" s="20"/>
      <c r="G592" s="20"/>
      <c r="H592" s="20"/>
      <c r="I592" s="20"/>
    </row>
    <row r="593" spans="1:9" x14ac:dyDescent="0.2">
      <c r="A593" s="20"/>
      <c r="B593" s="20"/>
      <c r="C593" s="20"/>
      <c r="D593" s="20"/>
      <c r="E593" s="20"/>
      <c r="F593" s="20"/>
      <c r="G593" s="20"/>
      <c r="H593" s="20"/>
      <c r="I593" s="20"/>
    </row>
    <row r="594" spans="1:9" x14ac:dyDescent="0.2">
      <c r="A594" s="20"/>
      <c r="B594" s="20"/>
      <c r="C594" s="20"/>
      <c r="D594" s="20"/>
      <c r="E594" s="20"/>
      <c r="F594" s="20"/>
      <c r="G594" s="20"/>
      <c r="H594" s="20"/>
      <c r="I594" s="20"/>
    </row>
    <row r="595" spans="1:9" x14ac:dyDescent="0.2">
      <c r="A595" s="20"/>
      <c r="B595" s="20"/>
      <c r="C595" s="20"/>
      <c r="D595" s="20"/>
      <c r="E595" s="20"/>
      <c r="F595" s="20"/>
      <c r="G595" s="20"/>
      <c r="H595" s="20"/>
      <c r="I595" s="20"/>
    </row>
    <row r="596" spans="1:9" x14ac:dyDescent="0.2">
      <c r="A596" s="20"/>
      <c r="B596" s="20"/>
      <c r="C596" s="20"/>
      <c r="D596" s="20"/>
      <c r="E596" s="20"/>
      <c r="F596" s="20"/>
      <c r="G596" s="20"/>
      <c r="H596" s="20"/>
      <c r="I596" s="20"/>
    </row>
    <row r="597" spans="1:9" x14ac:dyDescent="0.2">
      <c r="A597" s="20"/>
      <c r="B597" s="20"/>
      <c r="C597" s="20"/>
      <c r="D597" s="20"/>
      <c r="E597" s="20"/>
      <c r="F597" s="20"/>
      <c r="G597" s="20"/>
      <c r="H597" s="20"/>
      <c r="I597" s="20"/>
    </row>
    <row r="598" spans="1:9" x14ac:dyDescent="0.2">
      <c r="A598" s="20"/>
      <c r="B598" s="20"/>
      <c r="C598" s="20"/>
      <c r="D598" s="20"/>
      <c r="E598" s="20"/>
      <c r="F598" s="20"/>
      <c r="G598" s="20"/>
      <c r="H598" s="20"/>
      <c r="I598" s="20"/>
    </row>
    <row r="599" spans="1:9" x14ac:dyDescent="0.2">
      <c r="A599" s="20"/>
      <c r="B599" s="20"/>
      <c r="C599" s="20"/>
      <c r="D599" s="20"/>
      <c r="E599" s="20"/>
      <c r="F599" s="20"/>
      <c r="G599" s="20"/>
      <c r="H599" s="20"/>
      <c r="I599" s="20"/>
    </row>
    <row r="600" spans="1:9" x14ac:dyDescent="0.2">
      <c r="A600" s="20"/>
      <c r="B600" s="20"/>
      <c r="C600" s="20"/>
      <c r="D600" s="20"/>
      <c r="E600" s="20"/>
      <c r="F600" s="20"/>
      <c r="G600" s="20"/>
      <c r="H600" s="20"/>
      <c r="I600" s="20"/>
    </row>
    <row r="601" spans="1:9" x14ac:dyDescent="0.2">
      <c r="A601" s="20"/>
      <c r="B601" s="20"/>
      <c r="C601" s="20"/>
      <c r="D601" s="20"/>
      <c r="E601" s="20"/>
      <c r="F601" s="20"/>
      <c r="G601" s="20"/>
      <c r="H601" s="20"/>
      <c r="I601" s="20"/>
    </row>
    <row r="602" spans="1:9" x14ac:dyDescent="0.2">
      <c r="A602" s="20"/>
      <c r="B602" s="20"/>
      <c r="C602" s="20"/>
      <c r="D602" s="20"/>
      <c r="E602" s="20"/>
      <c r="F602" s="20"/>
      <c r="G602" s="20"/>
      <c r="H602" s="20"/>
      <c r="I602" s="20"/>
    </row>
    <row r="603" spans="1:9" x14ac:dyDescent="0.2">
      <c r="A603" s="20"/>
      <c r="B603" s="20"/>
      <c r="C603" s="20"/>
      <c r="D603" s="20"/>
      <c r="E603" s="20"/>
      <c r="F603" s="20"/>
      <c r="G603" s="20"/>
      <c r="H603" s="20"/>
      <c r="I603" s="20"/>
    </row>
    <row r="604" spans="1:9" x14ac:dyDescent="0.2">
      <c r="A604" s="20"/>
      <c r="B604" s="20"/>
      <c r="C604" s="20"/>
      <c r="D604" s="20"/>
      <c r="E604" s="20"/>
      <c r="F604" s="20"/>
      <c r="G604" s="20"/>
      <c r="H604" s="20"/>
      <c r="I604" s="20"/>
    </row>
    <row r="605" spans="1:9" x14ac:dyDescent="0.2">
      <c r="A605" s="20"/>
      <c r="B605" s="20"/>
      <c r="C605" s="20"/>
      <c r="D605" s="20"/>
      <c r="E605" s="20"/>
      <c r="F605" s="20"/>
      <c r="G605" s="20"/>
      <c r="H605" s="20"/>
      <c r="I605" s="20"/>
    </row>
    <row r="606" spans="1:9" x14ac:dyDescent="0.2">
      <c r="A606" s="20"/>
      <c r="B606" s="20"/>
      <c r="C606" s="20"/>
      <c r="D606" s="20"/>
      <c r="E606" s="20"/>
      <c r="F606" s="20"/>
      <c r="G606" s="20"/>
      <c r="H606" s="20"/>
      <c r="I606" s="20"/>
    </row>
    <row r="607" spans="1:9" x14ac:dyDescent="0.2">
      <c r="A607" s="20"/>
      <c r="B607" s="20"/>
      <c r="C607" s="20"/>
      <c r="D607" s="20"/>
      <c r="E607" s="20"/>
      <c r="F607" s="20"/>
      <c r="G607" s="20"/>
      <c r="H607" s="20"/>
      <c r="I607" s="20"/>
    </row>
    <row r="608" spans="1:9" x14ac:dyDescent="0.2">
      <c r="A608" s="20"/>
      <c r="B608" s="20"/>
      <c r="C608" s="20"/>
      <c r="D608" s="20"/>
      <c r="E608" s="20"/>
      <c r="F608" s="20"/>
      <c r="G608" s="20"/>
      <c r="H608" s="20"/>
      <c r="I608" s="20"/>
    </row>
    <row r="609" spans="1:9" x14ac:dyDescent="0.2">
      <c r="A609" s="20"/>
      <c r="B609" s="20"/>
      <c r="C609" s="20"/>
      <c r="D609" s="20"/>
      <c r="E609" s="20"/>
      <c r="F609" s="20"/>
      <c r="G609" s="20"/>
      <c r="H609" s="20"/>
      <c r="I609" s="20"/>
    </row>
    <row r="610" spans="1:9" x14ac:dyDescent="0.2">
      <c r="A610" s="20"/>
      <c r="B610" s="20"/>
      <c r="C610" s="20"/>
      <c r="D610" s="20"/>
      <c r="E610" s="20"/>
      <c r="F610" s="20"/>
      <c r="G610" s="20"/>
      <c r="H610" s="20"/>
      <c r="I610" s="20"/>
    </row>
    <row r="611" spans="1:9" x14ac:dyDescent="0.2">
      <c r="A611" s="20"/>
      <c r="B611" s="20"/>
      <c r="C611" s="20"/>
      <c r="D611" s="20"/>
      <c r="E611" s="20"/>
      <c r="F611" s="20"/>
      <c r="G611" s="20"/>
      <c r="H611" s="20"/>
      <c r="I611" s="20"/>
    </row>
    <row r="612" spans="1:9" x14ac:dyDescent="0.2">
      <c r="A612" s="20"/>
      <c r="B612" s="20"/>
      <c r="C612" s="20"/>
      <c r="D612" s="20"/>
      <c r="E612" s="20"/>
      <c r="F612" s="20"/>
      <c r="G612" s="20"/>
      <c r="H612" s="20"/>
      <c r="I612" s="20"/>
    </row>
    <row r="613" spans="1:9" x14ac:dyDescent="0.2">
      <c r="A613" s="20"/>
      <c r="B613" s="20"/>
      <c r="C613" s="20"/>
      <c r="D613" s="20"/>
      <c r="E613" s="20"/>
      <c r="F613" s="20"/>
      <c r="G613" s="20"/>
      <c r="H613" s="20"/>
      <c r="I613" s="20"/>
    </row>
    <row r="614" spans="1:9" x14ac:dyDescent="0.2">
      <c r="A614" s="20"/>
      <c r="B614" s="20"/>
      <c r="C614" s="20"/>
      <c r="D614" s="20"/>
      <c r="E614" s="20"/>
      <c r="F614" s="20"/>
      <c r="G614" s="20"/>
      <c r="H614" s="20"/>
      <c r="I614" s="20"/>
    </row>
    <row r="615" spans="1:9" x14ac:dyDescent="0.2">
      <c r="A615" s="20"/>
      <c r="B615" s="20"/>
      <c r="C615" s="20"/>
      <c r="D615" s="20"/>
      <c r="E615" s="20"/>
      <c r="F615" s="20"/>
      <c r="G615" s="20"/>
      <c r="H615" s="20"/>
      <c r="I615" s="20"/>
    </row>
    <row r="616" spans="1:9" x14ac:dyDescent="0.2">
      <c r="A616" s="20"/>
      <c r="B616" s="20"/>
      <c r="C616" s="20"/>
      <c r="D616" s="20"/>
      <c r="E616" s="20"/>
      <c r="F616" s="20"/>
      <c r="G616" s="20"/>
      <c r="H616" s="20"/>
      <c r="I616" s="20"/>
    </row>
    <row r="617" spans="1:9" x14ac:dyDescent="0.2">
      <c r="A617" s="20"/>
      <c r="B617" s="20"/>
      <c r="C617" s="20"/>
      <c r="D617" s="20"/>
      <c r="E617" s="20"/>
      <c r="F617" s="20"/>
      <c r="G617" s="20"/>
      <c r="H617" s="20"/>
      <c r="I617" s="20"/>
    </row>
    <row r="618" spans="1:9" x14ac:dyDescent="0.2">
      <c r="A618" s="20"/>
      <c r="B618" s="20"/>
      <c r="C618" s="20"/>
      <c r="D618" s="20"/>
      <c r="E618" s="20"/>
      <c r="F618" s="20"/>
      <c r="G618" s="20"/>
      <c r="H618" s="20"/>
      <c r="I618" s="20"/>
    </row>
    <row r="619" spans="1:9" x14ac:dyDescent="0.2">
      <c r="A619" s="20"/>
      <c r="B619" s="20"/>
      <c r="C619" s="20"/>
      <c r="D619" s="20"/>
      <c r="E619" s="20"/>
      <c r="F619" s="20"/>
      <c r="G619" s="20"/>
      <c r="H619" s="20"/>
      <c r="I619" s="20"/>
    </row>
    <row r="620" spans="1:9" x14ac:dyDescent="0.2">
      <c r="A620" s="20"/>
      <c r="B620" s="20"/>
      <c r="C620" s="20"/>
      <c r="D620" s="20"/>
      <c r="E620" s="20"/>
      <c r="F620" s="20"/>
      <c r="G620" s="20"/>
      <c r="H620" s="20"/>
      <c r="I620" s="20"/>
    </row>
    <row r="621" spans="1:9" x14ac:dyDescent="0.2">
      <c r="A621" s="20"/>
      <c r="B621" s="20"/>
      <c r="C621" s="20"/>
      <c r="D621" s="20"/>
      <c r="E621" s="20"/>
      <c r="F621" s="20"/>
      <c r="G621" s="20"/>
      <c r="H621" s="20"/>
      <c r="I621" s="20"/>
    </row>
    <row r="622" spans="1:9" x14ac:dyDescent="0.2">
      <c r="A622" s="20"/>
      <c r="B622" s="20"/>
      <c r="C622" s="20"/>
      <c r="D622" s="20"/>
      <c r="E622" s="20"/>
      <c r="F622" s="20"/>
      <c r="G622" s="20"/>
      <c r="H622" s="20"/>
      <c r="I622" s="20"/>
    </row>
    <row r="623" spans="1:9" x14ac:dyDescent="0.2">
      <c r="A623" s="20"/>
      <c r="B623" s="20"/>
      <c r="C623" s="20"/>
      <c r="D623" s="20"/>
      <c r="E623" s="20"/>
      <c r="F623" s="20"/>
      <c r="G623" s="20"/>
      <c r="H623" s="20"/>
      <c r="I623" s="20"/>
    </row>
    <row r="624" spans="1:9" x14ac:dyDescent="0.2">
      <c r="A624" s="20"/>
      <c r="B624" s="20"/>
      <c r="C624" s="20"/>
      <c r="D624" s="20"/>
      <c r="E624" s="20"/>
      <c r="F624" s="20"/>
      <c r="G624" s="20"/>
      <c r="H624" s="20"/>
      <c r="I624" s="20"/>
    </row>
    <row r="625" spans="1:9" x14ac:dyDescent="0.2">
      <c r="A625" s="20"/>
      <c r="B625" s="20"/>
      <c r="C625" s="20"/>
      <c r="D625" s="20"/>
      <c r="E625" s="20"/>
      <c r="F625" s="20"/>
      <c r="G625" s="20"/>
      <c r="H625" s="20"/>
      <c r="I625" s="20"/>
    </row>
    <row r="626" spans="1:9" x14ac:dyDescent="0.2">
      <c r="A626" s="20"/>
      <c r="B626" s="20"/>
      <c r="C626" s="20"/>
      <c r="D626" s="20"/>
      <c r="E626" s="20"/>
      <c r="F626" s="20"/>
      <c r="G626" s="20"/>
      <c r="H626" s="20"/>
      <c r="I626" s="20"/>
    </row>
    <row r="627" spans="1:9" x14ac:dyDescent="0.2">
      <c r="A627" s="20"/>
      <c r="B627" s="20"/>
      <c r="C627" s="20"/>
      <c r="D627" s="20"/>
      <c r="E627" s="20"/>
      <c r="F627" s="20"/>
      <c r="G627" s="20"/>
      <c r="H627" s="20"/>
      <c r="I627" s="20"/>
    </row>
    <row r="628" spans="1:9" x14ac:dyDescent="0.2">
      <c r="A628" s="20"/>
      <c r="B628" s="20"/>
      <c r="C628" s="20"/>
      <c r="D628" s="20"/>
      <c r="E628" s="20"/>
      <c r="F628" s="20"/>
      <c r="G628" s="20"/>
      <c r="H628" s="20"/>
      <c r="I628" s="20"/>
    </row>
    <row r="629" spans="1:9" x14ac:dyDescent="0.2">
      <c r="A629" s="20"/>
      <c r="B629" s="20"/>
      <c r="C629" s="20"/>
      <c r="D629" s="20"/>
      <c r="E629" s="20"/>
      <c r="F629" s="20"/>
      <c r="G629" s="20"/>
      <c r="H629" s="20"/>
      <c r="I629" s="20"/>
    </row>
    <row r="630" spans="1:9" x14ac:dyDescent="0.2">
      <c r="A630" s="20"/>
      <c r="B630" s="20"/>
      <c r="C630" s="20"/>
      <c r="D630" s="20"/>
      <c r="E630" s="20"/>
      <c r="F630" s="20"/>
      <c r="G630" s="20"/>
      <c r="H630" s="20"/>
      <c r="I630" s="20"/>
    </row>
    <row r="631" spans="1:9" x14ac:dyDescent="0.2">
      <c r="A631" s="20"/>
      <c r="B631" s="20"/>
      <c r="C631" s="20"/>
      <c r="D631" s="20"/>
      <c r="E631" s="20"/>
      <c r="F631" s="20"/>
      <c r="G631" s="20"/>
      <c r="H631" s="20"/>
      <c r="I631" s="20"/>
    </row>
    <row r="632" spans="1:9" x14ac:dyDescent="0.2">
      <c r="A632" s="20"/>
      <c r="B632" s="20"/>
      <c r="C632" s="20"/>
      <c r="D632" s="20"/>
      <c r="E632" s="20"/>
      <c r="F632" s="20"/>
      <c r="G632" s="20"/>
      <c r="H632" s="20"/>
      <c r="I632" s="20"/>
    </row>
    <row r="633" spans="1:9" x14ac:dyDescent="0.2">
      <c r="A633" s="20"/>
      <c r="B633" s="20"/>
      <c r="C633" s="20"/>
      <c r="D633" s="20"/>
      <c r="E633" s="20"/>
      <c r="F633" s="20"/>
      <c r="G633" s="20"/>
      <c r="H633" s="20"/>
      <c r="I633" s="20"/>
    </row>
    <row r="634" spans="1:9" x14ac:dyDescent="0.2">
      <c r="A634" s="20"/>
      <c r="B634" s="20"/>
      <c r="C634" s="20"/>
      <c r="D634" s="20"/>
      <c r="E634" s="20"/>
      <c r="F634" s="20"/>
      <c r="G634" s="20"/>
      <c r="H634" s="20"/>
      <c r="I634" s="20"/>
    </row>
    <row r="635" spans="1:9" x14ac:dyDescent="0.2">
      <c r="A635" s="20"/>
      <c r="B635" s="20"/>
      <c r="C635" s="20"/>
      <c r="D635" s="20"/>
      <c r="E635" s="20"/>
      <c r="F635" s="20"/>
      <c r="G635" s="20"/>
      <c r="H635" s="20"/>
      <c r="I635" s="20"/>
    </row>
    <row r="636" spans="1:9" x14ac:dyDescent="0.2">
      <c r="A636" s="20"/>
      <c r="B636" s="20"/>
      <c r="C636" s="20"/>
      <c r="D636" s="20"/>
      <c r="E636" s="20"/>
      <c r="F636" s="20"/>
      <c r="G636" s="20"/>
      <c r="H636" s="20"/>
      <c r="I636" s="20"/>
    </row>
    <row r="637" spans="1:9" x14ac:dyDescent="0.2">
      <c r="A637" s="20"/>
      <c r="B637" s="20"/>
      <c r="C637" s="20"/>
      <c r="D637" s="20"/>
      <c r="E637" s="20"/>
      <c r="F637" s="20"/>
      <c r="G637" s="20"/>
      <c r="H637" s="20"/>
      <c r="I637" s="20"/>
    </row>
    <row r="638" spans="1:9" x14ac:dyDescent="0.2">
      <c r="A638" s="20"/>
      <c r="B638" s="20"/>
      <c r="C638" s="20"/>
      <c r="D638" s="20"/>
      <c r="E638" s="20"/>
      <c r="F638" s="20"/>
      <c r="G638" s="20"/>
      <c r="H638" s="20"/>
      <c r="I638" s="20"/>
    </row>
    <row r="639" spans="1:9" x14ac:dyDescent="0.2">
      <c r="A639" s="20"/>
      <c r="B639" s="20"/>
      <c r="C639" s="20"/>
      <c r="D639" s="20"/>
      <c r="E639" s="20"/>
      <c r="F639" s="20"/>
      <c r="G639" s="20"/>
      <c r="H639" s="20"/>
      <c r="I639" s="20"/>
    </row>
    <row r="640" spans="1:9" x14ac:dyDescent="0.2">
      <c r="A640" s="20"/>
      <c r="B640" s="20"/>
      <c r="C640" s="20"/>
      <c r="D640" s="20"/>
      <c r="E640" s="20"/>
      <c r="F640" s="20"/>
      <c r="G640" s="20"/>
      <c r="H640" s="20"/>
      <c r="I640" s="20"/>
    </row>
    <row r="641" spans="1:9" x14ac:dyDescent="0.2">
      <c r="A641" s="20"/>
      <c r="B641" s="20"/>
      <c r="C641" s="20"/>
      <c r="D641" s="20"/>
      <c r="E641" s="20"/>
      <c r="F641" s="20"/>
      <c r="G641" s="20"/>
      <c r="H641" s="20"/>
      <c r="I641" s="20"/>
    </row>
    <row r="642" spans="1:9" x14ac:dyDescent="0.2">
      <c r="A642" s="20"/>
      <c r="B642" s="20"/>
      <c r="C642" s="20"/>
      <c r="D642" s="20"/>
      <c r="E642" s="20"/>
      <c r="F642" s="20"/>
      <c r="G642" s="20"/>
      <c r="H642" s="20"/>
      <c r="I642" s="20"/>
    </row>
    <row r="643" spans="1:9" x14ac:dyDescent="0.2">
      <c r="A643" s="20"/>
      <c r="B643" s="20"/>
      <c r="C643" s="20"/>
      <c r="D643" s="20"/>
      <c r="E643" s="20"/>
      <c r="F643" s="20"/>
      <c r="G643" s="20"/>
      <c r="H643" s="20"/>
      <c r="I643" s="20"/>
    </row>
    <row r="644" spans="1:9" x14ac:dyDescent="0.2">
      <c r="A644" s="20"/>
      <c r="B644" s="20"/>
      <c r="C644" s="20"/>
      <c r="D644" s="20"/>
      <c r="E644" s="20"/>
      <c r="F644" s="20"/>
      <c r="G644" s="20"/>
      <c r="H644" s="20"/>
      <c r="I644" s="20"/>
    </row>
    <row r="645" spans="1:9" x14ac:dyDescent="0.2">
      <c r="A645" s="20"/>
      <c r="B645" s="20"/>
      <c r="C645" s="20"/>
      <c r="D645" s="20"/>
      <c r="E645" s="20"/>
      <c r="F645" s="20"/>
      <c r="G645" s="20"/>
      <c r="H645" s="20"/>
      <c r="I645" s="20"/>
    </row>
    <row r="646" spans="1:9" x14ac:dyDescent="0.2">
      <c r="A646" s="20"/>
      <c r="B646" s="20"/>
      <c r="C646" s="20"/>
      <c r="D646" s="20"/>
      <c r="E646" s="20"/>
      <c r="F646" s="20"/>
      <c r="G646" s="20"/>
      <c r="H646" s="20"/>
      <c r="I646" s="20"/>
    </row>
    <row r="647" spans="1:9" x14ac:dyDescent="0.2">
      <c r="A647" s="20"/>
      <c r="B647" s="20"/>
      <c r="C647" s="20"/>
      <c r="D647" s="20"/>
      <c r="E647" s="20"/>
      <c r="F647" s="20"/>
      <c r="G647" s="20"/>
      <c r="H647" s="20"/>
      <c r="I647" s="20"/>
    </row>
    <row r="648" spans="1:9" x14ac:dyDescent="0.2">
      <c r="A648" s="20"/>
      <c r="B648" s="20"/>
      <c r="C648" s="20"/>
      <c r="D648" s="20"/>
      <c r="E648" s="20"/>
      <c r="F648" s="20"/>
      <c r="G648" s="20"/>
      <c r="H648" s="20"/>
      <c r="I648" s="20"/>
    </row>
    <row r="649" spans="1:9" x14ac:dyDescent="0.2">
      <c r="A649" s="20"/>
      <c r="B649" s="20"/>
      <c r="C649" s="20"/>
      <c r="D649" s="20"/>
      <c r="E649" s="20"/>
      <c r="F649" s="20"/>
      <c r="G649" s="20"/>
      <c r="H649" s="20"/>
      <c r="I649" s="20"/>
    </row>
    <row r="650" spans="1:9" x14ac:dyDescent="0.2">
      <c r="A650" s="20"/>
      <c r="B650" s="20"/>
      <c r="C650" s="20"/>
      <c r="D650" s="20"/>
      <c r="E650" s="20"/>
      <c r="F650" s="20"/>
      <c r="G650" s="20"/>
      <c r="H650" s="20"/>
      <c r="I650" s="20"/>
    </row>
    <row r="651" spans="1:9" x14ac:dyDescent="0.2">
      <c r="A651" s="20"/>
      <c r="B651" s="20"/>
      <c r="C651" s="20"/>
      <c r="D651" s="20"/>
      <c r="E651" s="20"/>
      <c r="F651" s="20"/>
      <c r="G651" s="20"/>
      <c r="H651" s="20"/>
      <c r="I651" s="20"/>
    </row>
    <row r="652" spans="1:9" x14ac:dyDescent="0.2">
      <c r="A652" s="20"/>
      <c r="B652" s="20"/>
      <c r="C652" s="20"/>
      <c r="D652" s="20"/>
      <c r="E652" s="20"/>
      <c r="F652" s="20"/>
      <c r="G652" s="20"/>
      <c r="H652" s="20"/>
      <c r="I652" s="20"/>
    </row>
    <row r="653" spans="1:9" x14ac:dyDescent="0.2">
      <c r="A653" s="20"/>
      <c r="B653" s="20"/>
      <c r="C653" s="20"/>
      <c r="D653" s="20"/>
      <c r="E653" s="20"/>
      <c r="F653" s="20"/>
      <c r="G653" s="20"/>
      <c r="H653" s="20"/>
      <c r="I653" s="20"/>
    </row>
    <row r="654" spans="1:9" x14ac:dyDescent="0.2">
      <c r="A654" s="20"/>
      <c r="B654" s="20"/>
      <c r="C654" s="20"/>
      <c r="D654" s="20"/>
      <c r="E654" s="20"/>
      <c r="F654" s="20"/>
      <c r="G654" s="20"/>
      <c r="H654" s="20"/>
      <c r="I654" s="20"/>
    </row>
    <row r="655" spans="1:9" x14ac:dyDescent="0.2">
      <c r="A655" s="20"/>
      <c r="B655" s="20"/>
      <c r="C655" s="20"/>
      <c r="D655" s="20"/>
      <c r="E655" s="20"/>
      <c r="F655" s="20"/>
      <c r="G655" s="20"/>
      <c r="H655" s="20"/>
      <c r="I655" s="20"/>
    </row>
    <row r="656" spans="1:9" x14ac:dyDescent="0.2">
      <c r="A656" s="20"/>
      <c r="B656" s="20"/>
      <c r="C656" s="20"/>
      <c r="D656" s="20"/>
      <c r="E656" s="20"/>
      <c r="F656" s="20"/>
      <c r="G656" s="20"/>
      <c r="H656" s="20"/>
      <c r="I656" s="20"/>
    </row>
    <row r="657" spans="1:9" x14ac:dyDescent="0.2">
      <c r="A657" s="20"/>
      <c r="B657" s="20"/>
      <c r="C657" s="20"/>
      <c r="D657" s="20"/>
      <c r="E657" s="20"/>
      <c r="F657" s="20"/>
      <c r="G657" s="20"/>
      <c r="H657" s="20"/>
      <c r="I657" s="20"/>
    </row>
    <row r="658" spans="1:9" x14ac:dyDescent="0.2">
      <c r="A658" s="20"/>
      <c r="B658" s="20"/>
      <c r="C658" s="20"/>
      <c r="D658" s="20"/>
      <c r="E658" s="20"/>
      <c r="F658" s="20"/>
      <c r="G658" s="20"/>
      <c r="H658" s="20"/>
      <c r="I658" s="20"/>
    </row>
    <row r="659" spans="1:9" x14ac:dyDescent="0.2">
      <c r="A659" s="20"/>
      <c r="B659" s="20"/>
      <c r="C659" s="20"/>
      <c r="D659" s="20"/>
      <c r="E659" s="20"/>
      <c r="F659" s="20"/>
      <c r="G659" s="20"/>
      <c r="H659" s="20"/>
      <c r="I659" s="20"/>
    </row>
    <row r="660" spans="1:9" x14ac:dyDescent="0.2">
      <c r="A660" s="20"/>
      <c r="B660" s="20"/>
      <c r="C660" s="20"/>
      <c r="D660" s="20"/>
      <c r="E660" s="20"/>
      <c r="F660" s="20"/>
      <c r="G660" s="20"/>
      <c r="H660" s="20"/>
      <c r="I660" s="20"/>
    </row>
    <row r="661" spans="1:9" x14ac:dyDescent="0.2">
      <c r="A661" s="20"/>
      <c r="B661" s="20"/>
      <c r="C661" s="20"/>
      <c r="D661" s="20"/>
      <c r="E661" s="20"/>
      <c r="F661" s="20"/>
      <c r="G661" s="20"/>
      <c r="H661" s="20"/>
      <c r="I661" s="20"/>
    </row>
    <row r="662" spans="1:9" x14ac:dyDescent="0.2">
      <c r="A662" s="20"/>
      <c r="B662" s="20"/>
      <c r="C662" s="20"/>
      <c r="D662" s="20"/>
      <c r="E662" s="20"/>
      <c r="F662" s="20"/>
      <c r="G662" s="20"/>
      <c r="H662" s="20"/>
      <c r="I662" s="20"/>
    </row>
    <row r="663" spans="1:9" x14ac:dyDescent="0.2">
      <c r="A663" s="20"/>
      <c r="B663" s="20"/>
      <c r="C663" s="20"/>
      <c r="D663" s="20"/>
      <c r="E663" s="20"/>
      <c r="F663" s="20"/>
      <c r="G663" s="20"/>
      <c r="H663" s="20"/>
      <c r="I663" s="20"/>
    </row>
    <row r="664" spans="1:9" x14ac:dyDescent="0.2">
      <c r="A664" s="20"/>
      <c r="B664" s="20"/>
      <c r="C664" s="20"/>
      <c r="D664" s="20"/>
      <c r="E664" s="20"/>
      <c r="F664" s="20"/>
      <c r="G664" s="20"/>
      <c r="H664" s="20"/>
      <c r="I664" s="20"/>
    </row>
    <row r="665" spans="1:9" x14ac:dyDescent="0.2">
      <c r="A665" s="20"/>
      <c r="B665" s="20"/>
      <c r="C665" s="20"/>
      <c r="D665" s="20"/>
      <c r="E665" s="20"/>
      <c r="F665" s="20"/>
      <c r="G665" s="20"/>
      <c r="H665" s="20"/>
      <c r="I665" s="20"/>
    </row>
    <row r="666" spans="1:9" x14ac:dyDescent="0.2">
      <c r="A666" s="20"/>
      <c r="B666" s="20"/>
      <c r="C666" s="20"/>
      <c r="D666" s="20"/>
      <c r="E666" s="20"/>
      <c r="F666" s="20"/>
      <c r="G666" s="20"/>
      <c r="H666" s="20"/>
      <c r="I666" s="20"/>
    </row>
    <row r="667" spans="1:9" x14ac:dyDescent="0.2">
      <c r="A667" s="20"/>
      <c r="B667" s="20"/>
      <c r="C667" s="20"/>
      <c r="D667" s="20"/>
      <c r="E667" s="20"/>
      <c r="F667" s="20"/>
      <c r="G667" s="20"/>
      <c r="H667" s="20"/>
      <c r="I667" s="20"/>
    </row>
    <row r="668" spans="1:9" x14ac:dyDescent="0.2">
      <c r="A668" s="20"/>
      <c r="B668" s="20"/>
      <c r="C668" s="20"/>
      <c r="D668" s="20"/>
      <c r="E668" s="20"/>
      <c r="F668" s="20"/>
      <c r="G668" s="20"/>
      <c r="H668" s="20"/>
      <c r="I668" s="20"/>
    </row>
    <row r="669" spans="1:9" x14ac:dyDescent="0.2">
      <c r="A669" s="20"/>
      <c r="B669" s="20"/>
      <c r="C669" s="20"/>
      <c r="D669" s="20"/>
      <c r="E669" s="20"/>
      <c r="F669" s="20"/>
      <c r="G669" s="20"/>
      <c r="H669" s="20"/>
      <c r="I669" s="20"/>
    </row>
    <row r="670" spans="1:9" x14ac:dyDescent="0.2">
      <c r="A670" s="20"/>
      <c r="B670" s="20"/>
      <c r="C670" s="20"/>
      <c r="D670" s="20"/>
      <c r="E670" s="20"/>
      <c r="F670" s="20"/>
      <c r="G670" s="20"/>
      <c r="H670" s="20"/>
      <c r="I670" s="20"/>
    </row>
    <row r="671" spans="1:9" x14ac:dyDescent="0.2">
      <c r="A671" s="20"/>
      <c r="B671" s="20"/>
      <c r="C671" s="20"/>
      <c r="D671" s="20"/>
      <c r="E671" s="20"/>
      <c r="F671" s="20"/>
      <c r="G671" s="20"/>
      <c r="H671" s="20"/>
      <c r="I671" s="20"/>
    </row>
    <row r="672" spans="1:9" x14ac:dyDescent="0.2">
      <c r="A672" s="20"/>
      <c r="B672" s="20"/>
      <c r="C672" s="20"/>
      <c r="D672" s="20"/>
      <c r="E672" s="20"/>
      <c r="F672" s="20"/>
      <c r="G672" s="20"/>
      <c r="H672" s="20"/>
      <c r="I672" s="20"/>
    </row>
    <row r="673" spans="1:9" x14ac:dyDescent="0.2">
      <c r="A673" s="20"/>
      <c r="B673" s="20"/>
      <c r="C673" s="20"/>
      <c r="D673" s="20"/>
      <c r="E673" s="20"/>
      <c r="F673" s="20"/>
      <c r="G673" s="20"/>
      <c r="H673" s="20"/>
      <c r="I673" s="20"/>
    </row>
    <row r="674" spans="1:9" x14ac:dyDescent="0.2">
      <c r="A674" s="20"/>
      <c r="B674" s="20"/>
      <c r="C674" s="20"/>
      <c r="D674" s="20"/>
      <c r="E674" s="20"/>
      <c r="F674" s="20"/>
      <c r="G674" s="20"/>
      <c r="H674" s="20"/>
      <c r="I674" s="20"/>
    </row>
    <row r="675" spans="1:9" x14ac:dyDescent="0.2">
      <c r="A675" s="20"/>
      <c r="B675" s="20"/>
      <c r="C675" s="20"/>
      <c r="D675" s="20"/>
      <c r="E675" s="20"/>
      <c r="F675" s="20"/>
      <c r="G675" s="20"/>
      <c r="H675" s="20"/>
      <c r="I675" s="20"/>
    </row>
    <row r="676" spans="1:9" x14ac:dyDescent="0.2">
      <c r="A676" s="20"/>
      <c r="B676" s="20"/>
      <c r="C676" s="20"/>
      <c r="D676" s="20"/>
      <c r="E676" s="20"/>
      <c r="F676" s="20"/>
      <c r="G676" s="20"/>
      <c r="H676" s="20"/>
      <c r="I676" s="20"/>
    </row>
    <row r="677" spans="1:9" x14ac:dyDescent="0.2">
      <c r="A677" s="20"/>
      <c r="B677" s="20"/>
      <c r="C677" s="20"/>
      <c r="D677" s="20"/>
      <c r="E677" s="20"/>
      <c r="F677" s="20"/>
      <c r="G677" s="20"/>
      <c r="H677" s="20"/>
      <c r="I677" s="20"/>
    </row>
    <row r="678" spans="1:9" x14ac:dyDescent="0.2">
      <c r="A678" s="20"/>
      <c r="B678" s="20"/>
      <c r="C678" s="20"/>
      <c r="D678" s="20"/>
      <c r="E678" s="20"/>
      <c r="F678" s="20"/>
      <c r="G678" s="20"/>
      <c r="H678" s="20"/>
      <c r="I678" s="20"/>
    </row>
    <row r="679" spans="1:9" x14ac:dyDescent="0.2">
      <c r="A679" s="20"/>
      <c r="B679" s="20"/>
      <c r="C679" s="20"/>
      <c r="D679" s="20"/>
      <c r="E679" s="20"/>
      <c r="F679" s="20"/>
      <c r="G679" s="20"/>
      <c r="H679" s="20"/>
      <c r="I679" s="20"/>
    </row>
    <row r="680" spans="1:9" x14ac:dyDescent="0.2">
      <c r="A680" s="20"/>
      <c r="B680" s="20"/>
      <c r="C680" s="20"/>
      <c r="D680" s="20"/>
      <c r="E680" s="20"/>
      <c r="F680" s="20"/>
      <c r="G680" s="20"/>
      <c r="H680" s="20"/>
      <c r="I680" s="20"/>
    </row>
    <row r="681" spans="1:9" x14ac:dyDescent="0.2">
      <c r="A681" s="20"/>
      <c r="B681" s="20"/>
      <c r="C681" s="20"/>
      <c r="D681" s="20"/>
      <c r="E681" s="20"/>
      <c r="F681" s="20"/>
      <c r="G681" s="20"/>
      <c r="H681" s="20"/>
      <c r="I681" s="20"/>
    </row>
    <row r="682" spans="1:9" x14ac:dyDescent="0.2">
      <c r="A682" s="20"/>
      <c r="B682" s="20"/>
      <c r="C682" s="20"/>
      <c r="D682" s="20"/>
      <c r="E682" s="20"/>
      <c r="F682" s="20"/>
      <c r="G682" s="20"/>
      <c r="H682" s="20"/>
      <c r="I682" s="20"/>
    </row>
    <row r="683" spans="1:9" x14ac:dyDescent="0.2">
      <c r="A683" s="20"/>
      <c r="B683" s="20"/>
      <c r="C683" s="20"/>
      <c r="D683" s="20"/>
      <c r="E683" s="20"/>
      <c r="F683" s="20"/>
      <c r="G683" s="20"/>
      <c r="H683" s="20"/>
      <c r="I683" s="20"/>
    </row>
    <row r="684" spans="1:9" x14ac:dyDescent="0.2">
      <c r="A684" s="20"/>
      <c r="B684" s="20"/>
      <c r="C684" s="20"/>
      <c r="D684" s="20"/>
      <c r="E684" s="20"/>
      <c r="F684" s="20"/>
      <c r="G684" s="20"/>
      <c r="H684" s="20"/>
      <c r="I684" s="20"/>
    </row>
    <row r="685" spans="1:9" x14ac:dyDescent="0.2">
      <c r="A685" s="20"/>
      <c r="B685" s="20"/>
      <c r="C685" s="20"/>
      <c r="D685" s="20"/>
      <c r="E685" s="20"/>
      <c r="F685" s="20"/>
      <c r="G685" s="20"/>
      <c r="H685" s="20"/>
      <c r="I685" s="20"/>
    </row>
    <row r="686" spans="1:9" x14ac:dyDescent="0.2">
      <c r="A686" s="20"/>
      <c r="B686" s="20"/>
      <c r="C686" s="20"/>
      <c r="D686" s="20"/>
      <c r="E686" s="20"/>
      <c r="F686" s="20"/>
      <c r="G686" s="20"/>
      <c r="H686" s="20"/>
      <c r="I686" s="20"/>
    </row>
    <row r="687" spans="1:9" x14ac:dyDescent="0.2">
      <c r="A687" s="20"/>
      <c r="B687" s="20"/>
      <c r="C687" s="20"/>
      <c r="D687" s="20"/>
      <c r="E687" s="20"/>
      <c r="F687" s="20"/>
      <c r="G687" s="20"/>
      <c r="H687" s="20"/>
      <c r="I687" s="20"/>
    </row>
    <row r="688" spans="1:9" x14ac:dyDescent="0.2">
      <c r="A688" s="20"/>
      <c r="B688" s="20"/>
      <c r="C688" s="20"/>
      <c r="D688" s="20"/>
      <c r="E688" s="20"/>
      <c r="F688" s="20"/>
      <c r="G688" s="20"/>
      <c r="H688" s="20"/>
      <c r="I688" s="20"/>
    </row>
    <row r="689" spans="1:9" x14ac:dyDescent="0.2">
      <c r="A689" s="20"/>
      <c r="B689" s="20"/>
      <c r="C689" s="20"/>
      <c r="D689" s="20"/>
      <c r="E689" s="20"/>
      <c r="F689" s="20"/>
      <c r="G689" s="20"/>
      <c r="H689" s="20"/>
      <c r="I689" s="20"/>
    </row>
    <row r="690" spans="1:9" x14ac:dyDescent="0.2">
      <c r="A690" s="20"/>
      <c r="B690" s="20"/>
      <c r="C690" s="20"/>
      <c r="D690" s="20"/>
      <c r="E690" s="20"/>
      <c r="F690" s="20"/>
      <c r="G690" s="20"/>
      <c r="H690" s="20"/>
      <c r="I690" s="20"/>
    </row>
    <row r="691" spans="1:9" x14ac:dyDescent="0.2">
      <c r="A691" s="20"/>
      <c r="B691" s="20"/>
      <c r="C691" s="20"/>
      <c r="D691" s="20"/>
      <c r="E691" s="20"/>
      <c r="F691" s="20"/>
      <c r="G691" s="20"/>
      <c r="H691" s="20"/>
      <c r="I691" s="20"/>
    </row>
    <row r="692" spans="1:9" x14ac:dyDescent="0.2">
      <c r="A692" s="20"/>
      <c r="B692" s="20"/>
      <c r="C692" s="20"/>
      <c r="D692" s="20"/>
      <c r="E692" s="20"/>
      <c r="F692" s="20"/>
      <c r="G692" s="20"/>
      <c r="H692" s="20"/>
      <c r="I692" s="20"/>
    </row>
    <row r="693" spans="1:9" x14ac:dyDescent="0.2">
      <c r="A693" s="20"/>
      <c r="B693" s="20"/>
      <c r="C693" s="20"/>
      <c r="D693" s="20"/>
      <c r="E693" s="20"/>
      <c r="F693" s="20"/>
      <c r="G693" s="20"/>
      <c r="H693" s="20"/>
      <c r="I693" s="20"/>
    </row>
    <row r="694" spans="1:9" x14ac:dyDescent="0.2">
      <c r="A694" s="20"/>
      <c r="B694" s="20"/>
      <c r="C694" s="20"/>
      <c r="D694" s="20"/>
      <c r="E694" s="20"/>
      <c r="F694" s="20"/>
      <c r="G694" s="20"/>
      <c r="H694" s="20"/>
      <c r="I694" s="20"/>
    </row>
    <row r="695" spans="1:9" x14ac:dyDescent="0.2">
      <c r="A695" s="20"/>
      <c r="B695" s="20"/>
      <c r="C695" s="20"/>
      <c r="D695" s="20"/>
      <c r="E695" s="20"/>
      <c r="F695" s="20"/>
      <c r="G695" s="20"/>
      <c r="H695" s="20"/>
      <c r="I695" s="20"/>
    </row>
    <row r="696" spans="1:9" x14ac:dyDescent="0.2">
      <c r="A696" s="20"/>
      <c r="B696" s="20"/>
      <c r="C696" s="20"/>
      <c r="D696" s="20"/>
      <c r="E696" s="20"/>
      <c r="F696" s="20"/>
      <c r="G696" s="20"/>
      <c r="H696" s="20"/>
      <c r="I696" s="20"/>
    </row>
    <row r="697" spans="1:9" x14ac:dyDescent="0.2">
      <c r="A697" s="20"/>
      <c r="B697" s="20"/>
      <c r="C697" s="20"/>
      <c r="D697" s="20"/>
      <c r="E697" s="20"/>
      <c r="F697" s="20"/>
      <c r="G697" s="20"/>
      <c r="H697" s="20"/>
      <c r="I697" s="20"/>
    </row>
    <row r="698" spans="1:9" x14ac:dyDescent="0.2">
      <c r="A698" s="20"/>
      <c r="B698" s="20"/>
      <c r="C698" s="20"/>
      <c r="D698" s="20"/>
      <c r="E698" s="20"/>
      <c r="F698" s="20"/>
      <c r="G698" s="20"/>
      <c r="H698" s="20"/>
      <c r="I698" s="20"/>
    </row>
    <row r="699" spans="1:9" x14ac:dyDescent="0.2">
      <c r="A699" s="20"/>
      <c r="B699" s="20"/>
      <c r="C699" s="20"/>
      <c r="D699" s="20"/>
      <c r="E699" s="20"/>
      <c r="F699" s="20"/>
      <c r="G699" s="20"/>
      <c r="H699" s="20"/>
      <c r="I699" s="20"/>
    </row>
    <row r="700" spans="1:9" x14ac:dyDescent="0.2">
      <c r="A700" s="20"/>
      <c r="B700" s="20"/>
      <c r="C700" s="20"/>
      <c r="D700" s="20"/>
      <c r="E700" s="20"/>
      <c r="F700" s="20"/>
      <c r="G700" s="20"/>
      <c r="H700" s="20"/>
      <c r="I700" s="20"/>
    </row>
    <row r="701" spans="1:9" x14ac:dyDescent="0.2">
      <c r="A701" s="20"/>
      <c r="B701" s="20"/>
      <c r="C701" s="20"/>
      <c r="D701" s="20"/>
      <c r="E701" s="20"/>
      <c r="F701" s="20"/>
      <c r="G701" s="20"/>
      <c r="H701" s="20"/>
      <c r="I701" s="20"/>
    </row>
    <row r="702" spans="1:9" x14ac:dyDescent="0.2">
      <c r="A702" s="20"/>
      <c r="B702" s="20"/>
      <c r="C702" s="20"/>
      <c r="D702" s="20"/>
      <c r="E702" s="20"/>
      <c r="F702" s="20"/>
      <c r="G702" s="20"/>
      <c r="H702" s="20"/>
      <c r="I702" s="20"/>
    </row>
    <row r="703" spans="1:9" x14ac:dyDescent="0.2">
      <c r="A703" s="20"/>
      <c r="B703" s="20"/>
      <c r="C703" s="20"/>
      <c r="D703" s="20"/>
      <c r="E703" s="20"/>
      <c r="F703" s="20"/>
      <c r="G703" s="20"/>
      <c r="H703" s="20"/>
      <c r="I703" s="20"/>
    </row>
    <row r="704" spans="1:9" x14ac:dyDescent="0.2">
      <c r="A704" s="20"/>
      <c r="B704" s="20"/>
      <c r="C704" s="20"/>
      <c r="D704" s="20"/>
      <c r="E704" s="20"/>
      <c r="F704" s="20"/>
      <c r="G704" s="20"/>
      <c r="H704" s="20"/>
      <c r="I704" s="20"/>
    </row>
    <row r="705" spans="1:9" x14ac:dyDescent="0.2">
      <c r="A705" s="20"/>
      <c r="B705" s="20"/>
      <c r="C705" s="20"/>
      <c r="D705" s="20"/>
      <c r="E705" s="20"/>
      <c r="F705" s="20"/>
      <c r="G705" s="20"/>
      <c r="H705" s="20"/>
      <c r="I705" s="20"/>
    </row>
    <row r="706" spans="1:9" x14ac:dyDescent="0.2">
      <c r="A706" s="20"/>
      <c r="B706" s="20"/>
      <c r="C706" s="20"/>
      <c r="D706" s="20"/>
      <c r="E706" s="20"/>
      <c r="F706" s="20"/>
      <c r="G706" s="20"/>
      <c r="H706" s="20"/>
      <c r="I706" s="20"/>
    </row>
    <row r="707" spans="1:9" x14ac:dyDescent="0.2">
      <c r="A707" s="20"/>
      <c r="B707" s="20"/>
      <c r="C707" s="20"/>
      <c r="D707" s="20"/>
      <c r="E707" s="20"/>
      <c r="F707" s="20"/>
      <c r="G707" s="20"/>
      <c r="H707" s="20"/>
      <c r="I707" s="20"/>
    </row>
    <row r="708" spans="1:9" x14ac:dyDescent="0.2">
      <c r="A708" s="20"/>
      <c r="B708" s="20"/>
      <c r="C708" s="20"/>
      <c r="D708" s="20"/>
      <c r="E708" s="20"/>
      <c r="F708" s="20"/>
      <c r="G708" s="20"/>
      <c r="H708" s="20"/>
      <c r="I708" s="20"/>
    </row>
    <row r="709" spans="1:9" x14ac:dyDescent="0.2">
      <c r="A709" s="20"/>
      <c r="B709" s="20"/>
      <c r="C709" s="20"/>
      <c r="D709" s="20"/>
      <c r="E709" s="20"/>
      <c r="F709" s="20"/>
      <c r="G709" s="20"/>
      <c r="H709" s="20"/>
      <c r="I709" s="20"/>
    </row>
    <row r="710" spans="1:9" x14ac:dyDescent="0.2">
      <c r="A710" s="20"/>
      <c r="B710" s="20"/>
      <c r="C710" s="20"/>
      <c r="D710" s="20"/>
      <c r="E710" s="20"/>
      <c r="F710" s="20"/>
      <c r="G710" s="20"/>
      <c r="H710" s="20"/>
      <c r="I710" s="20"/>
    </row>
    <row r="711" spans="1:9" x14ac:dyDescent="0.2">
      <c r="A711" s="20"/>
      <c r="B711" s="20"/>
      <c r="C711" s="20"/>
      <c r="D711" s="20"/>
      <c r="E711" s="20"/>
      <c r="F711" s="20"/>
      <c r="G711" s="20"/>
      <c r="H711" s="20"/>
      <c r="I711" s="20"/>
    </row>
    <row r="712" spans="1:9" x14ac:dyDescent="0.2">
      <c r="A712" s="20"/>
      <c r="B712" s="20"/>
      <c r="C712" s="20"/>
      <c r="D712" s="20"/>
      <c r="E712" s="20"/>
      <c r="F712" s="20"/>
      <c r="G712" s="20"/>
      <c r="H712" s="20"/>
      <c r="I712" s="20"/>
    </row>
    <row r="713" spans="1:9" x14ac:dyDescent="0.2">
      <c r="A713" s="20"/>
      <c r="B713" s="20"/>
      <c r="C713" s="20"/>
      <c r="D713" s="20"/>
      <c r="E713" s="20"/>
      <c r="F713" s="20"/>
      <c r="G713" s="20"/>
      <c r="H713" s="20"/>
      <c r="I713" s="20"/>
    </row>
    <row r="714" spans="1:9" x14ac:dyDescent="0.2">
      <c r="A714" s="20"/>
      <c r="B714" s="20"/>
      <c r="C714" s="20"/>
      <c r="D714" s="20"/>
      <c r="E714" s="20"/>
      <c r="F714" s="20"/>
      <c r="G714" s="20"/>
      <c r="H714" s="20"/>
      <c r="I714" s="20"/>
    </row>
    <row r="715" spans="1:9" x14ac:dyDescent="0.2">
      <c r="A715" s="20"/>
      <c r="B715" s="20"/>
      <c r="C715" s="20"/>
      <c r="D715" s="20"/>
      <c r="E715" s="20"/>
      <c r="F715" s="20"/>
      <c r="G715" s="20"/>
      <c r="H715" s="20"/>
      <c r="I715" s="20"/>
    </row>
    <row r="716" spans="1:9" x14ac:dyDescent="0.2">
      <c r="A716" s="20"/>
      <c r="B716" s="20"/>
      <c r="C716" s="20"/>
      <c r="D716" s="20"/>
      <c r="E716" s="20"/>
      <c r="F716" s="20"/>
      <c r="G716" s="20"/>
      <c r="H716" s="20"/>
      <c r="I716" s="20"/>
    </row>
    <row r="717" spans="1:9" x14ac:dyDescent="0.2">
      <c r="A717" s="20"/>
      <c r="B717" s="20"/>
      <c r="C717" s="20"/>
      <c r="D717" s="20"/>
      <c r="E717" s="20"/>
      <c r="F717" s="20"/>
      <c r="G717" s="20"/>
      <c r="H717" s="20"/>
      <c r="I717" s="20"/>
    </row>
    <row r="718" spans="1:9" x14ac:dyDescent="0.2">
      <c r="A718" s="20"/>
      <c r="B718" s="20"/>
      <c r="C718" s="20"/>
      <c r="D718" s="20"/>
      <c r="E718" s="20"/>
      <c r="F718" s="20"/>
      <c r="G718" s="20"/>
      <c r="H718" s="20"/>
      <c r="I718" s="20"/>
    </row>
    <row r="719" spans="1:9" x14ac:dyDescent="0.2">
      <c r="A719" s="20"/>
      <c r="B719" s="20"/>
      <c r="C719" s="20"/>
      <c r="D719" s="20"/>
      <c r="E719" s="20"/>
      <c r="F719" s="20"/>
      <c r="G719" s="20"/>
      <c r="H719" s="20"/>
      <c r="I719" s="20"/>
    </row>
    <row r="720" spans="1:9" x14ac:dyDescent="0.2">
      <c r="A720" s="20"/>
      <c r="B720" s="20"/>
      <c r="C720" s="20"/>
      <c r="D720" s="20"/>
      <c r="E720" s="20"/>
      <c r="F720" s="20"/>
      <c r="G720" s="20"/>
      <c r="H720" s="20"/>
      <c r="I720" s="20"/>
    </row>
    <row r="721" spans="1:9" x14ac:dyDescent="0.2">
      <c r="A721" s="20"/>
      <c r="B721" s="20"/>
      <c r="C721" s="20"/>
      <c r="D721" s="20"/>
      <c r="E721" s="20"/>
      <c r="F721" s="20"/>
      <c r="G721" s="20"/>
      <c r="H721" s="20"/>
      <c r="I721" s="20"/>
    </row>
    <row r="722" spans="1:9" x14ac:dyDescent="0.2">
      <c r="A722" s="20"/>
      <c r="B722" s="20"/>
      <c r="C722" s="20"/>
      <c r="D722" s="20"/>
      <c r="E722" s="20"/>
      <c r="F722" s="20"/>
      <c r="G722" s="20"/>
      <c r="H722" s="20"/>
      <c r="I722" s="20"/>
    </row>
    <row r="723" spans="1:9" x14ac:dyDescent="0.2">
      <c r="A723" s="20"/>
      <c r="B723" s="20"/>
      <c r="C723" s="20"/>
      <c r="D723" s="20"/>
      <c r="E723" s="20"/>
      <c r="F723" s="20"/>
      <c r="G723" s="20"/>
      <c r="H723" s="20"/>
      <c r="I723" s="20"/>
    </row>
    <row r="724" spans="1:9" x14ac:dyDescent="0.2">
      <c r="A724" s="20"/>
      <c r="B724" s="20"/>
      <c r="C724" s="20"/>
      <c r="D724" s="20"/>
      <c r="E724" s="20"/>
      <c r="F724" s="20"/>
      <c r="G724" s="20"/>
      <c r="H724" s="20"/>
      <c r="I724" s="20"/>
    </row>
    <row r="725" spans="1:9" x14ac:dyDescent="0.2">
      <c r="A725" s="20"/>
      <c r="B725" s="20"/>
      <c r="C725" s="20"/>
      <c r="D725" s="20"/>
      <c r="E725" s="20"/>
      <c r="F725" s="20"/>
      <c r="G725" s="20"/>
      <c r="H725" s="20"/>
      <c r="I725" s="20"/>
    </row>
    <row r="726" spans="1:9" x14ac:dyDescent="0.2">
      <c r="A726" s="20"/>
      <c r="B726" s="20"/>
      <c r="C726" s="20"/>
      <c r="D726" s="20"/>
      <c r="E726" s="20"/>
      <c r="F726" s="20"/>
      <c r="G726" s="20"/>
      <c r="H726" s="20"/>
      <c r="I726" s="20"/>
    </row>
    <row r="727" spans="1:9" x14ac:dyDescent="0.2">
      <c r="A727" s="20"/>
      <c r="B727" s="20"/>
      <c r="C727" s="20"/>
      <c r="D727" s="20"/>
      <c r="E727" s="20"/>
      <c r="F727" s="20"/>
      <c r="G727" s="20"/>
      <c r="H727" s="20"/>
      <c r="I727" s="20"/>
    </row>
    <row r="728" spans="1:9" x14ac:dyDescent="0.2">
      <c r="A728" s="20"/>
      <c r="B728" s="20"/>
      <c r="C728" s="20"/>
      <c r="D728" s="20"/>
      <c r="E728" s="20"/>
      <c r="F728" s="20"/>
      <c r="G728" s="20"/>
      <c r="H728" s="20"/>
      <c r="I728" s="20"/>
    </row>
    <row r="729" spans="1:9" x14ac:dyDescent="0.2">
      <c r="A729" s="20"/>
      <c r="B729" s="20"/>
      <c r="C729" s="20"/>
      <c r="D729" s="20"/>
      <c r="E729" s="20"/>
      <c r="F729" s="20"/>
      <c r="G729" s="20"/>
      <c r="H729" s="20"/>
      <c r="I729" s="20"/>
    </row>
    <row r="730" spans="1:9" x14ac:dyDescent="0.2">
      <c r="A730" s="20"/>
      <c r="B730" s="20"/>
      <c r="C730" s="20"/>
      <c r="D730" s="20"/>
      <c r="E730" s="20"/>
      <c r="F730" s="20"/>
      <c r="G730" s="20"/>
      <c r="H730" s="20"/>
      <c r="I730" s="20"/>
    </row>
    <row r="731" spans="1:9" x14ac:dyDescent="0.2">
      <c r="A731" s="20"/>
      <c r="B731" s="20"/>
      <c r="C731" s="20"/>
      <c r="D731" s="20"/>
      <c r="E731" s="20"/>
      <c r="F731" s="20"/>
      <c r="G731" s="20"/>
      <c r="H731" s="20"/>
      <c r="I731" s="20"/>
    </row>
    <row r="732" spans="1:9" x14ac:dyDescent="0.2">
      <c r="A732" s="20"/>
      <c r="B732" s="20"/>
      <c r="C732" s="20"/>
      <c r="D732" s="20"/>
      <c r="E732" s="20"/>
      <c r="F732" s="20"/>
      <c r="G732" s="20"/>
      <c r="H732" s="20"/>
      <c r="I732" s="20"/>
    </row>
    <row r="733" spans="1:9" x14ac:dyDescent="0.2">
      <c r="A733" s="20"/>
      <c r="B733" s="20"/>
      <c r="C733" s="20"/>
      <c r="D733" s="20"/>
      <c r="E733" s="20"/>
      <c r="F733" s="20"/>
      <c r="G733" s="20"/>
      <c r="H733" s="20"/>
      <c r="I733" s="20"/>
    </row>
    <row r="734" spans="1:9" x14ac:dyDescent="0.2">
      <c r="A734" s="20"/>
      <c r="B734" s="20"/>
      <c r="C734" s="20"/>
      <c r="D734" s="20"/>
      <c r="E734" s="20"/>
      <c r="F734" s="20"/>
      <c r="G734" s="20"/>
      <c r="H734" s="20"/>
      <c r="I734" s="20"/>
    </row>
    <row r="735" spans="1:9" x14ac:dyDescent="0.2">
      <c r="A735" s="20"/>
      <c r="B735" s="20"/>
      <c r="C735" s="20"/>
      <c r="D735" s="20"/>
      <c r="E735" s="20"/>
      <c r="F735" s="20"/>
      <c r="G735" s="20"/>
      <c r="H735" s="20"/>
      <c r="I735" s="20"/>
    </row>
    <row r="736" spans="1:9" x14ac:dyDescent="0.2">
      <c r="A736" s="20"/>
      <c r="B736" s="20"/>
      <c r="C736" s="20"/>
      <c r="D736" s="20"/>
      <c r="E736" s="20"/>
      <c r="F736" s="20"/>
      <c r="G736" s="20"/>
      <c r="H736" s="20"/>
      <c r="I736" s="20"/>
    </row>
    <row r="737" spans="1:9" x14ac:dyDescent="0.2">
      <c r="A737" s="20"/>
      <c r="B737" s="20"/>
      <c r="C737" s="20"/>
      <c r="D737" s="20"/>
      <c r="E737" s="20"/>
      <c r="F737" s="20"/>
      <c r="G737" s="20"/>
      <c r="H737" s="20"/>
      <c r="I737" s="20"/>
    </row>
    <row r="738" spans="1:9" x14ac:dyDescent="0.2">
      <c r="A738" s="20"/>
      <c r="B738" s="20"/>
      <c r="C738" s="20"/>
      <c r="D738" s="20"/>
      <c r="E738" s="20"/>
      <c r="F738" s="20"/>
      <c r="G738" s="20"/>
      <c r="H738" s="20"/>
      <c r="I738" s="20"/>
    </row>
    <row r="739" spans="1:9" x14ac:dyDescent="0.2">
      <c r="A739" s="20"/>
      <c r="B739" s="20"/>
      <c r="C739" s="20"/>
      <c r="D739" s="20"/>
      <c r="E739" s="20"/>
      <c r="F739" s="20"/>
      <c r="G739" s="20"/>
      <c r="H739" s="20"/>
      <c r="I739" s="20"/>
    </row>
    <row r="740" spans="1:9" x14ac:dyDescent="0.2">
      <c r="A740" s="20"/>
      <c r="B740" s="20"/>
      <c r="C740" s="20"/>
      <c r="D740" s="20"/>
      <c r="E740" s="20"/>
      <c r="F740" s="20"/>
      <c r="G740" s="20"/>
      <c r="H740" s="20"/>
      <c r="I740" s="20"/>
    </row>
    <row r="741" spans="1:9" x14ac:dyDescent="0.2">
      <c r="A741" s="20"/>
      <c r="B741" s="20"/>
      <c r="C741" s="20"/>
      <c r="D741" s="20"/>
      <c r="E741" s="20"/>
      <c r="F741" s="20"/>
      <c r="G741" s="20"/>
      <c r="H741" s="20"/>
      <c r="I741" s="20"/>
    </row>
    <row r="742" spans="1:9" x14ac:dyDescent="0.2">
      <c r="A742" s="20"/>
      <c r="B742" s="20"/>
      <c r="C742" s="20"/>
      <c r="D742" s="20"/>
      <c r="E742" s="20"/>
      <c r="F742" s="20"/>
      <c r="G742" s="20"/>
      <c r="H742" s="20"/>
      <c r="I742" s="20"/>
    </row>
    <row r="743" spans="1:9" x14ac:dyDescent="0.2">
      <c r="A743" s="20"/>
      <c r="B743" s="20"/>
      <c r="C743" s="20"/>
      <c r="D743" s="20"/>
      <c r="E743" s="20"/>
      <c r="F743" s="20"/>
      <c r="G743" s="20"/>
      <c r="H743" s="20"/>
      <c r="I743" s="20"/>
    </row>
    <row r="744" spans="1:9" x14ac:dyDescent="0.2">
      <c r="A744" s="20"/>
      <c r="B744" s="20"/>
      <c r="C744" s="20"/>
      <c r="D744" s="20"/>
      <c r="E744" s="20"/>
      <c r="F744" s="20"/>
      <c r="G744" s="20"/>
      <c r="H744" s="20"/>
      <c r="I744" s="20"/>
    </row>
    <row r="745" spans="1:9" x14ac:dyDescent="0.2">
      <c r="A745" s="20"/>
      <c r="B745" s="20"/>
      <c r="C745" s="20"/>
      <c r="D745" s="20"/>
      <c r="E745" s="20"/>
      <c r="F745" s="20"/>
      <c r="G745" s="20"/>
      <c r="H745" s="20"/>
      <c r="I745" s="20"/>
    </row>
    <row r="746" spans="1:9" x14ac:dyDescent="0.2">
      <c r="A746" s="20"/>
      <c r="B746" s="20"/>
      <c r="C746" s="20"/>
      <c r="D746" s="20"/>
      <c r="E746" s="20"/>
      <c r="F746" s="20"/>
      <c r="G746" s="20"/>
      <c r="H746" s="20"/>
      <c r="I746" s="20"/>
    </row>
    <row r="747" spans="1:9" x14ac:dyDescent="0.2">
      <c r="A747" s="20"/>
      <c r="B747" s="20"/>
      <c r="C747" s="20"/>
      <c r="D747" s="20"/>
      <c r="E747" s="20"/>
      <c r="F747" s="20"/>
      <c r="G747" s="20"/>
      <c r="H747" s="20"/>
      <c r="I747" s="20"/>
    </row>
    <row r="748" spans="1:9" x14ac:dyDescent="0.2">
      <c r="A748" s="20"/>
      <c r="B748" s="20"/>
      <c r="C748" s="20"/>
      <c r="D748" s="20"/>
      <c r="E748" s="20"/>
      <c r="F748" s="20"/>
      <c r="G748" s="20"/>
      <c r="H748" s="20"/>
      <c r="I748" s="20"/>
    </row>
    <row r="749" spans="1:9" x14ac:dyDescent="0.2">
      <c r="A749" s="20"/>
      <c r="B749" s="20"/>
      <c r="C749" s="20"/>
      <c r="D749" s="20"/>
      <c r="E749" s="20"/>
      <c r="F749" s="20"/>
      <c r="G749" s="20"/>
      <c r="H749" s="20"/>
      <c r="I749" s="20"/>
    </row>
    <row r="750" spans="1:9" x14ac:dyDescent="0.2">
      <c r="A750" s="20"/>
      <c r="B750" s="20"/>
      <c r="C750" s="20"/>
      <c r="D750" s="20"/>
      <c r="E750" s="20"/>
      <c r="F750" s="20"/>
      <c r="G750" s="20"/>
      <c r="H750" s="20"/>
      <c r="I750" s="20"/>
    </row>
    <row r="751" spans="1:9" x14ac:dyDescent="0.2">
      <c r="A751" s="20"/>
      <c r="B751" s="20"/>
      <c r="C751" s="20"/>
      <c r="D751" s="20"/>
      <c r="E751" s="20"/>
      <c r="F751" s="20"/>
      <c r="G751" s="20"/>
      <c r="H751" s="20"/>
      <c r="I751" s="20"/>
    </row>
    <row r="752" spans="1:9" x14ac:dyDescent="0.2">
      <c r="A752" s="20"/>
      <c r="B752" s="20"/>
      <c r="C752" s="20"/>
      <c r="D752" s="20"/>
      <c r="E752" s="20"/>
      <c r="F752" s="20"/>
      <c r="G752" s="20"/>
      <c r="H752" s="20"/>
      <c r="I752" s="20"/>
    </row>
    <row r="753" spans="1:9" x14ac:dyDescent="0.2">
      <c r="A753" s="20"/>
      <c r="B753" s="20"/>
      <c r="C753" s="20"/>
      <c r="D753" s="20"/>
      <c r="E753" s="20"/>
      <c r="F753" s="20"/>
      <c r="G753" s="20"/>
      <c r="H753" s="20"/>
      <c r="I753" s="20"/>
    </row>
    <row r="754" spans="1:9" x14ac:dyDescent="0.2">
      <c r="A754" s="20"/>
      <c r="B754" s="20"/>
      <c r="C754" s="20"/>
      <c r="D754" s="20"/>
      <c r="E754" s="20"/>
      <c r="F754" s="20"/>
      <c r="G754" s="20"/>
      <c r="H754" s="20"/>
      <c r="I754" s="20"/>
    </row>
    <row r="755" spans="1:9" x14ac:dyDescent="0.2">
      <c r="A755" s="20"/>
      <c r="B755" s="20"/>
      <c r="C755" s="20"/>
      <c r="D755" s="20"/>
      <c r="E755" s="20"/>
      <c r="F755" s="20"/>
      <c r="G755" s="20"/>
      <c r="H755" s="20"/>
      <c r="I755" s="20"/>
    </row>
    <row r="756" spans="1:9" x14ac:dyDescent="0.2">
      <c r="A756" s="20"/>
      <c r="B756" s="20"/>
      <c r="C756" s="20"/>
      <c r="D756" s="20"/>
      <c r="E756" s="20"/>
      <c r="F756" s="20"/>
      <c r="G756" s="20"/>
      <c r="H756" s="20"/>
      <c r="I756" s="20"/>
    </row>
    <row r="757" spans="1:9" x14ac:dyDescent="0.2">
      <c r="A757" s="20"/>
      <c r="B757" s="20"/>
      <c r="C757" s="20"/>
      <c r="D757" s="20"/>
      <c r="E757" s="20"/>
      <c r="F757" s="20"/>
      <c r="G757" s="20"/>
      <c r="H757" s="20"/>
      <c r="I757" s="20"/>
    </row>
    <row r="758" spans="1:9" x14ac:dyDescent="0.2">
      <c r="A758" s="20"/>
      <c r="B758" s="20"/>
      <c r="C758" s="20"/>
      <c r="D758" s="20"/>
      <c r="E758" s="20"/>
      <c r="F758" s="20"/>
      <c r="G758" s="20"/>
      <c r="H758" s="20"/>
      <c r="I758" s="20"/>
    </row>
    <row r="759" spans="1:9" x14ac:dyDescent="0.2">
      <c r="A759" s="20"/>
      <c r="B759" s="20"/>
      <c r="C759" s="20"/>
      <c r="D759" s="20"/>
      <c r="E759" s="20"/>
      <c r="F759" s="20"/>
      <c r="G759" s="20"/>
      <c r="H759" s="20"/>
      <c r="I759" s="20"/>
    </row>
    <row r="760" spans="1:9" x14ac:dyDescent="0.2">
      <c r="A760" s="20"/>
      <c r="B760" s="20"/>
      <c r="C760" s="20"/>
      <c r="D760" s="20"/>
      <c r="E760" s="20"/>
      <c r="F760" s="20"/>
      <c r="G760" s="20"/>
      <c r="H760" s="20"/>
      <c r="I760" s="20"/>
    </row>
    <row r="761" spans="1:9" x14ac:dyDescent="0.2">
      <c r="A761" s="20"/>
      <c r="B761" s="20"/>
      <c r="C761" s="20"/>
      <c r="D761" s="20"/>
      <c r="E761" s="20"/>
      <c r="F761" s="20"/>
      <c r="G761" s="20"/>
      <c r="H761" s="20"/>
      <c r="I761" s="20"/>
    </row>
    <row r="762" spans="1:9" x14ac:dyDescent="0.2">
      <c r="A762" s="20"/>
      <c r="B762" s="20"/>
      <c r="C762" s="20"/>
      <c r="D762" s="20"/>
      <c r="E762" s="20"/>
      <c r="F762" s="20"/>
      <c r="G762" s="20"/>
      <c r="H762" s="20"/>
      <c r="I762" s="20"/>
    </row>
    <row r="763" spans="1:9" x14ac:dyDescent="0.2">
      <c r="A763" s="20"/>
      <c r="B763" s="20"/>
      <c r="C763" s="20"/>
      <c r="D763" s="20"/>
      <c r="E763" s="20"/>
      <c r="F763" s="20"/>
      <c r="G763" s="20"/>
      <c r="H763" s="20"/>
      <c r="I763" s="20"/>
    </row>
    <row r="764" spans="1:9" x14ac:dyDescent="0.2">
      <c r="A764" s="20"/>
      <c r="B764" s="20"/>
      <c r="C764" s="20"/>
      <c r="D764" s="20"/>
      <c r="E764" s="20"/>
      <c r="F764" s="20"/>
      <c r="G764" s="20"/>
      <c r="H764" s="20"/>
      <c r="I764" s="20"/>
    </row>
    <row r="765" spans="1:9" x14ac:dyDescent="0.2">
      <c r="A765" s="20"/>
      <c r="B765" s="20"/>
      <c r="C765" s="20"/>
      <c r="D765" s="20"/>
      <c r="E765" s="20"/>
      <c r="F765" s="20"/>
      <c r="G765" s="20"/>
      <c r="H765" s="20"/>
      <c r="I765" s="20"/>
    </row>
    <row r="766" spans="1:9" x14ac:dyDescent="0.2">
      <c r="A766" s="20"/>
      <c r="B766" s="20"/>
      <c r="C766" s="20"/>
      <c r="D766" s="20"/>
      <c r="E766" s="20"/>
      <c r="F766" s="20"/>
      <c r="G766" s="20"/>
      <c r="H766" s="20"/>
      <c r="I766" s="20"/>
    </row>
    <row r="767" spans="1:9" x14ac:dyDescent="0.2">
      <c r="A767" s="20"/>
      <c r="B767" s="20"/>
      <c r="C767" s="20"/>
      <c r="D767" s="20"/>
      <c r="E767" s="20"/>
      <c r="F767" s="20"/>
      <c r="G767" s="20"/>
      <c r="H767" s="20"/>
      <c r="I767" s="20"/>
    </row>
    <row r="768" spans="1:9" x14ac:dyDescent="0.2">
      <c r="A768" s="20"/>
      <c r="B768" s="20"/>
      <c r="C768" s="20"/>
      <c r="D768" s="20"/>
      <c r="E768" s="20"/>
      <c r="F768" s="20"/>
      <c r="G768" s="20"/>
      <c r="H768" s="20"/>
      <c r="I768" s="20"/>
    </row>
    <row r="769" spans="1:9" x14ac:dyDescent="0.2">
      <c r="A769" s="20"/>
      <c r="B769" s="20"/>
      <c r="C769" s="20"/>
      <c r="D769" s="20"/>
      <c r="E769" s="20"/>
      <c r="F769" s="20"/>
      <c r="G769" s="20"/>
      <c r="H769" s="20"/>
      <c r="I769" s="20"/>
    </row>
    <row r="770" spans="1:9" x14ac:dyDescent="0.2">
      <c r="A770" s="20"/>
      <c r="B770" s="20"/>
      <c r="C770" s="20"/>
      <c r="D770" s="20"/>
      <c r="E770" s="20"/>
      <c r="F770" s="20"/>
      <c r="G770" s="20"/>
      <c r="H770" s="20"/>
      <c r="I770" s="20"/>
    </row>
    <row r="771" spans="1:9" x14ac:dyDescent="0.2">
      <c r="A771" s="20"/>
      <c r="B771" s="20"/>
      <c r="C771" s="20"/>
      <c r="D771" s="20"/>
      <c r="E771" s="20"/>
      <c r="F771" s="20"/>
      <c r="G771" s="20"/>
      <c r="H771" s="20"/>
      <c r="I771" s="20"/>
    </row>
    <row r="772" spans="1:9" x14ac:dyDescent="0.2">
      <c r="A772" s="20"/>
      <c r="B772" s="20"/>
      <c r="C772" s="20"/>
      <c r="D772" s="20"/>
      <c r="E772" s="20"/>
      <c r="F772" s="20"/>
      <c r="G772" s="20"/>
      <c r="H772" s="20"/>
      <c r="I772" s="20"/>
    </row>
    <row r="773" spans="1:9" x14ac:dyDescent="0.2">
      <c r="A773" s="20"/>
      <c r="B773" s="20"/>
      <c r="C773" s="20"/>
      <c r="D773" s="20"/>
      <c r="E773" s="20"/>
      <c r="F773" s="20"/>
      <c r="G773" s="20"/>
      <c r="H773" s="20"/>
      <c r="I773" s="20"/>
    </row>
    <row r="774" spans="1:9" x14ac:dyDescent="0.2">
      <c r="A774" s="20"/>
      <c r="B774" s="20"/>
      <c r="C774" s="20"/>
      <c r="D774" s="20"/>
      <c r="E774" s="20"/>
      <c r="F774" s="20"/>
      <c r="G774" s="20"/>
      <c r="H774" s="20"/>
      <c r="I774" s="20"/>
    </row>
    <row r="775" spans="1:9" x14ac:dyDescent="0.2">
      <c r="A775" s="20"/>
      <c r="B775" s="20"/>
      <c r="C775" s="20"/>
      <c r="D775" s="20"/>
      <c r="E775" s="20"/>
      <c r="F775" s="20"/>
      <c r="G775" s="20"/>
      <c r="H775" s="20"/>
      <c r="I775" s="20"/>
    </row>
    <row r="776" spans="1:9" x14ac:dyDescent="0.2">
      <c r="A776" s="20"/>
      <c r="B776" s="20"/>
      <c r="C776" s="20"/>
      <c r="D776" s="20"/>
      <c r="E776" s="20"/>
      <c r="F776" s="20"/>
      <c r="G776" s="20"/>
      <c r="H776" s="20"/>
      <c r="I776" s="20"/>
    </row>
    <row r="777" spans="1:9" x14ac:dyDescent="0.2">
      <c r="A777" s="20"/>
      <c r="B777" s="20"/>
      <c r="C777" s="20"/>
      <c r="D777" s="20"/>
      <c r="E777" s="20"/>
      <c r="F777" s="20"/>
      <c r="G777" s="20"/>
      <c r="H777" s="20"/>
      <c r="I777" s="20"/>
    </row>
    <row r="778" spans="1:9" x14ac:dyDescent="0.2">
      <c r="A778" s="20"/>
      <c r="B778" s="20"/>
      <c r="C778" s="20"/>
      <c r="D778" s="20"/>
      <c r="E778" s="20"/>
      <c r="F778" s="20"/>
      <c r="G778" s="20"/>
      <c r="H778" s="20"/>
      <c r="I778" s="20"/>
    </row>
    <row r="779" spans="1:9" x14ac:dyDescent="0.2">
      <c r="A779" s="20"/>
      <c r="B779" s="20"/>
      <c r="C779" s="20"/>
      <c r="D779" s="20"/>
      <c r="E779" s="20"/>
      <c r="F779" s="20"/>
      <c r="G779" s="20"/>
      <c r="H779" s="20"/>
      <c r="I779" s="20"/>
    </row>
    <row r="780" spans="1:9" x14ac:dyDescent="0.2">
      <c r="A780" s="20"/>
      <c r="B780" s="20"/>
      <c r="C780" s="20"/>
      <c r="D780" s="20"/>
      <c r="E780" s="20"/>
      <c r="F780" s="20"/>
      <c r="G780" s="20"/>
      <c r="H780" s="20"/>
      <c r="I780" s="20"/>
    </row>
    <row r="781" spans="1:9" x14ac:dyDescent="0.2">
      <c r="A781" s="20"/>
      <c r="B781" s="20"/>
      <c r="C781" s="20"/>
      <c r="D781" s="20"/>
      <c r="E781" s="20"/>
      <c r="F781" s="20"/>
      <c r="G781" s="20"/>
      <c r="H781" s="20"/>
      <c r="I781" s="20"/>
    </row>
    <row r="782" spans="1:9" x14ac:dyDescent="0.2">
      <c r="A782" s="20"/>
      <c r="B782" s="20"/>
      <c r="C782" s="20"/>
      <c r="D782" s="20"/>
      <c r="E782" s="20"/>
      <c r="F782" s="20"/>
      <c r="G782" s="20"/>
      <c r="H782" s="20"/>
      <c r="I782" s="20"/>
    </row>
    <row r="783" spans="1:9" x14ac:dyDescent="0.2">
      <c r="A783" s="20"/>
      <c r="B783" s="20"/>
      <c r="C783" s="20"/>
      <c r="D783" s="20"/>
      <c r="E783" s="20"/>
      <c r="F783" s="20"/>
      <c r="G783" s="20"/>
      <c r="H783" s="20"/>
      <c r="I783" s="20"/>
    </row>
    <row r="784" spans="1:9" x14ac:dyDescent="0.2">
      <c r="A784" s="20"/>
      <c r="B784" s="20"/>
      <c r="C784" s="20"/>
      <c r="D784" s="20"/>
      <c r="E784" s="20"/>
      <c r="F784" s="20"/>
      <c r="G784" s="20"/>
      <c r="H784" s="20"/>
      <c r="I784" s="20"/>
    </row>
    <row r="785" spans="1:9" x14ac:dyDescent="0.2">
      <c r="A785" s="20"/>
      <c r="B785" s="20"/>
      <c r="C785" s="20"/>
      <c r="D785" s="20"/>
      <c r="E785" s="20"/>
      <c r="F785" s="20"/>
      <c r="G785" s="20"/>
      <c r="H785" s="20"/>
      <c r="I785" s="20"/>
    </row>
    <row r="786" spans="1:9" x14ac:dyDescent="0.2">
      <c r="A786" s="20"/>
      <c r="B786" s="20"/>
      <c r="C786" s="20"/>
      <c r="D786" s="20"/>
      <c r="E786" s="20"/>
      <c r="F786" s="20"/>
      <c r="G786" s="20"/>
      <c r="H786" s="20"/>
      <c r="I786" s="20"/>
    </row>
    <row r="787" spans="1:9" x14ac:dyDescent="0.2">
      <c r="A787" s="20"/>
      <c r="B787" s="20"/>
      <c r="C787" s="20"/>
      <c r="D787" s="20"/>
      <c r="E787" s="20"/>
      <c r="F787" s="20"/>
      <c r="G787" s="20"/>
      <c r="H787" s="20"/>
      <c r="I787" s="20"/>
    </row>
    <row r="788" spans="1:9" x14ac:dyDescent="0.2">
      <c r="A788" s="20"/>
      <c r="B788" s="20"/>
      <c r="C788" s="20"/>
      <c r="D788" s="20"/>
      <c r="E788" s="20"/>
      <c r="F788" s="20"/>
      <c r="G788" s="20"/>
      <c r="H788" s="20"/>
      <c r="I788" s="20"/>
    </row>
    <row r="789" spans="1:9" x14ac:dyDescent="0.2">
      <c r="A789" s="20"/>
      <c r="B789" s="20"/>
      <c r="C789" s="20"/>
      <c r="D789" s="20"/>
      <c r="E789" s="20"/>
      <c r="F789" s="20"/>
      <c r="G789" s="20"/>
      <c r="H789" s="20"/>
      <c r="I789" s="20"/>
    </row>
    <row r="790" spans="1:9" x14ac:dyDescent="0.2">
      <c r="A790" s="20"/>
      <c r="B790" s="20"/>
      <c r="C790" s="20"/>
      <c r="D790" s="20"/>
      <c r="E790" s="20"/>
      <c r="F790" s="20"/>
      <c r="G790" s="20"/>
      <c r="H790" s="20"/>
      <c r="I790" s="20"/>
    </row>
    <row r="791" spans="1:9" x14ac:dyDescent="0.2">
      <c r="A791" s="20"/>
      <c r="B791" s="20"/>
      <c r="C791" s="20"/>
      <c r="D791" s="20"/>
      <c r="E791" s="20"/>
      <c r="F791" s="20"/>
      <c r="G791" s="20"/>
      <c r="H791" s="20"/>
      <c r="I791" s="20"/>
    </row>
    <row r="792" spans="1:9" x14ac:dyDescent="0.2">
      <c r="A792" s="20"/>
      <c r="B792" s="20"/>
      <c r="C792" s="20"/>
      <c r="D792" s="20"/>
      <c r="E792" s="20"/>
      <c r="F792" s="20"/>
      <c r="G792" s="20"/>
      <c r="H792" s="20"/>
      <c r="I792" s="20"/>
    </row>
    <row r="793" spans="1:9" x14ac:dyDescent="0.2">
      <c r="A793" s="20"/>
      <c r="B793" s="20"/>
      <c r="C793" s="20"/>
      <c r="D793" s="20"/>
      <c r="E793" s="20"/>
      <c r="F793" s="20"/>
      <c r="G793" s="20"/>
      <c r="H793" s="20"/>
      <c r="I793" s="20"/>
    </row>
    <row r="794" spans="1:9" x14ac:dyDescent="0.2">
      <c r="A794" s="20"/>
      <c r="B794" s="20"/>
      <c r="C794" s="20"/>
      <c r="D794" s="20"/>
      <c r="E794" s="20"/>
      <c r="F794" s="20"/>
      <c r="G794" s="20"/>
      <c r="H794" s="20"/>
      <c r="I794" s="20"/>
    </row>
    <row r="795" spans="1:9" x14ac:dyDescent="0.2">
      <c r="A795" s="20"/>
      <c r="B795" s="20"/>
      <c r="C795" s="20"/>
      <c r="D795" s="20"/>
      <c r="E795" s="20"/>
      <c r="F795" s="20"/>
      <c r="G795" s="20"/>
      <c r="H795" s="20"/>
      <c r="I795" s="20"/>
    </row>
    <row r="796" spans="1:9" x14ac:dyDescent="0.2">
      <c r="A796" s="20"/>
      <c r="B796" s="20"/>
      <c r="C796" s="20"/>
      <c r="D796" s="20"/>
      <c r="E796" s="20"/>
      <c r="F796" s="20"/>
      <c r="G796" s="20"/>
      <c r="H796" s="20"/>
      <c r="I796" s="20"/>
    </row>
    <row r="797" spans="1:9" x14ac:dyDescent="0.2">
      <c r="A797" s="20"/>
      <c r="B797" s="20"/>
      <c r="C797" s="20"/>
      <c r="D797" s="20"/>
      <c r="E797" s="20"/>
      <c r="F797" s="20"/>
      <c r="G797" s="20"/>
      <c r="H797" s="20"/>
      <c r="I797" s="20"/>
    </row>
    <row r="798" spans="1:9" x14ac:dyDescent="0.2">
      <c r="A798" s="20"/>
      <c r="B798" s="20"/>
      <c r="C798" s="20"/>
      <c r="D798" s="20"/>
      <c r="E798" s="20"/>
      <c r="F798" s="20"/>
      <c r="G798" s="20"/>
      <c r="H798" s="20"/>
      <c r="I798" s="20"/>
    </row>
    <row r="799" spans="1:9" x14ac:dyDescent="0.2">
      <c r="A799" s="20"/>
      <c r="B799" s="20"/>
      <c r="C799" s="20"/>
      <c r="D799" s="20"/>
      <c r="E799" s="20"/>
      <c r="F799" s="20"/>
      <c r="G799" s="20"/>
      <c r="H799" s="20"/>
      <c r="I799" s="20"/>
    </row>
    <row r="800" spans="1:9" x14ac:dyDescent="0.2">
      <c r="A800" s="20"/>
      <c r="B800" s="20"/>
      <c r="C800" s="20"/>
      <c r="D800" s="20"/>
      <c r="E800" s="20"/>
      <c r="F800" s="20"/>
      <c r="G800" s="20"/>
      <c r="H800" s="20"/>
      <c r="I800" s="20"/>
    </row>
    <row r="801" spans="1:9" x14ac:dyDescent="0.2">
      <c r="A801" s="20"/>
      <c r="B801" s="20"/>
      <c r="C801" s="20"/>
      <c r="D801" s="20"/>
      <c r="E801" s="20"/>
      <c r="F801" s="20"/>
      <c r="G801" s="20"/>
      <c r="H801" s="20"/>
      <c r="I801" s="20"/>
    </row>
    <row r="802" spans="1:9" x14ac:dyDescent="0.2">
      <c r="A802" s="20"/>
      <c r="B802" s="20"/>
      <c r="C802" s="20"/>
      <c r="D802" s="20"/>
      <c r="E802" s="20"/>
      <c r="F802" s="20"/>
      <c r="G802" s="20"/>
      <c r="H802" s="20"/>
      <c r="I802" s="20"/>
    </row>
    <row r="803" spans="1:9" x14ac:dyDescent="0.2">
      <c r="A803" s="20"/>
      <c r="B803" s="20"/>
      <c r="C803" s="20"/>
      <c r="D803" s="20"/>
      <c r="E803" s="20"/>
      <c r="F803" s="20"/>
      <c r="G803" s="20"/>
      <c r="H803" s="20"/>
      <c r="I803" s="20"/>
    </row>
    <row r="804" spans="1:9" x14ac:dyDescent="0.2">
      <c r="A804" s="20"/>
      <c r="B804" s="20"/>
      <c r="C804" s="20"/>
      <c r="D804" s="20"/>
      <c r="E804" s="20"/>
      <c r="F804" s="20"/>
      <c r="G804" s="20"/>
      <c r="H804" s="20"/>
      <c r="I804" s="20"/>
    </row>
    <row r="805" spans="1:9" x14ac:dyDescent="0.2">
      <c r="A805" s="20"/>
      <c r="B805" s="20"/>
      <c r="C805" s="20"/>
      <c r="D805" s="20"/>
      <c r="E805" s="20"/>
      <c r="F805" s="20"/>
      <c r="G805" s="20"/>
      <c r="H805" s="20"/>
      <c r="I805" s="20"/>
    </row>
    <row r="806" spans="1:9" x14ac:dyDescent="0.2">
      <c r="A806" s="20"/>
      <c r="B806" s="20"/>
      <c r="C806" s="20"/>
      <c r="D806" s="20"/>
      <c r="E806" s="20"/>
      <c r="F806" s="20"/>
      <c r="G806" s="20"/>
      <c r="H806" s="20"/>
      <c r="I806" s="20"/>
    </row>
    <row r="807" spans="1:9" x14ac:dyDescent="0.2">
      <c r="A807" s="20"/>
      <c r="B807" s="20"/>
      <c r="C807" s="20"/>
      <c r="D807" s="20"/>
      <c r="E807" s="20"/>
      <c r="F807" s="20"/>
      <c r="G807" s="20"/>
      <c r="H807" s="20"/>
      <c r="I807" s="20"/>
    </row>
    <row r="808" spans="1:9" x14ac:dyDescent="0.2">
      <c r="A808" s="20"/>
      <c r="B808" s="20"/>
      <c r="C808" s="20"/>
      <c r="D808" s="20"/>
      <c r="E808" s="20"/>
      <c r="F808" s="20"/>
      <c r="G808" s="20"/>
      <c r="H808" s="20"/>
      <c r="I808" s="20"/>
    </row>
    <row r="809" spans="1:9" x14ac:dyDescent="0.2">
      <c r="A809" s="20"/>
      <c r="B809" s="20"/>
      <c r="C809" s="20"/>
      <c r="D809" s="20"/>
      <c r="E809" s="20"/>
      <c r="F809" s="20"/>
      <c r="G809" s="20"/>
      <c r="H809" s="20"/>
      <c r="I809" s="20"/>
    </row>
    <row r="810" spans="1:9" x14ac:dyDescent="0.2">
      <c r="A810" s="20"/>
      <c r="B810" s="20"/>
      <c r="C810" s="20"/>
      <c r="D810" s="20"/>
      <c r="E810" s="20"/>
      <c r="F810" s="20"/>
      <c r="G810" s="20"/>
      <c r="H810" s="20"/>
      <c r="I810" s="20"/>
    </row>
    <row r="811" spans="1:9" x14ac:dyDescent="0.2">
      <c r="A811" s="20"/>
      <c r="B811" s="20"/>
      <c r="C811" s="20"/>
      <c r="D811" s="20"/>
      <c r="E811" s="20"/>
      <c r="F811" s="20"/>
      <c r="G811" s="20"/>
      <c r="H811" s="20"/>
      <c r="I811" s="20"/>
    </row>
    <row r="812" spans="1:9" x14ac:dyDescent="0.2">
      <c r="A812" s="20"/>
      <c r="B812" s="20"/>
      <c r="C812" s="20"/>
      <c r="D812" s="20"/>
      <c r="E812" s="20"/>
      <c r="F812" s="20"/>
      <c r="G812" s="20"/>
      <c r="H812" s="20"/>
      <c r="I812" s="20"/>
    </row>
    <row r="813" spans="1:9" x14ac:dyDescent="0.2">
      <c r="A813" s="20"/>
      <c r="B813" s="20"/>
      <c r="C813" s="20"/>
      <c r="D813" s="20"/>
      <c r="E813" s="20"/>
      <c r="F813" s="20"/>
      <c r="G813" s="20"/>
      <c r="H813" s="20"/>
      <c r="I813" s="20"/>
    </row>
    <row r="814" spans="1:9" x14ac:dyDescent="0.2">
      <c r="A814" s="20"/>
      <c r="B814" s="20"/>
      <c r="C814" s="20"/>
      <c r="D814" s="20"/>
      <c r="E814" s="20"/>
      <c r="F814" s="20"/>
      <c r="G814" s="20"/>
      <c r="H814" s="20"/>
      <c r="I814" s="20"/>
    </row>
    <row r="815" spans="1:9" x14ac:dyDescent="0.2">
      <c r="A815" s="20"/>
      <c r="B815" s="20"/>
      <c r="C815" s="20"/>
      <c r="D815" s="20"/>
      <c r="E815" s="20"/>
      <c r="F815" s="20"/>
      <c r="G815" s="20"/>
      <c r="H815" s="20"/>
      <c r="I815" s="20"/>
    </row>
    <row r="816" spans="1:9" x14ac:dyDescent="0.2">
      <c r="A816" s="20"/>
      <c r="B816" s="20"/>
      <c r="C816" s="20"/>
      <c r="D816" s="20"/>
      <c r="E816" s="20"/>
      <c r="F816" s="20"/>
      <c r="G816" s="20"/>
      <c r="H816" s="20"/>
      <c r="I816" s="20"/>
    </row>
    <row r="817" spans="1:9" x14ac:dyDescent="0.2">
      <c r="A817" s="20"/>
      <c r="B817" s="20"/>
      <c r="C817" s="20"/>
      <c r="D817" s="20"/>
      <c r="E817" s="20"/>
      <c r="F817" s="20"/>
      <c r="G817" s="20"/>
      <c r="H817" s="20"/>
      <c r="I817" s="20"/>
    </row>
    <row r="818" spans="1:9" x14ac:dyDescent="0.2">
      <c r="A818" s="20"/>
      <c r="B818" s="20"/>
      <c r="C818" s="20"/>
      <c r="D818" s="20"/>
      <c r="E818" s="20"/>
      <c r="F818" s="20"/>
      <c r="G818" s="20"/>
      <c r="H818" s="20"/>
      <c r="I818" s="20"/>
    </row>
    <row r="819" spans="1:9" x14ac:dyDescent="0.2">
      <c r="A819" s="20"/>
      <c r="B819" s="20"/>
      <c r="C819" s="20"/>
      <c r="D819" s="20"/>
      <c r="E819" s="20"/>
      <c r="F819" s="20"/>
      <c r="G819" s="20"/>
      <c r="H819" s="20"/>
      <c r="I819" s="20"/>
    </row>
    <row r="820" spans="1:9" x14ac:dyDescent="0.2">
      <c r="A820" s="20"/>
      <c r="B820" s="20"/>
      <c r="C820" s="20"/>
      <c r="D820" s="20"/>
      <c r="E820" s="20"/>
      <c r="F820" s="20"/>
      <c r="G820" s="20"/>
      <c r="H820" s="20"/>
      <c r="I820" s="20"/>
    </row>
    <row r="821" spans="1:9" x14ac:dyDescent="0.2">
      <c r="A821" s="20"/>
      <c r="B821" s="20"/>
      <c r="C821" s="20"/>
      <c r="D821" s="20"/>
      <c r="E821" s="20"/>
      <c r="F821" s="20"/>
      <c r="G821" s="20"/>
      <c r="H821" s="20"/>
      <c r="I821" s="20"/>
    </row>
    <row r="822" spans="1:9" x14ac:dyDescent="0.2">
      <c r="A822" s="20"/>
      <c r="B822" s="20"/>
      <c r="C822" s="20"/>
      <c r="D822" s="20"/>
      <c r="E822" s="20"/>
      <c r="F822" s="20"/>
      <c r="G822" s="20"/>
      <c r="H822" s="20"/>
      <c r="I822" s="20"/>
    </row>
    <row r="823" spans="1:9" x14ac:dyDescent="0.2">
      <c r="A823" s="20"/>
      <c r="B823" s="20"/>
      <c r="C823" s="20"/>
      <c r="D823" s="20"/>
      <c r="E823" s="20"/>
      <c r="F823" s="20"/>
      <c r="G823" s="20"/>
      <c r="H823" s="20"/>
      <c r="I823" s="20"/>
    </row>
    <row r="824" spans="1:9" x14ac:dyDescent="0.2">
      <c r="A824" s="20"/>
      <c r="B824" s="20"/>
      <c r="C824" s="20"/>
      <c r="D824" s="20"/>
      <c r="E824" s="20"/>
      <c r="F824" s="20"/>
      <c r="G824" s="20"/>
      <c r="H824" s="20"/>
      <c r="I824" s="20"/>
    </row>
    <row r="825" spans="1:9" x14ac:dyDescent="0.2">
      <c r="A825" s="20"/>
      <c r="B825" s="20"/>
      <c r="C825" s="20"/>
      <c r="D825" s="20"/>
      <c r="E825" s="20"/>
      <c r="F825" s="20"/>
      <c r="G825" s="20"/>
      <c r="H825" s="20"/>
      <c r="I825" s="20"/>
    </row>
    <row r="826" spans="1:9" x14ac:dyDescent="0.2">
      <c r="A826" s="20"/>
      <c r="B826" s="20"/>
      <c r="C826" s="20"/>
      <c r="D826" s="20"/>
      <c r="E826" s="20"/>
      <c r="F826" s="20"/>
      <c r="G826" s="20"/>
      <c r="H826" s="20"/>
      <c r="I826" s="20"/>
    </row>
    <row r="827" spans="1:9" x14ac:dyDescent="0.2">
      <c r="A827" s="20"/>
      <c r="B827" s="20"/>
      <c r="C827" s="20"/>
      <c r="D827" s="20"/>
      <c r="E827" s="20"/>
      <c r="F827" s="20"/>
      <c r="G827" s="20"/>
      <c r="H827" s="20"/>
      <c r="I827" s="20"/>
    </row>
    <row r="828" spans="1:9" x14ac:dyDescent="0.2">
      <c r="A828" s="20"/>
      <c r="B828" s="20"/>
      <c r="C828" s="20"/>
      <c r="D828" s="20"/>
      <c r="E828" s="20"/>
      <c r="F828" s="20"/>
      <c r="G828" s="20"/>
      <c r="H828" s="20"/>
      <c r="I828" s="20"/>
    </row>
    <row r="829" spans="1:9" x14ac:dyDescent="0.2">
      <c r="A829" s="20"/>
      <c r="B829" s="20"/>
      <c r="C829" s="20"/>
      <c r="D829" s="20"/>
      <c r="E829" s="20"/>
      <c r="F829" s="20"/>
      <c r="G829" s="20"/>
      <c r="H829" s="20"/>
      <c r="I829" s="20"/>
    </row>
    <row r="830" spans="1:9" x14ac:dyDescent="0.2">
      <c r="A830" s="20"/>
      <c r="B830" s="20"/>
      <c r="C830" s="20"/>
      <c r="D830" s="20"/>
      <c r="E830" s="20"/>
      <c r="F830" s="20"/>
      <c r="G830" s="20"/>
      <c r="H830" s="20"/>
      <c r="I830" s="20"/>
    </row>
    <row r="831" spans="1:9" x14ac:dyDescent="0.2">
      <c r="A831" s="20"/>
      <c r="B831" s="20"/>
      <c r="C831" s="20"/>
      <c r="D831" s="20"/>
      <c r="E831" s="20"/>
      <c r="F831" s="20"/>
      <c r="G831" s="20"/>
      <c r="H831" s="20"/>
      <c r="I831" s="20"/>
    </row>
    <row r="832" spans="1:9" x14ac:dyDescent="0.2">
      <c r="A832" s="20"/>
      <c r="B832" s="20"/>
      <c r="C832" s="20"/>
      <c r="D832" s="20"/>
      <c r="E832" s="20"/>
      <c r="F832" s="20"/>
      <c r="G832" s="20"/>
      <c r="H832" s="20"/>
      <c r="I832" s="20"/>
    </row>
    <row r="833" spans="1:9" x14ac:dyDescent="0.2">
      <c r="A833" s="20"/>
      <c r="B833" s="20"/>
      <c r="C833" s="20"/>
      <c r="D833" s="20"/>
      <c r="E833" s="20"/>
      <c r="F833" s="20"/>
      <c r="G833" s="20"/>
      <c r="H833" s="20"/>
      <c r="I833" s="20"/>
    </row>
    <row r="834" spans="1:9" x14ac:dyDescent="0.2">
      <c r="A834" s="20"/>
      <c r="B834" s="20"/>
      <c r="C834" s="20"/>
      <c r="D834" s="20"/>
      <c r="E834" s="20"/>
      <c r="F834" s="20"/>
      <c r="G834" s="20"/>
      <c r="H834" s="20"/>
      <c r="I834" s="20"/>
    </row>
    <row r="835" spans="1:9" x14ac:dyDescent="0.2">
      <c r="A835" s="20"/>
      <c r="B835" s="20"/>
      <c r="C835" s="20"/>
      <c r="D835" s="20"/>
      <c r="E835" s="20"/>
      <c r="F835" s="20"/>
      <c r="G835" s="20"/>
      <c r="H835" s="20"/>
      <c r="I835" s="20"/>
    </row>
    <row r="836" spans="1:9" x14ac:dyDescent="0.2">
      <c r="A836" s="20"/>
      <c r="B836" s="20"/>
      <c r="C836" s="20"/>
      <c r="D836" s="20"/>
      <c r="E836" s="20"/>
      <c r="F836" s="20"/>
      <c r="G836" s="20"/>
      <c r="H836" s="20"/>
      <c r="I836" s="20"/>
    </row>
    <row r="837" spans="1:9" x14ac:dyDescent="0.2">
      <c r="A837" s="20"/>
      <c r="B837" s="20"/>
      <c r="C837" s="20"/>
      <c r="D837" s="20"/>
      <c r="E837" s="20"/>
      <c r="F837" s="20"/>
      <c r="G837" s="20"/>
      <c r="H837" s="20"/>
      <c r="I837" s="20"/>
    </row>
    <row r="838" spans="1:9" x14ac:dyDescent="0.2">
      <c r="A838" s="20"/>
      <c r="B838" s="20"/>
      <c r="C838" s="20"/>
      <c r="D838" s="20"/>
      <c r="E838" s="20"/>
      <c r="F838" s="20"/>
      <c r="G838" s="20"/>
      <c r="H838" s="20"/>
      <c r="I838" s="20"/>
    </row>
    <row r="839" spans="1:9" x14ac:dyDescent="0.2">
      <c r="A839" s="20"/>
      <c r="B839" s="20"/>
      <c r="C839" s="20"/>
      <c r="D839" s="20"/>
      <c r="E839" s="20"/>
      <c r="F839" s="20"/>
      <c r="G839" s="20"/>
      <c r="H839" s="20"/>
      <c r="I839" s="20"/>
    </row>
    <row r="840" spans="1:9" x14ac:dyDescent="0.2">
      <c r="A840" s="20"/>
      <c r="B840" s="20"/>
      <c r="C840" s="20"/>
      <c r="D840" s="20"/>
      <c r="E840" s="20"/>
      <c r="F840" s="20"/>
      <c r="G840" s="20"/>
      <c r="H840" s="20"/>
      <c r="I840" s="20"/>
    </row>
    <row r="841" spans="1:9" x14ac:dyDescent="0.2">
      <c r="A841" s="20"/>
      <c r="B841" s="20"/>
      <c r="C841" s="20"/>
      <c r="D841" s="20"/>
      <c r="E841" s="20"/>
      <c r="F841" s="20"/>
      <c r="G841" s="20"/>
      <c r="H841" s="20"/>
      <c r="I841" s="20"/>
    </row>
    <row r="842" spans="1:9" x14ac:dyDescent="0.2">
      <c r="A842" s="20"/>
      <c r="B842" s="20"/>
      <c r="C842" s="20"/>
      <c r="D842" s="20"/>
      <c r="E842" s="20"/>
      <c r="F842" s="20"/>
      <c r="G842" s="20"/>
      <c r="H842" s="20"/>
      <c r="I842" s="20"/>
    </row>
    <row r="843" spans="1:9" x14ac:dyDescent="0.2">
      <c r="A843" s="20"/>
      <c r="B843" s="20"/>
      <c r="C843" s="20"/>
      <c r="D843" s="20"/>
      <c r="E843" s="20"/>
      <c r="F843" s="20"/>
      <c r="G843" s="20"/>
      <c r="H843" s="20"/>
      <c r="I843" s="20"/>
    </row>
    <row r="844" spans="1:9" x14ac:dyDescent="0.2">
      <c r="A844" s="20"/>
      <c r="B844" s="20"/>
      <c r="C844" s="20"/>
      <c r="D844" s="20"/>
      <c r="E844" s="20"/>
      <c r="F844" s="20"/>
      <c r="G844" s="20"/>
      <c r="H844" s="20"/>
      <c r="I844" s="20"/>
    </row>
    <row r="845" spans="1:9" x14ac:dyDescent="0.2">
      <c r="A845" s="20"/>
      <c r="B845" s="20"/>
      <c r="C845" s="20"/>
      <c r="D845" s="20"/>
      <c r="E845" s="20"/>
      <c r="F845" s="20"/>
      <c r="G845" s="20"/>
      <c r="H845" s="20"/>
      <c r="I845" s="20"/>
    </row>
    <row r="846" spans="1:9" x14ac:dyDescent="0.2">
      <c r="A846" s="20"/>
      <c r="B846" s="20"/>
      <c r="C846" s="20"/>
      <c r="D846" s="20"/>
      <c r="E846" s="20"/>
      <c r="F846" s="20"/>
      <c r="G846" s="20"/>
      <c r="H846" s="20"/>
      <c r="I846" s="20"/>
    </row>
    <row r="847" spans="1:9" x14ac:dyDescent="0.2">
      <c r="A847" s="20"/>
      <c r="B847" s="20"/>
      <c r="C847" s="20"/>
      <c r="D847" s="20"/>
      <c r="E847" s="20"/>
      <c r="F847" s="20"/>
      <c r="G847" s="20"/>
      <c r="H847" s="20"/>
      <c r="I847" s="20"/>
    </row>
    <row r="848" spans="1:9" x14ac:dyDescent="0.2">
      <c r="A848" s="20"/>
      <c r="B848" s="20"/>
      <c r="C848" s="20"/>
      <c r="D848" s="20"/>
      <c r="E848" s="20"/>
      <c r="F848" s="20"/>
      <c r="G848" s="20"/>
      <c r="H848" s="20"/>
      <c r="I848" s="20"/>
    </row>
    <row r="849" spans="1:9" x14ac:dyDescent="0.2">
      <c r="A849" s="20"/>
      <c r="B849" s="20"/>
      <c r="C849" s="20"/>
      <c r="D849" s="20"/>
      <c r="E849" s="20"/>
      <c r="F849" s="20"/>
      <c r="G849" s="20"/>
      <c r="H849" s="20"/>
      <c r="I849" s="20"/>
    </row>
    <row r="850" spans="1:9" x14ac:dyDescent="0.2">
      <c r="A850" s="20"/>
      <c r="B850" s="20"/>
      <c r="C850" s="20"/>
      <c r="D850" s="20"/>
      <c r="E850" s="20"/>
      <c r="F850" s="20"/>
      <c r="G850" s="20"/>
      <c r="H850" s="20"/>
      <c r="I850" s="20"/>
    </row>
    <row r="851" spans="1:9" x14ac:dyDescent="0.2">
      <c r="A851" s="20"/>
      <c r="B851" s="20"/>
      <c r="C851" s="20"/>
      <c r="D851" s="20"/>
      <c r="E851" s="20"/>
      <c r="F851" s="20"/>
      <c r="G851" s="20"/>
      <c r="H851" s="20"/>
      <c r="I851" s="20"/>
    </row>
    <row r="852" spans="1:9" x14ac:dyDescent="0.2">
      <c r="A852" s="20"/>
      <c r="B852" s="20"/>
      <c r="C852" s="20"/>
      <c r="D852" s="20"/>
      <c r="E852" s="20"/>
      <c r="F852" s="20"/>
      <c r="G852" s="20"/>
      <c r="H852" s="20"/>
      <c r="I852" s="20"/>
    </row>
    <row r="853" spans="1:9" x14ac:dyDescent="0.2">
      <c r="A853" s="20"/>
      <c r="B853" s="20"/>
      <c r="C853" s="20"/>
      <c r="D853" s="20"/>
      <c r="E853" s="20"/>
      <c r="F853" s="20"/>
      <c r="G853" s="20"/>
      <c r="H853" s="20"/>
      <c r="I853" s="20"/>
    </row>
    <row r="854" spans="1:9" x14ac:dyDescent="0.2">
      <c r="A854" s="20"/>
      <c r="B854" s="20"/>
      <c r="C854" s="20"/>
      <c r="D854" s="20"/>
      <c r="E854" s="20"/>
      <c r="F854" s="20"/>
      <c r="G854" s="20"/>
      <c r="H854" s="20"/>
      <c r="I854" s="20"/>
    </row>
    <row r="855" spans="1:9" x14ac:dyDescent="0.2">
      <c r="A855" s="20"/>
      <c r="B855" s="20"/>
      <c r="C855" s="20"/>
      <c r="D855" s="20"/>
      <c r="E855" s="20"/>
      <c r="F855" s="20"/>
      <c r="G855" s="20"/>
      <c r="H855" s="20"/>
      <c r="I855" s="20"/>
    </row>
    <row r="856" spans="1:9" x14ac:dyDescent="0.2">
      <c r="A856" s="20"/>
      <c r="B856" s="20"/>
      <c r="C856" s="20"/>
      <c r="D856" s="20"/>
      <c r="E856" s="20"/>
      <c r="F856" s="20"/>
      <c r="G856" s="20"/>
      <c r="H856" s="20"/>
      <c r="I856" s="20"/>
    </row>
    <row r="857" spans="1:9" x14ac:dyDescent="0.2">
      <c r="A857" s="20"/>
      <c r="B857" s="20"/>
      <c r="C857" s="20"/>
      <c r="D857" s="20"/>
      <c r="E857" s="20"/>
      <c r="F857" s="20"/>
      <c r="G857" s="20"/>
      <c r="H857" s="20"/>
      <c r="I857" s="20"/>
    </row>
    <row r="858" spans="1:9" x14ac:dyDescent="0.2">
      <c r="A858" s="20"/>
      <c r="B858" s="20"/>
      <c r="C858" s="20"/>
      <c r="D858" s="20"/>
      <c r="E858" s="20"/>
      <c r="F858" s="20"/>
      <c r="G858" s="20"/>
      <c r="H858" s="20"/>
      <c r="I858" s="20"/>
    </row>
    <row r="859" spans="1:9" x14ac:dyDescent="0.2">
      <c r="A859" s="20"/>
      <c r="B859" s="20"/>
      <c r="C859" s="20"/>
      <c r="D859" s="20"/>
      <c r="E859" s="20"/>
      <c r="F859" s="20"/>
      <c r="G859" s="20"/>
      <c r="H859" s="20"/>
      <c r="I859" s="20"/>
    </row>
    <row r="860" spans="1:9" x14ac:dyDescent="0.2">
      <c r="A860" s="20"/>
      <c r="B860" s="20"/>
      <c r="C860" s="20"/>
      <c r="D860" s="20"/>
      <c r="E860" s="20"/>
      <c r="F860" s="20"/>
      <c r="G860" s="20"/>
      <c r="H860" s="20"/>
      <c r="I860" s="20"/>
    </row>
    <row r="861" spans="1:9" x14ac:dyDescent="0.2">
      <c r="A861" s="20"/>
      <c r="B861" s="20"/>
      <c r="C861" s="20"/>
      <c r="D861" s="20"/>
      <c r="E861" s="20"/>
      <c r="F861" s="20"/>
      <c r="G861" s="20"/>
      <c r="H861" s="20"/>
      <c r="I861" s="20"/>
    </row>
    <row r="862" spans="1:9" x14ac:dyDescent="0.2">
      <c r="A862" s="20"/>
      <c r="B862" s="20"/>
      <c r="C862" s="20"/>
      <c r="D862" s="20"/>
      <c r="E862" s="20"/>
      <c r="F862" s="20"/>
      <c r="G862" s="20"/>
      <c r="H862" s="20"/>
      <c r="I862" s="20"/>
    </row>
    <row r="863" spans="1:9" x14ac:dyDescent="0.2">
      <c r="A863" s="20"/>
      <c r="B863" s="20"/>
      <c r="C863" s="20"/>
      <c r="D863" s="20"/>
      <c r="E863" s="20"/>
      <c r="F863" s="20"/>
      <c r="G863" s="20"/>
      <c r="H863" s="20"/>
      <c r="I863" s="20"/>
    </row>
    <row r="864" spans="1:9" x14ac:dyDescent="0.2">
      <c r="A864" s="20"/>
      <c r="B864" s="20"/>
      <c r="C864" s="20"/>
      <c r="D864" s="20"/>
      <c r="E864" s="20"/>
      <c r="F864" s="20"/>
      <c r="G864" s="20"/>
      <c r="H864" s="20"/>
      <c r="I864" s="20"/>
    </row>
    <row r="865" spans="1:9" x14ac:dyDescent="0.2">
      <c r="A865" s="20"/>
      <c r="B865" s="20"/>
      <c r="C865" s="20"/>
      <c r="D865" s="20"/>
      <c r="E865" s="20"/>
      <c r="F865" s="20"/>
      <c r="G865" s="20"/>
      <c r="H865" s="20"/>
      <c r="I865" s="20"/>
    </row>
    <row r="866" spans="1:9" x14ac:dyDescent="0.2">
      <c r="A866" s="20"/>
      <c r="B866" s="20"/>
      <c r="C866" s="20"/>
      <c r="D866" s="20"/>
      <c r="E866" s="20"/>
      <c r="F866" s="20"/>
      <c r="G866" s="20"/>
      <c r="H866" s="20"/>
      <c r="I866" s="20"/>
    </row>
    <row r="867" spans="1:9" x14ac:dyDescent="0.2">
      <c r="A867" s="20"/>
      <c r="B867" s="20"/>
      <c r="C867" s="20"/>
      <c r="D867" s="20"/>
      <c r="E867" s="20"/>
      <c r="F867" s="20"/>
      <c r="G867" s="20"/>
      <c r="H867" s="20"/>
      <c r="I867" s="20"/>
    </row>
    <row r="868" spans="1:9" x14ac:dyDescent="0.2">
      <c r="A868" s="20"/>
      <c r="B868" s="20"/>
      <c r="C868" s="20"/>
      <c r="D868" s="20"/>
      <c r="E868" s="20"/>
      <c r="F868" s="20"/>
      <c r="G868" s="20"/>
      <c r="H868" s="20"/>
      <c r="I868" s="20"/>
    </row>
    <row r="869" spans="1:9" x14ac:dyDescent="0.2">
      <c r="A869" s="20"/>
      <c r="B869" s="20"/>
      <c r="C869" s="20"/>
      <c r="D869" s="20"/>
      <c r="E869" s="20"/>
      <c r="F869" s="20"/>
      <c r="G869" s="20"/>
      <c r="H869" s="20"/>
      <c r="I869" s="20"/>
    </row>
    <row r="870" spans="1:9" x14ac:dyDescent="0.2">
      <c r="A870" s="20"/>
      <c r="B870" s="20"/>
      <c r="C870" s="20"/>
      <c r="D870" s="20"/>
      <c r="E870" s="20"/>
      <c r="F870" s="20"/>
      <c r="G870" s="20"/>
      <c r="H870" s="20"/>
      <c r="I870" s="20"/>
    </row>
    <row r="871" spans="1:9" x14ac:dyDescent="0.2">
      <c r="A871" s="20"/>
      <c r="B871" s="20"/>
      <c r="C871" s="20"/>
      <c r="D871" s="20"/>
      <c r="E871" s="20"/>
      <c r="F871" s="20"/>
      <c r="G871" s="20"/>
      <c r="H871" s="20"/>
      <c r="I871" s="20"/>
    </row>
    <row r="872" spans="1:9" x14ac:dyDescent="0.2">
      <c r="A872" s="20"/>
      <c r="B872" s="20"/>
      <c r="C872" s="20"/>
      <c r="D872" s="20"/>
      <c r="E872" s="20"/>
      <c r="F872" s="20"/>
      <c r="G872" s="20"/>
      <c r="H872" s="20"/>
      <c r="I872" s="20"/>
    </row>
    <row r="873" spans="1:9" x14ac:dyDescent="0.2">
      <c r="A873" s="20"/>
      <c r="B873" s="20"/>
      <c r="C873" s="20"/>
      <c r="D873" s="20"/>
      <c r="E873" s="20"/>
      <c r="F873" s="20"/>
      <c r="G873" s="20"/>
      <c r="H873" s="20"/>
      <c r="I873" s="20"/>
    </row>
    <row r="874" spans="1:9" x14ac:dyDescent="0.2">
      <c r="A874" s="20"/>
      <c r="B874" s="20"/>
      <c r="C874" s="20"/>
      <c r="D874" s="20"/>
      <c r="E874" s="20"/>
      <c r="F874" s="20"/>
      <c r="G874" s="20"/>
      <c r="H874" s="20"/>
      <c r="I874" s="20"/>
    </row>
    <row r="875" spans="1:9" x14ac:dyDescent="0.2">
      <c r="A875" s="20"/>
      <c r="B875" s="20"/>
      <c r="C875" s="20"/>
      <c r="D875" s="20"/>
      <c r="E875" s="20"/>
      <c r="F875" s="20"/>
      <c r="G875" s="20"/>
      <c r="H875" s="20"/>
      <c r="I875" s="20"/>
    </row>
    <row r="876" spans="1:9" x14ac:dyDescent="0.2">
      <c r="A876" s="20"/>
      <c r="B876" s="20"/>
      <c r="C876" s="20"/>
      <c r="D876" s="20"/>
      <c r="E876" s="20"/>
      <c r="F876" s="20"/>
      <c r="G876" s="20"/>
      <c r="H876" s="20"/>
      <c r="I876" s="20"/>
    </row>
    <row r="877" spans="1:9" x14ac:dyDescent="0.2">
      <c r="A877" s="20"/>
      <c r="B877" s="20"/>
      <c r="C877" s="20"/>
      <c r="D877" s="20"/>
      <c r="E877" s="20"/>
      <c r="F877" s="20"/>
      <c r="G877" s="20"/>
      <c r="H877" s="20"/>
      <c r="I877" s="20"/>
    </row>
    <row r="878" spans="1:9" x14ac:dyDescent="0.2">
      <c r="A878" s="20"/>
      <c r="B878" s="20"/>
      <c r="C878" s="20"/>
      <c r="D878" s="20"/>
      <c r="E878" s="20"/>
      <c r="F878" s="20"/>
      <c r="G878" s="20"/>
      <c r="H878" s="20"/>
      <c r="I878" s="20"/>
    </row>
    <row r="879" spans="1:9" x14ac:dyDescent="0.2">
      <c r="A879" s="20"/>
      <c r="B879" s="20"/>
      <c r="C879" s="20"/>
      <c r="D879" s="20"/>
      <c r="E879" s="20"/>
      <c r="F879" s="20"/>
      <c r="G879" s="20"/>
      <c r="H879" s="20"/>
      <c r="I879" s="20"/>
    </row>
    <row r="880" spans="1:9" x14ac:dyDescent="0.2">
      <c r="A880" s="20"/>
      <c r="B880" s="20"/>
      <c r="C880" s="20"/>
      <c r="D880" s="20"/>
      <c r="E880" s="20"/>
      <c r="F880" s="20"/>
      <c r="G880" s="20"/>
      <c r="H880" s="20"/>
      <c r="I880" s="20"/>
    </row>
    <row r="881" spans="1:9" x14ac:dyDescent="0.2">
      <c r="A881" s="20"/>
      <c r="B881" s="20"/>
      <c r="C881" s="20"/>
      <c r="D881" s="20"/>
      <c r="E881" s="20"/>
      <c r="F881" s="20"/>
      <c r="G881" s="20"/>
      <c r="H881" s="20"/>
      <c r="I881" s="20"/>
    </row>
    <row r="882" spans="1:9" x14ac:dyDescent="0.2">
      <c r="A882" s="20"/>
      <c r="B882" s="20"/>
      <c r="C882" s="20"/>
      <c r="D882" s="20"/>
      <c r="E882" s="20"/>
      <c r="F882" s="20"/>
      <c r="G882" s="20"/>
      <c r="H882" s="20"/>
      <c r="I882" s="20"/>
    </row>
    <row r="883" spans="1:9" x14ac:dyDescent="0.2">
      <c r="A883" s="20"/>
      <c r="B883" s="20"/>
      <c r="C883" s="20"/>
      <c r="D883" s="20"/>
      <c r="E883" s="20"/>
      <c r="F883" s="20"/>
      <c r="G883" s="20"/>
      <c r="H883" s="20"/>
      <c r="I883" s="20"/>
    </row>
    <row r="884" spans="1:9" x14ac:dyDescent="0.2">
      <c r="A884" s="20"/>
      <c r="B884" s="20"/>
      <c r="C884" s="20"/>
      <c r="D884" s="20"/>
      <c r="E884" s="20"/>
      <c r="F884" s="20"/>
      <c r="G884" s="20"/>
      <c r="H884" s="20"/>
      <c r="I884" s="20"/>
    </row>
    <row r="885" spans="1:9" x14ac:dyDescent="0.2">
      <c r="A885" s="20"/>
      <c r="B885" s="20"/>
      <c r="C885" s="20"/>
      <c r="D885" s="20"/>
      <c r="E885" s="20"/>
      <c r="F885" s="20"/>
      <c r="G885" s="20"/>
      <c r="H885" s="20"/>
      <c r="I885" s="20"/>
    </row>
    <row r="886" spans="1:9" x14ac:dyDescent="0.2">
      <c r="A886" s="20"/>
      <c r="B886" s="20"/>
      <c r="C886" s="20"/>
      <c r="D886" s="20"/>
      <c r="E886" s="20"/>
      <c r="F886" s="20"/>
      <c r="G886" s="20"/>
      <c r="H886" s="20"/>
      <c r="I886" s="20"/>
    </row>
    <row r="887" spans="1:9" x14ac:dyDescent="0.2">
      <c r="A887" s="20"/>
      <c r="B887" s="20"/>
      <c r="C887" s="20"/>
      <c r="D887" s="20"/>
      <c r="E887" s="20"/>
      <c r="F887" s="20"/>
      <c r="G887" s="20"/>
      <c r="H887" s="20"/>
      <c r="I887" s="20"/>
    </row>
    <row r="888" spans="1:9" x14ac:dyDescent="0.2">
      <c r="A888" s="20"/>
      <c r="B888" s="20"/>
      <c r="C888" s="20"/>
      <c r="D888" s="20"/>
      <c r="E888" s="20"/>
      <c r="F888" s="20"/>
      <c r="G888" s="20"/>
      <c r="H888" s="20"/>
      <c r="I888" s="20"/>
    </row>
    <row r="889" spans="1:9" x14ac:dyDescent="0.2">
      <c r="A889" s="20"/>
      <c r="B889" s="20"/>
      <c r="C889" s="20"/>
      <c r="D889" s="20"/>
      <c r="E889" s="20"/>
      <c r="F889" s="20"/>
      <c r="G889" s="20"/>
      <c r="H889" s="20"/>
      <c r="I889" s="20"/>
    </row>
    <row r="890" spans="1:9" x14ac:dyDescent="0.2">
      <c r="A890" s="20"/>
      <c r="B890" s="20"/>
      <c r="C890" s="20"/>
      <c r="D890" s="20"/>
      <c r="E890" s="20"/>
      <c r="F890" s="20"/>
      <c r="G890" s="20"/>
      <c r="H890" s="20"/>
      <c r="I890" s="20"/>
    </row>
    <row r="891" spans="1:9" x14ac:dyDescent="0.2">
      <c r="A891" s="20"/>
      <c r="B891" s="20"/>
      <c r="C891" s="20"/>
      <c r="D891" s="20"/>
      <c r="E891" s="20"/>
      <c r="F891" s="20"/>
      <c r="G891" s="20"/>
      <c r="H891" s="20"/>
      <c r="I891" s="20"/>
    </row>
    <row r="892" spans="1:9" x14ac:dyDescent="0.2">
      <c r="A892" s="20"/>
      <c r="B892" s="20"/>
      <c r="C892" s="20"/>
      <c r="D892" s="20"/>
      <c r="E892" s="20"/>
      <c r="F892" s="20"/>
      <c r="G892" s="20"/>
      <c r="H892" s="20"/>
      <c r="I892" s="20"/>
    </row>
    <row r="893" spans="1:9" x14ac:dyDescent="0.2">
      <c r="A893" s="20"/>
      <c r="B893" s="20"/>
      <c r="C893" s="20"/>
      <c r="D893" s="20"/>
      <c r="E893" s="20"/>
      <c r="F893" s="20"/>
      <c r="G893" s="20"/>
      <c r="H893" s="20"/>
      <c r="I893" s="20"/>
    </row>
    <row r="894" spans="1:9" x14ac:dyDescent="0.2">
      <c r="A894" s="20"/>
      <c r="B894" s="20"/>
      <c r="C894" s="20"/>
      <c r="D894" s="20"/>
      <c r="E894" s="20"/>
      <c r="F894" s="20"/>
      <c r="G894" s="20"/>
      <c r="H894" s="20"/>
      <c r="I894" s="20"/>
    </row>
    <row r="895" spans="1:9" x14ac:dyDescent="0.2">
      <c r="A895" s="20"/>
      <c r="B895" s="20"/>
      <c r="C895" s="20"/>
      <c r="D895" s="20"/>
      <c r="E895" s="20"/>
      <c r="F895" s="20"/>
      <c r="G895" s="20"/>
      <c r="H895" s="20"/>
      <c r="I895" s="20"/>
    </row>
    <row r="896" spans="1:9" x14ac:dyDescent="0.2">
      <c r="A896" s="20"/>
      <c r="B896" s="20"/>
      <c r="C896" s="20"/>
      <c r="D896" s="20"/>
      <c r="E896" s="20"/>
      <c r="F896" s="20"/>
      <c r="G896" s="20"/>
      <c r="H896" s="20"/>
      <c r="I896" s="20"/>
    </row>
    <row r="897" spans="1:9" x14ac:dyDescent="0.2">
      <c r="A897" s="20"/>
      <c r="B897" s="20"/>
      <c r="C897" s="20"/>
      <c r="D897" s="20"/>
      <c r="E897" s="20"/>
      <c r="F897" s="20"/>
      <c r="G897" s="20"/>
      <c r="H897" s="20"/>
      <c r="I897" s="20"/>
    </row>
    <row r="898" spans="1:9" x14ac:dyDescent="0.2">
      <c r="A898" s="20"/>
      <c r="B898" s="20"/>
      <c r="C898" s="20"/>
      <c r="D898" s="20"/>
      <c r="E898" s="20"/>
      <c r="F898" s="20"/>
      <c r="G898" s="20"/>
      <c r="H898" s="20"/>
      <c r="I898" s="20"/>
    </row>
    <row r="899" spans="1:9" x14ac:dyDescent="0.2">
      <c r="A899" s="20"/>
      <c r="B899" s="20"/>
      <c r="C899" s="20"/>
      <c r="D899" s="20"/>
      <c r="E899" s="20"/>
      <c r="F899" s="20"/>
      <c r="G899" s="20"/>
      <c r="H899" s="20"/>
      <c r="I899" s="20"/>
    </row>
    <row r="900" spans="1:9" x14ac:dyDescent="0.2">
      <c r="A900" s="20"/>
      <c r="B900" s="20"/>
      <c r="C900" s="20"/>
      <c r="D900" s="20"/>
      <c r="E900" s="20"/>
      <c r="F900" s="20"/>
      <c r="G900" s="20"/>
      <c r="H900" s="20"/>
      <c r="I900" s="20"/>
    </row>
    <row r="901" spans="1:9" x14ac:dyDescent="0.2">
      <c r="A901" s="20"/>
      <c r="B901" s="20"/>
      <c r="C901" s="20"/>
      <c r="D901" s="20"/>
      <c r="E901" s="20"/>
      <c r="F901" s="20"/>
      <c r="G901" s="20"/>
      <c r="H901" s="20"/>
      <c r="I901" s="20"/>
    </row>
    <row r="902" spans="1:9" x14ac:dyDescent="0.2">
      <c r="A902" s="20"/>
      <c r="B902" s="20"/>
      <c r="C902" s="20"/>
      <c r="D902" s="20"/>
      <c r="E902" s="20"/>
      <c r="F902" s="20"/>
      <c r="G902" s="20"/>
      <c r="H902" s="20"/>
      <c r="I902" s="20"/>
    </row>
    <row r="903" spans="1:9" x14ac:dyDescent="0.2">
      <c r="A903" s="20"/>
      <c r="B903" s="20"/>
      <c r="C903" s="20"/>
      <c r="D903" s="20"/>
      <c r="E903" s="20"/>
      <c r="F903" s="20"/>
      <c r="G903" s="20"/>
      <c r="H903" s="20"/>
      <c r="I903" s="20"/>
    </row>
    <row r="904" spans="1:9" x14ac:dyDescent="0.2">
      <c r="A904" s="20"/>
      <c r="B904" s="20"/>
      <c r="C904" s="20"/>
      <c r="D904" s="20"/>
      <c r="E904" s="20"/>
      <c r="F904" s="20"/>
      <c r="G904" s="20"/>
      <c r="H904" s="20"/>
      <c r="I904" s="20"/>
    </row>
    <row r="905" spans="1:9" x14ac:dyDescent="0.2">
      <c r="A905" s="20"/>
      <c r="B905" s="20"/>
      <c r="C905" s="20"/>
      <c r="D905" s="20"/>
      <c r="E905" s="20"/>
      <c r="F905" s="20"/>
      <c r="G905" s="20"/>
      <c r="H905" s="20"/>
      <c r="I905" s="20"/>
    </row>
    <row r="906" spans="1:9" x14ac:dyDescent="0.2">
      <c r="A906" s="20"/>
      <c r="B906" s="20"/>
      <c r="C906" s="20"/>
      <c r="D906" s="20"/>
      <c r="E906" s="20"/>
      <c r="F906" s="20"/>
      <c r="G906" s="20"/>
      <c r="H906" s="20"/>
      <c r="I906" s="20"/>
    </row>
    <row r="907" spans="1:9" x14ac:dyDescent="0.2">
      <c r="A907" s="20"/>
      <c r="B907" s="20"/>
      <c r="C907" s="20"/>
      <c r="D907" s="20"/>
      <c r="E907" s="20"/>
      <c r="F907" s="20"/>
      <c r="G907" s="20"/>
      <c r="H907" s="20"/>
      <c r="I907" s="20"/>
    </row>
    <row r="908" spans="1:9" x14ac:dyDescent="0.2">
      <c r="A908" s="20"/>
      <c r="B908" s="20"/>
      <c r="C908" s="20"/>
      <c r="D908" s="20"/>
      <c r="E908" s="20"/>
      <c r="F908" s="20"/>
      <c r="G908" s="20"/>
      <c r="H908" s="20"/>
      <c r="I908" s="20"/>
    </row>
    <row r="909" spans="1:9" x14ac:dyDescent="0.2">
      <c r="A909" s="20"/>
      <c r="B909" s="20"/>
      <c r="C909" s="20"/>
      <c r="D909" s="20"/>
      <c r="E909" s="20"/>
      <c r="F909" s="20"/>
      <c r="G909" s="20"/>
      <c r="H909" s="20"/>
      <c r="I909" s="20"/>
    </row>
    <row r="910" spans="1:9" x14ac:dyDescent="0.2">
      <c r="A910" s="20"/>
      <c r="B910" s="20"/>
      <c r="C910" s="20"/>
      <c r="D910" s="20"/>
      <c r="E910" s="20"/>
      <c r="F910" s="20"/>
      <c r="G910" s="20"/>
      <c r="H910" s="20"/>
      <c r="I910" s="20"/>
    </row>
    <row r="911" spans="1:9" x14ac:dyDescent="0.2">
      <c r="A911" s="20"/>
      <c r="B911" s="20"/>
      <c r="C911" s="20"/>
      <c r="D911" s="20"/>
      <c r="E911" s="20"/>
      <c r="F911" s="20"/>
      <c r="G911" s="20"/>
      <c r="H911" s="20"/>
      <c r="I911" s="20"/>
    </row>
    <row r="912" spans="1:9" x14ac:dyDescent="0.2">
      <c r="A912" s="20"/>
      <c r="B912" s="20"/>
      <c r="C912" s="20"/>
      <c r="D912" s="20"/>
      <c r="E912" s="20"/>
      <c r="F912" s="20"/>
      <c r="G912" s="20"/>
      <c r="H912" s="20"/>
      <c r="I912" s="20"/>
    </row>
    <row r="913" spans="1:9" x14ac:dyDescent="0.2">
      <c r="A913" s="20"/>
      <c r="B913" s="20"/>
      <c r="C913" s="20"/>
      <c r="D913" s="20"/>
      <c r="E913" s="20"/>
      <c r="F913" s="20"/>
      <c r="G913" s="20"/>
      <c r="H913" s="20"/>
      <c r="I913" s="20"/>
    </row>
    <row r="914" spans="1:9" x14ac:dyDescent="0.2">
      <c r="A914" s="20"/>
      <c r="B914" s="20"/>
      <c r="C914" s="20"/>
      <c r="D914" s="20"/>
      <c r="E914" s="20"/>
      <c r="F914" s="20"/>
      <c r="G914" s="20"/>
      <c r="H914" s="20"/>
      <c r="I914" s="20"/>
    </row>
    <row r="915" spans="1:9" x14ac:dyDescent="0.2">
      <c r="A915" s="20"/>
      <c r="B915" s="20"/>
      <c r="C915" s="20"/>
      <c r="D915" s="20"/>
      <c r="E915" s="20"/>
      <c r="F915" s="20"/>
      <c r="G915" s="20"/>
      <c r="H915" s="20"/>
      <c r="I915" s="20"/>
    </row>
    <row r="916" spans="1:9" x14ac:dyDescent="0.2">
      <c r="A916" s="20"/>
      <c r="B916" s="20"/>
      <c r="C916" s="20"/>
      <c r="D916" s="20"/>
      <c r="E916" s="20"/>
      <c r="F916" s="20"/>
      <c r="G916" s="20"/>
      <c r="H916" s="20"/>
      <c r="I916" s="20"/>
    </row>
    <row r="917" spans="1:9" x14ac:dyDescent="0.2">
      <c r="A917" s="20"/>
      <c r="B917" s="20"/>
      <c r="C917" s="20"/>
      <c r="D917" s="20"/>
      <c r="E917" s="20"/>
      <c r="F917" s="20"/>
      <c r="G917" s="20"/>
      <c r="H917" s="20"/>
      <c r="I917" s="20"/>
    </row>
    <row r="918" spans="1:9" x14ac:dyDescent="0.2">
      <c r="A918" s="20"/>
      <c r="B918" s="20"/>
      <c r="C918" s="20"/>
      <c r="D918" s="20"/>
      <c r="E918" s="20"/>
      <c r="F918" s="20"/>
      <c r="G918" s="20"/>
      <c r="H918" s="20"/>
      <c r="I918" s="20"/>
    </row>
    <row r="919" spans="1:9" x14ac:dyDescent="0.2">
      <c r="A919" s="20"/>
      <c r="B919" s="20"/>
      <c r="C919" s="20"/>
      <c r="D919" s="20"/>
      <c r="E919" s="20"/>
      <c r="F919" s="20"/>
      <c r="G919" s="20"/>
      <c r="H919" s="20"/>
      <c r="I919" s="20"/>
    </row>
    <row r="920" spans="1:9" x14ac:dyDescent="0.2">
      <c r="A920" s="20"/>
      <c r="B920" s="20"/>
      <c r="C920" s="20"/>
      <c r="D920" s="20"/>
      <c r="E920" s="20"/>
      <c r="F920" s="20"/>
      <c r="G920" s="20"/>
      <c r="H920" s="20"/>
      <c r="I920" s="20"/>
    </row>
    <row r="921" spans="1:9" x14ac:dyDescent="0.2">
      <c r="A921" s="20"/>
      <c r="B921" s="20"/>
      <c r="C921" s="20"/>
      <c r="D921" s="20"/>
      <c r="E921" s="20"/>
      <c r="F921" s="20"/>
      <c r="G921" s="20"/>
      <c r="H921" s="20"/>
      <c r="I921" s="20"/>
    </row>
    <row r="922" spans="1:9" x14ac:dyDescent="0.2">
      <c r="A922" s="20"/>
      <c r="B922" s="20"/>
      <c r="C922" s="20"/>
      <c r="D922" s="20"/>
      <c r="E922" s="20"/>
      <c r="F922" s="20"/>
      <c r="G922" s="20"/>
      <c r="H922" s="20"/>
      <c r="I922" s="20"/>
    </row>
    <row r="923" spans="1:9" x14ac:dyDescent="0.2">
      <c r="A923" s="20"/>
      <c r="B923" s="20"/>
      <c r="C923" s="20"/>
      <c r="D923" s="20"/>
      <c r="E923" s="20"/>
      <c r="F923" s="20"/>
      <c r="G923" s="20"/>
      <c r="H923" s="20"/>
      <c r="I923" s="20"/>
    </row>
    <row r="924" spans="1:9" x14ac:dyDescent="0.2">
      <c r="A924" s="20"/>
      <c r="B924" s="20"/>
      <c r="C924" s="20"/>
      <c r="D924" s="20"/>
      <c r="E924" s="20"/>
      <c r="F924" s="20"/>
      <c r="G924" s="20"/>
      <c r="H924" s="20"/>
      <c r="I924" s="20"/>
    </row>
    <row r="925" spans="1:9" x14ac:dyDescent="0.2">
      <c r="A925" s="20"/>
      <c r="B925" s="20"/>
      <c r="C925" s="20"/>
      <c r="D925" s="20"/>
      <c r="E925" s="20"/>
      <c r="F925" s="20"/>
      <c r="G925" s="20"/>
      <c r="H925" s="20"/>
      <c r="I925" s="20"/>
    </row>
    <row r="926" spans="1:9" x14ac:dyDescent="0.2">
      <c r="A926" s="20"/>
      <c r="B926" s="20"/>
      <c r="C926" s="20"/>
      <c r="D926" s="20"/>
      <c r="E926" s="20"/>
      <c r="F926" s="20"/>
      <c r="G926" s="20"/>
      <c r="H926" s="20"/>
      <c r="I926" s="20"/>
    </row>
    <row r="927" spans="1:9" x14ac:dyDescent="0.2">
      <c r="A927" s="20"/>
      <c r="B927" s="20"/>
      <c r="C927" s="20"/>
      <c r="D927" s="20"/>
      <c r="E927" s="20"/>
      <c r="F927" s="20"/>
      <c r="G927" s="20"/>
      <c r="H927" s="20"/>
      <c r="I927" s="20"/>
    </row>
    <row r="928" spans="1:9" x14ac:dyDescent="0.2">
      <c r="A928" s="20"/>
      <c r="B928" s="20"/>
      <c r="C928" s="20"/>
      <c r="D928" s="20"/>
      <c r="E928" s="20"/>
      <c r="F928" s="20"/>
      <c r="G928" s="20"/>
      <c r="H928" s="20"/>
      <c r="I928" s="20"/>
    </row>
    <row r="929" spans="1:9" x14ac:dyDescent="0.2">
      <c r="A929" s="20"/>
      <c r="B929" s="20"/>
      <c r="C929" s="20"/>
      <c r="D929" s="20"/>
      <c r="E929" s="20"/>
      <c r="F929" s="20"/>
      <c r="G929" s="20"/>
      <c r="H929" s="20"/>
      <c r="I929" s="20"/>
    </row>
    <row r="930" spans="1:9" x14ac:dyDescent="0.2">
      <c r="A930" s="20"/>
      <c r="B930" s="20"/>
      <c r="C930" s="20"/>
      <c r="D930" s="20"/>
      <c r="E930" s="20"/>
      <c r="F930" s="20"/>
      <c r="G930" s="20"/>
      <c r="H930" s="20"/>
      <c r="I930" s="20"/>
    </row>
    <row r="931" spans="1:9" x14ac:dyDescent="0.2">
      <c r="A931" s="20"/>
      <c r="B931" s="20"/>
      <c r="C931" s="20"/>
      <c r="D931" s="20"/>
      <c r="E931" s="20"/>
      <c r="F931" s="20"/>
      <c r="G931" s="20"/>
      <c r="H931" s="20"/>
      <c r="I931" s="20"/>
    </row>
    <row r="932" spans="1:9" x14ac:dyDescent="0.2">
      <c r="A932" s="20"/>
      <c r="B932" s="20"/>
      <c r="C932" s="20"/>
      <c r="D932" s="20"/>
      <c r="E932" s="20"/>
      <c r="F932" s="20"/>
      <c r="G932" s="20"/>
      <c r="H932" s="20"/>
      <c r="I932" s="20"/>
    </row>
    <row r="933" spans="1:9" x14ac:dyDescent="0.2">
      <c r="A933" s="20"/>
      <c r="B933" s="20"/>
      <c r="C933" s="20"/>
      <c r="D933" s="20"/>
      <c r="E933" s="20"/>
      <c r="F933" s="20"/>
      <c r="G933" s="20"/>
      <c r="H933" s="20"/>
      <c r="I933" s="20"/>
    </row>
    <row r="934" spans="1:9" x14ac:dyDescent="0.2">
      <c r="A934" s="20"/>
      <c r="B934" s="20"/>
      <c r="C934" s="20"/>
      <c r="D934" s="20"/>
      <c r="E934" s="20"/>
      <c r="F934" s="20"/>
      <c r="G934" s="20"/>
      <c r="H934" s="20"/>
      <c r="I934" s="20"/>
    </row>
    <row r="935" spans="1:9" x14ac:dyDescent="0.2">
      <c r="A935" s="20"/>
      <c r="B935" s="20"/>
      <c r="C935" s="20"/>
      <c r="D935" s="20"/>
      <c r="E935" s="20"/>
      <c r="F935" s="20"/>
      <c r="G935" s="20"/>
      <c r="H935" s="20"/>
      <c r="I935" s="20"/>
    </row>
    <row r="936" spans="1:9" x14ac:dyDescent="0.2">
      <c r="A936" s="20"/>
      <c r="B936" s="20"/>
      <c r="C936" s="20"/>
      <c r="D936" s="20"/>
      <c r="E936" s="20"/>
      <c r="F936" s="20"/>
      <c r="G936" s="20"/>
      <c r="H936" s="20"/>
      <c r="I936" s="20"/>
    </row>
    <row r="937" spans="1:9" x14ac:dyDescent="0.2">
      <c r="A937" s="20"/>
      <c r="B937" s="20"/>
      <c r="C937" s="20"/>
      <c r="D937" s="20"/>
      <c r="E937" s="20"/>
      <c r="F937" s="20"/>
      <c r="G937" s="20"/>
      <c r="H937" s="20"/>
      <c r="I937" s="20"/>
    </row>
    <row r="938" spans="1:9" x14ac:dyDescent="0.2">
      <c r="A938" s="20"/>
      <c r="B938" s="20"/>
      <c r="C938" s="20"/>
      <c r="D938" s="20"/>
      <c r="E938" s="20"/>
      <c r="F938" s="20"/>
      <c r="G938" s="20"/>
      <c r="H938" s="20"/>
      <c r="I938" s="20"/>
    </row>
    <row r="939" spans="1:9" x14ac:dyDescent="0.2">
      <c r="A939" s="20"/>
      <c r="B939" s="20"/>
      <c r="C939" s="20"/>
      <c r="D939" s="20"/>
      <c r="E939" s="20"/>
      <c r="F939" s="20"/>
      <c r="G939" s="20"/>
      <c r="H939" s="20"/>
      <c r="I939" s="20"/>
    </row>
    <row r="940" spans="1:9" x14ac:dyDescent="0.2">
      <c r="A940" s="20"/>
      <c r="B940" s="20"/>
      <c r="C940" s="20"/>
      <c r="D940" s="20"/>
      <c r="E940" s="20"/>
      <c r="F940" s="20"/>
      <c r="G940" s="20"/>
      <c r="H940" s="20"/>
      <c r="I940" s="20"/>
    </row>
    <row r="941" spans="1:9" x14ac:dyDescent="0.2">
      <c r="A941" s="20"/>
      <c r="B941" s="20"/>
      <c r="C941" s="20"/>
      <c r="D941" s="20"/>
      <c r="E941" s="20"/>
      <c r="F941" s="20"/>
      <c r="G941" s="20"/>
      <c r="H941" s="20"/>
      <c r="I941" s="20"/>
    </row>
    <row r="942" spans="1:9" x14ac:dyDescent="0.2">
      <c r="A942" s="20"/>
      <c r="B942" s="20"/>
      <c r="C942" s="20"/>
      <c r="D942" s="20"/>
      <c r="E942" s="20"/>
      <c r="F942" s="20"/>
      <c r="G942" s="20"/>
      <c r="H942" s="20"/>
      <c r="I942" s="20"/>
    </row>
    <row r="943" spans="1:9" x14ac:dyDescent="0.2">
      <c r="A943" s="20"/>
      <c r="B943" s="20"/>
      <c r="C943" s="20"/>
      <c r="D943" s="20"/>
      <c r="E943" s="20"/>
      <c r="F943" s="20"/>
      <c r="G943" s="20"/>
      <c r="H943" s="20"/>
      <c r="I943" s="20"/>
    </row>
    <row r="944" spans="1:9" x14ac:dyDescent="0.2">
      <c r="A944" s="20"/>
      <c r="B944" s="20"/>
      <c r="C944" s="20"/>
      <c r="D944" s="20"/>
      <c r="E944" s="20"/>
      <c r="F944" s="20"/>
      <c r="G944" s="20"/>
      <c r="H944" s="20"/>
      <c r="I944" s="20"/>
    </row>
    <row r="945" spans="1:9" x14ac:dyDescent="0.2">
      <c r="A945" s="20"/>
      <c r="B945" s="20"/>
      <c r="C945" s="20"/>
      <c r="D945" s="20"/>
      <c r="E945" s="20"/>
      <c r="F945" s="20"/>
      <c r="G945" s="20"/>
      <c r="H945" s="20"/>
      <c r="I945" s="20"/>
    </row>
    <row r="946" spans="1:9" x14ac:dyDescent="0.2">
      <c r="A946" s="20"/>
      <c r="B946" s="20"/>
      <c r="C946" s="20"/>
      <c r="D946" s="20"/>
      <c r="E946" s="20"/>
      <c r="F946" s="20"/>
      <c r="G946" s="20"/>
      <c r="H946" s="20"/>
      <c r="I946" s="20"/>
    </row>
    <row r="947" spans="1:9" x14ac:dyDescent="0.2">
      <c r="A947" s="20"/>
      <c r="B947" s="20"/>
      <c r="C947" s="20"/>
      <c r="D947" s="20"/>
      <c r="E947" s="20"/>
      <c r="F947" s="20"/>
      <c r="G947" s="20"/>
      <c r="H947" s="20"/>
      <c r="I947" s="20"/>
    </row>
    <row r="948" spans="1:9" x14ac:dyDescent="0.2">
      <c r="A948" s="20"/>
      <c r="B948" s="20"/>
      <c r="C948" s="20"/>
      <c r="D948" s="20"/>
      <c r="E948" s="20"/>
      <c r="F948" s="20"/>
      <c r="G948" s="20"/>
      <c r="H948" s="20"/>
      <c r="I948" s="20"/>
    </row>
    <row r="949" spans="1:9" x14ac:dyDescent="0.2">
      <c r="A949" s="20"/>
      <c r="B949" s="20"/>
      <c r="C949" s="20"/>
      <c r="D949" s="20"/>
      <c r="E949" s="20"/>
      <c r="F949" s="20"/>
      <c r="G949" s="20"/>
      <c r="H949" s="20"/>
      <c r="I949" s="20"/>
    </row>
    <row r="950" spans="1:9" x14ac:dyDescent="0.2">
      <c r="A950" s="20"/>
      <c r="B950" s="20"/>
      <c r="C950" s="20"/>
      <c r="D950" s="20"/>
      <c r="E950" s="20"/>
      <c r="F950" s="20"/>
      <c r="G950" s="20"/>
      <c r="H950" s="20"/>
      <c r="I950" s="20"/>
    </row>
    <row r="951" spans="1:9" x14ac:dyDescent="0.2">
      <c r="A951" s="20"/>
      <c r="B951" s="20"/>
      <c r="C951" s="20"/>
      <c r="D951" s="20"/>
      <c r="E951" s="20"/>
      <c r="F951" s="20"/>
      <c r="G951" s="20"/>
      <c r="H951" s="20"/>
      <c r="I951" s="20"/>
    </row>
    <row r="952" spans="1:9" x14ac:dyDescent="0.2">
      <c r="A952" s="20"/>
      <c r="B952" s="20"/>
      <c r="C952" s="20"/>
      <c r="D952" s="20"/>
      <c r="E952" s="20"/>
      <c r="F952" s="20"/>
      <c r="G952" s="20"/>
      <c r="H952" s="20"/>
      <c r="I952" s="20"/>
    </row>
    <row r="953" spans="1:9" x14ac:dyDescent="0.2">
      <c r="A953" s="20"/>
      <c r="B953" s="20"/>
      <c r="C953" s="20"/>
      <c r="D953" s="20"/>
      <c r="E953" s="20"/>
      <c r="F953" s="20"/>
      <c r="G953" s="20"/>
      <c r="H953" s="20"/>
      <c r="I953" s="20"/>
    </row>
    <row r="954" spans="1:9" x14ac:dyDescent="0.2">
      <c r="A954" s="20"/>
      <c r="B954" s="20"/>
      <c r="C954" s="20"/>
      <c r="D954" s="20"/>
      <c r="E954" s="20"/>
      <c r="F954" s="20"/>
      <c r="G954" s="20"/>
      <c r="H954" s="20"/>
      <c r="I954" s="20"/>
    </row>
    <row r="955" spans="1:9" x14ac:dyDescent="0.2">
      <c r="A955" s="20"/>
      <c r="B955" s="20"/>
      <c r="C955" s="20"/>
      <c r="D955" s="20"/>
      <c r="E955" s="20"/>
      <c r="F955" s="20"/>
      <c r="G955" s="20"/>
      <c r="H955" s="20"/>
      <c r="I955" s="20"/>
    </row>
    <row r="956" spans="1:9" x14ac:dyDescent="0.2">
      <c r="A956" s="20"/>
      <c r="B956" s="20"/>
      <c r="C956" s="20"/>
      <c r="D956" s="20"/>
      <c r="E956" s="20"/>
      <c r="F956" s="20"/>
      <c r="G956" s="20"/>
      <c r="H956" s="20"/>
      <c r="I956" s="20"/>
    </row>
    <row r="957" spans="1:9" x14ac:dyDescent="0.2">
      <c r="A957" s="20"/>
      <c r="B957" s="20"/>
      <c r="C957" s="20"/>
      <c r="D957" s="20"/>
      <c r="E957" s="20"/>
      <c r="F957" s="20"/>
      <c r="G957" s="20"/>
      <c r="H957" s="20"/>
      <c r="I957" s="20"/>
    </row>
    <row r="958" spans="1:9" x14ac:dyDescent="0.2">
      <c r="A958" s="20"/>
      <c r="B958" s="20"/>
      <c r="C958" s="20"/>
      <c r="D958" s="20"/>
      <c r="E958" s="20"/>
      <c r="F958" s="20"/>
      <c r="G958" s="20"/>
      <c r="H958" s="20"/>
      <c r="I958" s="20"/>
    </row>
    <row r="959" spans="1:9" x14ac:dyDescent="0.2">
      <c r="A959" s="20"/>
      <c r="B959" s="20"/>
      <c r="C959" s="20"/>
      <c r="D959" s="20"/>
      <c r="E959" s="20"/>
      <c r="F959" s="20"/>
      <c r="G959" s="20"/>
      <c r="H959" s="20"/>
      <c r="I959" s="20"/>
    </row>
    <row r="960" spans="1:9" x14ac:dyDescent="0.2">
      <c r="A960" s="20"/>
      <c r="B960" s="20"/>
      <c r="C960" s="20"/>
      <c r="D960" s="20"/>
      <c r="E960" s="20"/>
      <c r="F960" s="20"/>
      <c r="G960" s="20"/>
      <c r="H960" s="20"/>
      <c r="I960" s="20"/>
    </row>
    <row r="961" spans="1:9" x14ac:dyDescent="0.2">
      <c r="A961" s="20"/>
      <c r="B961" s="20"/>
      <c r="C961" s="20"/>
      <c r="D961" s="20"/>
      <c r="E961" s="20"/>
      <c r="F961" s="20"/>
      <c r="G961" s="20"/>
      <c r="H961" s="20"/>
      <c r="I961" s="20"/>
    </row>
    <row r="962" spans="1:9" x14ac:dyDescent="0.2">
      <c r="A962" s="20"/>
      <c r="B962" s="20"/>
      <c r="C962" s="20"/>
      <c r="D962" s="20"/>
      <c r="E962" s="20"/>
      <c r="F962" s="20"/>
      <c r="G962" s="20"/>
      <c r="H962" s="20"/>
      <c r="I962" s="20"/>
    </row>
    <row r="963" spans="1:9" x14ac:dyDescent="0.2">
      <c r="A963" s="20"/>
      <c r="B963" s="20"/>
      <c r="C963" s="20"/>
      <c r="D963" s="20"/>
      <c r="E963" s="20"/>
      <c r="F963" s="20"/>
      <c r="G963" s="20"/>
      <c r="H963" s="20"/>
      <c r="I963" s="20"/>
    </row>
    <row r="964" spans="1:9" x14ac:dyDescent="0.2">
      <c r="A964" s="20"/>
      <c r="B964" s="20"/>
      <c r="C964" s="20"/>
      <c r="D964" s="20"/>
      <c r="E964" s="20"/>
      <c r="F964" s="20"/>
      <c r="G964" s="20"/>
      <c r="H964" s="20"/>
      <c r="I964" s="20"/>
    </row>
    <row r="965" spans="1:9" x14ac:dyDescent="0.2">
      <c r="A965" s="20"/>
      <c r="B965" s="20"/>
      <c r="C965" s="20"/>
      <c r="D965" s="20"/>
      <c r="E965" s="20"/>
      <c r="F965" s="20"/>
      <c r="G965" s="20"/>
      <c r="H965" s="20"/>
      <c r="I965" s="20"/>
    </row>
    <row r="966" spans="1:9" x14ac:dyDescent="0.2">
      <c r="A966" s="20"/>
      <c r="B966" s="20"/>
      <c r="C966" s="20"/>
      <c r="D966" s="20"/>
      <c r="E966" s="20"/>
      <c r="F966" s="20"/>
      <c r="G966" s="20"/>
      <c r="H966" s="20"/>
      <c r="I966" s="20"/>
    </row>
    <row r="967" spans="1:9" x14ac:dyDescent="0.2">
      <c r="A967" s="20"/>
      <c r="B967" s="20"/>
      <c r="C967" s="20"/>
      <c r="D967" s="20"/>
      <c r="E967" s="20"/>
      <c r="F967" s="20"/>
      <c r="G967" s="20"/>
      <c r="H967" s="20"/>
      <c r="I967" s="20"/>
    </row>
    <row r="968" spans="1:9" x14ac:dyDescent="0.2">
      <c r="A968" s="20"/>
      <c r="B968" s="20"/>
      <c r="C968" s="20"/>
      <c r="D968" s="20"/>
      <c r="E968" s="20"/>
      <c r="F968" s="20"/>
      <c r="G968" s="20"/>
      <c r="H968" s="20"/>
      <c r="I968" s="20"/>
    </row>
    <row r="969" spans="1:9" x14ac:dyDescent="0.2">
      <c r="A969" s="20"/>
      <c r="B969" s="20"/>
      <c r="C969" s="20"/>
      <c r="D969" s="20"/>
      <c r="E969" s="20"/>
      <c r="F969" s="20"/>
      <c r="G969" s="20"/>
      <c r="H969" s="20"/>
      <c r="I969" s="20"/>
    </row>
    <row r="970" spans="1:9" x14ac:dyDescent="0.2">
      <c r="A970" s="20"/>
      <c r="B970" s="20"/>
      <c r="C970" s="20"/>
      <c r="D970" s="20"/>
      <c r="E970" s="20"/>
      <c r="F970" s="20"/>
      <c r="G970" s="20"/>
      <c r="H970" s="20"/>
      <c r="I970" s="20"/>
    </row>
    <row r="971" spans="1:9" x14ac:dyDescent="0.2">
      <c r="A971" s="20"/>
      <c r="B971" s="20"/>
      <c r="C971" s="20"/>
      <c r="D971" s="20"/>
      <c r="E971" s="20"/>
      <c r="F971" s="20"/>
      <c r="G971" s="20"/>
      <c r="H971" s="20"/>
      <c r="I971" s="20"/>
    </row>
    <row r="972" spans="1:9" x14ac:dyDescent="0.2">
      <c r="A972" s="20"/>
      <c r="B972" s="20"/>
      <c r="C972" s="20"/>
      <c r="D972" s="20"/>
      <c r="E972" s="20"/>
      <c r="F972" s="20"/>
      <c r="G972" s="20"/>
      <c r="H972" s="20"/>
      <c r="I972" s="20"/>
    </row>
    <row r="973" spans="1:9" x14ac:dyDescent="0.2">
      <c r="A973" s="20"/>
      <c r="B973" s="20"/>
      <c r="C973" s="20"/>
      <c r="D973" s="20"/>
      <c r="E973" s="20"/>
      <c r="F973" s="20"/>
      <c r="G973" s="20"/>
      <c r="H973" s="20"/>
      <c r="I973" s="20"/>
    </row>
    <row r="974" spans="1:9" x14ac:dyDescent="0.2">
      <c r="A974" s="20"/>
      <c r="B974" s="20"/>
      <c r="C974" s="20"/>
      <c r="D974" s="20"/>
      <c r="E974" s="20"/>
      <c r="F974" s="20"/>
      <c r="G974" s="20"/>
      <c r="H974" s="20"/>
      <c r="I974" s="20"/>
    </row>
    <row r="975" spans="1:9" x14ac:dyDescent="0.2">
      <c r="A975" s="20"/>
      <c r="B975" s="20"/>
      <c r="C975" s="20"/>
      <c r="D975" s="20"/>
      <c r="E975" s="20"/>
      <c r="F975" s="20"/>
      <c r="G975" s="20"/>
      <c r="H975" s="20"/>
      <c r="I975" s="20"/>
    </row>
    <row r="976" spans="1:9" x14ac:dyDescent="0.2">
      <c r="A976" s="20"/>
      <c r="B976" s="20"/>
      <c r="C976" s="20"/>
      <c r="D976" s="20"/>
      <c r="E976" s="20"/>
      <c r="F976" s="20"/>
      <c r="G976" s="20"/>
      <c r="H976" s="20"/>
      <c r="I976" s="20"/>
    </row>
    <row r="977" spans="1:9" x14ac:dyDescent="0.2">
      <c r="A977" s="20"/>
      <c r="B977" s="20"/>
      <c r="C977" s="20"/>
      <c r="D977" s="20"/>
      <c r="E977" s="20"/>
      <c r="F977" s="20"/>
      <c r="G977" s="20"/>
      <c r="H977" s="20"/>
      <c r="I977" s="20"/>
    </row>
    <row r="978" spans="1:9" x14ac:dyDescent="0.2">
      <c r="A978" s="20"/>
      <c r="B978" s="20"/>
      <c r="C978" s="20"/>
      <c r="D978" s="20"/>
      <c r="E978" s="20"/>
      <c r="F978" s="20"/>
      <c r="G978" s="20"/>
      <c r="H978" s="20"/>
      <c r="I978" s="20"/>
    </row>
    <row r="979" spans="1:9" x14ac:dyDescent="0.2">
      <c r="A979" s="20"/>
      <c r="B979" s="20"/>
      <c r="C979" s="20"/>
      <c r="D979" s="20"/>
      <c r="E979" s="20"/>
      <c r="F979" s="20"/>
      <c r="G979" s="20"/>
      <c r="H979" s="20"/>
      <c r="I979" s="20"/>
    </row>
    <row r="980" spans="1:9" x14ac:dyDescent="0.2">
      <c r="A980" s="20"/>
      <c r="B980" s="20"/>
      <c r="C980" s="20"/>
      <c r="D980" s="20"/>
      <c r="E980" s="20"/>
      <c r="F980" s="20"/>
      <c r="G980" s="20"/>
      <c r="H980" s="20"/>
      <c r="I980" s="20"/>
    </row>
    <row r="981" spans="1:9" x14ac:dyDescent="0.2">
      <c r="A981" s="20"/>
      <c r="B981" s="20"/>
      <c r="C981" s="20"/>
      <c r="D981" s="20"/>
      <c r="E981" s="20"/>
      <c r="F981" s="20"/>
      <c r="G981" s="20"/>
      <c r="H981" s="20"/>
      <c r="I981" s="20"/>
    </row>
    <row r="982" spans="1:9" x14ac:dyDescent="0.2">
      <c r="A982" s="20"/>
      <c r="B982" s="20"/>
      <c r="C982" s="20"/>
      <c r="D982" s="20"/>
      <c r="E982" s="20"/>
      <c r="F982" s="20"/>
      <c r="G982" s="20"/>
      <c r="H982" s="20"/>
      <c r="I982" s="20"/>
    </row>
    <row r="983" spans="1:9" x14ac:dyDescent="0.2">
      <c r="A983" s="20"/>
      <c r="B983" s="20"/>
      <c r="C983" s="20"/>
      <c r="D983" s="20"/>
      <c r="E983" s="20"/>
      <c r="F983" s="20"/>
      <c r="G983" s="20"/>
      <c r="H983" s="20"/>
      <c r="I983" s="20"/>
    </row>
    <row r="984" spans="1:9" x14ac:dyDescent="0.2">
      <c r="A984" s="20"/>
      <c r="B984" s="20"/>
      <c r="C984" s="20"/>
      <c r="D984" s="20"/>
      <c r="E984" s="20"/>
      <c r="F984" s="20"/>
      <c r="G984" s="20"/>
      <c r="H984" s="20"/>
      <c r="I984" s="20"/>
    </row>
    <row r="985" spans="1:9" x14ac:dyDescent="0.2">
      <c r="A985" s="20"/>
      <c r="B985" s="20"/>
      <c r="C985" s="20"/>
      <c r="D985" s="20"/>
      <c r="E985" s="20"/>
      <c r="F985" s="20"/>
      <c r="G985" s="20"/>
      <c r="H985" s="20"/>
      <c r="I985" s="20"/>
    </row>
    <row r="986" spans="1:9" x14ac:dyDescent="0.2">
      <c r="A986" s="20"/>
      <c r="B986" s="20"/>
      <c r="C986" s="20"/>
      <c r="D986" s="20"/>
      <c r="E986" s="20"/>
      <c r="F986" s="20"/>
      <c r="G986" s="20"/>
      <c r="H986" s="20"/>
      <c r="I986" s="20"/>
    </row>
    <row r="987" spans="1:9" x14ac:dyDescent="0.2">
      <c r="A987" s="20"/>
      <c r="B987" s="20"/>
      <c r="C987" s="20"/>
      <c r="D987" s="20"/>
      <c r="E987" s="20"/>
      <c r="F987" s="20"/>
      <c r="G987" s="20"/>
      <c r="H987" s="20"/>
      <c r="I987" s="20"/>
    </row>
    <row r="988" spans="1:9" x14ac:dyDescent="0.2">
      <c r="A988" s="20"/>
      <c r="B988" s="20"/>
      <c r="C988" s="20"/>
      <c r="D988" s="20"/>
      <c r="E988" s="20"/>
      <c r="F988" s="20"/>
      <c r="G988" s="20"/>
      <c r="H988" s="20"/>
      <c r="I988" s="20"/>
    </row>
    <row r="989" spans="1:9" x14ac:dyDescent="0.2">
      <c r="A989" s="20"/>
      <c r="B989" s="20"/>
      <c r="C989" s="20"/>
      <c r="D989" s="20"/>
      <c r="E989" s="20"/>
      <c r="F989" s="20"/>
      <c r="G989" s="20"/>
      <c r="H989" s="20"/>
      <c r="I989" s="20"/>
    </row>
    <row r="990" spans="1:9" x14ac:dyDescent="0.2">
      <c r="A990" s="20"/>
      <c r="B990" s="20"/>
      <c r="C990" s="20"/>
      <c r="D990" s="20"/>
      <c r="E990" s="20"/>
      <c r="F990" s="20"/>
      <c r="G990" s="20"/>
      <c r="H990" s="20"/>
      <c r="I990" s="20"/>
    </row>
    <row r="991" spans="1:9" x14ac:dyDescent="0.2">
      <c r="A991" s="20"/>
      <c r="B991" s="20"/>
      <c r="C991" s="20"/>
      <c r="D991" s="20"/>
      <c r="E991" s="20"/>
      <c r="F991" s="20"/>
      <c r="G991" s="20"/>
      <c r="H991" s="20"/>
      <c r="I991" s="20"/>
    </row>
    <row r="992" spans="1:9" x14ac:dyDescent="0.2">
      <c r="A992" s="20"/>
      <c r="B992" s="20"/>
      <c r="C992" s="20"/>
      <c r="D992" s="20"/>
      <c r="E992" s="20"/>
      <c r="F992" s="20"/>
      <c r="G992" s="20"/>
      <c r="H992" s="20"/>
      <c r="I992" s="20"/>
    </row>
    <row r="993" spans="1:9" x14ac:dyDescent="0.2">
      <c r="A993" s="20"/>
      <c r="B993" s="20"/>
      <c r="C993" s="20"/>
      <c r="D993" s="20"/>
      <c r="E993" s="20"/>
      <c r="F993" s="20"/>
      <c r="G993" s="20"/>
      <c r="H993" s="20"/>
      <c r="I993" s="20"/>
    </row>
    <row r="994" spans="1:9" x14ac:dyDescent="0.2">
      <c r="A994" s="20"/>
      <c r="B994" s="20"/>
      <c r="C994" s="20"/>
      <c r="D994" s="20"/>
      <c r="E994" s="20"/>
      <c r="F994" s="20"/>
      <c r="G994" s="20"/>
      <c r="H994" s="20"/>
      <c r="I994" s="20"/>
    </row>
    <row r="995" spans="1:9" x14ac:dyDescent="0.2">
      <c r="A995" s="20"/>
      <c r="B995" s="20"/>
      <c r="C995" s="20"/>
      <c r="D995" s="20"/>
      <c r="E995" s="20"/>
      <c r="F995" s="20"/>
      <c r="G995" s="20"/>
      <c r="H995" s="20"/>
      <c r="I995" s="20"/>
    </row>
    <row r="996" spans="1:9" x14ac:dyDescent="0.2">
      <c r="A996" s="20"/>
      <c r="B996" s="20"/>
      <c r="C996" s="20"/>
      <c r="D996" s="20"/>
      <c r="E996" s="20"/>
      <c r="F996" s="20"/>
      <c r="G996" s="20"/>
      <c r="H996" s="20"/>
      <c r="I996" s="20"/>
    </row>
    <row r="997" spans="1:9" x14ac:dyDescent="0.2">
      <c r="A997" s="20"/>
      <c r="B997" s="20"/>
      <c r="C997" s="20"/>
      <c r="D997" s="20"/>
      <c r="E997" s="20"/>
      <c r="F997" s="20"/>
      <c r="G997" s="20"/>
      <c r="H997" s="20"/>
      <c r="I997" s="20"/>
    </row>
    <row r="998" spans="1:9" x14ac:dyDescent="0.2">
      <c r="A998" s="20"/>
      <c r="B998" s="20"/>
      <c r="C998" s="20"/>
      <c r="D998" s="20"/>
      <c r="E998" s="20"/>
      <c r="F998" s="20"/>
      <c r="G998" s="20"/>
      <c r="H998" s="20"/>
      <c r="I998" s="20"/>
    </row>
    <row r="999" spans="1:9" x14ac:dyDescent="0.2">
      <c r="A999" s="20"/>
      <c r="B999" s="20"/>
      <c r="C999" s="20"/>
      <c r="D999" s="20"/>
      <c r="E999" s="20"/>
      <c r="F999" s="20"/>
      <c r="G999" s="20"/>
      <c r="H999" s="20"/>
      <c r="I999" s="20"/>
    </row>
    <row r="1000" spans="1:9" x14ac:dyDescent="0.2">
      <c r="A1000" s="20"/>
      <c r="B1000" s="20"/>
      <c r="C1000" s="20"/>
      <c r="D1000" s="20"/>
      <c r="E1000" s="20"/>
      <c r="F1000" s="20"/>
      <c r="G1000" s="20"/>
      <c r="H1000" s="20"/>
      <c r="I1000" s="20"/>
    </row>
  </sheetData>
  <mergeCells count="1">
    <mergeCell ref="A1:I1"/>
  </mergeCells>
  <pageMargins left="0.7" right="0.7" top="0.75" bottom="0.75" header="0.3" footer="0.3"/>
  <pageSetup orientation="portrait" horizontalDpi="1200" verticalDpi="1200" r:id="rId1"/>
  <legacy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5CDD4-1092-4C1E-8888-55402B7DB48D}">
  <sheetPr codeName="Sheet33"/>
  <dimension ref="A1:K20"/>
  <sheetViews>
    <sheetView workbookViewId="0">
      <selection activeCell="B3" sqref="B3"/>
    </sheetView>
  </sheetViews>
  <sheetFormatPr defaultRowHeight="12.75" x14ac:dyDescent="0.2"/>
  <cols>
    <col min="1" max="1" width="7.42578125" style="65" bestFit="1" customWidth="1"/>
    <col min="2" max="2" width="7.5703125" style="65" bestFit="1" customWidth="1"/>
    <col min="3" max="3" width="12.42578125" style="65" bestFit="1" customWidth="1"/>
    <col min="4" max="4" width="14.7109375" style="65" customWidth="1"/>
    <col min="5" max="6" width="9.28515625" style="65" customWidth="1"/>
    <col min="7" max="7" width="10.5703125" style="65" bestFit="1" customWidth="1"/>
    <col min="8" max="16384" width="9.140625" style="65"/>
  </cols>
  <sheetData>
    <row r="1" spans="1:11" x14ac:dyDescent="0.2">
      <c r="A1" s="950" t="s">
        <v>1303</v>
      </c>
      <c r="B1" s="950"/>
      <c r="C1" s="950"/>
      <c r="D1" s="950"/>
      <c r="E1" s="950"/>
      <c r="F1" s="950"/>
      <c r="G1" s="950"/>
    </row>
    <row r="2" spans="1:11" x14ac:dyDescent="0.2">
      <c r="A2" s="593" t="s">
        <v>1276</v>
      </c>
      <c r="B2" s="593" t="s">
        <v>638</v>
      </c>
      <c r="C2" s="613" t="s">
        <v>1244</v>
      </c>
      <c r="D2" s="582" t="s">
        <v>1073</v>
      </c>
      <c r="E2" s="582" t="s">
        <v>1214</v>
      </c>
      <c r="F2" s="582" t="s">
        <v>1215</v>
      </c>
      <c r="G2" s="582" t="s">
        <v>1286</v>
      </c>
      <c r="K2" s="66" t="s">
        <v>1285</v>
      </c>
    </row>
    <row r="3" spans="1:11" x14ac:dyDescent="0.2">
      <c r="A3" s="20"/>
      <c r="B3" s="20"/>
      <c r="C3" s="20"/>
      <c r="D3" s="20"/>
      <c r="E3" s="20"/>
      <c r="F3" s="20"/>
      <c r="G3" s="20"/>
    </row>
    <row r="4" spans="1:11" x14ac:dyDescent="0.2">
      <c r="A4" s="20"/>
      <c r="B4" s="20"/>
      <c r="C4" s="20"/>
      <c r="D4" s="20"/>
      <c r="E4" s="20"/>
      <c r="F4" s="20"/>
      <c r="G4" s="20"/>
    </row>
    <row r="5" spans="1:11" x14ac:dyDescent="0.2">
      <c r="A5" s="20"/>
      <c r="B5" s="20"/>
      <c r="C5" s="20"/>
      <c r="D5" s="20"/>
      <c r="E5" s="20"/>
      <c r="F5" s="20"/>
      <c r="G5" s="20"/>
    </row>
    <row r="6" spans="1:11" x14ac:dyDescent="0.2">
      <c r="A6" s="20"/>
      <c r="B6" s="20"/>
      <c r="C6" s="20"/>
      <c r="D6" s="20"/>
      <c r="E6" s="20"/>
      <c r="F6" s="20"/>
      <c r="G6" s="20"/>
    </row>
    <row r="7" spans="1:11" x14ac:dyDescent="0.2">
      <c r="A7" s="20"/>
      <c r="B7" s="20"/>
      <c r="C7" s="20"/>
      <c r="D7" s="20"/>
      <c r="E7" s="20"/>
      <c r="F7" s="20"/>
      <c r="G7" s="20"/>
    </row>
    <row r="8" spans="1:11" x14ac:dyDescent="0.2">
      <c r="A8" s="20"/>
      <c r="B8" s="20"/>
      <c r="C8" s="20"/>
      <c r="D8" s="20"/>
      <c r="E8" s="20"/>
      <c r="F8" s="20"/>
      <c r="G8" s="20"/>
    </row>
    <row r="9" spans="1:11" x14ac:dyDescent="0.2">
      <c r="A9" s="20"/>
      <c r="B9" s="20"/>
      <c r="C9" s="20"/>
      <c r="D9" s="20"/>
      <c r="E9" s="20"/>
      <c r="F9" s="20"/>
      <c r="G9" s="20"/>
    </row>
    <row r="10" spans="1:11" x14ac:dyDescent="0.2">
      <c r="A10" s="20"/>
      <c r="B10" s="20"/>
      <c r="C10" s="20"/>
      <c r="D10" s="20"/>
      <c r="E10" s="20"/>
      <c r="F10" s="20"/>
      <c r="G10" s="20"/>
    </row>
    <row r="11" spans="1:11" x14ac:dyDescent="0.2">
      <c r="A11" s="20"/>
      <c r="B11" s="20"/>
      <c r="C11" s="20"/>
      <c r="D11" s="20"/>
      <c r="E11" s="20"/>
      <c r="F11" s="20"/>
      <c r="G11" s="20"/>
    </row>
    <row r="12" spans="1:11" x14ac:dyDescent="0.2">
      <c r="A12" s="20"/>
      <c r="B12" s="20"/>
      <c r="C12" s="20"/>
      <c r="D12" s="20"/>
      <c r="E12" s="20"/>
      <c r="F12" s="20"/>
      <c r="G12" s="20"/>
    </row>
    <row r="13" spans="1:11" x14ac:dyDescent="0.2">
      <c r="A13" s="20"/>
      <c r="B13" s="20"/>
      <c r="C13" s="20"/>
      <c r="D13" s="20"/>
      <c r="E13" s="20"/>
      <c r="F13" s="20"/>
      <c r="G13" s="20"/>
    </row>
    <row r="14" spans="1:11" x14ac:dyDescent="0.2">
      <c r="A14" s="20"/>
      <c r="B14" s="20"/>
      <c r="C14" s="20"/>
      <c r="D14" s="20"/>
      <c r="E14" s="20"/>
      <c r="F14" s="20"/>
      <c r="G14" s="20"/>
    </row>
    <row r="15" spans="1:11" x14ac:dyDescent="0.2">
      <c r="A15" s="20"/>
      <c r="B15" s="20"/>
      <c r="C15" s="20"/>
      <c r="D15" s="20"/>
      <c r="E15" s="20"/>
      <c r="F15" s="20"/>
      <c r="G15" s="20"/>
    </row>
    <row r="16" spans="1:11" x14ac:dyDescent="0.2">
      <c r="A16" s="20"/>
      <c r="B16" s="20"/>
      <c r="C16" s="20"/>
      <c r="D16" s="20"/>
      <c r="E16" s="20"/>
      <c r="F16" s="20"/>
      <c r="G16" s="20"/>
    </row>
    <row r="17" spans="1:7" x14ac:dyDescent="0.2">
      <c r="A17" s="20"/>
      <c r="B17" s="20"/>
      <c r="C17" s="20"/>
      <c r="D17" s="20"/>
      <c r="E17" s="20"/>
      <c r="F17" s="20"/>
      <c r="G17" s="20"/>
    </row>
    <row r="18" spans="1:7" x14ac:dyDescent="0.2">
      <c r="A18" s="20"/>
      <c r="B18" s="20"/>
      <c r="C18" s="20"/>
      <c r="D18" s="20"/>
      <c r="E18" s="20"/>
      <c r="F18" s="20"/>
      <c r="G18" s="20"/>
    </row>
    <row r="19" spans="1:7" x14ac:dyDescent="0.2">
      <c r="A19" s="20"/>
      <c r="B19" s="20"/>
      <c r="C19" s="20"/>
      <c r="D19" s="20"/>
      <c r="E19" s="20"/>
      <c r="F19" s="20"/>
      <c r="G19" s="20"/>
    </row>
    <row r="20" spans="1:7" x14ac:dyDescent="0.2">
      <c r="A20" s="20"/>
      <c r="B20" s="20"/>
      <c r="C20" s="20"/>
      <c r="D20" s="20"/>
      <c r="E20" s="20"/>
      <c r="F20" s="20"/>
      <c r="G20" s="20"/>
    </row>
  </sheetData>
  <mergeCells count="1">
    <mergeCell ref="A1:G1"/>
  </mergeCells>
  <pageMargins left="0.7" right="0.7" top="0.75" bottom="0.75" header="0.3" footer="0.3"/>
  <pageSetup orientation="portrait" horizontalDpi="1200" verticalDpi="1200" r:id="rId1"/>
  <legacy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6E46E-6E74-41FF-91C6-CE92CFF9620F}">
  <sheetPr codeName="Sheet31"/>
  <dimension ref="A1:V61"/>
  <sheetViews>
    <sheetView workbookViewId="0">
      <selection activeCell="B3" sqref="B3"/>
    </sheetView>
  </sheetViews>
  <sheetFormatPr defaultRowHeight="12.75" x14ac:dyDescent="0.2"/>
  <cols>
    <col min="1" max="1" width="7.42578125" style="65" bestFit="1" customWidth="1"/>
    <col min="2" max="2" width="9.140625" style="65"/>
    <col min="3" max="3" width="12" style="65" bestFit="1" customWidth="1"/>
    <col min="4" max="4" width="15.28515625" style="65" customWidth="1"/>
    <col min="5" max="5" width="10.5703125" style="65" bestFit="1" customWidth="1"/>
    <col min="6" max="7" width="12.42578125" style="65" customWidth="1"/>
    <col min="8" max="8" width="7.28515625" style="65" bestFit="1" customWidth="1"/>
    <col min="9" max="9" width="15.5703125" style="65" bestFit="1" customWidth="1"/>
    <col min="10" max="10" width="14.42578125" style="65" bestFit="1" customWidth="1"/>
    <col min="11" max="11" width="9.42578125" style="65" bestFit="1" customWidth="1"/>
    <col min="12" max="12" width="23.5703125" style="65" bestFit="1" customWidth="1"/>
    <col min="13" max="13" width="23.42578125" style="65" bestFit="1" customWidth="1"/>
    <col min="14" max="14" width="23.85546875" style="65" bestFit="1" customWidth="1"/>
    <col min="15" max="16" width="23.7109375" style="65" bestFit="1" customWidth="1"/>
    <col min="17" max="17" width="23.5703125" style="65" bestFit="1" customWidth="1"/>
    <col min="18" max="18" width="15" style="65" bestFit="1" customWidth="1"/>
    <col min="19" max="19" width="10.5703125" style="65" bestFit="1" customWidth="1"/>
    <col min="20" max="16384" width="9.140625" style="65"/>
  </cols>
  <sheetData>
    <row r="1" spans="1:22" x14ac:dyDescent="0.2">
      <c r="A1" s="950" t="s">
        <v>1304</v>
      </c>
      <c r="B1" s="950"/>
      <c r="C1" s="950"/>
      <c r="D1" s="950"/>
      <c r="E1" s="950"/>
      <c r="F1" s="950"/>
      <c r="G1" s="950"/>
      <c r="H1" s="950"/>
      <c r="I1" s="950"/>
      <c r="J1" s="950"/>
      <c r="K1" s="950"/>
      <c r="L1" s="950"/>
      <c r="M1" s="950"/>
      <c r="N1" s="950"/>
      <c r="O1" s="950"/>
      <c r="P1" s="950"/>
      <c r="Q1" s="950"/>
      <c r="R1" s="950"/>
      <c r="S1" s="950"/>
    </row>
    <row r="2" spans="1:22" x14ac:dyDescent="0.2">
      <c r="A2" s="593" t="s">
        <v>1276</v>
      </c>
      <c r="B2" s="593" t="s">
        <v>638</v>
      </c>
      <c r="C2" s="613" t="s">
        <v>1287</v>
      </c>
      <c r="D2" s="582" t="s">
        <v>1073</v>
      </c>
      <c r="E2" s="582" t="s">
        <v>1057</v>
      </c>
      <c r="F2" s="582" t="s">
        <v>1191</v>
      </c>
      <c r="G2" s="582" t="s">
        <v>1192</v>
      </c>
      <c r="H2" s="582" t="s">
        <v>1193</v>
      </c>
      <c r="I2" s="582" t="s">
        <v>1194</v>
      </c>
      <c r="J2" s="582" t="s">
        <v>1195</v>
      </c>
      <c r="K2" s="582" t="s">
        <v>1196</v>
      </c>
      <c r="L2" s="582" t="s">
        <v>1197</v>
      </c>
      <c r="M2" s="582" t="s">
        <v>1198</v>
      </c>
      <c r="N2" s="582" t="s">
        <v>1199</v>
      </c>
      <c r="O2" s="582" t="s">
        <v>1200</v>
      </c>
      <c r="P2" s="582" t="s">
        <v>1201</v>
      </c>
      <c r="Q2" s="582" t="s">
        <v>1202</v>
      </c>
      <c r="R2" s="582" t="s">
        <v>1203</v>
      </c>
      <c r="S2" s="582" t="s">
        <v>1286</v>
      </c>
      <c r="V2" s="66" t="s">
        <v>1250</v>
      </c>
    </row>
    <row r="3" spans="1:22" x14ac:dyDescent="0.2">
      <c r="A3" s="20"/>
      <c r="B3" s="20"/>
      <c r="C3" s="20"/>
      <c r="D3" s="20"/>
      <c r="E3" s="20"/>
      <c r="F3" s="20"/>
      <c r="G3" s="20"/>
      <c r="H3" s="20"/>
      <c r="I3" s="20"/>
      <c r="J3" s="20"/>
      <c r="K3" s="20"/>
      <c r="L3" s="20"/>
      <c r="M3" s="20"/>
      <c r="N3" s="20"/>
      <c r="O3" s="20"/>
      <c r="P3" s="20"/>
      <c r="Q3" s="20"/>
      <c r="R3" s="20"/>
      <c r="S3" s="20"/>
      <c r="V3" s="66"/>
    </row>
    <row r="4" spans="1:22" x14ac:dyDescent="0.2">
      <c r="A4" s="20"/>
      <c r="B4" s="20"/>
      <c r="C4" s="20"/>
      <c r="D4" s="20"/>
      <c r="E4" s="20"/>
      <c r="F4" s="20"/>
      <c r="G4" s="20"/>
      <c r="H4" s="20"/>
      <c r="I4" s="20"/>
      <c r="J4" s="20"/>
      <c r="K4" s="20"/>
      <c r="L4" s="20"/>
      <c r="M4" s="20"/>
      <c r="N4" s="20"/>
      <c r="O4" s="20"/>
      <c r="P4" s="20"/>
      <c r="Q4" s="20"/>
      <c r="R4" s="20"/>
      <c r="S4" s="20"/>
    </row>
    <row r="5" spans="1:22" x14ac:dyDescent="0.2">
      <c r="A5" s="20"/>
      <c r="B5" s="20"/>
      <c r="C5" s="20"/>
      <c r="D5" s="20"/>
      <c r="E5" s="20"/>
      <c r="F5" s="20"/>
      <c r="G5" s="20"/>
      <c r="H5" s="20"/>
      <c r="I5" s="20"/>
      <c r="J5" s="20"/>
      <c r="K5" s="20"/>
      <c r="L5" s="20"/>
      <c r="M5" s="20"/>
      <c r="N5" s="20"/>
      <c r="O5" s="20"/>
      <c r="P5" s="20"/>
      <c r="Q5" s="20"/>
      <c r="R5" s="20"/>
      <c r="S5" s="20"/>
    </row>
    <row r="6" spans="1:22" x14ac:dyDescent="0.2">
      <c r="A6" s="20"/>
      <c r="B6" s="20"/>
      <c r="C6" s="20"/>
      <c r="D6" s="20"/>
      <c r="E6" s="20"/>
      <c r="F6" s="20"/>
      <c r="G6" s="20"/>
      <c r="H6" s="20"/>
      <c r="I6" s="20"/>
      <c r="J6" s="20"/>
      <c r="K6" s="20"/>
      <c r="L6" s="20"/>
      <c r="M6" s="20"/>
      <c r="N6" s="20"/>
      <c r="O6" s="20"/>
      <c r="P6" s="20"/>
      <c r="Q6" s="20"/>
      <c r="R6" s="20"/>
      <c r="S6" s="20"/>
    </row>
    <row r="7" spans="1:22" x14ac:dyDescent="0.2">
      <c r="A7" s="20"/>
      <c r="B7" s="20"/>
      <c r="C7" s="20"/>
      <c r="D7" s="20"/>
      <c r="E7" s="20"/>
      <c r="F7" s="20"/>
      <c r="G7" s="20"/>
      <c r="H7" s="20"/>
      <c r="I7" s="20"/>
      <c r="J7" s="20"/>
      <c r="K7" s="20"/>
      <c r="L7" s="20"/>
      <c r="M7" s="20"/>
      <c r="N7" s="20"/>
      <c r="O7" s="20"/>
      <c r="P7" s="20"/>
      <c r="Q7" s="20"/>
      <c r="R7" s="20"/>
      <c r="S7" s="20"/>
    </row>
    <row r="8" spans="1:22" x14ac:dyDescent="0.2">
      <c r="A8" s="20"/>
      <c r="B8" s="20"/>
      <c r="C8" s="20"/>
      <c r="D8" s="20"/>
      <c r="E8" s="20"/>
      <c r="F8" s="20"/>
      <c r="G8" s="20"/>
      <c r="H8" s="20"/>
      <c r="I8" s="20"/>
      <c r="J8" s="20"/>
      <c r="K8" s="20"/>
      <c r="L8" s="20"/>
      <c r="M8" s="20"/>
      <c r="N8" s="20"/>
      <c r="O8" s="20"/>
      <c r="P8" s="20"/>
      <c r="Q8" s="20"/>
      <c r="R8" s="20"/>
      <c r="S8" s="20"/>
    </row>
    <row r="9" spans="1:22" x14ac:dyDescent="0.2">
      <c r="A9" s="20"/>
      <c r="B9" s="20"/>
      <c r="C9" s="20"/>
      <c r="D9" s="20"/>
      <c r="E9" s="20"/>
      <c r="F9" s="20"/>
      <c r="G9" s="20"/>
      <c r="H9" s="20"/>
      <c r="I9" s="20"/>
      <c r="J9" s="20"/>
      <c r="K9" s="20"/>
      <c r="L9" s="20"/>
      <c r="M9" s="20"/>
      <c r="N9" s="20"/>
      <c r="O9" s="20"/>
      <c r="P9" s="20"/>
      <c r="Q9" s="20"/>
      <c r="R9" s="20"/>
      <c r="S9" s="20"/>
    </row>
    <row r="10" spans="1:22" x14ac:dyDescent="0.2">
      <c r="A10" s="20"/>
      <c r="B10" s="20"/>
      <c r="C10" s="20"/>
      <c r="D10" s="20"/>
      <c r="E10" s="20"/>
      <c r="F10" s="20"/>
      <c r="G10" s="20"/>
      <c r="H10" s="20"/>
      <c r="I10" s="20"/>
      <c r="J10" s="20"/>
      <c r="K10" s="20"/>
      <c r="L10" s="20"/>
      <c r="M10" s="20"/>
      <c r="N10" s="20"/>
      <c r="O10" s="20"/>
      <c r="P10" s="20"/>
      <c r="Q10" s="20"/>
      <c r="R10" s="20"/>
      <c r="S10" s="20"/>
    </row>
    <row r="11" spans="1:22" x14ac:dyDescent="0.2">
      <c r="A11" s="20"/>
      <c r="B11" s="20"/>
      <c r="C11" s="20"/>
      <c r="D11" s="20"/>
      <c r="E11" s="20"/>
      <c r="F11" s="20"/>
      <c r="G11" s="20"/>
      <c r="H11" s="20"/>
      <c r="I11" s="20"/>
      <c r="J11" s="20"/>
      <c r="K11" s="20"/>
      <c r="L11" s="20"/>
      <c r="M11" s="20"/>
      <c r="N11" s="20"/>
      <c r="O11" s="20"/>
      <c r="P11" s="20"/>
      <c r="Q11" s="20"/>
      <c r="R11" s="20"/>
      <c r="S11" s="20"/>
    </row>
    <row r="12" spans="1:22" x14ac:dyDescent="0.2">
      <c r="A12" s="20"/>
      <c r="B12" s="20"/>
      <c r="C12" s="20"/>
      <c r="D12" s="20"/>
      <c r="E12" s="20"/>
      <c r="F12" s="20"/>
      <c r="G12" s="20"/>
      <c r="H12" s="20"/>
      <c r="I12" s="20"/>
      <c r="J12" s="20"/>
      <c r="K12" s="20"/>
      <c r="L12" s="20"/>
      <c r="M12" s="20"/>
      <c r="N12" s="20"/>
      <c r="O12" s="20"/>
      <c r="P12" s="20"/>
      <c r="Q12" s="20"/>
      <c r="R12" s="20"/>
      <c r="S12" s="20"/>
    </row>
    <row r="13" spans="1:22" x14ac:dyDescent="0.2">
      <c r="A13" s="20"/>
      <c r="B13" s="20"/>
      <c r="C13" s="20"/>
      <c r="D13" s="20"/>
      <c r="E13" s="20"/>
      <c r="F13" s="20"/>
      <c r="G13" s="20"/>
      <c r="H13" s="20"/>
      <c r="I13" s="20"/>
      <c r="J13" s="20"/>
      <c r="K13" s="20"/>
      <c r="L13" s="20"/>
      <c r="M13" s="20"/>
      <c r="N13" s="20"/>
      <c r="O13" s="20"/>
      <c r="P13" s="20"/>
      <c r="Q13" s="20"/>
      <c r="R13" s="20"/>
      <c r="S13" s="20"/>
    </row>
    <row r="14" spans="1:22" x14ac:dyDescent="0.2">
      <c r="A14" s="20"/>
      <c r="B14" s="20"/>
      <c r="C14" s="20"/>
      <c r="D14" s="20"/>
      <c r="E14" s="20"/>
      <c r="F14" s="20"/>
      <c r="G14" s="20"/>
      <c r="H14" s="20"/>
      <c r="I14" s="20"/>
      <c r="J14" s="20"/>
      <c r="K14" s="20"/>
      <c r="L14" s="20"/>
      <c r="M14" s="20"/>
      <c r="N14" s="20"/>
      <c r="O14" s="20"/>
      <c r="P14" s="20"/>
      <c r="Q14" s="20"/>
      <c r="R14" s="20"/>
      <c r="S14" s="20"/>
    </row>
    <row r="15" spans="1:22" x14ac:dyDescent="0.2">
      <c r="A15" s="20"/>
      <c r="B15" s="20"/>
      <c r="C15" s="20"/>
      <c r="D15" s="20"/>
      <c r="E15" s="20"/>
      <c r="F15" s="20"/>
      <c r="G15" s="20"/>
      <c r="H15" s="20"/>
      <c r="I15" s="20"/>
      <c r="J15" s="20"/>
      <c r="K15" s="20"/>
      <c r="L15" s="20"/>
      <c r="M15" s="20"/>
      <c r="N15" s="20"/>
      <c r="O15" s="20"/>
      <c r="P15" s="20"/>
      <c r="Q15" s="20"/>
      <c r="R15" s="20"/>
      <c r="S15" s="20"/>
    </row>
    <row r="16" spans="1:22" x14ac:dyDescent="0.2">
      <c r="A16" s="20"/>
      <c r="B16" s="20"/>
      <c r="C16" s="20"/>
      <c r="D16" s="20"/>
      <c r="E16" s="20"/>
      <c r="F16" s="20"/>
      <c r="G16" s="20"/>
      <c r="H16" s="20"/>
      <c r="I16" s="20"/>
      <c r="J16" s="20"/>
      <c r="K16" s="20"/>
      <c r="L16" s="20"/>
      <c r="M16" s="20"/>
      <c r="N16" s="20"/>
      <c r="O16" s="20"/>
      <c r="P16" s="20"/>
      <c r="Q16" s="20"/>
      <c r="R16" s="20"/>
      <c r="S16" s="20"/>
    </row>
    <row r="17" spans="1:19" x14ac:dyDescent="0.2">
      <c r="A17" s="20"/>
      <c r="B17" s="20"/>
      <c r="C17" s="20"/>
      <c r="D17" s="20"/>
      <c r="E17" s="20"/>
      <c r="F17" s="20"/>
      <c r="G17" s="20"/>
      <c r="H17" s="20"/>
      <c r="I17" s="20"/>
      <c r="J17" s="20"/>
      <c r="K17" s="20"/>
      <c r="L17" s="20"/>
      <c r="M17" s="20"/>
      <c r="N17" s="20"/>
      <c r="O17" s="20"/>
      <c r="P17" s="20"/>
      <c r="Q17" s="20"/>
      <c r="R17" s="20"/>
      <c r="S17" s="20"/>
    </row>
    <row r="18" spans="1:19" x14ac:dyDescent="0.2">
      <c r="A18" s="20"/>
      <c r="B18" s="20"/>
      <c r="C18" s="20"/>
      <c r="D18" s="20"/>
      <c r="E18" s="20"/>
      <c r="F18" s="20"/>
      <c r="G18" s="20"/>
      <c r="H18" s="20"/>
      <c r="I18" s="20"/>
      <c r="J18" s="20"/>
      <c r="K18" s="20"/>
      <c r="L18" s="20"/>
      <c r="M18" s="20"/>
      <c r="N18" s="20"/>
      <c r="O18" s="20"/>
      <c r="P18" s="20"/>
      <c r="Q18" s="20"/>
      <c r="R18" s="20"/>
      <c r="S18" s="20"/>
    </row>
    <row r="19" spans="1:19" x14ac:dyDescent="0.2">
      <c r="A19" s="20"/>
      <c r="B19" s="20"/>
      <c r="C19" s="20"/>
      <c r="D19" s="20"/>
      <c r="E19" s="20"/>
      <c r="F19" s="20"/>
      <c r="G19" s="20"/>
      <c r="H19" s="20"/>
      <c r="I19" s="20"/>
      <c r="J19" s="20"/>
      <c r="K19" s="20"/>
      <c r="L19" s="20"/>
      <c r="M19" s="20"/>
      <c r="N19" s="20"/>
      <c r="O19" s="20"/>
      <c r="P19" s="20"/>
      <c r="Q19" s="20"/>
      <c r="R19" s="20"/>
      <c r="S19" s="20"/>
    </row>
    <row r="20" spans="1:19" x14ac:dyDescent="0.2">
      <c r="A20" s="20"/>
      <c r="B20" s="20"/>
      <c r="C20" s="20"/>
      <c r="D20" s="20"/>
      <c r="E20" s="20"/>
      <c r="F20" s="20"/>
      <c r="G20" s="20"/>
      <c r="H20" s="20"/>
      <c r="I20" s="20"/>
      <c r="J20" s="20"/>
      <c r="K20" s="20"/>
      <c r="L20" s="20"/>
      <c r="M20" s="20"/>
      <c r="N20" s="20"/>
      <c r="O20" s="20"/>
      <c r="P20" s="20"/>
      <c r="Q20" s="20"/>
      <c r="R20" s="20"/>
      <c r="S20" s="20"/>
    </row>
    <row r="56" spans="3:4" x14ac:dyDescent="0.2">
      <c r="C56" s="66"/>
    </row>
    <row r="57" spans="3:4" x14ac:dyDescent="0.2">
      <c r="C57" s="66"/>
      <c r="D57" s="66"/>
    </row>
    <row r="61" spans="3:4" x14ac:dyDescent="0.2">
      <c r="D61" s="66"/>
    </row>
  </sheetData>
  <mergeCells count="1">
    <mergeCell ref="A1:S1"/>
  </mergeCells>
  <pageMargins left="0.7" right="0.7" top="0.75" bottom="0.75" header="0.3" footer="0.3"/>
  <pageSetup orientation="portrait" horizontalDpi="1200" verticalDpi="1200" r:id="rId1"/>
  <legacyDrawing r:id="rId2"/>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88CB3E-FF0F-4739-B230-E3420FB74DAC}">
  <sheetPr codeName="Sheet30"/>
  <dimension ref="A1:EB95"/>
  <sheetViews>
    <sheetView workbookViewId="0">
      <selection activeCell="B3" sqref="B3"/>
    </sheetView>
  </sheetViews>
  <sheetFormatPr defaultRowHeight="12.75" x14ac:dyDescent="0.2"/>
  <cols>
    <col min="1" max="1" width="7.42578125" style="65" bestFit="1" customWidth="1"/>
    <col min="2" max="2" width="10.7109375" style="65" bestFit="1" customWidth="1"/>
    <col min="3" max="3" width="12.42578125" style="65" bestFit="1" customWidth="1"/>
    <col min="4" max="4" width="16.140625" style="65" bestFit="1" customWidth="1"/>
    <col min="5" max="8" width="12" style="65" customWidth="1"/>
    <col min="9" max="9" width="18.28515625" style="65" bestFit="1" customWidth="1"/>
    <col min="10" max="10" width="20" style="65" bestFit="1" customWidth="1"/>
    <col min="11" max="11" width="11" style="65" bestFit="1" customWidth="1"/>
    <col min="12" max="12" width="10" style="65" bestFit="1" customWidth="1"/>
    <col min="13" max="13" width="11.42578125" style="65" bestFit="1" customWidth="1"/>
    <col min="14" max="14" width="10.7109375" style="65" bestFit="1" customWidth="1"/>
    <col min="15" max="15" width="8.140625" style="65" bestFit="1" customWidth="1"/>
    <col min="16" max="16" width="9" style="65" bestFit="1" customWidth="1"/>
    <col min="17" max="17" width="9" style="65" customWidth="1"/>
    <col min="18" max="18" width="12.42578125" style="65" bestFit="1" customWidth="1"/>
    <col min="19" max="20" width="11.140625" style="65" customWidth="1"/>
    <col min="21" max="21" width="7.42578125" style="65" customWidth="1"/>
    <col min="22" max="23" width="3.7109375" style="65" bestFit="1" customWidth="1"/>
    <col min="24" max="24" width="13.7109375" style="65" bestFit="1" customWidth="1"/>
    <col min="25" max="25" width="8.7109375" style="65" bestFit="1" customWidth="1"/>
    <col min="26" max="26" width="9.5703125" style="65" bestFit="1" customWidth="1"/>
    <col min="27" max="27" width="19" style="65" bestFit="1" customWidth="1"/>
    <col min="28" max="28" width="23.28515625" style="65" bestFit="1" customWidth="1"/>
    <col min="29" max="29" width="23.5703125" style="65" bestFit="1" customWidth="1"/>
    <col min="30" max="30" width="23.42578125" style="65" bestFit="1" customWidth="1"/>
    <col min="31" max="31" width="10.85546875" style="65" bestFit="1" customWidth="1"/>
    <col min="32" max="32" width="15.85546875" style="65" bestFit="1" customWidth="1"/>
    <col min="33" max="33" width="15.7109375" style="65" bestFit="1" customWidth="1"/>
    <col min="34" max="34" width="13" style="65" bestFit="1" customWidth="1"/>
    <col min="35" max="35" width="16" style="65" bestFit="1" customWidth="1"/>
    <col min="36" max="36" width="17.7109375" style="65" bestFit="1" customWidth="1"/>
    <col min="37" max="37" width="25.42578125" style="65" bestFit="1" customWidth="1"/>
    <col min="38" max="38" width="14.5703125" style="65" bestFit="1" customWidth="1"/>
    <col min="39" max="39" width="18.7109375" style="65" bestFit="1" customWidth="1"/>
    <col min="40" max="40" width="20.28515625" style="65" bestFit="1" customWidth="1"/>
    <col min="41" max="41" width="21.140625" style="65" bestFit="1" customWidth="1"/>
    <col min="42" max="42" width="21" style="65" bestFit="1" customWidth="1"/>
    <col min="43" max="44" width="23.28515625" style="65" bestFit="1" customWidth="1"/>
    <col min="45" max="45" width="18" style="65" bestFit="1" customWidth="1"/>
    <col min="46" max="46" width="19.5703125" style="65" bestFit="1" customWidth="1"/>
    <col min="47" max="48" width="22.5703125" style="65" bestFit="1" customWidth="1"/>
    <col min="49" max="49" width="30.5703125" style="65" bestFit="1" customWidth="1"/>
    <col min="50" max="50" width="18.85546875" style="65" bestFit="1" customWidth="1"/>
    <col min="51" max="51" width="23.140625" style="65" bestFit="1" customWidth="1"/>
    <col min="52" max="52" width="23.42578125" style="65" bestFit="1" customWidth="1"/>
    <col min="53" max="53" width="23.28515625" style="65" bestFit="1" customWidth="1"/>
    <col min="54" max="54" width="10.7109375" style="65" bestFit="1" customWidth="1"/>
    <col min="55" max="55" width="15.7109375" style="65" bestFit="1" customWidth="1"/>
    <col min="56" max="56" width="15.5703125" style="65" bestFit="1" customWidth="1"/>
    <col min="57" max="57" width="12.85546875" style="65" bestFit="1" customWidth="1"/>
    <col min="58" max="58" width="15.85546875" style="65" bestFit="1" customWidth="1"/>
    <col min="59" max="59" width="17.5703125" style="65" bestFit="1" customWidth="1"/>
    <col min="60" max="60" width="25.28515625" style="65" bestFit="1" customWidth="1"/>
    <col min="61" max="61" width="14.42578125" style="65" bestFit="1" customWidth="1"/>
    <col min="62" max="62" width="18.5703125" style="65" bestFit="1" customWidth="1"/>
    <col min="63" max="63" width="20.140625" style="65" bestFit="1" customWidth="1"/>
    <col min="64" max="64" width="21" style="65" bestFit="1" customWidth="1"/>
    <col min="65" max="65" width="20.85546875" style="65" bestFit="1" customWidth="1"/>
    <col min="66" max="67" width="23.140625" style="65" bestFit="1" customWidth="1"/>
    <col min="68" max="68" width="17.85546875" style="65" bestFit="1" customWidth="1"/>
    <col min="69" max="69" width="19.42578125" style="65" bestFit="1" customWidth="1"/>
    <col min="70" max="71" width="22.42578125" style="65" bestFit="1" customWidth="1"/>
    <col min="72" max="72" width="19.28515625" style="65" bestFit="1" customWidth="1"/>
    <col min="73" max="73" width="15.42578125" style="65" bestFit="1" customWidth="1"/>
    <col min="74" max="74" width="15.28515625" style="65" bestFit="1" customWidth="1"/>
    <col min="75" max="76" width="14.5703125" style="65" bestFit="1" customWidth="1"/>
    <col min="77" max="77" width="15.5703125" style="65" bestFit="1" customWidth="1"/>
    <col min="78" max="78" width="17.7109375" style="65" bestFit="1" customWidth="1"/>
    <col min="79" max="79" width="11.7109375" style="65" bestFit="1" customWidth="1"/>
    <col min="80" max="80" width="19.85546875" style="65" bestFit="1" customWidth="1"/>
    <col min="81" max="81" width="19.7109375" style="65" bestFit="1" customWidth="1"/>
    <col min="82" max="82" width="34.85546875" style="65" bestFit="1" customWidth="1"/>
    <col min="83" max="83" width="32.7109375" style="65" bestFit="1" customWidth="1"/>
    <col min="84" max="84" width="34.7109375" style="65" bestFit="1" customWidth="1"/>
    <col min="85" max="85" width="32.5703125" style="65" bestFit="1" customWidth="1"/>
    <col min="86" max="86" width="34.28515625" style="65" bestFit="1" customWidth="1"/>
    <col min="87" max="87" width="32.140625" style="65" bestFit="1" customWidth="1"/>
    <col min="88" max="88" width="34.140625" style="65" bestFit="1" customWidth="1"/>
    <col min="89" max="89" width="32" style="65" bestFit="1" customWidth="1"/>
    <col min="90" max="90" width="19.85546875" style="65" bestFit="1" customWidth="1"/>
    <col min="91" max="91" width="19.140625" style="65" bestFit="1" customWidth="1"/>
    <col min="92" max="92" width="19.7109375" style="65" bestFit="1" customWidth="1"/>
    <col min="93" max="93" width="19" style="65" bestFit="1" customWidth="1"/>
    <col min="94" max="95" width="15" style="65" bestFit="1" customWidth="1"/>
    <col min="96" max="96" width="16" style="65" bestFit="1" customWidth="1"/>
    <col min="97" max="97" width="18.140625" style="65" bestFit="1" customWidth="1"/>
    <col min="98" max="98" width="12.140625" style="65" bestFit="1" customWidth="1"/>
    <col min="99" max="99" width="20.28515625" style="65" bestFit="1" customWidth="1"/>
    <col min="100" max="100" width="20.140625" style="65" bestFit="1" customWidth="1"/>
    <col min="101" max="101" width="35.28515625" style="65" bestFit="1" customWidth="1"/>
    <col min="102" max="102" width="33.140625" style="65" bestFit="1" customWidth="1"/>
    <col min="103" max="103" width="35.140625" style="65" bestFit="1" customWidth="1"/>
    <col min="104" max="104" width="33" style="65" bestFit="1" customWidth="1"/>
    <col min="105" max="105" width="34.7109375" style="65" bestFit="1" customWidth="1"/>
    <col min="106" max="106" width="32.5703125" style="65" bestFit="1" customWidth="1"/>
    <col min="107" max="107" width="34.5703125" style="65" bestFit="1" customWidth="1"/>
    <col min="108" max="108" width="32.42578125" style="65" bestFit="1" customWidth="1"/>
    <col min="109" max="109" width="20.28515625" style="65" bestFit="1" customWidth="1"/>
    <col min="110" max="110" width="19.5703125" style="65" bestFit="1" customWidth="1"/>
    <col min="111" max="111" width="20.140625" style="65" bestFit="1" customWidth="1"/>
    <col min="112" max="112" width="19.42578125" style="65" bestFit="1" customWidth="1"/>
    <col min="113" max="114" width="15" style="65" bestFit="1" customWidth="1"/>
    <col min="115" max="115" width="16" style="65" bestFit="1" customWidth="1"/>
    <col min="116" max="116" width="18.140625" style="65" bestFit="1" customWidth="1"/>
    <col min="117" max="117" width="12.140625" style="65" bestFit="1" customWidth="1"/>
    <col min="118" max="118" width="20.28515625" style="65" bestFit="1" customWidth="1"/>
    <col min="119" max="119" width="20.140625" style="65" bestFit="1" customWidth="1"/>
    <col min="120" max="120" width="35.28515625" style="65" bestFit="1" customWidth="1"/>
    <col min="121" max="121" width="33.140625" style="65" bestFit="1" customWidth="1"/>
    <col min="122" max="122" width="35.140625" style="65" bestFit="1" customWidth="1"/>
    <col min="123" max="123" width="33" style="65" bestFit="1" customWidth="1"/>
    <col min="124" max="124" width="34.7109375" style="65" bestFit="1" customWidth="1"/>
    <col min="125" max="125" width="32.5703125" style="65" bestFit="1" customWidth="1"/>
    <col min="126" max="126" width="34.5703125" style="65" bestFit="1" customWidth="1"/>
    <col min="127" max="127" width="32.42578125" style="65" bestFit="1" customWidth="1"/>
    <col min="128" max="128" width="20.28515625" style="65" bestFit="1" customWidth="1"/>
    <col min="129" max="129" width="19.5703125" style="65" bestFit="1" customWidth="1"/>
    <col min="130" max="130" width="20.140625" style="65" bestFit="1" customWidth="1"/>
    <col min="131" max="131" width="19.42578125" style="65" bestFit="1" customWidth="1"/>
    <col min="132" max="132" width="10.5703125" style="65" bestFit="1" customWidth="1"/>
    <col min="133" max="16384" width="9.140625" style="65"/>
  </cols>
  <sheetData>
    <row r="1" spans="1:132" x14ac:dyDescent="0.2">
      <c r="A1" s="955" t="s">
        <v>1305</v>
      </c>
      <c r="B1" s="956"/>
      <c r="C1" s="956"/>
      <c r="D1" s="956"/>
      <c r="E1" s="956"/>
      <c r="F1" s="956"/>
      <c r="G1" s="956"/>
      <c r="H1" s="956"/>
      <c r="I1" s="956"/>
      <c r="J1" s="956"/>
      <c r="K1" s="956"/>
      <c r="L1" s="956"/>
      <c r="M1" s="956"/>
      <c r="N1" s="956"/>
      <c r="O1" s="956"/>
      <c r="P1" s="956"/>
      <c r="Q1" s="956"/>
      <c r="R1" s="956"/>
      <c r="S1" s="956"/>
      <c r="T1" s="956"/>
      <c r="U1" s="956"/>
      <c r="V1" s="956"/>
      <c r="W1" s="956"/>
      <c r="X1" s="956"/>
      <c r="Y1" s="956"/>
      <c r="Z1" s="956"/>
      <c r="AA1" s="956"/>
      <c r="AB1" s="956"/>
      <c r="AC1" s="956"/>
      <c r="AD1" s="956"/>
      <c r="AE1" s="956"/>
      <c r="AF1" s="956"/>
      <c r="AG1" s="956"/>
      <c r="AH1" s="956"/>
      <c r="AI1" s="956"/>
      <c r="AJ1" s="956"/>
      <c r="AK1" s="956"/>
      <c r="AL1" s="956"/>
      <c r="AM1" s="956"/>
      <c r="AN1" s="956"/>
      <c r="AO1" s="956"/>
      <c r="AP1" s="956"/>
      <c r="AQ1" s="956"/>
      <c r="AR1" s="956"/>
      <c r="AS1" s="956"/>
      <c r="AT1" s="956"/>
      <c r="AU1" s="956"/>
      <c r="AV1" s="956"/>
      <c r="AW1" s="956"/>
      <c r="AX1" s="956"/>
      <c r="AY1" s="956"/>
      <c r="AZ1" s="956"/>
      <c r="BA1" s="956"/>
      <c r="BB1" s="956"/>
      <c r="BC1" s="956"/>
      <c r="BD1" s="956"/>
      <c r="BE1" s="956"/>
      <c r="BF1" s="956"/>
      <c r="BG1" s="956"/>
      <c r="BH1" s="956"/>
      <c r="BI1" s="956"/>
      <c r="BJ1" s="956"/>
      <c r="BK1" s="956"/>
      <c r="BL1" s="956"/>
      <c r="BM1" s="956"/>
      <c r="BN1" s="956"/>
      <c r="BO1" s="956"/>
      <c r="BP1" s="956"/>
      <c r="BQ1" s="956"/>
      <c r="BR1" s="956"/>
      <c r="BS1" s="956"/>
      <c r="BT1" s="956"/>
      <c r="BU1" s="956"/>
      <c r="BV1" s="956"/>
      <c r="BW1" s="956"/>
      <c r="BX1" s="956"/>
      <c r="BY1" s="956"/>
      <c r="BZ1" s="956"/>
      <c r="CA1" s="956"/>
      <c r="CB1" s="956"/>
      <c r="CC1" s="956"/>
      <c r="CD1" s="956"/>
      <c r="CE1" s="956"/>
      <c r="CF1" s="956"/>
      <c r="CG1" s="956"/>
      <c r="CH1" s="956"/>
      <c r="CI1" s="956"/>
      <c r="CJ1" s="956"/>
      <c r="CK1" s="956"/>
      <c r="CL1" s="956"/>
      <c r="CM1" s="956"/>
      <c r="CN1" s="956"/>
      <c r="CO1" s="956"/>
      <c r="CP1" s="956"/>
      <c r="CQ1" s="956"/>
      <c r="CR1" s="956"/>
      <c r="CS1" s="956"/>
      <c r="CT1" s="956"/>
      <c r="CU1" s="956"/>
      <c r="CV1" s="956"/>
      <c r="CW1" s="956"/>
      <c r="CX1" s="956"/>
      <c r="CY1" s="956"/>
      <c r="CZ1" s="956"/>
      <c r="DA1" s="956"/>
      <c r="DB1" s="956"/>
      <c r="DC1" s="956"/>
      <c r="DD1" s="956"/>
      <c r="DE1" s="956"/>
      <c r="DF1" s="956"/>
      <c r="DG1" s="956"/>
      <c r="DH1" s="956"/>
      <c r="DI1" s="956"/>
      <c r="DJ1" s="956"/>
      <c r="DK1" s="956"/>
      <c r="DL1" s="956"/>
      <c r="DM1" s="956"/>
      <c r="DN1" s="956"/>
      <c r="DO1" s="956"/>
      <c r="DP1" s="956"/>
      <c r="DQ1" s="956"/>
      <c r="DR1" s="956"/>
      <c r="DS1" s="956"/>
      <c r="DT1" s="956"/>
      <c r="DU1" s="956"/>
      <c r="DV1" s="956"/>
      <c r="DW1" s="956"/>
      <c r="DX1" s="956"/>
      <c r="DY1" s="956"/>
      <c r="DZ1" s="956"/>
      <c r="EA1" s="956"/>
      <c r="EB1" s="956"/>
    </row>
    <row r="2" spans="1:132" x14ac:dyDescent="0.2">
      <c r="A2" s="593" t="s">
        <v>1276</v>
      </c>
      <c r="B2" s="593" t="s">
        <v>638</v>
      </c>
      <c r="C2" s="613" t="s">
        <v>1247</v>
      </c>
      <c r="D2" s="582" t="s">
        <v>1073</v>
      </c>
      <c r="E2" s="582" t="s">
        <v>1074</v>
      </c>
      <c r="F2" s="582" t="s">
        <v>351</v>
      </c>
      <c r="G2" s="582" t="s">
        <v>352</v>
      </c>
      <c r="H2" s="582" t="s">
        <v>1075</v>
      </c>
      <c r="I2" s="582" t="s">
        <v>1076</v>
      </c>
      <c r="J2" s="582" t="s">
        <v>1077</v>
      </c>
      <c r="K2" s="582" t="s">
        <v>1078</v>
      </c>
      <c r="L2" s="582" t="s">
        <v>1079</v>
      </c>
      <c r="M2" s="582" t="s">
        <v>1080</v>
      </c>
      <c r="N2" s="582" t="s">
        <v>1081</v>
      </c>
      <c r="O2" s="582" t="s">
        <v>48</v>
      </c>
      <c r="P2" s="582" t="s">
        <v>1082</v>
      </c>
      <c r="Q2" s="593" t="s">
        <v>1216</v>
      </c>
      <c r="R2" s="613" t="s">
        <v>1244</v>
      </c>
      <c r="S2" s="582" t="s">
        <v>1083</v>
      </c>
      <c r="T2" s="582" t="s">
        <v>1084</v>
      </c>
      <c r="U2" s="582" t="s">
        <v>51</v>
      </c>
      <c r="V2" s="582" t="s">
        <v>1085</v>
      </c>
      <c r="W2" s="582" t="s">
        <v>1086</v>
      </c>
      <c r="X2" s="582" t="s">
        <v>1087</v>
      </c>
      <c r="Y2" s="582" t="s">
        <v>1088</v>
      </c>
      <c r="Z2" s="582" t="s">
        <v>1089</v>
      </c>
      <c r="AA2" s="582" t="s">
        <v>1090</v>
      </c>
      <c r="AB2" s="582" t="s">
        <v>1091</v>
      </c>
      <c r="AC2" s="582" t="s">
        <v>1092</v>
      </c>
      <c r="AD2" s="582" t="s">
        <v>1093</v>
      </c>
      <c r="AE2" s="593" t="s">
        <v>1288</v>
      </c>
      <c r="AF2" s="613" t="s">
        <v>1248</v>
      </c>
      <c r="AG2" s="582" t="s">
        <v>1094</v>
      </c>
      <c r="AH2" s="582" t="s">
        <v>1095</v>
      </c>
      <c r="AI2" s="582" t="s">
        <v>1096</v>
      </c>
      <c r="AJ2" s="582" t="s">
        <v>1097</v>
      </c>
      <c r="AK2" s="582" t="s">
        <v>1098</v>
      </c>
      <c r="AL2" s="582" t="s">
        <v>1099</v>
      </c>
      <c r="AM2" s="582" t="s">
        <v>1100</v>
      </c>
      <c r="AN2" s="582" t="s">
        <v>1101</v>
      </c>
      <c r="AO2" s="582" t="s">
        <v>1102</v>
      </c>
      <c r="AP2" s="582" t="s">
        <v>1103</v>
      </c>
      <c r="AQ2" s="582" t="s">
        <v>1104</v>
      </c>
      <c r="AR2" s="582" t="s">
        <v>1105</v>
      </c>
      <c r="AS2" s="582" t="s">
        <v>1106</v>
      </c>
      <c r="AT2" s="582" t="s">
        <v>1107</v>
      </c>
      <c r="AU2" s="582" t="s">
        <v>1108</v>
      </c>
      <c r="AV2" s="582" t="s">
        <v>1109</v>
      </c>
      <c r="AW2" s="582" t="s">
        <v>1110</v>
      </c>
      <c r="AX2" s="582" t="s">
        <v>1111</v>
      </c>
      <c r="AY2" s="582" t="s">
        <v>1112</v>
      </c>
      <c r="AZ2" s="582" t="s">
        <v>1113</v>
      </c>
      <c r="BA2" s="582" t="s">
        <v>1114</v>
      </c>
      <c r="BB2" s="593" t="s">
        <v>1289</v>
      </c>
      <c r="BC2" s="613" t="s">
        <v>1249</v>
      </c>
      <c r="BD2" s="582" t="s">
        <v>1115</v>
      </c>
      <c r="BE2" s="582" t="s">
        <v>1116</v>
      </c>
      <c r="BF2" s="582" t="s">
        <v>1117</v>
      </c>
      <c r="BG2" s="582" t="s">
        <v>1118</v>
      </c>
      <c r="BH2" s="582" t="s">
        <v>1119</v>
      </c>
      <c r="BI2" s="582" t="s">
        <v>1120</v>
      </c>
      <c r="BJ2" s="582" t="s">
        <v>1121</v>
      </c>
      <c r="BK2" s="582" t="s">
        <v>1122</v>
      </c>
      <c r="BL2" s="582" t="s">
        <v>1123</v>
      </c>
      <c r="BM2" s="582" t="s">
        <v>1124</v>
      </c>
      <c r="BN2" s="582" t="s">
        <v>1125</v>
      </c>
      <c r="BO2" s="582" t="s">
        <v>1126</v>
      </c>
      <c r="BP2" s="582" t="s">
        <v>1127</v>
      </c>
      <c r="BQ2" s="582" t="s">
        <v>1128</v>
      </c>
      <c r="BR2" s="582" t="s">
        <v>1129</v>
      </c>
      <c r="BS2" s="582" t="s">
        <v>1130</v>
      </c>
      <c r="BT2" s="582" t="s">
        <v>1131</v>
      </c>
      <c r="BU2" s="582" t="s">
        <v>1132</v>
      </c>
      <c r="BV2" s="582" t="s">
        <v>1133</v>
      </c>
      <c r="BW2" s="582" t="s">
        <v>1134</v>
      </c>
      <c r="BX2" s="582" t="s">
        <v>1135</v>
      </c>
      <c r="BY2" s="582" t="s">
        <v>1136</v>
      </c>
      <c r="BZ2" s="582" t="s">
        <v>1137</v>
      </c>
      <c r="CA2" s="582" t="s">
        <v>1138</v>
      </c>
      <c r="CB2" s="582" t="s">
        <v>1139</v>
      </c>
      <c r="CC2" s="582" t="s">
        <v>1140</v>
      </c>
      <c r="CD2" s="582" t="s">
        <v>1141</v>
      </c>
      <c r="CE2" s="582" t="s">
        <v>1142</v>
      </c>
      <c r="CF2" s="582" t="s">
        <v>1143</v>
      </c>
      <c r="CG2" s="582" t="s">
        <v>1144</v>
      </c>
      <c r="CH2" s="582" t="s">
        <v>1145</v>
      </c>
      <c r="CI2" s="582" t="s">
        <v>1146</v>
      </c>
      <c r="CJ2" s="582" t="s">
        <v>1147</v>
      </c>
      <c r="CK2" s="582" t="s">
        <v>1148</v>
      </c>
      <c r="CL2" s="582" t="s">
        <v>1149</v>
      </c>
      <c r="CM2" s="582" t="s">
        <v>1150</v>
      </c>
      <c r="CN2" s="582" t="s">
        <v>1151</v>
      </c>
      <c r="CO2" s="582" t="s">
        <v>1152</v>
      </c>
      <c r="CP2" s="582" t="s">
        <v>1153</v>
      </c>
      <c r="CQ2" s="582" t="s">
        <v>1154</v>
      </c>
      <c r="CR2" s="582" t="s">
        <v>1155</v>
      </c>
      <c r="CS2" s="582" t="s">
        <v>1156</v>
      </c>
      <c r="CT2" s="582" t="s">
        <v>1157</v>
      </c>
      <c r="CU2" s="582" t="s">
        <v>1158</v>
      </c>
      <c r="CV2" s="582" t="s">
        <v>1159</v>
      </c>
      <c r="CW2" s="582" t="s">
        <v>1160</v>
      </c>
      <c r="CX2" s="582" t="s">
        <v>1161</v>
      </c>
      <c r="CY2" s="582" t="s">
        <v>1162</v>
      </c>
      <c r="CZ2" s="582" t="s">
        <v>1163</v>
      </c>
      <c r="DA2" s="582" t="s">
        <v>1164</v>
      </c>
      <c r="DB2" s="582" t="s">
        <v>1165</v>
      </c>
      <c r="DC2" s="582" t="s">
        <v>1166</v>
      </c>
      <c r="DD2" s="582" t="s">
        <v>1167</v>
      </c>
      <c r="DE2" s="582" t="s">
        <v>1168</v>
      </c>
      <c r="DF2" s="582" t="s">
        <v>1169</v>
      </c>
      <c r="DG2" s="582" t="s">
        <v>1170</v>
      </c>
      <c r="DH2" s="582" t="s">
        <v>1171</v>
      </c>
      <c r="DI2" s="582" t="s">
        <v>1172</v>
      </c>
      <c r="DJ2" s="582" t="s">
        <v>1173</v>
      </c>
      <c r="DK2" s="582" t="s">
        <v>1174</v>
      </c>
      <c r="DL2" s="582" t="s">
        <v>1175</v>
      </c>
      <c r="DM2" s="582" t="s">
        <v>1176</v>
      </c>
      <c r="DN2" s="582" t="s">
        <v>1177</v>
      </c>
      <c r="DO2" s="582" t="s">
        <v>1178</v>
      </c>
      <c r="DP2" s="582" t="s">
        <v>1179</v>
      </c>
      <c r="DQ2" s="582" t="s">
        <v>1180</v>
      </c>
      <c r="DR2" s="582" t="s">
        <v>1181</v>
      </c>
      <c r="DS2" s="582" t="s">
        <v>1182</v>
      </c>
      <c r="DT2" s="582" t="s">
        <v>1183</v>
      </c>
      <c r="DU2" s="582" t="s">
        <v>1184</v>
      </c>
      <c r="DV2" s="582" t="s">
        <v>1185</v>
      </c>
      <c r="DW2" s="582" t="s">
        <v>1186</v>
      </c>
      <c r="DX2" s="582" t="s">
        <v>1187</v>
      </c>
      <c r="DY2" s="582" t="s">
        <v>1188</v>
      </c>
      <c r="DZ2" s="582" t="s">
        <v>1189</v>
      </c>
      <c r="EA2" s="582" t="s">
        <v>1190</v>
      </c>
      <c r="EB2" s="582" t="s">
        <v>1286</v>
      </c>
    </row>
    <row r="3" spans="1:132" x14ac:dyDescent="0.2">
      <c r="A3" s="20"/>
      <c r="B3" s="20"/>
      <c r="C3" s="20"/>
      <c r="D3" s="20"/>
      <c r="E3" s="20"/>
      <c r="F3" s="20"/>
      <c r="G3" s="20"/>
      <c r="H3" s="20"/>
      <c r="I3" s="20"/>
      <c r="J3" s="20"/>
      <c r="K3" s="20"/>
      <c r="L3" s="20"/>
      <c r="M3" s="20"/>
      <c r="N3" s="20"/>
      <c r="O3" s="20"/>
      <c r="P3" s="20"/>
      <c r="Q3" s="20"/>
      <c r="R3" s="20"/>
      <c r="S3" s="20"/>
      <c r="T3" s="20"/>
      <c r="U3" s="20"/>
      <c r="V3" s="20"/>
      <c r="W3" s="20"/>
      <c r="X3" s="20"/>
      <c r="Y3" s="20"/>
      <c r="Z3" s="20"/>
      <c r="AA3" s="20"/>
      <c r="AB3" s="20"/>
      <c r="AC3" s="20"/>
      <c r="AD3" s="20"/>
      <c r="AE3" s="20"/>
      <c r="AF3" s="20"/>
      <c r="AG3" s="20"/>
      <c r="AH3" s="20"/>
      <c r="AI3" s="20"/>
      <c r="AJ3" s="20"/>
      <c r="AK3" s="20"/>
      <c r="AL3" s="20"/>
      <c r="AM3" s="20"/>
      <c r="AN3" s="20"/>
      <c r="AO3" s="20"/>
      <c r="AP3" s="20"/>
      <c r="AQ3" s="20"/>
      <c r="AR3" s="20"/>
      <c r="AS3" s="20"/>
      <c r="AT3" s="20"/>
      <c r="AU3" s="20"/>
      <c r="AV3" s="20"/>
      <c r="AW3" s="20"/>
      <c r="AX3" s="20"/>
      <c r="AY3" s="20"/>
      <c r="AZ3" s="20"/>
      <c r="BA3" s="20"/>
      <c r="BB3" s="20"/>
      <c r="BC3" s="20"/>
      <c r="BD3" s="20"/>
      <c r="BE3" s="20"/>
      <c r="BF3" s="20"/>
      <c r="BG3" s="20"/>
      <c r="BH3" s="20"/>
      <c r="BI3" s="20"/>
      <c r="BJ3" s="20"/>
      <c r="BK3" s="20"/>
      <c r="BL3" s="20"/>
      <c r="BM3" s="20"/>
      <c r="BN3" s="20"/>
      <c r="BO3" s="20"/>
      <c r="BP3" s="20"/>
      <c r="BQ3" s="20"/>
      <c r="BR3" s="20"/>
      <c r="BS3" s="20"/>
      <c r="BT3" s="20"/>
      <c r="BU3" s="20"/>
      <c r="BV3" s="20"/>
      <c r="BW3" s="20"/>
      <c r="BX3" s="20"/>
      <c r="BY3" s="20"/>
      <c r="BZ3" s="20"/>
      <c r="CA3" s="20"/>
      <c r="CB3" s="20"/>
      <c r="CC3" s="20"/>
      <c r="CD3" s="20"/>
      <c r="CE3" s="20"/>
      <c r="CF3" s="20"/>
      <c r="CG3" s="20"/>
      <c r="CH3" s="20"/>
      <c r="CI3" s="20"/>
      <c r="CJ3" s="20"/>
      <c r="CK3" s="20"/>
      <c r="CL3" s="20"/>
      <c r="CM3" s="20"/>
      <c r="CN3" s="20"/>
      <c r="CO3" s="20"/>
      <c r="CP3" s="20"/>
      <c r="CQ3" s="20"/>
      <c r="CR3" s="20"/>
      <c r="CS3" s="20"/>
      <c r="CT3" s="20"/>
      <c r="CU3" s="20"/>
      <c r="CV3" s="20"/>
      <c r="CW3" s="20"/>
      <c r="CX3" s="20"/>
      <c r="CY3" s="20"/>
      <c r="CZ3" s="20"/>
      <c r="DA3" s="20"/>
      <c r="DB3" s="20"/>
      <c r="DC3" s="20"/>
      <c r="DD3" s="20"/>
      <c r="DE3" s="20"/>
      <c r="DF3" s="20"/>
      <c r="DG3" s="20"/>
      <c r="DH3" s="20"/>
      <c r="DI3" s="20"/>
      <c r="DJ3" s="20"/>
      <c r="DK3" s="20"/>
      <c r="DL3" s="20"/>
      <c r="DM3" s="20"/>
      <c r="DN3" s="20"/>
      <c r="DO3" s="20"/>
      <c r="DP3" s="20"/>
      <c r="DQ3" s="20"/>
      <c r="DR3" s="20"/>
      <c r="DS3" s="20"/>
      <c r="DT3" s="20"/>
      <c r="DU3" s="20"/>
      <c r="DV3" s="20"/>
      <c r="DW3" s="20"/>
      <c r="DX3" s="20"/>
      <c r="DY3" s="20"/>
      <c r="DZ3" s="20"/>
      <c r="EA3" s="20"/>
      <c r="EB3" s="20"/>
    </row>
    <row r="4" spans="1:132" x14ac:dyDescent="0.2">
      <c r="A4" s="20"/>
      <c r="B4" s="20"/>
      <c r="C4" s="20"/>
      <c r="D4" s="20"/>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20"/>
      <c r="AP4" s="20"/>
      <c r="AQ4" s="20"/>
      <c r="AR4" s="20"/>
      <c r="AS4" s="20"/>
      <c r="AT4" s="20"/>
      <c r="AU4" s="20"/>
      <c r="AV4" s="20"/>
      <c r="AW4" s="20"/>
      <c r="AX4" s="20"/>
      <c r="AY4" s="20"/>
      <c r="AZ4" s="20"/>
      <c r="BA4" s="20"/>
      <c r="BB4" s="20"/>
      <c r="BC4" s="20"/>
      <c r="BD4" s="20"/>
      <c r="BE4" s="20"/>
      <c r="BF4" s="20"/>
      <c r="BG4" s="20"/>
      <c r="BH4" s="20"/>
      <c r="BI4" s="20"/>
      <c r="BJ4" s="20"/>
      <c r="BK4" s="20"/>
      <c r="BL4" s="20"/>
      <c r="BM4" s="20"/>
      <c r="BN4" s="20"/>
      <c r="BO4" s="20"/>
      <c r="BP4" s="20"/>
      <c r="BQ4" s="20"/>
      <c r="BR4" s="20"/>
      <c r="BS4" s="20"/>
      <c r="BT4" s="20"/>
      <c r="BU4" s="20"/>
      <c r="BV4" s="20"/>
      <c r="BW4" s="20"/>
      <c r="BX4" s="20"/>
      <c r="BY4" s="20"/>
      <c r="BZ4" s="20"/>
      <c r="CA4" s="20"/>
      <c r="CB4" s="20"/>
      <c r="CC4" s="20"/>
      <c r="CD4" s="20"/>
      <c r="CE4" s="20"/>
      <c r="CF4" s="20"/>
      <c r="CG4" s="20"/>
      <c r="CH4" s="20"/>
      <c r="CI4" s="20"/>
      <c r="CJ4" s="20"/>
      <c r="CK4" s="20"/>
      <c r="CL4" s="20"/>
      <c r="CM4" s="20"/>
      <c r="CN4" s="20"/>
      <c r="CO4" s="20"/>
      <c r="CP4" s="20"/>
      <c r="CQ4" s="20"/>
      <c r="CR4" s="20"/>
      <c r="CS4" s="20"/>
      <c r="CT4" s="20"/>
      <c r="CU4" s="20"/>
      <c r="CV4" s="20"/>
      <c r="CW4" s="20"/>
      <c r="CX4" s="20"/>
      <c r="CY4" s="20"/>
      <c r="CZ4" s="20"/>
      <c r="DA4" s="20"/>
      <c r="DB4" s="20"/>
      <c r="DC4" s="20"/>
      <c r="DD4" s="20"/>
      <c r="DE4" s="20"/>
      <c r="DF4" s="20"/>
      <c r="DG4" s="20"/>
      <c r="DH4" s="20"/>
      <c r="DI4" s="20"/>
      <c r="DJ4" s="20"/>
      <c r="DK4" s="20"/>
      <c r="DL4" s="20"/>
      <c r="DM4" s="20"/>
      <c r="DN4" s="20"/>
      <c r="DO4" s="20"/>
      <c r="DP4" s="20"/>
      <c r="DQ4" s="20"/>
      <c r="DR4" s="20"/>
      <c r="DS4" s="20"/>
      <c r="DT4" s="20"/>
      <c r="DU4" s="20"/>
      <c r="DV4" s="20"/>
      <c r="DW4" s="20"/>
      <c r="DX4" s="20"/>
      <c r="DY4" s="20"/>
      <c r="DZ4" s="20"/>
      <c r="EA4" s="20"/>
      <c r="EB4" s="20"/>
    </row>
    <row r="5" spans="1:132" x14ac:dyDescent="0.2">
      <c r="A5" s="20"/>
      <c r="B5" s="20"/>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c r="AS5" s="20"/>
      <c r="AT5" s="20"/>
      <c r="AU5" s="20"/>
      <c r="AV5" s="20"/>
      <c r="AW5" s="20"/>
      <c r="AX5" s="20"/>
      <c r="AY5" s="20"/>
      <c r="AZ5" s="20"/>
      <c r="BA5" s="20"/>
      <c r="BB5" s="20"/>
      <c r="BC5" s="20"/>
      <c r="BD5" s="20"/>
      <c r="BE5" s="20"/>
      <c r="BF5" s="20"/>
      <c r="BG5" s="20"/>
      <c r="BH5" s="20"/>
      <c r="BI5" s="20"/>
      <c r="BJ5" s="20"/>
      <c r="BK5" s="20"/>
      <c r="BL5" s="20"/>
      <c r="BM5" s="20"/>
      <c r="BN5" s="20"/>
      <c r="BO5" s="20"/>
      <c r="BP5" s="20"/>
      <c r="BQ5" s="20"/>
      <c r="BR5" s="20"/>
      <c r="BS5" s="20"/>
      <c r="BT5" s="20"/>
      <c r="BU5" s="20"/>
      <c r="BV5" s="20"/>
      <c r="BW5" s="20"/>
      <c r="BX5" s="20"/>
      <c r="BY5" s="20"/>
      <c r="BZ5" s="20"/>
      <c r="CA5" s="20"/>
      <c r="CB5" s="20"/>
      <c r="CC5" s="20"/>
      <c r="CD5" s="20"/>
      <c r="CE5" s="20"/>
      <c r="CF5" s="20"/>
      <c r="CG5" s="20"/>
      <c r="CH5" s="20"/>
      <c r="CI5" s="20"/>
      <c r="CJ5" s="20"/>
      <c r="CK5" s="20"/>
      <c r="CL5" s="20"/>
      <c r="CM5" s="20"/>
      <c r="CN5" s="20"/>
      <c r="CO5" s="20"/>
      <c r="CP5" s="20"/>
      <c r="CQ5" s="20"/>
      <c r="CR5" s="20"/>
      <c r="CS5" s="20"/>
      <c r="CT5" s="20"/>
      <c r="CU5" s="20"/>
      <c r="CV5" s="20"/>
      <c r="CW5" s="20"/>
      <c r="CX5" s="20"/>
      <c r="CY5" s="20"/>
      <c r="CZ5" s="20"/>
      <c r="DA5" s="20"/>
      <c r="DB5" s="20"/>
      <c r="DC5" s="20"/>
      <c r="DD5" s="20"/>
      <c r="DE5" s="20"/>
      <c r="DF5" s="20"/>
      <c r="DG5" s="20"/>
      <c r="DH5" s="20"/>
      <c r="DI5" s="20"/>
      <c r="DJ5" s="20"/>
      <c r="DK5" s="20"/>
      <c r="DL5" s="20"/>
      <c r="DM5" s="20"/>
      <c r="DN5" s="20"/>
      <c r="DO5" s="20"/>
      <c r="DP5" s="20"/>
      <c r="DQ5" s="20"/>
      <c r="DR5" s="20"/>
      <c r="DS5" s="20"/>
      <c r="DT5" s="20"/>
      <c r="DU5" s="20"/>
      <c r="DV5" s="20"/>
      <c r="DW5" s="20"/>
      <c r="DX5" s="20"/>
      <c r="DY5" s="20"/>
      <c r="DZ5" s="20"/>
      <c r="EA5" s="20"/>
      <c r="EB5" s="20"/>
    </row>
    <row r="6" spans="1:132" x14ac:dyDescent="0.2">
      <c r="A6" s="20"/>
      <c r="B6" s="20"/>
      <c r="C6" s="20"/>
      <c r="D6" s="20"/>
      <c r="E6" s="20"/>
      <c r="F6" s="20"/>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0"/>
      <c r="AZ6" s="20"/>
      <c r="BA6" s="20"/>
      <c r="BB6" s="20"/>
      <c r="BC6" s="20"/>
      <c r="BD6" s="20"/>
      <c r="BE6" s="20"/>
      <c r="BF6" s="20"/>
      <c r="BG6" s="20"/>
      <c r="BH6" s="20"/>
      <c r="BI6" s="20"/>
      <c r="BJ6" s="20"/>
      <c r="BK6" s="20"/>
      <c r="BL6" s="20"/>
      <c r="BM6" s="20"/>
      <c r="BN6" s="20"/>
      <c r="BO6" s="20"/>
      <c r="BP6" s="20"/>
      <c r="BQ6" s="20"/>
      <c r="BR6" s="20"/>
      <c r="BS6" s="20"/>
      <c r="BT6" s="20"/>
      <c r="BU6" s="20"/>
      <c r="BV6" s="20"/>
      <c r="BW6" s="20"/>
      <c r="BX6" s="20"/>
      <c r="BY6" s="20"/>
      <c r="BZ6" s="20"/>
      <c r="CA6" s="20"/>
      <c r="CB6" s="20"/>
      <c r="CC6" s="20"/>
      <c r="CD6" s="20"/>
      <c r="CE6" s="20"/>
      <c r="CF6" s="20"/>
      <c r="CG6" s="20"/>
      <c r="CH6" s="20"/>
      <c r="CI6" s="20"/>
      <c r="CJ6" s="20"/>
      <c r="CK6" s="20"/>
      <c r="CL6" s="20"/>
      <c r="CM6" s="20"/>
      <c r="CN6" s="20"/>
      <c r="CO6" s="20"/>
      <c r="CP6" s="20"/>
      <c r="CQ6" s="20"/>
      <c r="CR6" s="20"/>
      <c r="CS6" s="20"/>
      <c r="CT6" s="20"/>
      <c r="CU6" s="20"/>
      <c r="CV6" s="20"/>
      <c r="CW6" s="20"/>
      <c r="CX6" s="20"/>
      <c r="CY6" s="20"/>
      <c r="CZ6" s="20"/>
      <c r="DA6" s="20"/>
      <c r="DB6" s="20"/>
      <c r="DC6" s="20"/>
      <c r="DD6" s="20"/>
      <c r="DE6" s="20"/>
      <c r="DF6" s="20"/>
      <c r="DG6" s="20"/>
      <c r="DH6" s="20"/>
      <c r="DI6" s="20"/>
      <c r="DJ6" s="20"/>
      <c r="DK6" s="20"/>
      <c r="DL6" s="20"/>
      <c r="DM6" s="20"/>
      <c r="DN6" s="20"/>
      <c r="DO6" s="20"/>
      <c r="DP6" s="20"/>
      <c r="DQ6" s="20"/>
      <c r="DR6" s="20"/>
      <c r="DS6" s="20"/>
      <c r="DT6" s="20"/>
      <c r="DU6" s="20"/>
      <c r="DV6" s="20"/>
      <c r="DW6" s="20"/>
      <c r="DX6" s="20"/>
      <c r="DY6" s="20"/>
      <c r="DZ6" s="20"/>
      <c r="EA6" s="20"/>
      <c r="EB6" s="20"/>
    </row>
    <row r="7" spans="1:132" x14ac:dyDescent="0.2">
      <c r="A7" s="20"/>
      <c r="B7" s="20"/>
      <c r="C7" s="20"/>
      <c r="D7" s="20"/>
      <c r="E7" s="20"/>
      <c r="F7" s="20"/>
      <c r="G7" s="20"/>
      <c r="H7" s="20"/>
      <c r="I7" s="20"/>
      <c r="J7" s="20"/>
      <c r="K7" s="20"/>
      <c r="L7" s="20"/>
      <c r="M7" s="20"/>
      <c r="N7" s="20"/>
      <c r="O7" s="20"/>
      <c r="P7" s="20"/>
      <c r="Q7" s="20"/>
      <c r="R7" s="20"/>
      <c r="S7" s="20"/>
      <c r="T7" s="20"/>
      <c r="U7" s="20"/>
      <c r="V7" s="20"/>
      <c r="W7" s="20"/>
      <c r="X7" s="20"/>
      <c r="Y7" s="20"/>
      <c r="Z7" s="20"/>
      <c r="AA7" s="20"/>
      <c r="AB7" s="20"/>
      <c r="AC7" s="20"/>
      <c r="AD7" s="20"/>
      <c r="AE7" s="20"/>
      <c r="AF7" s="20"/>
      <c r="AG7" s="20"/>
      <c r="AH7" s="20"/>
      <c r="AI7" s="20"/>
      <c r="AJ7" s="20"/>
      <c r="AK7" s="20"/>
      <c r="AL7" s="20"/>
      <c r="AM7" s="20"/>
      <c r="AN7" s="20"/>
      <c r="AO7" s="20"/>
      <c r="AP7" s="20"/>
      <c r="AQ7" s="20"/>
      <c r="AR7" s="20"/>
      <c r="AS7" s="20"/>
      <c r="AT7" s="20"/>
      <c r="AU7" s="20"/>
      <c r="AV7" s="20"/>
      <c r="AW7" s="20"/>
      <c r="AX7" s="20"/>
      <c r="AY7" s="20"/>
      <c r="AZ7" s="20"/>
      <c r="BA7" s="20"/>
      <c r="BB7" s="20"/>
      <c r="BC7" s="20"/>
      <c r="BD7" s="20"/>
      <c r="BE7" s="20"/>
      <c r="BF7" s="20"/>
      <c r="BG7" s="20"/>
      <c r="BH7" s="20"/>
      <c r="BI7" s="20"/>
      <c r="BJ7" s="20"/>
      <c r="BK7" s="20"/>
      <c r="BL7" s="20"/>
      <c r="BM7" s="20"/>
      <c r="BN7" s="20"/>
      <c r="BO7" s="20"/>
      <c r="BP7" s="20"/>
      <c r="BQ7" s="20"/>
      <c r="BR7" s="20"/>
      <c r="BS7" s="20"/>
      <c r="BT7" s="20"/>
      <c r="BU7" s="20"/>
      <c r="BV7" s="20"/>
      <c r="BW7" s="20"/>
      <c r="BX7" s="20"/>
      <c r="BY7" s="20"/>
      <c r="BZ7" s="20"/>
      <c r="CA7" s="20"/>
      <c r="CB7" s="20"/>
      <c r="CC7" s="20"/>
      <c r="CD7" s="20"/>
      <c r="CE7" s="20"/>
      <c r="CF7" s="20"/>
      <c r="CG7" s="20"/>
      <c r="CH7" s="20"/>
      <c r="CI7" s="20"/>
      <c r="CJ7" s="20"/>
      <c r="CK7" s="20"/>
      <c r="CL7" s="20"/>
      <c r="CM7" s="20"/>
      <c r="CN7" s="20"/>
      <c r="CO7" s="20"/>
      <c r="CP7" s="20"/>
      <c r="CQ7" s="20"/>
      <c r="CR7" s="20"/>
      <c r="CS7" s="20"/>
      <c r="CT7" s="20"/>
      <c r="CU7" s="20"/>
      <c r="CV7" s="20"/>
      <c r="CW7" s="20"/>
      <c r="CX7" s="20"/>
      <c r="CY7" s="20"/>
      <c r="CZ7" s="20"/>
      <c r="DA7" s="20"/>
      <c r="DB7" s="20"/>
      <c r="DC7" s="20"/>
      <c r="DD7" s="20"/>
      <c r="DE7" s="20"/>
      <c r="DF7" s="20"/>
      <c r="DG7" s="20"/>
      <c r="DH7" s="20"/>
      <c r="DI7" s="20"/>
      <c r="DJ7" s="20"/>
      <c r="DK7" s="20"/>
      <c r="DL7" s="20"/>
      <c r="DM7" s="20"/>
      <c r="DN7" s="20"/>
      <c r="DO7" s="20"/>
      <c r="DP7" s="20"/>
      <c r="DQ7" s="20"/>
      <c r="DR7" s="20"/>
      <c r="DS7" s="20"/>
      <c r="DT7" s="20"/>
      <c r="DU7" s="20"/>
      <c r="DV7" s="20"/>
      <c r="DW7" s="20"/>
      <c r="DX7" s="20"/>
      <c r="DY7" s="20"/>
      <c r="DZ7" s="20"/>
      <c r="EA7" s="20"/>
      <c r="EB7" s="20"/>
    </row>
    <row r="8" spans="1:132" x14ac:dyDescent="0.2">
      <c r="A8" s="20"/>
      <c r="B8" s="20"/>
      <c r="C8" s="20"/>
      <c r="D8" s="20"/>
      <c r="E8" s="20"/>
      <c r="F8" s="20"/>
      <c r="G8" s="20"/>
      <c r="H8" s="20"/>
      <c r="I8" s="20"/>
      <c r="J8" s="20"/>
      <c r="K8" s="20"/>
      <c r="L8" s="20"/>
      <c r="M8" s="20"/>
      <c r="N8" s="20"/>
      <c r="O8" s="20"/>
      <c r="P8" s="20"/>
      <c r="Q8" s="20"/>
      <c r="R8" s="20"/>
      <c r="S8" s="20"/>
      <c r="T8" s="20"/>
      <c r="U8" s="20"/>
      <c r="V8" s="20"/>
      <c r="W8" s="20"/>
      <c r="X8" s="20"/>
      <c r="Y8" s="20"/>
      <c r="Z8" s="20"/>
      <c r="AA8" s="20"/>
      <c r="AB8" s="20"/>
      <c r="AC8" s="20"/>
      <c r="AD8" s="20"/>
      <c r="AE8" s="20"/>
      <c r="AF8" s="20"/>
      <c r="AG8" s="20"/>
      <c r="AH8" s="20"/>
      <c r="AI8" s="20"/>
      <c r="AJ8" s="20"/>
      <c r="AK8" s="20"/>
      <c r="AL8" s="20"/>
      <c r="AM8" s="20"/>
      <c r="AN8" s="20"/>
      <c r="AO8" s="20"/>
      <c r="AP8" s="20"/>
      <c r="AQ8" s="20"/>
      <c r="AR8" s="20"/>
      <c r="AS8" s="20"/>
      <c r="AT8" s="20"/>
      <c r="AU8" s="20"/>
      <c r="AV8" s="20"/>
      <c r="AW8" s="20"/>
      <c r="AX8" s="20"/>
      <c r="AY8" s="20"/>
      <c r="AZ8" s="20"/>
      <c r="BA8" s="20"/>
      <c r="BB8" s="20"/>
      <c r="BC8" s="20"/>
      <c r="BD8" s="20"/>
      <c r="BE8" s="20"/>
      <c r="BF8" s="20"/>
      <c r="BG8" s="20"/>
      <c r="BH8" s="20"/>
      <c r="BI8" s="20"/>
      <c r="BJ8" s="20"/>
      <c r="BK8" s="20"/>
      <c r="BL8" s="20"/>
      <c r="BM8" s="20"/>
      <c r="BN8" s="20"/>
      <c r="BO8" s="20"/>
      <c r="BP8" s="20"/>
      <c r="BQ8" s="20"/>
      <c r="BR8" s="20"/>
      <c r="BS8" s="20"/>
      <c r="BT8" s="20"/>
      <c r="BU8" s="20"/>
      <c r="BV8" s="20"/>
      <c r="BW8" s="20"/>
      <c r="BX8" s="20"/>
      <c r="BY8" s="20"/>
      <c r="BZ8" s="20"/>
      <c r="CA8" s="20"/>
      <c r="CB8" s="20"/>
      <c r="CC8" s="20"/>
      <c r="CD8" s="20"/>
      <c r="CE8" s="20"/>
      <c r="CF8" s="20"/>
      <c r="CG8" s="20"/>
      <c r="CH8" s="20"/>
      <c r="CI8" s="20"/>
      <c r="CJ8" s="20"/>
      <c r="CK8" s="20"/>
      <c r="CL8" s="20"/>
      <c r="CM8" s="20"/>
      <c r="CN8" s="20"/>
      <c r="CO8" s="20"/>
      <c r="CP8" s="20"/>
      <c r="CQ8" s="20"/>
      <c r="CR8" s="20"/>
      <c r="CS8" s="20"/>
      <c r="CT8" s="20"/>
      <c r="CU8" s="20"/>
      <c r="CV8" s="20"/>
      <c r="CW8" s="20"/>
      <c r="CX8" s="20"/>
      <c r="CY8" s="20"/>
      <c r="CZ8" s="20"/>
      <c r="DA8" s="20"/>
      <c r="DB8" s="20"/>
      <c r="DC8" s="20"/>
      <c r="DD8" s="20"/>
      <c r="DE8" s="20"/>
      <c r="DF8" s="20"/>
      <c r="DG8" s="20"/>
      <c r="DH8" s="20"/>
      <c r="DI8" s="20"/>
      <c r="DJ8" s="20"/>
      <c r="DK8" s="20"/>
      <c r="DL8" s="20"/>
      <c r="DM8" s="20"/>
      <c r="DN8" s="20"/>
      <c r="DO8" s="20"/>
      <c r="DP8" s="20"/>
      <c r="DQ8" s="20"/>
      <c r="DR8" s="20"/>
      <c r="DS8" s="20"/>
      <c r="DT8" s="20"/>
      <c r="DU8" s="20"/>
      <c r="DV8" s="20"/>
      <c r="DW8" s="20"/>
      <c r="DX8" s="20"/>
      <c r="DY8" s="20"/>
      <c r="DZ8" s="20"/>
      <c r="EA8" s="20"/>
      <c r="EB8" s="20"/>
    </row>
    <row r="9" spans="1:132" x14ac:dyDescent="0.2">
      <c r="A9" s="20"/>
      <c r="B9" s="20"/>
      <c r="C9" s="20"/>
      <c r="D9" s="20"/>
      <c r="E9" s="20"/>
      <c r="F9" s="20"/>
      <c r="G9" s="20"/>
      <c r="H9" s="20"/>
      <c r="I9" s="20"/>
      <c r="J9" s="20"/>
      <c r="K9" s="20"/>
      <c r="L9" s="20"/>
      <c r="M9" s="20"/>
      <c r="N9" s="20"/>
      <c r="O9" s="20"/>
      <c r="P9" s="20"/>
      <c r="Q9" s="20"/>
      <c r="R9" s="20"/>
      <c r="S9" s="20"/>
      <c r="T9" s="20"/>
      <c r="U9" s="20"/>
      <c r="V9" s="20"/>
      <c r="W9" s="20"/>
      <c r="X9" s="20"/>
      <c r="Y9" s="20"/>
      <c r="Z9" s="20"/>
      <c r="AA9" s="20"/>
      <c r="AB9" s="20"/>
      <c r="AC9" s="20"/>
      <c r="AD9" s="20"/>
      <c r="AE9" s="20"/>
      <c r="AF9" s="20"/>
      <c r="AG9" s="20"/>
      <c r="AH9" s="20"/>
      <c r="AI9" s="20"/>
      <c r="AJ9" s="20"/>
      <c r="AK9" s="20"/>
      <c r="AL9" s="20"/>
      <c r="AM9" s="20"/>
      <c r="AN9" s="20"/>
      <c r="AO9" s="20"/>
      <c r="AP9" s="20"/>
      <c r="AQ9" s="20"/>
      <c r="AR9" s="20"/>
      <c r="AS9" s="20"/>
      <c r="AT9" s="20"/>
      <c r="AU9" s="20"/>
      <c r="AV9" s="20"/>
      <c r="AW9" s="20"/>
      <c r="AX9" s="20"/>
      <c r="AY9" s="20"/>
      <c r="AZ9" s="20"/>
      <c r="BA9" s="20"/>
      <c r="BB9" s="20"/>
      <c r="BC9" s="20"/>
      <c r="BD9" s="20"/>
      <c r="BE9" s="20"/>
      <c r="BF9" s="20"/>
      <c r="BG9" s="20"/>
      <c r="BH9" s="20"/>
      <c r="BI9" s="20"/>
      <c r="BJ9" s="20"/>
      <c r="BK9" s="20"/>
      <c r="BL9" s="20"/>
      <c r="BM9" s="20"/>
      <c r="BN9" s="20"/>
      <c r="BO9" s="20"/>
      <c r="BP9" s="20"/>
      <c r="BQ9" s="20"/>
      <c r="BR9" s="20"/>
      <c r="BS9" s="20"/>
      <c r="BT9" s="20"/>
      <c r="BU9" s="20"/>
      <c r="BV9" s="20"/>
      <c r="BW9" s="20"/>
      <c r="BX9" s="20"/>
      <c r="BY9" s="20"/>
      <c r="BZ9" s="20"/>
      <c r="CA9" s="20"/>
      <c r="CB9" s="20"/>
      <c r="CC9" s="20"/>
      <c r="CD9" s="20"/>
      <c r="CE9" s="20"/>
      <c r="CF9" s="20"/>
      <c r="CG9" s="20"/>
      <c r="CH9" s="20"/>
      <c r="CI9" s="20"/>
      <c r="CJ9" s="20"/>
      <c r="CK9" s="20"/>
      <c r="CL9" s="20"/>
      <c r="CM9" s="20"/>
      <c r="CN9" s="20"/>
      <c r="CO9" s="20"/>
      <c r="CP9" s="20"/>
      <c r="CQ9" s="20"/>
      <c r="CR9" s="20"/>
      <c r="CS9" s="20"/>
      <c r="CT9" s="20"/>
      <c r="CU9" s="20"/>
      <c r="CV9" s="20"/>
      <c r="CW9" s="20"/>
      <c r="CX9" s="20"/>
      <c r="CY9" s="20"/>
      <c r="CZ9" s="20"/>
      <c r="DA9" s="20"/>
      <c r="DB9" s="20"/>
      <c r="DC9" s="20"/>
      <c r="DD9" s="20"/>
      <c r="DE9" s="20"/>
      <c r="DF9" s="20"/>
      <c r="DG9" s="20"/>
      <c r="DH9" s="20"/>
      <c r="DI9" s="20"/>
      <c r="DJ9" s="20"/>
      <c r="DK9" s="20"/>
      <c r="DL9" s="20"/>
      <c r="DM9" s="20"/>
      <c r="DN9" s="20"/>
      <c r="DO9" s="20"/>
      <c r="DP9" s="20"/>
      <c r="DQ9" s="20"/>
      <c r="DR9" s="20"/>
      <c r="DS9" s="20"/>
      <c r="DT9" s="20"/>
      <c r="DU9" s="20"/>
      <c r="DV9" s="20"/>
      <c r="DW9" s="20"/>
      <c r="DX9" s="20"/>
      <c r="DY9" s="20"/>
      <c r="DZ9" s="20"/>
      <c r="EA9" s="20"/>
      <c r="EB9" s="20"/>
    </row>
    <row r="10" spans="1:132" x14ac:dyDescent="0.2">
      <c r="A10" s="20"/>
      <c r="B10" s="20"/>
      <c r="C10" s="20"/>
      <c r="D10" s="20"/>
      <c r="E10" s="20"/>
      <c r="F10" s="20"/>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0"/>
      <c r="AZ10" s="20"/>
      <c r="BA10" s="20"/>
      <c r="BB10" s="20"/>
      <c r="BC10" s="20"/>
      <c r="BD10" s="20"/>
      <c r="BE10" s="20"/>
      <c r="BF10" s="20"/>
      <c r="BG10" s="20"/>
      <c r="BH10" s="20"/>
      <c r="BI10" s="20"/>
      <c r="BJ10" s="20"/>
      <c r="BK10" s="20"/>
      <c r="BL10" s="20"/>
      <c r="BM10" s="20"/>
      <c r="BN10" s="20"/>
      <c r="BO10" s="20"/>
      <c r="BP10" s="20"/>
      <c r="BQ10" s="20"/>
      <c r="BR10" s="20"/>
      <c r="BS10" s="20"/>
      <c r="BT10" s="20"/>
      <c r="BU10" s="20"/>
      <c r="BV10" s="20"/>
      <c r="BW10" s="20"/>
      <c r="BX10" s="20"/>
      <c r="BY10" s="20"/>
      <c r="BZ10" s="20"/>
      <c r="CA10" s="20"/>
      <c r="CB10" s="20"/>
      <c r="CC10" s="20"/>
      <c r="CD10" s="20"/>
      <c r="CE10" s="20"/>
      <c r="CF10" s="20"/>
      <c r="CG10" s="20"/>
      <c r="CH10" s="20"/>
      <c r="CI10" s="20"/>
      <c r="CJ10" s="20"/>
      <c r="CK10" s="20"/>
      <c r="CL10" s="20"/>
      <c r="CM10" s="20"/>
      <c r="CN10" s="20"/>
      <c r="CO10" s="20"/>
      <c r="CP10" s="20"/>
      <c r="CQ10" s="20"/>
      <c r="CR10" s="20"/>
      <c r="CS10" s="20"/>
      <c r="CT10" s="20"/>
      <c r="CU10" s="20"/>
      <c r="CV10" s="20"/>
      <c r="CW10" s="20"/>
      <c r="CX10" s="20"/>
      <c r="CY10" s="20"/>
      <c r="CZ10" s="20"/>
      <c r="DA10" s="20"/>
      <c r="DB10" s="20"/>
      <c r="DC10" s="20"/>
      <c r="DD10" s="20"/>
      <c r="DE10" s="20"/>
      <c r="DF10" s="20"/>
      <c r="DG10" s="20"/>
      <c r="DH10" s="20"/>
      <c r="DI10" s="20"/>
      <c r="DJ10" s="20"/>
      <c r="DK10" s="20"/>
      <c r="DL10" s="20"/>
      <c r="DM10" s="20"/>
      <c r="DN10" s="20"/>
      <c r="DO10" s="20"/>
      <c r="DP10" s="20"/>
      <c r="DQ10" s="20"/>
      <c r="DR10" s="20"/>
      <c r="DS10" s="20"/>
      <c r="DT10" s="20"/>
      <c r="DU10" s="20"/>
      <c r="DV10" s="20"/>
      <c r="DW10" s="20"/>
      <c r="DX10" s="20"/>
      <c r="DY10" s="20"/>
      <c r="DZ10" s="20"/>
      <c r="EA10" s="20"/>
      <c r="EB10" s="20"/>
    </row>
    <row r="11" spans="1:132" x14ac:dyDescent="0.2">
      <c r="A11" s="20"/>
      <c r="B11" s="20"/>
      <c r="C11" s="20"/>
      <c r="D11" s="20"/>
      <c r="E11" s="20"/>
      <c r="F11" s="20"/>
      <c r="G11" s="20"/>
      <c r="H11" s="20"/>
      <c r="I11" s="20"/>
      <c r="J11" s="20"/>
      <c r="K11" s="20"/>
      <c r="L11" s="20"/>
      <c r="M11" s="20"/>
      <c r="N11" s="20"/>
      <c r="O11" s="20"/>
      <c r="P11" s="20"/>
      <c r="Q11" s="20"/>
      <c r="R11" s="20"/>
      <c r="S11" s="20"/>
      <c r="T11" s="20"/>
      <c r="U11" s="20"/>
      <c r="V11" s="20"/>
      <c r="W11" s="20"/>
      <c r="X11" s="20"/>
      <c r="Y11" s="20"/>
      <c r="Z11" s="20"/>
      <c r="AA11" s="20"/>
      <c r="AB11" s="20"/>
      <c r="AC11" s="20"/>
      <c r="AD11" s="20"/>
      <c r="AE11" s="20"/>
      <c r="AF11" s="20"/>
      <c r="AG11" s="20"/>
      <c r="AH11" s="20"/>
      <c r="AI11" s="20"/>
      <c r="AJ11" s="20"/>
      <c r="AK11" s="20"/>
      <c r="AL11" s="20"/>
      <c r="AM11" s="20"/>
      <c r="AN11" s="20"/>
      <c r="AO11" s="20"/>
      <c r="AP11" s="20"/>
      <c r="AQ11" s="20"/>
      <c r="AR11" s="20"/>
      <c r="AS11" s="20"/>
      <c r="AT11" s="20"/>
      <c r="AU11" s="20"/>
      <c r="AV11" s="20"/>
      <c r="AW11" s="20"/>
      <c r="AX11" s="20"/>
      <c r="AY11" s="20"/>
      <c r="AZ11" s="20"/>
      <c r="BA11" s="20"/>
      <c r="BB11" s="20"/>
      <c r="BC11" s="20"/>
      <c r="BD11" s="20"/>
      <c r="BE11" s="20"/>
      <c r="BF11" s="20"/>
      <c r="BG11" s="20"/>
      <c r="BH11" s="20"/>
      <c r="BI11" s="20"/>
      <c r="BJ11" s="20"/>
      <c r="BK11" s="20"/>
      <c r="BL11" s="20"/>
      <c r="BM11" s="20"/>
      <c r="BN11" s="20"/>
      <c r="BO11" s="20"/>
      <c r="BP11" s="20"/>
      <c r="BQ11" s="20"/>
      <c r="BR11" s="20"/>
      <c r="BS11" s="20"/>
      <c r="BT11" s="20"/>
      <c r="BU11" s="20"/>
      <c r="BV11" s="20"/>
      <c r="BW11" s="20"/>
      <c r="BX11" s="20"/>
      <c r="BY11" s="20"/>
      <c r="BZ11" s="20"/>
      <c r="CA11" s="20"/>
      <c r="CB11" s="20"/>
      <c r="CC11" s="20"/>
      <c r="CD11" s="20"/>
      <c r="CE11" s="20"/>
      <c r="CF11" s="20"/>
      <c r="CG11" s="20"/>
      <c r="CH11" s="20"/>
      <c r="CI11" s="20"/>
      <c r="CJ11" s="20"/>
      <c r="CK11" s="20"/>
      <c r="CL11" s="20"/>
      <c r="CM11" s="20"/>
      <c r="CN11" s="20"/>
      <c r="CO11" s="20"/>
      <c r="CP11" s="20"/>
      <c r="CQ11" s="20"/>
      <c r="CR11" s="20"/>
      <c r="CS11" s="20"/>
      <c r="CT11" s="20"/>
      <c r="CU11" s="20"/>
      <c r="CV11" s="20"/>
      <c r="CW11" s="20"/>
      <c r="CX11" s="20"/>
      <c r="CY11" s="20"/>
      <c r="CZ11" s="20"/>
      <c r="DA11" s="20"/>
      <c r="DB11" s="20"/>
      <c r="DC11" s="20"/>
      <c r="DD11" s="20"/>
      <c r="DE11" s="20"/>
      <c r="DF11" s="20"/>
      <c r="DG11" s="20"/>
      <c r="DH11" s="20"/>
      <c r="DI11" s="20"/>
      <c r="DJ11" s="20"/>
      <c r="DK11" s="20"/>
      <c r="DL11" s="20"/>
      <c r="DM11" s="20"/>
      <c r="DN11" s="20"/>
      <c r="DO11" s="20"/>
      <c r="DP11" s="20"/>
      <c r="DQ11" s="20"/>
      <c r="DR11" s="20"/>
      <c r="DS11" s="20"/>
      <c r="DT11" s="20"/>
      <c r="DU11" s="20"/>
      <c r="DV11" s="20"/>
      <c r="DW11" s="20"/>
      <c r="DX11" s="20"/>
      <c r="DY11" s="20"/>
      <c r="DZ11" s="20"/>
      <c r="EA11" s="20"/>
      <c r="EB11" s="20"/>
    </row>
    <row r="12" spans="1:132" x14ac:dyDescent="0.2">
      <c r="A12" s="20"/>
      <c r="B12" s="20"/>
      <c r="C12" s="20"/>
      <c r="D12" s="20"/>
      <c r="E12" s="20"/>
      <c r="F12" s="20"/>
      <c r="G12" s="20"/>
      <c r="H12" s="20"/>
      <c r="I12" s="20"/>
      <c r="J12" s="20"/>
      <c r="K12" s="20"/>
      <c r="L12" s="20"/>
      <c r="M12" s="20"/>
      <c r="N12" s="20"/>
      <c r="O12" s="20"/>
      <c r="P12" s="20"/>
      <c r="Q12" s="20"/>
      <c r="R12" s="20"/>
      <c r="S12" s="20"/>
      <c r="T12" s="20"/>
      <c r="U12" s="20"/>
      <c r="V12" s="20"/>
      <c r="W12" s="20"/>
      <c r="X12" s="20"/>
      <c r="Y12" s="20"/>
      <c r="Z12" s="20"/>
      <c r="AA12" s="20"/>
      <c r="AB12" s="20"/>
      <c r="AC12" s="20"/>
      <c r="AD12" s="20"/>
      <c r="AE12" s="20"/>
      <c r="AF12" s="20"/>
      <c r="AG12" s="20"/>
      <c r="AH12" s="20"/>
      <c r="AI12" s="20"/>
      <c r="AJ12" s="20"/>
      <c r="AK12" s="20"/>
      <c r="AL12" s="20"/>
      <c r="AM12" s="20"/>
      <c r="AN12" s="20"/>
      <c r="AO12" s="20"/>
      <c r="AP12" s="20"/>
      <c r="AQ12" s="20"/>
      <c r="AR12" s="20"/>
      <c r="AS12" s="20"/>
      <c r="AT12" s="20"/>
      <c r="AU12" s="20"/>
      <c r="AV12" s="20"/>
      <c r="AW12" s="20"/>
      <c r="AX12" s="20"/>
      <c r="AY12" s="20"/>
      <c r="AZ12" s="20"/>
      <c r="BA12" s="20"/>
      <c r="BB12" s="20"/>
      <c r="BC12" s="20"/>
      <c r="BD12" s="20"/>
      <c r="BE12" s="20"/>
      <c r="BF12" s="20"/>
      <c r="BG12" s="20"/>
      <c r="BH12" s="20"/>
      <c r="BI12" s="20"/>
      <c r="BJ12" s="20"/>
      <c r="BK12" s="20"/>
      <c r="BL12" s="20"/>
      <c r="BM12" s="20"/>
      <c r="BN12" s="20"/>
      <c r="BO12" s="20"/>
      <c r="BP12" s="20"/>
      <c r="BQ12" s="20"/>
      <c r="BR12" s="20"/>
      <c r="BS12" s="20"/>
      <c r="BT12" s="20"/>
      <c r="BU12" s="20"/>
      <c r="BV12" s="20"/>
      <c r="BW12" s="20"/>
      <c r="BX12" s="20"/>
      <c r="BY12" s="20"/>
      <c r="BZ12" s="20"/>
      <c r="CA12" s="20"/>
      <c r="CB12" s="20"/>
      <c r="CC12" s="20"/>
      <c r="CD12" s="20"/>
      <c r="CE12" s="20"/>
      <c r="CF12" s="20"/>
      <c r="CG12" s="20"/>
      <c r="CH12" s="20"/>
      <c r="CI12" s="20"/>
      <c r="CJ12" s="20"/>
      <c r="CK12" s="20"/>
      <c r="CL12" s="20"/>
      <c r="CM12" s="20"/>
      <c r="CN12" s="20"/>
      <c r="CO12" s="20"/>
      <c r="CP12" s="20"/>
      <c r="CQ12" s="20"/>
      <c r="CR12" s="20"/>
      <c r="CS12" s="20"/>
      <c r="CT12" s="20"/>
      <c r="CU12" s="20"/>
      <c r="CV12" s="20"/>
      <c r="CW12" s="20"/>
      <c r="CX12" s="20"/>
      <c r="CY12" s="20"/>
      <c r="CZ12" s="20"/>
      <c r="DA12" s="20"/>
      <c r="DB12" s="20"/>
      <c r="DC12" s="20"/>
      <c r="DD12" s="20"/>
      <c r="DE12" s="20"/>
      <c r="DF12" s="20"/>
      <c r="DG12" s="20"/>
      <c r="DH12" s="20"/>
      <c r="DI12" s="20"/>
      <c r="DJ12" s="20"/>
      <c r="DK12" s="20"/>
      <c r="DL12" s="20"/>
      <c r="DM12" s="20"/>
      <c r="DN12" s="20"/>
      <c r="DO12" s="20"/>
      <c r="DP12" s="20"/>
      <c r="DQ12" s="20"/>
      <c r="DR12" s="20"/>
      <c r="DS12" s="20"/>
      <c r="DT12" s="20"/>
      <c r="DU12" s="20"/>
      <c r="DV12" s="20"/>
      <c r="DW12" s="20"/>
      <c r="DX12" s="20"/>
      <c r="DY12" s="20"/>
      <c r="DZ12" s="20"/>
      <c r="EA12" s="20"/>
      <c r="EB12" s="20"/>
    </row>
    <row r="13" spans="1:132" hidden="1" x14ac:dyDescent="0.2">
      <c r="A13" s="20"/>
      <c r="B13" s="20"/>
      <c r="C13" s="20"/>
      <c r="D13" s="20"/>
      <c r="E13" s="20"/>
      <c r="F13" s="20"/>
      <c r="G13" s="20"/>
      <c r="H13" s="20"/>
      <c r="I13" s="20"/>
      <c r="J13" s="20"/>
      <c r="K13" s="20"/>
      <c r="L13" s="20"/>
      <c r="M13" s="20"/>
      <c r="N13" s="20"/>
      <c r="O13" s="20"/>
      <c r="P13" s="20"/>
      <c r="Q13" s="20"/>
      <c r="R13" s="20"/>
      <c r="S13" s="20"/>
      <c r="T13" s="20"/>
      <c r="U13" s="20"/>
      <c r="V13" s="20"/>
      <c r="W13" s="20"/>
      <c r="X13" s="20"/>
      <c r="Y13" s="20"/>
      <c r="Z13" s="20"/>
      <c r="AA13" s="20"/>
      <c r="AB13" s="20"/>
      <c r="AC13" s="20"/>
      <c r="AD13" s="20"/>
      <c r="AE13" s="20"/>
      <c r="AF13" s="20"/>
      <c r="AG13" s="20"/>
      <c r="AH13" s="20"/>
      <c r="AI13" s="20"/>
      <c r="AJ13" s="20"/>
      <c r="AK13" s="20"/>
      <c r="AL13" s="20"/>
      <c r="AM13" s="20"/>
      <c r="AN13" s="20"/>
      <c r="AO13" s="20"/>
      <c r="AP13" s="20"/>
      <c r="AQ13" s="20"/>
      <c r="AR13" s="20"/>
      <c r="AS13" s="20"/>
      <c r="AT13" s="20"/>
      <c r="AU13" s="20"/>
      <c r="AV13" s="20"/>
      <c r="AW13" s="20"/>
      <c r="AX13" s="20"/>
      <c r="AY13" s="20"/>
      <c r="AZ13" s="20"/>
      <c r="BA13" s="20"/>
      <c r="BB13" s="20"/>
      <c r="BC13" s="20"/>
      <c r="BD13" s="20"/>
      <c r="BE13" s="20"/>
      <c r="BF13" s="20"/>
      <c r="BG13" s="20"/>
      <c r="BH13" s="20"/>
      <c r="BI13" s="20"/>
      <c r="BJ13" s="20"/>
      <c r="BK13" s="20"/>
      <c r="BL13" s="20"/>
      <c r="BM13" s="20"/>
      <c r="BN13" s="20"/>
      <c r="BO13" s="20"/>
      <c r="BP13" s="20"/>
      <c r="BQ13" s="20"/>
      <c r="BR13" s="20"/>
      <c r="BS13" s="20"/>
      <c r="BT13" s="20"/>
      <c r="BU13" s="20"/>
      <c r="BV13" s="20"/>
      <c r="BW13" s="20"/>
      <c r="BX13" s="20"/>
      <c r="BY13" s="20"/>
      <c r="BZ13" s="20"/>
      <c r="CA13" s="20"/>
      <c r="CB13" s="20"/>
      <c r="CC13" s="20"/>
      <c r="CD13" s="20"/>
      <c r="CE13" s="20"/>
      <c r="CF13" s="20"/>
      <c r="CG13" s="20"/>
      <c r="CH13" s="20"/>
      <c r="CI13" s="20"/>
      <c r="CJ13" s="20"/>
      <c r="CK13" s="20"/>
      <c r="CL13" s="20"/>
      <c r="CM13" s="20"/>
      <c r="CN13" s="20"/>
      <c r="CO13" s="20"/>
      <c r="CP13" s="20"/>
      <c r="CQ13" s="20"/>
      <c r="CR13" s="20"/>
      <c r="CS13" s="20"/>
      <c r="CT13" s="20"/>
      <c r="CU13" s="20"/>
      <c r="CV13" s="20"/>
      <c r="CW13" s="20"/>
      <c r="CX13" s="20"/>
      <c r="CY13" s="20"/>
      <c r="CZ13" s="20"/>
      <c r="DA13" s="20"/>
      <c r="DB13" s="20"/>
      <c r="DC13" s="20"/>
      <c r="DD13" s="20"/>
      <c r="DE13" s="20"/>
      <c r="DF13" s="20"/>
      <c r="DG13" s="20"/>
      <c r="DH13" s="20"/>
      <c r="DI13" s="20"/>
      <c r="DJ13" s="20"/>
      <c r="DK13" s="20"/>
      <c r="DL13" s="20"/>
      <c r="DM13" s="20"/>
      <c r="DN13" s="20"/>
      <c r="DO13" s="20"/>
      <c r="DP13" s="20"/>
      <c r="DQ13" s="20"/>
      <c r="DR13" s="20"/>
      <c r="DS13" s="20"/>
      <c r="DT13" s="20"/>
      <c r="DU13" s="20"/>
      <c r="DV13" s="20"/>
      <c r="DW13" s="20"/>
      <c r="DX13" s="20"/>
      <c r="DY13" s="20"/>
      <c r="DZ13" s="20"/>
      <c r="EA13" s="20"/>
      <c r="EB13" s="20"/>
    </row>
    <row r="14" spans="1:132" hidden="1" x14ac:dyDescent="0.2">
      <c r="A14" s="20"/>
      <c r="B14" s="20"/>
      <c r="C14" s="20"/>
      <c r="D14" s="20"/>
      <c r="E14" s="20"/>
      <c r="F14" s="20"/>
      <c r="G14" s="20"/>
      <c r="H14" s="20"/>
      <c r="I14" s="20"/>
      <c r="J14" s="20"/>
      <c r="K14" s="20"/>
      <c r="L14" s="20"/>
      <c r="M14" s="20"/>
      <c r="N14" s="20"/>
      <c r="O14" s="20"/>
      <c r="P14" s="20"/>
      <c r="Q14" s="20"/>
      <c r="R14" s="20"/>
      <c r="S14" s="20"/>
      <c r="T14" s="20"/>
      <c r="U14" s="20"/>
      <c r="V14" s="20"/>
      <c r="W14" s="20"/>
      <c r="X14" s="20"/>
      <c r="Y14" s="20"/>
      <c r="Z14" s="20"/>
      <c r="AA14" s="20"/>
      <c r="AB14" s="20"/>
      <c r="AC14" s="20"/>
      <c r="AD14" s="20"/>
      <c r="AE14" s="20"/>
      <c r="AF14" s="20"/>
      <c r="AG14" s="20"/>
      <c r="AH14" s="20"/>
      <c r="AI14" s="20"/>
      <c r="AJ14" s="20"/>
      <c r="AK14" s="20"/>
      <c r="AL14" s="20"/>
      <c r="AM14" s="20"/>
      <c r="AN14" s="20"/>
      <c r="AO14" s="20"/>
      <c r="AP14" s="20"/>
      <c r="AQ14" s="20"/>
      <c r="AR14" s="20"/>
      <c r="AS14" s="20"/>
      <c r="AT14" s="20"/>
      <c r="AU14" s="20"/>
      <c r="AV14" s="20"/>
      <c r="AW14" s="20"/>
      <c r="AX14" s="20"/>
      <c r="AY14" s="20"/>
      <c r="AZ14" s="20"/>
      <c r="BA14" s="20"/>
      <c r="BB14" s="20"/>
      <c r="BC14" s="20"/>
      <c r="BD14" s="20"/>
      <c r="BE14" s="20"/>
      <c r="BF14" s="20"/>
      <c r="BG14" s="20"/>
      <c r="BH14" s="20"/>
      <c r="BI14" s="20"/>
      <c r="BJ14" s="20"/>
      <c r="BK14" s="20"/>
      <c r="BL14" s="20"/>
      <c r="BM14" s="20"/>
      <c r="BN14" s="20"/>
      <c r="BO14" s="20"/>
      <c r="BP14" s="20"/>
      <c r="BQ14" s="20"/>
      <c r="BR14" s="20"/>
      <c r="BS14" s="20"/>
      <c r="BT14" s="20"/>
      <c r="BU14" s="20"/>
      <c r="BV14" s="20"/>
      <c r="BW14" s="20"/>
      <c r="BX14" s="20"/>
      <c r="BY14" s="20"/>
      <c r="BZ14" s="20"/>
      <c r="CA14" s="20"/>
      <c r="CB14" s="20"/>
      <c r="CC14" s="20"/>
      <c r="CD14" s="20"/>
      <c r="CE14" s="20"/>
      <c r="CF14" s="20"/>
      <c r="CG14" s="20"/>
      <c r="CH14" s="20"/>
      <c r="CI14" s="20"/>
      <c r="CJ14" s="20"/>
      <c r="CK14" s="20"/>
      <c r="CL14" s="20"/>
      <c r="CM14" s="20"/>
      <c r="CN14" s="20"/>
      <c r="CO14" s="20"/>
      <c r="CP14" s="20"/>
      <c r="CQ14" s="20"/>
      <c r="CR14" s="20"/>
      <c r="CS14" s="20"/>
      <c r="CT14" s="20"/>
      <c r="CU14" s="20"/>
      <c r="CV14" s="20"/>
      <c r="CW14" s="20"/>
      <c r="CX14" s="20"/>
      <c r="CY14" s="20"/>
      <c r="CZ14" s="20"/>
      <c r="DA14" s="20"/>
      <c r="DB14" s="20"/>
      <c r="DC14" s="20"/>
      <c r="DD14" s="20"/>
      <c r="DE14" s="20"/>
      <c r="DF14" s="20"/>
      <c r="DG14" s="20"/>
      <c r="DH14" s="20"/>
      <c r="DI14" s="20"/>
      <c r="DJ14" s="20"/>
      <c r="DK14" s="20"/>
      <c r="DL14" s="20"/>
      <c r="DM14" s="20"/>
      <c r="DN14" s="20"/>
      <c r="DO14" s="20"/>
      <c r="DP14" s="20"/>
      <c r="DQ14" s="20"/>
      <c r="DR14" s="20"/>
      <c r="DS14" s="20"/>
      <c r="DT14" s="20"/>
      <c r="DU14" s="20"/>
      <c r="DV14" s="20"/>
      <c r="DW14" s="20"/>
      <c r="DX14" s="20"/>
      <c r="DY14" s="20"/>
      <c r="DZ14" s="20"/>
      <c r="EA14" s="20"/>
      <c r="EB14" s="20"/>
    </row>
    <row r="15" spans="1:132" hidden="1" x14ac:dyDescent="0.2">
      <c r="A15" s="20"/>
      <c r="B15" s="20"/>
      <c r="C15" s="20"/>
      <c r="D15" s="20"/>
      <c r="E15" s="20"/>
      <c r="F15" s="20"/>
      <c r="G15" s="20"/>
      <c r="H15" s="20"/>
      <c r="I15" s="20"/>
      <c r="J15" s="20"/>
      <c r="K15" s="20"/>
      <c r="L15" s="20"/>
      <c r="M15" s="20"/>
      <c r="N15" s="20"/>
      <c r="O15" s="20"/>
      <c r="P15" s="20"/>
      <c r="Q15" s="20"/>
      <c r="R15" s="20"/>
      <c r="S15" s="20"/>
      <c r="T15" s="20"/>
      <c r="U15" s="20"/>
      <c r="V15" s="20"/>
      <c r="W15" s="20"/>
      <c r="X15" s="20"/>
      <c r="Y15" s="20"/>
      <c r="Z15" s="20"/>
      <c r="AA15" s="20"/>
      <c r="AB15" s="20"/>
      <c r="AC15" s="20"/>
      <c r="AD15" s="20"/>
      <c r="AE15" s="20"/>
      <c r="AF15" s="20"/>
      <c r="AG15" s="20"/>
      <c r="AH15" s="20"/>
      <c r="AI15" s="20"/>
      <c r="AJ15" s="20"/>
      <c r="AK15" s="20"/>
      <c r="AL15" s="20"/>
      <c r="AM15" s="20"/>
      <c r="AN15" s="20"/>
      <c r="AO15" s="20"/>
      <c r="AP15" s="20"/>
      <c r="AQ15" s="20"/>
      <c r="AR15" s="20"/>
      <c r="AS15" s="20"/>
      <c r="AT15" s="20"/>
      <c r="AU15" s="20"/>
      <c r="AV15" s="20"/>
      <c r="AW15" s="20"/>
      <c r="AX15" s="20"/>
      <c r="AY15" s="20"/>
      <c r="AZ15" s="20"/>
      <c r="BA15" s="20"/>
      <c r="BB15" s="20"/>
      <c r="BC15" s="20"/>
      <c r="BD15" s="20"/>
      <c r="BE15" s="20"/>
      <c r="BF15" s="20"/>
      <c r="BG15" s="20"/>
      <c r="BH15" s="20"/>
      <c r="BI15" s="20"/>
      <c r="BJ15" s="20"/>
      <c r="BK15" s="20"/>
      <c r="BL15" s="20"/>
      <c r="BM15" s="20"/>
      <c r="BN15" s="20"/>
      <c r="BO15" s="20"/>
      <c r="BP15" s="20"/>
      <c r="BQ15" s="20"/>
      <c r="BR15" s="20"/>
      <c r="BS15" s="20"/>
      <c r="BT15" s="20"/>
      <c r="BU15" s="20"/>
      <c r="BV15" s="20"/>
      <c r="BW15" s="20"/>
      <c r="BX15" s="20"/>
      <c r="BY15" s="20"/>
      <c r="BZ15" s="20"/>
      <c r="CA15" s="20"/>
      <c r="CB15" s="20"/>
      <c r="CC15" s="20"/>
      <c r="CD15" s="20"/>
      <c r="CE15" s="20"/>
      <c r="CF15" s="20"/>
      <c r="CG15" s="20"/>
      <c r="CH15" s="20"/>
      <c r="CI15" s="20"/>
      <c r="CJ15" s="20"/>
      <c r="CK15" s="20"/>
      <c r="CL15" s="20"/>
      <c r="CM15" s="20"/>
      <c r="CN15" s="20"/>
      <c r="CO15" s="20"/>
      <c r="CP15" s="20"/>
      <c r="CQ15" s="20"/>
      <c r="CR15" s="20"/>
      <c r="CS15" s="20"/>
      <c r="CT15" s="20"/>
      <c r="CU15" s="20"/>
      <c r="CV15" s="20"/>
      <c r="CW15" s="20"/>
      <c r="CX15" s="20"/>
      <c r="CY15" s="20"/>
      <c r="CZ15" s="20"/>
      <c r="DA15" s="20"/>
      <c r="DB15" s="20"/>
      <c r="DC15" s="20"/>
      <c r="DD15" s="20"/>
      <c r="DE15" s="20"/>
      <c r="DF15" s="20"/>
      <c r="DG15" s="20"/>
      <c r="DH15" s="20"/>
      <c r="DI15" s="20"/>
      <c r="DJ15" s="20"/>
      <c r="DK15" s="20"/>
      <c r="DL15" s="20"/>
      <c r="DM15" s="20"/>
      <c r="DN15" s="20"/>
      <c r="DO15" s="20"/>
      <c r="DP15" s="20"/>
      <c r="DQ15" s="20"/>
      <c r="DR15" s="20"/>
      <c r="DS15" s="20"/>
      <c r="DT15" s="20"/>
      <c r="DU15" s="20"/>
      <c r="DV15" s="20"/>
      <c r="DW15" s="20"/>
      <c r="DX15" s="20"/>
      <c r="DY15" s="20"/>
      <c r="DZ15" s="20"/>
      <c r="EA15" s="20"/>
      <c r="EB15" s="20"/>
    </row>
    <row r="16" spans="1:132" hidden="1" x14ac:dyDescent="0.2">
      <c r="A16" s="20"/>
      <c r="B16" s="20"/>
      <c r="C16" s="20"/>
      <c r="D16" s="20"/>
      <c r="E16" s="20"/>
      <c r="F16" s="20"/>
      <c r="G16" s="20"/>
      <c r="H16" s="20"/>
      <c r="I16" s="20"/>
      <c r="J16" s="20"/>
      <c r="K16" s="20"/>
      <c r="L16" s="20"/>
      <c r="M16" s="20"/>
      <c r="N16" s="20"/>
      <c r="O16" s="20"/>
      <c r="P16" s="20"/>
      <c r="Q16" s="20"/>
      <c r="R16" s="20"/>
      <c r="S16" s="20"/>
      <c r="T16" s="20"/>
      <c r="U16" s="20"/>
      <c r="V16" s="20"/>
      <c r="W16" s="20"/>
      <c r="X16" s="20"/>
      <c r="Y16" s="20"/>
      <c r="Z16" s="20"/>
      <c r="AA16" s="20"/>
      <c r="AB16" s="20"/>
      <c r="AC16" s="20"/>
      <c r="AD16" s="20"/>
      <c r="AE16" s="20"/>
      <c r="AF16" s="20"/>
      <c r="AG16" s="20"/>
      <c r="AH16" s="20"/>
      <c r="AI16" s="20"/>
      <c r="AJ16" s="20"/>
      <c r="AK16" s="20"/>
      <c r="AL16" s="20"/>
      <c r="AM16" s="20"/>
      <c r="AN16" s="20"/>
      <c r="AO16" s="20"/>
      <c r="AP16" s="20"/>
      <c r="AQ16" s="20"/>
      <c r="AR16" s="20"/>
      <c r="AS16" s="20"/>
      <c r="AT16" s="20"/>
      <c r="AU16" s="20"/>
      <c r="AV16" s="20"/>
      <c r="AW16" s="20"/>
      <c r="AX16" s="20"/>
      <c r="AY16" s="20"/>
      <c r="AZ16" s="20"/>
      <c r="BA16" s="20"/>
      <c r="BB16" s="20"/>
      <c r="BC16" s="20"/>
      <c r="BD16" s="20"/>
      <c r="BE16" s="20"/>
      <c r="BF16" s="20"/>
      <c r="BG16" s="20"/>
      <c r="BH16" s="20"/>
      <c r="BI16" s="20"/>
      <c r="BJ16" s="20"/>
      <c r="BK16" s="20"/>
      <c r="BL16" s="20"/>
      <c r="BM16" s="20"/>
      <c r="BN16" s="20"/>
      <c r="BO16" s="20"/>
      <c r="BP16" s="20"/>
      <c r="BQ16" s="20"/>
      <c r="BR16" s="20"/>
      <c r="BS16" s="20"/>
      <c r="BT16" s="20"/>
      <c r="BU16" s="20"/>
      <c r="BV16" s="20"/>
      <c r="BW16" s="20"/>
      <c r="BX16" s="20"/>
      <c r="BY16" s="20"/>
      <c r="BZ16" s="20"/>
      <c r="CA16" s="20"/>
      <c r="CB16" s="20"/>
      <c r="CC16" s="20"/>
      <c r="CD16" s="20"/>
      <c r="CE16" s="20"/>
      <c r="CF16" s="20"/>
      <c r="CG16" s="20"/>
      <c r="CH16" s="20"/>
      <c r="CI16" s="20"/>
      <c r="CJ16" s="20"/>
      <c r="CK16" s="20"/>
      <c r="CL16" s="20"/>
      <c r="CM16" s="20"/>
      <c r="CN16" s="20"/>
      <c r="CO16" s="20"/>
      <c r="CP16" s="20"/>
      <c r="CQ16" s="20"/>
      <c r="CR16" s="20"/>
      <c r="CS16" s="20"/>
      <c r="CT16" s="20"/>
      <c r="CU16" s="20"/>
      <c r="CV16" s="20"/>
      <c r="CW16" s="20"/>
      <c r="CX16" s="20"/>
      <c r="CY16" s="20"/>
      <c r="CZ16" s="20"/>
      <c r="DA16" s="20"/>
      <c r="DB16" s="20"/>
      <c r="DC16" s="20"/>
      <c r="DD16" s="20"/>
      <c r="DE16" s="20"/>
      <c r="DF16" s="20"/>
      <c r="DG16" s="20"/>
      <c r="DH16" s="20"/>
      <c r="DI16" s="20"/>
      <c r="DJ16" s="20"/>
      <c r="DK16" s="20"/>
      <c r="DL16" s="20"/>
      <c r="DM16" s="20"/>
      <c r="DN16" s="20"/>
      <c r="DO16" s="20"/>
      <c r="DP16" s="20"/>
      <c r="DQ16" s="20"/>
      <c r="DR16" s="20"/>
      <c r="DS16" s="20"/>
      <c r="DT16" s="20"/>
      <c r="DU16" s="20"/>
      <c r="DV16" s="20"/>
      <c r="DW16" s="20"/>
      <c r="DX16" s="20"/>
      <c r="DY16" s="20"/>
      <c r="DZ16" s="20"/>
      <c r="EA16" s="20"/>
      <c r="EB16" s="20"/>
    </row>
    <row r="17" spans="1:132" hidden="1" x14ac:dyDescent="0.2">
      <c r="A17" s="20"/>
      <c r="B17" s="20"/>
      <c r="C17" s="20"/>
      <c r="D17" s="20"/>
      <c r="E17" s="20"/>
      <c r="F17" s="20"/>
      <c r="G17" s="20"/>
      <c r="H17" s="20"/>
      <c r="I17" s="20"/>
      <c r="J17" s="20"/>
      <c r="K17" s="20"/>
      <c r="L17" s="20"/>
      <c r="M17" s="20"/>
      <c r="N17" s="20"/>
      <c r="O17" s="20"/>
      <c r="P17" s="20"/>
      <c r="Q17" s="20"/>
      <c r="R17" s="20"/>
      <c r="S17" s="20"/>
      <c r="T17" s="20"/>
      <c r="U17" s="20"/>
      <c r="V17" s="20"/>
      <c r="W17" s="20"/>
      <c r="X17" s="20"/>
      <c r="Y17" s="20"/>
      <c r="Z17" s="20"/>
      <c r="AA17" s="20"/>
      <c r="AB17" s="20"/>
      <c r="AC17" s="20"/>
      <c r="AD17" s="20"/>
      <c r="AE17" s="20"/>
      <c r="AF17" s="20"/>
      <c r="AG17" s="20"/>
      <c r="AH17" s="20"/>
      <c r="AI17" s="20"/>
      <c r="AJ17" s="20"/>
      <c r="AK17" s="20"/>
      <c r="AL17" s="20"/>
      <c r="AM17" s="20"/>
      <c r="AN17" s="20"/>
      <c r="AO17" s="20"/>
      <c r="AP17" s="20"/>
      <c r="AQ17" s="20"/>
      <c r="AR17" s="20"/>
      <c r="AS17" s="20"/>
      <c r="AT17" s="20"/>
      <c r="AU17" s="20"/>
      <c r="AV17" s="20"/>
      <c r="AW17" s="20"/>
      <c r="AX17" s="20"/>
      <c r="AY17" s="20"/>
      <c r="AZ17" s="20"/>
      <c r="BA17" s="20"/>
      <c r="BB17" s="20"/>
      <c r="BC17" s="20"/>
      <c r="BD17" s="20"/>
      <c r="BE17" s="20"/>
      <c r="BF17" s="20"/>
      <c r="BG17" s="20"/>
      <c r="BH17" s="20"/>
      <c r="BI17" s="20"/>
      <c r="BJ17" s="20"/>
      <c r="BK17" s="20"/>
      <c r="BL17" s="20"/>
      <c r="BM17" s="20"/>
      <c r="BN17" s="20"/>
      <c r="BO17" s="20"/>
      <c r="BP17" s="20"/>
      <c r="BQ17" s="20"/>
      <c r="BR17" s="20"/>
      <c r="BS17" s="20"/>
      <c r="BT17" s="20"/>
      <c r="BU17" s="20"/>
      <c r="BV17" s="20"/>
      <c r="BW17" s="20"/>
      <c r="BX17" s="20"/>
      <c r="BY17" s="20"/>
      <c r="BZ17" s="20"/>
      <c r="CA17" s="20"/>
      <c r="CB17" s="20"/>
      <c r="CC17" s="20"/>
      <c r="CD17" s="20"/>
      <c r="CE17" s="20"/>
      <c r="CF17" s="20"/>
      <c r="CG17" s="20"/>
      <c r="CH17" s="20"/>
      <c r="CI17" s="20"/>
      <c r="CJ17" s="20"/>
      <c r="CK17" s="20"/>
      <c r="CL17" s="20"/>
      <c r="CM17" s="20"/>
      <c r="CN17" s="20"/>
      <c r="CO17" s="20"/>
      <c r="CP17" s="20"/>
      <c r="CQ17" s="20"/>
      <c r="CR17" s="20"/>
      <c r="CS17" s="20"/>
      <c r="CT17" s="20"/>
      <c r="CU17" s="20"/>
      <c r="CV17" s="20"/>
      <c r="CW17" s="20"/>
      <c r="CX17" s="20"/>
      <c r="CY17" s="20"/>
      <c r="CZ17" s="20"/>
      <c r="DA17" s="20"/>
      <c r="DB17" s="20"/>
      <c r="DC17" s="20"/>
      <c r="DD17" s="20"/>
      <c r="DE17" s="20"/>
      <c r="DF17" s="20"/>
      <c r="DG17" s="20"/>
      <c r="DH17" s="20"/>
      <c r="DI17" s="20"/>
      <c r="DJ17" s="20"/>
      <c r="DK17" s="20"/>
      <c r="DL17" s="20"/>
      <c r="DM17" s="20"/>
      <c r="DN17" s="20"/>
      <c r="DO17" s="20"/>
      <c r="DP17" s="20"/>
      <c r="DQ17" s="20"/>
      <c r="DR17" s="20"/>
      <c r="DS17" s="20"/>
      <c r="DT17" s="20"/>
      <c r="DU17" s="20"/>
      <c r="DV17" s="20"/>
      <c r="DW17" s="20"/>
      <c r="DX17" s="20"/>
      <c r="DY17" s="20"/>
      <c r="DZ17" s="20"/>
      <c r="EA17" s="20"/>
      <c r="EB17" s="20"/>
    </row>
    <row r="18" spans="1:132" hidden="1" x14ac:dyDescent="0.2">
      <c r="A18" s="20"/>
      <c r="B18" s="20"/>
      <c r="C18" s="20"/>
      <c r="D18" s="20"/>
      <c r="E18" s="20"/>
      <c r="F18" s="20"/>
      <c r="G18" s="20"/>
      <c r="H18" s="20"/>
      <c r="I18" s="20"/>
      <c r="J18" s="20"/>
      <c r="K18" s="20"/>
      <c r="L18" s="20"/>
      <c r="M18" s="20"/>
      <c r="N18" s="20"/>
      <c r="O18" s="20"/>
      <c r="P18" s="20"/>
      <c r="Q18" s="20"/>
      <c r="R18" s="20"/>
      <c r="S18" s="20"/>
      <c r="T18" s="20"/>
      <c r="U18" s="20"/>
      <c r="V18" s="20"/>
      <c r="W18" s="20"/>
      <c r="X18" s="20"/>
      <c r="Y18" s="20"/>
      <c r="Z18" s="20"/>
      <c r="AA18" s="20"/>
      <c r="AB18" s="20"/>
      <c r="AC18" s="20"/>
      <c r="AD18" s="20"/>
      <c r="AE18" s="20"/>
      <c r="AF18" s="20"/>
      <c r="AG18" s="20"/>
      <c r="AH18" s="20"/>
      <c r="AI18" s="20"/>
      <c r="AJ18" s="20"/>
      <c r="AK18" s="20"/>
      <c r="AL18" s="20"/>
      <c r="AM18" s="20"/>
      <c r="AN18" s="20"/>
      <c r="AO18" s="20"/>
      <c r="AP18" s="20"/>
      <c r="AQ18" s="20"/>
      <c r="AR18" s="20"/>
      <c r="AS18" s="20"/>
      <c r="AT18" s="20"/>
      <c r="AU18" s="20"/>
      <c r="AV18" s="20"/>
      <c r="AW18" s="20"/>
      <c r="AX18" s="20"/>
      <c r="AY18" s="20"/>
      <c r="AZ18" s="20"/>
      <c r="BA18" s="20"/>
      <c r="BB18" s="20"/>
      <c r="BC18" s="20"/>
      <c r="BD18" s="20"/>
      <c r="BE18" s="20"/>
      <c r="BF18" s="20"/>
      <c r="BG18" s="20"/>
      <c r="BH18" s="20"/>
      <c r="BI18" s="20"/>
      <c r="BJ18" s="20"/>
      <c r="BK18" s="20"/>
      <c r="BL18" s="20"/>
      <c r="BM18" s="20"/>
      <c r="BN18" s="20"/>
      <c r="BO18" s="20"/>
      <c r="BP18" s="20"/>
      <c r="BQ18" s="20"/>
      <c r="BR18" s="20"/>
      <c r="BS18" s="20"/>
      <c r="BT18" s="20"/>
      <c r="BU18" s="20"/>
      <c r="BV18" s="20"/>
      <c r="BW18" s="20"/>
      <c r="BX18" s="20"/>
      <c r="BY18" s="20"/>
      <c r="BZ18" s="20"/>
      <c r="CA18" s="20"/>
      <c r="CB18" s="20"/>
      <c r="CC18" s="20"/>
      <c r="CD18" s="20"/>
      <c r="CE18" s="20"/>
      <c r="CF18" s="20"/>
      <c r="CG18" s="20"/>
      <c r="CH18" s="20"/>
      <c r="CI18" s="20"/>
      <c r="CJ18" s="20"/>
      <c r="CK18" s="20"/>
      <c r="CL18" s="20"/>
      <c r="CM18" s="20"/>
      <c r="CN18" s="20"/>
      <c r="CO18" s="20"/>
      <c r="CP18" s="20"/>
      <c r="CQ18" s="20"/>
      <c r="CR18" s="20"/>
      <c r="CS18" s="20"/>
      <c r="CT18" s="20"/>
      <c r="CU18" s="20"/>
      <c r="CV18" s="20"/>
      <c r="CW18" s="20"/>
      <c r="CX18" s="20"/>
      <c r="CY18" s="20"/>
      <c r="CZ18" s="20"/>
      <c r="DA18" s="20"/>
      <c r="DB18" s="20"/>
      <c r="DC18" s="20"/>
      <c r="DD18" s="20"/>
      <c r="DE18" s="20"/>
      <c r="DF18" s="20"/>
      <c r="DG18" s="20"/>
      <c r="DH18" s="20"/>
      <c r="DI18" s="20"/>
      <c r="DJ18" s="20"/>
      <c r="DK18" s="20"/>
      <c r="DL18" s="20"/>
      <c r="DM18" s="20"/>
      <c r="DN18" s="20"/>
      <c r="DO18" s="20"/>
      <c r="DP18" s="20"/>
      <c r="DQ18" s="20"/>
      <c r="DR18" s="20"/>
      <c r="DS18" s="20"/>
      <c r="DT18" s="20"/>
      <c r="DU18" s="20"/>
      <c r="DV18" s="20"/>
      <c r="DW18" s="20"/>
      <c r="DX18" s="20"/>
      <c r="DY18" s="20"/>
      <c r="DZ18" s="20"/>
      <c r="EA18" s="20"/>
      <c r="EB18" s="20"/>
    </row>
    <row r="19" spans="1:132" hidden="1" x14ac:dyDescent="0.2">
      <c r="A19" s="20"/>
      <c r="B19" s="20"/>
      <c r="C19" s="20"/>
      <c r="D19" s="20"/>
      <c r="E19" s="20"/>
      <c r="F19" s="20"/>
      <c r="G19" s="20"/>
      <c r="H19" s="20"/>
      <c r="I19" s="20"/>
      <c r="J19" s="20"/>
      <c r="K19" s="20"/>
      <c r="L19" s="20"/>
      <c r="M19" s="20"/>
      <c r="N19" s="20"/>
      <c r="O19" s="20"/>
      <c r="P19" s="20"/>
      <c r="Q19" s="20"/>
      <c r="R19" s="20"/>
      <c r="S19" s="20"/>
      <c r="T19" s="20"/>
      <c r="U19" s="20"/>
      <c r="V19" s="20"/>
      <c r="W19" s="20"/>
      <c r="X19" s="20"/>
      <c r="Y19" s="20"/>
      <c r="Z19" s="20"/>
      <c r="AA19" s="20"/>
      <c r="AB19" s="20"/>
      <c r="AC19" s="20"/>
      <c r="AD19" s="20"/>
      <c r="AE19" s="20"/>
      <c r="AF19" s="20"/>
      <c r="AG19" s="20"/>
      <c r="AH19" s="20"/>
      <c r="AI19" s="20"/>
      <c r="AJ19" s="20"/>
      <c r="AK19" s="20"/>
      <c r="AL19" s="20"/>
      <c r="AM19" s="20"/>
      <c r="AN19" s="20"/>
      <c r="AO19" s="20"/>
      <c r="AP19" s="20"/>
      <c r="AQ19" s="20"/>
      <c r="AR19" s="20"/>
      <c r="AS19" s="20"/>
      <c r="AT19" s="20"/>
      <c r="AU19" s="20"/>
      <c r="AV19" s="20"/>
      <c r="AW19" s="20"/>
      <c r="AX19" s="20"/>
      <c r="AY19" s="20"/>
      <c r="AZ19" s="20"/>
      <c r="BA19" s="20"/>
      <c r="BB19" s="20"/>
      <c r="BC19" s="20"/>
      <c r="BD19" s="20"/>
      <c r="BE19" s="20"/>
      <c r="BF19" s="20"/>
      <c r="BG19" s="20"/>
      <c r="BH19" s="20"/>
      <c r="BI19" s="20"/>
      <c r="BJ19" s="20"/>
      <c r="BK19" s="20"/>
      <c r="BL19" s="20"/>
      <c r="BM19" s="20"/>
      <c r="BN19" s="20"/>
      <c r="BO19" s="20"/>
      <c r="BP19" s="20"/>
      <c r="BQ19" s="20"/>
      <c r="BR19" s="20"/>
      <c r="BS19" s="20"/>
      <c r="BT19" s="20"/>
      <c r="BU19" s="20"/>
      <c r="BV19" s="20"/>
      <c r="BW19" s="20"/>
      <c r="BX19" s="20"/>
      <c r="BY19" s="20"/>
      <c r="BZ19" s="20"/>
      <c r="CA19" s="20"/>
      <c r="CB19" s="20"/>
      <c r="CC19" s="20"/>
      <c r="CD19" s="20"/>
      <c r="CE19" s="20"/>
      <c r="CF19" s="20"/>
      <c r="CG19" s="20"/>
      <c r="CH19" s="20"/>
      <c r="CI19" s="20"/>
      <c r="CJ19" s="20"/>
      <c r="CK19" s="20"/>
      <c r="CL19" s="20"/>
      <c r="CM19" s="20"/>
      <c r="CN19" s="20"/>
      <c r="CO19" s="20"/>
      <c r="CP19" s="20"/>
      <c r="CQ19" s="20"/>
      <c r="CR19" s="20"/>
      <c r="CS19" s="20"/>
      <c r="CT19" s="20"/>
      <c r="CU19" s="20"/>
      <c r="CV19" s="20"/>
      <c r="CW19" s="20"/>
      <c r="CX19" s="20"/>
      <c r="CY19" s="20"/>
      <c r="CZ19" s="20"/>
      <c r="DA19" s="20"/>
      <c r="DB19" s="20"/>
      <c r="DC19" s="20"/>
      <c r="DD19" s="20"/>
      <c r="DE19" s="20"/>
      <c r="DF19" s="20"/>
      <c r="DG19" s="20"/>
      <c r="DH19" s="20"/>
      <c r="DI19" s="20"/>
      <c r="DJ19" s="20"/>
      <c r="DK19" s="20"/>
      <c r="DL19" s="20"/>
      <c r="DM19" s="20"/>
      <c r="DN19" s="20"/>
      <c r="DO19" s="20"/>
      <c r="DP19" s="20"/>
      <c r="DQ19" s="20"/>
      <c r="DR19" s="20"/>
      <c r="DS19" s="20"/>
      <c r="DT19" s="20"/>
      <c r="DU19" s="20"/>
      <c r="DV19" s="20"/>
      <c r="DW19" s="20"/>
      <c r="DX19" s="20"/>
      <c r="DY19" s="20"/>
      <c r="DZ19" s="20"/>
      <c r="EA19" s="20"/>
      <c r="EB19" s="20"/>
    </row>
    <row r="20" spans="1:132" hidden="1" x14ac:dyDescent="0.2">
      <c r="A20" s="20"/>
      <c r="B20" s="20"/>
      <c r="C20" s="20"/>
      <c r="D20" s="20"/>
      <c r="E20" s="20"/>
      <c r="F20" s="20"/>
      <c r="G20" s="20"/>
      <c r="H20" s="20"/>
      <c r="I20" s="20"/>
      <c r="J20" s="20"/>
      <c r="K20" s="20"/>
      <c r="L20" s="20"/>
      <c r="M20" s="20"/>
      <c r="N20" s="20"/>
      <c r="O20" s="20"/>
      <c r="P20" s="20"/>
      <c r="Q20" s="20"/>
      <c r="R20" s="20"/>
      <c r="S20" s="20"/>
      <c r="T20" s="20"/>
      <c r="U20" s="20"/>
      <c r="V20" s="20"/>
      <c r="W20" s="20"/>
      <c r="X20" s="20"/>
      <c r="Y20" s="20"/>
      <c r="Z20" s="20"/>
      <c r="AA20" s="20"/>
      <c r="AB20" s="20"/>
      <c r="AC20" s="20"/>
      <c r="AD20" s="20"/>
      <c r="AE20" s="20"/>
      <c r="AF20" s="20"/>
      <c r="AG20" s="20"/>
      <c r="AH20" s="20"/>
      <c r="AI20" s="20"/>
      <c r="AJ20" s="20"/>
      <c r="AK20" s="20"/>
      <c r="AL20" s="20"/>
      <c r="AM20" s="20"/>
      <c r="AN20" s="20"/>
      <c r="AO20" s="20"/>
      <c r="AP20" s="20"/>
      <c r="AQ20" s="20"/>
      <c r="AR20" s="20"/>
      <c r="AS20" s="20"/>
      <c r="AT20" s="20"/>
      <c r="AU20" s="20"/>
      <c r="AV20" s="20"/>
      <c r="AW20" s="20"/>
      <c r="AX20" s="20"/>
      <c r="AY20" s="20"/>
      <c r="AZ20" s="20"/>
      <c r="BA20" s="20"/>
      <c r="BB20" s="20"/>
      <c r="BC20" s="20"/>
      <c r="BD20" s="20"/>
      <c r="BE20" s="20"/>
      <c r="BF20" s="20"/>
      <c r="BG20" s="20"/>
      <c r="BH20" s="20"/>
      <c r="BI20" s="20"/>
      <c r="BJ20" s="20"/>
      <c r="BK20" s="20"/>
      <c r="BL20" s="20"/>
      <c r="BM20" s="20"/>
      <c r="BN20" s="20"/>
      <c r="BO20" s="20"/>
      <c r="BP20" s="20"/>
      <c r="BQ20" s="20"/>
      <c r="BR20" s="20"/>
      <c r="BS20" s="20"/>
      <c r="BT20" s="20"/>
      <c r="BU20" s="20"/>
      <c r="BV20" s="20"/>
      <c r="BW20" s="20"/>
      <c r="BX20" s="20"/>
      <c r="BY20" s="20"/>
      <c r="BZ20" s="20"/>
      <c r="CA20" s="20"/>
      <c r="CB20" s="20"/>
      <c r="CC20" s="20"/>
      <c r="CD20" s="20"/>
      <c r="CE20" s="20"/>
      <c r="CF20" s="20"/>
      <c r="CG20" s="20"/>
      <c r="CH20" s="20"/>
      <c r="CI20" s="20"/>
      <c r="CJ20" s="20"/>
      <c r="CK20" s="20"/>
      <c r="CL20" s="20"/>
      <c r="CM20" s="20"/>
      <c r="CN20" s="20"/>
      <c r="CO20" s="20"/>
      <c r="CP20" s="20"/>
      <c r="CQ20" s="20"/>
      <c r="CR20" s="20"/>
      <c r="CS20" s="20"/>
      <c r="CT20" s="20"/>
      <c r="CU20" s="20"/>
      <c r="CV20" s="20"/>
      <c r="CW20" s="20"/>
      <c r="CX20" s="20"/>
      <c r="CY20" s="20"/>
      <c r="CZ20" s="20"/>
      <c r="DA20" s="20"/>
      <c r="DB20" s="20"/>
      <c r="DC20" s="20"/>
      <c r="DD20" s="20"/>
      <c r="DE20" s="20"/>
      <c r="DF20" s="20"/>
      <c r="DG20" s="20"/>
      <c r="DH20" s="20"/>
      <c r="DI20" s="20"/>
      <c r="DJ20" s="20"/>
      <c r="DK20" s="20"/>
      <c r="DL20" s="20"/>
      <c r="DM20" s="20"/>
      <c r="DN20" s="20"/>
      <c r="DO20" s="20"/>
      <c r="DP20" s="20"/>
      <c r="DQ20" s="20"/>
      <c r="DR20" s="20"/>
      <c r="DS20" s="20"/>
      <c r="DT20" s="20"/>
      <c r="DU20" s="20"/>
      <c r="DV20" s="20"/>
      <c r="DW20" s="20"/>
      <c r="DX20" s="20"/>
      <c r="DY20" s="20"/>
      <c r="DZ20" s="20"/>
      <c r="EA20" s="20"/>
      <c r="EB20" s="20"/>
    </row>
    <row r="21" spans="1:132" hidden="1" x14ac:dyDescent="0.2">
      <c r="A21" s="20"/>
      <c r="B21" s="20"/>
      <c r="C21" s="20"/>
      <c r="D21" s="20"/>
      <c r="E21" s="20"/>
      <c r="F21" s="20"/>
      <c r="G21" s="20"/>
      <c r="H21" s="20"/>
      <c r="I21" s="20"/>
      <c r="J21" s="20"/>
      <c r="K21" s="20"/>
      <c r="L21" s="20"/>
      <c r="M21" s="20"/>
      <c r="N21" s="20"/>
      <c r="O21" s="20"/>
      <c r="P21" s="20"/>
      <c r="Q21" s="20"/>
      <c r="R21" s="20"/>
      <c r="S21" s="20"/>
      <c r="T21" s="20"/>
      <c r="U21" s="20"/>
      <c r="V21" s="20"/>
      <c r="W21" s="20"/>
      <c r="X21" s="20"/>
      <c r="Y21" s="20"/>
      <c r="Z21" s="20"/>
      <c r="AA21" s="20"/>
      <c r="AB21" s="20"/>
      <c r="AC21" s="20"/>
      <c r="AD21" s="20"/>
      <c r="AE21" s="20"/>
      <c r="AF21" s="20"/>
      <c r="AG21" s="20"/>
      <c r="AH21" s="20"/>
      <c r="AI21" s="20"/>
      <c r="AJ21" s="20"/>
      <c r="AK21" s="20"/>
      <c r="AL21" s="20"/>
      <c r="AM21" s="20"/>
      <c r="AN21" s="20"/>
      <c r="AO21" s="20"/>
      <c r="AP21" s="20"/>
      <c r="AQ21" s="20"/>
      <c r="AR21" s="20"/>
      <c r="AS21" s="20"/>
      <c r="AT21" s="20"/>
      <c r="AU21" s="20"/>
      <c r="AV21" s="20"/>
      <c r="AW21" s="20"/>
      <c r="AX21" s="20"/>
      <c r="AY21" s="20"/>
      <c r="AZ21" s="20"/>
      <c r="BA21" s="20"/>
      <c r="BB21" s="20"/>
      <c r="BC21" s="20"/>
      <c r="BD21" s="20"/>
      <c r="BE21" s="20"/>
      <c r="BF21" s="20"/>
      <c r="BG21" s="20"/>
      <c r="BH21" s="20"/>
      <c r="BI21" s="20"/>
      <c r="BJ21" s="20"/>
      <c r="BK21" s="20"/>
      <c r="BL21" s="20"/>
      <c r="BM21" s="20"/>
      <c r="BN21" s="20"/>
      <c r="BO21" s="20"/>
      <c r="BP21" s="20"/>
      <c r="BQ21" s="20"/>
      <c r="BR21" s="20"/>
      <c r="BS21" s="20"/>
      <c r="BT21" s="20"/>
      <c r="BU21" s="20"/>
      <c r="BV21" s="20"/>
      <c r="BW21" s="20"/>
      <c r="BX21" s="20"/>
      <c r="BY21" s="20"/>
      <c r="BZ21" s="20"/>
      <c r="CA21" s="20"/>
      <c r="CB21" s="20"/>
      <c r="CC21" s="20"/>
      <c r="CD21" s="20"/>
      <c r="CE21" s="20"/>
      <c r="CF21" s="20"/>
      <c r="CG21" s="20"/>
      <c r="CH21" s="20"/>
      <c r="CI21" s="20"/>
      <c r="CJ21" s="20"/>
      <c r="CK21" s="20"/>
      <c r="CL21" s="20"/>
      <c r="CM21" s="20"/>
      <c r="CN21" s="20"/>
      <c r="CO21" s="20"/>
      <c r="CP21" s="20"/>
      <c r="CQ21" s="20"/>
      <c r="CR21" s="20"/>
      <c r="CS21" s="20"/>
      <c r="CT21" s="20"/>
      <c r="CU21" s="20"/>
      <c r="CV21" s="20"/>
      <c r="CW21" s="20"/>
      <c r="CX21" s="20"/>
      <c r="CY21" s="20"/>
      <c r="CZ21" s="20"/>
      <c r="DA21" s="20"/>
      <c r="DB21" s="20"/>
      <c r="DC21" s="20"/>
      <c r="DD21" s="20"/>
      <c r="DE21" s="20"/>
      <c r="DF21" s="20"/>
      <c r="DG21" s="20"/>
      <c r="DH21" s="20"/>
      <c r="DI21" s="20"/>
      <c r="DJ21" s="20"/>
      <c r="DK21" s="20"/>
      <c r="DL21" s="20"/>
      <c r="DM21" s="20"/>
      <c r="DN21" s="20"/>
      <c r="DO21" s="20"/>
      <c r="DP21" s="20"/>
      <c r="DQ21" s="20"/>
      <c r="DR21" s="20"/>
      <c r="DS21" s="20"/>
      <c r="DT21" s="20"/>
      <c r="DU21" s="20"/>
      <c r="DV21" s="20"/>
      <c r="DW21" s="20"/>
      <c r="DX21" s="20"/>
      <c r="DY21" s="20"/>
      <c r="DZ21" s="20"/>
      <c r="EA21" s="20"/>
      <c r="EB21" s="20"/>
    </row>
    <row r="22" spans="1:132" hidden="1" x14ac:dyDescent="0.2">
      <c r="A22" s="20"/>
      <c r="B22" s="20"/>
      <c r="C22" s="20"/>
      <c r="D22" s="20"/>
      <c r="E22" s="20"/>
      <c r="F22" s="20"/>
      <c r="G22" s="20"/>
      <c r="H22" s="20"/>
      <c r="I22" s="20"/>
      <c r="J22" s="20"/>
      <c r="K22" s="20"/>
      <c r="L22" s="20"/>
      <c r="M22" s="20"/>
      <c r="N22" s="20"/>
      <c r="O22" s="20"/>
      <c r="P22" s="20"/>
      <c r="Q22" s="20"/>
      <c r="R22" s="20"/>
      <c r="S22" s="20"/>
      <c r="T22" s="20"/>
      <c r="U22" s="20"/>
      <c r="V22" s="20"/>
      <c r="W22" s="20"/>
      <c r="X22" s="20"/>
      <c r="Y22" s="20"/>
      <c r="Z22" s="20"/>
      <c r="AA22" s="20"/>
      <c r="AB22" s="20"/>
      <c r="AC22" s="20"/>
      <c r="AD22" s="20"/>
      <c r="AE22" s="20"/>
      <c r="AF22" s="20"/>
      <c r="AG22" s="20"/>
      <c r="AH22" s="20"/>
      <c r="AI22" s="20"/>
      <c r="AJ22" s="20"/>
      <c r="AK22" s="20"/>
      <c r="AL22" s="20"/>
      <c r="AM22" s="20"/>
      <c r="AN22" s="20"/>
      <c r="AO22" s="20"/>
      <c r="AP22" s="20"/>
      <c r="AQ22" s="20"/>
      <c r="AR22" s="20"/>
      <c r="AS22" s="20"/>
      <c r="AT22" s="20"/>
      <c r="AU22" s="20"/>
      <c r="AV22" s="20"/>
      <c r="AW22" s="20"/>
      <c r="AX22" s="20"/>
      <c r="AY22" s="20"/>
      <c r="AZ22" s="20"/>
      <c r="BA22" s="20"/>
      <c r="BB22" s="20"/>
      <c r="BC22" s="20"/>
      <c r="BD22" s="20"/>
      <c r="BE22" s="20"/>
      <c r="BF22" s="20"/>
      <c r="BG22" s="20"/>
      <c r="BH22" s="20"/>
      <c r="BI22" s="20"/>
      <c r="BJ22" s="20"/>
      <c r="BK22" s="20"/>
      <c r="BL22" s="20"/>
      <c r="BM22" s="20"/>
      <c r="BN22" s="20"/>
      <c r="BO22" s="20"/>
      <c r="BP22" s="20"/>
      <c r="BQ22" s="20"/>
      <c r="BR22" s="20"/>
      <c r="BS22" s="20"/>
      <c r="BT22" s="20"/>
      <c r="BU22" s="20"/>
      <c r="BV22" s="20"/>
      <c r="BW22" s="20"/>
      <c r="BX22" s="20"/>
      <c r="BY22" s="20"/>
      <c r="BZ22" s="20"/>
      <c r="CA22" s="20"/>
      <c r="CB22" s="20"/>
      <c r="CC22" s="20"/>
      <c r="CD22" s="20"/>
      <c r="CE22" s="20"/>
      <c r="CF22" s="20"/>
      <c r="CG22" s="20"/>
      <c r="CH22" s="20"/>
      <c r="CI22" s="20"/>
      <c r="CJ22" s="20"/>
      <c r="CK22" s="20"/>
      <c r="CL22" s="20"/>
      <c r="CM22" s="20"/>
      <c r="CN22" s="20"/>
      <c r="CO22" s="20"/>
      <c r="CP22" s="20"/>
      <c r="CQ22" s="20"/>
      <c r="CR22" s="20"/>
      <c r="CS22" s="20"/>
      <c r="CT22" s="20"/>
      <c r="CU22" s="20"/>
      <c r="CV22" s="20"/>
      <c r="CW22" s="20"/>
      <c r="CX22" s="20"/>
      <c r="CY22" s="20"/>
      <c r="CZ22" s="20"/>
      <c r="DA22" s="20"/>
      <c r="DB22" s="20"/>
      <c r="DC22" s="20"/>
      <c r="DD22" s="20"/>
      <c r="DE22" s="20"/>
      <c r="DF22" s="20"/>
      <c r="DG22" s="20"/>
      <c r="DH22" s="20"/>
      <c r="DI22" s="20"/>
      <c r="DJ22" s="20"/>
      <c r="DK22" s="20"/>
      <c r="DL22" s="20"/>
      <c r="DM22" s="20"/>
      <c r="DN22" s="20"/>
      <c r="DO22" s="20"/>
      <c r="DP22" s="20"/>
      <c r="DQ22" s="20"/>
      <c r="DR22" s="20"/>
      <c r="DS22" s="20"/>
      <c r="DT22" s="20"/>
      <c r="DU22" s="20"/>
      <c r="DV22" s="20"/>
      <c r="DW22" s="20"/>
      <c r="DX22" s="20"/>
      <c r="DY22" s="20"/>
      <c r="DZ22" s="20"/>
      <c r="EA22" s="20"/>
      <c r="EB22" s="20"/>
    </row>
    <row r="23" spans="1:132" hidden="1" x14ac:dyDescent="0.2">
      <c r="A23" s="20"/>
      <c r="B23" s="20"/>
      <c r="C23" s="20"/>
      <c r="D23" s="20"/>
      <c r="E23" s="20"/>
      <c r="F23" s="20"/>
      <c r="G23" s="20"/>
      <c r="H23" s="20"/>
      <c r="I23" s="20"/>
      <c r="J23" s="20"/>
      <c r="K23" s="20"/>
      <c r="L23" s="20"/>
      <c r="M23" s="20"/>
      <c r="N23" s="20"/>
      <c r="O23" s="20"/>
      <c r="P23" s="20"/>
      <c r="Q23" s="20"/>
      <c r="R23" s="20"/>
      <c r="S23" s="20"/>
      <c r="T23" s="20"/>
      <c r="U23" s="20"/>
      <c r="V23" s="20"/>
      <c r="W23" s="20"/>
      <c r="X23" s="20"/>
      <c r="Y23" s="20"/>
      <c r="Z23" s="20"/>
      <c r="AA23" s="20"/>
      <c r="AB23" s="20"/>
      <c r="AC23" s="20"/>
      <c r="AD23" s="20"/>
      <c r="AE23" s="20"/>
      <c r="AF23" s="20"/>
      <c r="AG23" s="20"/>
      <c r="AH23" s="20"/>
      <c r="AI23" s="20"/>
      <c r="AJ23" s="20"/>
      <c r="AK23" s="20"/>
      <c r="AL23" s="20"/>
      <c r="AM23" s="20"/>
      <c r="AN23" s="20"/>
      <c r="AO23" s="20"/>
      <c r="AP23" s="20"/>
      <c r="AQ23" s="20"/>
      <c r="AR23" s="20"/>
      <c r="AS23" s="20"/>
      <c r="AT23" s="20"/>
      <c r="AU23" s="20"/>
      <c r="AV23" s="20"/>
      <c r="AW23" s="20"/>
      <c r="AX23" s="20"/>
      <c r="AY23" s="20"/>
      <c r="AZ23" s="20"/>
      <c r="BA23" s="20"/>
      <c r="BB23" s="20"/>
      <c r="BC23" s="20"/>
      <c r="BD23" s="20"/>
      <c r="BE23" s="20"/>
      <c r="BF23" s="20"/>
      <c r="BG23" s="20"/>
      <c r="BH23" s="20"/>
      <c r="BI23" s="20"/>
      <c r="BJ23" s="20"/>
      <c r="BK23" s="20"/>
      <c r="BL23" s="20"/>
      <c r="BM23" s="20"/>
      <c r="BN23" s="20"/>
      <c r="BO23" s="20"/>
      <c r="BP23" s="20"/>
      <c r="BQ23" s="20"/>
      <c r="BR23" s="20"/>
      <c r="BS23" s="20"/>
      <c r="BT23" s="20"/>
      <c r="BU23" s="20"/>
      <c r="BV23" s="20"/>
      <c r="BW23" s="20"/>
      <c r="BX23" s="20"/>
      <c r="BY23" s="20"/>
      <c r="BZ23" s="20"/>
      <c r="CA23" s="20"/>
      <c r="CB23" s="20"/>
      <c r="CC23" s="20"/>
      <c r="CD23" s="20"/>
      <c r="CE23" s="20"/>
      <c r="CF23" s="20"/>
      <c r="CG23" s="20"/>
      <c r="CH23" s="20"/>
      <c r="CI23" s="20"/>
      <c r="CJ23" s="20"/>
      <c r="CK23" s="20"/>
      <c r="CL23" s="20"/>
      <c r="CM23" s="20"/>
      <c r="CN23" s="20"/>
      <c r="CO23" s="20"/>
      <c r="CP23" s="20"/>
      <c r="CQ23" s="20"/>
      <c r="CR23" s="20"/>
      <c r="CS23" s="20"/>
      <c r="CT23" s="20"/>
      <c r="CU23" s="20"/>
      <c r="CV23" s="20"/>
      <c r="CW23" s="20"/>
      <c r="CX23" s="20"/>
      <c r="CY23" s="20"/>
      <c r="CZ23" s="20"/>
      <c r="DA23" s="20"/>
      <c r="DB23" s="20"/>
      <c r="DC23" s="20"/>
      <c r="DD23" s="20"/>
      <c r="DE23" s="20"/>
      <c r="DF23" s="20"/>
      <c r="DG23" s="20"/>
      <c r="DH23" s="20"/>
      <c r="DI23" s="20"/>
      <c r="DJ23" s="20"/>
      <c r="DK23" s="20"/>
      <c r="DL23" s="20"/>
      <c r="DM23" s="20"/>
      <c r="DN23" s="20"/>
      <c r="DO23" s="20"/>
      <c r="DP23" s="20"/>
      <c r="DQ23" s="20"/>
      <c r="DR23" s="20"/>
      <c r="DS23" s="20"/>
      <c r="DT23" s="20"/>
      <c r="DU23" s="20"/>
      <c r="DV23" s="20"/>
      <c r="DW23" s="20"/>
      <c r="DX23" s="20"/>
      <c r="DY23" s="20"/>
      <c r="DZ23" s="20"/>
      <c r="EA23" s="20"/>
      <c r="EB23" s="20"/>
    </row>
    <row r="24" spans="1:132" hidden="1" x14ac:dyDescent="0.2">
      <c r="A24" s="20"/>
      <c r="B24" s="20"/>
      <c r="C24" s="20"/>
      <c r="D24" s="20"/>
      <c r="E24" s="20"/>
      <c r="F24" s="20"/>
      <c r="G24" s="20"/>
      <c r="H24" s="20"/>
      <c r="I24" s="20"/>
      <c r="J24" s="20"/>
      <c r="K24" s="20"/>
      <c r="L24" s="20"/>
      <c r="M24" s="20"/>
      <c r="N24" s="20"/>
      <c r="O24" s="20"/>
      <c r="P24" s="20"/>
      <c r="Q24" s="20"/>
      <c r="R24" s="20"/>
      <c r="S24" s="20"/>
      <c r="T24" s="20"/>
      <c r="U24" s="20"/>
      <c r="V24" s="20"/>
      <c r="W24" s="20"/>
      <c r="X24" s="20"/>
      <c r="Y24" s="20"/>
      <c r="Z24" s="20"/>
      <c r="AA24" s="20"/>
      <c r="AB24" s="20"/>
      <c r="AC24" s="20"/>
      <c r="AD24" s="20"/>
      <c r="AE24" s="20"/>
      <c r="AF24" s="20"/>
      <c r="AG24" s="20"/>
      <c r="AH24" s="20"/>
      <c r="AI24" s="20"/>
      <c r="AJ24" s="20"/>
      <c r="AK24" s="20"/>
      <c r="AL24" s="20"/>
      <c r="AM24" s="20"/>
      <c r="AN24" s="20"/>
      <c r="AO24" s="20"/>
      <c r="AP24" s="20"/>
      <c r="AQ24" s="20"/>
      <c r="AR24" s="20"/>
      <c r="AS24" s="20"/>
      <c r="AT24" s="20"/>
      <c r="AU24" s="20"/>
      <c r="AV24" s="20"/>
      <c r="AW24" s="20"/>
      <c r="AX24" s="20"/>
      <c r="AY24" s="20"/>
      <c r="AZ24" s="20"/>
      <c r="BA24" s="20"/>
      <c r="BB24" s="20"/>
      <c r="BC24" s="20"/>
      <c r="BD24" s="20"/>
      <c r="BE24" s="20"/>
      <c r="BF24" s="20"/>
      <c r="BG24" s="20"/>
      <c r="BH24" s="20"/>
      <c r="BI24" s="20"/>
      <c r="BJ24" s="20"/>
      <c r="BK24" s="20"/>
      <c r="BL24" s="20"/>
      <c r="BM24" s="20"/>
      <c r="BN24" s="20"/>
      <c r="BO24" s="20"/>
      <c r="BP24" s="20"/>
      <c r="BQ24" s="20"/>
      <c r="BR24" s="20"/>
      <c r="BS24" s="20"/>
      <c r="BT24" s="20"/>
      <c r="BU24" s="20"/>
      <c r="BV24" s="20"/>
      <c r="BW24" s="20"/>
      <c r="BX24" s="20"/>
      <c r="BY24" s="20"/>
      <c r="BZ24" s="20"/>
      <c r="CA24" s="20"/>
      <c r="CB24" s="20"/>
      <c r="CC24" s="20"/>
      <c r="CD24" s="20"/>
      <c r="CE24" s="20"/>
      <c r="CF24" s="20"/>
      <c r="CG24" s="20"/>
      <c r="CH24" s="20"/>
      <c r="CI24" s="20"/>
      <c r="CJ24" s="20"/>
      <c r="CK24" s="20"/>
      <c r="CL24" s="20"/>
      <c r="CM24" s="20"/>
      <c r="CN24" s="20"/>
      <c r="CO24" s="20"/>
      <c r="CP24" s="20"/>
      <c r="CQ24" s="20"/>
      <c r="CR24" s="20"/>
      <c r="CS24" s="20"/>
      <c r="CT24" s="20"/>
      <c r="CU24" s="20"/>
      <c r="CV24" s="20"/>
      <c r="CW24" s="20"/>
      <c r="CX24" s="20"/>
      <c r="CY24" s="20"/>
      <c r="CZ24" s="20"/>
      <c r="DA24" s="20"/>
      <c r="DB24" s="20"/>
      <c r="DC24" s="20"/>
      <c r="DD24" s="20"/>
      <c r="DE24" s="20"/>
      <c r="DF24" s="20"/>
      <c r="DG24" s="20"/>
      <c r="DH24" s="20"/>
      <c r="DI24" s="20"/>
      <c r="DJ24" s="20"/>
      <c r="DK24" s="20"/>
      <c r="DL24" s="20"/>
      <c r="DM24" s="20"/>
      <c r="DN24" s="20"/>
      <c r="DO24" s="20"/>
      <c r="DP24" s="20"/>
      <c r="DQ24" s="20"/>
      <c r="DR24" s="20"/>
      <c r="DS24" s="20"/>
      <c r="DT24" s="20"/>
      <c r="DU24" s="20"/>
      <c r="DV24" s="20"/>
      <c r="DW24" s="20"/>
      <c r="DX24" s="20"/>
      <c r="DY24" s="20"/>
      <c r="DZ24" s="20"/>
      <c r="EA24" s="20"/>
      <c r="EB24" s="20"/>
    </row>
    <row r="25" spans="1:132" hidden="1" x14ac:dyDescent="0.2">
      <c r="A25" s="20"/>
      <c r="B25" s="20"/>
      <c r="C25" s="20"/>
      <c r="D25" s="20"/>
      <c r="E25" s="20"/>
      <c r="F25" s="20"/>
      <c r="G25" s="20"/>
      <c r="H25" s="20"/>
      <c r="I25" s="20"/>
      <c r="J25" s="20"/>
      <c r="K25" s="20"/>
      <c r="L25" s="20"/>
      <c r="M25" s="20"/>
      <c r="N25" s="20"/>
      <c r="O25" s="20"/>
      <c r="P25" s="20"/>
      <c r="Q25" s="20"/>
      <c r="R25" s="20"/>
      <c r="S25" s="20"/>
      <c r="T25" s="20"/>
      <c r="U25" s="20"/>
      <c r="V25" s="20"/>
      <c r="W25" s="20"/>
      <c r="X25" s="20"/>
      <c r="Y25" s="20"/>
      <c r="Z25" s="20"/>
      <c r="AA25" s="20"/>
      <c r="AB25" s="20"/>
      <c r="AC25" s="20"/>
      <c r="AD25" s="20"/>
      <c r="AE25" s="20"/>
      <c r="AF25" s="20"/>
      <c r="AG25" s="20"/>
      <c r="AH25" s="20"/>
      <c r="AI25" s="20"/>
      <c r="AJ25" s="20"/>
      <c r="AK25" s="20"/>
      <c r="AL25" s="20"/>
      <c r="AM25" s="20"/>
      <c r="AN25" s="20"/>
      <c r="AO25" s="20"/>
      <c r="AP25" s="20"/>
      <c r="AQ25" s="20"/>
      <c r="AR25" s="20"/>
      <c r="AS25" s="20"/>
      <c r="AT25" s="20"/>
      <c r="AU25" s="20"/>
      <c r="AV25" s="20"/>
      <c r="AW25" s="20"/>
      <c r="AX25" s="20"/>
      <c r="AY25" s="20"/>
      <c r="AZ25" s="20"/>
      <c r="BA25" s="20"/>
      <c r="BB25" s="20"/>
      <c r="BC25" s="20"/>
      <c r="BD25" s="20"/>
      <c r="BE25" s="20"/>
      <c r="BF25" s="20"/>
      <c r="BG25" s="20"/>
      <c r="BH25" s="20"/>
      <c r="BI25" s="20"/>
      <c r="BJ25" s="20"/>
      <c r="BK25" s="20"/>
      <c r="BL25" s="20"/>
      <c r="BM25" s="20"/>
      <c r="BN25" s="20"/>
      <c r="BO25" s="20"/>
      <c r="BP25" s="20"/>
      <c r="BQ25" s="20"/>
      <c r="BR25" s="20"/>
      <c r="BS25" s="20"/>
      <c r="BT25" s="20"/>
      <c r="BU25" s="20"/>
      <c r="BV25" s="20"/>
      <c r="BW25" s="20"/>
      <c r="BX25" s="20"/>
      <c r="BY25" s="20"/>
      <c r="BZ25" s="20"/>
      <c r="CA25" s="20"/>
      <c r="CB25" s="20"/>
      <c r="CC25" s="20"/>
      <c r="CD25" s="20"/>
      <c r="CE25" s="20"/>
      <c r="CF25" s="20"/>
      <c r="CG25" s="20"/>
      <c r="CH25" s="20"/>
      <c r="CI25" s="20"/>
      <c r="CJ25" s="20"/>
      <c r="CK25" s="20"/>
      <c r="CL25" s="20"/>
      <c r="CM25" s="20"/>
      <c r="CN25" s="20"/>
      <c r="CO25" s="20"/>
      <c r="CP25" s="20"/>
      <c r="CQ25" s="20"/>
      <c r="CR25" s="20"/>
      <c r="CS25" s="20"/>
      <c r="CT25" s="20"/>
      <c r="CU25" s="20"/>
      <c r="CV25" s="20"/>
      <c r="CW25" s="20"/>
      <c r="CX25" s="20"/>
      <c r="CY25" s="20"/>
      <c r="CZ25" s="20"/>
      <c r="DA25" s="20"/>
      <c r="DB25" s="20"/>
      <c r="DC25" s="20"/>
      <c r="DD25" s="20"/>
      <c r="DE25" s="20"/>
      <c r="DF25" s="20"/>
      <c r="DG25" s="20"/>
      <c r="DH25" s="20"/>
      <c r="DI25" s="20"/>
      <c r="DJ25" s="20"/>
      <c r="DK25" s="20"/>
      <c r="DL25" s="20"/>
      <c r="DM25" s="20"/>
      <c r="DN25" s="20"/>
      <c r="DO25" s="20"/>
      <c r="DP25" s="20"/>
      <c r="DQ25" s="20"/>
      <c r="DR25" s="20"/>
      <c r="DS25" s="20"/>
      <c r="DT25" s="20"/>
      <c r="DU25" s="20"/>
      <c r="DV25" s="20"/>
      <c r="DW25" s="20"/>
      <c r="DX25" s="20"/>
      <c r="DY25" s="20"/>
      <c r="DZ25" s="20"/>
      <c r="EA25" s="20"/>
      <c r="EB25" s="20"/>
    </row>
    <row r="26" spans="1:132" hidden="1" x14ac:dyDescent="0.2">
      <c r="A26" s="20"/>
      <c r="B26" s="20"/>
      <c r="C26" s="20"/>
      <c r="D26" s="20"/>
      <c r="E26" s="20"/>
      <c r="F26" s="20"/>
      <c r="G26" s="20"/>
      <c r="H26" s="20"/>
      <c r="I26" s="20"/>
      <c r="J26" s="20"/>
      <c r="K26" s="20"/>
      <c r="L26" s="20"/>
      <c r="M26" s="20"/>
      <c r="N26" s="20"/>
      <c r="O26" s="20"/>
      <c r="P26" s="20"/>
      <c r="Q26" s="20"/>
      <c r="R26" s="20"/>
      <c r="S26" s="20"/>
      <c r="T26" s="20"/>
      <c r="U26" s="20"/>
      <c r="V26" s="20"/>
      <c r="W26" s="20"/>
      <c r="X26" s="20"/>
      <c r="Y26" s="20"/>
      <c r="Z26" s="20"/>
      <c r="AA26" s="20"/>
      <c r="AB26" s="20"/>
      <c r="AC26" s="20"/>
      <c r="AD26" s="20"/>
      <c r="AE26" s="20"/>
      <c r="AF26" s="20"/>
      <c r="AG26" s="20"/>
      <c r="AH26" s="20"/>
      <c r="AI26" s="20"/>
      <c r="AJ26" s="20"/>
      <c r="AK26" s="20"/>
      <c r="AL26" s="20"/>
      <c r="AM26" s="20"/>
      <c r="AN26" s="20"/>
      <c r="AO26" s="20"/>
      <c r="AP26" s="20"/>
      <c r="AQ26" s="20"/>
      <c r="AR26" s="20"/>
      <c r="AS26" s="20"/>
      <c r="AT26" s="20"/>
      <c r="AU26" s="20"/>
      <c r="AV26" s="20"/>
      <c r="AW26" s="20"/>
      <c r="AX26" s="20"/>
      <c r="AY26" s="20"/>
      <c r="AZ26" s="20"/>
      <c r="BA26" s="20"/>
      <c r="BB26" s="20"/>
      <c r="BC26" s="20"/>
      <c r="BD26" s="20"/>
      <c r="BE26" s="20"/>
      <c r="BF26" s="20"/>
      <c r="BG26" s="20"/>
      <c r="BH26" s="20"/>
      <c r="BI26" s="20"/>
      <c r="BJ26" s="20"/>
      <c r="BK26" s="20"/>
      <c r="BL26" s="20"/>
      <c r="BM26" s="20"/>
      <c r="BN26" s="20"/>
      <c r="BO26" s="20"/>
      <c r="BP26" s="20"/>
      <c r="BQ26" s="20"/>
      <c r="BR26" s="20"/>
      <c r="BS26" s="20"/>
      <c r="BT26" s="20"/>
      <c r="BU26" s="20"/>
      <c r="BV26" s="20"/>
      <c r="BW26" s="20"/>
      <c r="BX26" s="20"/>
      <c r="BY26" s="20"/>
      <c r="BZ26" s="20"/>
      <c r="CA26" s="20"/>
      <c r="CB26" s="20"/>
      <c r="CC26" s="20"/>
      <c r="CD26" s="20"/>
      <c r="CE26" s="20"/>
      <c r="CF26" s="20"/>
      <c r="CG26" s="20"/>
      <c r="CH26" s="20"/>
      <c r="CI26" s="20"/>
      <c r="CJ26" s="20"/>
      <c r="CK26" s="20"/>
      <c r="CL26" s="20"/>
      <c r="CM26" s="20"/>
      <c r="CN26" s="20"/>
      <c r="CO26" s="20"/>
      <c r="CP26" s="20"/>
      <c r="CQ26" s="20"/>
      <c r="CR26" s="20"/>
      <c r="CS26" s="20"/>
      <c r="CT26" s="20"/>
      <c r="CU26" s="20"/>
      <c r="CV26" s="20"/>
      <c r="CW26" s="20"/>
      <c r="CX26" s="20"/>
      <c r="CY26" s="20"/>
      <c r="CZ26" s="20"/>
      <c r="DA26" s="20"/>
      <c r="DB26" s="20"/>
      <c r="DC26" s="20"/>
      <c r="DD26" s="20"/>
      <c r="DE26" s="20"/>
      <c r="DF26" s="20"/>
      <c r="DG26" s="20"/>
      <c r="DH26" s="20"/>
      <c r="DI26" s="20"/>
      <c r="DJ26" s="20"/>
      <c r="DK26" s="20"/>
      <c r="DL26" s="20"/>
      <c r="DM26" s="20"/>
      <c r="DN26" s="20"/>
      <c r="DO26" s="20"/>
      <c r="DP26" s="20"/>
      <c r="DQ26" s="20"/>
      <c r="DR26" s="20"/>
      <c r="DS26" s="20"/>
      <c r="DT26" s="20"/>
      <c r="DU26" s="20"/>
      <c r="DV26" s="20"/>
      <c r="DW26" s="20"/>
      <c r="DX26" s="20"/>
      <c r="DY26" s="20"/>
      <c r="DZ26" s="20"/>
      <c r="EA26" s="20"/>
      <c r="EB26" s="20"/>
    </row>
    <row r="27" spans="1:132" hidden="1" x14ac:dyDescent="0.2">
      <c r="A27" s="20"/>
      <c r="B27" s="20"/>
      <c r="C27" s="20"/>
      <c r="D27" s="20"/>
      <c r="E27" s="20"/>
      <c r="F27" s="20"/>
      <c r="G27" s="20"/>
      <c r="H27" s="20"/>
      <c r="I27" s="20"/>
      <c r="J27" s="20"/>
      <c r="K27" s="20"/>
      <c r="L27" s="20"/>
      <c r="M27" s="20"/>
      <c r="N27" s="20"/>
      <c r="O27" s="20"/>
      <c r="P27" s="20"/>
      <c r="Q27" s="20"/>
      <c r="R27" s="20"/>
      <c r="S27" s="20"/>
      <c r="T27" s="20"/>
      <c r="U27" s="20"/>
      <c r="V27" s="20"/>
      <c r="W27" s="20"/>
      <c r="X27" s="20"/>
      <c r="Y27" s="20"/>
      <c r="Z27" s="20"/>
      <c r="AA27" s="20"/>
      <c r="AB27" s="20"/>
      <c r="AC27" s="20"/>
      <c r="AD27" s="20"/>
      <c r="AE27" s="20"/>
      <c r="AF27" s="20"/>
      <c r="AG27" s="20"/>
      <c r="AH27" s="20"/>
      <c r="AI27" s="20"/>
      <c r="AJ27" s="20"/>
      <c r="AK27" s="20"/>
      <c r="AL27" s="20"/>
      <c r="AM27" s="20"/>
      <c r="AN27" s="20"/>
      <c r="AO27" s="20"/>
      <c r="AP27" s="20"/>
      <c r="AQ27" s="20"/>
      <c r="AR27" s="20"/>
      <c r="AS27" s="20"/>
      <c r="AT27" s="20"/>
      <c r="AU27" s="20"/>
      <c r="AV27" s="20"/>
      <c r="AW27" s="20"/>
      <c r="AX27" s="20"/>
      <c r="AY27" s="20"/>
      <c r="AZ27" s="20"/>
      <c r="BA27" s="20"/>
      <c r="BB27" s="20"/>
      <c r="BC27" s="20"/>
      <c r="BD27" s="20"/>
      <c r="BE27" s="20"/>
      <c r="BF27" s="20"/>
      <c r="BG27" s="20"/>
      <c r="BH27" s="20"/>
      <c r="BI27" s="20"/>
      <c r="BJ27" s="20"/>
      <c r="BK27" s="20"/>
      <c r="BL27" s="20"/>
      <c r="BM27" s="20"/>
      <c r="BN27" s="20"/>
      <c r="BO27" s="20"/>
      <c r="BP27" s="20"/>
      <c r="BQ27" s="20"/>
      <c r="BR27" s="20"/>
      <c r="BS27" s="20"/>
      <c r="BT27" s="20"/>
      <c r="BU27" s="20"/>
      <c r="BV27" s="20"/>
      <c r="BW27" s="20"/>
      <c r="BX27" s="20"/>
      <c r="BY27" s="20"/>
      <c r="BZ27" s="20"/>
      <c r="CA27" s="20"/>
      <c r="CB27" s="20"/>
      <c r="CC27" s="20"/>
      <c r="CD27" s="20"/>
      <c r="CE27" s="20"/>
      <c r="CF27" s="20"/>
      <c r="CG27" s="20"/>
      <c r="CH27" s="20"/>
      <c r="CI27" s="20"/>
      <c r="CJ27" s="20"/>
      <c r="CK27" s="20"/>
      <c r="CL27" s="20"/>
      <c r="CM27" s="20"/>
      <c r="CN27" s="20"/>
      <c r="CO27" s="20"/>
      <c r="CP27" s="20"/>
      <c r="CQ27" s="20"/>
      <c r="CR27" s="20"/>
      <c r="CS27" s="20"/>
      <c r="CT27" s="20"/>
      <c r="CU27" s="20"/>
      <c r="CV27" s="20"/>
      <c r="CW27" s="20"/>
      <c r="CX27" s="20"/>
      <c r="CY27" s="20"/>
      <c r="CZ27" s="20"/>
      <c r="DA27" s="20"/>
      <c r="DB27" s="20"/>
      <c r="DC27" s="20"/>
      <c r="DD27" s="20"/>
      <c r="DE27" s="20"/>
      <c r="DF27" s="20"/>
      <c r="DG27" s="20"/>
      <c r="DH27" s="20"/>
      <c r="DI27" s="20"/>
      <c r="DJ27" s="20"/>
      <c r="DK27" s="20"/>
      <c r="DL27" s="20"/>
      <c r="DM27" s="20"/>
      <c r="DN27" s="20"/>
      <c r="DO27" s="20"/>
      <c r="DP27" s="20"/>
      <c r="DQ27" s="20"/>
      <c r="DR27" s="20"/>
      <c r="DS27" s="20"/>
      <c r="DT27" s="20"/>
      <c r="DU27" s="20"/>
      <c r="DV27" s="20"/>
      <c r="DW27" s="20"/>
      <c r="DX27" s="20"/>
      <c r="DY27" s="20"/>
      <c r="DZ27" s="20"/>
      <c r="EA27" s="20"/>
      <c r="EB27" s="20"/>
    </row>
    <row r="28" spans="1:132" hidden="1" x14ac:dyDescent="0.2">
      <c r="A28" s="20"/>
      <c r="B28" s="20"/>
      <c r="C28" s="20"/>
      <c r="D28" s="20"/>
      <c r="E28" s="20"/>
      <c r="F28" s="20"/>
      <c r="G28" s="20"/>
      <c r="H28" s="20"/>
      <c r="I28" s="20"/>
      <c r="J28" s="20"/>
      <c r="K28" s="20"/>
      <c r="L28" s="20"/>
      <c r="M28" s="20"/>
      <c r="N28" s="20"/>
      <c r="O28" s="20"/>
      <c r="P28" s="20"/>
      <c r="Q28" s="20"/>
      <c r="R28" s="20"/>
      <c r="S28" s="20"/>
      <c r="T28" s="20"/>
      <c r="U28" s="20"/>
      <c r="V28" s="20"/>
      <c r="W28" s="20"/>
      <c r="X28" s="20"/>
      <c r="Y28" s="20"/>
      <c r="Z28" s="20"/>
      <c r="AA28" s="20"/>
      <c r="AB28" s="20"/>
      <c r="AC28" s="20"/>
      <c r="AD28" s="20"/>
      <c r="AE28" s="20"/>
      <c r="AF28" s="20"/>
      <c r="AG28" s="20"/>
      <c r="AH28" s="20"/>
      <c r="AI28" s="20"/>
      <c r="AJ28" s="20"/>
      <c r="AK28" s="20"/>
      <c r="AL28" s="20"/>
      <c r="AM28" s="20"/>
      <c r="AN28" s="20"/>
      <c r="AO28" s="20"/>
      <c r="AP28" s="20"/>
      <c r="AQ28" s="20"/>
      <c r="AR28" s="20"/>
      <c r="AS28" s="20"/>
      <c r="AT28" s="20"/>
      <c r="AU28" s="20"/>
      <c r="AV28" s="20"/>
      <c r="AW28" s="20"/>
      <c r="AX28" s="20"/>
      <c r="AY28" s="20"/>
      <c r="AZ28" s="20"/>
      <c r="BA28" s="20"/>
      <c r="BB28" s="20"/>
      <c r="BC28" s="20"/>
      <c r="BD28" s="20"/>
      <c r="BE28" s="20"/>
      <c r="BF28" s="20"/>
      <c r="BG28" s="20"/>
      <c r="BH28" s="20"/>
      <c r="BI28" s="20"/>
      <c r="BJ28" s="20"/>
      <c r="BK28" s="20"/>
      <c r="BL28" s="20"/>
      <c r="BM28" s="20"/>
      <c r="BN28" s="20"/>
      <c r="BO28" s="20"/>
      <c r="BP28" s="20"/>
      <c r="BQ28" s="20"/>
      <c r="BR28" s="20"/>
      <c r="BS28" s="20"/>
      <c r="BT28" s="20"/>
      <c r="BU28" s="20"/>
      <c r="BV28" s="20"/>
      <c r="BW28" s="20"/>
      <c r="BX28" s="20"/>
      <c r="BY28" s="20"/>
      <c r="BZ28" s="20"/>
      <c r="CA28" s="20"/>
      <c r="CB28" s="20"/>
      <c r="CC28" s="20"/>
      <c r="CD28" s="20"/>
      <c r="CE28" s="20"/>
      <c r="CF28" s="20"/>
      <c r="CG28" s="20"/>
      <c r="CH28" s="20"/>
      <c r="CI28" s="20"/>
      <c r="CJ28" s="20"/>
      <c r="CK28" s="20"/>
      <c r="CL28" s="20"/>
      <c r="CM28" s="20"/>
      <c r="CN28" s="20"/>
      <c r="CO28" s="20"/>
      <c r="CP28" s="20"/>
      <c r="CQ28" s="20"/>
      <c r="CR28" s="20"/>
      <c r="CS28" s="20"/>
      <c r="CT28" s="20"/>
      <c r="CU28" s="20"/>
      <c r="CV28" s="20"/>
      <c r="CW28" s="20"/>
      <c r="CX28" s="20"/>
      <c r="CY28" s="20"/>
      <c r="CZ28" s="20"/>
      <c r="DA28" s="20"/>
      <c r="DB28" s="20"/>
      <c r="DC28" s="20"/>
      <c r="DD28" s="20"/>
      <c r="DE28" s="20"/>
      <c r="DF28" s="20"/>
      <c r="DG28" s="20"/>
      <c r="DH28" s="20"/>
      <c r="DI28" s="20"/>
      <c r="DJ28" s="20"/>
      <c r="DK28" s="20"/>
      <c r="DL28" s="20"/>
      <c r="DM28" s="20"/>
      <c r="DN28" s="20"/>
      <c r="DO28" s="20"/>
      <c r="DP28" s="20"/>
      <c r="DQ28" s="20"/>
      <c r="DR28" s="20"/>
      <c r="DS28" s="20"/>
      <c r="DT28" s="20"/>
      <c r="DU28" s="20"/>
      <c r="DV28" s="20"/>
      <c r="DW28" s="20"/>
      <c r="DX28" s="20"/>
      <c r="DY28" s="20"/>
      <c r="DZ28" s="20"/>
      <c r="EA28" s="20"/>
      <c r="EB28" s="20"/>
    </row>
    <row r="29" spans="1:132" hidden="1" x14ac:dyDescent="0.2">
      <c r="A29" s="20"/>
      <c r="B29" s="20"/>
      <c r="C29" s="20"/>
      <c r="D29" s="20"/>
      <c r="E29" s="20"/>
      <c r="F29" s="20"/>
      <c r="G29" s="20"/>
      <c r="H29" s="20"/>
      <c r="I29" s="20"/>
      <c r="J29" s="20"/>
      <c r="K29" s="20"/>
      <c r="L29" s="20"/>
      <c r="M29" s="20"/>
      <c r="N29" s="20"/>
      <c r="O29" s="20"/>
      <c r="P29" s="20"/>
      <c r="Q29" s="20"/>
      <c r="R29" s="20"/>
      <c r="S29" s="20"/>
      <c r="T29" s="20"/>
      <c r="U29" s="20"/>
      <c r="V29" s="20"/>
      <c r="W29" s="20"/>
      <c r="X29" s="20"/>
      <c r="Y29" s="20"/>
      <c r="Z29" s="20"/>
      <c r="AA29" s="20"/>
      <c r="AB29" s="20"/>
      <c r="AC29" s="20"/>
      <c r="AD29" s="20"/>
      <c r="AE29" s="20"/>
      <c r="AF29" s="20"/>
      <c r="AG29" s="20"/>
      <c r="AH29" s="20"/>
      <c r="AI29" s="20"/>
      <c r="AJ29" s="20"/>
      <c r="AK29" s="20"/>
      <c r="AL29" s="20"/>
      <c r="AM29" s="20"/>
      <c r="AN29" s="20"/>
      <c r="AO29" s="20"/>
      <c r="AP29" s="20"/>
      <c r="AQ29" s="20"/>
      <c r="AR29" s="20"/>
      <c r="AS29" s="20"/>
      <c r="AT29" s="20"/>
      <c r="AU29" s="20"/>
      <c r="AV29" s="20"/>
      <c r="AW29" s="20"/>
      <c r="AX29" s="20"/>
      <c r="AY29" s="20"/>
      <c r="AZ29" s="20"/>
      <c r="BA29" s="20"/>
      <c r="BB29" s="20"/>
      <c r="BC29" s="20"/>
      <c r="BD29" s="20"/>
      <c r="BE29" s="20"/>
      <c r="BF29" s="20"/>
      <c r="BG29" s="20"/>
      <c r="BH29" s="20"/>
      <c r="BI29" s="20"/>
      <c r="BJ29" s="20"/>
      <c r="BK29" s="20"/>
      <c r="BL29" s="20"/>
      <c r="BM29" s="20"/>
      <c r="BN29" s="20"/>
      <c r="BO29" s="20"/>
      <c r="BP29" s="20"/>
      <c r="BQ29" s="20"/>
      <c r="BR29" s="20"/>
      <c r="BS29" s="20"/>
      <c r="BT29" s="20"/>
      <c r="BU29" s="20"/>
      <c r="BV29" s="20"/>
      <c r="BW29" s="20"/>
      <c r="BX29" s="20"/>
      <c r="BY29" s="20"/>
      <c r="BZ29" s="20"/>
      <c r="CA29" s="20"/>
      <c r="CB29" s="20"/>
      <c r="CC29" s="20"/>
      <c r="CD29" s="20"/>
      <c r="CE29" s="20"/>
      <c r="CF29" s="20"/>
      <c r="CG29" s="20"/>
      <c r="CH29" s="20"/>
      <c r="CI29" s="20"/>
      <c r="CJ29" s="20"/>
      <c r="CK29" s="20"/>
      <c r="CL29" s="20"/>
      <c r="CM29" s="20"/>
      <c r="CN29" s="20"/>
      <c r="CO29" s="20"/>
      <c r="CP29" s="20"/>
      <c r="CQ29" s="20"/>
      <c r="CR29" s="20"/>
      <c r="CS29" s="20"/>
      <c r="CT29" s="20"/>
      <c r="CU29" s="20"/>
      <c r="CV29" s="20"/>
      <c r="CW29" s="20"/>
      <c r="CX29" s="20"/>
      <c r="CY29" s="20"/>
      <c r="CZ29" s="20"/>
      <c r="DA29" s="20"/>
      <c r="DB29" s="20"/>
      <c r="DC29" s="20"/>
      <c r="DD29" s="20"/>
      <c r="DE29" s="20"/>
      <c r="DF29" s="20"/>
      <c r="DG29" s="20"/>
      <c r="DH29" s="20"/>
      <c r="DI29" s="20"/>
      <c r="DJ29" s="20"/>
      <c r="DK29" s="20"/>
      <c r="DL29" s="20"/>
      <c r="DM29" s="20"/>
      <c r="DN29" s="20"/>
      <c r="DO29" s="20"/>
      <c r="DP29" s="20"/>
      <c r="DQ29" s="20"/>
      <c r="DR29" s="20"/>
      <c r="DS29" s="20"/>
      <c r="DT29" s="20"/>
      <c r="DU29" s="20"/>
      <c r="DV29" s="20"/>
      <c r="DW29" s="20"/>
      <c r="DX29" s="20"/>
      <c r="DY29" s="20"/>
      <c r="DZ29" s="20"/>
      <c r="EA29" s="20"/>
      <c r="EB29" s="20"/>
    </row>
    <row r="30" spans="1:132" hidden="1" x14ac:dyDescent="0.2">
      <c r="A30" s="20"/>
      <c r="B30" s="20"/>
      <c r="C30" s="20"/>
      <c r="D30" s="20"/>
      <c r="E30" s="20"/>
      <c r="F30" s="20"/>
      <c r="G30" s="20"/>
      <c r="H30" s="20"/>
      <c r="I30" s="20"/>
      <c r="J30" s="20"/>
      <c r="K30" s="20"/>
      <c r="L30" s="20"/>
      <c r="M30" s="20"/>
      <c r="N30" s="20"/>
      <c r="O30" s="20"/>
      <c r="P30" s="20"/>
      <c r="Q30" s="20"/>
      <c r="R30" s="20"/>
      <c r="S30" s="20"/>
      <c r="T30" s="20"/>
      <c r="U30" s="20"/>
      <c r="V30" s="20"/>
      <c r="W30" s="20"/>
      <c r="X30" s="20"/>
      <c r="Y30" s="20"/>
      <c r="Z30" s="20"/>
      <c r="AA30" s="20"/>
      <c r="AB30" s="20"/>
      <c r="AC30" s="20"/>
      <c r="AD30" s="20"/>
      <c r="AE30" s="20"/>
      <c r="AF30" s="20"/>
      <c r="AG30" s="20"/>
      <c r="AH30" s="20"/>
      <c r="AI30" s="20"/>
      <c r="AJ30" s="20"/>
      <c r="AK30" s="20"/>
      <c r="AL30" s="20"/>
      <c r="AM30" s="20"/>
      <c r="AN30" s="20"/>
      <c r="AO30" s="20"/>
      <c r="AP30" s="20"/>
      <c r="AQ30" s="20"/>
      <c r="AR30" s="20"/>
      <c r="AS30" s="20"/>
      <c r="AT30" s="20"/>
      <c r="AU30" s="20"/>
      <c r="AV30" s="20"/>
      <c r="AW30" s="20"/>
      <c r="AX30" s="20"/>
      <c r="AY30" s="20"/>
      <c r="AZ30" s="20"/>
      <c r="BA30" s="20"/>
      <c r="BB30" s="20"/>
      <c r="BC30" s="20"/>
      <c r="BD30" s="20"/>
      <c r="BE30" s="20"/>
      <c r="BF30" s="20"/>
      <c r="BG30" s="20"/>
      <c r="BH30" s="20"/>
      <c r="BI30" s="20"/>
      <c r="BJ30" s="20"/>
      <c r="BK30" s="20"/>
      <c r="BL30" s="20"/>
      <c r="BM30" s="20"/>
      <c r="BN30" s="20"/>
      <c r="BO30" s="20"/>
      <c r="BP30" s="20"/>
      <c r="BQ30" s="20"/>
      <c r="BR30" s="20"/>
      <c r="BS30" s="20"/>
      <c r="BT30" s="20"/>
      <c r="BU30" s="20"/>
      <c r="BV30" s="20"/>
      <c r="BW30" s="20"/>
      <c r="BX30" s="20"/>
      <c r="BY30" s="20"/>
      <c r="BZ30" s="20"/>
      <c r="CA30" s="20"/>
      <c r="CB30" s="20"/>
      <c r="CC30" s="20"/>
      <c r="CD30" s="20"/>
      <c r="CE30" s="20"/>
      <c r="CF30" s="20"/>
      <c r="CG30" s="20"/>
      <c r="CH30" s="20"/>
      <c r="CI30" s="20"/>
      <c r="CJ30" s="20"/>
      <c r="CK30" s="20"/>
      <c r="CL30" s="20"/>
      <c r="CM30" s="20"/>
      <c r="CN30" s="20"/>
      <c r="CO30" s="20"/>
      <c r="CP30" s="20"/>
      <c r="CQ30" s="20"/>
      <c r="CR30" s="20"/>
      <c r="CS30" s="20"/>
      <c r="CT30" s="20"/>
      <c r="CU30" s="20"/>
      <c r="CV30" s="20"/>
      <c r="CW30" s="20"/>
      <c r="CX30" s="20"/>
      <c r="CY30" s="20"/>
      <c r="CZ30" s="20"/>
      <c r="DA30" s="20"/>
      <c r="DB30" s="20"/>
      <c r="DC30" s="20"/>
      <c r="DD30" s="20"/>
      <c r="DE30" s="20"/>
      <c r="DF30" s="20"/>
      <c r="DG30" s="20"/>
      <c r="DH30" s="20"/>
      <c r="DI30" s="20"/>
      <c r="DJ30" s="20"/>
      <c r="DK30" s="20"/>
      <c r="DL30" s="20"/>
      <c r="DM30" s="20"/>
      <c r="DN30" s="20"/>
      <c r="DO30" s="20"/>
      <c r="DP30" s="20"/>
      <c r="DQ30" s="20"/>
      <c r="DR30" s="20"/>
      <c r="DS30" s="20"/>
      <c r="DT30" s="20"/>
      <c r="DU30" s="20"/>
      <c r="DV30" s="20"/>
      <c r="DW30" s="20"/>
      <c r="DX30" s="20"/>
      <c r="DY30" s="20"/>
      <c r="DZ30" s="20"/>
      <c r="EA30" s="20"/>
      <c r="EB30" s="20"/>
    </row>
    <row r="31" spans="1:132" hidden="1" x14ac:dyDescent="0.2">
      <c r="A31" s="20"/>
      <c r="B31" s="20"/>
      <c r="C31" s="20"/>
      <c r="D31" s="20"/>
      <c r="E31" s="20"/>
      <c r="F31" s="20"/>
      <c r="G31" s="20"/>
      <c r="H31" s="20"/>
      <c r="I31" s="20"/>
      <c r="J31" s="20"/>
      <c r="K31" s="20"/>
      <c r="L31" s="20"/>
      <c r="M31" s="20"/>
      <c r="N31" s="20"/>
      <c r="O31" s="20"/>
      <c r="P31" s="20"/>
      <c r="Q31" s="20"/>
      <c r="R31" s="20"/>
      <c r="S31" s="20"/>
      <c r="T31" s="20"/>
      <c r="U31" s="20"/>
      <c r="V31" s="20"/>
      <c r="W31" s="20"/>
      <c r="X31" s="20"/>
      <c r="Y31" s="20"/>
      <c r="Z31" s="20"/>
      <c r="AA31" s="20"/>
      <c r="AB31" s="20"/>
      <c r="AC31" s="20"/>
      <c r="AD31" s="20"/>
      <c r="AE31" s="20"/>
      <c r="AF31" s="20"/>
      <c r="AG31" s="20"/>
      <c r="AH31" s="20"/>
      <c r="AI31" s="20"/>
      <c r="AJ31" s="20"/>
      <c r="AK31" s="20"/>
      <c r="AL31" s="20"/>
      <c r="AM31" s="20"/>
      <c r="AN31" s="20"/>
      <c r="AO31" s="20"/>
      <c r="AP31" s="20"/>
      <c r="AQ31" s="20"/>
      <c r="AR31" s="20"/>
      <c r="AS31" s="20"/>
      <c r="AT31" s="20"/>
      <c r="AU31" s="20"/>
      <c r="AV31" s="20"/>
      <c r="AW31" s="20"/>
      <c r="AX31" s="20"/>
      <c r="AY31" s="20"/>
      <c r="AZ31" s="20"/>
      <c r="BA31" s="20"/>
      <c r="BB31" s="20"/>
      <c r="BC31" s="20"/>
      <c r="BD31" s="20"/>
      <c r="BE31" s="20"/>
      <c r="BF31" s="20"/>
      <c r="BG31" s="20"/>
      <c r="BH31" s="20"/>
      <c r="BI31" s="20"/>
      <c r="BJ31" s="20"/>
      <c r="BK31" s="20"/>
      <c r="BL31" s="20"/>
      <c r="BM31" s="20"/>
      <c r="BN31" s="20"/>
      <c r="BO31" s="20"/>
      <c r="BP31" s="20"/>
      <c r="BQ31" s="20"/>
      <c r="BR31" s="20"/>
      <c r="BS31" s="20"/>
      <c r="BT31" s="20"/>
      <c r="BU31" s="20"/>
      <c r="BV31" s="20"/>
      <c r="BW31" s="20"/>
      <c r="BX31" s="20"/>
      <c r="BY31" s="20"/>
      <c r="BZ31" s="20"/>
      <c r="CA31" s="20"/>
      <c r="CB31" s="20"/>
      <c r="CC31" s="20"/>
      <c r="CD31" s="20"/>
      <c r="CE31" s="20"/>
      <c r="CF31" s="20"/>
      <c r="CG31" s="20"/>
      <c r="CH31" s="20"/>
      <c r="CI31" s="20"/>
      <c r="CJ31" s="20"/>
      <c r="CK31" s="20"/>
      <c r="CL31" s="20"/>
      <c r="CM31" s="20"/>
      <c r="CN31" s="20"/>
      <c r="CO31" s="20"/>
      <c r="CP31" s="20"/>
      <c r="CQ31" s="20"/>
      <c r="CR31" s="20"/>
      <c r="CS31" s="20"/>
      <c r="CT31" s="20"/>
      <c r="CU31" s="20"/>
      <c r="CV31" s="20"/>
      <c r="CW31" s="20"/>
      <c r="CX31" s="20"/>
      <c r="CY31" s="20"/>
      <c r="CZ31" s="20"/>
      <c r="DA31" s="20"/>
      <c r="DB31" s="20"/>
      <c r="DC31" s="20"/>
      <c r="DD31" s="20"/>
      <c r="DE31" s="20"/>
      <c r="DF31" s="20"/>
      <c r="DG31" s="20"/>
      <c r="DH31" s="20"/>
      <c r="DI31" s="20"/>
      <c r="DJ31" s="20"/>
      <c r="DK31" s="20"/>
      <c r="DL31" s="20"/>
      <c r="DM31" s="20"/>
      <c r="DN31" s="20"/>
      <c r="DO31" s="20"/>
      <c r="DP31" s="20"/>
      <c r="DQ31" s="20"/>
      <c r="DR31" s="20"/>
      <c r="DS31" s="20"/>
      <c r="DT31" s="20"/>
      <c r="DU31" s="20"/>
      <c r="DV31" s="20"/>
      <c r="DW31" s="20"/>
      <c r="DX31" s="20"/>
      <c r="DY31" s="20"/>
      <c r="DZ31" s="20"/>
      <c r="EA31" s="20"/>
      <c r="EB31" s="20"/>
    </row>
    <row r="32" spans="1:132" hidden="1" x14ac:dyDescent="0.2">
      <c r="A32" s="20"/>
      <c r="B32" s="20"/>
      <c r="C32" s="20"/>
      <c r="D32" s="20"/>
      <c r="E32" s="20"/>
      <c r="F32" s="20"/>
      <c r="G32" s="20"/>
      <c r="H32" s="20"/>
      <c r="I32" s="20"/>
      <c r="J32" s="20"/>
      <c r="K32" s="20"/>
      <c r="L32" s="20"/>
      <c r="M32" s="20"/>
      <c r="N32" s="20"/>
      <c r="O32" s="20"/>
      <c r="P32" s="20"/>
      <c r="Q32" s="20"/>
      <c r="R32" s="20"/>
      <c r="S32" s="20"/>
      <c r="T32" s="20"/>
      <c r="U32" s="20"/>
      <c r="V32" s="20"/>
      <c r="W32" s="20"/>
      <c r="X32" s="20"/>
      <c r="Y32" s="20"/>
      <c r="Z32" s="20"/>
      <c r="AA32" s="20"/>
      <c r="AB32" s="20"/>
      <c r="AC32" s="20"/>
      <c r="AD32" s="20"/>
      <c r="AE32" s="20"/>
      <c r="AF32" s="20"/>
      <c r="AG32" s="20"/>
      <c r="AH32" s="20"/>
      <c r="AI32" s="20"/>
      <c r="AJ32" s="20"/>
      <c r="AK32" s="20"/>
      <c r="AL32" s="20"/>
      <c r="AM32" s="20"/>
      <c r="AN32" s="20"/>
      <c r="AO32" s="20"/>
      <c r="AP32" s="20"/>
      <c r="AQ32" s="20"/>
      <c r="AR32" s="20"/>
      <c r="AS32" s="20"/>
      <c r="AT32" s="20"/>
      <c r="AU32" s="20"/>
      <c r="AV32" s="20"/>
      <c r="AW32" s="20"/>
      <c r="AX32" s="20"/>
      <c r="AY32" s="20"/>
      <c r="AZ32" s="20"/>
      <c r="BA32" s="20"/>
      <c r="BB32" s="20"/>
      <c r="BC32" s="20"/>
      <c r="BD32" s="20"/>
      <c r="BE32" s="20"/>
      <c r="BF32" s="20"/>
      <c r="BG32" s="20"/>
      <c r="BH32" s="20"/>
      <c r="BI32" s="20"/>
      <c r="BJ32" s="20"/>
      <c r="BK32" s="20"/>
      <c r="BL32" s="20"/>
      <c r="BM32" s="20"/>
      <c r="BN32" s="20"/>
      <c r="BO32" s="20"/>
      <c r="BP32" s="20"/>
      <c r="BQ32" s="20"/>
      <c r="BR32" s="20"/>
      <c r="BS32" s="20"/>
      <c r="BT32" s="20"/>
      <c r="BU32" s="20"/>
      <c r="BV32" s="20"/>
      <c r="BW32" s="20"/>
      <c r="BX32" s="20"/>
      <c r="BY32" s="20"/>
      <c r="BZ32" s="20"/>
      <c r="CA32" s="20"/>
      <c r="CB32" s="20"/>
      <c r="CC32" s="20"/>
      <c r="CD32" s="20"/>
      <c r="CE32" s="20"/>
      <c r="CF32" s="20"/>
      <c r="CG32" s="20"/>
      <c r="CH32" s="20"/>
      <c r="CI32" s="20"/>
      <c r="CJ32" s="20"/>
      <c r="CK32" s="20"/>
      <c r="CL32" s="20"/>
      <c r="CM32" s="20"/>
      <c r="CN32" s="20"/>
      <c r="CO32" s="20"/>
      <c r="CP32" s="20"/>
      <c r="CQ32" s="20"/>
      <c r="CR32" s="20"/>
      <c r="CS32" s="20"/>
      <c r="CT32" s="20"/>
      <c r="CU32" s="20"/>
      <c r="CV32" s="20"/>
      <c r="CW32" s="20"/>
      <c r="CX32" s="20"/>
      <c r="CY32" s="20"/>
      <c r="CZ32" s="20"/>
      <c r="DA32" s="20"/>
      <c r="DB32" s="20"/>
      <c r="DC32" s="20"/>
      <c r="DD32" s="20"/>
      <c r="DE32" s="20"/>
      <c r="DF32" s="20"/>
      <c r="DG32" s="20"/>
      <c r="DH32" s="20"/>
      <c r="DI32" s="20"/>
      <c r="DJ32" s="20"/>
      <c r="DK32" s="20"/>
      <c r="DL32" s="20"/>
      <c r="DM32" s="20"/>
      <c r="DN32" s="20"/>
      <c r="DO32" s="20"/>
      <c r="DP32" s="20"/>
      <c r="DQ32" s="20"/>
      <c r="DR32" s="20"/>
      <c r="DS32" s="20"/>
      <c r="DT32" s="20"/>
      <c r="DU32" s="20"/>
      <c r="DV32" s="20"/>
      <c r="DW32" s="20"/>
      <c r="DX32" s="20"/>
      <c r="DY32" s="20"/>
      <c r="DZ32" s="20"/>
      <c r="EA32" s="20"/>
      <c r="EB32" s="20"/>
    </row>
    <row r="33" spans="1:132" hidden="1" x14ac:dyDescent="0.2">
      <c r="A33" s="20"/>
      <c r="B33" s="20"/>
      <c r="C33" s="20"/>
      <c r="D33" s="20"/>
      <c r="E33" s="20"/>
      <c r="F33" s="20"/>
      <c r="G33" s="20"/>
      <c r="H33" s="20"/>
      <c r="I33" s="20"/>
      <c r="J33" s="20"/>
      <c r="K33" s="20"/>
      <c r="L33" s="20"/>
      <c r="M33" s="20"/>
      <c r="N33" s="20"/>
      <c r="O33" s="20"/>
      <c r="P33" s="20"/>
      <c r="Q33" s="20"/>
      <c r="R33" s="20"/>
      <c r="S33" s="20"/>
      <c r="T33" s="20"/>
      <c r="U33" s="20"/>
      <c r="V33" s="20"/>
      <c r="W33" s="20"/>
      <c r="X33" s="20"/>
      <c r="Y33" s="20"/>
      <c r="Z33" s="20"/>
      <c r="AA33" s="20"/>
      <c r="AB33" s="20"/>
      <c r="AC33" s="20"/>
      <c r="AD33" s="20"/>
      <c r="AE33" s="20"/>
      <c r="AF33" s="20"/>
      <c r="AG33" s="20"/>
      <c r="AH33" s="20"/>
      <c r="AI33" s="20"/>
      <c r="AJ33" s="20"/>
      <c r="AK33" s="20"/>
      <c r="AL33" s="20"/>
      <c r="AM33" s="20"/>
      <c r="AN33" s="20"/>
      <c r="AO33" s="20"/>
      <c r="AP33" s="20"/>
      <c r="AQ33" s="20"/>
      <c r="AR33" s="20"/>
      <c r="AS33" s="20"/>
      <c r="AT33" s="20"/>
      <c r="AU33" s="20"/>
      <c r="AV33" s="20"/>
      <c r="AW33" s="20"/>
      <c r="AX33" s="20"/>
      <c r="AY33" s="20"/>
      <c r="AZ33" s="20"/>
      <c r="BA33" s="20"/>
      <c r="BB33" s="20"/>
      <c r="BC33" s="20"/>
      <c r="BD33" s="20"/>
      <c r="BE33" s="20"/>
      <c r="BF33" s="20"/>
      <c r="BG33" s="20"/>
      <c r="BH33" s="20"/>
      <c r="BI33" s="20"/>
      <c r="BJ33" s="20"/>
      <c r="BK33" s="20"/>
      <c r="BL33" s="20"/>
      <c r="BM33" s="20"/>
      <c r="BN33" s="20"/>
      <c r="BO33" s="20"/>
      <c r="BP33" s="20"/>
      <c r="BQ33" s="20"/>
      <c r="BR33" s="20"/>
      <c r="BS33" s="20"/>
      <c r="BT33" s="20"/>
      <c r="BU33" s="20"/>
      <c r="BV33" s="20"/>
      <c r="BW33" s="20"/>
      <c r="BX33" s="20"/>
      <c r="BY33" s="20"/>
      <c r="BZ33" s="20"/>
      <c r="CA33" s="20"/>
      <c r="CB33" s="20"/>
      <c r="CC33" s="20"/>
      <c r="CD33" s="20"/>
      <c r="CE33" s="20"/>
      <c r="CF33" s="20"/>
      <c r="CG33" s="20"/>
      <c r="CH33" s="20"/>
      <c r="CI33" s="20"/>
      <c r="CJ33" s="20"/>
      <c r="CK33" s="20"/>
      <c r="CL33" s="20"/>
      <c r="CM33" s="20"/>
      <c r="CN33" s="20"/>
      <c r="CO33" s="20"/>
      <c r="CP33" s="20"/>
      <c r="CQ33" s="20"/>
      <c r="CR33" s="20"/>
      <c r="CS33" s="20"/>
      <c r="CT33" s="20"/>
      <c r="CU33" s="20"/>
      <c r="CV33" s="20"/>
      <c r="CW33" s="20"/>
      <c r="CX33" s="20"/>
      <c r="CY33" s="20"/>
      <c r="CZ33" s="20"/>
      <c r="DA33" s="20"/>
      <c r="DB33" s="20"/>
      <c r="DC33" s="20"/>
      <c r="DD33" s="20"/>
      <c r="DE33" s="20"/>
      <c r="DF33" s="20"/>
      <c r="DG33" s="20"/>
      <c r="DH33" s="20"/>
      <c r="DI33" s="20"/>
      <c r="DJ33" s="20"/>
      <c r="DK33" s="20"/>
      <c r="DL33" s="20"/>
      <c r="DM33" s="20"/>
      <c r="DN33" s="20"/>
      <c r="DO33" s="20"/>
      <c r="DP33" s="20"/>
      <c r="DQ33" s="20"/>
      <c r="DR33" s="20"/>
      <c r="DS33" s="20"/>
      <c r="DT33" s="20"/>
      <c r="DU33" s="20"/>
      <c r="DV33" s="20"/>
      <c r="DW33" s="20"/>
      <c r="DX33" s="20"/>
      <c r="DY33" s="20"/>
      <c r="DZ33" s="20"/>
      <c r="EA33" s="20"/>
      <c r="EB33" s="20"/>
    </row>
    <row r="34" spans="1:132" hidden="1" x14ac:dyDescent="0.2">
      <c r="A34" s="20"/>
      <c r="B34" s="20"/>
      <c r="C34" s="20"/>
      <c r="D34" s="20"/>
      <c r="E34" s="20"/>
      <c r="F34" s="20"/>
      <c r="G34" s="20"/>
      <c r="H34" s="20"/>
      <c r="I34" s="20"/>
      <c r="J34" s="20"/>
      <c r="K34" s="20"/>
      <c r="L34" s="20"/>
      <c r="M34" s="20"/>
      <c r="N34" s="20"/>
      <c r="O34" s="20"/>
      <c r="P34" s="20"/>
      <c r="Q34" s="20"/>
      <c r="R34" s="20"/>
      <c r="S34" s="20"/>
      <c r="T34" s="20"/>
      <c r="U34" s="20"/>
      <c r="V34" s="20"/>
      <c r="W34" s="20"/>
      <c r="X34" s="20"/>
      <c r="Y34" s="20"/>
      <c r="Z34" s="20"/>
      <c r="AA34" s="20"/>
      <c r="AB34" s="20"/>
      <c r="AC34" s="20"/>
      <c r="AD34" s="20"/>
      <c r="AE34" s="20"/>
      <c r="AF34" s="20"/>
      <c r="AG34" s="20"/>
      <c r="AH34" s="20"/>
      <c r="AI34" s="20"/>
      <c r="AJ34" s="20"/>
      <c r="AK34" s="20"/>
      <c r="AL34" s="20"/>
      <c r="AM34" s="20"/>
      <c r="AN34" s="20"/>
      <c r="AO34" s="20"/>
      <c r="AP34" s="20"/>
      <c r="AQ34" s="20"/>
      <c r="AR34" s="20"/>
      <c r="AS34" s="20"/>
      <c r="AT34" s="20"/>
      <c r="AU34" s="20"/>
      <c r="AV34" s="20"/>
      <c r="AW34" s="20"/>
      <c r="AX34" s="20"/>
      <c r="AY34" s="20"/>
      <c r="AZ34" s="20"/>
      <c r="BA34" s="20"/>
      <c r="BB34" s="20"/>
      <c r="BC34" s="20"/>
      <c r="BD34" s="20"/>
      <c r="BE34" s="20"/>
      <c r="BF34" s="20"/>
      <c r="BG34" s="20"/>
      <c r="BH34" s="20"/>
      <c r="BI34" s="20"/>
      <c r="BJ34" s="20"/>
      <c r="BK34" s="20"/>
      <c r="BL34" s="20"/>
      <c r="BM34" s="20"/>
      <c r="BN34" s="20"/>
      <c r="BO34" s="20"/>
      <c r="BP34" s="20"/>
      <c r="BQ34" s="20"/>
      <c r="BR34" s="20"/>
      <c r="BS34" s="20"/>
      <c r="BT34" s="20"/>
      <c r="BU34" s="20"/>
      <c r="BV34" s="20"/>
      <c r="BW34" s="20"/>
      <c r="BX34" s="20"/>
      <c r="BY34" s="20"/>
      <c r="BZ34" s="20"/>
      <c r="CA34" s="20"/>
      <c r="CB34" s="20"/>
      <c r="CC34" s="20"/>
      <c r="CD34" s="20"/>
      <c r="CE34" s="20"/>
      <c r="CF34" s="20"/>
      <c r="CG34" s="20"/>
      <c r="CH34" s="20"/>
      <c r="CI34" s="20"/>
      <c r="CJ34" s="20"/>
      <c r="CK34" s="20"/>
      <c r="CL34" s="20"/>
      <c r="CM34" s="20"/>
      <c r="CN34" s="20"/>
      <c r="CO34" s="20"/>
      <c r="CP34" s="20"/>
      <c r="CQ34" s="20"/>
      <c r="CR34" s="20"/>
      <c r="CS34" s="20"/>
      <c r="CT34" s="20"/>
      <c r="CU34" s="20"/>
      <c r="CV34" s="20"/>
      <c r="CW34" s="20"/>
      <c r="CX34" s="20"/>
      <c r="CY34" s="20"/>
      <c r="CZ34" s="20"/>
      <c r="DA34" s="20"/>
      <c r="DB34" s="20"/>
      <c r="DC34" s="20"/>
      <c r="DD34" s="20"/>
      <c r="DE34" s="20"/>
      <c r="DF34" s="20"/>
      <c r="DG34" s="20"/>
      <c r="DH34" s="20"/>
      <c r="DI34" s="20"/>
      <c r="DJ34" s="20"/>
      <c r="DK34" s="20"/>
      <c r="DL34" s="20"/>
      <c r="DM34" s="20"/>
      <c r="DN34" s="20"/>
      <c r="DO34" s="20"/>
      <c r="DP34" s="20"/>
      <c r="DQ34" s="20"/>
      <c r="DR34" s="20"/>
      <c r="DS34" s="20"/>
      <c r="DT34" s="20"/>
      <c r="DU34" s="20"/>
      <c r="DV34" s="20"/>
      <c r="DW34" s="20"/>
      <c r="DX34" s="20"/>
      <c r="DY34" s="20"/>
      <c r="DZ34" s="20"/>
      <c r="EA34" s="20"/>
      <c r="EB34" s="20"/>
    </row>
    <row r="35" spans="1:132" hidden="1" x14ac:dyDescent="0.2">
      <c r="A35" s="20"/>
      <c r="B35" s="20"/>
      <c r="C35" s="20"/>
      <c r="D35" s="20"/>
      <c r="E35" s="20"/>
      <c r="F35" s="20"/>
      <c r="G35" s="20"/>
      <c r="H35" s="20"/>
      <c r="I35" s="20"/>
      <c r="J35" s="20"/>
      <c r="K35" s="20"/>
      <c r="L35" s="20"/>
      <c r="M35" s="20"/>
      <c r="N35" s="20"/>
      <c r="O35" s="20"/>
      <c r="P35" s="20"/>
      <c r="Q35" s="20"/>
      <c r="R35" s="20"/>
      <c r="S35" s="20"/>
      <c r="T35" s="20"/>
      <c r="U35" s="20"/>
      <c r="V35" s="20"/>
      <c r="W35" s="20"/>
      <c r="X35" s="20"/>
      <c r="Y35" s="20"/>
      <c r="Z35" s="20"/>
      <c r="AA35" s="20"/>
      <c r="AB35" s="20"/>
      <c r="AC35" s="20"/>
      <c r="AD35" s="20"/>
      <c r="AE35" s="20"/>
      <c r="AF35" s="20"/>
      <c r="AG35" s="20"/>
      <c r="AH35" s="20"/>
      <c r="AI35" s="20"/>
      <c r="AJ35" s="20"/>
      <c r="AK35" s="20"/>
      <c r="AL35" s="20"/>
      <c r="AM35" s="20"/>
      <c r="AN35" s="20"/>
      <c r="AO35" s="20"/>
      <c r="AP35" s="20"/>
      <c r="AQ35" s="20"/>
      <c r="AR35" s="20"/>
      <c r="AS35" s="20"/>
      <c r="AT35" s="20"/>
      <c r="AU35" s="20"/>
      <c r="AV35" s="20"/>
      <c r="AW35" s="20"/>
      <c r="AX35" s="20"/>
      <c r="AY35" s="20"/>
      <c r="AZ35" s="20"/>
      <c r="BA35" s="20"/>
      <c r="BB35" s="20"/>
      <c r="BC35" s="20"/>
      <c r="BD35" s="20"/>
      <c r="BE35" s="20"/>
      <c r="BF35" s="20"/>
      <c r="BG35" s="20"/>
      <c r="BH35" s="20"/>
      <c r="BI35" s="20"/>
      <c r="BJ35" s="20"/>
      <c r="BK35" s="20"/>
      <c r="BL35" s="20"/>
      <c r="BM35" s="20"/>
      <c r="BN35" s="20"/>
      <c r="BO35" s="20"/>
      <c r="BP35" s="20"/>
      <c r="BQ35" s="20"/>
      <c r="BR35" s="20"/>
      <c r="BS35" s="20"/>
      <c r="BT35" s="20"/>
      <c r="BU35" s="20"/>
      <c r="BV35" s="20"/>
      <c r="BW35" s="20"/>
      <c r="BX35" s="20"/>
      <c r="BY35" s="20"/>
      <c r="BZ35" s="20"/>
      <c r="CA35" s="20"/>
      <c r="CB35" s="20"/>
      <c r="CC35" s="20"/>
      <c r="CD35" s="20"/>
      <c r="CE35" s="20"/>
      <c r="CF35" s="20"/>
      <c r="CG35" s="20"/>
      <c r="CH35" s="20"/>
      <c r="CI35" s="20"/>
      <c r="CJ35" s="20"/>
      <c r="CK35" s="20"/>
      <c r="CL35" s="20"/>
      <c r="CM35" s="20"/>
      <c r="CN35" s="20"/>
      <c r="CO35" s="20"/>
      <c r="CP35" s="20"/>
      <c r="CQ35" s="20"/>
      <c r="CR35" s="20"/>
      <c r="CS35" s="20"/>
      <c r="CT35" s="20"/>
      <c r="CU35" s="20"/>
      <c r="CV35" s="20"/>
      <c r="CW35" s="20"/>
      <c r="CX35" s="20"/>
      <c r="CY35" s="20"/>
      <c r="CZ35" s="20"/>
      <c r="DA35" s="20"/>
      <c r="DB35" s="20"/>
      <c r="DC35" s="20"/>
      <c r="DD35" s="20"/>
      <c r="DE35" s="20"/>
      <c r="DF35" s="20"/>
      <c r="DG35" s="20"/>
      <c r="DH35" s="20"/>
      <c r="DI35" s="20"/>
      <c r="DJ35" s="20"/>
      <c r="DK35" s="20"/>
      <c r="DL35" s="20"/>
      <c r="DM35" s="20"/>
      <c r="DN35" s="20"/>
      <c r="DO35" s="20"/>
      <c r="DP35" s="20"/>
      <c r="DQ35" s="20"/>
      <c r="DR35" s="20"/>
      <c r="DS35" s="20"/>
      <c r="DT35" s="20"/>
      <c r="DU35" s="20"/>
      <c r="DV35" s="20"/>
      <c r="DW35" s="20"/>
      <c r="DX35" s="20"/>
      <c r="DY35" s="20"/>
      <c r="DZ35" s="20"/>
      <c r="EA35" s="20"/>
      <c r="EB35" s="20"/>
    </row>
    <row r="36" spans="1:132" hidden="1" x14ac:dyDescent="0.2">
      <c r="A36" s="20"/>
      <c r="B36" s="20"/>
      <c r="C36" s="20"/>
      <c r="D36" s="20"/>
      <c r="E36" s="20"/>
      <c r="F36" s="20"/>
      <c r="G36" s="20"/>
      <c r="H36" s="20"/>
      <c r="I36" s="20"/>
      <c r="J36" s="20"/>
      <c r="K36" s="20"/>
      <c r="L36" s="20"/>
      <c r="M36" s="20"/>
      <c r="N36" s="20"/>
      <c r="O36" s="20"/>
      <c r="P36" s="20"/>
      <c r="Q36" s="20"/>
      <c r="R36" s="20"/>
      <c r="S36" s="20"/>
      <c r="T36" s="20"/>
      <c r="U36" s="20"/>
      <c r="V36" s="20"/>
      <c r="W36" s="20"/>
      <c r="X36" s="20"/>
      <c r="Y36" s="20"/>
      <c r="Z36" s="20"/>
      <c r="AA36" s="20"/>
      <c r="AB36" s="20"/>
      <c r="AC36" s="20"/>
      <c r="AD36" s="20"/>
      <c r="AE36" s="20"/>
      <c r="AF36" s="20"/>
      <c r="AG36" s="20"/>
      <c r="AH36" s="20"/>
      <c r="AI36" s="20"/>
      <c r="AJ36" s="20"/>
      <c r="AK36" s="20"/>
      <c r="AL36" s="20"/>
      <c r="AM36" s="20"/>
      <c r="AN36" s="20"/>
      <c r="AO36" s="20"/>
      <c r="AP36" s="20"/>
      <c r="AQ36" s="20"/>
      <c r="AR36" s="20"/>
      <c r="AS36" s="20"/>
      <c r="AT36" s="20"/>
      <c r="AU36" s="20"/>
      <c r="AV36" s="20"/>
      <c r="AW36" s="20"/>
      <c r="AX36" s="20"/>
      <c r="AY36" s="20"/>
      <c r="AZ36" s="20"/>
      <c r="BA36" s="20"/>
      <c r="BB36" s="20"/>
      <c r="BC36" s="20"/>
      <c r="BD36" s="20"/>
      <c r="BE36" s="20"/>
      <c r="BF36" s="20"/>
      <c r="BG36" s="20"/>
      <c r="BH36" s="20"/>
      <c r="BI36" s="20"/>
      <c r="BJ36" s="20"/>
      <c r="BK36" s="20"/>
      <c r="BL36" s="20"/>
      <c r="BM36" s="20"/>
      <c r="BN36" s="20"/>
      <c r="BO36" s="20"/>
      <c r="BP36" s="20"/>
      <c r="BQ36" s="20"/>
      <c r="BR36" s="20"/>
      <c r="BS36" s="20"/>
      <c r="BT36" s="20"/>
      <c r="BU36" s="20"/>
      <c r="BV36" s="20"/>
      <c r="BW36" s="20"/>
      <c r="BX36" s="20"/>
      <c r="BY36" s="20"/>
      <c r="BZ36" s="20"/>
      <c r="CA36" s="20"/>
      <c r="CB36" s="20"/>
      <c r="CC36" s="20"/>
      <c r="CD36" s="20"/>
      <c r="CE36" s="20"/>
      <c r="CF36" s="20"/>
      <c r="CG36" s="20"/>
      <c r="CH36" s="20"/>
      <c r="CI36" s="20"/>
      <c r="CJ36" s="20"/>
      <c r="CK36" s="20"/>
      <c r="CL36" s="20"/>
      <c r="CM36" s="20"/>
      <c r="CN36" s="20"/>
      <c r="CO36" s="20"/>
      <c r="CP36" s="20"/>
      <c r="CQ36" s="20"/>
      <c r="CR36" s="20"/>
      <c r="CS36" s="20"/>
      <c r="CT36" s="20"/>
      <c r="CU36" s="20"/>
      <c r="CV36" s="20"/>
      <c r="CW36" s="20"/>
      <c r="CX36" s="20"/>
      <c r="CY36" s="20"/>
      <c r="CZ36" s="20"/>
      <c r="DA36" s="20"/>
      <c r="DB36" s="20"/>
      <c r="DC36" s="20"/>
      <c r="DD36" s="20"/>
      <c r="DE36" s="20"/>
      <c r="DF36" s="20"/>
      <c r="DG36" s="20"/>
      <c r="DH36" s="20"/>
      <c r="DI36" s="20"/>
      <c r="DJ36" s="20"/>
      <c r="DK36" s="20"/>
      <c r="DL36" s="20"/>
      <c r="DM36" s="20"/>
      <c r="DN36" s="20"/>
      <c r="DO36" s="20"/>
      <c r="DP36" s="20"/>
      <c r="DQ36" s="20"/>
      <c r="DR36" s="20"/>
      <c r="DS36" s="20"/>
      <c r="DT36" s="20"/>
      <c r="DU36" s="20"/>
      <c r="DV36" s="20"/>
      <c r="DW36" s="20"/>
      <c r="DX36" s="20"/>
      <c r="DY36" s="20"/>
      <c r="DZ36" s="20"/>
      <c r="EA36" s="20"/>
      <c r="EB36" s="20"/>
    </row>
    <row r="37" spans="1:132" hidden="1" x14ac:dyDescent="0.2">
      <c r="A37" s="20"/>
      <c r="B37" s="20"/>
      <c r="C37" s="20"/>
      <c r="D37" s="20"/>
      <c r="E37" s="20"/>
      <c r="F37" s="20"/>
      <c r="G37" s="20"/>
      <c r="H37" s="20"/>
      <c r="I37" s="20"/>
      <c r="J37" s="20"/>
      <c r="K37" s="20"/>
      <c r="L37" s="20"/>
      <c r="M37" s="20"/>
      <c r="N37" s="20"/>
      <c r="O37" s="20"/>
      <c r="P37" s="20"/>
      <c r="Q37" s="20"/>
      <c r="R37" s="20"/>
      <c r="S37" s="20"/>
      <c r="T37" s="20"/>
      <c r="U37" s="20"/>
      <c r="V37" s="20"/>
      <c r="W37" s="20"/>
      <c r="X37" s="20"/>
      <c r="Y37" s="20"/>
      <c r="Z37" s="20"/>
      <c r="AA37" s="20"/>
      <c r="AB37" s="20"/>
      <c r="AC37" s="20"/>
      <c r="AD37" s="20"/>
      <c r="AE37" s="20"/>
      <c r="AF37" s="20"/>
      <c r="AG37" s="20"/>
      <c r="AH37" s="20"/>
      <c r="AI37" s="20"/>
      <c r="AJ37" s="20"/>
      <c r="AK37" s="20"/>
      <c r="AL37" s="20"/>
      <c r="AM37" s="20"/>
      <c r="AN37" s="20"/>
      <c r="AO37" s="20"/>
      <c r="AP37" s="20"/>
      <c r="AQ37" s="20"/>
      <c r="AR37" s="20"/>
      <c r="AS37" s="20"/>
      <c r="AT37" s="20"/>
      <c r="AU37" s="20"/>
      <c r="AV37" s="20"/>
      <c r="AW37" s="20"/>
      <c r="AX37" s="20"/>
      <c r="AY37" s="20"/>
      <c r="AZ37" s="20"/>
      <c r="BA37" s="20"/>
      <c r="BB37" s="20"/>
      <c r="BC37" s="20"/>
      <c r="BD37" s="20"/>
      <c r="BE37" s="20"/>
      <c r="BF37" s="20"/>
      <c r="BG37" s="20"/>
      <c r="BH37" s="20"/>
      <c r="BI37" s="20"/>
      <c r="BJ37" s="20"/>
      <c r="BK37" s="20"/>
      <c r="BL37" s="20"/>
      <c r="BM37" s="20"/>
      <c r="BN37" s="20"/>
      <c r="BO37" s="20"/>
      <c r="BP37" s="20"/>
      <c r="BQ37" s="20"/>
      <c r="BR37" s="20"/>
      <c r="BS37" s="20"/>
      <c r="BT37" s="20"/>
      <c r="BU37" s="20"/>
      <c r="BV37" s="20"/>
      <c r="BW37" s="20"/>
      <c r="BX37" s="20"/>
      <c r="BY37" s="20"/>
      <c r="BZ37" s="20"/>
      <c r="CA37" s="20"/>
      <c r="CB37" s="20"/>
      <c r="CC37" s="20"/>
      <c r="CD37" s="20"/>
      <c r="CE37" s="20"/>
      <c r="CF37" s="20"/>
      <c r="CG37" s="20"/>
      <c r="CH37" s="20"/>
      <c r="CI37" s="20"/>
      <c r="CJ37" s="20"/>
      <c r="CK37" s="20"/>
      <c r="CL37" s="20"/>
      <c r="CM37" s="20"/>
      <c r="CN37" s="20"/>
      <c r="CO37" s="20"/>
      <c r="CP37" s="20"/>
      <c r="CQ37" s="20"/>
      <c r="CR37" s="20"/>
      <c r="CS37" s="20"/>
      <c r="CT37" s="20"/>
      <c r="CU37" s="20"/>
      <c r="CV37" s="20"/>
      <c r="CW37" s="20"/>
      <c r="CX37" s="20"/>
      <c r="CY37" s="20"/>
      <c r="CZ37" s="20"/>
      <c r="DA37" s="20"/>
      <c r="DB37" s="20"/>
      <c r="DC37" s="20"/>
      <c r="DD37" s="20"/>
      <c r="DE37" s="20"/>
      <c r="DF37" s="20"/>
      <c r="DG37" s="20"/>
      <c r="DH37" s="20"/>
      <c r="DI37" s="20"/>
      <c r="DJ37" s="20"/>
      <c r="DK37" s="20"/>
      <c r="DL37" s="20"/>
      <c r="DM37" s="20"/>
      <c r="DN37" s="20"/>
      <c r="DO37" s="20"/>
      <c r="DP37" s="20"/>
      <c r="DQ37" s="20"/>
      <c r="DR37" s="20"/>
      <c r="DS37" s="20"/>
      <c r="DT37" s="20"/>
      <c r="DU37" s="20"/>
      <c r="DV37" s="20"/>
      <c r="DW37" s="20"/>
      <c r="DX37" s="20"/>
      <c r="DY37" s="20"/>
      <c r="DZ37" s="20"/>
      <c r="EA37" s="20"/>
      <c r="EB37" s="20"/>
    </row>
    <row r="38" spans="1:132" hidden="1" x14ac:dyDescent="0.2">
      <c r="A38" s="20"/>
      <c r="B38" s="20"/>
      <c r="C38" s="20"/>
      <c r="D38" s="20"/>
      <c r="E38" s="20"/>
      <c r="F38" s="20"/>
      <c r="G38" s="20"/>
      <c r="H38" s="20"/>
      <c r="I38" s="20"/>
      <c r="J38" s="20"/>
      <c r="K38" s="20"/>
      <c r="L38" s="20"/>
      <c r="M38" s="20"/>
      <c r="N38" s="20"/>
      <c r="O38" s="20"/>
      <c r="P38" s="20"/>
      <c r="Q38" s="20"/>
      <c r="R38" s="20"/>
      <c r="S38" s="20"/>
      <c r="T38" s="20"/>
      <c r="U38" s="20"/>
      <c r="V38" s="20"/>
      <c r="W38" s="20"/>
      <c r="X38" s="20"/>
      <c r="Y38" s="20"/>
      <c r="Z38" s="20"/>
      <c r="AA38" s="20"/>
      <c r="AB38" s="20"/>
      <c r="AC38" s="20"/>
      <c r="AD38" s="20"/>
      <c r="AE38" s="20"/>
      <c r="AF38" s="20"/>
      <c r="AG38" s="20"/>
      <c r="AH38" s="20"/>
      <c r="AI38" s="20"/>
      <c r="AJ38" s="20"/>
      <c r="AK38" s="20"/>
      <c r="AL38" s="20"/>
      <c r="AM38" s="20"/>
      <c r="AN38" s="20"/>
      <c r="AO38" s="20"/>
      <c r="AP38" s="20"/>
      <c r="AQ38" s="20"/>
      <c r="AR38" s="20"/>
      <c r="AS38" s="20"/>
      <c r="AT38" s="20"/>
      <c r="AU38" s="20"/>
      <c r="AV38" s="20"/>
      <c r="AW38" s="20"/>
      <c r="AX38" s="20"/>
      <c r="AY38" s="20"/>
      <c r="AZ38" s="20"/>
      <c r="BA38" s="20"/>
      <c r="BB38" s="20"/>
      <c r="BC38" s="20"/>
      <c r="BD38" s="20"/>
      <c r="BE38" s="20"/>
      <c r="BF38" s="20"/>
      <c r="BG38" s="20"/>
      <c r="BH38" s="20"/>
      <c r="BI38" s="20"/>
      <c r="BJ38" s="20"/>
      <c r="BK38" s="20"/>
      <c r="BL38" s="20"/>
      <c r="BM38" s="20"/>
      <c r="BN38" s="20"/>
      <c r="BO38" s="20"/>
      <c r="BP38" s="20"/>
      <c r="BQ38" s="20"/>
      <c r="BR38" s="20"/>
      <c r="BS38" s="20"/>
      <c r="BT38" s="20"/>
      <c r="BU38" s="20"/>
      <c r="BV38" s="20"/>
      <c r="BW38" s="20"/>
      <c r="BX38" s="20"/>
      <c r="BY38" s="20"/>
      <c r="BZ38" s="20"/>
      <c r="CA38" s="20"/>
      <c r="CB38" s="20"/>
      <c r="CC38" s="20"/>
      <c r="CD38" s="20"/>
      <c r="CE38" s="20"/>
      <c r="CF38" s="20"/>
      <c r="CG38" s="20"/>
      <c r="CH38" s="20"/>
      <c r="CI38" s="20"/>
      <c r="CJ38" s="20"/>
      <c r="CK38" s="20"/>
      <c r="CL38" s="20"/>
      <c r="CM38" s="20"/>
      <c r="CN38" s="20"/>
      <c r="CO38" s="20"/>
      <c r="CP38" s="20"/>
      <c r="CQ38" s="20"/>
      <c r="CR38" s="20"/>
      <c r="CS38" s="20"/>
      <c r="CT38" s="20"/>
      <c r="CU38" s="20"/>
      <c r="CV38" s="20"/>
      <c r="CW38" s="20"/>
      <c r="CX38" s="20"/>
      <c r="CY38" s="20"/>
      <c r="CZ38" s="20"/>
      <c r="DA38" s="20"/>
      <c r="DB38" s="20"/>
      <c r="DC38" s="20"/>
      <c r="DD38" s="20"/>
      <c r="DE38" s="20"/>
      <c r="DF38" s="20"/>
      <c r="DG38" s="20"/>
      <c r="DH38" s="20"/>
      <c r="DI38" s="20"/>
      <c r="DJ38" s="20"/>
      <c r="DK38" s="20"/>
      <c r="DL38" s="20"/>
      <c r="DM38" s="20"/>
      <c r="DN38" s="20"/>
      <c r="DO38" s="20"/>
      <c r="DP38" s="20"/>
      <c r="DQ38" s="20"/>
      <c r="DR38" s="20"/>
      <c r="DS38" s="20"/>
      <c r="DT38" s="20"/>
      <c r="DU38" s="20"/>
      <c r="DV38" s="20"/>
      <c r="DW38" s="20"/>
      <c r="DX38" s="20"/>
      <c r="DY38" s="20"/>
      <c r="DZ38" s="20"/>
      <c r="EA38" s="20"/>
      <c r="EB38" s="20"/>
    </row>
    <row r="39" spans="1:132" hidden="1" x14ac:dyDescent="0.2">
      <c r="A39" s="20"/>
      <c r="B39" s="20"/>
      <c r="C39" s="20"/>
      <c r="D39" s="20"/>
      <c r="E39" s="20"/>
      <c r="F39" s="20"/>
      <c r="G39" s="20"/>
      <c r="H39" s="20"/>
      <c r="I39" s="20"/>
      <c r="J39" s="20"/>
      <c r="K39" s="20"/>
      <c r="L39" s="20"/>
      <c r="M39" s="20"/>
      <c r="N39" s="20"/>
      <c r="O39" s="20"/>
      <c r="P39" s="20"/>
      <c r="Q39" s="20"/>
      <c r="R39" s="20"/>
      <c r="S39" s="20"/>
      <c r="T39" s="20"/>
      <c r="U39" s="20"/>
      <c r="V39" s="20"/>
      <c r="W39" s="20"/>
      <c r="X39" s="20"/>
      <c r="Y39" s="20"/>
      <c r="Z39" s="20"/>
      <c r="AA39" s="20"/>
      <c r="AB39" s="20"/>
      <c r="AC39" s="20"/>
      <c r="AD39" s="20"/>
      <c r="AE39" s="20"/>
      <c r="AF39" s="20"/>
      <c r="AG39" s="20"/>
      <c r="AH39" s="20"/>
      <c r="AI39" s="20"/>
      <c r="AJ39" s="20"/>
      <c r="AK39" s="20"/>
      <c r="AL39" s="20"/>
      <c r="AM39" s="20"/>
      <c r="AN39" s="20"/>
      <c r="AO39" s="20"/>
      <c r="AP39" s="20"/>
      <c r="AQ39" s="20"/>
      <c r="AR39" s="20"/>
      <c r="AS39" s="20"/>
      <c r="AT39" s="20"/>
      <c r="AU39" s="20"/>
      <c r="AV39" s="20"/>
      <c r="AW39" s="20"/>
      <c r="AX39" s="20"/>
      <c r="AY39" s="20"/>
      <c r="AZ39" s="20"/>
      <c r="BA39" s="20"/>
      <c r="BB39" s="20"/>
      <c r="BC39" s="20"/>
      <c r="BD39" s="20"/>
      <c r="BE39" s="20"/>
      <c r="BF39" s="20"/>
      <c r="BG39" s="20"/>
      <c r="BH39" s="20"/>
      <c r="BI39" s="20"/>
      <c r="BJ39" s="20"/>
      <c r="BK39" s="20"/>
      <c r="BL39" s="20"/>
      <c r="BM39" s="20"/>
      <c r="BN39" s="20"/>
      <c r="BO39" s="20"/>
      <c r="BP39" s="20"/>
      <c r="BQ39" s="20"/>
      <c r="BR39" s="20"/>
      <c r="BS39" s="20"/>
      <c r="BT39" s="20"/>
      <c r="BU39" s="20"/>
      <c r="BV39" s="20"/>
      <c r="BW39" s="20"/>
      <c r="BX39" s="20"/>
      <c r="BY39" s="20"/>
      <c r="BZ39" s="20"/>
      <c r="CA39" s="20"/>
      <c r="CB39" s="20"/>
      <c r="CC39" s="20"/>
      <c r="CD39" s="20"/>
      <c r="CE39" s="20"/>
      <c r="CF39" s="20"/>
      <c r="CG39" s="20"/>
      <c r="CH39" s="20"/>
      <c r="CI39" s="20"/>
      <c r="CJ39" s="20"/>
      <c r="CK39" s="20"/>
      <c r="CL39" s="20"/>
      <c r="CM39" s="20"/>
      <c r="CN39" s="20"/>
      <c r="CO39" s="20"/>
      <c r="CP39" s="20"/>
      <c r="CQ39" s="20"/>
      <c r="CR39" s="20"/>
      <c r="CS39" s="20"/>
      <c r="CT39" s="20"/>
      <c r="CU39" s="20"/>
      <c r="CV39" s="20"/>
      <c r="CW39" s="20"/>
      <c r="CX39" s="20"/>
      <c r="CY39" s="20"/>
      <c r="CZ39" s="20"/>
      <c r="DA39" s="20"/>
      <c r="DB39" s="20"/>
      <c r="DC39" s="20"/>
      <c r="DD39" s="20"/>
      <c r="DE39" s="20"/>
      <c r="DF39" s="20"/>
      <c r="DG39" s="20"/>
      <c r="DH39" s="20"/>
      <c r="DI39" s="20"/>
      <c r="DJ39" s="20"/>
      <c r="DK39" s="20"/>
      <c r="DL39" s="20"/>
      <c r="DM39" s="20"/>
      <c r="DN39" s="20"/>
      <c r="DO39" s="20"/>
      <c r="DP39" s="20"/>
      <c r="DQ39" s="20"/>
      <c r="DR39" s="20"/>
      <c r="DS39" s="20"/>
      <c r="DT39" s="20"/>
      <c r="DU39" s="20"/>
      <c r="DV39" s="20"/>
      <c r="DW39" s="20"/>
      <c r="DX39" s="20"/>
      <c r="DY39" s="20"/>
      <c r="DZ39" s="20"/>
      <c r="EA39" s="20"/>
      <c r="EB39" s="20"/>
    </row>
    <row r="40" spans="1:132" hidden="1" x14ac:dyDescent="0.2">
      <c r="A40" s="20"/>
      <c r="B40" s="20"/>
      <c r="C40" s="20"/>
      <c r="D40" s="20"/>
      <c r="E40" s="20"/>
      <c r="F40" s="20"/>
      <c r="G40" s="20"/>
      <c r="H40" s="20"/>
      <c r="I40" s="20"/>
      <c r="J40" s="20"/>
      <c r="K40" s="20"/>
      <c r="L40" s="20"/>
      <c r="M40" s="20"/>
      <c r="N40" s="20"/>
      <c r="O40" s="20"/>
      <c r="P40" s="20"/>
      <c r="Q40" s="20"/>
      <c r="R40" s="20"/>
      <c r="S40" s="20"/>
      <c r="T40" s="20"/>
      <c r="U40" s="20"/>
      <c r="V40" s="20"/>
      <c r="W40" s="20"/>
      <c r="X40" s="20"/>
      <c r="Y40" s="20"/>
      <c r="Z40" s="20"/>
      <c r="AA40" s="20"/>
      <c r="AB40" s="20"/>
      <c r="AC40" s="20"/>
      <c r="AD40" s="20"/>
      <c r="AE40" s="20"/>
      <c r="AF40" s="20"/>
      <c r="AG40" s="20"/>
      <c r="AH40" s="20"/>
      <c r="AI40" s="20"/>
      <c r="AJ40" s="20"/>
      <c r="AK40" s="20"/>
      <c r="AL40" s="20"/>
      <c r="AM40" s="20"/>
      <c r="AN40" s="20"/>
      <c r="AO40" s="20"/>
      <c r="AP40" s="20"/>
      <c r="AQ40" s="20"/>
      <c r="AR40" s="20"/>
      <c r="AS40" s="20"/>
      <c r="AT40" s="20"/>
      <c r="AU40" s="20"/>
      <c r="AV40" s="20"/>
      <c r="AW40" s="20"/>
      <c r="AX40" s="20"/>
      <c r="AY40" s="20"/>
      <c r="AZ40" s="20"/>
      <c r="BA40" s="20"/>
      <c r="BB40" s="20"/>
      <c r="BC40" s="20"/>
      <c r="BD40" s="20"/>
      <c r="BE40" s="20"/>
      <c r="BF40" s="20"/>
      <c r="BG40" s="20"/>
      <c r="BH40" s="20"/>
      <c r="BI40" s="20"/>
      <c r="BJ40" s="20"/>
      <c r="BK40" s="20"/>
      <c r="BL40" s="20"/>
      <c r="BM40" s="20"/>
      <c r="BN40" s="20"/>
      <c r="BO40" s="20"/>
      <c r="BP40" s="20"/>
      <c r="BQ40" s="20"/>
      <c r="BR40" s="20"/>
      <c r="BS40" s="20"/>
      <c r="BT40" s="20"/>
      <c r="BU40" s="20"/>
      <c r="BV40" s="20"/>
      <c r="BW40" s="20"/>
      <c r="BX40" s="20"/>
      <c r="BY40" s="20"/>
      <c r="BZ40" s="20"/>
      <c r="CA40" s="20"/>
      <c r="CB40" s="20"/>
      <c r="CC40" s="20"/>
      <c r="CD40" s="20"/>
      <c r="CE40" s="20"/>
      <c r="CF40" s="20"/>
      <c r="CG40" s="20"/>
      <c r="CH40" s="20"/>
      <c r="CI40" s="20"/>
      <c r="CJ40" s="20"/>
      <c r="CK40" s="20"/>
      <c r="CL40" s="20"/>
      <c r="CM40" s="20"/>
      <c r="CN40" s="20"/>
      <c r="CO40" s="20"/>
      <c r="CP40" s="20"/>
      <c r="CQ40" s="20"/>
      <c r="CR40" s="20"/>
      <c r="CS40" s="20"/>
      <c r="CT40" s="20"/>
      <c r="CU40" s="20"/>
      <c r="CV40" s="20"/>
      <c r="CW40" s="20"/>
      <c r="CX40" s="20"/>
      <c r="CY40" s="20"/>
      <c r="CZ40" s="20"/>
      <c r="DA40" s="20"/>
      <c r="DB40" s="20"/>
      <c r="DC40" s="20"/>
      <c r="DD40" s="20"/>
      <c r="DE40" s="20"/>
      <c r="DF40" s="20"/>
      <c r="DG40" s="20"/>
      <c r="DH40" s="20"/>
      <c r="DI40" s="20"/>
      <c r="DJ40" s="20"/>
      <c r="DK40" s="20"/>
      <c r="DL40" s="20"/>
      <c r="DM40" s="20"/>
      <c r="DN40" s="20"/>
      <c r="DO40" s="20"/>
      <c r="DP40" s="20"/>
      <c r="DQ40" s="20"/>
      <c r="DR40" s="20"/>
      <c r="DS40" s="20"/>
      <c r="DT40" s="20"/>
      <c r="DU40" s="20"/>
      <c r="DV40" s="20"/>
      <c r="DW40" s="20"/>
      <c r="DX40" s="20"/>
      <c r="DY40" s="20"/>
      <c r="DZ40" s="20"/>
      <c r="EA40" s="20"/>
      <c r="EB40" s="20"/>
    </row>
    <row r="41" spans="1:132" hidden="1" x14ac:dyDescent="0.2">
      <c r="A41" s="20"/>
      <c r="B41" s="20"/>
      <c r="C41" s="20"/>
      <c r="D41" s="20"/>
      <c r="E41" s="20"/>
      <c r="F41" s="20"/>
      <c r="G41" s="20"/>
      <c r="H41" s="20"/>
      <c r="I41" s="20"/>
      <c r="J41" s="20"/>
      <c r="K41" s="20"/>
      <c r="L41" s="20"/>
      <c r="M41" s="20"/>
      <c r="N41" s="20"/>
      <c r="O41" s="20"/>
      <c r="P41" s="20"/>
      <c r="Q41" s="20"/>
      <c r="R41" s="20"/>
      <c r="S41" s="20"/>
      <c r="T41" s="20"/>
      <c r="U41" s="20"/>
      <c r="V41" s="20"/>
      <c r="W41" s="20"/>
      <c r="X41" s="20"/>
      <c r="Y41" s="20"/>
      <c r="Z41" s="20"/>
      <c r="AA41" s="20"/>
      <c r="AB41" s="20"/>
      <c r="AC41" s="20"/>
      <c r="AD41" s="20"/>
      <c r="AE41" s="20"/>
      <c r="AF41" s="20"/>
      <c r="AG41" s="20"/>
      <c r="AH41" s="20"/>
      <c r="AI41" s="20"/>
      <c r="AJ41" s="20"/>
      <c r="AK41" s="20"/>
      <c r="AL41" s="20"/>
      <c r="AM41" s="20"/>
      <c r="AN41" s="20"/>
      <c r="AO41" s="20"/>
      <c r="AP41" s="20"/>
      <c r="AQ41" s="20"/>
      <c r="AR41" s="20"/>
      <c r="AS41" s="20"/>
      <c r="AT41" s="20"/>
      <c r="AU41" s="20"/>
      <c r="AV41" s="20"/>
      <c r="AW41" s="20"/>
      <c r="AX41" s="20"/>
      <c r="AY41" s="20"/>
      <c r="AZ41" s="20"/>
      <c r="BA41" s="20"/>
      <c r="BB41" s="20"/>
      <c r="BC41" s="20"/>
      <c r="BD41" s="20"/>
      <c r="BE41" s="20"/>
      <c r="BF41" s="20"/>
      <c r="BG41" s="20"/>
      <c r="BH41" s="20"/>
      <c r="BI41" s="20"/>
      <c r="BJ41" s="20"/>
      <c r="BK41" s="20"/>
      <c r="BL41" s="20"/>
      <c r="BM41" s="20"/>
      <c r="BN41" s="20"/>
      <c r="BO41" s="20"/>
      <c r="BP41" s="20"/>
      <c r="BQ41" s="20"/>
      <c r="BR41" s="20"/>
      <c r="BS41" s="20"/>
      <c r="BT41" s="20"/>
      <c r="BU41" s="20"/>
      <c r="BV41" s="20"/>
      <c r="BW41" s="20"/>
      <c r="BX41" s="20"/>
      <c r="BY41" s="20"/>
      <c r="BZ41" s="20"/>
      <c r="CA41" s="20"/>
      <c r="CB41" s="20"/>
      <c r="CC41" s="20"/>
      <c r="CD41" s="20"/>
      <c r="CE41" s="20"/>
      <c r="CF41" s="20"/>
      <c r="CG41" s="20"/>
      <c r="CH41" s="20"/>
      <c r="CI41" s="20"/>
      <c r="CJ41" s="20"/>
      <c r="CK41" s="20"/>
      <c r="CL41" s="20"/>
      <c r="CM41" s="20"/>
      <c r="CN41" s="20"/>
      <c r="CO41" s="20"/>
      <c r="CP41" s="20"/>
      <c r="CQ41" s="20"/>
      <c r="CR41" s="20"/>
      <c r="CS41" s="20"/>
      <c r="CT41" s="20"/>
      <c r="CU41" s="20"/>
      <c r="CV41" s="20"/>
      <c r="CW41" s="20"/>
      <c r="CX41" s="20"/>
      <c r="CY41" s="20"/>
      <c r="CZ41" s="20"/>
      <c r="DA41" s="20"/>
      <c r="DB41" s="20"/>
      <c r="DC41" s="20"/>
      <c r="DD41" s="20"/>
      <c r="DE41" s="20"/>
      <c r="DF41" s="20"/>
      <c r="DG41" s="20"/>
      <c r="DH41" s="20"/>
      <c r="DI41" s="20"/>
      <c r="DJ41" s="20"/>
      <c r="DK41" s="20"/>
      <c r="DL41" s="20"/>
      <c r="DM41" s="20"/>
      <c r="DN41" s="20"/>
      <c r="DO41" s="20"/>
      <c r="DP41" s="20"/>
      <c r="DQ41" s="20"/>
      <c r="DR41" s="20"/>
      <c r="DS41" s="20"/>
      <c r="DT41" s="20"/>
      <c r="DU41" s="20"/>
      <c r="DV41" s="20"/>
      <c r="DW41" s="20"/>
      <c r="DX41" s="20"/>
      <c r="DY41" s="20"/>
      <c r="DZ41" s="20"/>
      <c r="EA41" s="20"/>
      <c r="EB41" s="20"/>
    </row>
    <row r="42" spans="1:132" hidden="1" x14ac:dyDescent="0.2">
      <c r="A42" s="20"/>
      <c r="B42" s="20"/>
      <c r="C42" s="20"/>
      <c r="D42" s="20"/>
      <c r="E42" s="20"/>
      <c r="F42" s="20"/>
      <c r="G42" s="20"/>
      <c r="H42" s="20"/>
      <c r="I42" s="20"/>
      <c r="J42" s="20"/>
      <c r="K42" s="20"/>
      <c r="L42" s="20"/>
      <c r="M42" s="20"/>
      <c r="N42" s="20"/>
      <c r="O42" s="20"/>
      <c r="P42" s="20"/>
      <c r="Q42" s="20"/>
      <c r="R42" s="20"/>
      <c r="S42" s="20"/>
      <c r="T42" s="20"/>
      <c r="U42" s="20"/>
      <c r="V42" s="20"/>
      <c r="W42" s="20"/>
      <c r="X42" s="20"/>
      <c r="Y42" s="20"/>
      <c r="Z42" s="20"/>
      <c r="AA42" s="20"/>
      <c r="AB42" s="20"/>
      <c r="AC42" s="20"/>
      <c r="AD42" s="20"/>
      <c r="AE42" s="20"/>
      <c r="AF42" s="20"/>
      <c r="AG42" s="20"/>
      <c r="AH42" s="20"/>
      <c r="AI42" s="20"/>
      <c r="AJ42" s="20"/>
      <c r="AK42" s="20"/>
      <c r="AL42" s="20"/>
      <c r="AM42" s="20"/>
      <c r="AN42" s="20"/>
      <c r="AO42" s="20"/>
      <c r="AP42" s="20"/>
      <c r="AQ42" s="20"/>
      <c r="AR42" s="20"/>
      <c r="AS42" s="20"/>
      <c r="AT42" s="20"/>
      <c r="AU42" s="20"/>
      <c r="AV42" s="20"/>
      <c r="AW42" s="20"/>
      <c r="AX42" s="20"/>
      <c r="AY42" s="20"/>
      <c r="AZ42" s="20"/>
      <c r="BA42" s="20"/>
      <c r="BB42" s="20"/>
      <c r="BC42" s="20"/>
      <c r="BD42" s="20"/>
      <c r="BE42" s="20"/>
      <c r="BF42" s="20"/>
      <c r="BG42" s="20"/>
      <c r="BH42" s="20"/>
      <c r="BI42" s="20"/>
      <c r="BJ42" s="20"/>
      <c r="BK42" s="20"/>
      <c r="BL42" s="20"/>
      <c r="BM42" s="20"/>
      <c r="BN42" s="20"/>
      <c r="BO42" s="20"/>
      <c r="BP42" s="20"/>
      <c r="BQ42" s="20"/>
      <c r="BR42" s="20"/>
      <c r="BS42" s="20"/>
      <c r="BT42" s="20"/>
      <c r="BU42" s="20"/>
      <c r="BV42" s="20"/>
      <c r="BW42" s="20"/>
      <c r="BX42" s="20"/>
      <c r="BY42" s="20"/>
      <c r="BZ42" s="20"/>
      <c r="CA42" s="20"/>
      <c r="CB42" s="20"/>
      <c r="CC42" s="20"/>
      <c r="CD42" s="20"/>
      <c r="CE42" s="20"/>
      <c r="CF42" s="20"/>
      <c r="CG42" s="20"/>
      <c r="CH42" s="20"/>
      <c r="CI42" s="20"/>
      <c r="CJ42" s="20"/>
      <c r="CK42" s="20"/>
      <c r="CL42" s="20"/>
      <c r="CM42" s="20"/>
      <c r="CN42" s="20"/>
      <c r="CO42" s="20"/>
      <c r="CP42" s="20"/>
      <c r="CQ42" s="20"/>
      <c r="CR42" s="20"/>
      <c r="CS42" s="20"/>
      <c r="CT42" s="20"/>
      <c r="CU42" s="20"/>
      <c r="CV42" s="20"/>
      <c r="CW42" s="20"/>
      <c r="CX42" s="20"/>
      <c r="CY42" s="20"/>
      <c r="CZ42" s="20"/>
      <c r="DA42" s="20"/>
      <c r="DB42" s="20"/>
      <c r="DC42" s="20"/>
      <c r="DD42" s="20"/>
      <c r="DE42" s="20"/>
      <c r="DF42" s="20"/>
      <c r="DG42" s="20"/>
      <c r="DH42" s="20"/>
      <c r="DI42" s="20"/>
      <c r="DJ42" s="20"/>
      <c r="DK42" s="20"/>
      <c r="DL42" s="20"/>
      <c r="DM42" s="20"/>
      <c r="DN42" s="20"/>
      <c r="DO42" s="20"/>
      <c r="DP42" s="20"/>
      <c r="DQ42" s="20"/>
      <c r="DR42" s="20"/>
      <c r="DS42" s="20"/>
      <c r="DT42" s="20"/>
      <c r="DU42" s="20"/>
      <c r="DV42" s="20"/>
      <c r="DW42" s="20"/>
      <c r="DX42" s="20"/>
      <c r="DY42" s="20"/>
      <c r="DZ42" s="20"/>
      <c r="EA42" s="20"/>
      <c r="EB42" s="20"/>
    </row>
    <row r="43" spans="1:132" hidden="1" x14ac:dyDescent="0.2">
      <c r="A43" s="20"/>
      <c r="B43" s="20"/>
      <c r="C43" s="20"/>
      <c r="D43" s="20"/>
      <c r="E43" s="20"/>
      <c r="F43" s="20"/>
      <c r="G43" s="20"/>
      <c r="H43" s="20"/>
      <c r="I43" s="20"/>
      <c r="J43" s="20"/>
      <c r="K43" s="20"/>
      <c r="L43" s="20"/>
      <c r="M43" s="20"/>
      <c r="N43" s="20"/>
      <c r="O43" s="20"/>
      <c r="P43" s="20"/>
      <c r="Q43" s="20"/>
      <c r="R43" s="20"/>
      <c r="S43" s="20"/>
      <c r="T43" s="20"/>
      <c r="U43" s="20"/>
      <c r="V43" s="20"/>
      <c r="W43" s="20"/>
      <c r="X43" s="20"/>
      <c r="Y43" s="20"/>
      <c r="Z43" s="20"/>
      <c r="AA43" s="20"/>
      <c r="AB43" s="20"/>
      <c r="AC43" s="20"/>
      <c r="AD43" s="20"/>
      <c r="AE43" s="20"/>
      <c r="AF43" s="20"/>
      <c r="AG43" s="20"/>
      <c r="AH43" s="20"/>
      <c r="AI43" s="20"/>
      <c r="AJ43" s="20"/>
      <c r="AK43" s="20"/>
      <c r="AL43" s="20"/>
      <c r="AM43" s="20"/>
      <c r="AN43" s="20"/>
      <c r="AO43" s="20"/>
      <c r="AP43" s="20"/>
      <c r="AQ43" s="20"/>
      <c r="AR43" s="20"/>
      <c r="AS43" s="20"/>
      <c r="AT43" s="20"/>
      <c r="AU43" s="20"/>
      <c r="AV43" s="20"/>
      <c r="AW43" s="20"/>
      <c r="AX43" s="20"/>
      <c r="AY43" s="20"/>
      <c r="AZ43" s="20"/>
      <c r="BA43" s="20"/>
      <c r="BB43" s="20"/>
      <c r="BC43" s="20"/>
      <c r="BD43" s="20"/>
      <c r="BE43" s="20"/>
      <c r="BF43" s="20"/>
      <c r="BG43" s="20"/>
      <c r="BH43" s="20"/>
      <c r="BI43" s="20"/>
      <c r="BJ43" s="20"/>
      <c r="BK43" s="20"/>
      <c r="BL43" s="20"/>
      <c r="BM43" s="20"/>
      <c r="BN43" s="20"/>
      <c r="BO43" s="20"/>
      <c r="BP43" s="20"/>
      <c r="BQ43" s="20"/>
      <c r="BR43" s="20"/>
      <c r="BS43" s="20"/>
      <c r="BT43" s="20"/>
      <c r="BU43" s="20"/>
      <c r="BV43" s="20"/>
      <c r="BW43" s="20"/>
      <c r="BX43" s="20"/>
      <c r="BY43" s="20"/>
      <c r="BZ43" s="20"/>
      <c r="CA43" s="20"/>
      <c r="CB43" s="20"/>
      <c r="CC43" s="20"/>
      <c r="CD43" s="20"/>
      <c r="CE43" s="20"/>
      <c r="CF43" s="20"/>
      <c r="CG43" s="20"/>
      <c r="CH43" s="20"/>
      <c r="CI43" s="20"/>
      <c r="CJ43" s="20"/>
      <c r="CK43" s="20"/>
      <c r="CL43" s="20"/>
      <c r="CM43" s="20"/>
      <c r="CN43" s="20"/>
      <c r="CO43" s="20"/>
      <c r="CP43" s="20"/>
      <c r="CQ43" s="20"/>
      <c r="CR43" s="20"/>
      <c r="CS43" s="20"/>
      <c r="CT43" s="20"/>
      <c r="CU43" s="20"/>
      <c r="CV43" s="20"/>
      <c r="CW43" s="20"/>
      <c r="CX43" s="20"/>
      <c r="CY43" s="20"/>
      <c r="CZ43" s="20"/>
      <c r="DA43" s="20"/>
      <c r="DB43" s="20"/>
      <c r="DC43" s="20"/>
      <c r="DD43" s="20"/>
      <c r="DE43" s="20"/>
      <c r="DF43" s="20"/>
      <c r="DG43" s="20"/>
      <c r="DH43" s="20"/>
      <c r="DI43" s="20"/>
      <c r="DJ43" s="20"/>
      <c r="DK43" s="20"/>
      <c r="DL43" s="20"/>
      <c r="DM43" s="20"/>
      <c r="DN43" s="20"/>
      <c r="DO43" s="20"/>
      <c r="DP43" s="20"/>
      <c r="DQ43" s="20"/>
      <c r="DR43" s="20"/>
      <c r="DS43" s="20"/>
      <c r="DT43" s="20"/>
      <c r="DU43" s="20"/>
      <c r="DV43" s="20"/>
      <c r="DW43" s="20"/>
      <c r="DX43" s="20"/>
      <c r="DY43" s="20"/>
      <c r="DZ43" s="20"/>
      <c r="EA43" s="20"/>
      <c r="EB43" s="20"/>
    </row>
    <row r="44" spans="1:132" hidden="1" x14ac:dyDescent="0.2">
      <c r="A44" s="20"/>
      <c r="B44" s="20"/>
      <c r="C44" s="20"/>
      <c r="D44" s="20"/>
      <c r="E44" s="20"/>
      <c r="F44" s="20"/>
      <c r="G44" s="20"/>
      <c r="H44" s="20"/>
      <c r="I44" s="20"/>
      <c r="J44" s="20"/>
      <c r="K44" s="20"/>
      <c r="L44" s="20"/>
      <c r="M44" s="20"/>
      <c r="N44" s="20"/>
      <c r="O44" s="20"/>
      <c r="P44" s="20"/>
      <c r="Q44" s="20"/>
      <c r="R44" s="20"/>
      <c r="S44" s="20"/>
      <c r="T44" s="20"/>
      <c r="U44" s="20"/>
      <c r="V44" s="20"/>
      <c r="W44" s="20"/>
      <c r="X44" s="20"/>
      <c r="Y44" s="20"/>
      <c r="Z44" s="20"/>
      <c r="AA44" s="20"/>
      <c r="AB44" s="20"/>
      <c r="AC44" s="20"/>
      <c r="AD44" s="20"/>
      <c r="AE44" s="20"/>
      <c r="AF44" s="20"/>
      <c r="AG44" s="20"/>
      <c r="AH44" s="20"/>
      <c r="AI44" s="20"/>
      <c r="AJ44" s="20"/>
      <c r="AK44" s="20"/>
      <c r="AL44" s="20"/>
      <c r="AM44" s="20"/>
      <c r="AN44" s="20"/>
      <c r="AO44" s="20"/>
      <c r="AP44" s="20"/>
      <c r="AQ44" s="20"/>
      <c r="AR44" s="20"/>
      <c r="AS44" s="20"/>
      <c r="AT44" s="20"/>
      <c r="AU44" s="20"/>
      <c r="AV44" s="20"/>
      <c r="AW44" s="20"/>
      <c r="AX44" s="20"/>
      <c r="AY44" s="20"/>
      <c r="AZ44" s="20"/>
      <c r="BA44" s="20"/>
      <c r="BB44" s="20"/>
      <c r="BC44" s="20"/>
      <c r="BD44" s="20"/>
      <c r="BE44" s="20"/>
      <c r="BF44" s="20"/>
      <c r="BG44" s="20"/>
      <c r="BH44" s="20"/>
      <c r="BI44" s="20"/>
      <c r="BJ44" s="20"/>
      <c r="BK44" s="20"/>
      <c r="BL44" s="20"/>
      <c r="BM44" s="20"/>
      <c r="BN44" s="20"/>
      <c r="BO44" s="20"/>
      <c r="BP44" s="20"/>
      <c r="BQ44" s="20"/>
      <c r="BR44" s="20"/>
      <c r="BS44" s="20"/>
      <c r="BT44" s="20"/>
      <c r="BU44" s="20"/>
      <c r="BV44" s="20"/>
      <c r="BW44" s="20"/>
      <c r="BX44" s="20"/>
      <c r="BY44" s="20"/>
      <c r="BZ44" s="20"/>
      <c r="CA44" s="20"/>
      <c r="CB44" s="20"/>
      <c r="CC44" s="20"/>
      <c r="CD44" s="20"/>
      <c r="CE44" s="20"/>
      <c r="CF44" s="20"/>
      <c r="CG44" s="20"/>
      <c r="CH44" s="20"/>
      <c r="CI44" s="20"/>
      <c r="CJ44" s="20"/>
      <c r="CK44" s="20"/>
      <c r="CL44" s="20"/>
      <c r="CM44" s="20"/>
      <c r="CN44" s="20"/>
      <c r="CO44" s="20"/>
      <c r="CP44" s="20"/>
      <c r="CQ44" s="20"/>
      <c r="CR44" s="20"/>
      <c r="CS44" s="20"/>
      <c r="CT44" s="20"/>
      <c r="CU44" s="20"/>
      <c r="CV44" s="20"/>
      <c r="CW44" s="20"/>
      <c r="CX44" s="20"/>
      <c r="CY44" s="20"/>
      <c r="CZ44" s="20"/>
      <c r="DA44" s="20"/>
      <c r="DB44" s="20"/>
      <c r="DC44" s="20"/>
      <c r="DD44" s="20"/>
      <c r="DE44" s="20"/>
      <c r="DF44" s="20"/>
      <c r="DG44" s="20"/>
      <c r="DH44" s="20"/>
      <c r="DI44" s="20"/>
      <c r="DJ44" s="20"/>
      <c r="DK44" s="20"/>
      <c r="DL44" s="20"/>
      <c r="DM44" s="20"/>
      <c r="DN44" s="20"/>
      <c r="DO44" s="20"/>
      <c r="DP44" s="20"/>
      <c r="DQ44" s="20"/>
      <c r="DR44" s="20"/>
      <c r="DS44" s="20"/>
      <c r="DT44" s="20"/>
      <c r="DU44" s="20"/>
      <c r="DV44" s="20"/>
      <c r="DW44" s="20"/>
      <c r="DX44" s="20"/>
      <c r="DY44" s="20"/>
      <c r="DZ44" s="20"/>
      <c r="EA44" s="20"/>
      <c r="EB44" s="20"/>
    </row>
    <row r="45" spans="1:132" hidden="1" x14ac:dyDescent="0.2">
      <c r="A45" s="20"/>
      <c r="B45" s="20"/>
      <c r="C45" s="20"/>
      <c r="D45" s="20"/>
      <c r="E45" s="20"/>
      <c r="F45" s="20"/>
      <c r="G45" s="20"/>
      <c r="H45" s="20"/>
      <c r="I45" s="20"/>
      <c r="J45" s="20"/>
      <c r="K45" s="20"/>
      <c r="L45" s="20"/>
      <c r="M45" s="20"/>
      <c r="N45" s="20"/>
      <c r="O45" s="20"/>
      <c r="P45" s="20"/>
      <c r="Q45" s="20"/>
      <c r="R45" s="20"/>
      <c r="S45" s="20"/>
      <c r="T45" s="20"/>
      <c r="U45" s="20"/>
      <c r="V45" s="20"/>
      <c r="W45" s="20"/>
      <c r="X45" s="20"/>
      <c r="Y45" s="20"/>
      <c r="Z45" s="20"/>
      <c r="AA45" s="20"/>
      <c r="AB45" s="20"/>
      <c r="AC45" s="20"/>
      <c r="AD45" s="20"/>
      <c r="AE45" s="20"/>
      <c r="AF45" s="20"/>
      <c r="AG45" s="20"/>
      <c r="AH45" s="20"/>
      <c r="AI45" s="20"/>
      <c r="AJ45" s="20"/>
      <c r="AK45" s="20"/>
      <c r="AL45" s="20"/>
      <c r="AM45" s="20"/>
      <c r="AN45" s="20"/>
      <c r="AO45" s="20"/>
      <c r="AP45" s="20"/>
      <c r="AQ45" s="20"/>
      <c r="AR45" s="20"/>
      <c r="AS45" s="20"/>
      <c r="AT45" s="20"/>
      <c r="AU45" s="20"/>
      <c r="AV45" s="20"/>
      <c r="AW45" s="20"/>
      <c r="AX45" s="20"/>
      <c r="AY45" s="20"/>
      <c r="AZ45" s="20"/>
      <c r="BA45" s="20"/>
      <c r="BB45" s="20"/>
      <c r="BC45" s="20"/>
      <c r="BD45" s="20"/>
      <c r="BE45" s="20"/>
      <c r="BF45" s="20"/>
      <c r="BG45" s="20"/>
      <c r="BH45" s="20"/>
      <c r="BI45" s="20"/>
      <c r="BJ45" s="20"/>
      <c r="BK45" s="20"/>
      <c r="BL45" s="20"/>
      <c r="BM45" s="20"/>
      <c r="BN45" s="20"/>
      <c r="BO45" s="20"/>
      <c r="BP45" s="20"/>
      <c r="BQ45" s="20"/>
      <c r="BR45" s="20"/>
      <c r="BS45" s="20"/>
      <c r="BT45" s="20"/>
      <c r="BU45" s="20"/>
      <c r="BV45" s="20"/>
      <c r="BW45" s="20"/>
      <c r="BX45" s="20"/>
      <c r="BY45" s="20"/>
      <c r="BZ45" s="20"/>
      <c r="CA45" s="20"/>
      <c r="CB45" s="20"/>
      <c r="CC45" s="20"/>
      <c r="CD45" s="20"/>
      <c r="CE45" s="20"/>
      <c r="CF45" s="20"/>
      <c r="CG45" s="20"/>
      <c r="CH45" s="20"/>
      <c r="CI45" s="20"/>
      <c r="CJ45" s="20"/>
      <c r="CK45" s="20"/>
      <c r="CL45" s="20"/>
      <c r="CM45" s="20"/>
      <c r="CN45" s="20"/>
      <c r="CO45" s="20"/>
      <c r="CP45" s="20"/>
      <c r="CQ45" s="20"/>
      <c r="CR45" s="20"/>
      <c r="CS45" s="20"/>
      <c r="CT45" s="20"/>
      <c r="CU45" s="20"/>
      <c r="CV45" s="20"/>
      <c r="CW45" s="20"/>
      <c r="CX45" s="20"/>
      <c r="CY45" s="20"/>
      <c r="CZ45" s="20"/>
      <c r="DA45" s="20"/>
      <c r="DB45" s="20"/>
      <c r="DC45" s="20"/>
      <c r="DD45" s="20"/>
      <c r="DE45" s="20"/>
      <c r="DF45" s="20"/>
      <c r="DG45" s="20"/>
      <c r="DH45" s="20"/>
      <c r="DI45" s="20"/>
      <c r="DJ45" s="20"/>
      <c r="DK45" s="20"/>
      <c r="DL45" s="20"/>
      <c r="DM45" s="20"/>
      <c r="DN45" s="20"/>
      <c r="DO45" s="20"/>
      <c r="DP45" s="20"/>
      <c r="DQ45" s="20"/>
      <c r="DR45" s="20"/>
      <c r="DS45" s="20"/>
      <c r="DT45" s="20"/>
      <c r="DU45" s="20"/>
      <c r="DV45" s="20"/>
      <c r="DW45" s="20"/>
      <c r="DX45" s="20"/>
      <c r="DY45" s="20"/>
      <c r="DZ45" s="20"/>
      <c r="EA45" s="20"/>
      <c r="EB45" s="20"/>
    </row>
    <row r="46" spans="1:132" hidden="1" x14ac:dyDescent="0.2">
      <c r="A46" s="20"/>
      <c r="B46" s="20"/>
      <c r="C46" s="20"/>
      <c r="D46" s="20"/>
      <c r="E46" s="20"/>
      <c r="F46" s="20"/>
      <c r="G46" s="20"/>
      <c r="H46" s="20"/>
      <c r="I46" s="20"/>
      <c r="J46" s="20"/>
      <c r="K46" s="20"/>
      <c r="L46" s="20"/>
      <c r="M46" s="20"/>
      <c r="N46" s="20"/>
      <c r="O46" s="20"/>
      <c r="P46" s="20"/>
      <c r="Q46" s="20"/>
      <c r="R46" s="20"/>
      <c r="S46" s="20"/>
      <c r="T46" s="20"/>
      <c r="U46" s="20"/>
      <c r="V46" s="20"/>
      <c r="W46" s="20"/>
      <c r="X46" s="20"/>
      <c r="Y46" s="20"/>
      <c r="Z46" s="20"/>
      <c r="AA46" s="20"/>
      <c r="AB46" s="20"/>
      <c r="AC46" s="20"/>
      <c r="AD46" s="20"/>
      <c r="AE46" s="20"/>
      <c r="AF46" s="20"/>
      <c r="AG46" s="20"/>
      <c r="AH46" s="20"/>
      <c r="AI46" s="20"/>
      <c r="AJ46" s="20"/>
      <c r="AK46" s="20"/>
      <c r="AL46" s="20"/>
      <c r="AM46" s="20"/>
      <c r="AN46" s="20"/>
      <c r="AO46" s="20"/>
      <c r="AP46" s="20"/>
      <c r="AQ46" s="20"/>
      <c r="AR46" s="20"/>
      <c r="AS46" s="20"/>
      <c r="AT46" s="20"/>
      <c r="AU46" s="20"/>
      <c r="AV46" s="20"/>
      <c r="AW46" s="20"/>
      <c r="AX46" s="20"/>
      <c r="AY46" s="20"/>
      <c r="AZ46" s="20"/>
      <c r="BA46" s="20"/>
      <c r="BB46" s="20"/>
      <c r="BC46" s="20"/>
      <c r="BD46" s="20"/>
      <c r="BE46" s="20"/>
      <c r="BF46" s="20"/>
      <c r="BG46" s="20"/>
      <c r="BH46" s="20"/>
      <c r="BI46" s="20"/>
      <c r="BJ46" s="20"/>
      <c r="BK46" s="20"/>
      <c r="BL46" s="20"/>
      <c r="BM46" s="20"/>
      <c r="BN46" s="20"/>
      <c r="BO46" s="20"/>
      <c r="BP46" s="20"/>
      <c r="BQ46" s="20"/>
      <c r="BR46" s="20"/>
      <c r="BS46" s="20"/>
      <c r="BT46" s="20"/>
      <c r="BU46" s="20"/>
      <c r="BV46" s="20"/>
      <c r="BW46" s="20"/>
      <c r="BX46" s="20"/>
      <c r="BY46" s="20"/>
      <c r="BZ46" s="20"/>
      <c r="CA46" s="20"/>
      <c r="CB46" s="20"/>
      <c r="CC46" s="20"/>
      <c r="CD46" s="20"/>
      <c r="CE46" s="20"/>
      <c r="CF46" s="20"/>
      <c r="CG46" s="20"/>
      <c r="CH46" s="20"/>
      <c r="CI46" s="20"/>
      <c r="CJ46" s="20"/>
      <c r="CK46" s="20"/>
      <c r="CL46" s="20"/>
      <c r="CM46" s="20"/>
      <c r="CN46" s="20"/>
      <c r="CO46" s="20"/>
      <c r="CP46" s="20"/>
      <c r="CQ46" s="20"/>
      <c r="CR46" s="20"/>
      <c r="CS46" s="20"/>
      <c r="CT46" s="20"/>
      <c r="CU46" s="20"/>
      <c r="CV46" s="20"/>
      <c r="CW46" s="20"/>
      <c r="CX46" s="20"/>
      <c r="CY46" s="20"/>
      <c r="CZ46" s="20"/>
      <c r="DA46" s="20"/>
      <c r="DB46" s="20"/>
      <c r="DC46" s="20"/>
      <c r="DD46" s="20"/>
      <c r="DE46" s="20"/>
      <c r="DF46" s="20"/>
      <c r="DG46" s="20"/>
      <c r="DH46" s="20"/>
      <c r="DI46" s="20"/>
      <c r="DJ46" s="20"/>
      <c r="DK46" s="20"/>
      <c r="DL46" s="20"/>
      <c r="DM46" s="20"/>
      <c r="DN46" s="20"/>
      <c r="DO46" s="20"/>
      <c r="DP46" s="20"/>
      <c r="DQ46" s="20"/>
      <c r="DR46" s="20"/>
      <c r="DS46" s="20"/>
      <c r="DT46" s="20"/>
      <c r="DU46" s="20"/>
      <c r="DV46" s="20"/>
      <c r="DW46" s="20"/>
      <c r="DX46" s="20"/>
      <c r="DY46" s="20"/>
      <c r="DZ46" s="20"/>
      <c r="EA46" s="20"/>
      <c r="EB46" s="20"/>
    </row>
    <row r="47" spans="1:132" hidden="1" x14ac:dyDescent="0.2">
      <c r="A47" s="20"/>
      <c r="B47" s="20"/>
      <c r="C47" s="20"/>
      <c r="D47" s="20"/>
      <c r="E47" s="20"/>
      <c r="F47" s="20"/>
      <c r="G47" s="20"/>
      <c r="H47" s="20"/>
      <c r="I47" s="20"/>
      <c r="J47" s="20"/>
      <c r="K47" s="20"/>
      <c r="L47" s="20"/>
      <c r="M47" s="20"/>
      <c r="N47" s="20"/>
      <c r="O47" s="20"/>
      <c r="P47" s="20"/>
      <c r="Q47" s="20"/>
      <c r="R47" s="20"/>
      <c r="S47" s="20"/>
      <c r="T47" s="20"/>
      <c r="U47" s="20"/>
      <c r="V47" s="20"/>
      <c r="W47" s="20"/>
      <c r="X47" s="20"/>
      <c r="Y47" s="20"/>
      <c r="Z47" s="20"/>
      <c r="AA47" s="20"/>
      <c r="AB47" s="20"/>
      <c r="AC47" s="20"/>
      <c r="AD47" s="20"/>
      <c r="AE47" s="20"/>
      <c r="AF47" s="20"/>
      <c r="AG47" s="20"/>
      <c r="AH47" s="20"/>
      <c r="AI47" s="20"/>
      <c r="AJ47" s="20"/>
      <c r="AK47" s="20"/>
      <c r="AL47" s="20"/>
      <c r="AM47" s="20"/>
      <c r="AN47" s="20"/>
      <c r="AO47" s="20"/>
      <c r="AP47" s="20"/>
      <c r="AQ47" s="20"/>
      <c r="AR47" s="20"/>
      <c r="AS47" s="20"/>
      <c r="AT47" s="20"/>
      <c r="AU47" s="20"/>
      <c r="AV47" s="20"/>
      <c r="AW47" s="20"/>
      <c r="AX47" s="20"/>
      <c r="AY47" s="20"/>
      <c r="AZ47" s="20"/>
      <c r="BA47" s="20"/>
      <c r="BB47" s="20"/>
      <c r="BC47" s="20"/>
      <c r="BD47" s="20"/>
      <c r="BE47" s="20"/>
      <c r="BF47" s="20"/>
      <c r="BG47" s="20"/>
      <c r="BH47" s="20"/>
      <c r="BI47" s="20"/>
      <c r="BJ47" s="20"/>
      <c r="BK47" s="20"/>
      <c r="BL47" s="20"/>
      <c r="BM47" s="20"/>
      <c r="BN47" s="20"/>
      <c r="BO47" s="20"/>
      <c r="BP47" s="20"/>
      <c r="BQ47" s="20"/>
      <c r="BR47" s="20"/>
      <c r="BS47" s="20"/>
      <c r="BT47" s="20"/>
      <c r="BU47" s="20"/>
      <c r="BV47" s="20"/>
      <c r="BW47" s="20"/>
      <c r="BX47" s="20"/>
      <c r="BY47" s="20"/>
      <c r="BZ47" s="20"/>
      <c r="CA47" s="20"/>
      <c r="CB47" s="20"/>
      <c r="CC47" s="20"/>
      <c r="CD47" s="20"/>
      <c r="CE47" s="20"/>
      <c r="CF47" s="20"/>
      <c r="CG47" s="20"/>
      <c r="CH47" s="20"/>
      <c r="CI47" s="20"/>
      <c r="CJ47" s="20"/>
      <c r="CK47" s="20"/>
      <c r="CL47" s="20"/>
      <c r="CM47" s="20"/>
      <c r="CN47" s="20"/>
      <c r="CO47" s="20"/>
      <c r="CP47" s="20"/>
      <c r="CQ47" s="20"/>
      <c r="CR47" s="20"/>
      <c r="CS47" s="20"/>
      <c r="CT47" s="20"/>
      <c r="CU47" s="20"/>
      <c r="CV47" s="20"/>
      <c r="CW47" s="20"/>
      <c r="CX47" s="20"/>
      <c r="CY47" s="20"/>
      <c r="CZ47" s="20"/>
      <c r="DA47" s="20"/>
      <c r="DB47" s="20"/>
      <c r="DC47" s="20"/>
      <c r="DD47" s="20"/>
      <c r="DE47" s="20"/>
      <c r="DF47" s="20"/>
      <c r="DG47" s="20"/>
      <c r="DH47" s="20"/>
      <c r="DI47" s="20"/>
      <c r="DJ47" s="20"/>
      <c r="DK47" s="20"/>
      <c r="DL47" s="20"/>
      <c r="DM47" s="20"/>
      <c r="DN47" s="20"/>
      <c r="DO47" s="20"/>
      <c r="DP47" s="20"/>
      <c r="DQ47" s="20"/>
      <c r="DR47" s="20"/>
      <c r="DS47" s="20"/>
      <c r="DT47" s="20"/>
      <c r="DU47" s="20"/>
      <c r="DV47" s="20"/>
      <c r="DW47" s="20"/>
      <c r="DX47" s="20"/>
      <c r="DY47" s="20"/>
      <c r="DZ47" s="20"/>
      <c r="EA47" s="20"/>
      <c r="EB47" s="20"/>
    </row>
    <row r="48" spans="1:132" hidden="1" x14ac:dyDescent="0.2">
      <c r="A48" s="20"/>
      <c r="B48" s="20"/>
      <c r="C48" s="20"/>
      <c r="D48" s="20"/>
      <c r="E48" s="20"/>
      <c r="F48" s="20"/>
      <c r="G48" s="20"/>
      <c r="H48" s="20"/>
      <c r="I48" s="20"/>
      <c r="J48" s="20"/>
      <c r="K48" s="20"/>
      <c r="L48" s="20"/>
      <c r="M48" s="20"/>
      <c r="N48" s="20"/>
      <c r="O48" s="20"/>
      <c r="P48" s="20"/>
      <c r="Q48" s="20"/>
      <c r="R48" s="20"/>
      <c r="S48" s="20"/>
      <c r="T48" s="20"/>
      <c r="U48" s="20"/>
      <c r="V48" s="20"/>
      <c r="W48" s="20"/>
      <c r="X48" s="20"/>
      <c r="Y48" s="20"/>
      <c r="Z48" s="20"/>
      <c r="AA48" s="20"/>
      <c r="AB48" s="20"/>
      <c r="AC48" s="20"/>
      <c r="AD48" s="20"/>
      <c r="AE48" s="20"/>
      <c r="AF48" s="20"/>
      <c r="AG48" s="20"/>
      <c r="AH48" s="20"/>
      <c r="AI48" s="20"/>
      <c r="AJ48" s="20"/>
      <c r="AK48" s="20"/>
      <c r="AL48" s="20"/>
      <c r="AM48" s="20"/>
      <c r="AN48" s="20"/>
      <c r="AO48" s="20"/>
      <c r="AP48" s="20"/>
      <c r="AQ48" s="20"/>
      <c r="AR48" s="20"/>
      <c r="AS48" s="20"/>
      <c r="AT48" s="20"/>
      <c r="AU48" s="20"/>
      <c r="AV48" s="20"/>
      <c r="AW48" s="20"/>
      <c r="AX48" s="20"/>
      <c r="AY48" s="20"/>
      <c r="AZ48" s="20"/>
      <c r="BA48" s="20"/>
      <c r="BB48" s="20"/>
      <c r="BC48" s="20"/>
      <c r="BD48" s="20"/>
      <c r="BE48" s="20"/>
      <c r="BF48" s="20"/>
      <c r="BG48" s="20"/>
      <c r="BH48" s="20"/>
      <c r="BI48" s="20"/>
      <c r="BJ48" s="20"/>
      <c r="BK48" s="20"/>
      <c r="BL48" s="20"/>
      <c r="BM48" s="20"/>
      <c r="BN48" s="20"/>
      <c r="BO48" s="20"/>
      <c r="BP48" s="20"/>
      <c r="BQ48" s="20"/>
      <c r="BR48" s="20"/>
      <c r="BS48" s="20"/>
      <c r="BT48" s="20"/>
      <c r="BU48" s="20"/>
      <c r="BV48" s="20"/>
      <c r="BW48" s="20"/>
      <c r="BX48" s="20"/>
      <c r="BY48" s="20"/>
      <c r="BZ48" s="20"/>
      <c r="CA48" s="20"/>
      <c r="CB48" s="20"/>
      <c r="CC48" s="20"/>
      <c r="CD48" s="20"/>
      <c r="CE48" s="20"/>
      <c r="CF48" s="20"/>
      <c r="CG48" s="20"/>
      <c r="CH48" s="20"/>
      <c r="CI48" s="20"/>
      <c r="CJ48" s="20"/>
      <c r="CK48" s="20"/>
      <c r="CL48" s="20"/>
      <c r="CM48" s="20"/>
      <c r="CN48" s="20"/>
      <c r="CO48" s="20"/>
      <c r="CP48" s="20"/>
      <c r="CQ48" s="20"/>
      <c r="CR48" s="20"/>
      <c r="CS48" s="20"/>
      <c r="CT48" s="20"/>
      <c r="CU48" s="20"/>
      <c r="CV48" s="20"/>
      <c r="CW48" s="20"/>
      <c r="CX48" s="20"/>
      <c r="CY48" s="20"/>
      <c r="CZ48" s="20"/>
      <c r="DA48" s="20"/>
      <c r="DB48" s="20"/>
      <c r="DC48" s="20"/>
      <c r="DD48" s="20"/>
      <c r="DE48" s="20"/>
      <c r="DF48" s="20"/>
      <c r="DG48" s="20"/>
      <c r="DH48" s="20"/>
      <c r="DI48" s="20"/>
      <c r="DJ48" s="20"/>
      <c r="DK48" s="20"/>
      <c r="DL48" s="20"/>
      <c r="DM48" s="20"/>
      <c r="DN48" s="20"/>
      <c r="DO48" s="20"/>
      <c r="DP48" s="20"/>
      <c r="DQ48" s="20"/>
      <c r="DR48" s="20"/>
      <c r="DS48" s="20"/>
      <c r="DT48" s="20"/>
      <c r="DU48" s="20"/>
      <c r="DV48" s="20"/>
      <c r="DW48" s="20"/>
      <c r="DX48" s="20"/>
      <c r="DY48" s="20"/>
      <c r="DZ48" s="20"/>
      <c r="EA48" s="20"/>
      <c r="EB48" s="20"/>
    </row>
    <row r="49" spans="1:132" hidden="1" x14ac:dyDescent="0.2">
      <c r="A49" s="20"/>
      <c r="B49" s="20"/>
      <c r="C49" s="20"/>
      <c r="D49" s="20"/>
      <c r="E49" s="20"/>
      <c r="F49" s="20"/>
      <c r="G49" s="20"/>
      <c r="H49" s="20"/>
      <c r="I49" s="20"/>
      <c r="J49" s="20"/>
      <c r="K49" s="20"/>
      <c r="L49" s="20"/>
      <c r="M49" s="20"/>
      <c r="N49" s="20"/>
      <c r="O49" s="20"/>
      <c r="P49" s="20"/>
      <c r="Q49" s="20"/>
      <c r="R49" s="20"/>
      <c r="S49" s="20"/>
      <c r="T49" s="20"/>
      <c r="U49" s="20"/>
      <c r="V49" s="20"/>
      <c r="W49" s="20"/>
      <c r="X49" s="20"/>
      <c r="Y49" s="20"/>
      <c r="Z49" s="20"/>
      <c r="AA49" s="20"/>
      <c r="AB49" s="20"/>
      <c r="AC49" s="20"/>
      <c r="AD49" s="20"/>
      <c r="AE49" s="20"/>
      <c r="AF49" s="20"/>
      <c r="AG49" s="20"/>
      <c r="AH49" s="20"/>
      <c r="AI49" s="20"/>
      <c r="AJ49" s="20"/>
      <c r="AK49" s="20"/>
      <c r="AL49" s="20"/>
      <c r="AM49" s="20"/>
      <c r="AN49" s="20"/>
      <c r="AO49" s="20"/>
      <c r="AP49" s="20"/>
      <c r="AQ49" s="20"/>
      <c r="AR49" s="20"/>
      <c r="AS49" s="20"/>
      <c r="AT49" s="20"/>
      <c r="AU49" s="20"/>
      <c r="AV49" s="20"/>
      <c r="AW49" s="20"/>
      <c r="AX49" s="20"/>
      <c r="AY49" s="20"/>
      <c r="AZ49" s="20"/>
      <c r="BA49" s="20"/>
      <c r="BB49" s="20"/>
      <c r="BC49" s="20"/>
      <c r="BD49" s="20"/>
      <c r="BE49" s="20"/>
      <c r="BF49" s="20"/>
      <c r="BG49" s="20"/>
      <c r="BH49" s="20"/>
      <c r="BI49" s="20"/>
      <c r="BJ49" s="20"/>
      <c r="BK49" s="20"/>
      <c r="BL49" s="20"/>
      <c r="BM49" s="20"/>
      <c r="BN49" s="20"/>
      <c r="BO49" s="20"/>
      <c r="BP49" s="20"/>
      <c r="BQ49" s="20"/>
      <c r="BR49" s="20"/>
      <c r="BS49" s="20"/>
      <c r="BT49" s="20"/>
      <c r="BU49" s="20"/>
      <c r="BV49" s="20"/>
      <c r="BW49" s="20"/>
      <c r="BX49" s="20"/>
      <c r="BY49" s="20"/>
      <c r="BZ49" s="20"/>
      <c r="CA49" s="20"/>
      <c r="CB49" s="20"/>
      <c r="CC49" s="20"/>
      <c r="CD49" s="20"/>
      <c r="CE49" s="20"/>
      <c r="CF49" s="20"/>
      <c r="CG49" s="20"/>
      <c r="CH49" s="20"/>
      <c r="CI49" s="20"/>
      <c r="CJ49" s="20"/>
      <c r="CK49" s="20"/>
      <c r="CL49" s="20"/>
      <c r="CM49" s="20"/>
      <c r="CN49" s="20"/>
      <c r="CO49" s="20"/>
      <c r="CP49" s="20"/>
      <c r="CQ49" s="20"/>
      <c r="CR49" s="20"/>
      <c r="CS49" s="20"/>
      <c r="CT49" s="20"/>
      <c r="CU49" s="20"/>
      <c r="CV49" s="20"/>
      <c r="CW49" s="20"/>
      <c r="CX49" s="20"/>
      <c r="CY49" s="20"/>
      <c r="CZ49" s="20"/>
      <c r="DA49" s="20"/>
      <c r="DB49" s="20"/>
      <c r="DC49" s="20"/>
      <c r="DD49" s="20"/>
      <c r="DE49" s="20"/>
      <c r="DF49" s="20"/>
      <c r="DG49" s="20"/>
      <c r="DH49" s="20"/>
      <c r="DI49" s="20"/>
      <c r="DJ49" s="20"/>
      <c r="DK49" s="20"/>
      <c r="DL49" s="20"/>
      <c r="DM49" s="20"/>
      <c r="DN49" s="20"/>
      <c r="DO49" s="20"/>
      <c r="DP49" s="20"/>
      <c r="DQ49" s="20"/>
      <c r="DR49" s="20"/>
      <c r="DS49" s="20"/>
      <c r="DT49" s="20"/>
      <c r="DU49" s="20"/>
      <c r="DV49" s="20"/>
      <c r="DW49" s="20"/>
      <c r="DX49" s="20"/>
      <c r="DY49" s="20"/>
      <c r="DZ49" s="20"/>
      <c r="EA49" s="20"/>
      <c r="EB49" s="20"/>
    </row>
    <row r="50" spans="1:132" x14ac:dyDescent="0.2">
      <c r="A50" s="20"/>
      <c r="B50" s="20"/>
      <c r="C50" s="20"/>
      <c r="D50" s="20"/>
      <c r="E50" s="20"/>
      <c r="F50" s="20"/>
      <c r="G50" s="20"/>
      <c r="H50" s="20"/>
      <c r="I50" s="20"/>
      <c r="J50" s="20"/>
      <c r="K50" s="20"/>
      <c r="L50" s="20"/>
      <c r="M50" s="20"/>
      <c r="N50" s="20"/>
      <c r="O50" s="20"/>
      <c r="P50" s="20"/>
      <c r="Q50" s="20"/>
      <c r="R50" s="20"/>
      <c r="S50" s="20"/>
      <c r="T50" s="20"/>
      <c r="U50" s="20"/>
      <c r="V50" s="20"/>
      <c r="W50" s="20"/>
      <c r="X50" s="20"/>
      <c r="Y50" s="20"/>
      <c r="Z50" s="20"/>
      <c r="AA50" s="20"/>
      <c r="AB50" s="20"/>
      <c r="AC50" s="20"/>
      <c r="AD50" s="20"/>
      <c r="AE50" s="20"/>
      <c r="AF50" s="20"/>
      <c r="AG50" s="20"/>
      <c r="AH50" s="20"/>
      <c r="AI50" s="20"/>
      <c r="AJ50" s="20"/>
      <c r="AK50" s="20"/>
      <c r="AL50" s="20"/>
      <c r="AM50" s="20"/>
      <c r="AN50" s="20"/>
      <c r="AO50" s="20"/>
      <c r="AP50" s="20"/>
      <c r="AQ50" s="20"/>
      <c r="AR50" s="20"/>
      <c r="AS50" s="20"/>
      <c r="AT50" s="20"/>
      <c r="AU50" s="20"/>
      <c r="AV50" s="20"/>
      <c r="AW50" s="20"/>
      <c r="AX50" s="20"/>
      <c r="AY50" s="20"/>
      <c r="AZ50" s="20"/>
      <c r="BA50" s="20"/>
      <c r="BB50" s="20"/>
      <c r="BC50" s="20"/>
      <c r="BD50" s="20"/>
      <c r="BE50" s="20"/>
      <c r="BF50" s="20"/>
      <c r="BG50" s="20"/>
      <c r="BH50" s="20"/>
      <c r="BI50" s="20"/>
      <c r="BJ50" s="20"/>
      <c r="BK50" s="20"/>
      <c r="BL50" s="20"/>
      <c r="BM50" s="20"/>
      <c r="BN50" s="20"/>
      <c r="BO50" s="20"/>
      <c r="BP50" s="20"/>
      <c r="BQ50" s="20"/>
      <c r="BR50" s="20"/>
      <c r="BS50" s="20"/>
      <c r="BT50" s="20"/>
      <c r="BU50" s="20"/>
      <c r="BV50" s="20"/>
      <c r="BW50" s="20"/>
      <c r="BX50" s="20"/>
      <c r="BY50" s="20"/>
      <c r="BZ50" s="20"/>
      <c r="CA50" s="20"/>
      <c r="CB50" s="20"/>
      <c r="CC50" s="20"/>
      <c r="CD50" s="20"/>
      <c r="CE50" s="20"/>
      <c r="CF50" s="20"/>
      <c r="CG50" s="20"/>
      <c r="CH50" s="20"/>
      <c r="CI50" s="20"/>
      <c r="CJ50" s="20"/>
      <c r="CK50" s="20"/>
      <c r="CL50" s="20"/>
      <c r="CM50" s="20"/>
      <c r="CN50" s="20"/>
      <c r="CO50" s="20"/>
      <c r="CP50" s="20"/>
      <c r="CQ50" s="20"/>
      <c r="CR50" s="20"/>
      <c r="CS50" s="20"/>
      <c r="CT50" s="20"/>
      <c r="CU50" s="20"/>
      <c r="CV50" s="20"/>
      <c r="CW50" s="20"/>
      <c r="CX50" s="20"/>
      <c r="CY50" s="20"/>
      <c r="CZ50" s="20"/>
      <c r="DA50" s="20"/>
      <c r="DB50" s="20"/>
      <c r="DC50" s="20"/>
      <c r="DD50" s="20"/>
      <c r="DE50" s="20"/>
      <c r="DF50" s="20"/>
      <c r="DG50" s="20"/>
      <c r="DH50" s="20"/>
      <c r="DI50" s="20"/>
      <c r="DJ50" s="20"/>
      <c r="DK50" s="20"/>
      <c r="DL50" s="20"/>
      <c r="DM50" s="20"/>
      <c r="DN50" s="20"/>
      <c r="DO50" s="20"/>
      <c r="DP50" s="20"/>
      <c r="DQ50" s="20"/>
      <c r="DR50" s="20"/>
      <c r="DS50" s="20"/>
      <c r="DT50" s="20"/>
      <c r="DU50" s="20"/>
      <c r="DV50" s="20"/>
      <c r="DW50" s="20"/>
      <c r="DX50" s="20"/>
      <c r="DY50" s="20"/>
      <c r="DZ50" s="20"/>
      <c r="EA50" s="20"/>
      <c r="EB50" s="20"/>
    </row>
    <row r="57" spans="1:132" x14ac:dyDescent="0.2">
      <c r="B57" s="66" t="s">
        <v>1251</v>
      </c>
    </row>
    <row r="60" spans="1:132" x14ac:dyDescent="0.2">
      <c r="A60" s="65">
        <f>COLUMN()</f>
        <v>1</v>
      </c>
      <c r="B60" s="65">
        <f>COLUMN()</f>
        <v>2</v>
      </c>
      <c r="C60" s="65">
        <f>COLUMN()</f>
        <v>3</v>
      </c>
      <c r="D60" s="65">
        <f>COLUMN()</f>
        <v>4</v>
      </c>
      <c r="E60" s="65">
        <f>COLUMN()</f>
        <v>5</v>
      </c>
      <c r="F60" s="65">
        <f>COLUMN()</f>
        <v>6</v>
      </c>
      <c r="G60" s="65">
        <f>COLUMN()</f>
        <v>7</v>
      </c>
      <c r="H60" s="65">
        <f>COLUMN()</f>
        <v>8</v>
      </c>
      <c r="I60" s="65">
        <f>COLUMN()</f>
        <v>9</v>
      </c>
      <c r="J60" s="65">
        <f>COLUMN()</f>
        <v>10</v>
      </c>
      <c r="K60" s="65">
        <f>COLUMN()</f>
        <v>11</v>
      </c>
      <c r="L60" s="65">
        <f>COLUMN()</f>
        <v>12</v>
      </c>
      <c r="M60" s="65">
        <f>COLUMN()</f>
        <v>13</v>
      </c>
      <c r="N60" s="65">
        <f>COLUMN()</f>
        <v>14</v>
      </c>
      <c r="O60" s="65">
        <f>COLUMN()</f>
        <v>15</v>
      </c>
      <c r="P60" s="65">
        <f>COLUMN()</f>
        <v>16</v>
      </c>
      <c r="Q60" s="65">
        <f>COLUMN()</f>
        <v>17</v>
      </c>
      <c r="R60" s="65">
        <f>COLUMN()</f>
        <v>18</v>
      </c>
      <c r="S60" s="65">
        <f>COLUMN()</f>
        <v>19</v>
      </c>
      <c r="T60" s="65">
        <f>COLUMN()</f>
        <v>20</v>
      </c>
      <c r="U60" s="65">
        <f>COLUMN()</f>
        <v>21</v>
      </c>
      <c r="V60" s="65">
        <f>COLUMN()</f>
        <v>22</v>
      </c>
      <c r="W60" s="65">
        <f>COLUMN()</f>
        <v>23</v>
      </c>
      <c r="X60" s="65">
        <f>COLUMN()</f>
        <v>24</v>
      </c>
      <c r="Y60" s="65">
        <f>COLUMN()</f>
        <v>25</v>
      </c>
      <c r="Z60" s="65">
        <f>COLUMN()</f>
        <v>26</v>
      </c>
      <c r="AA60" s="65">
        <f>COLUMN()</f>
        <v>27</v>
      </c>
      <c r="AB60" s="65">
        <f>COLUMN()</f>
        <v>28</v>
      </c>
      <c r="AC60" s="65">
        <f>COLUMN()</f>
        <v>29</v>
      </c>
      <c r="AD60" s="65">
        <f>COLUMN()</f>
        <v>30</v>
      </c>
      <c r="AE60" s="65">
        <f>COLUMN()</f>
        <v>31</v>
      </c>
      <c r="AF60" s="65">
        <f>COLUMN()</f>
        <v>32</v>
      </c>
      <c r="AG60" s="65">
        <f>COLUMN()</f>
        <v>33</v>
      </c>
      <c r="AH60" s="65">
        <f>COLUMN()</f>
        <v>34</v>
      </c>
      <c r="AI60" s="65">
        <f>COLUMN()</f>
        <v>35</v>
      </c>
      <c r="AJ60" s="65">
        <f>COLUMN()</f>
        <v>36</v>
      </c>
      <c r="AK60" s="65">
        <f>COLUMN()</f>
        <v>37</v>
      </c>
      <c r="AL60" s="65">
        <f>COLUMN()</f>
        <v>38</v>
      </c>
      <c r="AM60" s="65">
        <f>COLUMN()</f>
        <v>39</v>
      </c>
      <c r="AN60" s="65">
        <f>COLUMN()</f>
        <v>40</v>
      </c>
      <c r="AO60" s="65">
        <f>COLUMN()</f>
        <v>41</v>
      </c>
      <c r="AP60" s="65">
        <f>COLUMN()</f>
        <v>42</v>
      </c>
      <c r="AQ60" s="65">
        <f>COLUMN()</f>
        <v>43</v>
      </c>
      <c r="AR60" s="65">
        <f>COLUMN()</f>
        <v>44</v>
      </c>
      <c r="AS60" s="65">
        <f>COLUMN()</f>
        <v>45</v>
      </c>
      <c r="AT60" s="65">
        <f>COLUMN()</f>
        <v>46</v>
      </c>
      <c r="AU60" s="65">
        <f>COLUMN()</f>
        <v>47</v>
      </c>
      <c r="AV60" s="65">
        <f>COLUMN()</f>
        <v>48</v>
      </c>
      <c r="AW60" s="65">
        <f>COLUMN()</f>
        <v>49</v>
      </c>
      <c r="AX60" s="65">
        <f>COLUMN()</f>
        <v>50</v>
      </c>
      <c r="AY60" s="65">
        <f>COLUMN()</f>
        <v>51</v>
      </c>
      <c r="AZ60" s="65">
        <f>COLUMN()</f>
        <v>52</v>
      </c>
      <c r="BA60" s="65">
        <f>COLUMN()</f>
        <v>53</v>
      </c>
      <c r="BB60" s="65">
        <f>COLUMN()</f>
        <v>54</v>
      </c>
      <c r="BC60" s="65">
        <f>COLUMN()</f>
        <v>55</v>
      </c>
      <c r="BD60" s="65">
        <f>COLUMN()</f>
        <v>56</v>
      </c>
      <c r="BE60" s="65">
        <f>COLUMN()</f>
        <v>57</v>
      </c>
      <c r="BF60" s="65">
        <f>COLUMN()</f>
        <v>58</v>
      </c>
      <c r="BG60" s="65">
        <f>COLUMN()</f>
        <v>59</v>
      </c>
      <c r="BH60" s="65">
        <f>COLUMN()</f>
        <v>60</v>
      </c>
      <c r="BI60" s="65">
        <f>COLUMN()</f>
        <v>61</v>
      </c>
      <c r="BJ60" s="65">
        <f>COLUMN()</f>
        <v>62</v>
      </c>
      <c r="BK60" s="65">
        <f>COLUMN()</f>
        <v>63</v>
      </c>
      <c r="BL60" s="65">
        <f>COLUMN()</f>
        <v>64</v>
      </c>
      <c r="BM60" s="65">
        <f>COLUMN()</f>
        <v>65</v>
      </c>
      <c r="BN60" s="65">
        <f>COLUMN()</f>
        <v>66</v>
      </c>
      <c r="BO60" s="65">
        <f>COLUMN()</f>
        <v>67</v>
      </c>
      <c r="BP60" s="65">
        <f>COLUMN()</f>
        <v>68</v>
      </c>
      <c r="BQ60" s="65">
        <f>COLUMN()</f>
        <v>69</v>
      </c>
      <c r="BR60" s="65">
        <f>COLUMN()</f>
        <v>70</v>
      </c>
      <c r="BS60" s="65">
        <f>COLUMN()</f>
        <v>71</v>
      </c>
      <c r="BT60" s="65">
        <f>COLUMN()</f>
        <v>72</v>
      </c>
      <c r="BU60" s="65">
        <f>COLUMN()</f>
        <v>73</v>
      </c>
      <c r="BV60" s="65">
        <f>COLUMN()</f>
        <v>74</v>
      </c>
      <c r="BW60" s="65">
        <f>COLUMN()</f>
        <v>75</v>
      </c>
      <c r="BX60" s="65">
        <f>COLUMN()</f>
        <v>76</v>
      </c>
      <c r="BY60" s="65">
        <f>COLUMN()</f>
        <v>77</v>
      </c>
      <c r="BZ60" s="65">
        <f>COLUMN()</f>
        <v>78</v>
      </c>
      <c r="CA60" s="65">
        <f>COLUMN()</f>
        <v>79</v>
      </c>
      <c r="CB60" s="65">
        <f>COLUMN()</f>
        <v>80</v>
      </c>
      <c r="CC60" s="65">
        <f>COLUMN()</f>
        <v>81</v>
      </c>
      <c r="CD60" s="65">
        <f>COLUMN()</f>
        <v>82</v>
      </c>
      <c r="CE60" s="65">
        <f>COLUMN()</f>
        <v>83</v>
      </c>
      <c r="CF60" s="65">
        <f>COLUMN()</f>
        <v>84</v>
      </c>
      <c r="CG60" s="65">
        <f>COLUMN()</f>
        <v>85</v>
      </c>
      <c r="CH60" s="65">
        <f>COLUMN()</f>
        <v>86</v>
      </c>
      <c r="CI60" s="65">
        <f>COLUMN()</f>
        <v>87</v>
      </c>
      <c r="CJ60" s="65">
        <f>COLUMN()</f>
        <v>88</v>
      </c>
      <c r="CK60" s="65">
        <f>COLUMN()</f>
        <v>89</v>
      </c>
      <c r="CL60" s="65">
        <f>COLUMN()</f>
        <v>90</v>
      </c>
      <c r="CM60" s="65">
        <f>COLUMN()</f>
        <v>91</v>
      </c>
      <c r="CN60" s="65">
        <f>COLUMN()</f>
        <v>92</v>
      </c>
      <c r="CO60" s="65">
        <f>COLUMN()</f>
        <v>93</v>
      </c>
      <c r="CP60" s="65">
        <f>COLUMN()</f>
        <v>94</v>
      </c>
      <c r="CQ60" s="65">
        <f>COLUMN()</f>
        <v>95</v>
      </c>
      <c r="CR60" s="65">
        <f>COLUMN()</f>
        <v>96</v>
      </c>
      <c r="CS60" s="65">
        <f>COLUMN()</f>
        <v>97</v>
      </c>
      <c r="CT60" s="65">
        <f>COLUMN()</f>
        <v>98</v>
      </c>
      <c r="CU60" s="65">
        <f>COLUMN()</f>
        <v>99</v>
      </c>
      <c r="CV60" s="65">
        <f>COLUMN()</f>
        <v>100</v>
      </c>
      <c r="CW60" s="65">
        <f>COLUMN()</f>
        <v>101</v>
      </c>
      <c r="CX60" s="65">
        <f>COLUMN()</f>
        <v>102</v>
      </c>
      <c r="CY60" s="65">
        <f>COLUMN()</f>
        <v>103</v>
      </c>
      <c r="CZ60" s="65">
        <f>COLUMN()</f>
        <v>104</v>
      </c>
      <c r="DA60" s="65">
        <f>COLUMN()</f>
        <v>105</v>
      </c>
      <c r="DB60" s="65">
        <f>COLUMN()</f>
        <v>106</v>
      </c>
      <c r="DC60" s="65">
        <f>COLUMN()</f>
        <v>107</v>
      </c>
      <c r="DD60" s="65">
        <f>COLUMN()</f>
        <v>108</v>
      </c>
      <c r="DE60" s="65">
        <f>COLUMN()</f>
        <v>109</v>
      </c>
      <c r="DF60" s="65">
        <f>COLUMN()</f>
        <v>110</v>
      </c>
      <c r="DG60" s="65">
        <f>COLUMN()</f>
        <v>111</v>
      </c>
      <c r="DH60" s="65">
        <f>COLUMN()</f>
        <v>112</v>
      </c>
      <c r="DI60" s="65">
        <f>COLUMN()</f>
        <v>113</v>
      </c>
      <c r="DJ60" s="65">
        <f>COLUMN()</f>
        <v>114</v>
      </c>
      <c r="DK60" s="65">
        <f>COLUMN()</f>
        <v>115</v>
      </c>
      <c r="DL60" s="65">
        <f>COLUMN()</f>
        <v>116</v>
      </c>
      <c r="DM60" s="65">
        <f>COLUMN()</f>
        <v>117</v>
      </c>
      <c r="DN60" s="65">
        <f>COLUMN()</f>
        <v>118</v>
      </c>
      <c r="DO60" s="65">
        <f>COLUMN()</f>
        <v>119</v>
      </c>
      <c r="DP60" s="65">
        <f>COLUMN()</f>
        <v>120</v>
      </c>
      <c r="DQ60" s="65">
        <f>COLUMN()</f>
        <v>121</v>
      </c>
      <c r="DR60" s="65">
        <f>COLUMN()</f>
        <v>122</v>
      </c>
      <c r="DS60" s="65">
        <f>COLUMN()</f>
        <v>123</v>
      </c>
      <c r="DT60" s="65">
        <f>COLUMN()</f>
        <v>124</v>
      </c>
      <c r="DU60" s="65">
        <f>COLUMN()</f>
        <v>125</v>
      </c>
      <c r="DV60" s="65">
        <f>COLUMN()</f>
        <v>126</v>
      </c>
      <c r="DW60" s="65">
        <f>COLUMN()</f>
        <v>127</v>
      </c>
      <c r="DX60" s="65">
        <f>COLUMN()</f>
        <v>128</v>
      </c>
      <c r="DY60" s="65">
        <f>COLUMN()</f>
        <v>129</v>
      </c>
      <c r="DZ60" s="65">
        <f>COLUMN()</f>
        <v>130</v>
      </c>
      <c r="EA60" s="65">
        <f>COLUMN()</f>
        <v>131</v>
      </c>
      <c r="EB60" s="65">
        <f>COLUMN()</f>
        <v>132</v>
      </c>
    </row>
    <row r="76" spans="3:132" x14ac:dyDescent="0.2">
      <c r="C76" s="66"/>
      <c r="D76" s="66"/>
      <c r="E76" s="66"/>
      <c r="F76" s="66"/>
      <c r="G76" s="66"/>
      <c r="H76" s="66"/>
      <c r="I76" s="66"/>
      <c r="J76" s="66"/>
      <c r="K76" s="66"/>
      <c r="L76" s="66"/>
      <c r="M76" s="66"/>
      <c r="N76" s="66"/>
      <c r="O76" s="66"/>
      <c r="P76" s="66"/>
      <c r="Q76" s="66"/>
      <c r="S76" s="66"/>
      <c r="T76" s="66"/>
      <c r="U76" s="66"/>
      <c r="V76" s="66"/>
      <c r="W76" s="66"/>
      <c r="X76" s="66"/>
      <c r="Y76" s="66"/>
      <c r="Z76" s="66"/>
      <c r="AA76" s="66"/>
      <c r="AB76" s="66"/>
      <c r="AC76" s="66"/>
      <c r="AD76" s="66"/>
      <c r="AE76" s="66"/>
      <c r="AG76" s="66"/>
      <c r="AH76" s="66"/>
      <c r="AI76" s="66"/>
      <c r="AJ76" s="66"/>
      <c r="AK76" s="66"/>
      <c r="AL76" s="66"/>
      <c r="AM76" s="66"/>
      <c r="AN76" s="66"/>
      <c r="AO76" s="66"/>
      <c r="AP76" s="66"/>
      <c r="AQ76" s="66"/>
      <c r="AR76" s="66"/>
      <c r="AS76" s="66"/>
      <c r="AT76" s="66"/>
      <c r="AU76" s="66"/>
      <c r="AV76" s="66"/>
      <c r="AW76" s="66"/>
      <c r="AX76" s="66"/>
      <c r="AY76" s="66"/>
      <c r="AZ76" s="66"/>
      <c r="BA76" s="66"/>
      <c r="BB76" s="66"/>
      <c r="BD76" s="66"/>
      <c r="BE76" s="66"/>
      <c r="BF76" s="66"/>
      <c r="BG76" s="66"/>
      <c r="BH76" s="66"/>
      <c r="BI76" s="66"/>
      <c r="BJ76" s="66"/>
      <c r="BK76" s="66"/>
      <c r="BL76" s="66"/>
      <c r="BM76" s="66"/>
      <c r="BN76" s="66"/>
      <c r="BO76" s="66"/>
      <c r="BP76" s="66"/>
      <c r="BQ76" s="66"/>
      <c r="BR76" s="66"/>
      <c r="BS76" s="66"/>
      <c r="BT76" s="66"/>
      <c r="BU76" s="66"/>
      <c r="BV76" s="66"/>
      <c r="BW76" s="66"/>
      <c r="BX76" s="66"/>
      <c r="BY76" s="66"/>
      <c r="BZ76" s="66"/>
      <c r="CA76" s="66"/>
      <c r="CB76" s="66"/>
      <c r="CC76" s="66"/>
      <c r="CD76" s="66"/>
      <c r="CE76" s="66"/>
      <c r="CF76" s="66"/>
      <c r="CG76" s="66"/>
      <c r="CH76" s="66"/>
      <c r="CI76" s="66"/>
      <c r="CJ76" s="66"/>
      <c r="CK76" s="66"/>
      <c r="CL76" s="66"/>
      <c r="CM76" s="66"/>
      <c r="CN76" s="66"/>
      <c r="CO76" s="66"/>
      <c r="CP76" s="66"/>
      <c r="CQ76" s="66"/>
      <c r="CR76" s="66"/>
      <c r="CS76" s="66"/>
      <c r="CT76" s="66"/>
      <c r="CU76" s="66"/>
      <c r="CV76" s="66"/>
      <c r="CW76" s="66"/>
      <c r="CX76" s="66"/>
      <c r="CY76" s="66"/>
      <c r="CZ76" s="66"/>
      <c r="DA76" s="66"/>
      <c r="DB76" s="66"/>
      <c r="DC76" s="66"/>
      <c r="DD76" s="66"/>
      <c r="DE76" s="66"/>
      <c r="DF76" s="66"/>
      <c r="DG76" s="66"/>
      <c r="DH76" s="66"/>
      <c r="DI76" s="66"/>
      <c r="DJ76" s="66"/>
      <c r="DK76" s="66"/>
      <c r="DL76" s="66"/>
      <c r="DM76" s="66"/>
      <c r="DN76" s="66"/>
      <c r="DO76" s="66"/>
      <c r="DP76" s="66"/>
      <c r="DQ76" s="66"/>
      <c r="DR76" s="66"/>
      <c r="DS76" s="66"/>
      <c r="DT76" s="66"/>
      <c r="DU76" s="66"/>
      <c r="DV76" s="66"/>
      <c r="DW76" s="66"/>
      <c r="DX76" s="66"/>
      <c r="DY76" s="66"/>
      <c r="DZ76" s="66"/>
      <c r="EA76" s="66"/>
      <c r="EB76" s="66"/>
    </row>
    <row r="77" spans="3:132" x14ac:dyDescent="0.2">
      <c r="S77" s="66"/>
    </row>
    <row r="79" spans="3:132" x14ac:dyDescent="0.2">
      <c r="D79" s="66"/>
    </row>
    <row r="80" spans="3:132" x14ac:dyDescent="0.2">
      <c r="D80" s="66"/>
    </row>
    <row r="89" spans="4:11" x14ac:dyDescent="0.2">
      <c r="D89" s="66"/>
    </row>
    <row r="92" spans="4:11" x14ac:dyDescent="0.2">
      <c r="K92" s="66"/>
    </row>
    <row r="93" spans="4:11" x14ac:dyDescent="0.2">
      <c r="K93" s="66"/>
    </row>
    <row r="94" spans="4:11" x14ac:dyDescent="0.2">
      <c r="K94" s="66"/>
    </row>
    <row r="95" spans="4:11" x14ac:dyDescent="0.2">
      <c r="K95" s="66"/>
    </row>
  </sheetData>
  <mergeCells count="1">
    <mergeCell ref="A1:EB1"/>
  </mergeCells>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7F6ECD1C11A9394F999F172B47CBFC2E" ma:contentTypeVersion="13" ma:contentTypeDescription="Create a new document." ma:contentTypeScope="" ma:versionID="33d7ef48dd30a9e9bda79b2c60c8d2c3">
  <xsd:schema xmlns:xsd="http://www.w3.org/2001/XMLSchema" xmlns:xs="http://www.w3.org/2001/XMLSchema" xmlns:p="http://schemas.microsoft.com/office/2006/metadata/properties" xmlns:ns2="c7accfda-0245-44b0-89e8-2ca9994861f5" xmlns:ns3="65342ae2-0146-4020-b84f-9a1cc2adbfe7" targetNamespace="http://schemas.microsoft.com/office/2006/metadata/properties" ma:root="true" ma:fieldsID="470fc82978f11958c19e538f027bf3d0" ns2:_="" ns3:_="">
    <xsd:import namespace="c7accfda-0245-44b0-89e8-2ca9994861f5"/>
    <xsd:import namespace="65342ae2-0146-4020-b84f-9a1cc2adbfe7"/>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7accfda-0245-44b0-89e8-2ca9994861f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Location" ma:index="14" nillable="true" ma:displayName="Location" ma:internalName="MediaServiceLocation"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65342ae2-0146-4020-b84f-9a1cc2adbfe7"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9DD4C30-4C7D-47D2-8C01-5D16A2D4039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7accfda-0245-44b0-89e8-2ca9994861f5"/>
    <ds:schemaRef ds:uri="65342ae2-0146-4020-b84f-9a1cc2adbfe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F8F990A-B374-43C6-AA96-32CC1542A25B}">
  <ds:schemaRefs>
    <ds:schemaRef ds:uri="http://www.w3.org/XML/1998/namespace"/>
    <ds:schemaRef ds:uri="http://schemas.microsoft.com/office/2006/metadata/properties"/>
    <ds:schemaRef ds:uri="http://purl.org/dc/dcmitype/"/>
    <ds:schemaRef ds:uri="http://purl.org/dc/terms/"/>
    <ds:schemaRef ds:uri="65342ae2-0146-4020-b84f-9a1cc2adbfe7"/>
    <ds:schemaRef ds:uri="http://schemas.openxmlformats.org/package/2006/metadata/core-properties"/>
    <ds:schemaRef ds:uri="c7accfda-0245-44b0-89e8-2ca9994861f5"/>
    <ds:schemaRef ds:uri="http://schemas.microsoft.com/office/2006/documentManagement/types"/>
    <ds:schemaRef ds:uri="http://purl.org/dc/elements/1.1/"/>
    <ds:schemaRef ds:uri="http://schemas.microsoft.com/office/infopath/2007/PartnerControls"/>
  </ds:schemaRefs>
</ds:datastoreItem>
</file>

<file path=customXml/itemProps3.xml><?xml version="1.0" encoding="utf-8"?>
<ds:datastoreItem xmlns:ds="http://schemas.openxmlformats.org/officeDocument/2006/customXml" ds:itemID="{EEEC5B7F-3E11-41E9-915C-3F7F9CAF3FA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193</vt:i4>
      </vt:variant>
    </vt:vector>
  </HeadingPairs>
  <TitlesOfParts>
    <vt:vector size="216" baseType="lpstr">
      <vt:lpstr>Input</vt:lpstr>
      <vt:lpstr>Results</vt:lpstr>
      <vt:lpstr>Materials</vt:lpstr>
      <vt:lpstr>Reinforcements</vt:lpstr>
      <vt:lpstr>Bolts</vt:lpstr>
      <vt:lpstr>Calculations</vt:lpstr>
      <vt:lpstr>Phi Factors</vt:lpstr>
      <vt:lpstr>Cross Section</vt:lpstr>
      <vt:lpstr>Import Ranges</vt:lpstr>
      <vt:lpstr>Revisions</vt:lpstr>
      <vt:lpstr>Modified Ranges</vt:lpstr>
      <vt:lpstr>General (SAPI)</vt:lpstr>
      <vt:lpstr>Unreinf Pole (SAPI)</vt:lpstr>
      <vt:lpstr>Reinf Pole (SAPI)</vt:lpstr>
      <vt:lpstr>Reinf Groups (SAPI)</vt:lpstr>
      <vt:lpstr>Reinf ID (SAPI)</vt:lpstr>
      <vt:lpstr>Interference Groups (SAPI)</vt:lpstr>
      <vt:lpstr>Interference ID (SAPI)</vt:lpstr>
      <vt:lpstr>Section Results (DNU)</vt:lpstr>
      <vt:lpstr>Reinf Results (SAPI)</vt:lpstr>
      <vt:lpstr>Materials (SAPI)</vt:lpstr>
      <vt:lpstr>Bolts (SAPI)</vt:lpstr>
      <vt:lpstr>Reinforcements (SAPI)</vt:lpstr>
      <vt:lpstr>ASIF</vt:lpstr>
      <vt:lpstr>Bd_1</vt:lpstr>
      <vt:lpstr>Bd_10</vt:lpstr>
      <vt:lpstr>Bd_2</vt:lpstr>
      <vt:lpstr>Bd_3</vt:lpstr>
      <vt:lpstr>Bd_4</vt:lpstr>
      <vt:lpstr>Bd_5</vt:lpstr>
      <vt:lpstr>Bd_6</vt:lpstr>
      <vt:lpstr>Bd_7</vt:lpstr>
      <vt:lpstr>Bd_8</vt:lpstr>
      <vt:lpstr>Bd_9</vt:lpstr>
      <vt:lpstr>Bolt</vt:lpstr>
      <vt:lpstr>BP_FP_Fy</vt:lpstr>
      <vt:lpstr>br_1</vt:lpstr>
      <vt:lpstr>br_10</vt:lpstr>
      <vt:lpstr>br_2</vt:lpstr>
      <vt:lpstr>br_3</vt:lpstr>
      <vt:lpstr>br_4</vt:lpstr>
      <vt:lpstr>br_5</vt:lpstr>
      <vt:lpstr>br_6</vt:lpstr>
      <vt:lpstr>br_7</vt:lpstr>
      <vt:lpstr>br_8</vt:lpstr>
      <vt:lpstr>br_9</vt:lpstr>
      <vt:lpstr>BU</vt:lpstr>
      <vt:lpstr>Cp_1</vt:lpstr>
      <vt:lpstr>Cp_2</vt:lpstr>
      <vt:lpstr>Cp_3</vt:lpstr>
      <vt:lpstr>Cp_4</vt:lpstr>
      <vt:lpstr>Cp_5</vt:lpstr>
      <vt:lpstr>Cp_6</vt:lpstr>
      <vt:lpstr>Cp_7</vt:lpstr>
      <vt:lpstr>Cp_8</vt:lpstr>
      <vt:lpstr>Cp_9</vt:lpstr>
      <vt:lpstr>CS</vt:lpstr>
      <vt:lpstr>EDS_Import</vt:lpstr>
      <vt:lpstr>elev_list</vt:lpstr>
      <vt:lpstr>ErrHnd</vt:lpstr>
      <vt:lpstr>filename_search_keyword</vt:lpstr>
      <vt:lpstr>Gp</vt:lpstr>
      <vt:lpstr>Hba_1</vt:lpstr>
      <vt:lpstr>Hba_10</vt:lpstr>
      <vt:lpstr>Hba_11</vt:lpstr>
      <vt:lpstr>Hba_12</vt:lpstr>
      <vt:lpstr>Hba_13</vt:lpstr>
      <vt:lpstr>Hba_14</vt:lpstr>
      <vt:lpstr>Hba_15</vt:lpstr>
      <vt:lpstr>Hba_16</vt:lpstr>
      <vt:lpstr>Hba_17</vt:lpstr>
      <vt:lpstr>Hba_18</vt:lpstr>
      <vt:lpstr>Hba_19</vt:lpstr>
      <vt:lpstr>Hba_2</vt:lpstr>
      <vt:lpstr>Hba_20</vt:lpstr>
      <vt:lpstr>Hba_21</vt:lpstr>
      <vt:lpstr>Hba_22</vt:lpstr>
      <vt:lpstr>Hba_23</vt:lpstr>
      <vt:lpstr>Hba_24</vt:lpstr>
      <vt:lpstr>Hba_25</vt:lpstr>
      <vt:lpstr>Hba_26</vt:lpstr>
      <vt:lpstr>Hba_27</vt:lpstr>
      <vt:lpstr>Hba_28</vt:lpstr>
      <vt:lpstr>Hba_29</vt:lpstr>
      <vt:lpstr>Hba_3</vt:lpstr>
      <vt:lpstr>Hba_30</vt:lpstr>
      <vt:lpstr>Hba_4</vt:lpstr>
      <vt:lpstr>Hba_5</vt:lpstr>
      <vt:lpstr>Hba_6</vt:lpstr>
      <vt:lpstr>Hba_7</vt:lpstr>
      <vt:lpstr>Hba_8</vt:lpstr>
      <vt:lpstr>Hba_9</vt:lpstr>
      <vt:lpstr>Ht</vt:lpstr>
      <vt:lpstr>Hta_1</vt:lpstr>
      <vt:lpstr>Hta_10</vt:lpstr>
      <vt:lpstr>Hta_11</vt:lpstr>
      <vt:lpstr>Hta_12</vt:lpstr>
      <vt:lpstr>Hta_13</vt:lpstr>
      <vt:lpstr>Hta_14</vt:lpstr>
      <vt:lpstr>Hta_15</vt:lpstr>
      <vt:lpstr>Hta_16</vt:lpstr>
      <vt:lpstr>Hta_17</vt:lpstr>
      <vt:lpstr>Hta_18</vt:lpstr>
      <vt:lpstr>Hta_19</vt:lpstr>
      <vt:lpstr>Hta_2</vt:lpstr>
      <vt:lpstr>Hta_20</vt:lpstr>
      <vt:lpstr>Hta_21</vt:lpstr>
      <vt:lpstr>Hta_22</vt:lpstr>
      <vt:lpstr>Hta_23</vt:lpstr>
      <vt:lpstr>Hta_24</vt:lpstr>
      <vt:lpstr>Hta_25</vt:lpstr>
      <vt:lpstr>Hta_26</vt:lpstr>
      <vt:lpstr>Hta_27</vt:lpstr>
      <vt:lpstr>Hta_28</vt:lpstr>
      <vt:lpstr>Hta_29</vt:lpstr>
      <vt:lpstr>Hta_3</vt:lpstr>
      <vt:lpstr>Hta_30</vt:lpstr>
      <vt:lpstr>Hta_4</vt:lpstr>
      <vt:lpstr>Hta_5</vt:lpstr>
      <vt:lpstr>Hta_6</vt:lpstr>
      <vt:lpstr>Hta_7</vt:lpstr>
      <vt:lpstr>Hta_8</vt:lpstr>
      <vt:lpstr>Hta_9</vt:lpstr>
      <vt:lpstr>ID_pole</vt:lpstr>
      <vt:lpstr>inc</vt:lpstr>
      <vt:lpstr>'Modified Ranges'!LastRow_ModRng</vt:lpstr>
      <vt:lpstr>mat_10</vt:lpstr>
      <vt:lpstr>mat_2</vt:lpstr>
      <vt:lpstr>mat_3</vt:lpstr>
      <vt:lpstr>mat_4</vt:lpstr>
      <vt:lpstr>mat_5</vt:lpstr>
      <vt:lpstr>mat_6</vt:lpstr>
      <vt:lpstr>mat_7</vt:lpstr>
      <vt:lpstr>mat_8</vt:lpstr>
      <vt:lpstr>mat_9</vt:lpstr>
      <vt:lpstr>Material</vt:lpstr>
      <vt:lpstr>modified</vt:lpstr>
      <vt:lpstr>'Raw TNX File'!New_TNX_File</vt:lpstr>
      <vt:lpstr>num</vt:lpstr>
      <vt:lpstr>O_1</vt:lpstr>
      <vt:lpstr>O_10</vt:lpstr>
      <vt:lpstr>O_2</vt:lpstr>
      <vt:lpstr>O_3</vt:lpstr>
      <vt:lpstr>O_4</vt:lpstr>
      <vt:lpstr>O_5</vt:lpstr>
      <vt:lpstr>O_6</vt:lpstr>
      <vt:lpstr>O_7</vt:lpstr>
      <vt:lpstr>O_8</vt:lpstr>
      <vt:lpstr>O_9</vt:lpstr>
      <vt:lpstr>'Raw TNX File'!Old_TNX_File</vt:lpstr>
      <vt:lpstr>'Raw TNX File'!Old_TNX_File_1</vt:lpstr>
      <vt:lpstr>'Raw TNX File'!Old_TNX_File_2</vt:lpstr>
      <vt:lpstr>Input!Print_Area</vt:lpstr>
      <vt:lpstr>'Reinforcements'!Print_Area</vt:lpstr>
      <vt:lpstr>Results!Print_Area</vt:lpstr>
      <vt:lpstr>pwd</vt:lpstr>
      <vt:lpstr>R_arr</vt:lpstr>
      <vt:lpstr>Reinforcement</vt:lpstr>
      <vt:lpstr>Rev</vt:lpstr>
      <vt:lpstr>rpcp</vt:lpstr>
      <vt:lpstr>Sh_1</vt:lpstr>
      <vt:lpstr>Sh_10</vt:lpstr>
      <vt:lpstr>Sh_2</vt:lpstr>
      <vt:lpstr>Sh_3</vt:lpstr>
      <vt:lpstr>Sh_4</vt:lpstr>
      <vt:lpstr>Sh_5</vt:lpstr>
      <vt:lpstr>Sh_6</vt:lpstr>
      <vt:lpstr>Sh_7</vt:lpstr>
      <vt:lpstr>Sh_8</vt:lpstr>
      <vt:lpstr>Sh_9</vt:lpstr>
      <vt:lpstr>source_rev_rng</vt:lpstr>
      <vt:lpstr>St_1</vt:lpstr>
      <vt:lpstr>St_10</vt:lpstr>
      <vt:lpstr>St_2</vt:lpstr>
      <vt:lpstr>St_3</vt:lpstr>
      <vt:lpstr>St_4</vt:lpstr>
      <vt:lpstr>St_5</vt:lpstr>
      <vt:lpstr>St_6</vt:lpstr>
      <vt:lpstr>St_7</vt:lpstr>
      <vt:lpstr>St_8</vt:lpstr>
      <vt:lpstr>St_9</vt:lpstr>
      <vt:lpstr>taper_1</vt:lpstr>
      <vt:lpstr>taper_10</vt:lpstr>
      <vt:lpstr>taper_2</vt:lpstr>
      <vt:lpstr>taper_3</vt:lpstr>
      <vt:lpstr>taper_4</vt:lpstr>
      <vt:lpstr>taper_5</vt:lpstr>
      <vt:lpstr>taper_6</vt:lpstr>
      <vt:lpstr>taper_7</vt:lpstr>
      <vt:lpstr>taper_8</vt:lpstr>
      <vt:lpstr>taper_9</vt:lpstr>
      <vt:lpstr>Td_1</vt:lpstr>
      <vt:lpstr>Td_10</vt:lpstr>
      <vt:lpstr>Td_2</vt:lpstr>
      <vt:lpstr>Td_3</vt:lpstr>
      <vt:lpstr>Td_4</vt:lpstr>
      <vt:lpstr>Td_5</vt:lpstr>
      <vt:lpstr>Td_6</vt:lpstr>
      <vt:lpstr>Td_7</vt:lpstr>
      <vt:lpstr>Td_8</vt:lpstr>
      <vt:lpstr>Td_9</vt:lpstr>
      <vt:lpstr>valid_revs</vt:lpstr>
      <vt:lpstr>vnum</vt:lpstr>
      <vt:lpstr>WO</vt:lpstr>
      <vt:lpstr>φ_bolt_bearing</vt:lpstr>
      <vt:lpstr>φ_bolt_shear</vt:lpstr>
      <vt:lpstr>φ_c</vt:lpstr>
      <vt:lpstr>φ_f</vt:lpstr>
      <vt:lpstr>φ_shear_rupture</vt:lpstr>
      <vt:lpstr>φ_shear_yield</vt:lpstr>
      <vt:lpstr>φ_t_r</vt:lpstr>
      <vt:lpstr>φ_t_y</vt:lpstr>
      <vt:lpstr>φ_v</vt:lpstr>
      <vt:lpstr>φ_weld_shear</vt:lpstr>
      <vt:lpstr>φ_weld_tension</vt:lpstr>
      <vt:lpstr>Ω_bolt</vt:lpstr>
    </vt:vector>
  </TitlesOfParts>
  <Company>Crown Castle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CCIpole - Monopole Reinforcement Tool</dc:title>
  <dc:creator>Engineering Tools</dc:creator>
  <cp:keywords/>
  <dc:description>Copyright 2023 Crown Castle.  All rights reserved.</dc:description>
  <cp:lastModifiedBy>Rudolph, Michael</cp:lastModifiedBy>
  <cp:lastPrinted>2020-11-13T18:41:38Z</cp:lastPrinted>
  <dcterms:created xsi:type="dcterms:W3CDTF">2008-06-13T17:32:18Z</dcterms:created>
  <dcterms:modified xsi:type="dcterms:W3CDTF">2023-04-26T19:29:57Z</dcterms:modified>
  <cp:version>4.3.0</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0x0101007F6ECD1C11A9394F999F172B47CBFC2E</vt:lpwstr>
  </property>
  <property fmtid="{D5CDD505-2E9C-101B-9397-08002B2CF9AE}" pid="3" name="Tool Version">
    <vt:lpwstr>4.6.0</vt:lpwstr>
  </property>
</Properties>
</file>